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ЭтаКнига" defaultThemeVersion="124226"/>
  <workbookProtection workbookPassword="8E28" lockStructure="1"/>
  <bookViews>
    <workbookView xWindow="180" yWindow="-30" windowWidth="12165" windowHeight="12660" tabRatio="936"/>
  </bookViews>
  <sheets>
    <sheet name="Шаг1.Выбор плиты" sheetId="1" r:id="rId1"/>
    <sheet name="Шаг2.Бланк заказа NEW" sheetId="2" r:id="rId2"/>
    <sheet name="Бланк OLD 0.8 04" sheetId="8" r:id="rId3"/>
    <sheet name="Бланк OLD 2.0 04 " sheetId="9" r:id="rId4"/>
    <sheet name="Шаг3.Стоимость" sheetId="3" r:id="rId5"/>
    <sheet name="Прайс Производственные Услуги" sheetId="4" r:id="rId6"/>
    <sheet name="прайс кромка EGGER для ЛДСП" sheetId="5" r:id="rId7"/>
    <sheet name="прайс кромка для PS" sheetId="6" r:id="rId8"/>
    <sheet name="Лист1" sheetId="12" r:id="rId9"/>
  </sheets>
  <definedNames>
    <definedName name="_xlnm._FilterDatabase" localSheetId="2" hidden="1">'Бланк OLD 0.8 04'!$A$17:$N$201</definedName>
    <definedName name="_xlnm._FilterDatabase" localSheetId="3" hidden="1">'Бланк OLD 2.0 04 '!$A$17:$N$201</definedName>
    <definedName name="_xlnm._FilterDatabase" localSheetId="6" hidden="1">'прайс кромка EGGER для ЛДСП'!$A$4:$T$4</definedName>
    <definedName name="_xlnm._FilterDatabase" localSheetId="7" hidden="1">'прайс кромка для PS'!#REF!</definedName>
    <definedName name="_xlnm._FilterDatabase" localSheetId="0" hidden="1">'Шаг1.Выбор плиты'!$A$9:$T$558</definedName>
    <definedName name="_xlnm._FilterDatabase" localSheetId="1" hidden="1">'Шаг2.Бланк заказа NEW'!$A$18:$U$202</definedName>
    <definedName name="дозаполнить" localSheetId="2">'Бланк OLD 0.8 04'!$L$17</definedName>
    <definedName name="дозаполнить" localSheetId="3">'Бланк OLD 2.0 04 '!$L$17</definedName>
    <definedName name="дозаполнить">'Шаг2.Бланк заказа NEW'!$S$18</definedName>
    <definedName name="мм10">Шаг3.Стоимость!$T$4:$W$4</definedName>
    <definedName name="мм16">Шаг3.Стоимость!$T$5:$W$5</definedName>
    <definedName name="мм18">Шаг3.Стоимость!$T$6:$W$6</definedName>
    <definedName name="мм19">Шаг3.Стоимость!$T$7:$W$7</definedName>
    <definedName name="мм22">Шаг3.Стоимость!$T$8:$W$8</definedName>
    <definedName name="мм25">Шаг3.Стоимость!$T$9:$W$9</definedName>
    <definedName name="Номенклатура1">Шаг3.Стоимость!$B$14</definedName>
    <definedName name="Номенклатура10">Шаг3.Стоимость!$B$14:$B$23</definedName>
    <definedName name="Номенклатура11">Шаг3.Стоимость!$B$14:$B$24</definedName>
    <definedName name="Номенклатура12">Шаг3.Стоимость!$B$14:$B$25</definedName>
    <definedName name="Номенклатура13">Шаг3.Стоимость!$B$14:$B$26</definedName>
    <definedName name="Номенклатура2">Шаг3.Стоимость!$B$14:$B$15</definedName>
    <definedName name="номенклатура21">Шаг3.Стоимость!$AE$14</definedName>
    <definedName name="номенклатура210">Шаг3.Стоимость!$AE$14:$AE$23</definedName>
    <definedName name="номенклатура211">Шаг3.Стоимость!$AE$14:$AE$24</definedName>
    <definedName name="номенклатура212">Шаг3.Стоимость!$AE$14:$AE$25</definedName>
    <definedName name="номенклатура22">Шаг3.Стоимость!$AE$14:$AE$15</definedName>
    <definedName name="номенклатура23">Шаг3.Стоимость!$AE$14:$AE$16</definedName>
    <definedName name="номенклатура24">Шаг3.Стоимость!$AE$14:$AE$17</definedName>
    <definedName name="номенклатура25">Шаг3.Стоимость!$AE$14:$AE$18</definedName>
    <definedName name="номенклатура26">Шаг3.Стоимость!$AE$14:$AE$19</definedName>
    <definedName name="номенклатура27">Шаг3.Стоимость!$AE$14:$AE$20</definedName>
    <definedName name="номенклатура28">Шаг3.Стоимость!$AE$14:$AE$21</definedName>
    <definedName name="номенклатура29">Шаг3.Стоимость!$AE$14:$AE$22</definedName>
    <definedName name="Номенклатура3">Шаг3.Стоимость!$B$14:$B$16</definedName>
    <definedName name="Номенклатура4">Шаг3.Стоимость!$B$14:$B$17</definedName>
    <definedName name="Номенклатура5">Шаг3.Стоимость!$B$14:$B$18</definedName>
    <definedName name="Номенклатура6">Шаг3.Стоимость!$B$14:$B$19</definedName>
    <definedName name="Номенклатура7">Шаг3.Стоимость!$B$14:$B$20</definedName>
    <definedName name="Номенклатура8">Шаг3.Стоимость!$B$14:$B$21</definedName>
    <definedName name="Номенклатура9">Шаг3.Стоимость!$B$14:$B$22</definedName>
    <definedName name="_xlnm.Print_Area" localSheetId="2">'Бланк OLD 0.8 04'!$A$1:$K$208</definedName>
    <definedName name="_xlnm.Print_Area" localSheetId="3">'Бланк OLD 2.0 04 '!$A$1:$K$208</definedName>
    <definedName name="_xlnm.Print_Area" localSheetId="1">'Шаг2.Бланк заказа NEW'!$A$1:$Q$209</definedName>
    <definedName name="_xlnm.Print_Area" localSheetId="4">Шаг3.Стоимость!$A$1:$AB$32</definedName>
  </definedNames>
  <calcPr calcId="145621"/>
</workbook>
</file>

<file path=xl/calcChain.xml><?xml version="1.0" encoding="utf-8"?>
<calcChain xmlns="http://schemas.openxmlformats.org/spreadsheetml/2006/main">
  <c r="C548" i="1" l="1"/>
  <c r="C549" i="1"/>
  <c r="C550" i="1"/>
  <c r="C551" i="1"/>
  <c r="C552" i="1"/>
  <c r="C553" i="1"/>
  <c r="C554" i="1"/>
  <c r="C555" i="1"/>
  <c r="C556" i="1"/>
  <c r="C557" i="1"/>
  <c r="C558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S10" i="1"/>
  <c r="R10" i="1"/>
  <c r="C566" i="1" l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L19" i="2" l="1"/>
  <c r="M19" i="2"/>
  <c r="O19" i="2" s="1"/>
  <c r="N19" i="2"/>
  <c r="L20" i="2"/>
  <c r="M20" i="2"/>
  <c r="N20" i="2"/>
  <c r="O20" i="2"/>
  <c r="L21" i="2"/>
  <c r="M21" i="2"/>
  <c r="N21" i="2"/>
  <c r="O21" i="2"/>
  <c r="L22" i="2"/>
  <c r="M22" i="2"/>
  <c r="N22" i="2"/>
  <c r="O22" i="2"/>
  <c r="L23" i="2"/>
  <c r="M23" i="2"/>
  <c r="O23" i="2" s="1"/>
  <c r="N23" i="2"/>
  <c r="L24" i="2"/>
  <c r="M24" i="2"/>
  <c r="N24" i="2"/>
  <c r="O24" i="2"/>
  <c r="L25" i="2"/>
  <c r="M25" i="2"/>
  <c r="N25" i="2"/>
  <c r="O25" i="2"/>
  <c r="L26" i="2"/>
  <c r="M26" i="2"/>
  <c r="N26" i="2"/>
  <c r="O26" i="2"/>
  <c r="L27" i="2"/>
  <c r="M27" i="2"/>
  <c r="N27" i="2"/>
  <c r="O27" i="2"/>
  <c r="L28" i="2"/>
  <c r="M28" i="2"/>
  <c r="N28" i="2"/>
  <c r="O28" i="2"/>
  <c r="L29" i="2"/>
  <c r="M29" i="2"/>
  <c r="N29" i="2"/>
  <c r="O29" i="2"/>
  <c r="Z7" i="12" l="1"/>
  <c r="Z5" i="12"/>
  <c r="Z3" i="12"/>
  <c r="B25" i="9"/>
  <c r="K25" i="9"/>
  <c r="L25" i="9"/>
  <c r="M25" i="9"/>
  <c r="N25" i="9"/>
  <c r="O25" i="9"/>
  <c r="B26" i="9"/>
  <c r="K26" i="9"/>
  <c r="L26" i="9"/>
  <c r="M26" i="9"/>
  <c r="N26" i="9"/>
  <c r="O26" i="9"/>
  <c r="B27" i="9"/>
  <c r="K27" i="9"/>
  <c r="L27" i="9"/>
  <c r="M27" i="9"/>
  <c r="N27" i="9"/>
  <c r="O27" i="9"/>
  <c r="B28" i="9"/>
  <c r="K28" i="9"/>
  <c r="L28" i="9"/>
  <c r="M28" i="9"/>
  <c r="N28" i="9"/>
  <c r="O28" i="9"/>
  <c r="B29" i="9"/>
  <c r="K29" i="9"/>
  <c r="L29" i="9"/>
  <c r="M29" i="9"/>
  <c r="N29" i="9"/>
  <c r="O29" i="9"/>
  <c r="B30" i="9"/>
  <c r="K30" i="9"/>
  <c r="L30" i="9"/>
  <c r="M30" i="9"/>
  <c r="N30" i="9"/>
  <c r="O30" i="9"/>
  <c r="B31" i="9"/>
  <c r="K31" i="9"/>
  <c r="L31" i="9"/>
  <c r="M31" i="9"/>
  <c r="N31" i="9"/>
  <c r="O31" i="9"/>
  <c r="B32" i="9"/>
  <c r="K32" i="9"/>
  <c r="L32" i="9"/>
  <c r="M32" i="9"/>
  <c r="N32" i="9"/>
  <c r="O32" i="9"/>
  <c r="B33" i="9"/>
  <c r="K33" i="9"/>
  <c r="L33" i="9"/>
  <c r="M33" i="9"/>
  <c r="N33" i="9"/>
  <c r="O33" i="9"/>
  <c r="B34" i="9"/>
  <c r="K34" i="9"/>
  <c r="L34" i="9"/>
  <c r="M34" i="9"/>
  <c r="N34" i="9"/>
  <c r="O34" i="9"/>
  <c r="B35" i="9"/>
  <c r="K35" i="9"/>
  <c r="L35" i="9"/>
  <c r="M35" i="9"/>
  <c r="N35" i="9"/>
  <c r="O35" i="9"/>
  <c r="B36" i="9"/>
  <c r="K36" i="9"/>
  <c r="L36" i="9"/>
  <c r="M36" i="9"/>
  <c r="N36" i="9"/>
  <c r="O36" i="9"/>
  <c r="B37" i="9"/>
  <c r="K37" i="9"/>
  <c r="L37" i="9"/>
  <c r="M37" i="9"/>
  <c r="N37" i="9"/>
  <c r="O37" i="9"/>
  <c r="B38" i="9"/>
  <c r="K38" i="9"/>
  <c r="L38" i="9"/>
  <c r="M38" i="9"/>
  <c r="N38" i="9"/>
  <c r="O38" i="9"/>
  <c r="B39" i="9"/>
  <c r="K39" i="9"/>
  <c r="L39" i="9"/>
  <c r="M39" i="9"/>
  <c r="N39" i="9"/>
  <c r="O39" i="9"/>
  <c r="B40" i="9"/>
  <c r="K40" i="9"/>
  <c r="L40" i="9"/>
  <c r="M40" i="9"/>
  <c r="N40" i="9"/>
  <c r="O40" i="9"/>
  <c r="B41" i="9"/>
  <c r="K41" i="9"/>
  <c r="L41" i="9"/>
  <c r="M41" i="9"/>
  <c r="N41" i="9"/>
  <c r="O41" i="9"/>
  <c r="B42" i="9"/>
  <c r="K42" i="9"/>
  <c r="L42" i="9"/>
  <c r="M42" i="9"/>
  <c r="N42" i="9"/>
  <c r="O42" i="9"/>
  <c r="B43" i="9"/>
  <c r="K43" i="9"/>
  <c r="L43" i="9"/>
  <c r="M43" i="9"/>
  <c r="N43" i="9"/>
  <c r="O43" i="9"/>
  <c r="B44" i="9"/>
  <c r="K44" i="9"/>
  <c r="L44" i="9"/>
  <c r="M44" i="9"/>
  <c r="N44" i="9"/>
  <c r="O44" i="9"/>
  <c r="B45" i="9"/>
  <c r="K45" i="9"/>
  <c r="L45" i="9"/>
  <c r="M45" i="9"/>
  <c r="N45" i="9"/>
  <c r="O45" i="9"/>
  <c r="B46" i="9"/>
  <c r="K46" i="9"/>
  <c r="L46" i="9"/>
  <c r="M46" i="9"/>
  <c r="N46" i="9"/>
  <c r="O46" i="9"/>
  <c r="B47" i="9"/>
  <c r="K47" i="9"/>
  <c r="L47" i="9"/>
  <c r="M47" i="9"/>
  <c r="N47" i="9"/>
  <c r="O47" i="9"/>
  <c r="B48" i="9"/>
  <c r="K48" i="9"/>
  <c r="L48" i="9"/>
  <c r="M48" i="9"/>
  <c r="N48" i="9"/>
  <c r="O48" i="9"/>
  <c r="B49" i="9"/>
  <c r="K49" i="9"/>
  <c r="L49" i="9"/>
  <c r="M49" i="9"/>
  <c r="N49" i="9"/>
  <c r="O49" i="9"/>
  <c r="B50" i="9"/>
  <c r="K50" i="9"/>
  <c r="L50" i="9"/>
  <c r="M50" i="9"/>
  <c r="N50" i="9"/>
  <c r="O50" i="9"/>
  <c r="B51" i="9"/>
  <c r="K51" i="9"/>
  <c r="L51" i="9"/>
  <c r="M51" i="9"/>
  <c r="N51" i="9"/>
  <c r="O51" i="9"/>
  <c r="B52" i="9"/>
  <c r="K52" i="9"/>
  <c r="L52" i="9"/>
  <c r="M52" i="9"/>
  <c r="N52" i="9"/>
  <c r="O52" i="9"/>
  <c r="B53" i="9"/>
  <c r="K53" i="9"/>
  <c r="L53" i="9"/>
  <c r="M53" i="9"/>
  <c r="N53" i="9"/>
  <c r="O53" i="9"/>
  <c r="B54" i="9"/>
  <c r="K54" i="9"/>
  <c r="L54" i="9"/>
  <c r="M54" i="9"/>
  <c r="N54" i="9"/>
  <c r="O54" i="9"/>
  <c r="B55" i="9"/>
  <c r="K55" i="9"/>
  <c r="L55" i="9"/>
  <c r="M55" i="9"/>
  <c r="N55" i="9"/>
  <c r="O55" i="9"/>
  <c r="B56" i="9"/>
  <c r="K56" i="9"/>
  <c r="L56" i="9"/>
  <c r="M56" i="9"/>
  <c r="N56" i="9"/>
  <c r="O56" i="9"/>
  <c r="B57" i="9"/>
  <c r="K57" i="9"/>
  <c r="L57" i="9"/>
  <c r="M57" i="9"/>
  <c r="N57" i="9"/>
  <c r="O57" i="9"/>
  <c r="B58" i="9"/>
  <c r="K58" i="9"/>
  <c r="L58" i="9"/>
  <c r="M58" i="9"/>
  <c r="N58" i="9"/>
  <c r="O58" i="9"/>
  <c r="B59" i="9"/>
  <c r="K59" i="9"/>
  <c r="L59" i="9"/>
  <c r="M59" i="9"/>
  <c r="N59" i="9"/>
  <c r="O59" i="9"/>
  <c r="B60" i="9"/>
  <c r="K60" i="9"/>
  <c r="L60" i="9"/>
  <c r="M60" i="9"/>
  <c r="N60" i="9"/>
  <c r="O60" i="9"/>
  <c r="B61" i="9"/>
  <c r="K61" i="9"/>
  <c r="L61" i="9"/>
  <c r="M61" i="9"/>
  <c r="N61" i="9"/>
  <c r="O61" i="9"/>
  <c r="B62" i="9"/>
  <c r="K62" i="9"/>
  <c r="L62" i="9"/>
  <c r="M62" i="9"/>
  <c r="N62" i="9"/>
  <c r="O62" i="9"/>
  <c r="B63" i="9"/>
  <c r="K63" i="9"/>
  <c r="L63" i="9"/>
  <c r="M63" i="9"/>
  <c r="N63" i="9"/>
  <c r="O63" i="9"/>
  <c r="B64" i="9"/>
  <c r="K64" i="9"/>
  <c r="L64" i="9"/>
  <c r="M64" i="9"/>
  <c r="N64" i="9"/>
  <c r="O64" i="9"/>
  <c r="B65" i="9"/>
  <c r="K65" i="9"/>
  <c r="L65" i="9"/>
  <c r="M65" i="9"/>
  <c r="N65" i="9"/>
  <c r="O65" i="9"/>
  <c r="B66" i="9"/>
  <c r="K66" i="9"/>
  <c r="L66" i="9"/>
  <c r="M66" i="9"/>
  <c r="N66" i="9"/>
  <c r="O66" i="9"/>
  <c r="B67" i="9"/>
  <c r="K67" i="9"/>
  <c r="L67" i="9"/>
  <c r="M67" i="9"/>
  <c r="N67" i="9"/>
  <c r="O67" i="9"/>
  <c r="B68" i="9"/>
  <c r="K68" i="9"/>
  <c r="L68" i="9"/>
  <c r="M68" i="9"/>
  <c r="N68" i="9"/>
  <c r="O68" i="9"/>
  <c r="B69" i="9"/>
  <c r="K69" i="9"/>
  <c r="L69" i="9"/>
  <c r="M69" i="9"/>
  <c r="N69" i="9"/>
  <c r="O69" i="9"/>
  <c r="B70" i="9"/>
  <c r="K70" i="9"/>
  <c r="L70" i="9"/>
  <c r="M70" i="9"/>
  <c r="N70" i="9"/>
  <c r="O70" i="9"/>
  <c r="B71" i="9"/>
  <c r="K71" i="9"/>
  <c r="L71" i="9"/>
  <c r="M71" i="9"/>
  <c r="N71" i="9"/>
  <c r="O71" i="9"/>
  <c r="B72" i="9"/>
  <c r="K72" i="9"/>
  <c r="L72" i="9"/>
  <c r="M72" i="9"/>
  <c r="N72" i="9"/>
  <c r="O72" i="9"/>
  <c r="B73" i="9"/>
  <c r="K73" i="9"/>
  <c r="L73" i="9"/>
  <c r="M73" i="9"/>
  <c r="N73" i="9"/>
  <c r="O73" i="9"/>
  <c r="B74" i="9"/>
  <c r="K74" i="9"/>
  <c r="L74" i="9"/>
  <c r="M74" i="9"/>
  <c r="N74" i="9"/>
  <c r="O74" i="9"/>
  <c r="B75" i="9"/>
  <c r="K75" i="9"/>
  <c r="L75" i="9"/>
  <c r="M75" i="9"/>
  <c r="N75" i="9"/>
  <c r="O75" i="9"/>
  <c r="B76" i="9"/>
  <c r="K76" i="9"/>
  <c r="L76" i="9"/>
  <c r="M76" i="9"/>
  <c r="N76" i="9"/>
  <c r="O76" i="9"/>
  <c r="B77" i="9"/>
  <c r="K77" i="9"/>
  <c r="L77" i="9"/>
  <c r="M77" i="9"/>
  <c r="N77" i="9"/>
  <c r="O77" i="9"/>
  <c r="B78" i="9"/>
  <c r="K78" i="9"/>
  <c r="L78" i="9"/>
  <c r="M78" i="9"/>
  <c r="N78" i="9"/>
  <c r="O78" i="9"/>
  <c r="B79" i="9"/>
  <c r="K79" i="9"/>
  <c r="L79" i="9"/>
  <c r="M79" i="9"/>
  <c r="N79" i="9"/>
  <c r="O79" i="9"/>
  <c r="B80" i="9"/>
  <c r="K80" i="9"/>
  <c r="L80" i="9"/>
  <c r="M80" i="9"/>
  <c r="N80" i="9"/>
  <c r="O80" i="9"/>
  <c r="B81" i="9"/>
  <c r="K81" i="9"/>
  <c r="L81" i="9"/>
  <c r="M81" i="9"/>
  <c r="N81" i="9"/>
  <c r="O81" i="9"/>
  <c r="B82" i="9"/>
  <c r="K82" i="9"/>
  <c r="L82" i="9"/>
  <c r="M82" i="9"/>
  <c r="N82" i="9"/>
  <c r="O82" i="9"/>
  <c r="B83" i="9"/>
  <c r="K83" i="9"/>
  <c r="L83" i="9"/>
  <c r="M83" i="9"/>
  <c r="N83" i="9"/>
  <c r="O83" i="9"/>
  <c r="B84" i="9"/>
  <c r="K84" i="9"/>
  <c r="L84" i="9"/>
  <c r="M84" i="9"/>
  <c r="N84" i="9"/>
  <c r="O84" i="9"/>
  <c r="B85" i="9"/>
  <c r="K85" i="9"/>
  <c r="L85" i="9"/>
  <c r="M85" i="9"/>
  <c r="N85" i="9"/>
  <c r="O85" i="9"/>
  <c r="B86" i="9"/>
  <c r="K86" i="9"/>
  <c r="L86" i="9"/>
  <c r="M86" i="9"/>
  <c r="N86" i="9"/>
  <c r="O86" i="9"/>
  <c r="B87" i="9"/>
  <c r="K87" i="9"/>
  <c r="L87" i="9"/>
  <c r="M87" i="9"/>
  <c r="N87" i="9"/>
  <c r="O87" i="9"/>
  <c r="B88" i="9"/>
  <c r="K88" i="9"/>
  <c r="L88" i="9"/>
  <c r="M88" i="9"/>
  <c r="N88" i="9"/>
  <c r="O88" i="9"/>
  <c r="B89" i="9"/>
  <c r="K89" i="9"/>
  <c r="L89" i="9"/>
  <c r="M89" i="9"/>
  <c r="N89" i="9"/>
  <c r="O89" i="9"/>
  <c r="B90" i="9"/>
  <c r="K90" i="9"/>
  <c r="L90" i="9"/>
  <c r="M90" i="9"/>
  <c r="N90" i="9"/>
  <c r="O90" i="9"/>
  <c r="B91" i="9"/>
  <c r="K91" i="9"/>
  <c r="L91" i="9"/>
  <c r="M91" i="9"/>
  <c r="N91" i="9"/>
  <c r="O91" i="9"/>
  <c r="B92" i="9"/>
  <c r="K92" i="9"/>
  <c r="L92" i="9"/>
  <c r="M92" i="9"/>
  <c r="N92" i="9"/>
  <c r="O92" i="9"/>
  <c r="B93" i="9"/>
  <c r="K93" i="9"/>
  <c r="L93" i="9"/>
  <c r="M93" i="9"/>
  <c r="N93" i="9"/>
  <c r="O93" i="9"/>
  <c r="B94" i="9"/>
  <c r="K94" i="9"/>
  <c r="L94" i="9"/>
  <c r="M94" i="9"/>
  <c r="N94" i="9"/>
  <c r="O94" i="9"/>
  <c r="B95" i="9"/>
  <c r="K95" i="9"/>
  <c r="L95" i="9"/>
  <c r="M95" i="9"/>
  <c r="N95" i="9"/>
  <c r="O95" i="9"/>
  <c r="B96" i="9"/>
  <c r="K96" i="9"/>
  <c r="L96" i="9"/>
  <c r="M96" i="9"/>
  <c r="N96" i="9"/>
  <c r="O96" i="9"/>
  <c r="B97" i="9"/>
  <c r="K97" i="9"/>
  <c r="L97" i="9"/>
  <c r="M97" i="9"/>
  <c r="N97" i="9"/>
  <c r="O97" i="9"/>
  <c r="B98" i="9"/>
  <c r="K98" i="9"/>
  <c r="L98" i="9"/>
  <c r="M98" i="9"/>
  <c r="N98" i="9"/>
  <c r="O98" i="9"/>
  <c r="B99" i="9"/>
  <c r="K99" i="9"/>
  <c r="L99" i="9"/>
  <c r="M99" i="9"/>
  <c r="N99" i="9"/>
  <c r="O99" i="9"/>
  <c r="B100" i="9"/>
  <c r="K100" i="9"/>
  <c r="L100" i="9"/>
  <c r="M100" i="9"/>
  <c r="N100" i="9"/>
  <c r="O100" i="9"/>
  <c r="B101" i="9"/>
  <c r="K101" i="9"/>
  <c r="L101" i="9"/>
  <c r="M101" i="9"/>
  <c r="N101" i="9"/>
  <c r="O101" i="9"/>
  <c r="B102" i="9"/>
  <c r="K102" i="9"/>
  <c r="L102" i="9"/>
  <c r="M102" i="9"/>
  <c r="N102" i="9"/>
  <c r="O102" i="9"/>
  <c r="B103" i="9"/>
  <c r="K103" i="9"/>
  <c r="L103" i="9"/>
  <c r="M103" i="9"/>
  <c r="N103" i="9"/>
  <c r="O103" i="9"/>
  <c r="B104" i="9"/>
  <c r="K104" i="9"/>
  <c r="L104" i="9"/>
  <c r="M104" i="9"/>
  <c r="N104" i="9"/>
  <c r="O104" i="9"/>
  <c r="B105" i="9"/>
  <c r="K105" i="9"/>
  <c r="L105" i="9"/>
  <c r="M105" i="9"/>
  <c r="N105" i="9"/>
  <c r="O105" i="9"/>
  <c r="B106" i="9"/>
  <c r="K106" i="9"/>
  <c r="L106" i="9"/>
  <c r="M106" i="9"/>
  <c r="N106" i="9"/>
  <c r="O106" i="9"/>
  <c r="B107" i="9"/>
  <c r="K107" i="9"/>
  <c r="L107" i="9"/>
  <c r="M107" i="9"/>
  <c r="N107" i="9"/>
  <c r="O107" i="9"/>
  <c r="B108" i="9"/>
  <c r="K108" i="9"/>
  <c r="L108" i="9"/>
  <c r="M108" i="9"/>
  <c r="N108" i="9"/>
  <c r="O108" i="9"/>
  <c r="B109" i="9"/>
  <c r="K109" i="9"/>
  <c r="L109" i="9"/>
  <c r="M109" i="9"/>
  <c r="N109" i="9"/>
  <c r="O109" i="9"/>
  <c r="B110" i="9"/>
  <c r="K110" i="9"/>
  <c r="L110" i="9"/>
  <c r="M110" i="9"/>
  <c r="N110" i="9"/>
  <c r="O110" i="9"/>
  <c r="B111" i="9"/>
  <c r="K111" i="9"/>
  <c r="L111" i="9"/>
  <c r="M111" i="9"/>
  <c r="N111" i="9"/>
  <c r="O111" i="9"/>
  <c r="B112" i="9"/>
  <c r="K112" i="9"/>
  <c r="L112" i="9"/>
  <c r="M112" i="9"/>
  <c r="N112" i="9"/>
  <c r="O112" i="9"/>
  <c r="B113" i="9"/>
  <c r="K113" i="9"/>
  <c r="L113" i="9"/>
  <c r="M113" i="9"/>
  <c r="N113" i="9"/>
  <c r="O113" i="9"/>
  <c r="B114" i="9"/>
  <c r="K114" i="9"/>
  <c r="L114" i="9"/>
  <c r="M114" i="9"/>
  <c r="N114" i="9"/>
  <c r="O114" i="9"/>
  <c r="B115" i="9"/>
  <c r="K115" i="9"/>
  <c r="L115" i="9"/>
  <c r="M115" i="9"/>
  <c r="N115" i="9"/>
  <c r="O115" i="9"/>
  <c r="B116" i="9"/>
  <c r="K116" i="9"/>
  <c r="L116" i="9"/>
  <c r="M116" i="9"/>
  <c r="N116" i="9"/>
  <c r="O116" i="9"/>
  <c r="B117" i="9"/>
  <c r="K117" i="9"/>
  <c r="L117" i="9"/>
  <c r="M117" i="9"/>
  <c r="N117" i="9"/>
  <c r="O117" i="9"/>
  <c r="B118" i="9"/>
  <c r="K118" i="9"/>
  <c r="L118" i="9"/>
  <c r="M118" i="9"/>
  <c r="N118" i="9"/>
  <c r="O118" i="9"/>
  <c r="B119" i="9"/>
  <c r="K119" i="9"/>
  <c r="L119" i="9"/>
  <c r="M119" i="9"/>
  <c r="N119" i="9"/>
  <c r="O119" i="9"/>
  <c r="B120" i="9"/>
  <c r="K120" i="9"/>
  <c r="L120" i="9"/>
  <c r="M120" i="9"/>
  <c r="N120" i="9"/>
  <c r="O120" i="9"/>
  <c r="B121" i="9"/>
  <c r="K121" i="9"/>
  <c r="L121" i="9"/>
  <c r="M121" i="9"/>
  <c r="N121" i="9"/>
  <c r="O121" i="9"/>
  <c r="B122" i="9"/>
  <c r="K122" i="9"/>
  <c r="L122" i="9"/>
  <c r="M122" i="9"/>
  <c r="N122" i="9"/>
  <c r="O122" i="9"/>
  <c r="B123" i="9"/>
  <c r="K123" i="9"/>
  <c r="L123" i="9"/>
  <c r="M123" i="9"/>
  <c r="N123" i="9"/>
  <c r="O123" i="9"/>
  <c r="B124" i="9"/>
  <c r="K124" i="9"/>
  <c r="L124" i="9"/>
  <c r="M124" i="9"/>
  <c r="N124" i="9"/>
  <c r="O124" i="9"/>
  <c r="B125" i="9"/>
  <c r="K125" i="9"/>
  <c r="L125" i="9"/>
  <c r="M125" i="9"/>
  <c r="N125" i="9"/>
  <c r="O125" i="9"/>
  <c r="B126" i="9"/>
  <c r="K126" i="9"/>
  <c r="L126" i="9"/>
  <c r="M126" i="9"/>
  <c r="N126" i="9"/>
  <c r="O126" i="9"/>
  <c r="B127" i="9"/>
  <c r="K127" i="9"/>
  <c r="L127" i="9"/>
  <c r="M127" i="9"/>
  <c r="N127" i="9"/>
  <c r="O127" i="9"/>
  <c r="B128" i="9"/>
  <c r="K128" i="9"/>
  <c r="L128" i="9"/>
  <c r="M128" i="9"/>
  <c r="N128" i="9"/>
  <c r="O128" i="9"/>
  <c r="B129" i="9"/>
  <c r="K129" i="9"/>
  <c r="L129" i="9"/>
  <c r="M129" i="9"/>
  <c r="N129" i="9"/>
  <c r="O129" i="9"/>
  <c r="B130" i="9"/>
  <c r="K130" i="9"/>
  <c r="L130" i="9"/>
  <c r="M130" i="9"/>
  <c r="N130" i="9"/>
  <c r="O130" i="9"/>
  <c r="B131" i="9"/>
  <c r="K131" i="9"/>
  <c r="L131" i="9"/>
  <c r="M131" i="9"/>
  <c r="N131" i="9"/>
  <c r="O131" i="9"/>
  <c r="B132" i="9"/>
  <c r="K132" i="9"/>
  <c r="L132" i="9"/>
  <c r="M132" i="9"/>
  <c r="N132" i="9"/>
  <c r="O132" i="9"/>
  <c r="B133" i="9"/>
  <c r="K133" i="9"/>
  <c r="L133" i="9"/>
  <c r="M133" i="9"/>
  <c r="N133" i="9"/>
  <c r="O133" i="9"/>
  <c r="B134" i="9"/>
  <c r="K134" i="9"/>
  <c r="L134" i="9"/>
  <c r="M134" i="9"/>
  <c r="N134" i="9"/>
  <c r="O134" i="9"/>
  <c r="B135" i="9"/>
  <c r="K135" i="9"/>
  <c r="L135" i="9"/>
  <c r="M135" i="9"/>
  <c r="N135" i="9"/>
  <c r="O135" i="9"/>
  <c r="B136" i="9"/>
  <c r="K136" i="9"/>
  <c r="L136" i="9"/>
  <c r="M136" i="9"/>
  <c r="N136" i="9"/>
  <c r="O136" i="9"/>
  <c r="B137" i="9"/>
  <c r="K137" i="9"/>
  <c r="L137" i="9"/>
  <c r="M137" i="9"/>
  <c r="N137" i="9"/>
  <c r="O137" i="9"/>
  <c r="B138" i="9"/>
  <c r="K138" i="9"/>
  <c r="L138" i="9"/>
  <c r="M138" i="9"/>
  <c r="N138" i="9"/>
  <c r="O138" i="9"/>
  <c r="B139" i="9"/>
  <c r="K139" i="9"/>
  <c r="L139" i="9"/>
  <c r="M139" i="9"/>
  <c r="N139" i="9"/>
  <c r="O139" i="9"/>
  <c r="B140" i="9"/>
  <c r="K140" i="9"/>
  <c r="L140" i="9"/>
  <c r="M140" i="9"/>
  <c r="N140" i="9"/>
  <c r="O140" i="9"/>
  <c r="B141" i="9"/>
  <c r="K141" i="9"/>
  <c r="L141" i="9"/>
  <c r="M141" i="9"/>
  <c r="N141" i="9"/>
  <c r="O141" i="9"/>
  <c r="B142" i="9"/>
  <c r="K142" i="9"/>
  <c r="L142" i="9"/>
  <c r="M142" i="9"/>
  <c r="N142" i="9"/>
  <c r="O142" i="9"/>
  <c r="B25" i="8"/>
  <c r="K25" i="8"/>
  <c r="L25" i="8"/>
  <c r="M25" i="8"/>
  <c r="N25" i="8"/>
  <c r="O25" i="8"/>
  <c r="B26" i="8"/>
  <c r="K26" i="8"/>
  <c r="L26" i="8"/>
  <c r="M26" i="8"/>
  <c r="N26" i="8"/>
  <c r="O26" i="8"/>
  <c r="B27" i="8"/>
  <c r="K27" i="8"/>
  <c r="L27" i="8"/>
  <c r="M27" i="8"/>
  <c r="N27" i="8"/>
  <c r="O27" i="8"/>
  <c r="B28" i="8"/>
  <c r="K28" i="8"/>
  <c r="L28" i="8"/>
  <c r="M28" i="8"/>
  <c r="N28" i="8"/>
  <c r="O28" i="8"/>
  <c r="B29" i="8"/>
  <c r="K29" i="8"/>
  <c r="L29" i="8"/>
  <c r="M29" i="8"/>
  <c r="N29" i="8"/>
  <c r="O29" i="8"/>
  <c r="B30" i="8"/>
  <c r="K30" i="8"/>
  <c r="L30" i="8"/>
  <c r="M30" i="8"/>
  <c r="N30" i="8"/>
  <c r="O30" i="8"/>
  <c r="B31" i="8"/>
  <c r="K31" i="8"/>
  <c r="L31" i="8"/>
  <c r="M31" i="8"/>
  <c r="N31" i="8"/>
  <c r="O31" i="8"/>
  <c r="B32" i="8"/>
  <c r="K32" i="8"/>
  <c r="L32" i="8"/>
  <c r="M32" i="8"/>
  <c r="N32" i="8"/>
  <c r="O32" i="8"/>
  <c r="B33" i="8"/>
  <c r="K33" i="8"/>
  <c r="L33" i="8"/>
  <c r="M33" i="8"/>
  <c r="N33" i="8"/>
  <c r="O33" i="8"/>
  <c r="B34" i="8"/>
  <c r="K34" i="8"/>
  <c r="L34" i="8"/>
  <c r="M34" i="8"/>
  <c r="N34" i="8"/>
  <c r="O34" i="8"/>
  <c r="B35" i="8"/>
  <c r="K35" i="8"/>
  <c r="L35" i="8"/>
  <c r="M35" i="8"/>
  <c r="N35" i="8"/>
  <c r="O35" i="8"/>
  <c r="B36" i="8"/>
  <c r="K36" i="8"/>
  <c r="L36" i="8"/>
  <c r="M36" i="8"/>
  <c r="N36" i="8"/>
  <c r="O36" i="8"/>
  <c r="B37" i="8"/>
  <c r="K37" i="8"/>
  <c r="L37" i="8"/>
  <c r="M37" i="8"/>
  <c r="N37" i="8"/>
  <c r="O37" i="8"/>
  <c r="B38" i="8"/>
  <c r="K38" i="8"/>
  <c r="L38" i="8"/>
  <c r="M38" i="8"/>
  <c r="N38" i="8"/>
  <c r="O38" i="8"/>
  <c r="B39" i="8"/>
  <c r="K39" i="8"/>
  <c r="L39" i="8"/>
  <c r="M39" i="8"/>
  <c r="N39" i="8"/>
  <c r="O39" i="8"/>
  <c r="B40" i="8"/>
  <c r="K40" i="8"/>
  <c r="L40" i="8"/>
  <c r="M40" i="8"/>
  <c r="N40" i="8"/>
  <c r="O40" i="8"/>
  <c r="B41" i="8"/>
  <c r="K41" i="8"/>
  <c r="L41" i="8"/>
  <c r="M41" i="8"/>
  <c r="N41" i="8"/>
  <c r="O41" i="8"/>
  <c r="B42" i="8"/>
  <c r="K42" i="8"/>
  <c r="L42" i="8"/>
  <c r="M42" i="8"/>
  <c r="N42" i="8"/>
  <c r="O42" i="8"/>
  <c r="B43" i="8"/>
  <c r="K43" i="8"/>
  <c r="L43" i="8"/>
  <c r="M43" i="8"/>
  <c r="N43" i="8"/>
  <c r="O43" i="8"/>
  <c r="B44" i="8"/>
  <c r="K44" i="8"/>
  <c r="L44" i="8"/>
  <c r="M44" i="8"/>
  <c r="N44" i="8"/>
  <c r="O44" i="8"/>
  <c r="B45" i="8"/>
  <c r="K45" i="8"/>
  <c r="L45" i="8"/>
  <c r="M45" i="8"/>
  <c r="N45" i="8"/>
  <c r="O45" i="8"/>
  <c r="B46" i="8"/>
  <c r="K46" i="8"/>
  <c r="L46" i="8"/>
  <c r="M46" i="8"/>
  <c r="N46" i="8"/>
  <c r="O46" i="8"/>
  <c r="B47" i="8"/>
  <c r="K47" i="8"/>
  <c r="L47" i="8"/>
  <c r="M47" i="8"/>
  <c r="N47" i="8"/>
  <c r="O47" i="8"/>
  <c r="B48" i="8"/>
  <c r="K48" i="8"/>
  <c r="L48" i="8"/>
  <c r="M48" i="8"/>
  <c r="N48" i="8"/>
  <c r="O48" i="8"/>
  <c r="B49" i="8"/>
  <c r="K49" i="8"/>
  <c r="L49" i="8"/>
  <c r="M49" i="8"/>
  <c r="N49" i="8"/>
  <c r="O49" i="8"/>
  <c r="B50" i="8"/>
  <c r="K50" i="8"/>
  <c r="L50" i="8"/>
  <c r="M50" i="8"/>
  <c r="N50" i="8"/>
  <c r="O50" i="8"/>
  <c r="B51" i="8"/>
  <c r="K51" i="8"/>
  <c r="L51" i="8"/>
  <c r="M51" i="8"/>
  <c r="N51" i="8"/>
  <c r="O51" i="8"/>
  <c r="B52" i="8"/>
  <c r="K52" i="8"/>
  <c r="L52" i="8"/>
  <c r="M52" i="8"/>
  <c r="N52" i="8"/>
  <c r="O52" i="8"/>
  <c r="B53" i="8"/>
  <c r="K53" i="8"/>
  <c r="L53" i="8"/>
  <c r="M53" i="8"/>
  <c r="N53" i="8"/>
  <c r="O53" i="8"/>
  <c r="B54" i="8"/>
  <c r="K54" i="8"/>
  <c r="L54" i="8"/>
  <c r="M54" i="8"/>
  <c r="N54" i="8"/>
  <c r="O54" i="8"/>
  <c r="B55" i="8"/>
  <c r="K55" i="8"/>
  <c r="L55" i="8"/>
  <c r="M55" i="8"/>
  <c r="N55" i="8"/>
  <c r="O55" i="8"/>
  <c r="B56" i="8"/>
  <c r="K56" i="8"/>
  <c r="L56" i="8"/>
  <c r="M56" i="8"/>
  <c r="N56" i="8"/>
  <c r="O56" i="8"/>
  <c r="B57" i="8"/>
  <c r="K57" i="8"/>
  <c r="L57" i="8"/>
  <c r="M57" i="8"/>
  <c r="N57" i="8"/>
  <c r="O57" i="8"/>
  <c r="B58" i="8"/>
  <c r="K58" i="8"/>
  <c r="L58" i="8"/>
  <c r="M58" i="8"/>
  <c r="N58" i="8"/>
  <c r="O58" i="8"/>
  <c r="B59" i="8"/>
  <c r="K59" i="8"/>
  <c r="L59" i="8"/>
  <c r="M59" i="8"/>
  <c r="N59" i="8"/>
  <c r="O59" i="8"/>
  <c r="B60" i="8"/>
  <c r="K60" i="8"/>
  <c r="L60" i="8"/>
  <c r="M60" i="8"/>
  <c r="N60" i="8"/>
  <c r="O60" i="8"/>
  <c r="B61" i="8"/>
  <c r="K61" i="8"/>
  <c r="L61" i="8"/>
  <c r="M61" i="8"/>
  <c r="N61" i="8"/>
  <c r="O61" i="8"/>
  <c r="B62" i="8"/>
  <c r="K62" i="8"/>
  <c r="L62" i="8"/>
  <c r="M62" i="8"/>
  <c r="N62" i="8"/>
  <c r="O62" i="8"/>
  <c r="B63" i="8"/>
  <c r="K63" i="8"/>
  <c r="L63" i="8"/>
  <c r="M63" i="8"/>
  <c r="N63" i="8"/>
  <c r="O63" i="8"/>
  <c r="B64" i="8"/>
  <c r="K64" i="8"/>
  <c r="L64" i="8"/>
  <c r="M64" i="8"/>
  <c r="N64" i="8"/>
  <c r="O64" i="8"/>
  <c r="B65" i="8"/>
  <c r="K65" i="8"/>
  <c r="L65" i="8"/>
  <c r="M65" i="8"/>
  <c r="N65" i="8"/>
  <c r="O65" i="8"/>
  <c r="B66" i="8"/>
  <c r="K66" i="8"/>
  <c r="L66" i="8"/>
  <c r="M66" i="8"/>
  <c r="N66" i="8"/>
  <c r="O66" i="8"/>
  <c r="B67" i="8"/>
  <c r="K67" i="8"/>
  <c r="L67" i="8"/>
  <c r="M67" i="8"/>
  <c r="N67" i="8"/>
  <c r="O67" i="8"/>
  <c r="B68" i="8"/>
  <c r="K68" i="8"/>
  <c r="L68" i="8"/>
  <c r="M68" i="8"/>
  <c r="N68" i="8"/>
  <c r="O68" i="8"/>
  <c r="B69" i="8"/>
  <c r="K69" i="8"/>
  <c r="L69" i="8"/>
  <c r="M69" i="8"/>
  <c r="N69" i="8"/>
  <c r="O69" i="8"/>
  <c r="B70" i="8"/>
  <c r="K70" i="8"/>
  <c r="L70" i="8"/>
  <c r="M70" i="8"/>
  <c r="N70" i="8"/>
  <c r="O70" i="8"/>
  <c r="B71" i="8"/>
  <c r="K71" i="8"/>
  <c r="L71" i="8"/>
  <c r="M71" i="8"/>
  <c r="N71" i="8"/>
  <c r="O71" i="8"/>
  <c r="B72" i="8"/>
  <c r="K72" i="8"/>
  <c r="L72" i="8"/>
  <c r="M72" i="8"/>
  <c r="N72" i="8"/>
  <c r="O72" i="8"/>
  <c r="B73" i="8"/>
  <c r="K73" i="8"/>
  <c r="L73" i="8"/>
  <c r="M73" i="8"/>
  <c r="N73" i="8"/>
  <c r="O73" i="8"/>
  <c r="B74" i="8"/>
  <c r="K74" i="8"/>
  <c r="L74" i="8"/>
  <c r="M74" i="8"/>
  <c r="N74" i="8"/>
  <c r="O74" i="8"/>
  <c r="B75" i="8"/>
  <c r="K75" i="8"/>
  <c r="L75" i="8"/>
  <c r="M75" i="8"/>
  <c r="N75" i="8"/>
  <c r="O75" i="8"/>
  <c r="B76" i="8"/>
  <c r="K76" i="8"/>
  <c r="L76" i="8"/>
  <c r="M76" i="8"/>
  <c r="N76" i="8"/>
  <c r="O76" i="8"/>
  <c r="B77" i="8"/>
  <c r="K77" i="8"/>
  <c r="L77" i="8"/>
  <c r="M77" i="8"/>
  <c r="N77" i="8"/>
  <c r="O77" i="8"/>
  <c r="B78" i="8"/>
  <c r="K78" i="8"/>
  <c r="L78" i="8"/>
  <c r="M78" i="8"/>
  <c r="N78" i="8"/>
  <c r="O78" i="8"/>
  <c r="B79" i="8"/>
  <c r="K79" i="8"/>
  <c r="L79" i="8"/>
  <c r="M79" i="8"/>
  <c r="N79" i="8"/>
  <c r="O79" i="8"/>
  <c r="B80" i="8"/>
  <c r="K80" i="8"/>
  <c r="L80" i="8"/>
  <c r="M80" i="8"/>
  <c r="N80" i="8"/>
  <c r="O80" i="8"/>
  <c r="B81" i="8"/>
  <c r="K81" i="8"/>
  <c r="L81" i="8"/>
  <c r="M81" i="8"/>
  <c r="N81" i="8"/>
  <c r="O81" i="8"/>
  <c r="B82" i="8"/>
  <c r="K82" i="8"/>
  <c r="L82" i="8"/>
  <c r="M82" i="8"/>
  <c r="N82" i="8"/>
  <c r="O82" i="8"/>
  <c r="B83" i="8"/>
  <c r="K83" i="8"/>
  <c r="L83" i="8"/>
  <c r="M83" i="8"/>
  <c r="N83" i="8"/>
  <c r="O83" i="8"/>
  <c r="B84" i="8"/>
  <c r="K84" i="8"/>
  <c r="L84" i="8"/>
  <c r="M84" i="8"/>
  <c r="N84" i="8"/>
  <c r="O84" i="8"/>
  <c r="B85" i="8"/>
  <c r="K85" i="8"/>
  <c r="L85" i="8"/>
  <c r="M85" i="8"/>
  <c r="N85" i="8"/>
  <c r="O85" i="8"/>
  <c r="B86" i="8"/>
  <c r="K86" i="8"/>
  <c r="L86" i="8"/>
  <c r="M86" i="8"/>
  <c r="N86" i="8"/>
  <c r="O86" i="8"/>
  <c r="B87" i="8"/>
  <c r="K87" i="8"/>
  <c r="L87" i="8"/>
  <c r="M87" i="8"/>
  <c r="N87" i="8"/>
  <c r="O87" i="8"/>
  <c r="B88" i="8"/>
  <c r="K88" i="8"/>
  <c r="L88" i="8"/>
  <c r="M88" i="8"/>
  <c r="N88" i="8"/>
  <c r="O88" i="8"/>
  <c r="B89" i="8"/>
  <c r="K89" i="8"/>
  <c r="L89" i="8"/>
  <c r="M89" i="8"/>
  <c r="N89" i="8"/>
  <c r="O89" i="8"/>
  <c r="B90" i="8"/>
  <c r="K90" i="8"/>
  <c r="L90" i="8"/>
  <c r="M90" i="8"/>
  <c r="N90" i="8"/>
  <c r="O90" i="8"/>
  <c r="B91" i="8"/>
  <c r="K91" i="8"/>
  <c r="L91" i="8"/>
  <c r="M91" i="8"/>
  <c r="N91" i="8"/>
  <c r="O91" i="8"/>
  <c r="B92" i="8"/>
  <c r="K92" i="8"/>
  <c r="L92" i="8"/>
  <c r="M92" i="8"/>
  <c r="N92" i="8"/>
  <c r="O92" i="8"/>
  <c r="B93" i="8"/>
  <c r="K93" i="8"/>
  <c r="L93" i="8"/>
  <c r="M93" i="8"/>
  <c r="N93" i="8"/>
  <c r="O93" i="8"/>
  <c r="B94" i="8"/>
  <c r="K94" i="8"/>
  <c r="L94" i="8"/>
  <c r="M94" i="8"/>
  <c r="N94" i="8"/>
  <c r="O94" i="8"/>
  <c r="B95" i="8"/>
  <c r="K95" i="8"/>
  <c r="L95" i="8"/>
  <c r="M95" i="8"/>
  <c r="N95" i="8"/>
  <c r="O95" i="8"/>
  <c r="B96" i="8"/>
  <c r="K96" i="8"/>
  <c r="L96" i="8"/>
  <c r="M96" i="8"/>
  <c r="N96" i="8"/>
  <c r="O96" i="8"/>
  <c r="B97" i="8"/>
  <c r="K97" i="8"/>
  <c r="L97" i="8"/>
  <c r="M97" i="8"/>
  <c r="N97" i="8"/>
  <c r="O97" i="8"/>
  <c r="B98" i="8"/>
  <c r="K98" i="8"/>
  <c r="L98" i="8"/>
  <c r="M98" i="8"/>
  <c r="N98" i="8"/>
  <c r="O98" i="8"/>
  <c r="B99" i="8"/>
  <c r="K99" i="8"/>
  <c r="L99" i="8"/>
  <c r="M99" i="8"/>
  <c r="N99" i="8"/>
  <c r="O99" i="8"/>
  <c r="B100" i="8"/>
  <c r="K100" i="8"/>
  <c r="L100" i="8"/>
  <c r="M100" i="8"/>
  <c r="N100" i="8"/>
  <c r="O100" i="8"/>
  <c r="B101" i="8"/>
  <c r="K101" i="8"/>
  <c r="L101" i="8"/>
  <c r="M101" i="8"/>
  <c r="N101" i="8"/>
  <c r="O101" i="8"/>
  <c r="B102" i="8"/>
  <c r="K102" i="8"/>
  <c r="L102" i="8"/>
  <c r="M102" i="8"/>
  <c r="N102" i="8"/>
  <c r="O102" i="8"/>
  <c r="B103" i="8"/>
  <c r="K103" i="8"/>
  <c r="L103" i="8"/>
  <c r="M103" i="8"/>
  <c r="N103" i="8"/>
  <c r="O103" i="8"/>
  <c r="B104" i="8"/>
  <c r="K104" i="8"/>
  <c r="L104" i="8"/>
  <c r="M104" i="8"/>
  <c r="N104" i="8"/>
  <c r="O104" i="8"/>
  <c r="B105" i="8"/>
  <c r="K105" i="8"/>
  <c r="L105" i="8"/>
  <c r="M105" i="8"/>
  <c r="N105" i="8"/>
  <c r="O105" i="8"/>
  <c r="B106" i="8"/>
  <c r="K106" i="8"/>
  <c r="L106" i="8"/>
  <c r="M106" i="8"/>
  <c r="N106" i="8"/>
  <c r="O106" i="8"/>
  <c r="B107" i="8"/>
  <c r="K107" i="8"/>
  <c r="L107" i="8"/>
  <c r="M107" i="8"/>
  <c r="N107" i="8"/>
  <c r="O107" i="8"/>
  <c r="B108" i="8"/>
  <c r="K108" i="8"/>
  <c r="L108" i="8"/>
  <c r="M108" i="8"/>
  <c r="N108" i="8"/>
  <c r="O108" i="8"/>
  <c r="B109" i="8"/>
  <c r="K109" i="8"/>
  <c r="L109" i="8"/>
  <c r="M109" i="8"/>
  <c r="N109" i="8"/>
  <c r="O109" i="8"/>
  <c r="B110" i="8"/>
  <c r="K110" i="8"/>
  <c r="L110" i="8"/>
  <c r="M110" i="8"/>
  <c r="N110" i="8"/>
  <c r="O110" i="8"/>
  <c r="B111" i="8"/>
  <c r="K111" i="8"/>
  <c r="L111" i="8"/>
  <c r="M111" i="8"/>
  <c r="N111" i="8"/>
  <c r="O111" i="8"/>
  <c r="B112" i="8"/>
  <c r="K112" i="8"/>
  <c r="L112" i="8"/>
  <c r="M112" i="8"/>
  <c r="N112" i="8"/>
  <c r="O112" i="8"/>
  <c r="B113" i="8"/>
  <c r="K113" i="8"/>
  <c r="L113" i="8"/>
  <c r="M113" i="8"/>
  <c r="N113" i="8"/>
  <c r="O113" i="8"/>
  <c r="B114" i="8"/>
  <c r="K114" i="8"/>
  <c r="L114" i="8"/>
  <c r="M114" i="8"/>
  <c r="N114" i="8"/>
  <c r="O114" i="8"/>
  <c r="B115" i="8"/>
  <c r="K115" i="8"/>
  <c r="L115" i="8"/>
  <c r="M115" i="8"/>
  <c r="N115" i="8"/>
  <c r="O115" i="8"/>
  <c r="B116" i="8"/>
  <c r="K116" i="8"/>
  <c r="L116" i="8"/>
  <c r="M116" i="8"/>
  <c r="N116" i="8"/>
  <c r="O116" i="8"/>
  <c r="B117" i="8"/>
  <c r="K117" i="8"/>
  <c r="L117" i="8"/>
  <c r="M117" i="8"/>
  <c r="N117" i="8"/>
  <c r="O117" i="8"/>
  <c r="B118" i="8"/>
  <c r="K118" i="8"/>
  <c r="L118" i="8"/>
  <c r="M118" i="8"/>
  <c r="N118" i="8"/>
  <c r="O118" i="8"/>
  <c r="B119" i="8"/>
  <c r="K119" i="8"/>
  <c r="L119" i="8"/>
  <c r="M119" i="8"/>
  <c r="N119" i="8"/>
  <c r="O119" i="8"/>
  <c r="B120" i="8"/>
  <c r="K120" i="8"/>
  <c r="L120" i="8"/>
  <c r="M120" i="8"/>
  <c r="N120" i="8"/>
  <c r="O120" i="8"/>
  <c r="B121" i="8"/>
  <c r="K121" i="8"/>
  <c r="L121" i="8"/>
  <c r="M121" i="8"/>
  <c r="N121" i="8"/>
  <c r="O121" i="8"/>
  <c r="B122" i="8"/>
  <c r="K122" i="8"/>
  <c r="L122" i="8"/>
  <c r="M122" i="8"/>
  <c r="N122" i="8"/>
  <c r="O122" i="8"/>
  <c r="B123" i="8"/>
  <c r="K123" i="8"/>
  <c r="L123" i="8"/>
  <c r="M123" i="8"/>
  <c r="N123" i="8"/>
  <c r="O123" i="8"/>
  <c r="B124" i="8"/>
  <c r="K124" i="8"/>
  <c r="L124" i="8"/>
  <c r="M124" i="8"/>
  <c r="N124" i="8"/>
  <c r="O124" i="8"/>
  <c r="B125" i="8"/>
  <c r="K125" i="8"/>
  <c r="L125" i="8"/>
  <c r="M125" i="8"/>
  <c r="N125" i="8"/>
  <c r="O125" i="8"/>
  <c r="B126" i="8"/>
  <c r="K126" i="8"/>
  <c r="L126" i="8"/>
  <c r="M126" i="8"/>
  <c r="N126" i="8"/>
  <c r="O126" i="8"/>
  <c r="B127" i="8"/>
  <c r="K127" i="8"/>
  <c r="L127" i="8"/>
  <c r="M127" i="8"/>
  <c r="N127" i="8"/>
  <c r="O127" i="8"/>
  <c r="B128" i="8"/>
  <c r="K128" i="8"/>
  <c r="L128" i="8"/>
  <c r="M128" i="8"/>
  <c r="N128" i="8"/>
  <c r="O128" i="8"/>
  <c r="B129" i="8"/>
  <c r="K129" i="8"/>
  <c r="L129" i="8"/>
  <c r="M129" i="8"/>
  <c r="N129" i="8"/>
  <c r="O129" i="8"/>
  <c r="B130" i="8"/>
  <c r="K130" i="8"/>
  <c r="L130" i="8"/>
  <c r="M130" i="8"/>
  <c r="N130" i="8"/>
  <c r="O130" i="8"/>
  <c r="B131" i="8"/>
  <c r="K131" i="8"/>
  <c r="L131" i="8"/>
  <c r="M131" i="8"/>
  <c r="N131" i="8"/>
  <c r="O131" i="8"/>
  <c r="B132" i="8"/>
  <c r="K132" i="8"/>
  <c r="L132" i="8"/>
  <c r="M132" i="8"/>
  <c r="N132" i="8"/>
  <c r="O132" i="8"/>
  <c r="B133" i="8"/>
  <c r="K133" i="8"/>
  <c r="L133" i="8"/>
  <c r="M133" i="8"/>
  <c r="N133" i="8"/>
  <c r="O133" i="8"/>
  <c r="B134" i="8"/>
  <c r="K134" i="8"/>
  <c r="L134" i="8"/>
  <c r="M134" i="8"/>
  <c r="N134" i="8"/>
  <c r="O134" i="8"/>
  <c r="B135" i="8"/>
  <c r="K135" i="8"/>
  <c r="L135" i="8"/>
  <c r="M135" i="8"/>
  <c r="N135" i="8"/>
  <c r="O135" i="8"/>
  <c r="B136" i="8"/>
  <c r="K136" i="8"/>
  <c r="L136" i="8"/>
  <c r="M136" i="8"/>
  <c r="N136" i="8"/>
  <c r="O136" i="8"/>
  <c r="B137" i="8"/>
  <c r="K137" i="8"/>
  <c r="L137" i="8"/>
  <c r="M137" i="8"/>
  <c r="N137" i="8"/>
  <c r="O137" i="8"/>
  <c r="B138" i="8"/>
  <c r="K138" i="8"/>
  <c r="L138" i="8"/>
  <c r="M138" i="8"/>
  <c r="N138" i="8"/>
  <c r="O138" i="8"/>
  <c r="B139" i="8"/>
  <c r="K139" i="8"/>
  <c r="L139" i="8"/>
  <c r="M139" i="8"/>
  <c r="N139" i="8"/>
  <c r="O139" i="8"/>
  <c r="B140" i="8"/>
  <c r="K140" i="8"/>
  <c r="L140" i="8"/>
  <c r="M140" i="8"/>
  <c r="N140" i="8"/>
  <c r="O140" i="8"/>
  <c r="B141" i="8"/>
  <c r="K141" i="8"/>
  <c r="L141" i="8"/>
  <c r="M141" i="8"/>
  <c r="N141" i="8"/>
  <c r="O141" i="8"/>
  <c r="B142" i="8"/>
  <c r="K142" i="8"/>
  <c r="L142" i="8"/>
  <c r="M142" i="8"/>
  <c r="N142" i="8"/>
  <c r="O142" i="8"/>
  <c r="B143" i="8"/>
  <c r="K143" i="8"/>
  <c r="L143" i="8"/>
  <c r="M143" i="8"/>
  <c r="N143" i="8"/>
  <c r="O143" i="8"/>
  <c r="B144" i="8"/>
  <c r="K144" i="8"/>
  <c r="L144" i="8"/>
  <c r="M144" i="8"/>
  <c r="N144" i="8"/>
  <c r="O144" i="8"/>
  <c r="B145" i="8"/>
  <c r="K145" i="8"/>
  <c r="L145" i="8"/>
  <c r="M145" i="8"/>
  <c r="N145" i="8"/>
  <c r="O145" i="8"/>
  <c r="B146" i="8"/>
  <c r="K146" i="8"/>
  <c r="L146" i="8"/>
  <c r="M146" i="8"/>
  <c r="N146" i="8"/>
  <c r="O146" i="8"/>
  <c r="B147" i="8"/>
  <c r="K147" i="8"/>
  <c r="L147" i="8"/>
  <c r="M147" i="8"/>
  <c r="N147" i="8"/>
  <c r="O147" i="8"/>
  <c r="B148" i="8"/>
  <c r="K148" i="8"/>
  <c r="L148" i="8"/>
  <c r="M148" i="8"/>
  <c r="N148" i="8"/>
  <c r="O148" i="8"/>
  <c r="B149" i="8"/>
  <c r="K149" i="8"/>
  <c r="L149" i="8"/>
  <c r="M149" i="8"/>
  <c r="N149" i="8"/>
  <c r="O149" i="8"/>
  <c r="B150" i="8"/>
  <c r="K150" i="8"/>
  <c r="L150" i="8"/>
  <c r="M150" i="8"/>
  <c r="N150" i="8"/>
  <c r="O150" i="8"/>
  <c r="B151" i="8"/>
  <c r="K151" i="8"/>
  <c r="L151" i="8"/>
  <c r="M151" i="8"/>
  <c r="N151" i="8"/>
  <c r="O151" i="8"/>
  <c r="B152" i="8"/>
  <c r="K152" i="8"/>
  <c r="L152" i="8"/>
  <c r="M152" i="8"/>
  <c r="N152" i="8"/>
  <c r="O152" i="8"/>
  <c r="B153" i="8"/>
  <c r="K153" i="8"/>
  <c r="L153" i="8"/>
  <c r="M153" i="8"/>
  <c r="N153" i="8"/>
  <c r="O153" i="8"/>
  <c r="B154" i="8"/>
  <c r="K154" i="8"/>
  <c r="L154" i="8"/>
  <c r="M154" i="8"/>
  <c r="N154" i="8"/>
  <c r="O154" i="8"/>
  <c r="B155" i="8"/>
  <c r="K155" i="8"/>
  <c r="L155" i="8"/>
  <c r="M155" i="8"/>
  <c r="N155" i="8"/>
  <c r="O155" i="8"/>
  <c r="B156" i="8"/>
  <c r="K156" i="8"/>
  <c r="L156" i="8"/>
  <c r="M156" i="8"/>
  <c r="N156" i="8"/>
  <c r="O156" i="8"/>
  <c r="B157" i="8"/>
  <c r="K157" i="8"/>
  <c r="L157" i="8"/>
  <c r="M157" i="8"/>
  <c r="N157" i="8"/>
  <c r="O157" i="8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B28" i="2"/>
  <c r="K28" i="2"/>
  <c r="S28" i="2"/>
  <c r="T28" i="2"/>
  <c r="U28" i="2"/>
  <c r="V28" i="2"/>
  <c r="W28" i="2"/>
  <c r="B29" i="2"/>
  <c r="K29" i="2"/>
  <c r="W29" i="2"/>
  <c r="S29" i="2"/>
  <c r="T29" i="2"/>
  <c r="U29" i="2"/>
  <c r="V29" i="2"/>
  <c r="B30" i="2"/>
  <c r="K30" i="2"/>
  <c r="L30" i="2"/>
  <c r="M30" i="2"/>
  <c r="N30" i="2"/>
  <c r="O30" i="2"/>
  <c r="S30" i="2"/>
  <c r="T30" i="2"/>
  <c r="U30" i="2"/>
  <c r="V30" i="2"/>
  <c r="W30" i="2"/>
  <c r="B31" i="2"/>
  <c r="K31" i="2"/>
  <c r="L31" i="2"/>
  <c r="M31" i="2"/>
  <c r="W31" i="2" s="1"/>
  <c r="N31" i="2"/>
  <c r="O31" i="2"/>
  <c r="S31" i="2"/>
  <c r="T31" i="2"/>
  <c r="U31" i="2"/>
  <c r="V31" i="2"/>
  <c r="B32" i="2"/>
  <c r="K32" i="2"/>
  <c r="L32" i="2"/>
  <c r="M32" i="2"/>
  <c r="N32" i="2"/>
  <c r="O32" i="2"/>
  <c r="S32" i="2"/>
  <c r="T32" i="2"/>
  <c r="U32" i="2"/>
  <c r="V32" i="2"/>
  <c r="W32" i="2"/>
  <c r="B33" i="2"/>
  <c r="K33" i="2"/>
  <c r="L33" i="2"/>
  <c r="M33" i="2"/>
  <c r="O33" i="2" s="1"/>
  <c r="N33" i="2"/>
  <c r="S33" i="2"/>
  <c r="T33" i="2"/>
  <c r="U33" i="2"/>
  <c r="V33" i="2"/>
  <c r="W33" i="2"/>
  <c r="B34" i="2"/>
  <c r="K34" i="2"/>
  <c r="L34" i="2"/>
  <c r="M34" i="2"/>
  <c r="W34" i="2" s="1"/>
  <c r="N34" i="2"/>
  <c r="O34" i="2"/>
  <c r="T34" i="2"/>
  <c r="U34" i="2"/>
  <c r="V34" i="2"/>
  <c r="B35" i="2"/>
  <c r="K35" i="2"/>
  <c r="L35" i="2"/>
  <c r="M35" i="2"/>
  <c r="N35" i="2"/>
  <c r="O35" i="2"/>
  <c r="T35" i="2"/>
  <c r="U35" i="2"/>
  <c r="V35" i="2"/>
  <c r="W35" i="2"/>
  <c r="B36" i="2"/>
  <c r="K36" i="2"/>
  <c r="L36" i="2"/>
  <c r="M36" i="2"/>
  <c r="W36" i="2" s="1"/>
  <c r="N36" i="2"/>
  <c r="O36" i="2"/>
  <c r="T36" i="2"/>
  <c r="U36" i="2"/>
  <c r="V36" i="2"/>
  <c r="B37" i="2"/>
  <c r="K37" i="2"/>
  <c r="L37" i="2"/>
  <c r="M37" i="2"/>
  <c r="N37" i="2"/>
  <c r="O37" i="2"/>
  <c r="T37" i="2"/>
  <c r="U37" i="2"/>
  <c r="V37" i="2"/>
  <c r="W37" i="2"/>
  <c r="B38" i="2"/>
  <c r="K38" i="2"/>
  <c r="L38" i="2"/>
  <c r="M38" i="2"/>
  <c r="W38" i="2" s="1"/>
  <c r="N38" i="2"/>
  <c r="T38" i="2"/>
  <c r="U38" i="2"/>
  <c r="V38" i="2"/>
  <c r="B39" i="2"/>
  <c r="K39" i="2"/>
  <c r="L39" i="2"/>
  <c r="M39" i="2"/>
  <c r="N39" i="2"/>
  <c r="O39" i="2"/>
  <c r="T39" i="2"/>
  <c r="U39" i="2"/>
  <c r="V39" i="2"/>
  <c r="W39" i="2"/>
  <c r="B40" i="2"/>
  <c r="K40" i="2"/>
  <c r="L40" i="2"/>
  <c r="M40" i="2"/>
  <c r="N40" i="2"/>
  <c r="O40" i="2" s="1"/>
  <c r="T40" i="2"/>
  <c r="U40" i="2"/>
  <c r="V40" i="2"/>
  <c r="W40" i="2"/>
  <c r="B41" i="2"/>
  <c r="K41" i="2"/>
  <c r="L41" i="2"/>
  <c r="M41" i="2"/>
  <c r="W41" i="2" s="1"/>
  <c r="N41" i="2"/>
  <c r="O41" i="2"/>
  <c r="T41" i="2"/>
  <c r="U41" i="2"/>
  <c r="V41" i="2"/>
  <c r="B42" i="2"/>
  <c r="K42" i="2"/>
  <c r="L42" i="2"/>
  <c r="M42" i="2"/>
  <c r="N42" i="2"/>
  <c r="O42" i="2"/>
  <c r="T42" i="2"/>
  <c r="U42" i="2"/>
  <c r="V42" i="2"/>
  <c r="W42" i="2"/>
  <c r="B43" i="2"/>
  <c r="K43" i="2"/>
  <c r="L43" i="2"/>
  <c r="M43" i="2"/>
  <c r="W43" i="2" s="1"/>
  <c r="N43" i="2"/>
  <c r="O43" i="2"/>
  <c r="T43" i="2"/>
  <c r="U43" i="2"/>
  <c r="V43" i="2"/>
  <c r="B44" i="2"/>
  <c r="K44" i="2"/>
  <c r="L44" i="2"/>
  <c r="M44" i="2"/>
  <c r="N44" i="2"/>
  <c r="O44" i="2"/>
  <c r="T44" i="2"/>
  <c r="U44" i="2"/>
  <c r="V44" i="2"/>
  <c r="W44" i="2"/>
  <c r="B45" i="2"/>
  <c r="K45" i="2"/>
  <c r="L45" i="2"/>
  <c r="M45" i="2"/>
  <c r="O45" i="2" s="1"/>
  <c r="N45" i="2"/>
  <c r="T45" i="2"/>
  <c r="U45" i="2"/>
  <c r="V45" i="2"/>
  <c r="W45" i="2"/>
  <c r="B46" i="2"/>
  <c r="K46" i="2"/>
  <c r="L46" i="2"/>
  <c r="M46" i="2"/>
  <c r="W46" i="2" s="1"/>
  <c r="N46" i="2"/>
  <c r="O46" i="2"/>
  <c r="T46" i="2"/>
  <c r="U46" i="2"/>
  <c r="V46" i="2"/>
  <c r="B47" i="2"/>
  <c r="K47" i="2"/>
  <c r="L47" i="2"/>
  <c r="M47" i="2"/>
  <c r="N47" i="2"/>
  <c r="O47" i="2"/>
  <c r="T47" i="2"/>
  <c r="U47" i="2"/>
  <c r="V47" i="2"/>
  <c r="W47" i="2"/>
  <c r="B48" i="2"/>
  <c r="K48" i="2"/>
  <c r="L48" i="2"/>
  <c r="M48" i="2"/>
  <c r="W48" i="2" s="1"/>
  <c r="N48" i="2"/>
  <c r="O48" i="2"/>
  <c r="T48" i="2"/>
  <c r="U48" i="2"/>
  <c r="V48" i="2"/>
  <c r="B49" i="2"/>
  <c r="K49" i="2"/>
  <c r="L49" i="2"/>
  <c r="M49" i="2"/>
  <c r="N49" i="2"/>
  <c r="O49" i="2"/>
  <c r="T49" i="2"/>
  <c r="U49" i="2"/>
  <c r="V49" i="2"/>
  <c r="W49" i="2"/>
  <c r="B50" i="2"/>
  <c r="K50" i="2"/>
  <c r="L50" i="2"/>
  <c r="M50" i="2"/>
  <c r="O50" i="2" s="1"/>
  <c r="N50" i="2"/>
  <c r="T50" i="2"/>
  <c r="U50" i="2"/>
  <c r="V50" i="2"/>
  <c r="B51" i="2"/>
  <c r="K51" i="2"/>
  <c r="L51" i="2"/>
  <c r="M51" i="2"/>
  <c r="N51" i="2"/>
  <c r="O51" i="2"/>
  <c r="T51" i="2"/>
  <c r="U51" i="2"/>
  <c r="V51" i="2"/>
  <c r="W51" i="2"/>
  <c r="B52" i="2"/>
  <c r="K52" i="2"/>
  <c r="L52" i="2"/>
  <c r="M52" i="2"/>
  <c r="N52" i="2"/>
  <c r="O52" i="2" s="1"/>
  <c r="T52" i="2"/>
  <c r="U52" i="2"/>
  <c r="V52" i="2"/>
  <c r="W52" i="2"/>
  <c r="B53" i="2"/>
  <c r="K53" i="2"/>
  <c r="L53" i="2"/>
  <c r="M53" i="2"/>
  <c r="W53" i="2" s="1"/>
  <c r="N53" i="2"/>
  <c r="O53" i="2"/>
  <c r="T53" i="2"/>
  <c r="U53" i="2"/>
  <c r="V53" i="2"/>
  <c r="B54" i="2"/>
  <c r="K54" i="2"/>
  <c r="L54" i="2"/>
  <c r="M54" i="2"/>
  <c r="N54" i="2"/>
  <c r="O54" i="2"/>
  <c r="T54" i="2"/>
  <c r="U54" i="2"/>
  <c r="V54" i="2"/>
  <c r="W54" i="2"/>
  <c r="B55" i="2"/>
  <c r="K55" i="2"/>
  <c r="L55" i="2"/>
  <c r="M55" i="2"/>
  <c r="W55" i="2" s="1"/>
  <c r="N55" i="2"/>
  <c r="O55" i="2"/>
  <c r="T55" i="2"/>
  <c r="U55" i="2"/>
  <c r="V55" i="2"/>
  <c r="B56" i="2"/>
  <c r="K56" i="2"/>
  <c r="L56" i="2"/>
  <c r="M56" i="2"/>
  <c r="N56" i="2"/>
  <c r="O56" i="2"/>
  <c r="T56" i="2"/>
  <c r="U56" i="2"/>
  <c r="V56" i="2"/>
  <c r="W56" i="2"/>
  <c r="B57" i="2"/>
  <c r="K57" i="2"/>
  <c r="L57" i="2"/>
  <c r="M57" i="2"/>
  <c r="O57" i="2" s="1"/>
  <c r="N57" i="2"/>
  <c r="T57" i="2"/>
  <c r="U57" i="2"/>
  <c r="V57" i="2"/>
  <c r="W57" i="2"/>
  <c r="B58" i="2"/>
  <c r="K58" i="2"/>
  <c r="L58" i="2"/>
  <c r="M58" i="2"/>
  <c r="W58" i="2" s="1"/>
  <c r="N58" i="2"/>
  <c r="O58" i="2"/>
  <c r="T58" i="2"/>
  <c r="U58" i="2"/>
  <c r="V58" i="2"/>
  <c r="B59" i="2"/>
  <c r="K59" i="2"/>
  <c r="L59" i="2"/>
  <c r="M59" i="2"/>
  <c r="N59" i="2"/>
  <c r="O59" i="2"/>
  <c r="T59" i="2"/>
  <c r="U59" i="2"/>
  <c r="V59" i="2"/>
  <c r="W59" i="2"/>
  <c r="B60" i="2"/>
  <c r="K60" i="2"/>
  <c r="L60" i="2"/>
  <c r="M60" i="2"/>
  <c r="W60" i="2" s="1"/>
  <c r="N60" i="2"/>
  <c r="O60" i="2"/>
  <c r="T60" i="2"/>
  <c r="U60" i="2"/>
  <c r="V60" i="2"/>
  <c r="B61" i="2"/>
  <c r="K61" i="2"/>
  <c r="L61" i="2"/>
  <c r="M61" i="2"/>
  <c r="N61" i="2"/>
  <c r="O61" i="2"/>
  <c r="T61" i="2"/>
  <c r="U61" i="2"/>
  <c r="V61" i="2"/>
  <c r="W61" i="2"/>
  <c r="B62" i="2"/>
  <c r="K62" i="2"/>
  <c r="L62" i="2"/>
  <c r="M62" i="2"/>
  <c r="O62" i="2" s="1"/>
  <c r="N62" i="2"/>
  <c r="T62" i="2"/>
  <c r="U62" i="2"/>
  <c r="V62" i="2"/>
  <c r="B63" i="2"/>
  <c r="K63" i="2"/>
  <c r="L63" i="2"/>
  <c r="M63" i="2"/>
  <c r="N63" i="2"/>
  <c r="O63" i="2"/>
  <c r="T63" i="2"/>
  <c r="U63" i="2"/>
  <c r="V63" i="2"/>
  <c r="W63" i="2"/>
  <c r="B64" i="2"/>
  <c r="K64" i="2"/>
  <c r="L64" i="2"/>
  <c r="M64" i="2"/>
  <c r="N64" i="2"/>
  <c r="O64" i="2" s="1"/>
  <c r="T64" i="2"/>
  <c r="U64" i="2"/>
  <c r="V64" i="2"/>
  <c r="W64" i="2"/>
  <c r="B65" i="2"/>
  <c r="K65" i="2"/>
  <c r="L65" i="2"/>
  <c r="M65" i="2"/>
  <c r="W65" i="2" s="1"/>
  <c r="N65" i="2"/>
  <c r="O65" i="2"/>
  <c r="T65" i="2"/>
  <c r="U65" i="2"/>
  <c r="V65" i="2"/>
  <c r="B66" i="2"/>
  <c r="K66" i="2"/>
  <c r="L66" i="2"/>
  <c r="M66" i="2"/>
  <c r="N66" i="2"/>
  <c r="O66" i="2"/>
  <c r="T66" i="2"/>
  <c r="U66" i="2"/>
  <c r="V66" i="2"/>
  <c r="W66" i="2"/>
  <c r="B67" i="2"/>
  <c r="K67" i="2"/>
  <c r="L67" i="2"/>
  <c r="M67" i="2"/>
  <c r="W67" i="2" s="1"/>
  <c r="N67" i="2"/>
  <c r="O67" i="2"/>
  <c r="T67" i="2"/>
  <c r="U67" i="2"/>
  <c r="V67" i="2"/>
  <c r="B68" i="2"/>
  <c r="K68" i="2"/>
  <c r="L68" i="2"/>
  <c r="M68" i="2"/>
  <c r="N68" i="2"/>
  <c r="O68" i="2"/>
  <c r="T68" i="2"/>
  <c r="U68" i="2"/>
  <c r="V68" i="2"/>
  <c r="W68" i="2"/>
  <c r="B69" i="2"/>
  <c r="K69" i="2"/>
  <c r="L69" i="2"/>
  <c r="M69" i="2"/>
  <c r="O69" i="2" s="1"/>
  <c r="N69" i="2"/>
  <c r="T69" i="2"/>
  <c r="U69" i="2"/>
  <c r="V69" i="2"/>
  <c r="W69" i="2"/>
  <c r="B70" i="2"/>
  <c r="K70" i="2"/>
  <c r="L70" i="2"/>
  <c r="M70" i="2"/>
  <c r="W70" i="2" s="1"/>
  <c r="N70" i="2"/>
  <c r="O70" i="2"/>
  <c r="T70" i="2"/>
  <c r="U70" i="2"/>
  <c r="V70" i="2"/>
  <c r="B71" i="2"/>
  <c r="K71" i="2"/>
  <c r="L71" i="2"/>
  <c r="M71" i="2"/>
  <c r="N71" i="2"/>
  <c r="O71" i="2"/>
  <c r="T71" i="2"/>
  <c r="U71" i="2"/>
  <c r="V71" i="2"/>
  <c r="W71" i="2"/>
  <c r="B72" i="2"/>
  <c r="K72" i="2"/>
  <c r="L72" i="2"/>
  <c r="M72" i="2"/>
  <c r="W72" i="2" s="1"/>
  <c r="N72" i="2"/>
  <c r="O72" i="2"/>
  <c r="T72" i="2"/>
  <c r="U72" i="2"/>
  <c r="V72" i="2"/>
  <c r="B73" i="2"/>
  <c r="K73" i="2"/>
  <c r="L73" i="2"/>
  <c r="M73" i="2"/>
  <c r="N73" i="2"/>
  <c r="O73" i="2"/>
  <c r="T73" i="2"/>
  <c r="U73" i="2"/>
  <c r="V73" i="2"/>
  <c r="W73" i="2"/>
  <c r="B74" i="2"/>
  <c r="K74" i="2"/>
  <c r="L74" i="2"/>
  <c r="M74" i="2"/>
  <c r="O74" i="2" s="1"/>
  <c r="N74" i="2"/>
  <c r="T74" i="2"/>
  <c r="U74" i="2"/>
  <c r="V74" i="2"/>
  <c r="B75" i="2"/>
  <c r="K75" i="2"/>
  <c r="L75" i="2"/>
  <c r="M75" i="2"/>
  <c r="N75" i="2"/>
  <c r="O75" i="2"/>
  <c r="T75" i="2"/>
  <c r="U75" i="2"/>
  <c r="V75" i="2"/>
  <c r="W75" i="2"/>
  <c r="B76" i="2"/>
  <c r="K76" i="2"/>
  <c r="L76" i="2"/>
  <c r="M76" i="2"/>
  <c r="N76" i="2"/>
  <c r="O76" i="2" s="1"/>
  <c r="T76" i="2"/>
  <c r="U76" i="2"/>
  <c r="V76" i="2"/>
  <c r="W76" i="2"/>
  <c r="B77" i="2"/>
  <c r="K77" i="2"/>
  <c r="L77" i="2"/>
  <c r="M77" i="2"/>
  <c r="W77" i="2" s="1"/>
  <c r="N77" i="2"/>
  <c r="O77" i="2"/>
  <c r="T77" i="2"/>
  <c r="U77" i="2"/>
  <c r="V77" i="2"/>
  <c r="W74" i="2" l="1"/>
  <c r="W62" i="2"/>
  <c r="W50" i="2"/>
  <c r="O38" i="2"/>
  <c r="K22" i="2" l="1"/>
  <c r="T22" i="2"/>
  <c r="U22" i="2"/>
  <c r="V22" i="2"/>
  <c r="W22" i="2"/>
  <c r="K23" i="2"/>
  <c r="T23" i="2"/>
  <c r="U23" i="2"/>
  <c r="V23" i="2"/>
  <c r="K24" i="2"/>
  <c r="T24" i="2"/>
  <c r="U24" i="2"/>
  <c r="V24" i="2"/>
  <c r="K25" i="2"/>
  <c r="T25" i="2"/>
  <c r="U25" i="2"/>
  <c r="V25" i="2"/>
  <c r="K26" i="2"/>
  <c r="T26" i="2"/>
  <c r="U26" i="2"/>
  <c r="V26" i="2"/>
  <c r="W26" i="2"/>
  <c r="K27" i="2"/>
  <c r="T27" i="2"/>
  <c r="U27" i="2"/>
  <c r="V27" i="2"/>
  <c r="W27" i="2"/>
  <c r="K78" i="2"/>
  <c r="L78" i="2"/>
  <c r="M78" i="2"/>
  <c r="N78" i="2"/>
  <c r="T78" i="2"/>
  <c r="U78" i="2"/>
  <c r="V78" i="2"/>
  <c r="K79" i="2"/>
  <c r="L79" i="2"/>
  <c r="M79" i="2"/>
  <c r="N79" i="2"/>
  <c r="O79" i="2"/>
  <c r="T79" i="2"/>
  <c r="U79" i="2"/>
  <c r="V79" i="2"/>
  <c r="K80" i="2"/>
  <c r="L80" i="2"/>
  <c r="M80" i="2"/>
  <c r="N80" i="2"/>
  <c r="T80" i="2"/>
  <c r="U80" i="2"/>
  <c r="V80" i="2"/>
  <c r="K81" i="2"/>
  <c r="L81" i="2"/>
  <c r="M81" i="2"/>
  <c r="N81" i="2"/>
  <c r="O81" i="2" s="1"/>
  <c r="T81" i="2"/>
  <c r="U81" i="2"/>
  <c r="V81" i="2"/>
  <c r="K82" i="2"/>
  <c r="L82" i="2"/>
  <c r="M82" i="2"/>
  <c r="N82" i="2"/>
  <c r="T82" i="2"/>
  <c r="U82" i="2"/>
  <c r="V82" i="2"/>
  <c r="K83" i="2"/>
  <c r="L83" i="2"/>
  <c r="M83" i="2"/>
  <c r="N83" i="2"/>
  <c r="T83" i="2"/>
  <c r="U83" i="2"/>
  <c r="V83" i="2"/>
  <c r="K84" i="2"/>
  <c r="L84" i="2"/>
  <c r="M84" i="2"/>
  <c r="N84" i="2"/>
  <c r="O84" i="2"/>
  <c r="T84" i="2"/>
  <c r="U84" i="2"/>
  <c r="V84" i="2"/>
  <c r="K85" i="2"/>
  <c r="L85" i="2"/>
  <c r="M85" i="2"/>
  <c r="N85" i="2"/>
  <c r="W85" i="2" s="1"/>
  <c r="T85" i="2"/>
  <c r="U85" i="2"/>
  <c r="V85" i="2"/>
  <c r="K86" i="2"/>
  <c r="L86" i="2"/>
  <c r="M86" i="2"/>
  <c r="N86" i="2"/>
  <c r="T86" i="2"/>
  <c r="U86" i="2"/>
  <c r="V86" i="2"/>
  <c r="K87" i="2"/>
  <c r="L87" i="2"/>
  <c r="M87" i="2"/>
  <c r="N87" i="2"/>
  <c r="T87" i="2"/>
  <c r="U87" i="2"/>
  <c r="V87" i="2"/>
  <c r="K88" i="2"/>
  <c r="L88" i="2"/>
  <c r="M88" i="2"/>
  <c r="N88" i="2"/>
  <c r="O88" i="2"/>
  <c r="T88" i="2"/>
  <c r="U88" i="2"/>
  <c r="V88" i="2"/>
  <c r="K89" i="2"/>
  <c r="L89" i="2"/>
  <c r="M89" i="2"/>
  <c r="N89" i="2"/>
  <c r="W89" i="2" s="1"/>
  <c r="T89" i="2"/>
  <c r="U89" i="2"/>
  <c r="V89" i="2"/>
  <c r="K90" i="2"/>
  <c r="L90" i="2"/>
  <c r="M90" i="2"/>
  <c r="N90" i="2"/>
  <c r="T90" i="2"/>
  <c r="U90" i="2"/>
  <c r="V90" i="2"/>
  <c r="K91" i="2"/>
  <c r="L91" i="2"/>
  <c r="M91" i="2"/>
  <c r="N91" i="2"/>
  <c r="O91" i="2"/>
  <c r="T91" i="2"/>
  <c r="U91" i="2"/>
  <c r="V91" i="2"/>
  <c r="K92" i="2"/>
  <c r="L92" i="2"/>
  <c r="M92" i="2"/>
  <c r="N92" i="2"/>
  <c r="T92" i="2"/>
  <c r="U92" i="2"/>
  <c r="V92" i="2"/>
  <c r="K93" i="2"/>
  <c r="L93" i="2"/>
  <c r="M93" i="2"/>
  <c r="N93" i="2"/>
  <c r="O93" i="2" s="1"/>
  <c r="T93" i="2"/>
  <c r="U93" i="2"/>
  <c r="V93" i="2"/>
  <c r="W93" i="2"/>
  <c r="K94" i="2"/>
  <c r="L94" i="2"/>
  <c r="M94" i="2"/>
  <c r="N94" i="2"/>
  <c r="T94" i="2"/>
  <c r="U94" i="2"/>
  <c r="V94" i="2"/>
  <c r="K95" i="2"/>
  <c r="L95" i="2"/>
  <c r="M95" i="2"/>
  <c r="N95" i="2"/>
  <c r="T95" i="2"/>
  <c r="U95" i="2"/>
  <c r="V95" i="2"/>
  <c r="K96" i="2"/>
  <c r="L96" i="2"/>
  <c r="M96" i="2"/>
  <c r="N96" i="2"/>
  <c r="T96" i="2"/>
  <c r="U96" i="2"/>
  <c r="V96" i="2"/>
  <c r="W96" i="2"/>
  <c r="K97" i="2"/>
  <c r="L97" i="2"/>
  <c r="M97" i="2"/>
  <c r="N97" i="2"/>
  <c r="W97" i="2" s="1"/>
  <c r="O97" i="2"/>
  <c r="T97" i="2"/>
  <c r="U97" i="2"/>
  <c r="V97" i="2"/>
  <c r="K98" i="2"/>
  <c r="L98" i="2"/>
  <c r="M98" i="2"/>
  <c r="N98" i="2"/>
  <c r="T98" i="2"/>
  <c r="U98" i="2"/>
  <c r="V98" i="2"/>
  <c r="K99" i="2"/>
  <c r="L99" i="2"/>
  <c r="M99" i="2"/>
  <c r="N99" i="2"/>
  <c r="T99" i="2"/>
  <c r="U99" i="2"/>
  <c r="V99" i="2"/>
  <c r="K100" i="2"/>
  <c r="L100" i="2"/>
  <c r="M100" i="2"/>
  <c r="N100" i="2"/>
  <c r="T100" i="2"/>
  <c r="U100" i="2"/>
  <c r="V100" i="2"/>
  <c r="K101" i="2"/>
  <c r="L101" i="2"/>
  <c r="M101" i="2"/>
  <c r="N101" i="2"/>
  <c r="T101" i="2"/>
  <c r="U101" i="2"/>
  <c r="V101" i="2"/>
  <c r="K102" i="2"/>
  <c r="L102" i="2"/>
  <c r="M102" i="2"/>
  <c r="N102" i="2"/>
  <c r="T102" i="2"/>
  <c r="U102" i="2"/>
  <c r="V102" i="2"/>
  <c r="K103" i="2"/>
  <c r="L103" i="2"/>
  <c r="M103" i="2"/>
  <c r="N103" i="2"/>
  <c r="O103" i="2"/>
  <c r="T103" i="2"/>
  <c r="U103" i="2"/>
  <c r="V103" i="2"/>
  <c r="K104" i="2"/>
  <c r="L104" i="2"/>
  <c r="M104" i="2"/>
  <c r="N104" i="2"/>
  <c r="O104" i="2"/>
  <c r="T104" i="2"/>
  <c r="U104" i="2"/>
  <c r="V104" i="2"/>
  <c r="K105" i="2"/>
  <c r="L105" i="2"/>
  <c r="M105" i="2"/>
  <c r="W105" i="2" s="1"/>
  <c r="N105" i="2"/>
  <c r="T105" i="2"/>
  <c r="U105" i="2"/>
  <c r="V105" i="2"/>
  <c r="K106" i="2"/>
  <c r="L106" i="2"/>
  <c r="M106" i="2"/>
  <c r="N106" i="2"/>
  <c r="T106" i="2"/>
  <c r="U106" i="2"/>
  <c r="V106" i="2"/>
  <c r="K107" i="2"/>
  <c r="L107" i="2"/>
  <c r="M107" i="2"/>
  <c r="N107" i="2"/>
  <c r="T107" i="2"/>
  <c r="U107" i="2"/>
  <c r="V107" i="2"/>
  <c r="K108" i="2"/>
  <c r="L108" i="2"/>
  <c r="M108" i="2"/>
  <c r="N108" i="2"/>
  <c r="T108" i="2"/>
  <c r="U108" i="2"/>
  <c r="V108" i="2"/>
  <c r="K109" i="2"/>
  <c r="L109" i="2"/>
  <c r="M109" i="2"/>
  <c r="N109" i="2"/>
  <c r="W109" i="2" s="1"/>
  <c r="T109" i="2"/>
  <c r="U109" i="2"/>
  <c r="V109" i="2"/>
  <c r="K110" i="2"/>
  <c r="L110" i="2"/>
  <c r="M110" i="2"/>
  <c r="N110" i="2"/>
  <c r="T110" i="2"/>
  <c r="U110" i="2"/>
  <c r="V110" i="2"/>
  <c r="K111" i="2"/>
  <c r="L111" i="2"/>
  <c r="M111" i="2"/>
  <c r="N111" i="2"/>
  <c r="W111" i="2" s="1"/>
  <c r="T111" i="2"/>
  <c r="U111" i="2"/>
  <c r="V111" i="2"/>
  <c r="K112" i="2"/>
  <c r="L112" i="2"/>
  <c r="M112" i="2"/>
  <c r="N112" i="2"/>
  <c r="T112" i="2"/>
  <c r="U112" i="2"/>
  <c r="V112" i="2"/>
  <c r="K113" i="2"/>
  <c r="L113" i="2"/>
  <c r="M113" i="2"/>
  <c r="N113" i="2"/>
  <c r="O113" i="2" s="1"/>
  <c r="T113" i="2"/>
  <c r="U113" i="2"/>
  <c r="V113" i="2"/>
  <c r="K114" i="2"/>
  <c r="L114" i="2"/>
  <c r="M114" i="2"/>
  <c r="N114" i="2"/>
  <c r="T114" i="2"/>
  <c r="U114" i="2"/>
  <c r="V114" i="2"/>
  <c r="K115" i="2"/>
  <c r="L115" i="2"/>
  <c r="M115" i="2"/>
  <c r="N115" i="2"/>
  <c r="T115" i="2"/>
  <c r="U115" i="2"/>
  <c r="V115" i="2"/>
  <c r="K116" i="2"/>
  <c r="L116" i="2"/>
  <c r="M116" i="2"/>
  <c r="N116" i="2"/>
  <c r="O116" i="2"/>
  <c r="T116" i="2"/>
  <c r="U116" i="2"/>
  <c r="V116" i="2"/>
  <c r="K117" i="2"/>
  <c r="L117" i="2"/>
  <c r="M117" i="2"/>
  <c r="N117" i="2"/>
  <c r="T117" i="2"/>
  <c r="U117" i="2"/>
  <c r="V117" i="2"/>
  <c r="K118" i="2"/>
  <c r="L118" i="2"/>
  <c r="M118" i="2"/>
  <c r="N118" i="2"/>
  <c r="T118" i="2"/>
  <c r="U118" i="2"/>
  <c r="V118" i="2"/>
  <c r="K119" i="2"/>
  <c r="L119" i="2"/>
  <c r="M119" i="2"/>
  <c r="N119" i="2"/>
  <c r="T119" i="2"/>
  <c r="U119" i="2"/>
  <c r="V119" i="2"/>
  <c r="K120" i="2"/>
  <c r="L120" i="2"/>
  <c r="M120" i="2"/>
  <c r="N120" i="2"/>
  <c r="O120" i="2"/>
  <c r="T120" i="2"/>
  <c r="U120" i="2"/>
  <c r="V120" i="2"/>
  <c r="K121" i="2"/>
  <c r="L121" i="2"/>
  <c r="M121" i="2"/>
  <c r="N121" i="2"/>
  <c r="T121" i="2"/>
  <c r="U121" i="2"/>
  <c r="V121" i="2"/>
  <c r="K122" i="2"/>
  <c r="L122" i="2"/>
  <c r="M122" i="2"/>
  <c r="N122" i="2"/>
  <c r="T122" i="2"/>
  <c r="U122" i="2"/>
  <c r="V122" i="2"/>
  <c r="K123" i="2"/>
  <c r="L123" i="2"/>
  <c r="M123" i="2"/>
  <c r="N123" i="2"/>
  <c r="T123" i="2"/>
  <c r="U123" i="2"/>
  <c r="V123" i="2"/>
  <c r="K124" i="2"/>
  <c r="L124" i="2"/>
  <c r="M124" i="2"/>
  <c r="N124" i="2"/>
  <c r="O124" i="2"/>
  <c r="T124" i="2"/>
  <c r="U124" i="2"/>
  <c r="V124" i="2"/>
  <c r="K125" i="2"/>
  <c r="L125" i="2"/>
  <c r="M125" i="2"/>
  <c r="N125" i="2"/>
  <c r="T125" i="2"/>
  <c r="U125" i="2"/>
  <c r="V125" i="2"/>
  <c r="K126" i="2"/>
  <c r="L126" i="2"/>
  <c r="M126" i="2"/>
  <c r="N126" i="2"/>
  <c r="T126" i="2"/>
  <c r="U126" i="2"/>
  <c r="V126" i="2"/>
  <c r="K127" i="2"/>
  <c r="L127" i="2"/>
  <c r="M127" i="2"/>
  <c r="N127" i="2"/>
  <c r="O127" i="2"/>
  <c r="T127" i="2"/>
  <c r="U127" i="2"/>
  <c r="V127" i="2"/>
  <c r="K128" i="2"/>
  <c r="L128" i="2"/>
  <c r="M128" i="2"/>
  <c r="N128" i="2"/>
  <c r="O128" i="2"/>
  <c r="T128" i="2"/>
  <c r="U128" i="2"/>
  <c r="V128" i="2"/>
  <c r="K129" i="2"/>
  <c r="L129" i="2"/>
  <c r="M129" i="2"/>
  <c r="N129" i="2"/>
  <c r="O129" i="2" s="1"/>
  <c r="T129" i="2"/>
  <c r="U129" i="2"/>
  <c r="V129" i="2"/>
  <c r="W129" i="2"/>
  <c r="K130" i="2"/>
  <c r="L130" i="2"/>
  <c r="M130" i="2"/>
  <c r="N130" i="2"/>
  <c r="T130" i="2"/>
  <c r="U130" i="2"/>
  <c r="V130" i="2"/>
  <c r="O115" i="2" l="1"/>
  <c r="O92" i="2"/>
  <c r="O121" i="2"/>
  <c r="W124" i="2"/>
  <c r="O96" i="2"/>
  <c r="O108" i="2"/>
  <c r="O125" i="2"/>
  <c r="W88" i="2"/>
  <c r="O85" i="2"/>
  <c r="W108" i="2"/>
  <c r="W121" i="2"/>
  <c r="W100" i="2"/>
  <c r="W123" i="2"/>
  <c r="W81" i="2"/>
  <c r="O109" i="2"/>
  <c r="W90" i="2"/>
  <c r="O112" i="2"/>
  <c r="W120" i="2"/>
  <c r="W84" i="2"/>
  <c r="W87" i="2"/>
  <c r="O80" i="2"/>
  <c r="O98" i="2"/>
  <c r="W126" i="2"/>
  <c r="W115" i="2"/>
  <c r="O117" i="2"/>
  <c r="O122" i="2"/>
  <c r="O111" i="2"/>
  <c r="O130" i="2"/>
  <c r="O94" i="2"/>
  <c r="O83" i="2"/>
  <c r="W127" i="2"/>
  <c r="O110" i="2"/>
  <c r="W25" i="2"/>
  <c r="O82" i="2"/>
  <c r="W92" i="2"/>
  <c r="W103" i="2"/>
  <c r="O100" i="2"/>
  <c r="O119" i="2"/>
  <c r="W102" i="2"/>
  <c r="W104" i="2"/>
  <c r="O101" i="2"/>
  <c r="O86" i="2"/>
  <c r="W23" i="2"/>
  <c r="O105" i="2"/>
  <c r="W116" i="2"/>
  <c r="W80" i="2"/>
  <c r="W91" i="2"/>
  <c r="W112" i="2"/>
  <c r="O118" i="2"/>
  <c r="O107" i="2"/>
  <c r="W79" i="2"/>
  <c r="O106" i="2"/>
  <c r="O95" i="2"/>
  <c r="W128" i="2"/>
  <c r="W114" i="2"/>
  <c r="O89" i="2"/>
  <c r="W78" i="2"/>
  <c r="W99" i="2"/>
  <c r="W117" i="2"/>
  <c r="O123" i="2"/>
  <c r="W119" i="2"/>
  <c r="W107" i="2"/>
  <c r="O99" i="2"/>
  <c r="W95" i="2"/>
  <c r="O87" i="2"/>
  <c r="W83" i="2"/>
  <c r="O126" i="2"/>
  <c r="W122" i="2"/>
  <c r="O114" i="2"/>
  <c r="W110" i="2"/>
  <c r="O102" i="2"/>
  <c r="W98" i="2"/>
  <c r="O90" i="2"/>
  <c r="W86" i="2"/>
  <c r="O78" i="2"/>
  <c r="W24" i="2"/>
  <c r="W125" i="2"/>
  <c r="W113" i="2"/>
  <c r="W101" i="2"/>
  <c r="W130" i="2"/>
  <c r="W118" i="2"/>
  <c r="W106" i="2"/>
  <c r="W94" i="2"/>
  <c r="W82" i="2"/>
  <c r="M131" i="2"/>
  <c r="N131" i="2"/>
  <c r="O131" i="2"/>
  <c r="M132" i="2"/>
  <c r="N132" i="2"/>
  <c r="M133" i="2"/>
  <c r="N133" i="2"/>
  <c r="M134" i="2"/>
  <c r="N134" i="2"/>
  <c r="M135" i="2"/>
  <c r="N135" i="2"/>
  <c r="M136" i="2"/>
  <c r="N136" i="2"/>
  <c r="M137" i="2"/>
  <c r="N137" i="2"/>
  <c r="M138" i="2"/>
  <c r="N138" i="2"/>
  <c r="M139" i="2"/>
  <c r="N139" i="2"/>
  <c r="M140" i="2"/>
  <c r="N140" i="2"/>
  <c r="M141" i="2"/>
  <c r="N141" i="2"/>
  <c r="M142" i="2"/>
  <c r="N142" i="2"/>
  <c r="M143" i="2"/>
  <c r="N143" i="2"/>
  <c r="M144" i="2"/>
  <c r="N144" i="2"/>
  <c r="M145" i="2"/>
  <c r="N145" i="2"/>
  <c r="M146" i="2"/>
  <c r="N146" i="2"/>
  <c r="O146" i="2" l="1"/>
  <c r="O132" i="2"/>
  <c r="O143" i="2"/>
  <c r="O141" i="2"/>
  <c r="O144" i="2"/>
  <c r="O136" i="2"/>
  <c r="O135" i="2"/>
  <c r="O140" i="2"/>
  <c r="O142" i="2"/>
  <c r="O133" i="2"/>
  <c r="O138" i="2"/>
  <c r="O145" i="2"/>
  <c r="O139" i="2"/>
  <c r="O134" i="2"/>
  <c r="O137" i="2"/>
  <c r="K132" i="2" l="1"/>
  <c r="V19" i="2"/>
  <c r="O24" i="8"/>
  <c r="L131" i="2" l="1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K18" i="8" l="1"/>
  <c r="B19" i="2" l="1"/>
  <c r="B18" i="8"/>
  <c r="B18" i="9" l="1"/>
  <c r="B19" i="9" l="1"/>
  <c r="B19" i="8"/>
  <c r="B20" i="2"/>
  <c r="B20" i="8" l="1"/>
  <c r="B21" i="8" s="1"/>
  <c r="B22" i="8" s="1"/>
  <c r="B20" i="9"/>
  <c r="B21" i="2"/>
  <c r="C1612" i="1"/>
  <c r="C1613" i="1"/>
  <c r="C161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190" i="1"/>
  <c r="Q35" i="2" l="1"/>
  <c r="P37" i="2"/>
  <c r="P39" i="2"/>
  <c r="R68" i="2"/>
  <c r="Q70" i="2"/>
  <c r="P72" i="2"/>
  <c r="P74" i="2"/>
  <c r="P76" i="2"/>
  <c r="Q37" i="2"/>
  <c r="Q39" i="2"/>
  <c r="P41" i="2"/>
  <c r="R70" i="2"/>
  <c r="Q72" i="2"/>
  <c r="Q74" i="2"/>
  <c r="Q76" i="2"/>
  <c r="R74" i="2"/>
  <c r="R41" i="2"/>
  <c r="P47" i="2"/>
  <c r="Q49" i="2"/>
  <c r="P73" i="2"/>
  <c r="P42" i="2"/>
  <c r="P44" i="2"/>
  <c r="R42" i="2"/>
  <c r="R29" i="2"/>
  <c r="Q62" i="2"/>
  <c r="P35" i="2"/>
  <c r="R35" i="2"/>
  <c r="P28" i="2"/>
  <c r="R37" i="2"/>
  <c r="R39" i="2"/>
  <c r="Q41" i="2"/>
  <c r="P43" i="2"/>
  <c r="P45" i="2"/>
  <c r="R72" i="2"/>
  <c r="R76" i="2"/>
  <c r="Q45" i="2"/>
  <c r="P30" i="2"/>
  <c r="Q51" i="2"/>
  <c r="P29" i="2"/>
  <c r="Q28" i="2"/>
  <c r="Q43" i="2"/>
  <c r="R47" i="2"/>
  <c r="Q71" i="2"/>
  <c r="R34" i="2"/>
  <c r="Q75" i="2"/>
  <c r="R75" i="2"/>
  <c r="P46" i="2"/>
  <c r="R77" i="2"/>
  <c r="Q29" i="2"/>
  <c r="R46" i="2"/>
  <c r="P54" i="2"/>
  <c r="P56" i="2"/>
  <c r="Q56" i="2"/>
  <c r="Q31" i="2"/>
  <c r="R58" i="2"/>
  <c r="Q33" i="2"/>
  <c r="P70" i="2"/>
  <c r="R28" i="2"/>
  <c r="R43" i="2"/>
  <c r="R45" i="2"/>
  <c r="Q47" i="2"/>
  <c r="P49" i="2"/>
  <c r="P51" i="2"/>
  <c r="P53" i="2"/>
  <c r="R69" i="2"/>
  <c r="R38" i="2"/>
  <c r="Q44" i="2"/>
  <c r="P48" i="2"/>
  <c r="R62" i="2"/>
  <c r="Q30" i="2"/>
  <c r="R49" i="2"/>
  <c r="R51" i="2"/>
  <c r="Q53" i="2"/>
  <c r="P55" i="2"/>
  <c r="P57" i="2"/>
  <c r="Q32" i="2"/>
  <c r="Q63" i="2"/>
  <c r="R65" i="2"/>
  <c r="P75" i="2"/>
  <c r="Q73" i="2"/>
  <c r="Q52" i="2"/>
  <c r="Q54" i="2"/>
  <c r="P64" i="2"/>
  <c r="Q60" i="2"/>
  <c r="R30" i="2"/>
  <c r="R53" i="2"/>
  <c r="Q55" i="2"/>
  <c r="Q57" i="2"/>
  <c r="P59" i="2"/>
  <c r="P61" i="2"/>
  <c r="Q61" i="2"/>
  <c r="P40" i="2"/>
  <c r="P52" i="2"/>
  <c r="P62" i="2"/>
  <c r="P32" i="2"/>
  <c r="R55" i="2"/>
  <c r="R57" i="2"/>
  <c r="Q59" i="2"/>
  <c r="P63" i="2"/>
  <c r="P65" i="2"/>
  <c r="Q69" i="2"/>
  <c r="P38" i="2"/>
  <c r="Q38" i="2"/>
  <c r="P77" i="2"/>
  <c r="R50" i="2"/>
  <c r="P60" i="2"/>
  <c r="P66" i="2"/>
  <c r="P68" i="2"/>
  <c r="Q68" i="2"/>
  <c r="R59" i="2"/>
  <c r="Q67" i="2"/>
  <c r="P36" i="2"/>
  <c r="Q36" i="2"/>
  <c r="R36" i="2"/>
  <c r="R44" i="2"/>
  <c r="Q48" i="2"/>
  <c r="R54" i="2"/>
  <c r="R56" i="2"/>
  <c r="P33" i="2"/>
  <c r="R60" i="2"/>
  <c r="R66" i="2"/>
  <c r="R32" i="2"/>
  <c r="R61" i="2"/>
  <c r="R63" i="2"/>
  <c r="Q65" i="2"/>
  <c r="P67" i="2"/>
  <c r="P69" i="2"/>
  <c r="P34" i="2"/>
  <c r="P71" i="2"/>
  <c r="R67" i="2"/>
  <c r="Q40" i="2"/>
  <c r="Q42" i="2"/>
  <c r="R73" i="2"/>
  <c r="Q46" i="2"/>
  <c r="R52" i="2"/>
  <c r="Q58" i="2"/>
  <c r="R64" i="2"/>
  <c r="Q34" i="2"/>
  <c r="R71" i="2"/>
  <c r="R40" i="2"/>
  <c r="Q77" i="2"/>
  <c r="P50" i="2"/>
  <c r="Q50" i="2"/>
  <c r="R48" i="2"/>
  <c r="P31" i="2"/>
  <c r="P58" i="2"/>
  <c r="R31" i="2"/>
  <c r="Q64" i="2"/>
  <c r="Q66" i="2"/>
  <c r="R33" i="2"/>
  <c r="B21" i="9"/>
  <c r="B22" i="2"/>
  <c r="B23" i="2" s="1"/>
  <c r="R27" i="2"/>
  <c r="Q86" i="2"/>
  <c r="P88" i="2"/>
  <c r="R103" i="2"/>
  <c r="Q105" i="2"/>
  <c r="P107" i="2"/>
  <c r="Q122" i="2"/>
  <c r="P124" i="2"/>
  <c r="R124" i="2"/>
  <c r="P119" i="2"/>
  <c r="R81" i="2"/>
  <c r="R98" i="2"/>
  <c r="R100" i="2"/>
  <c r="P85" i="2"/>
  <c r="R87" i="2"/>
  <c r="P108" i="2"/>
  <c r="P125" i="2"/>
  <c r="R106" i="2"/>
  <c r="R89" i="2"/>
  <c r="P110" i="2"/>
  <c r="Q93" i="2"/>
  <c r="R129" i="2"/>
  <c r="Q25" i="2"/>
  <c r="P97" i="2"/>
  <c r="R23" i="2"/>
  <c r="P82" i="2"/>
  <c r="Q27" i="2"/>
  <c r="P84" i="2"/>
  <c r="R97" i="2"/>
  <c r="Q101" i="2"/>
  <c r="R101" i="2"/>
  <c r="R86" i="2"/>
  <c r="Q88" i="2"/>
  <c r="P90" i="2"/>
  <c r="R105" i="2"/>
  <c r="Q107" i="2"/>
  <c r="R122" i="2"/>
  <c r="Q124" i="2"/>
  <c r="P126" i="2"/>
  <c r="R88" i="2"/>
  <c r="Q90" i="2"/>
  <c r="R107" i="2"/>
  <c r="Q126" i="2"/>
  <c r="Q83" i="2"/>
  <c r="Q104" i="2"/>
  <c r="Q106" i="2"/>
  <c r="Q114" i="2"/>
  <c r="R90" i="2"/>
  <c r="P92" i="2"/>
  <c r="P109" i="2"/>
  <c r="P111" i="2"/>
  <c r="R126" i="2"/>
  <c r="P128" i="2"/>
  <c r="P22" i="2"/>
  <c r="Q92" i="2"/>
  <c r="P94" i="2"/>
  <c r="Q109" i="2"/>
  <c r="Q111" i="2"/>
  <c r="Q128" i="2"/>
  <c r="P130" i="2"/>
  <c r="P83" i="2"/>
  <c r="Q117" i="2"/>
  <c r="P102" i="2"/>
  <c r="Q119" i="2"/>
  <c r="R83" i="2"/>
  <c r="Q102" i="2"/>
  <c r="R119" i="2"/>
  <c r="R102" i="2"/>
  <c r="P121" i="2"/>
  <c r="Q85" i="2"/>
  <c r="P106" i="2"/>
  <c r="P89" i="2"/>
  <c r="R104" i="2"/>
  <c r="Q89" i="2"/>
  <c r="Q91" i="2"/>
  <c r="Q127" i="2"/>
  <c r="Q110" i="2"/>
  <c r="R127" i="2"/>
  <c r="P78" i="2"/>
  <c r="R110" i="2"/>
  <c r="P25" i="2"/>
  <c r="R112" i="2"/>
  <c r="P80" i="2"/>
  <c r="R114" i="2"/>
  <c r="P27" i="2"/>
  <c r="Q82" i="2"/>
  <c r="P101" i="2"/>
  <c r="P120" i="2"/>
  <c r="R118" i="2"/>
  <c r="P122" i="2"/>
  <c r="Q22" i="2"/>
  <c r="R92" i="2"/>
  <c r="Q94" i="2"/>
  <c r="P96" i="2"/>
  <c r="R109" i="2"/>
  <c r="R111" i="2"/>
  <c r="P113" i="2"/>
  <c r="R128" i="2"/>
  <c r="Q130" i="2"/>
  <c r="Q113" i="2"/>
  <c r="R130" i="2"/>
  <c r="P98" i="2"/>
  <c r="R113" i="2"/>
  <c r="P117" i="2"/>
  <c r="Q26" i="2"/>
  <c r="R79" i="2"/>
  <c r="Q81" i="2"/>
  <c r="Q98" i="2"/>
  <c r="R115" i="2"/>
  <c r="R26" i="2"/>
  <c r="Q100" i="2"/>
  <c r="R117" i="2"/>
  <c r="P87" i="2"/>
  <c r="P104" i="2"/>
  <c r="Q87" i="2"/>
  <c r="Q123" i="2"/>
  <c r="R123" i="2"/>
  <c r="Q108" i="2"/>
  <c r="Q125" i="2"/>
  <c r="P93" i="2"/>
  <c r="P95" i="2"/>
  <c r="Q129" i="2"/>
  <c r="R93" i="2"/>
  <c r="Q112" i="2"/>
  <c r="Q78" i="2"/>
  <c r="R95" i="2"/>
  <c r="P99" i="2"/>
  <c r="R25" i="2"/>
  <c r="Q99" i="2"/>
  <c r="R80" i="2"/>
  <c r="Q118" i="2"/>
  <c r="R82" i="2"/>
  <c r="Q120" i="2"/>
  <c r="P86" i="2"/>
  <c r="P105" i="2"/>
  <c r="R120" i="2"/>
  <c r="R22" i="2"/>
  <c r="P24" i="2"/>
  <c r="P79" i="2"/>
  <c r="R94" i="2"/>
  <c r="Q96" i="2"/>
  <c r="P115" i="2"/>
  <c r="P123" i="2"/>
  <c r="R85" i="2"/>
  <c r="P91" i="2"/>
  <c r="P127" i="2"/>
  <c r="R108" i="2"/>
  <c r="R91" i="2"/>
  <c r="P112" i="2"/>
  <c r="Q95" i="2"/>
  <c r="P114" i="2"/>
  <c r="P23" i="2"/>
  <c r="Q23" i="2"/>
  <c r="R78" i="2"/>
  <c r="P116" i="2"/>
  <c r="Q80" i="2"/>
  <c r="Q97" i="2"/>
  <c r="Q116" i="2"/>
  <c r="Q84" i="2"/>
  <c r="P103" i="2"/>
  <c r="R84" i="2"/>
  <c r="Q103" i="2"/>
  <c r="Q24" i="2"/>
  <c r="P26" i="2"/>
  <c r="Q79" i="2"/>
  <c r="P81" i="2"/>
  <c r="R96" i="2"/>
  <c r="Q115" i="2"/>
  <c r="P100" i="2"/>
  <c r="R121" i="2"/>
  <c r="P129" i="2"/>
  <c r="P118" i="2"/>
  <c r="R116" i="2"/>
  <c r="R24" i="2"/>
  <c r="Q121" i="2"/>
  <c r="R125" i="2"/>
  <c r="R99" i="2"/>
  <c r="P19" i="2"/>
  <c r="Q19" i="2"/>
  <c r="R19" i="2"/>
  <c r="B23" i="8"/>
  <c r="A562" i="1"/>
  <c r="B22" i="9" l="1"/>
  <c r="B24" i="2"/>
  <c r="B24" i="8"/>
  <c r="O20" i="8"/>
  <c r="O19" i="9"/>
  <c r="O18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24" i="9"/>
  <c r="O23" i="9"/>
  <c r="O22" i="9"/>
  <c r="O21" i="9"/>
  <c r="O20" i="9"/>
  <c r="O19" i="8"/>
  <c r="O21" i="8"/>
  <c r="O22" i="8"/>
  <c r="O23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18" i="8"/>
  <c r="M19" i="9"/>
  <c r="N19" i="9"/>
  <c r="M20" i="9"/>
  <c r="N20" i="9"/>
  <c r="M21" i="9"/>
  <c r="N21" i="9"/>
  <c r="M22" i="9"/>
  <c r="N22" i="9"/>
  <c r="M23" i="9"/>
  <c r="N23" i="9"/>
  <c r="M24" i="9"/>
  <c r="N24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18" i="9"/>
  <c r="N18" i="9"/>
  <c r="N19" i="8"/>
  <c r="N20" i="8"/>
  <c r="N21" i="8"/>
  <c r="N22" i="8"/>
  <c r="N23" i="8"/>
  <c r="N24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18" i="8"/>
  <c r="M19" i="8"/>
  <c r="M20" i="8"/>
  <c r="M21" i="8"/>
  <c r="M22" i="8"/>
  <c r="M23" i="8"/>
  <c r="M24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18" i="8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24" i="9"/>
  <c r="K23" i="9"/>
  <c r="K22" i="9"/>
  <c r="K21" i="9"/>
  <c r="K20" i="9"/>
  <c r="K19" i="9"/>
  <c r="K18" i="9"/>
  <c r="B23" i="9" l="1"/>
  <c r="B25" i="2"/>
  <c r="B26" i="2" s="1"/>
  <c r="K201" i="9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24" i="8"/>
  <c r="K23" i="8"/>
  <c r="K22" i="8"/>
  <c r="K21" i="8"/>
  <c r="K20" i="8"/>
  <c r="K19" i="8"/>
  <c r="B24" i="9" l="1"/>
  <c r="B27" i="2"/>
  <c r="K201" i="8"/>
  <c r="M168" i="2"/>
  <c r="M147" i="2" l="1"/>
  <c r="N147" i="2"/>
  <c r="M148" i="2"/>
  <c r="N148" i="2"/>
  <c r="M149" i="2"/>
  <c r="N149" i="2"/>
  <c r="M150" i="2"/>
  <c r="N150" i="2"/>
  <c r="O149" i="2" l="1"/>
  <c r="O148" i="2"/>
  <c r="O150" i="2"/>
  <c r="O147" i="2"/>
  <c r="W134" i="2"/>
  <c r="W143" i="2"/>
  <c r="W140" i="2"/>
  <c r="W149" i="2"/>
  <c r="W147" i="2"/>
  <c r="W148" i="2"/>
  <c r="W132" i="2"/>
  <c r="W150" i="2"/>
  <c r="W141" i="2"/>
  <c r="W137" i="2"/>
  <c r="W133" i="2"/>
  <c r="W144" i="2"/>
  <c r="W145" i="2"/>
  <c r="W138" i="2"/>
  <c r="W139" i="2"/>
  <c r="W136" i="2"/>
  <c r="W146" i="2"/>
  <c r="W135" i="2"/>
  <c r="W142" i="2"/>
  <c r="W131" i="2"/>
  <c r="W21" i="2"/>
  <c r="W20" i="2"/>
  <c r="W19" i="2"/>
  <c r="B158" i="8" l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L146" i="2"/>
  <c r="L147" i="2"/>
  <c r="L148" i="2"/>
  <c r="L149" i="2"/>
  <c r="L150" i="2"/>
  <c r="L151" i="2"/>
  <c r="M151" i="2"/>
  <c r="N151" i="2"/>
  <c r="L152" i="2"/>
  <c r="M152" i="2"/>
  <c r="N152" i="2"/>
  <c r="L153" i="2"/>
  <c r="M153" i="2"/>
  <c r="N153" i="2"/>
  <c r="L154" i="2"/>
  <c r="M154" i="2"/>
  <c r="N154" i="2"/>
  <c r="L155" i="2"/>
  <c r="M155" i="2"/>
  <c r="N155" i="2"/>
  <c r="L156" i="2"/>
  <c r="M156" i="2"/>
  <c r="N156" i="2"/>
  <c r="L157" i="2"/>
  <c r="M157" i="2"/>
  <c r="N157" i="2"/>
  <c r="L158" i="2"/>
  <c r="M158" i="2"/>
  <c r="N158" i="2"/>
  <c r="L159" i="2"/>
  <c r="M159" i="2"/>
  <c r="N159" i="2"/>
  <c r="L160" i="2"/>
  <c r="M160" i="2"/>
  <c r="N160" i="2"/>
  <c r="O151" i="2" l="1"/>
  <c r="O158" i="2"/>
  <c r="O157" i="2"/>
  <c r="O156" i="2"/>
  <c r="O155" i="2"/>
  <c r="O154" i="2"/>
  <c r="O153" i="2"/>
  <c r="O159" i="2"/>
  <c r="O160" i="2"/>
  <c r="W152" i="2"/>
  <c r="O152" i="2"/>
  <c r="W160" i="2"/>
  <c r="W155" i="2"/>
  <c r="W158" i="2"/>
  <c r="W157" i="2"/>
  <c r="W156" i="2"/>
  <c r="W154" i="2"/>
  <c r="W153" i="2"/>
  <c r="W159" i="2"/>
  <c r="W151" i="2"/>
  <c r="B10" i="1"/>
  <c r="V20" i="2"/>
  <c r="V21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U21" i="2"/>
  <c r="B143" i="9" l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7" i="2"/>
  <c r="M166" i="2"/>
  <c r="M165" i="2"/>
  <c r="M164" i="2"/>
  <c r="M163" i="2"/>
  <c r="M162" i="2"/>
  <c r="M161" i="2"/>
  <c r="O194" i="2" l="1"/>
  <c r="O171" i="2"/>
  <c r="O195" i="2"/>
  <c r="W196" i="2"/>
  <c r="O196" i="2"/>
  <c r="W197" i="2"/>
  <c r="O197" i="2"/>
  <c r="W199" i="2"/>
  <c r="O199" i="2"/>
  <c r="W200" i="2"/>
  <c r="O200" i="2"/>
  <c r="W201" i="2"/>
  <c r="O201" i="2"/>
  <c r="W198" i="2"/>
  <c r="O198" i="2"/>
  <c r="O161" i="2"/>
  <c r="W174" i="2"/>
  <c r="O174" i="2"/>
  <c r="W177" i="2"/>
  <c r="O177" i="2"/>
  <c r="W178" i="2"/>
  <c r="O178" i="2"/>
  <c r="W186" i="2"/>
  <c r="O186" i="2"/>
  <c r="W162" i="2"/>
  <c r="O162" i="2"/>
  <c r="W168" i="2"/>
  <c r="O168" i="2"/>
  <c r="W164" i="2"/>
  <c r="O164" i="2"/>
  <c r="W165" i="2"/>
  <c r="O165" i="2"/>
  <c r="O192" i="2"/>
  <c r="W175" i="2"/>
  <c r="O175" i="2"/>
  <c r="W185" i="2"/>
  <c r="O185" i="2"/>
  <c r="W188" i="2"/>
  <c r="O188" i="2"/>
  <c r="W189" i="2"/>
  <c r="O189" i="2"/>
  <c r="O191" i="2"/>
  <c r="O167" i="2"/>
  <c r="O169" i="2"/>
  <c r="W172" i="2"/>
  <c r="O172" i="2"/>
  <c r="W173" i="2"/>
  <c r="O173" i="2"/>
  <c r="W187" i="2"/>
  <c r="O187" i="2"/>
  <c r="W163" i="2"/>
  <c r="O163" i="2"/>
  <c r="O190" i="2"/>
  <c r="O166" i="2"/>
  <c r="O193" i="2"/>
  <c r="O170" i="2"/>
  <c r="W176" i="2"/>
  <c r="O176" i="2"/>
  <c r="O179" i="2"/>
  <c r="O180" i="2"/>
  <c r="O181" i="2"/>
  <c r="O182" i="2"/>
  <c r="O183" i="2"/>
  <c r="W184" i="2"/>
  <c r="O184" i="2"/>
  <c r="W179" i="2"/>
  <c r="W183" i="2"/>
  <c r="W181" i="2"/>
  <c r="W182" i="2"/>
  <c r="W161" i="2"/>
  <c r="A563" i="1"/>
  <c r="W180" i="2"/>
  <c r="W190" i="2"/>
  <c r="W191" i="2"/>
  <c r="W192" i="2"/>
  <c r="W169" i="2"/>
  <c r="W193" i="2"/>
  <c r="W170" i="2"/>
  <c r="W194" i="2"/>
  <c r="W166" i="2"/>
  <c r="W167" i="2"/>
  <c r="W171" i="2"/>
  <c r="W195" i="2"/>
  <c r="B11" i="1" l="1"/>
  <c r="B12" i="1" s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31" i="1"/>
  <c r="B33" i="1"/>
  <c r="B34" i="1"/>
  <c r="B36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100" i="1"/>
  <c r="B101" i="1"/>
  <c r="B102" i="1"/>
  <c r="B103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2" i="1"/>
  <c r="B123" i="1"/>
  <c r="B124" i="1"/>
  <c r="B125" i="1"/>
  <c r="B126" i="1"/>
  <c r="B132" i="1"/>
  <c r="B134" i="1"/>
  <c r="B140" i="1"/>
  <c r="B141" i="1"/>
  <c r="B142" i="1"/>
  <c r="B144" i="1"/>
  <c r="B145" i="1"/>
  <c r="B146" i="1"/>
  <c r="B147" i="1"/>
  <c r="B148" i="1"/>
  <c r="B149" i="1"/>
  <c r="B150" i="1"/>
  <c r="B152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5" i="1"/>
  <c r="B176" i="1"/>
  <c r="B177" i="1"/>
  <c r="B178" i="1"/>
  <c r="B179" i="1"/>
  <c r="B181" i="1"/>
  <c r="B182" i="1"/>
  <c r="B183" i="1"/>
  <c r="B184" i="1"/>
  <c r="B185" i="1"/>
  <c r="B186" i="1"/>
  <c r="B188" i="1"/>
  <c r="B190" i="1"/>
  <c r="B192" i="1"/>
  <c r="B194" i="1"/>
  <c r="B195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8" i="1"/>
  <c r="B219" i="1"/>
  <c r="B220" i="1"/>
  <c r="B221" i="1"/>
  <c r="B222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4" i="1"/>
  <c r="B295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6" i="1"/>
  <c r="B317" i="1"/>
  <c r="B318" i="1"/>
  <c r="B319" i="1"/>
  <c r="B320" i="1"/>
  <c r="B321" i="1"/>
  <c r="B323" i="1"/>
  <c r="B325" i="1"/>
  <c r="B326" i="1"/>
  <c r="B327" i="1"/>
  <c r="B328" i="1"/>
  <c r="B329" i="1"/>
  <c r="B330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3" i="1"/>
  <c r="B384" i="1"/>
  <c r="B385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27" i="1" l="1"/>
  <c r="B331" i="1"/>
  <c r="B28" i="1"/>
  <c r="B332" i="1"/>
  <c r="B333" i="1" s="1"/>
  <c r="B29" i="1" l="1"/>
  <c r="B30" i="1" s="1"/>
  <c r="B37" i="1"/>
  <c r="B32" i="1"/>
  <c r="B35" i="1" s="1"/>
  <c r="B70" i="1"/>
  <c r="B127" i="1"/>
  <c r="T20" i="2"/>
  <c r="B38" i="1" l="1"/>
  <c r="B99" i="1"/>
  <c r="B121" i="1"/>
  <c r="B128" i="1"/>
  <c r="B130" i="1"/>
  <c r="U20" i="2"/>
  <c r="T21" i="2"/>
  <c r="T131" i="2"/>
  <c r="U131" i="2"/>
  <c r="T132" i="2"/>
  <c r="U132" i="2"/>
  <c r="T133" i="2"/>
  <c r="U133" i="2"/>
  <c r="T134" i="2"/>
  <c r="U134" i="2"/>
  <c r="T135" i="2"/>
  <c r="U135" i="2"/>
  <c r="T136" i="2"/>
  <c r="U136" i="2"/>
  <c r="T137" i="2"/>
  <c r="U137" i="2"/>
  <c r="T138" i="2"/>
  <c r="U138" i="2"/>
  <c r="T139" i="2"/>
  <c r="U139" i="2"/>
  <c r="T140" i="2"/>
  <c r="U140" i="2"/>
  <c r="T141" i="2"/>
  <c r="U141" i="2"/>
  <c r="T142" i="2"/>
  <c r="U142" i="2"/>
  <c r="T143" i="2"/>
  <c r="U143" i="2"/>
  <c r="T144" i="2"/>
  <c r="U144" i="2"/>
  <c r="T145" i="2"/>
  <c r="U145" i="2"/>
  <c r="T146" i="2"/>
  <c r="U146" i="2"/>
  <c r="T147" i="2"/>
  <c r="U147" i="2"/>
  <c r="T148" i="2"/>
  <c r="U148" i="2"/>
  <c r="T149" i="2"/>
  <c r="U149" i="2"/>
  <c r="T150" i="2"/>
  <c r="U150" i="2"/>
  <c r="T151" i="2"/>
  <c r="U151" i="2"/>
  <c r="T152" i="2"/>
  <c r="U152" i="2"/>
  <c r="T153" i="2"/>
  <c r="U153" i="2"/>
  <c r="T154" i="2"/>
  <c r="U154" i="2"/>
  <c r="T155" i="2"/>
  <c r="U155" i="2"/>
  <c r="T156" i="2"/>
  <c r="U156" i="2"/>
  <c r="T157" i="2"/>
  <c r="U157" i="2"/>
  <c r="T158" i="2"/>
  <c r="U158" i="2"/>
  <c r="T159" i="2"/>
  <c r="U159" i="2"/>
  <c r="T160" i="2"/>
  <c r="U160" i="2"/>
  <c r="T161" i="2"/>
  <c r="U161" i="2"/>
  <c r="T162" i="2"/>
  <c r="U162" i="2"/>
  <c r="T163" i="2"/>
  <c r="U163" i="2"/>
  <c r="T164" i="2"/>
  <c r="U164" i="2"/>
  <c r="T165" i="2"/>
  <c r="U165" i="2"/>
  <c r="T166" i="2"/>
  <c r="U166" i="2"/>
  <c r="T167" i="2"/>
  <c r="U167" i="2"/>
  <c r="T168" i="2"/>
  <c r="U168" i="2"/>
  <c r="T169" i="2"/>
  <c r="U169" i="2"/>
  <c r="T170" i="2"/>
  <c r="U170" i="2"/>
  <c r="T171" i="2"/>
  <c r="U171" i="2"/>
  <c r="T172" i="2"/>
  <c r="U172" i="2"/>
  <c r="T173" i="2"/>
  <c r="U173" i="2"/>
  <c r="T174" i="2"/>
  <c r="U174" i="2"/>
  <c r="T175" i="2"/>
  <c r="U175" i="2"/>
  <c r="T176" i="2"/>
  <c r="U176" i="2"/>
  <c r="T177" i="2"/>
  <c r="U177" i="2"/>
  <c r="T178" i="2"/>
  <c r="U178" i="2"/>
  <c r="T179" i="2"/>
  <c r="U179" i="2"/>
  <c r="T180" i="2"/>
  <c r="U180" i="2"/>
  <c r="T181" i="2"/>
  <c r="U181" i="2"/>
  <c r="T182" i="2"/>
  <c r="U182" i="2"/>
  <c r="T183" i="2"/>
  <c r="U183" i="2"/>
  <c r="T184" i="2"/>
  <c r="U184" i="2"/>
  <c r="T185" i="2"/>
  <c r="U185" i="2"/>
  <c r="T186" i="2"/>
  <c r="U186" i="2"/>
  <c r="T187" i="2"/>
  <c r="U187" i="2"/>
  <c r="T188" i="2"/>
  <c r="U188" i="2"/>
  <c r="T189" i="2"/>
  <c r="U189" i="2"/>
  <c r="T190" i="2"/>
  <c r="U190" i="2"/>
  <c r="T191" i="2"/>
  <c r="U191" i="2"/>
  <c r="T192" i="2"/>
  <c r="U192" i="2"/>
  <c r="T193" i="2"/>
  <c r="U193" i="2"/>
  <c r="T194" i="2"/>
  <c r="U194" i="2"/>
  <c r="T195" i="2"/>
  <c r="U195" i="2"/>
  <c r="T196" i="2"/>
  <c r="U196" i="2"/>
  <c r="T197" i="2"/>
  <c r="U197" i="2"/>
  <c r="T198" i="2"/>
  <c r="U198" i="2"/>
  <c r="T199" i="2"/>
  <c r="U199" i="2"/>
  <c r="T200" i="2"/>
  <c r="U200" i="2"/>
  <c r="T201" i="2"/>
  <c r="U201" i="2"/>
  <c r="U19" i="2"/>
  <c r="T19" i="2"/>
  <c r="K1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K20" i="2"/>
  <c r="K21" i="2"/>
  <c r="K131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B104" i="1" l="1"/>
  <c r="R30" i="3"/>
  <c r="B129" i="1"/>
  <c r="B131" i="1"/>
  <c r="B133" i="1" s="1"/>
  <c r="B135" i="1" s="1"/>
  <c r="K202" i="2"/>
  <c r="R20" i="2"/>
  <c r="Q20" i="2"/>
  <c r="P20" i="2"/>
  <c r="R153" i="2"/>
  <c r="R177" i="2"/>
  <c r="R201" i="2"/>
  <c r="Q151" i="2"/>
  <c r="Q175" i="2"/>
  <c r="Q199" i="2"/>
  <c r="P148" i="2"/>
  <c r="P172" i="2"/>
  <c r="P196" i="2"/>
  <c r="R155" i="2"/>
  <c r="Q177" i="2"/>
  <c r="P174" i="2"/>
  <c r="R180" i="2"/>
  <c r="Q154" i="2"/>
  <c r="P175" i="2"/>
  <c r="P178" i="2"/>
  <c r="R137" i="2"/>
  <c r="Q183" i="2"/>
  <c r="Q160" i="2"/>
  <c r="Q137" i="2"/>
  <c r="R188" i="2"/>
  <c r="Q163" i="2"/>
  <c r="Q140" i="2"/>
  <c r="R167" i="2"/>
  <c r="R192" i="2"/>
  <c r="P187" i="2"/>
  <c r="Q167" i="2"/>
  <c r="R146" i="2"/>
  <c r="P165" i="2"/>
  <c r="Q169" i="2"/>
  <c r="R172" i="2"/>
  <c r="P167" i="2"/>
  <c r="Q195" i="2"/>
  <c r="R150" i="2"/>
  <c r="P145" i="2"/>
  <c r="R175" i="2"/>
  <c r="P170" i="2"/>
  <c r="P171" i="2"/>
  <c r="R21" i="2"/>
  <c r="R154" i="2"/>
  <c r="R178" i="2"/>
  <c r="Q152" i="2"/>
  <c r="Q176" i="2"/>
  <c r="Q200" i="2"/>
  <c r="P149" i="2"/>
  <c r="P173" i="2"/>
  <c r="P197" i="2"/>
  <c r="R179" i="2"/>
  <c r="Q153" i="2"/>
  <c r="P150" i="2"/>
  <c r="P198" i="2"/>
  <c r="Q21" i="2"/>
  <c r="P151" i="2"/>
  <c r="P199" i="2"/>
  <c r="P152" i="2"/>
  <c r="Q180" i="2"/>
  <c r="P201" i="2"/>
  <c r="P154" i="2"/>
  <c r="P155" i="2"/>
  <c r="R185" i="2"/>
  <c r="R186" i="2"/>
  <c r="P158" i="2"/>
  <c r="Q162" i="2"/>
  <c r="Q187" i="2"/>
  <c r="Q164" i="2"/>
  <c r="Q141" i="2"/>
  <c r="Q142" i="2"/>
  <c r="P163" i="2"/>
  <c r="Q143" i="2"/>
  <c r="R194" i="2"/>
  <c r="R147" i="2"/>
  <c r="P142" i="2"/>
  <c r="Q170" i="2"/>
  <c r="R173" i="2"/>
  <c r="P144" i="2"/>
  <c r="R174" i="2"/>
  <c r="R151" i="2"/>
  <c r="P146" i="2"/>
  <c r="Q198" i="2"/>
  <c r="P195" i="2"/>
  <c r="R131" i="2"/>
  <c r="Q201" i="2"/>
  <c r="Q155" i="2"/>
  <c r="P176" i="2"/>
  <c r="P177" i="2"/>
  <c r="P21" i="2"/>
  <c r="Q182" i="2"/>
  <c r="Q159" i="2"/>
  <c r="R138" i="2"/>
  <c r="P157" i="2"/>
  <c r="R140" i="2"/>
  <c r="P183" i="2"/>
  <c r="P160" i="2"/>
  <c r="Q188" i="2"/>
  <c r="Q189" i="2"/>
  <c r="R132" i="2"/>
  <c r="R156" i="2"/>
  <c r="Q178" i="2"/>
  <c r="Q179" i="2"/>
  <c r="P153" i="2"/>
  <c r="Q157" i="2"/>
  <c r="Q134" i="2"/>
  <c r="R161" i="2"/>
  <c r="P132" i="2"/>
  <c r="P133" i="2"/>
  <c r="Q185" i="2"/>
  <c r="Q186" i="2"/>
  <c r="R165" i="2"/>
  <c r="R190" i="2"/>
  <c r="R143" i="2"/>
  <c r="P186" i="2"/>
  <c r="Q190" i="2"/>
  <c r="Q191" i="2"/>
  <c r="Q144" i="2"/>
  <c r="R195" i="2"/>
  <c r="R148" i="2"/>
  <c r="P191" i="2"/>
  <c r="P168" i="2"/>
  <c r="P169" i="2"/>
  <c r="Q173" i="2"/>
  <c r="Q174" i="2"/>
  <c r="R133" i="2"/>
  <c r="R157" i="2"/>
  <c r="R181" i="2"/>
  <c r="Q131" i="2"/>
  <c r="P200" i="2"/>
  <c r="P143" i="2"/>
  <c r="P193" i="2"/>
  <c r="R176" i="2"/>
  <c r="R134" i="2"/>
  <c r="R158" i="2"/>
  <c r="R182" i="2"/>
  <c r="Q132" i="2"/>
  <c r="Q156" i="2"/>
  <c r="Q181" i="2"/>
  <c r="P131" i="2"/>
  <c r="R162" i="2"/>
  <c r="P134" i="2"/>
  <c r="P159" i="2"/>
  <c r="P136" i="2"/>
  <c r="P185" i="2"/>
  <c r="P162" i="2"/>
  <c r="P139" i="2"/>
  <c r="P140" i="2"/>
  <c r="Q192" i="2"/>
  <c r="P166" i="2"/>
  <c r="R149" i="2"/>
  <c r="R198" i="2"/>
  <c r="R152" i="2"/>
  <c r="R135" i="2"/>
  <c r="R159" i="2"/>
  <c r="R183" i="2"/>
  <c r="Q133" i="2"/>
  <c r="Q158" i="2"/>
  <c r="Q135" i="2"/>
  <c r="P180" i="2"/>
  <c r="Q184" i="2"/>
  <c r="Q161" i="2"/>
  <c r="R164" i="2"/>
  <c r="R141" i="2"/>
  <c r="P184" i="2"/>
  <c r="P137" i="2"/>
  <c r="P138" i="2"/>
  <c r="Q166" i="2"/>
  <c r="R193" i="2"/>
  <c r="P188" i="2"/>
  <c r="P141" i="2"/>
  <c r="Q145" i="2"/>
  <c r="R196" i="2"/>
  <c r="R197" i="2"/>
  <c r="Q172" i="2"/>
  <c r="Q197" i="2"/>
  <c r="R200" i="2"/>
  <c r="R136" i="2"/>
  <c r="R160" i="2"/>
  <c r="R184" i="2"/>
  <c r="P179" i="2"/>
  <c r="P156" i="2"/>
  <c r="Q136" i="2"/>
  <c r="P181" i="2"/>
  <c r="P182" i="2"/>
  <c r="Q138" i="2"/>
  <c r="R189" i="2"/>
  <c r="R166" i="2"/>
  <c r="R191" i="2"/>
  <c r="R144" i="2"/>
  <c r="R169" i="2"/>
  <c r="R170" i="2"/>
  <c r="P189" i="2"/>
  <c r="Q193" i="2"/>
  <c r="Q146" i="2"/>
  <c r="Q147" i="2"/>
  <c r="Q148" i="2"/>
  <c r="Q149" i="2"/>
  <c r="Q150" i="2"/>
  <c r="R139" i="2"/>
  <c r="R163" i="2"/>
  <c r="R187" i="2"/>
  <c r="P135" i="2"/>
  <c r="Q139" i="2"/>
  <c r="R142" i="2"/>
  <c r="P161" i="2"/>
  <c r="Q165" i="2"/>
  <c r="R168" i="2"/>
  <c r="R145" i="2"/>
  <c r="P164" i="2"/>
  <c r="Q168" i="2"/>
  <c r="R171" i="2"/>
  <c r="P190" i="2"/>
  <c r="Q194" i="2"/>
  <c r="Q171" i="2"/>
  <c r="P192" i="2"/>
  <c r="Q196" i="2"/>
  <c r="R199" i="2"/>
  <c r="P194" i="2"/>
  <c r="P147" i="2"/>
  <c r="B78" i="2" l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36" i="1"/>
  <c r="B169" i="2" l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N2" i="12" s="1"/>
  <c r="B137" i="1"/>
  <c r="E2" i="12" l="1"/>
  <c r="T2" i="12"/>
  <c r="J2" i="12" s="1"/>
  <c r="R2" i="12"/>
  <c r="G2" i="12" s="1"/>
  <c r="U2" i="12"/>
  <c r="K2" i="12" s="1"/>
  <c r="L2" i="12"/>
  <c r="F2" i="12"/>
  <c r="I2" i="12"/>
  <c r="S2" i="12"/>
  <c r="H2" i="12" s="1"/>
  <c r="AI2" i="12"/>
  <c r="P2" i="12"/>
  <c r="O2" i="12"/>
  <c r="Q2" i="12"/>
  <c r="C2" i="12"/>
  <c r="Y2" i="12" s="1"/>
  <c r="B2" i="12"/>
  <c r="C3" i="12"/>
  <c r="Y3" i="12" s="1"/>
  <c r="B3" i="12"/>
  <c r="B138" i="1"/>
  <c r="AH3" i="12" l="1"/>
  <c r="AD3" i="12"/>
  <c r="AH2" i="12"/>
  <c r="AD2" i="12"/>
  <c r="X3" i="12"/>
  <c r="W3" i="12"/>
  <c r="V3" i="12"/>
  <c r="AE3" i="12" s="1"/>
  <c r="A3" i="12"/>
  <c r="D3" i="12"/>
  <c r="X2" i="12"/>
  <c r="D2" i="12"/>
  <c r="W2" i="12"/>
  <c r="V2" i="12"/>
  <c r="AE2" i="12" s="1"/>
  <c r="M2" i="12"/>
  <c r="B139" i="1"/>
  <c r="O3" i="12" l="1"/>
  <c r="I3" i="12"/>
  <c r="F3" i="12"/>
  <c r="R3" i="12"/>
  <c r="G3" i="12" s="1"/>
  <c r="T3" i="12"/>
  <c r="J3" i="12" s="1"/>
  <c r="U3" i="12"/>
  <c r="K3" i="12" s="1"/>
  <c r="B4" i="12"/>
  <c r="C4" i="12"/>
  <c r="Y4" i="12" s="1"/>
  <c r="Q3" i="12"/>
  <c r="S3" i="12"/>
  <c r="H3" i="12" s="1"/>
  <c r="L3" i="12"/>
  <c r="E3" i="12"/>
  <c r="N3" i="12"/>
  <c r="AI3" i="12" s="1"/>
  <c r="P3" i="12"/>
  <c r="B143" i="1"/>
  <c r="B151" i="1" s="1"/>
  <c r="AH4" i="12" l="1"/>
  <c r="AD4" i="12"/>
  <c r="X4" i="12"/>
  <c r="V4" i="12"/>
  <c r="AE4" i="12" s="1"/>
  <c r="W4" i="12"/>
  <c r="D4" i="12"/>
  <c r="M3" i="12"/>
  <c r="B279" i="1"/>
  <c r="B153" i="1"/>
  <c r="B313" i="1"/>
  <c r="B180" i="1" l="1"/>
  <c r="B154" i="1"/>
  <c r="B223" i="1"/>
  <c r="B213" i="1"/>
  <c r="B314" i="1"/>
  <c r="B315" i="1" s="1"/>
  <c r="B293" i="1" l="1"/>
  <c r="B174" i="1"/>
  <c r="B187" i="1"/>
  <c r="B189" i="1" s="1"/>
  <c r="B191" i="1"/>
  <c r="B296" i="1"/>
  <c r="B381" i="1"/>
  <c r="B382" i="1" s="1"/>
  <c r="B386" i="1" s="1"/>
  <c r="B193" i="1" l="1"/>
  <c r="B196" i="1" s="1"/>
  <c r="B197" i="1" s="1"/>
  <c r="B322" i="1"/>
  <c r="B324" i="1" s="1"/>
  <c r="B217" i="1" l="1"/>
  <c r="B461" i="1" s="1"/>
  <c r="B245" i="1" l="1"/>
  <c r="B246" i="1" s="1"/>
  <c r="B495" i="1"/>
  <c r="B560" i="1" l="1"/>
  <c r="A14" i="3" s="1"/>
  <c r="B14" i="3" l="1"/>
  <c r="B561" i="1"/>
  <c r="A15" i="3" s="1"/>
  <c r="B15" i="3" l="1"/>
  <c r="Q15" i="3" s="1"/>
  <c r="AD14" i="3"/>
  <c r="AC14" i="3"/>
  <c r="M14" i="3"/>
  <c r="T14" i="3"/>
  <c r="L14" i="3"/>
  <c r="X14" i="3"/>
  <c r="R14" i="3"/>
  <c r="V14" i="3"/>
  <c r="N14" i="3"/>
  <c r="J14" i="3"/>
  <c r="H14" i="3"/>
  <c r="W14" i="3"/>
  <c r="C14" i="3"/>
  <c r="Y14" i="3"/>
  <c r="U14" i="3"/>
  <c r="Z14" i="3"/>
  <c r="D14" i="3"/>
  <c r="S14" i="3"/>
  <c r="Q14" i="3"/>
  <c r="AE14" i="3"/>
  <c r="B562" i="1"/>
  <c r="B563" i="1" s="1"/>
  <c r="A16" i="3" s="1"/>
  <c r="G15" i="3"/>
  <c r="I14" i="3"/>
  <c r="K14" i="3"/>
  <c r="K15" i="3"/>
  <c r="G14" i="3"/>
  <c r="I15" i="3"/>
  <c r="U15" i="3" l="1"/>
  <c r="D15" i="3"/>
  <c r="Z15" i="3"/>
  <c r="Y15" i="3"/>
  <c r="R15" i="3"/>
  <c r="W15" i="3"/>
  <c r="M15" i="3"/>
  <c r="N15" i="3"/>
  <c r="X15" i="3"/>
  <c r="T15" i="3"/>
  <c r="AE15" i="3"/>
  <c r="J15" i="3"/>
  <c r="S15" i="3"/>
  <c r="V15" i="3"/>
  <c r="L15" i="3"/>
  <c r="C15" i="3"/>
  <c r="AC15" i="3"/>
  <c r="H15" i="3"/>
  <c r="AD15" i="3"/>
  <c r="A19" i="3"/>
  <c r="AA14" i="3"/>
  <c r="O14" i="3"/>
  <c r="P14" i="3"/>
  <c r="AB14" i="3"/>
  <c r="B19" i="3"/>
  <c r="B18" i="3"/>
  <c r="A18" i="3"/>
  <c r="B16" i="3"/>
  <c r="B23" i="3"/>
  <c r="A17" i="3"/>
  <c r="B17" i="3"/>
  <c r="A20" i="3"/>
  <c r="A28" i="3"/>
  <c r="B24" i="3"/>
  <c r="A23" i="3"/>
  <c r="B27" i="3"/>
  <c r="A24" i="3"/>
  <c r="B25" i="3"/>
  <c r="A26" i="3"/>
  <c r="A21" i="3"/>
  <c r="A27" i="3"/>
  <c r="B22" i="3"/>
  <c r="B28" i="3"/>
  <c r="B20" i="3"/>
  <c r="A25" i="3"/>
  <c r="B21" i="3"/>
  <c r="B26" i="3"/>
  <c r="A22" i="3"/>
  <c r="I18" i="3"/>
  <c r="K16" i="3"/>
  <c r="K23" i="3"/>
  <c r="I22" i="3"/>
  <c r="G28" i="3"/>
  <c r="I20" i="3"/>
  <c r="K19" i="3"/>
  <c r="AA15" i="3" l="1"/>
  <c r="O15" i="3"/>
  <c r="P15" i="3"/>
  <c r="AB15" i="3"/>
  <c r="AD25" i="3"/>
  <c r="AC25" i="3"/>
  <c r="AD24" i="3"/>
  <c r="AC24" i="3"/>
  <c r="AD23" i="3"/>
  <c r="AC23" i="3"/>
  <c r="AD16" i="3"/>
  <c r="AC16" i="3"/>
  <c r="AD17" i="3"/>
  <c r="AC17" i="3"/>
  <c r="AD18" i="3"/>
  <c r="AC18" i="3"/>
  <c r="AD27" i="3"/>
  <c r="AC27" i="3"/>
  <c r="AD19" i="3"/>
  <c r="AC19" i="3"/>
  <c r="AD26" i="3"/>
  <c r="AC26" i="3"/>
  <c r="AD21" i="3"/>
  <c r="AC21" i="3"/>
  <c r="AD20" i="3"/>
  <c r="AC20" i="3"/>
  <c r="AD28" i="3"/>
  <c r="AC28" i="3"/>
  <c r="AD22" i="3"/>
  <c r="AC22" i="3"/>
  <c r="L17" i="3"/>
  <c r="Y25" i="3"/>
  <c r="Q24" i="3"/>
  <c r="X23" i="3"/>
  <c r="R27" i="3"/>
  <c r="J18" i="3"/>
  <c r="S19" i="3"/>
  <c r="X18" i="3"/>
  <c r="U18" i="3"/>
  <c r="W18" i="3"/>
  <c r="H19" i="3"/>
  <c r="X19" i="3"/>
  <c r="T18" i="3"/>
  <c r="AE19" i="3"/>
  <c r="N19" i="3"/>
  <c r="D18" i="3"/>
  <c r="L18" i="3"/>
  <c r="H18" i="3"/>
  <c r="C18" i="3"/>
  <c r="Q19" i="3"/>
  <c r="Y19" i="3"/>
  <c r="Y18" i="3"/>
  <c r="V18" i="3"/>
  <c r="Z19" i="3"/>
  <c r="C19" i="3"/>
  <c r="T19" i="3"/>
  <c r="J19" i="3"/>
  <c r="V19" i="3"/>
  <c r="W19" i="3"/>
  <c r="Z18" i="3"/>
  <c r="D19" i="3"/>
  <c r="R18" i="3"/>
  <c r="U19" i="3"/>
  <c r="N18" i="3"/>
  <c r="R19" i="3"/>
  <c r="AE18" i="3"/>
  <c r="L19" i="3"/>
  <c r="S18" i="3"/>
  <c r="M19" i="3"/>
  <c r="Q18" i="3"/>
  <c r="M18" i="3"/>
  <c r="J23" i="3"/>
  <c r="N23" i="3"/>
  <c r="Q23" i="3"/>
  <c r="H23" i="3"/>
  <c r="U16" i="3"/>
  <c r="H16" i="3"/>
  <c r="T16" i="3"/>
  <c r="Q16" i="3"/>
  <c r="J16" i="3"/>
  <c r="R16" i="3"/>
  <c r="Z16" i="3"/>
  <c r="W16" i="3"/>
  <c r="AE16" i="3"/>
  <c r="X16" i="3"/>
  <c r="N16" i="3"/>
  <c r="M16" i="3"/>
  <c r="L16" i="3"/>
  <c r="V16" i="3"/>
  <c r="S16" i="3"/>
  <c r="D16" i="3"/>
  <c r="Y16" i="3"/>
  <c r="C16" i="3"/>
  <c r="D23" i="3"/>
  <c r="R23" i="3"/>
  <c r="AE23" i="3"/>
  <c r="C23" i="3"/>
  <c r="E23" i="3" s="1"/>
  <c r="Y23" i="3"/>
  <c r="L23" i="3"/>
  <c r="M23" i="3"/>
  <c r="W23" i="3"/>
  <c r="S23" i="3"/>
  <c r="V23" i="3"/>
  <c r="U23" i="3"/>
  <c r="Z23" i="3"/>
  <c r="T23" i="3"/>
  <c r="M17" i="3"/>
  <c r="J17" i="3"/>
  <c r="S17" i="3"/>
  <c r="X17" i="3"/>
  <c r="C17" i="3"/>
  <c r="D17" i="3"/>
  <c r="W17" i="3"/>
  <c r="R17" i="3"/>
  <c r="AE17" i="3"/>
  <c r="Q17" i="3"/>
  <c r="V17" i="3"/>
  <c r="T17" i="3"/>
  <c r="N17" i="3"/>
  <c r="Z17" i="3"/>
  <c r="Y17" i="3"/>
  <c r="U17" i="3"/>
  <c r="H17" i="3"/>
  <c r="W24" i="3"/>
  <c r="C24" i="3"/>
  <c r="E24" i="3" s="1"/>
  <c r="J24" i="3"/>
  <c r="R24" i="3"/>
  <c r="V24" i="3"/>
  <c r="N24" i="3"/>
  <c r="T24" i="3"/>
  <c r="U24" i="3"/>
  <c r="Y24" i="3"/>
  <c r="X24" i="3"/>
  <c r="D24" i="3"/>
  <c r="S24" i="3"/>
  <c r="AE24" i="3"/>
  <c r="R25" i="3"/>
  <c r="L24" i="3"/>
  <c r="Z24" i="3"/>
  <c r="H24" i="3"/>
  <c r="M24" i="3"/>
  <c r="N25" i="3"/>
  <c r="V25" i="3"/>
  <c r="H25" i="3"/>
  <c r="D25" i="3"/>
  <c r="Z25" i="3"/>
  <c r="J25" i="3"/>
  <c r="W25" i="3"/>
  <c r="C25" i="3"/>
  <c r="E25" i="3" s="1"/>
  <c r="L25" i="3"/>
  <c r="Q25" i="3"/>
  <c r="U25" i="3"/>
  <c r="N27" i="3"/>
  <c r="C27" i="3"/>
  <c r="E27" i="3" s="1"/>
  <c r="S27" i="3"/>
  <c r="M27" i="3"/>
  <c r="Q27" i="3"/>
  <c r="H27" i="3"/>
  <c r="X27" i="3"/>
  <c r="T27" i="3"/>
  <c r="AE27" i="3"/>
  <c r="J27" i="3"/>
  <c r="Y27" i="3"/>
  <c r="D27" i="3"/>
  <c r="W27" i="3"/>
  <c r="M25" i="3"/>
  <c r="X25" i="3"/>
  <c r="T25" i="3"/>
  <c r="V27" i="3"/>
  <c r="Z27" i="3"/>
  <c r="AE25" i="3"/>
  <c r="S25" i="3"/>
  <c r="U27" i="3"/>
  <c r="L27" i="3"/>
  <c r="S16" i="2"/>
  <c r="AE26" i="3"/>
  <c r="U26" i="3"/>
  <c r="X26" i="3"/>
  <c r="R26" i="3"/>
  <c r="W26" i="3"/>
  <c r="L26" i="3"/>
  <c r="Y26" i="3"/>
  <c r="J26" i="3"/>
  <c r="M26" i="3"/>
  <c r="D26" i="3"/>
  <c r="Z26" i="3"/>
  <c r="H26" i="3"/>
  <c r="V26" i="3"/>
  <c r="T26" i="3"/>
  <c r="N26" i="3"/>
  <c r="S26" i="3"/>
  <c r="Q26" i="3"/>
  <c r="C26" i="3"/>
  <c r="E26" i="3" s="1"/>
  <c r="AE21" i="3"/>
  <c r="D21" i="3"/>
  <c r="C21" i="3"/>
  <c r="J21" i="3"/>
  <c r="Q21" i="3"/>
  <c r="N21" i="3"/>
  <c r="R21" i="3"/>
  <c r="M21" i="3"/>
  <c r="Y21" i="3"/>
  <c r="H21" i="3"/>
  <c r="U21" i="3"/>
  <c r="W21" i="3"/>
  <c r="S21" i="3"/>
  <c r="T21" i="3"/>
  <c r="L21" i="3"/>
  <c r="X21" i="3"/>
  <c r="Z21" i="3"/>
  <c r="V21" i="3"/>
  <c r="AE20" i="3"/>
  <c r="V20" i="3"/>
  <c r="N20" i="3"/>
  <c r="R20" i="3"/>
  <c r="H20" i="3"/>
  <c r="D20" i="3"/>
  <c r="Z20" i="3"/>
  <c r="X20" i="3"/>
  <c r="Q20" i="3"/>
  <c r="U20" i="3"/>
  <c r="C20" i="3"/>
  <c r="S20" i="3"/>
  <c r="J20" i="3"/>
  <c r="T20" i="3"/>
  <c r="W20" i="3"/>
  <c r="Y20" i="3"/>
  <c r="L20" i="3"/>
  <c r="M20" i="3"/>
  <c r="L15" i="9"/>
  <c r="AE28" i="3"/>
  <c r="J28" i="3"/>
  <c r="T28" i="3"/>
  <c r="V28" i="3"/>
  <c r="U28" i="3"/>
  <c r="C28" i="3"/>
  <c r="E28" i="3" s="1"/>
  <c r="S28" i="3"/>
  <c r="X28" i="3"/>
  <c r="M28" i="3"/>
  <c r="H28" i="3"/>
  <c r="Q28" i="3"/>
  <c r="N28" i="3"/>
  <c r="Y28" i="3"/>
  <c r="Z28" i="3"/>
  <c r="D28" i="3"/>
  <c r="L28" i="3"/>
  <c r="W28" i="3"/>
  <c r="R28" i="3"/>
  <c r="AE22" i="3"/>
  <c r="Y22" i="3"/>
  <c r="M22" i="3"/>
  <c r="D22" i="3"/>
  <c r="W22" i="3"/>
  <c r="R22" i="3"/>
  <c r="T22" i="3"/>
  <c r="U22" i="3"/>
  <c r="N22" i="3"/>
  <c r="Q22" i="3"/>
  <c r="J22" i="3"/>
  <c r="C22" i="3"/>
  <c r="E22" i="3" s="1"/>
  <c r="V22" i="3"/>
  <c r="X22" i="3"/>
  <c r="S22" i="3"/>
  <c r="L22" i="3"/>
  <c r="Z22" i="3"/>
  <c r="H22" i="3"/>
  <c r="L15" i="8"/>
  <c r="G25" i="3"/>
  <c r="K25" i="3"/>
  <c r="I17" i="3"/>
  <c r="G22" i="3"/>
  <c r="I23" i="3"/>
  <c r="G23" i="3"/>
  <c r="K26" i="3"/>
  <c r="K20" i="3"/>
  <c r="K18" i="3"/>
  <c r="I27" i="3"/>
  <c r="G20" i="3"/>
  <c r="I25" i="3"/>
  <c r="I24" i="3"/>
  <c r="G17" i="3"/>
  <c r="I19" i="3"/>
  <c r="K17" i="3"/>
  <c r="K27" i="3"/>
  <c r="K28" i="3"/>
  <c r="G27" i="3"/>
  <c r="G21" i="3"/>
  <c r="G26" i="3"/>
  <c r="I26" i="3"/>
  <c r="I21" i="3"/>
  <c r="K22" i="3"/>
  <c r="G16" i="3"/>
  <c r="K24" i="3"/>
  <c r="I16" i="3"/>
  <c r="K21" i="3"/>
  <c r="I28" i="3"/>
  <c r="G24" i="3"/>
  <c r="G18" i="3"/>
  <c r="G19" i="3"/>
  <c r="L195" i="9" l="1"/>
  <c r="L183" i="9"/>
  <c r="L171" i="9"/>
  <c r="L180" i="9"/>
  <c r="L175" i="9"/>
  <c r="L186" i="9"/>
  <c r="L185" i="9"/>
  <c r="L196" i="9"/>
  <c r="L194" i="9"/>
  <c r="L182" i="9"/>
  <c r="L193" i="9"/>
  <c r="L192" i="9"/>
  <c r="L179" i="9"/>
  <c r="L188" i="9"/>
  <c r="L174" i="9"/>
  <c r="L184" i="9"/>
  <c r="L170" i="9"/>
  <c r="L198" i="9"/>
  <c r="L169" i="9"/>
  <c r="L191" i="9"/>
  <c r="L173" i="9"/>
  <c r="L181" i="9"/>
  <c r="L200" i="9"/>
  <c r="L187" i="9"/>
  <c r="L172" i="9"/>
  <c r="L190" i="9"/>
  <c r="L178" i="9"/>
  <c r="L189" i="9"/>
  <c r="L177" i="9"/>
  <c r="L176" i="9"/>
  <c r="L199" i="9"/>
  <c r="L197" i="9"/>
  <c r="L21" i="8"/>
  <c r="L190" i="8"/>
  <c r="L178" i="8"/>
  <c r="L166" i="8"/>
  <c r="L165" i="8"/>
  <c r="L200" i="8"/>
  <c r="L175" i="8"/>
  <c r="L186" i="8"/>
  <c r="L161" i="8"/>
  <c r="L196" i="8"/>
  <c r="L195" i="8"/>
  <c r="L158" i="8"/>
  <c r="L169" i="8"/>
  <c r="L192" i="8"/>
  <c r="L191" i="8"/>
  <c r="L189" i="8"/>
  <c r="L188" i="8"/>
  <c r="L187" i="8"/>
  <c r="L174" i="8"/>
  <c r="L197" i="8"/>
  <c r="L172" i="8"/>
  <c r="L183" i="8"/>
  <c r="L194" i="8"/>
  <c r="L181" i="8"/>
  <c r="L168" i="8"/>
  <c r="L177" i="8"/>
  <c r="L176" i="8"/>
  <c r="L163" i="8"/>
  <c r="L162" i="8"/>
  <c r="L173" i="8"/>
  <c r="L184" i="8"/>
  <c r="L159" i="8"/>
  <c r="L170" i="8"/>
  <c r="L179" i="8"/>
  <c r="L164" i="8"/>
  <c r="L199" i="8"/>
  <c r="L198" i="8"/>
  <c r="L185" i="8"/>
  <c r="L160" i="8"/>
  <c r="L171" i="8"/>
  <c r="L182" i="8"/>
  <c r="L193" i="8"/>
  <c r="L180" i="8"/>
  <c r="L167" i="8"/>
  <c r="S22" i="2"/>
  <c r="S23" i="2"/>
  <c r="S26" i="2"/>
  <c r="S24" i="2"/>
  <c r="S27" i="2"/>
  <c r="S25" i="2"/>
  <c r="S19" i="2"/>
  <c r="AC29" i="3"/>
  <c r="L159" i="9"/>
  <c r="L145" i="9"/>
  <c r="L165" i="9"/>
  <c r="L164" i="9"/>
  <c r="L147" i="9"/>
  <c r="L146" i="9"/>
  <c r="L24" i="9"/>
  <c r="L152" i="9"/>
  <c r="L151" i="9"/>
  <c r="L148" i="9"/>
  <c r="L158" i="9"/>
  <c r="L168" i="9"/>
  <c r="L155" i="9"/>
  <c r="L153" i="9"/>
  <c r="L150" i="9"/>
  <c r="L160" i="9"/>
  <c r="L157" i="9"/>
  <c r="L166" i="9"/>
  <c r="L144" i="9"/>
  <c r="L163" i="9"/>
  <c r="L167" i="9"/>
  <c r="L143" i="9"/>
  <c r="L156" i="9"/>
  <c r="L162" i="9"/>
  <c r="L149" i="9"/>
  <c r="L154" i="9"/>
  <c r="L161" i="9"/>
  <c r="P17" i="3"/>
  <c r="AA18" i="3"/>
  <c r="O18" i="3"/>
  <c r="O19" i="3"/>
  <c r="AB19" i="3"/>
  <c r="AA19" i="3"/>
  <c r="P18" i="3"/>
  <c r="AB18" i="3"/>
  <c r="P19" i="3"/>
  <c r="AA23" i="3"/>
  <c r="O23" i="3"/>
  <c r="AA16" i="3"/>
  <c r="P16" i="3"/>
  <c r="AB16" i="3"/>
  <c r="P23" i="3"/>
  <c r="O16" i="3"/>
  <c r="AA17" i="3"/>
  <c r="O17" i="3"/>
  <c r="AB23" i="3"/>
  <c r="AB17" i="3"/>
  <c r="AB20" i="3"/>
  <c r="AB22" i="3"/>
  <c r="AB28" i="3"/>
  <c r="AB26" i="3"/>
  <c r="AB21" i="3"/>
  <c r="AB27" i="3"/>
  <c r="AB24" i="3"/>
  <c r="AB25" i="3"/>
  <c r="P22" i="3"/>
  <c r="P28" i="3"/>
  <c r="P24" i="3"/>
  <c r="P20" i="3"/>
  <c r="P25" i="3"/>
  <c r="P26" i="3"/>
  <c r="P21" i="3"/>
  <c r="P27" i="3"/>
  <c r="L22" i="9"/>
  <c r="L23" i="9"/>
  <c r="L19" i="9"/>
  <c r="L21" i="9"/>
  <c r="AA24" i="3"/>
  <c r="O24" i="3"/>
  <c r="O25" i="3"/>
  <c r="F27" i="3"/>
  <c r="O27" i="3"/>
  <c r="AA27" i="3"/>
  <c r="AA25" i="3"/>
  <c r="S20" i="2"/>
  <c r="S21" i="2"/>
  <c r="L22" i="8"/>
  <c r="O20" i="3"/>
  <c r="O26" i="3"/>
  <c r="L20" i="8"/>
  <c r="Q29" i="3"/>
  <c r="R29" i="3"/>
  <c r="F22" i="3" s="1"/>
  <c r="L19" i="8"/>
  <c r="AA22" i="3"/>
  <c r="L24" i="8"/>
  <c r="AD29" i="3"/>
  <c r="AA20" i="3"/>
  <c r="L23" i="8"/>
  <c r="L18" i="8"/>
  <c r="AA28" i="3"/>
  <c r="AA26" i="3"/>
  <c r="L20" i="9"/>
  <c r="L18" i="9"/>
  <c r="AA21" i="3"/>
  <c r="F26" i="3"/>
  <c r="O28" i="3"/>
  <c r="O21" i="3"/>
  <c r="F28" i="3"/>
  <c r="O22" i="3"/>
  <c r="E17" i="3" l="1"/>
  <c r="E16" i="3"/>
  <c r="E15" i="3"/>
  <c r="F15" i="3" s="1"/>
  <c r="E14" i="3"/>
  <c r="F14" i="3" s="1"/>
  <c r="AA29" i="3"/>
  <c r="AB29" i="3"/>
  <c r="G31" i="3"/>
  <c r="F24" i="3"/>
  <c r="P29" i="3"/>
  <c r="E20" i="3" l="1"/>
  <c r="F20" i="3" s="1"/>
  <c r="E21" i="3"/>
  <c r="F21" i="3" s="1"/>
  <c r="E18" i="3"/>
  <c r="F18" i="3" s="1"/>
  <c r="E19" i="3"/>
  <c r="F19" i="3" s="1"/>
  <c r="F17" i="3"/>
  <c r="F16" i="3"/>
  <c r="F25" i="3"/>
  <c r="F23" i="3"/>
  <c r="F29" i="3" l="1"/>
  <c r="F31" i="3" s="1"/>
  <c r="J12" i="9" l="1"/>
  <c r="J12" i="8"/>
  <c r="O15" i="2"/>
  <c r="Z11" i="12" l="1"/>
  <c r="A4" i="12"/>
  <c r="L4" i="12" l="1"/>
  <c r="R4" i="12"/>
  <c r="G4" i="12" s="1"/>
  <c r="S4" i="12"/>
  <c r="H4" i="12" s="1"/>
  <c r="T4" i="12"/>
  <c r="J4" i="12" s="1"/>
  <c r="U4" i="12"/>
  <c r="K4" i="12" s="1"/>
  <c r="F4" i="12"/>
  <c r="I4" i="12"/>
  <c r="Q4" i="12"/>
  <c r="E4" i="12"/>
  <c r="B5" i="12"/>
  <c r="O4" i="12"/>
  <c r="N4" i="12"/>
  <c r="AI4" i="12" s="1"/>
  <c r="P4" i="12"/>
  <c r="C5" i="12"/>
  <c r="Y5" i="12" s="1"/>
  <c r="AH5" i="12" l="1"/>
  <c r="AD5" i="12"/>
  <c r="W5" i="12"/>
  <c r="V5" i="12"/>
  <c r="AE5" i="12" s="1"/>
  <c r="X5" i="12"/>
  <c r="D5" i="12"/>
  <c r="A5" i="12"/>
  <c r="M4" i="12"/>
  <c r="L5" i="12" l="1"/>
  <c r="R5" i="12"/>
  <c r="G5" i="12" s="1"/>
  <c r="S5" i="12"/>
  <c r="H5" i="12" s="1"/>
  <c r="T5" i="12"/>
  <c r="J5" i="12" s="1"/>
  <c r="U5" i="12"/>
  <c r="K5" i="12" s="1"/>
  <c r="F5" i="12"/>
  <c r="I5" i="12"/>
  <c r="Q5" i="12"/>
  <c r="E5" i="12"/>
  <c r="B6" i="12"/>
  <c r="O5" i="12"/>
  <c r="N5" i="12"/>
  <c r="AI5" i="12" s="1"/>
  <c r="C6" i="12"/>
  <c r="Y6" i="12" s="1"/>
  <c r="P5" i="12"/>
  <c r="AH6" i="12" l="1"/>
  <c r="AD6" i="12"/>
  <c r="W6" i="12"/>
  <c r="X6" i="12"/>
  <c r="V6" i="12"/>
  <c r="AE6" i="12" s="1"/>
  <c r="D6" i="12"/>
  <c r="A6" i="12"/>
  <c r="M5" i="12"/>
  <c r="L6" i="12" l="1"/>
  <c r="R6" i="12"/>
  <c r="G6" i="12" s="1"/>
  <c r="S6" i="12"/>
  <c r="H6" i="12" s="1"/>
  <c r="T6" i="12"/>
  <c r="J6" i="12" s="1"/>
  <c r="U6" i="12"/>
  <c r="K6" i="12" s="1"/>
  <c r="F6" i="12"/>
  <c r="I6" i="12"/>
  <c r="Q6" i="12"/>
  <c r="E6" i="12"/>
  <c r="B7" i="12"/>
  <c r="O6" i="12"/>
  <c r="N6" i="12"/>
  <c r="AI6" i="12" s="1"/>
  <c r="P6" i="12"/>
  <c r="C7" i="12"/>
  <c r="Y7" i="12" s="1"/>
  <c r="AH7" i="12" l="1"/>
  <c r="AD7" i="12"/>
  <c r="V7" i="12"/>
  <c r="AE7" i="12" s="1"/>
  <c r="W7" i="12"/>
  <c r="X7" i="12"/>
  <c r="M6" i="12"/>
  <c r="D7" i="12"/>
  <c r="A7" i="12"/>
  <c r="L7" i="12" l="1"/>
  <c r="R7" i="12"/>
  <c r="G7" i="12" s="1"/>
  <c r="S7" i="12"/>
  <c r="H7" i="12" s="1"/>
  <c r="T7" i="12"/>
  <c r="J7" i="12" s="1"/>
  <c r="U7" i="12"/>
  <c r="K7" i="12" s="1"/>
  <c r="F7" i="12"/>
  <c r="I7" i="12"/>
  <c r="Q7" i="12"/>
  <c r="E7" i="12"/>
  <c r="B8" i="12"/>
  <c r="AE8" i="12" s="1"/>
  <c r="O7" i="12"/>
  <c r="N7" i="12"/>
  <c r="AI7" i="12" s="1"/>
  <c r="P7" i="12"/>
  <c r="C8" i="12"/>
  <c r="Y8" i="12" s="1"/>
  <c r="AH8" i="12" l="1"/>
  <c r="AD8" i="12"/>
  <c r="W8" i="12"/>
  <c r="X8" i="12"/>
  <c r="V8" i="12"/>
  <c r="D8" i="12"/>
  <c r="A8" i="12"/>
  <c r="M7" i="12"/>
  <c r="L8" i="12" l="1"/>
  <c r="S8" i="12"/>
  <c r="H8" i="12" s="1"/>
  <c r="R8" i="12"/>
  <c r="G8" i="12" s="1"/>
  <c r="U8" i="12"/>
  <c r="K8" i="12" s="1"/>
  <c r="T8" i="12"/>
  <c r="J8" i="12" s="1"/>
  <c r="F8" i="12"/>
  <c r="I8" i="12"/>
  <c r="Q8" i="12"/>
  <c r="E8" i="12"/>
  <c r="B9" i="12"/>
  <c r="AE9" i="12" s="1"/>
  <c r="O8" i="12"/>
  <c r="N8" i="12"/>
  <c r="AI8" i="12" s="1"/>
  <c r="P8" i="12"/>
  <c r="C9" i="12"/>
  <c r="Y9" i="12" s="1"/>
  <c r="AH9" i="12" l="1"/>
  <c r="AD9" i="12"/>
  <c r="V9" i="12"/>
  <c r="W9" i="12"/>
  <c r="X9" i="12"/>
  <c r="D9" i="12"/>
  <c r="M8" i="12"/>
  <c r="A9" i="12"/>
  <c r="L9" i="12" l="1"/>
  <c r="R9" i="12"/>
  <c r="G9" i="12" s="1"/>
  <c r="S9" i="12"/>
  <c r="H9" i="12" s="1"/>
  <c r="T9" i="12"/>
  <c r="J9" i="12" s="1"/>
  <c r="U9" i="12"/>
  <c r="K9" i="12" s="1"/>
  <c r="F9" i="12"/>
  <c r="I9" i="12"/>
  <c r="Q9" i="12"/>
  <c r="E9" i="12"/>
  <c r="B10" i="12"/>
  <c r="AE10" i="12" s="1"/>
  <c r="O9" i="12"/>
  <c r="N9" i="12"/>
  <c r="AI9" i="12" s="1"/>
  <c r="C10" i="12"/>
  <c r="Y10" i="12" s="1"/>
  <c r="P9" i="12"/>
  <c r="AH10" i="12" l="1"/>
  <c r="AD10" i="12"/>
  <c r="V10" i="12"/>
  <c r="W10" i="12"/>
  <c r="X10" i="12"/>
  <c r="M9" i="12"/>
  <c r="D10" i="12"/>
  <c r="A10" i="12"/>
  <c r="L10" i="12" l="1"/>
  <c r="R10" i="12"/>
  <c r="G10" i="12" s="1"/>
  <c r="S10" i="12"/>
  <c r="H10" i="12" s="1"/>
  <c r="U10" i="12"/>
  <c r="K10" i="12" s="1"/>
  <c r="T10" i="12"/>
  <c r="J10" i="12" s="1"/>
  <c r="F10" i="12"/>
  <c r="I10" i="12"/>
  <c r="Q10" i="12"/>
  <c r="E10" i="12"/>
  <c r="B11" i="12"/>
  <c r="AE11" i="12" s="1"/>
  <c r="O10" i="12"/>
  <c r="N10" i="12"/>
  <c r="AI10" i="12" s="1"/>
  <c r="P10" i="12"/>
  <c r="C11" i="12"/>
  <c r="Y11" i="12" s="1"/>
  <c r="AH11" i="12" l="1"/>
  <c r="AD11" i="12"/>
  <c r="V11" i="12"/>
  <c r="W11" i="12"/>
  <c r="X11" i="12"/>
  <c r="M10" i="12"/>
  <c r="D11" i="12"/>
  <c r="A11" i="12"/>
  <c r="L11" i="12" l="1"/>
  <c r="R11" i="12"/>
  <c r="G11" i="12" s="1"/>
  <c r="S11" i="12"/>
  <c r="H11" i="12" s="1"/>
  <c r="T11" i="12"/>
  <c r="J11" i="12" s="1"/>
  <c r="U11" i="12"/>
  <c r="K11" i="12" s="1"/>
  <c r="F11" i="12"/>
  <c r="I11" i="12"/>
  <c r="Q11" i="12"/>
  <c r="E11" i="12"/>
  <c r="B12" i="12"/>
  <c r="AE12" i="12" s="1"/>
  <c r="O11" i="12"/>
  <c r="N11" i="12"/>
  <c r="AI11" i="12" s="1"/>
  <c r="P11" i="12"/>
  <c r="C12" i="12"/>
  <c r="Y12" i="12" s="1"/>
  <c r="AH12" i="12" l="1"/>
  <c r="AD12" i="12"/>
  <c r="X12" i="12"/>
  <c r="V12" i="12"/>
  <c r="W12" i="12"/>
  <c r="M11" i="12"/>
  <c r="D12" i="12"/>
  <c r="A12" i="12"/>
  <c r="L12" i="12" l="1"/>
  <c r="R12" i="12"/>
  <c r="G12" i="12" s="1"/>
  <c r="S12" i="12"/>
  <c r="H12" i="12" s="1"/>
  <c r="T12" i="12"/>
  <c r="J12" i="12" s="1"/>
  <c r="U12" i="12"/>
  <c r="K12" i="12" s="1"/>
  <c r="F12" i="12"/>
  <c r="I12" i="12"/>
  <c r="Q12" i="12"/>
  <c r="E12" i="12"/>
  <c r="B13" i="12"/>
  <c r="AE13" i="12" s="1"/>
  <c r="O12" i="12"/>
  <c r="N12" i="12"/>
  <c r="AI12" i="12" s="1"/>
  <c r="P12" i="12"/>
  <c r="C13" i="12"/>
  <c r="Y13" i="12" s="1"/>
  <c r="AH13" i="12" l="1"/>
  <c r="AD13" i="12"/>
  <c r="W13" i="12"/>
  <c r="X13" i="12"/>
  <c r="V13" i="12"/>
  <c r="D13" i="12"/>
  <c r="A13" i="12"/>
  <c r="M12" i="12"/>
  <c r="L13" i="12" l="1"/>
  <c r="R13" i="12"/>
  <c r="G13" i="12" s="1"/>
  <c r="T13" i="12"/>
  <c r="J13" i="12" s="1"/>
  <c r="S13" i="12"/>
  <c r="H13" i="12" s="1"/>
  <c r="U13" i="12"/>
  <c r="K13" i="12" s="1"/>
  <c r="F13" i="12"/>
  <c r="I13" i="12"/>
  <c r="Q13" i="12"/>
  <c r="E13" i="12"/>
  <c r="B14" i="12"/>
  <c r="AE14" i="12" s="1"/>
  <c r="O13" i="12"/>
  <c r="N13" i="12"/>
  <c r="AI13" i="12" s="1"/>
  <c r="P13" i="12"/>
  <c r="C14" i="12"/>
  <c r="Y14" i="12" s="1"/>
  <c r="AH14" i="12" l="1"/>
  <c r="AD14" i="12"/>
  <c r="X14" i="12"/>
  <c r="V14" i="12"/>
  <c r="W14" i="12"/>
  <c r="M13" i="12"/>
  <c r="D14" i="12"/>
  <c r="A14" i="12"/>
  <c r="L14" i="12" l="1"/>
  <c r="R14" i="12"/>
  <c r="G14" i="12" s="1"/>
  <c r="S14" i="12"/>
  <c r="H14" i="12" s="1"/>
  <c r="T14" i="12"/>
  <c r="J14" i="12" s="1"/>
  <c r="U14" i="12"/>
  <c r="K14" i="12" s="1"/>
  <c r="F14" i="12"/>
  <c r="I14" i="12"/>
  <c r="Q14" i="12"/>
  <c r="E14" i="12"/>
  <c r="B15" i="12"/>
  <c r="AE15" i="12" s="1"/>
  <c r="O14" i="12"/>
  <c r="P14" i="12"/>
  <c r="C15" i="12"/>
  <c r="Y15" i="12" s="1"/>
  <c r="N14" i="12"/>
  <c r="AI14" i="12" s="1"/>
  <c r="AH15" i="12" l="1"/>
  <c r="AD15" i="12"/>
  <c r="V15" i="12"/>
  <c r="X15" i="12"/>
  <c r="W15" i="12"/>
  <c r="D15" i="12"/>
  <c r="A15" i="12"/>
  <c r="M14" i="12"/>
  <c r="L15" i="12" l="1"/>
  <c r="R15" i="12"/>
  <c r="G15" i="12" s="1"/>
  <c r="S15" i="12"/>
  <c r="H15" i="12" s="1"/>
  <c r="T15" i="12"/>
  <c r="J15" i="12" s="1"/>
  <c r="U15" i="12"/>
  <c r="K15" i="12" s="1"/>
  <c r="F15" i="12"/>
  <c r="I15" i="12"/>
  <c r="Q15" i="12"/>
  <c r="E15" i="12"/>
  <c r="B16" i="12"/>
  <c r="AE16" i="12" s="1"/>
  <c r="O15" i="12"/>
  <c r="N15" i="12"/>
  <c r="AI15" i="12" s="1"/>
  <c r="P15" i="12"/>
  <c r="C16" i="12"/>
  <c r="Y16" i="12" s="1"/>
  <c r="AH16" i="12" l="1"/>
  <c r="AD16" i="12"/>
  <c r="X16" i="12"/>
  <c r="W16" i="12"/>
  <c r="V16" i="12"/>
  <c r="M15" i="12"/>
  <c r="D16" i="12"/>
  <c r="A16" i="12"/>
  <c r="L16" i="12" l="1"/>
  <c r="R16" i="12"/>
  <c r="G16" i="12" s="1"/>
  <c r="S16" i="12"/>
  <c r="H16" i="12" s="1"/>
  <c r="U16" i="12"/>
  <c r="K16" i="12" s="1"/>
  <c r="T16" i="12"/>
  <c r="J16" i="12" s="1"/>
  <c r="F16" i="12"/>
  <c r="I16" i="12"/>
  <c r="Q16" i="12"/>
  <c r="E16" i="12"/>
  <c r="B17" i="12"/>
  <c r="AE17" i="12" s="1"/>
  <c r="O16" i="12"/>
  <c r="C17" i="12"/>
  <c r="Y17" i="12" s="1"/>
  <c r="N16" i="12"/>
  <c r="AI16" i="12" s="1"/>
  <c r="P16" i="12"/>
  <c r="AH17" i="12" l="1"/>
  <c r="AD17" i="12"/>
  <c r="V17" i="12"/>
  <c r="W17" i="12"/>
  <c r="X17" i="12"/>
  <c r="M16" i="12"/>
  <c r="D17" i="12"/>
  <c r="A17" i="12"/>
  <c r="L17" i="12" l="1"/>
  <c r="R17" i="12"/>
  <c r="G17" i="12" s="1"/>
  <c r="S17" i="12"/>
  <c r="H17" i="12" s="1"/>
  <c r="T17" i="12"/>
  <c r="J17" i="12" s="1"/>
  <c r="U17" i="12"/>
  <c r="K17" i="12" s="1"/>
  <c r="F17" i="12"/>
  <c r="I17" i="12"/>
  <c r="Q17" i="12"/>
  <c r="E17" i="12"/>
  <c r="B18" i="12"/>
  <c r="AE18" i="12" s="1"/>
  <c r="O17" i="12"/>
  <c r="N17" i="12"/>
  <c r="AI17" i="12" s="1"/>
  <c r="P17" i="12"/>
  <c r="C18" i="12"/>
  <c r="Y18" i="12" s="1"/>
  <c r="AH18" i="12" l="1"/>
  <c r="AD18" i="12"/>
  <c r="V18" i="12"/>
  <c r="W18" i="12"/>
  <c r="M17" i="12"/>
  <c r="D18" i="12"/>
  <c r="A18" i="12"/>
  <c r="L18" i="12" l="1"/>
  <c r="U18" i="12"/>
  <c r="K18" i="12" s="1"/>
  <c r="R18" i="12"/>
  <c r="G18" i="12" s="1"/>
  <c r="S18" i="12"/>
  <c r="H18" i="12" s="1"/>
  <c r="T18" i="12"/>
  <c r="J18" i="12" s="1"/>
  <c r="F18" i="12"/>
  <c r="I18" i="12"/>
  <c r="Q18" i="12"/>
  <c r="E18" i="12"/>
  <c r="B19" i="12"/>
  <c r="AE19" i="12" s="1"/>
  <c r="O18" i="12"/>
  <c r="N18" i="12"/>
  <c r="AI18" i="12" s="1"/>
  <c r="P18" i="12"/>
  <c r="C19" i="12"/>
  <c r="Y19" i="12" s="1"/>
  <c r="AH19" i="12" l="1"/>
  <c r="AD19" i="12"/>
  <c r="V19" i="12"/>
  <c r="W19" i="12"/>
  <c r="X19" i="12"/>
  <c r="M18" i="12"/>
  <c r="D19" i="12"/>
  <c r="A19" i="12"/>
  <c r="B20" i="12" l="1"/>
  <c r="AE20" i="12" s="1"/>
  <c r="C20" i="12"/>
  <c r="Y20" i="12" s="1"/>
  <c r="L19" i="12"/>
  <c r="T19" i="12"/>
  <c r="J19" i="12" s="1"/>
  <c r="U19" i="12"/>
  <c r="K19" i="12" s="1"/>
  <c r="S19" i="12"/>
  <c r="H19" i="12" s="1"/>
  <c r="R19" i="12"/>
  <c r="G19" i="12" s="1"/>
  <c r="F19" i="12"/>
  <c r="I19" i="12"/>
  <c r="Q19" i="12"/>
  <c r="E19" i="12"/>
  <c r="O19" i="12"/>
  <c r="N19" i="12"/>
  <c r="AI19" i="12" s="1"/>
  <c r="P19" i="12"/>
  <c r="A20" i="12" l="1"/>
  <c r="AD20" i="12"/>
  <c r="D20" i="12"/>
  <c r="AH20" i="12"/>
  <c r="V20" i="12"/>
  <c r="W20" i="12"/>
  <c r="X20" i="12"/>
  <c r="M19" i="12"/>
  <c r="E20" i="12" l="1"/>
  <c r="F20" i="12"/>
  <c r="I20" i="12"/>
  <c r="L20" i="12"/>
  <c r="N20" i="12"/>
  <c r="AI20" i="12" s="1"/>
  <c r="O20" i="12"/>
  <c r="P20" i="12"/>
  <c r="Q20" i="12"/>
  <c r="R20" i="12"/>
  <c r="G20" i="12" s="1"/>
  <c r="S20" i="12"/>
  <c r="H20" i="12" s="1"/>
  <c r="T20" i="12"/>
  <c r="J20" i="12" s="1"/>
  <c r="U20" i="12"/>
  <c r="K20" i="12" s="1"/>
  <c r="B21" i="12"/>
  <c r="AE21" i="12" s="1"/>
  <c r="C21" i="12"/>
  <c r="Y21" i="12" s="1"/>
  <c r="V21" i="12" l="1"/>
  <c r="W21" i="12"/>
  <c r="X21" i="12"/>
  <c r="A21" i="12"/>
  <c r="D21" i="12"/>
  <c r="AD21" i="12"/>
  <c r="AH21" i="12"/>
  <c r="M20" i="12"/>
  <c r="T21" i="12" l="1"/>
  <c r="J21" i="12" s="1"/>
  <c r="U21" i="12"/>
  <c r="K21" i="12" s="1"/>
  <c r="F21" i="12"/>
  <c r="I21" i="12"/>
  <c r="P21" i="12"/>
  <c r="Q21" i="12"/>
  <c r="R21" i="12"/>
  <c r="G21" i="12" s="1"/>
  <c r="S21" i="12"/>
  <c r="H21" i="12" s="1"/>
  <c r="B22" i="12"/>
  <c r="AE22" i="12" s="1"/>
  <c r="C22" i="12"/>
  <c r="Y22" i="12" s="1"/>
  <c r="E21" i="12"/>
  <c r="L21" i="12"/>
  <c r="N21" i="12"/>
  <c r="AI21" i="12" s="1"/>
  <c r="O21" i="12"/>
  <c r="AD22" i="12" l="1"/>
  <c r="AH22" i="12"/>
  <c r="D22" i="12"/>
  <c r="V22" i="12"/>
  <c r="W22" i="12"/>
  <c r="X22" i="12"/>
  <c r="A22" i="12"/>
  <c r="M21" i="12"/>
  <c r="O22" i="12" l="1"/>
  <c r="P22" i="12"/>
  <c r="Q22" i="12"/>
  <c r="R22" i="12"/>
  <c r="G22" i="12" s="1"/>
  <c r="S22" i="12"/>
  <c r="H22" i="12" s="1"/>
  <c r="F22" i="12"/>
  <c r="I22" i="12"/>
  <c r="E22" i="12"/>
  <c r="B23" i="12"/>
  <c r="AE23" i="12" s="1"/>
  <c r="L22" i="12"/>
  <c r="N22" i="12"/>
  <c r="AI22" i="12" s="1"/>
  <c r="T22" i="12"/>
  <c r="J22" i="12" s="1"/>
  <c r="U22" i="12"/>
  <c r="K22" i="12" s="1"/>
  <c r="C23" i="12"/>
  <c r="Y23" i="12" s="1"/>
  <c r="M22" i="12" l="1"/>
  <c r="A23" i="12"/>
  <c r="V23" i="12"/>
  <c r="W23" i="12"/>
  <c r="X23" i="12"/>
  <c r="AD23" i="12"/>
  <c r="D23" i="12"/>
  <c r="AH23" i="12"/>
  <c r="L23" i="12" l="1"/>
  <c r="N23" i="12"/>
  <c r="AI23" i="12" s="1"/>
  <c r="F23" i="12"/>
  <c r="I23" i="12"/>
  <c r="O23" i="12"/>
  <c r="B24" i="12"/>
  <c r="AE24" i="12" s="1"/>
  <c r="C24" i="12"/>
  <c r="Y24" i="12" s="1"/>
  <c r="R23" i="12"/>
  <c r="G23" i="12" s="1"/>
  <c r="S23" i="12"/>
  <c r="H23" i="12" s="1"/>
  <c r="T23" i="12"/>
  <c r="J23" i="12" s="1"/>
  <c r="U23" i="12"/>
  <c r="K23" i="12" s="1"/>
  <c r="E23" i="12"/>
  <c r="P23" i="12"/>
  <c r="Q23" i="12"/>
  <c r="D24" i="12" l="1"/>
  <c r="W24" i="12"/>
  <c r="X24" i="12"/>
  <c r="AD24" i="12"/>
  <c r="V24" i="12"/>
  <c r="AH24" i="12"/>
  <c r="A24" i="12"/>
  <c r="M23" i="12"/>
  <c r="E24" i="12" l="1"/>
  <c r="F24" i="12"/>
  <c r="B25" i="12"/>
  <c r="AE25" i="12" s="1"/>
  <c r="C25" i="12"/>
  <c r="Y25" i="12" s="1"/>
  <c r="I24" i="12"/>
  <c r="L24" i="12"/>
  <c r="N24" i="12"/>
  <c r="AI24" i="12" s="1"/>
  <c r="O24" i="12"/>
  <c r="P24" i="12"/>
  <c r="S24" i="12"/>
  <c r="H24" i="12" s="1"/>
  <c r="T24" i="12"/>
  <c r="J24" i="12" s="1"/>
  <c r="U24" i="12"/>
  <c r="K24" i="12" s="1"/>
  <c r="Q24" i="12"/>
  <c r="R24" i="12"/>
  <c r="G24" i="12" s="1"/>
  <c r="X25" i="12" l="1"/>
  <c r="A25" i="12"/>
  <c r="AD25" i="12"/>
  <c r="D25" i="12"/>
  <c r="AH25" i="12"/>
  <c r="V25" i="12"/>
  <c r="W25" i="12"/>
  <c r="M24" i="12"/>
  <c r="L25" i="12" l="1"/>
  <c r="N25" i="12"/>
  <c r="AI25" i="12" s="1"/>
  <c r="O25" i="12"/>
  <c r="Q25" i="12"/>
  <c r="R25" i="12"/>
  <c r="G25" i="12" s="1"/>
  <c r="S25" i="12"/>
  <c r="H25" i="12" s="1"/>
  <c r="T25" i="12"/>
  <c r="J25" i="12" s="1"/>
  <c r="U25" i="12"/>
  <c r="K25" i="12" s="1"/>
  <c r="I25" i="12"/>
  <c r="P25" i="12"/>
  <c r="B26" i="12"/>
  <c r="AE26" i="12" s="1"/>
  <c r="C26" i="12"/>
  <c r="Y26" i="12" s="1"/>
  <c r="F25" i="12"/>
  <c r="E25" i="12"/>
  <c r="M25" i="12" l="1"/>
  <c r="V26" i="12"/>
  <c r="W26" i="12"/>
  <c r="AH26" i="12"/>
  <c r="X26" i="12"/>
  <c r="AD26" i="12"/>
  <c r="A26" i="12"/>
  <c r="D26" i="12"/>
  <c r="S26" i="12" l="1"/>
  <c r="H26" i="12" s="1"/>
  <c r="T26" i="12"/>
  <c r="J26" i="12" s="1"/>
  <c r="U26" i="12"/>
  <c r="K26" i="12" s="1"/>
  <c r="L26" i="12"/>
  <c r="N26" i="12"/>
  <c r="AI26" i="12" s="1"/>
  <c r="O26" i="12"/>
  <c r="B27" i="12"/>
  <c r="AE27" i="12" s="1"/>
  <c r="C27" i="12"/>
  <c r="Y27" i="12" s="1"/>
  <c r="E26" i="12"/>
  <c r="F26" i="12"/>
  <c r="I26" i="12"/>
  <c r="R26" i="12"/>
  <c r="G26" i="12" s="1"/>
  <c r="P26" i="12"/>
  <c r="Q26" i="12"/>
  <c r="M26" i="12" l="1"/>
  <c r="A27" i="12"/>
  <c r="D27" i="12"/>
  <c r="AD27" i="12"/>
  <c r="AH27" i="12"/>
  <c r="V27" i="12"/>
  <c r="W27" i="12"/>
  <c r="X27" i="12"/>
  <c r="N27" i="12" l="1"/>
  <c r="AI27" i="12" s="1"/>
  <c r="O27" i="12"/>
  <c r="P27" i="12"/>
  <c r="Q27" i="12"/>
  <c r="R27" i="12"/>
  <c r="G27" i="12" s="1"/>
  <c r="L27" i="12"/>
  <c r="S27" i="12"/>
  <c r="H27" i="12" s="1"/>
  <c r="T27" i="12"/>
  <c r="J27" i="12" s="1"/>
  <c r="C28" i="12"/>
  <c r="Y28" i="12" s="1"/>
  <c r="E27" i="12"/>
  <c r="F27" i="12"/>
  <c r="I27" i="12"/>
  <c r="U27" i="12"/>
  <c r="K27" i="12" s="1"/>
  <c r="B28" i="12"/>
  <c r="AE28" i="12" s="1"/>
  <c r="M27" i="12" l="1"/>
  <c r="D28" i="12"/>
  <c r="X28" i="12"/>
  <c r="AD28" i="12"/>
  <c r="AH28" i="12"/>
  <c r="V28" i="12"/>
  <c r="W28" i="12"/>
  <c r="A28" i="12"/>
  <c r="I28" i="12" l="1"/>
  <c r="L28" i="12"/>
  <c r="P28" i="12"/>
  <c r="Q28" i="12"/>
  <c r="R28" i="12"/>
  <c r="G28" i="12" s="1"/>
  <c r="S28" i="12"/>
  <c r="H28" i="12" s="1"/>
  <c r="T28" i="12"/>
  <c r="J28" i="12" s="1"/>
  <c r="E28" i="12"/>
  <c r="F28" i="12"/>
  <c r="B29" i="12"/>
  <c r="AE29" i="12" s="1"/>
  <c r="C29" i="12"/>
  <c r="Y29" i="12" s="1"/>
  <c r="U28" i="12"/>
  <c r="K28" i="12" s="1"/>
  <c r="O28" i="12"/>
  <c r="N28" i="12"/>
  <c r="AI28" i="12" s="1"/>
  <c r="M28" i="12" l="1"/>
  <c r="D29" i="12"/>
  <c r="AH29" i="12"/>
  <c r="V29" i="12"/>
  <c r="A29" i="12"/>
  <c r="X29" i="12"/>
  <c r="AD29" i="12"/>
  <c r="W29" i="12"/>
  <c r="E29" i="12" l="1"/>
  <c r="F29" i="12"/>
  <c r="B30" i="12"/>
  <c r="AE30" i="12" s="1"/>
  <c r="C30" i="12"/>
  <c r="Y30" i="12" s="1"/>
  <c r="P29" i="12"/>
  <c r="Q29" i="12"/>
  <c r="R29" i="12"/>
  <c r="G29" i="12" s="1"/>
  <c r="S29" i="12"/>
  <c r="H29" i="12" s="1"/>
  <c r="T29" i="12"/>
  <c r="J29" i="12" s="1"/>
  <c r="N29" i="12"/>
  <c r="AI29" i="12" s="1"/>
  <c r="O29" i="12"/>
  <c r="U29" i="12"/>
  <c r="K29" i="12" s="1"/>
  <c r="I29" i="12"/>
  <c r="L29" i="12"/>
  <c r="W30" i="12" l="1"/>
  <c r="X30" i="12"/>
  <c r="A30" i="12"/>
  <c r="AD30" i="12"/>
  <c r="AH30" i="12"/>
  <c r="D30" i="12"/>
  <c r="V30" i="12"/>
  <c r="M29" i="12"/>
  <c r="P30" i="12" l="1"/>
  <c r="Q30" i="12"/>
  <c r="R30" i="12"/>
  <c r="G30" i="12" s="1"/>
  <c r="S30" i="12"/>
  <c r="H30" i="12" s="1"/>
  <c r="T30" i="12"/>
  <c r="J30" i="12" s="1"/>
  <c r="B31" i="12"/>
  <c r="AE31" i="12" s="1"/>
  <c r="C31" i="12"/>
  <c r="Y31" i="12" s="1"/>
  <c r="L30" i="12"/>
  <c r="N30" i="12"/>
  <c r="AI30" i="12" s="1"/>
  <c r="E30" i="12"/>
  <c r="F30" i="12"/>
  <c r="O30" i="12"/>
  <c r="U30" i="12"/>
  <c r="K30" i="12" s="1"/>
  <c r="I30" i="12"/>
  <c r="M30" i="12" l="1"/>
  <c r="V31" i="12"/>
  <c r="W31" i="12"/>
  <c r="X31" i="12"/>
  <c r="A31" i="12"/>
  <c r="AD31" i="12"/>
  <c r="D31" i="12"/>
  <c r="AH31" i="12"/>
  <c r="R31" i="12" l="1"/>
  <c r="G31" i="12" s="1"/>
  <c r="S31" i="12"/>
  <c r="H31" i="12" s="1"/>
  <c r="T31" i="12"/>
  <c r="J31" i="12" s="1"/>
  <c r="U31" i="12"/>
  <c r="K31" i="12" s="1"/>
  <c r="P31" i="12"/>
  <c r="Q31" i="12"/>
  <c r="B32" i="12"/>
  <c r="AE32" i="12" s="1"/>
  <c r="C32" i="12"/>
  <c r="Y32" i="12" s="1"/>
  <c r="I31" i="12"/>
  <c r="N31" i="12"/>
  <c r="AI31" i="12" s="1"/>
  <c r="O31" i="12"/>
  <c r="E31" i="12"/>
  <c r="F31" i="12"/>
  <c r="L31" i="12"/>
  <c r="M31" i="12" l="1"/>
  <c r="V32" i="12"/>
  <c r="W32" i="12"/>
  <c r="X32" i="12"/>
  <c r="D32" i="12"/>
  <c r="A32" i="12"/>
  <c r="AD32" i="12"/>
  <c r="AH32" i="12"/>
  <c r="N32" i="12" l="1"/>
  <c r="AI32" i="12" s="1"/>
  <c r="O32" i="12"/>
  <c r="P32" i="12"/>
  <c r="Q32" i="12"/>
  <c r="U32" i="12"/>
  <c r="K32" i="12" s="1"/>
  <c r="E32" i="12"/>
  <c r="F32" i="12"/>
  <c r="I32" i="12"/>
  <c r="C33" i="12"/>
  <c r="Y33" i="12" s="1"/>
  <c r="B33" i="12"/>
  <c r="AE33" i="12" s="1"/>
  <c r="S32" i="12"/>
  <c r="H32" i="12" s="1"/>
  <c r="T32" i="12"/>
  <c r="J32" i="12" s="1"/>
  <c r="L32" i="12"/>
  <c r="R32" i="12"/>
  <c r="G32" i="12" s="1"/>
  <c r="V33" i="12" l="1"/>
  <c r="W33" i="12"/>
  <c r="X33" i="12"/>
  <c r="AD33" i="12"/>
  <c r="AH33" i="12"/>
  <c r="D33" i="12"/>
  <c r="A33" i="12"/>
  <c r="M32" i="12"/>
  <c r="C34" i="12" l="1"/>
  <c r="Y34" i="12" s="1"/>
  <c r="I33" i="12"/>
  <c r="L33" i="12"/>
  <c r="U33" i="12"/>
  <c r="K33" i="12" s="1"/>
  <c r="N33" i="12"/>
  <c r="AI33" i="12" s="1"/>
  <c r="O33" i="12"/>
  <c r="P33" i="12"/>
  <c r="Q33" i="12"/>
  <c r="R33" i="12"/>
  <c r="G33" i="12" s="1"/>
  <c r="E33" i="12"/>
  <c r="F33" i="12"/>
  <c r="B34" i="12"/>
  <c r="AE34" i="12" s="1"/>
  <c r="S33" i="12"/>
  <c r="H33" i="12" s="1"/>
  <c r="T33" i="12"/>
  <c r="J33" i="12" s="1"/>
  <c r="M33" i="12" l="1"/>
  <c r="D34" i="12"/>
  <c r="AH34" i="12"/>
  <c r="V34" i="12"/>
  <c r="W34" i="12"/>
  <c r="X34" i="12"/>
  <c r="AD34" i="12"/>
  <c r="A34" i="12"/>
  <c r="E34" i="12" l="1"/>
  <c r="F34" i="12"/>
  <c r="B35" i="12"/>
  <c r="AE35" i="12" s="1"/>
  <c r="U34" i="12"/>
  <c r="K34" i="12" s="1"/>
  <c r="S34" i="12"/>
  <c r="H34" i="12" s="1"/>
  <c r="T34" i="12"/>
  <c r="J34" i="12" s="1"/>
  <c r="C35" i="12"/>
  <c r="Y35" i="12" s="1"/>
  <c r="L34" i="12"/>
  <c r="N34" i="12"/>
  <c r="AI34" i="12" s="1"/>
  <c r="P34" i="12"/>
  <c r="Q34" i="12"/>
  <c r="R34" i="12"/>
  <c r="G34" i="12" s="1"/>
  <c r="I34" i="12"/>
  <c r="O34" i="12"/>
  <c r="V35" i="12" l="1"/>
  <c r="W35" i="12"/>
  <c r="X35" i="12"/>
  <c r="A35" i="12"/>
  <c r="AD35" i="12"/>
  <c r="AH35" i="12"/>
  <c r="D35" i="12"/>
  <c r="M34" i="12"/>
  <c r="U35" i="12" l="1"/>
  <c r="K35" i="12" s="1"/>
  <c r="L35" i="12"/>
  <c r="N35" i="12"/>
  <c r="AI35" i="12" s="1"/>
  <c r="O35" i="12"/>
  <c r="P35" i="12"/>
  <c r="I35" i="12"/>
  <c r="Q35" i="12"/>
  <c r="R35" i="12"/>
  <c r="G35" i="12" s="1"/>
  <c r="E35" i="12"/>
  <c r="F35" i="12"/>
  <c r="B36" i="12"/>
  <c r="AE36" i="12" s="1"/>
  <c r="C36" i="12"/>
  <c r="Y36" i="12" s="1"/>
  <c r="S35" i="12"/>
  <c r="H35" i="12" s="1"/>
  <c r="T35" i="12"/>
  <c r="J35" i="12" s="1"/>
  <c r="M35" i="12" l="1"/>
  <c r="AD36" i="12"/>
  <c r="AH36" i="12"/>
  <c r="A36" i="12"/>
  <c r="V36" i="12"/>
  <c r="W36" i="12"/>
  <c r="X36" i="12"/>
  <c r="D36" i="12"/>
  <c r="Q36" i="12" l="1"/>
  <c r="R36" i="12"/>
  <c r="G36" i="12" s="1"/>
  <c r="S36" i="12"/>
  <c r="H36" i="12" s="1"/>
  <c r="T36" i="12"/>
  <c r="J36" i="12" s="1"/>
  <c r="U36" i="12"/>
  <c r="K36" i="12" s="1"/>
  <c r="E36" i="12"/>
  <c r="F36" i="12"/>
  <c r="I36" i="12"/>
  <c r="C37" i="12"/>
  <c r="Y37" i="12" s="1"/>
  <c r="P36" i="12"/>
  <c r="L36" i="12"/>
  <c r="O36" i="12"/>
  <c r="B37" i="12"/>
  <c r="AE37" i="12" s="1"/>
  <c r="N36" i="12"/>
  <c r="AI36" i="12" s="1"/>
  <c r="AD37" i="12" l="1"/>
  <c r="AH37" i="12"/>
  <c r="A37" i="12"/>
  <c r="D37" i="12"/>
  <c r="V37" i="12"/>
  <c r="W37" i="12"/>
  <c r="X37" i="12"/>
  <c r="M36" i="12"/>
  <c r="L37" i="12" l="1"/>
  <c r="N37" i="12"/>
  <c r="AI37" i="12" s="1"/>
  <c r="O37" i="12"/>
  <c r="P37" i="12"/>
  <c r="Q37" i="12"/>
  <c r="R37" i="12"/>
  <c r="G37" i="12" s="1"/>
  <c r="S37" i="12"/>
  <c r="H37" i="12" s="1"/>
  <c r="E37" i="12"/>
  <c r="F37" i="12"/>
  <c r="T37" i="12"/>
  <c r="J37" i="12" s="1"/>
  <c r="U37" i="12"/>
  <c r="K37" i="12" s="1"/>
  <c r="B38" i="12"/>
  <c r="AE38" i="12" s="1"/>
  <c r="C38" i="12"/>
  <c r="Y38" i="12" s="1"/>
  <c r="I37" i="12"/>
  <c r="AD38" i="12" l="1"/>
  <c r="AH38" i="12"/>
  <c r="A38" i="12"/>
  <c r="V38" i="12"/>
  <c r="W38" i="12"/>
  <c r="X38" i="12"/>
  <c r="D38" i="12"/>
  <c r="M37" i="12"/>
  <c r="B39" i="12" l="1"/>
  <c r="AE39" i="12" s="1"/>
  <c r="C39" i="12"/>
  <c r="Y39" i="12" s="1"/>
  <c r="I38" i="12"/>
  <c r="T38" i="12"/>
  <c r="J38" i="12" s="1"/>
  <c r="U38" i="12"/>
  <c r="K38" i="12" s="1"/>
  <c r="R38" i="12"/>
  <c r="G38" i="12" s="1"/>
  <c r="S38" i="12"/>
  <c r="H38" i="12" s="1"/>
  <c r="E38" i="12"/>
  <c r="F38" i="12"/>
  <c r="L38" i="12"/>
  <c r="O38" i="12"/>
  <c r="P38" i="12"/>
  <c r="Q38" i="12"/>
  <c r="N38" i="12"/>
  <c r="AI38" i="12" s="1"/>
  <c r="M38" i="12" l="1"/>
  <c r="AD39" i="12"/>
  <c r="D39" i="12"/>
  <c r="AH39" i="12"/>
  <c r="A39" i="12"/>
  <c r="V39" i="12"/>
  <c r="W39" i="12"/>
  <c r="X39" i="12"/>
  <c r="E39" i="12" l="1"/>
  <c r="F39" i="12"/>
  <c r="B40" i="12"/>
  <c r="AE40" i="12" s="1"/>
  <c r="C40" i="12"/>
  <c r="Y40" i="12" s="1"/>
  <c r="P39" i="12"/>
  <c r="Q39" i="12"/>
  <c r="R39" i="12"/>
  <c r="G39" i="12" s="1"/>
  <c r="S39" i="12"/>
  <c r="H39" i="12" s="1"/>
  <c r="T39" i="12"/>
  <c r="J39" i="12" s="1"/>
  <c r="N39" i="12"/>
  <c r="AI39" i="12" s="1"/>
  <c r="O39" i="12"/>
  <c r="U39" i="12"/>
  <c r="K39" i="12" s="1"/>
  <c r="I39" i="12"/>
  <c r="L39" i="12"/>
  <c r="V40" i="12" l="1"/>
  <c r="W40" i="12"/>
  <c r="X40" i="12"/>
  <c r="A40" i="12"/>
  <c r="D40" i="12"/>
  <c r="AH40" i="12"/>
  <c r="AD40" i="12"/>
  <c r="M39" i="12"/>
  <c r="U40" i="12" l="1"/>
  <c r="K40" i="12" s="1"/>
  <c r="B41" i="12"/>
  <c r="AE41" i="12" s="1"/>
  <c r="C41" i="12"/>
  <c r="Y41" i="12" s="1"/>
  <c r="E40" i="12"/>
  <c r="F40" i="12"/>
  <c r="I40" i="12"/>
  <c r="N40" i="12"/>
  <c r="AI40" i="12" s="1"/>
  <c r="O40" i="12"/>
  <c r="P40" i="12"/>
  <c r="Q40" i="12"/>
  <c r="R40" i="12"/>
  <c r="G40" i="12" s="1"/>
  <c r="T40" i="12"/>
  <c r="J40" i="12" s="1"/>
  <c r="L40" i="12"/>
  <c r="S40" i="12"/>
  <c r="H40" i="12" s="1"/>
  <c r="M40" i="12" l="1"/>
  <c r="D41" i="12"/>
  <c r="V41" i="12"/>
  <c r="W41" i="12"/>
  <c r="X41" i="12"/>
  <c r="AD41" i="12"/>
  <c r="A41" i="12"/>
  <c r="AH41" i="12"/>
  <c r="P41" i="12" l="1"/>
  <c r="Q41" i="12"/>
  <c r="R41" i="12"/>
  <c r="G41" i="12" s="1"/>
  <c r="S41" i="12"/>
  <c r="H41" i="12" s="1"/>
  <c r="T41" i="12"/>
  <c r="J41" i="12" s="1"/>
  <c r="B42" i="12"/>
  <c r="AE42" i="12" s="1"/>
  <c r="C42" i="12"/>
  <c r="Y42" i="12" s="1"/>
  <c r="E41" i="12"/>
  <c r="F41" i="12"/>
  <c r="L41" i="12"/>
  <c r="N41" i="12"/>
  <c r="AI41" i="12" s="1"/>
  <c r="O41" i="12"/>
  <c r="I41" i="12"/>
  <c r="U41" i="12"/>
  <c r="K41" i="12" s="1"/>
  <c r="M41" i="12" l="1"/>
  <c r="D42" i="12"/>
  <c r="V42" i="12"/>
  <c r="W42" i="12"/>
  <c r="X42" i="12"/>
  <c r="A42" i="12"/>
  <c r="AH42" i="12"/>
  <c r="AD42" i="12"/>
  <c r="L42" i="12" l="1"/>
  <c r="N42" i="12"/>
  <c r="AI42" i="12" s="1"/>
  <c r="O42" i="12"/>
  <c r="B43" i="12"/>
  <c r="AE43" i="12" s="1"/>
  <c r="C43" i="12"/>
  <c r="Y43" i="12" s="1"/>
  <c r="E42" i="12"/>
  <c r="F42" i="12"/>
  <c r="U42" i="12"/>
  <c r="K42" i="12" s="1"/>
  <c r="I42" i="12"/>
  <c r="P42" i="12"/>
  <c r="Q42" i="12"/>
  <c r="R42" i="12"/>
  <c r="G42" i="12" s="1"/>
  <c r="S42" i="12"/>
  <c r="H42" i="12" s="1"/>
  <c r="T42" i="12"/>
  <c r="J42" i="12" s="1"/>
  <c r="M42" i="12" l="1"/>
  <c r="D43" i="12"/>
  <c r="AD43" i="12"/>
  <c r="AH43" i="12"/>
  <c r="V43" i="12"/>
  <c r="W43" i="12"/>
  <c r="X43" i="12"/>
  <c r="A43" i="12"/>
  <c r="F43" i="12" l="1"/>
  <c r="B44" i="12"/>
  <c r="AE44" i="12" s="1"/>
  <c r="C44" i="12"/>
  <c r="Y44" i="12" s="1"/>
  <c r="I43" i="12"/>
  <c r="E43" i="12"/>
  <c r="T43" i="12"/>
  <c r="J43" i="12" s="1"/>
  <c r="U43" i="12"/>
  <c r="K43" i="12" s="1"/>
  <c r="R43" i="12"/>
  <c r="G43" i="12" s="1"/>
  <c r="S43" i="12"/>
  <c r="H43" i="12" s="1"/>
  <c r="L43" i="12"/>
  <c r="O43" i="12"/>
  <c r="P43" i="12"/>
  <c r="Q43" i="12"/>
  <c r="N43" i="12"/>
  <c r="AI43" i="12" s="1"/>
  <c r="A44" i="12" l="1"/>
  <c r="AD44" i="12"/>
  <c r="D44" i="12"/>
  <c r="AH44" i="12"/>
  <c r="V44" i="12"/>
  <c r="W44" i="12"/>
  <c r="X44" i="12"/>
  <c r="M43" i="12"/>
  <c r="E44" i="12" l="1"/>
  <c r="I44" i="12"/>
  <c r="F44" i="12"/>
  <c r="L44" i="12"/>
  <c r="U44" i="12"/>
  <c r="K44" i="12" s="1"/>
  <c r="R44" i="12"/>
  <c r="G44" i="12" s="1"/>
  <c r="S44" i="12"/>
  <c r="H44" i="12" s="1"/>
  <c r="T44" i="12"/>
  <c r="J44" i="12" s="1"/>
  <c r="B45" i="12"/>
  <c r="AE45" i="12" s="1"/>
  <c r="N44" i="12"/>
  <c r="AI44" i="12" s="1"/>
  <c r="P44" i="12"/>
  <c r="Q44" i="12"/>
  <c r="C45" i="12"/>
  <c r="Y45" i="12" s="1"/>
  <c r="O44" i="12"/>
  <c r="V45" i="12" l="1"/>
  <c r="W45" i="12"/>
  <c r="AH45" i="12"/>
  <c r="A45" i="12"/>
  <c r="X45" i="12"/>
  <c r="D45" i="12"/>
  <c r="AD45" i="12"/>
  <c r="M44" i="12"/>
  <c r="T45" i="12" l="1"/>
  <c r="J45" i="12" s="1"/>
  <c r="U45" i="12"/>
  <c r="K45" i="12" s="1"/>
  <c r="F45" i="12"/>
  <c r="I45" i="12"/>
  <c r="L45" i="12"/>
  <c r="N45" i="12"/>
  <c r="AI45" i="12" s="1"/>
  <c r="O45" i="12"/>
  <c r="E45" i="12"/>
  <c r="P45" i="12"/>
  <c r="Q45" i="12"/>
  <c r="R45" i="12"/>
  <c r="G45" i="12" s="1"/>
  <c r="S45" i="12"/>
  <c r="H45" i="12" s="1"/>
  <c r="B46" i="12"/>
  <c r="AE46" i="12" s="1"/>
  <c r="C46" i="12"/>
  <c r="Y46" i="12" s="1"/>
  <c r="V46" i="12" l="1"/>
  <c r="W46" i="12"/>
  <c r="AH46" i="12"/>
  <c r="A46" i="12"/>
  <c r="X46" i="12"/>
  <c r="AD46" i="12"/>
  <c r="D46" i="12"/>
  <c r="M45" i="12"/>
  <c r="O46" i="12" l="1"/>
  <c r="P46" i="12"/>
  <c r="Q46" i="12"/>
  <c r="R46" i="12"/>
  <c r="G46" i="12" s="1"/>
  <c r="E46" i="12"/>
  <c r="F46" i="12"/>
  <c r="I46" i="12"/>
  <c r="S46" i="12"/>
  <c r="H46" i="12" s="1"/>
  <c r="T46" i="12"/>
  <c r="J46" i="12" s="1"/>
  <c r="U46" i="12"/>
  <c r="K46" i="12" s="1"/>
  <c r="B47" i="12"/>
  <c r="AE47" i="12" s="1"/>
  <c r="C47" i="12"/>
  <c r="Y47" i="12" s="1"/>
  <c r="N46" i="12"/>
  <c r="AI46" i="12" s="1"/>
  <c r="L46" i="12"/>
  <c r="M46" i="12" l="1"/>
  <c r="D47" i="12"/>
  <c r="W47" i="12"/>
  <c r="X47" i="12"/>
  <c r="AD47" i="12"/>
  <c r="A47" i="12"/>
  <c r="V47" i="12"/>
  <c r="AH47" i="12"/>
  <c r="L47" i="12" l="1"/>
  <c r="C48" i="12"/>
  <c r="Y48" i="12" s="1"/>
  <c r="E47" i="12"/>
  <c r="F47" i="12"/>
  <c r="U47" i="12"/>
  <c r="K47" i="12" s="1"/>
  <c r="N47" i="12"/>
  <c r="AI47" i="12" s="1"/>
  <c r="O47" i="12"/>
  <c r="P47" i="12"/>
  <c r="Q47" i="12"/>
  <c r="R47" i="12"/>
  <c r="G47" i="12" s="1"/>
  <c r="B48" i="12"/>
  <c r="AE48" i="12" s="1"/>
  <c r="S47" i="12"/>
  <c r="H47" i="12" s="1"/>
  <c r="I47" i="12"/>
  <c r="T47" i="12"/>
  <c r="J47" i="12" s="1"/>
  <c r="D48" i="12" l="1"/>
  <c r="AH48" i="12"/>
  <c r="A48" i="12"/>
  <c r="X48" i="12"/>
  <c r="AD48" i="12"/>
  <c r="V48" i="12"/>
  <c r="W48" i="12"/>
  <c r="M47" i="12"/>
  <c r="E48" i="12" l="1"/>
  <c r="F48" i="12"/>
  <c r="B49" i="12"/>
  <c r="AE49" i="12" s="1"/>
  <c r="C49" i="12"/>
  <c r="Y49" i="12" s="1"/>
  <c r="I48" i="12"/>
  <c r="Q48" i="12"/>
  <c r="R48" i="12"/>
  <c r="G48" i="12" s="1"/>
  <c r="S48" i="12"/>
  <c r="H48" i="12" s="1"/>
  <c r="T48" i="12"/>
  <c r="J48" i="12" s="1"/>
  <c r="U48" i="12"/>
  <c r="K48" i="12" s="1"/>
  <c r="L48" i="12"/>
  <c r="N48" i="12"/>
  <c r="AI48" i="12" s="1"/>
  <c r="O48" i="12"/>
  <c r="P48" i="12"/>
  <c r="X49" i="12" l="1"/>
  <c r="A49" i="12"/>
  <c r="AD49" i="12"/>
  <c r="D49" i="12"/>
  <c r="V49" i="12"/>
  <c r="W49" i="12"/>
  <c r="AH49" i="12"/>
  <c r="M48" i="12"/>
  <c r="F49" i="12" l="1"/>
  <c r="I49" i="12"/>
  <c r="E49" i="12"/>
  <c r="B50" i="12"/>
  <c r="AE50" i="12" s="1"/>
  <c r="C50" i="12"/>
  <c r="Y50" i="12" s="1"/>
  <c r="T49" i="12"/>
  <c r="J49" i="12" s="1"/>
  <c r="U49" i="12"/>
  <c r="K49" i="12" s="1"/>
  <c r="R49" i="12"/>
  <c r="G49" i="12" s="1"/>
  <c r="S49" i="12"/>
  <c r="H49" i="12" s="1"/>
  <c r="L49" i="12"/>
  <c r="N49" i="12"/>
  <c r="AI49" i="12" s="1"/>
  <c r="O49" i="12"/>
  <c r="P49" i="12"/>
  <c r="Q49" i="12"/>
  <c r="V50" i="12" l="1"/>
  <c r="A50" i="12"/>
  <c r="D50" i="12"/>
  <c r="AD50" i="12"/>
  <c r="AH50" i="12"/>
  <c r="X50" i="12"/>
  <c r="W50" i="12"/>
  <c r="M49" i="12"/>
  <c r="S50" i="12" l="1"/>
  <c r="H50" i="12" s="1"/>
  <c r="T50" i="12"/>
  <c r="J50" i="12" s="1"/>
  <c r="U50" i="12"/>
  <c r="K50" i="12" s="1"/>
  <c r="E50" i="12"/>
  <c r="F50" i="12"/>
  <c r="I50" i="12"/>
  <c r="L50" i="12"/>
  <c r="N50" i="12"/>
  <c r="AI50" i="12" s="1"/>
  <c r="O50" i="12"/>
  <c r="P50" i="12"/>
  <c r="Q50" i="12"/>
  <c r="B51" i="12"/>
  <c r="AE51" i="12" s="1"/>
  <c r="C51" i="12"/>
  <c r="Y51" i="12" s="1"/>
  <c r="R50" i="12"/>
  <c r="G50" i="12" s="1"/>
  <c r="D51" i="12" l="1"/>
  <c r="V51" i="12"/>
  <c r="W51" i="12"/>
  <c r="X51" i="12"/>
  <c r="AD51" i="12"/>
  <c r="AH51" i="12"/>
  <c r="A51" i="12"/>
  <c r="M50" i="12"/>
  <c r="N51" i="12" l="1"/>
  <c r="AI51" i="12" s="1"/>
  <c r="O51" i="12"/>
  <c r="P51" i="12"/>
  <c r="Q51" i="12"/>
  <c r="C52" i="12"/>
  <c r="Y52" i="12" s="1"/>
  <c r="E51" i="12"/>
  <c r="F51" i="12"/>
  <c r="S51" i="12"/>
  <c r="H51" i="12" s="1"/>
  <c r="T51" i="12"/>
  <c r="J51" i="12" s="1"/>
  <c r="U51" i="12"/>
  <c r="K51" i="12" s="1"/>
  <c r="R51" i="12"/>
  <c r="G51" i="12" s="1"/>
  <c r="B52" i="12"/>
  <c r="AE52" i="12" s="1"/>
  <c r="I51" i="12"/>
  <c r="L51" i="12"/>
  <c r="M51" i="12" l="1"/>
  <c r="D52" i="12"/>
  <c r="W52" i="12"/>
  <c r="X52" i="12"/>
  <c r="AD52" i="12"/>
  <c r="A52" i="12"/>
  <c r="AH52" i="12"/>
  <c r="V52" i="12"/>
  <c r="I52" i="12" l="1"/>
  <c r="L52" i="12"/>
  <c r="B53" i="12"/>
  <c r="AE53" i="12" s="1"/>
  <c r="C53" i="12"/>
  <c r="Y53" i="12" s="1"/>
  <c r="E52" i="12"/>
  <c r="F52" i="12"/>
  <c r="P52" i="12"/>
  <c r="Q52" i="12"/>
  <c r="R52" i="12"/>
  <c r="G52" i="12" s="1"/>
  <c r="S52" i="12"/>
  <c r="H52" i="12" s="1"/>
  <c r="T52" i="12"/>
  <c r="J52" i="12" s="1"/>
  <c r="N52" i="12"/>
  <c r="AI52" i="12" s="1"/>
  <c r="O52" i="12"/>
  <c r="U52" i="12"/>
  <c r="K52" i="12" s="1"/>
  <c r="M52" i="12" l="1"/>
  <c r="D53" i="12"/>
  <c r="AH53" i="12"/>
  <c r="V53" i="12"/>
  <c r="W53" i="12"/>
  <c r="X53" i="12"/>
  <c r="AD53" i="12"/>
  <c r="A53" i="12"/>
  <c r="E53" i="12" l="1"/>
  <c r="F53" i="12"/>
  <c r="B54" i="12"/>
  <c r="AE54" i="12" s="1"/>
  <c r="I53" i="12"/>
  <c r="C54" i="12"/>
  <c r="Y54" i="12" s="1"/>
  <c r="N53" i="12"/>
  <c r="AI53" i="12" s="1"/>
  <c r="O53" i="12"/>
  <c r="P53" i="12"/>
  <c r="Q53" i="12"/>
  <c r="L53" i="12"/>
  <c r="R53" i="12"/>
  <c r="G53" i="12" s="1"/>
  <c r="S53" i="12"/>
  <c r="H53" i="12" s="1"/>
  <c r="T53" i="12"/>
  <c r="J53" i="12" s="1"/>
  <c r="U53" i="12"/>
  <c r="K53" i="12" s="1"/>
  <c r="W54" i="12" l="1"/>
  <c r="X54" i="12"/>
  <c r="A54" i="12"/>
  <c r="AD54" i="12"/>
  <c r="D54" i="12"/>
  <c r="V54" i="12"/>
  <c r="AH54" i="12"/>
  <c r="M53" i="12"/>
  <c r="E54" i="12" l="1"/>
  <c r="F54" i="12"/>
  <c r="I54" i="12"/>
  <c r="T54" i="12"/>
  <c r="J54" i="12" s="1"/>
  <c r="U54" i="12"/>
  <c r="K54" i="12" s="1"/>
  <c r="B55" i="12"/>
  <c r="AE55" i="12" s="1"/>
  <c r="C55" i="12"/>
  <c r="Y55" i="12" s="1"/>
  <c r="N54" i="12"/>
  <c r="AI54" i="12" s="1"/>
  <c r="O54" i="12"/>
  <c r="P54" i="12"/>
  <c r="Q54" i="12"/>
  <c r="L54" i="12"/>
  <c r="R54" i="12"/>
  <c r="G54" i="12" s="1"/>
  <c r="S54" i="12"/>
  <c r="H54" i="12" s="1"/>
  <c r="D55" i="12" l="1"/>
  <c r="A55" i="12"/>
  <c r="AD55" i="12"/>
  <c r="AH55" i="12"/>
  <c r="V55" i="12"/>
  <c r="W55" i="12"/>
  <c r="X55" i="12"/>
  <c r="M54" i="12"/>
  <c r="R55" i="12" l="1"/>
  <c r="G55" i="12" s="1"/>
  <c r="S55" i="12"/>
  <c r="H55" i="12" s="1"/>
  <c r="T55" i="12"/>
  <c r="J55" i="12" s="1"/>
  <c r="U55" i="12"/>
  <c r="K55" i="12" s="1"/>
  <c r="C56" i="12"/>
  <c r="Y56" i="12" s="1"/>
  <c r="E55" i="12"/>
  <c r="F55" i="12"/>
  <c r="L55" i="12"/>
  <c r="N55" i="12"/>
  <c r="AI55" i="12" s="1"/>
  <c r="O55" i="12"/>
  <c r="I55" i="12"/>
  <c r="P55" i="12"/>
  <c r="Q55" i="12"/>
  <c r="B56" i="12"/>
  <c r="AE56" i="12" s="1"/>
  <c r="D56" i="12" l="1"/>
  <c r="V56" i="12"/>
  <c r="W56" i="12"/>
  <c r="X56" i="12"/>
  <c r="A56" i="12"/>
  <c r="AD56" i="12"/>
  <c r="AH56" i="12"/>
  <c r="M55" i="12"/>
  <c r="N56" i="12" l="1"/>
  <c r="AI56" i="12" s="1"/>
  <c r="O56" i="12"/>
  <c r="P56" i="12"/>
  <c r="B57" i="12"/>
  <c r="AE57" i="12" s="1"/>
  <c r="C57" i="12"/>
  <c r="Y57" i="12" s="1"/>
  <c r="E56" i="12"/>
  <c r="F56" i="12"/>
  <c r="S56" i="12"/>
  <c r="H56" i="12" s="1"/>
  <c r="T56" i="12"/>
  <c r="J56" i="12" s="1"/>
  <c r="U56" i="12"/>
  <c r="K56" i="12" s="1"/>
  <c r="L56" i="12"/>
  <c r="Q56" i="12"/>
  <c r="R56" i="12"/>
  <c r="G56" i="12" s="1"/>
  <c r="I56" i="12"/>
  <c r="M56" i="12" l="1"/>
  <c r="D57" i="12"/>
  <c r="W57" i="12"/>
  <c r="X57" i="12"/>
  <c r="AD57" i="12"/>
  <c r="V57" i="12"/>
  <c r="AH57" i="12"/>
  <c r="A57" i="12"/>
  <c r="C58" i="12" l="1"/>
  <c r="Y58" i="12" s="1"/>
  <c r="I57" i="12"/>
  <c r="B58" i="12"/>
  <c r="AE58" i="12" s="1"/>
  <c r="E57" i="12"/>
  <c r="F57" i="12"/>
  <c r="S57" i="12"/>
  <c r="H57" i="12" s="1"/>
  <c r="T57" i="12"/>
  <c r="J57" i="12" s="1"/>
  <c r="U57" i="12"/>
  <c r="K57" i="12" s="1"/>
  <c r="N57" i="12"/>
  <c r="AI57" i="12" s="1"/>
  <c r="O57" i="12"/>
  <c r="P57" i="12"/>
  <c r="Q57" i="12"/>
  <c r="L57" i="12"/>
  <c r="R57" i="12"/>
  <c r="G57" i="12" s="1"/>
  <c r="M57" i="12" l="1"/>
  <c r="D58" i="12"/>
  <c r="AH58" i="12"/>
  <c r="A58" i="12"/>
  <c r="W58" i="12"/>
  <c r="X58" i="12"/>
  <c r="AD58" i="12"/>
  <c r="V58" i="12"/>
  <c r="E58" i="12" l="1"/>
  <c r="F58" i="12"/>
  <c r="I58" i="12"/>
  <c r="B59" i="12"/>
  <c r="AE59" i="12" s="1"/>
  <c r="C59" i="12"/>
  <c r="Y59" i="12" s="1"/>
  <c r="L58" i="12"/>
  <c r="N58" i="12"/>
  <c r="AI58" i="12" s="1"/>
  <c r="O58" i="12"/>
  <c r="T58" i="12"/>
  <c r="J58" i="12" s="1"/>
  <c r="U58" i="12"/>
  <c r="K58" i="12" s="1"/>
  <c r="R58" i="12"/>
  <c r="G58" i="12" s="1"/>
  <c r="S58" i="12"/>
  <c r="H58" i="12" s="1"/>
  <c r="P58" i="12"/>
  <c r="Q58" i="12"/>
  <c r="V59" i="12" l="1"/>
  <c r="W59" i="12"/>
  <c r="X59" i="12"/>
  <c r="A59" i="12"/>
  <c r="D59" i="12"/>
  <c r="AD59" i="12"/>
  <c r="AH59" i="12"/>
  <c r="M58" i="12"/>
  <c r="C60" i="12" l="1"/>
  <c r="Y60" i="12" s="1"/>
  <c r="E59" i="12"/>
  <c r="F59" i="12"/>
  <c r="I59" i="12"/>
  <c r="R59" i="12"/>
  <c r="G59" i="12" s="1"/>
  <c r="S59" i="12"/>
  <c r="H59" i="12" s="1"/>
  <c r="T59" i="12"/>
  <c r="J59" i="12" s="1"/>
  <c r="U59" i="12"/>
  <c r="K59" i="12" s="1"/>
  <c r="B60" i="12"/>
  <c r="AE60" i="12" s="1"/>
  <c r="Q59" i="12"/>
  <c r="L59" i="12"/>
  <c r="O59" i="12"/>
  <c r="N59" i="12"/>
  <c r="AI59" i="12" s="1"/>
  <c r="P59" i="12"/>
  <c r="M59" i="12" l="1"/>
  <c r="D60" i="12"/>
  <c r="A60" i="12"/>
  <c r="X60" i="12"/>
  <c r="AD60" i="12"/>
  <c r="AH60" i="12"/>
  <c r="V60" i="12"/>
  <c r="W60" i="12"/>
  <c r="Q60" i="12" l="1"/>
  <c r="R60" i="12"/>
  <c r="G60" i="12" s="1"/>
  <c r="S60" i="12"/>
  <c r="H60" i="12" s="1"/>
  <c r="T60" i="12"/>
  <c r="J60" i="12" s="1"/>
  <c r="B61" i="12"/>
  <c r="AE61" i="12" s="1"/>
  <c r="C61" i="12"/>
  <c r="Y61" i="12" s="1"/>
  <c r="E60" i="12"/>
  <c r="F60" i="12"/>
  <c r="L60" i="12"/>
  <c r="N60" i="12"/>
  <c r="AI60" i="12" s="1"/>
  <c r="O60" i="12"/>
  <c r="I60" i="12"/>
  <c r="P60" i="12"/>
  <c r="U60" i="12"/>
  <c r="K60" i="12" s="1"/>
  <c r="M60" i="12" l="1"/>
  <c r="D61" i="12"/>
  <c r="V61" i="12"/>
  <c r="W61" i="12"/>
  <c r="AD61" i="12"/>
  <c r="AH61" i="12"/>
  <c r="A61" i="12"/>
  <c r="X61" i="12"/>
  <c r="L61" i="12" l="1"/>
  <c r="N61" i="12"/>
  <c r="AI61" i="12" s="1"/>
  <c r="O61" i="12"/>
  <c r="B62" i="12"/>
  <c r="AE62" i="12" s="1"/>
  <c r="C62" i="12"/>
  <c r="Y62" i="12" s="1"/>
  <c r="E61" i="12"/>
  <c r="F61" i="12"/>
  <c r="S61" i="12"/>
  <c r="H61" i="12" s="1"/>
  <c r="T61" i="12"/>
  <c r="J61" i="12" s="1"/>
  <c r="U61" i="12"/>
  <c r="K61" i="12" s="1"/>
  <c r="I61" i="12"/>
  <c r="Q61" i="12"/>
  <c r="P61" i="12"/>
  <c r="R61" i="12"/>
  <c r="G61" i="12" s="1"/>
  <c r="A62" i="12" l="1"/>
  <c r="D62" i="12"/>
  <c r="W62" i="12"/>
  <c r="X62" i="12"/>
  <c r="AD62" i="12"/>
  <c r="V62" i="12"/>
  <c r="AH62" i="12"/>
  <c r="M61" i="12"/>
  <c r="B63" i="12" l="1"/>
  <c r="AE63" i="12" s="1"/>
  <c r="C63" i="12"/>
  <c r="Y63" i="12" s="1"/>
  <c r="I62" i="12"/>
  <c r="E62" i="12"/>
  <c r="T62" i="12"/>
  <c r="J62" i="12" s="1"/>
  <c r="U62" i="12"/>
  <c r="K62" i="12" s="1"/>
  <c r="F62" i="12"/>
  <c r="O62" i="12"/>
  <c r="P62" i="12"/>
  <c r="Q62" i="12"/>
  <c r="R62" i="12"/>
  <c r="G62" i="12" s="1"/>
  <c r="S62" i="12"/>
  <c r="H62" i="12" s="1"/>
  <c r="L62" i="12"/>
  <c r="N62" i="12"/>
  <c r="AI62" i="12" s="1"/>
  <c r="M62" i="12" l="1"/>
  <c r="AD63" i="12"/>
  <c r="D63" i="12"/>
  <c r="AH63" i="12"/>
  <c r="A63" i="12"/>
  <c r="V63" i="12"/>
  <c r="W63" i="12"/>
  <c r="X63" i="12"/>
  <c r="E63" i="12" l="1"/>
  <c r="C64" i="12"/>
  <c r="Y64" i="12" s="1"/>
  <c r="F63" i="12"/>
  <c r="B64" i="12"/>
  <c r="AE64" i="12" s="1"/>
  <c r="I63" i="12"/>
  <c r="T63" i="12"/>
  <c r="J63" i="12" s="1"/>
  <c r="U63" i="12"/>
  <c r="K63" i="12" s="1"/>
  <c r="R63" i="12"/>
  <c r="G63" i="12" s="1"/>
  <c r="S63" i="12"/>
  <c r="H63" i="12" s="1"/>
  <c r="L63" i="12"/>
  <c r="N63" i="12"/>
  <c r="AI63" i="12" s="1"/>
  <c r="O63" i="12"/>
  <c r="P63" i="12"/>
  <c r="Q63" i="12"/>
  <c r="V64" i="12" l="1"/>
  <c r="W64" i="12"/>
  <c r="X64" i="12"/>
  <c r="D64" i="12"/>
  <c r="AH64" i="12"/>
  <c r="A64" i="12"/>
  <c r="AD64" i="12"/>
  <c r="M63" i="12"/>
  <c r="U64" i="12" l="1"/>
  <c r="K64" i="12" s="1"/>
  <c r="B65" i="12"/>
  <c r="AE65" i="12" s="1"/>
  <c r="C65" i="12"/>
  <c r="Y65" i="12" s="1"/>
  <c r="E64" i="12"/>
  <c r="F64" i="12"/>
  <c r="I64" i="12"/>
  <c r="N64" i="12"/>
  <c r="AI64" i="12" s="1"/>
  <c r="O64" i="12"/>
  <c r="P64" i="12"/>
  <c r="Q64" i="12"/>
  <c r="R64" i="12"/>
  <c r="G64" i="12" s="1"/>
  <c r="L64" i="12"/>
  <c r="S64" i="12"/>
  <c r="H64" i="12" s="1"/>
  <c r="T64" i="12"/>
  <c r="J64" i="12" s="1"/>
  <c r="M64" i="12" l="1"/>
  <c r="D65" i="12"/>
  <c r="AH65" i="12"/>
  <c r="W65" i="12"/>
  <c r="X65" i="12"/>
  <c r="AD65" i="12"/>
  <c r="A65" i="12"/>
  <c r="V65" i="12"/>
  <c r="P65" i="12" l="1"/>
  <c r="Q65" i="12"/>
  <c r="R65" i="12"/>
  <c r="G65" i="12" s="1"/>
  <c r="S65" i="12"/>
  <c r="H65" i="12" s="1"/>
  <c r="B66" i="12"/>
  <c r="AE66" i="12" s="1"/>
  <c r="C66" i="12"/>
  <c r="Y66" i="12" s="1"/>
  <c r="E65" i="12"/>
  <c r="F65" i="12"/>
  <c r="L65" i="12"/>
  <c r="N65" i="12"/>
  <c r="AI65" i="12" s="1"/>
  <c r="O65" i="12"/>
  <c r="I65" i="12"/>
  <c r="T65" i="12"/>
  <c r="J65" i="12" s="1"/>
  <c r="U65" i="12"/>
  <c r="K65" i="12" s="1"/>
  <c r="M65" i="12" l="1"/>
  <c r="A66" i="12"/>
  <c r="D66" i="12"/>
  <c r="V66" i="12"/>
  <c r="W66" i="12"/>
  <c r="AD66" i="12"/>
  <c r="AH66" i="12"/>
  <c r="X66" i="12"/>
  <c r="L66" i="12" l="1"/>
  <c r="N66" i="12"/>
  <c r="AI66" i="12" s="1"/>
  <c r="B67" i="12"/>
  <c r="AE67" i="12" s="1"/>
  <c r="C67" i="12"/>
  <c r="Y67" i="12" s="1"/>
  <c r="E66" i="12"/>
  <c r="S66" i="12"/>
  <c r="H66" i="12" s="1"/>
  <c r="T66" i="12"/>
  <c r="J66" i="12" s="1"/>
  <c r="U66" i="12"/>
  <c r="K66" i="12" s="1"/>
  <c r="F66" i="12"/>
  <c r="O66" i="12"/>
  <c r="P66" i="12"/>
  <c r="Q66" i="12"/>
  <c r="R66" i="12"/>
  <c r="G66" i="12" s="1"/>
  <c r="I66" i="12"/>
  <c r="M66" i="12" l="1"/>
  <c r="AH67" i="12"/>
  <c r="A67" i="12"/>
  <c r="D67" i="12"/>
  <c r="W67" i="12"/>
  <c r="X67" i="12"/>
  <c r="AD67" i="12"/>
  <c r="V67" i="12"/>
  <c r="F67" i="12" l="1"/>
  <c r="B68" i="12"/>
  <c r="AE68" i="12" s="1"/>
  <c r="C68" i="12"/>
  <c r="Y68" i="12" s="1"/>
  <c r="I67" i="12"/>
  <c r="P67" i="12"/>
  <c r="Q67" i="12"/>
  <c r="R67" i="12"/>
  <c r="G67" i="12" s="1"/>
  <c r="S67" i="12"/>
  <c r="H67" i="12" s="1"/>
  <c r="T67" i="12"/>
  <c r="J67" i="12" s="1"/>
  <c r="L67" i="12"/>
  <c r="N67" i="12"/>
  <c r="AI67" i="12" s="1"/>
  <c r="O67" i="12"/>
  <c r="U67" i="12"/>
  <c r="K67" i="12" s="1"/>
  <c r="E67" i="12"/>
  <c r="A68" i="12" l="1"/>
  <c r="AD68" i="12"/>
  <c r="D68" i="12"/>
  <c r="AH68" i="12"/>
  <c r="V68" i="12"/>
  <c r="W68" i="12"/>
  <c r="X68" i="12"/>
  <c r="M67" i="12"/>
  <c r="B69" i="12" l="1"/>
  <c r="AE69" i="12" s="1"/>
  <c r="C69" i="12"/>
  <c r="Y69" i="12" s="1"/>
  <c r="E68" i="12"/>
  <c r="F68" i="12"/>
  <c r="I68" i="12"/>
  <c r="L68" i="12"/>
  <c r="U68" i="12"/>
  <c r="K68" i="12" s="1"/>
  <c r="R68" i="12"/>
  <c r="G68" i="12" s="1"/>
  <c r="S68" i="12"/>
  <c r="H68" i="12" s="1"/>
  <c r="T68" i="12"/>
  <c r="J68" i="12" s="1"/>
  <c r="N68" i="12"/>
  <c r="AI68" i="12" s="1"/>
  <c r="O68" i="12"/>
  <c r="P68" i="12"/>
  <c r="Q68" i="12"/>
  <c r="M68" i="12" l="1"/>
  <c r="V69" i="12"/>
  <c r="W69" i="12"/>
  <c r="D69" i="12"/>
  <c r="A69" i="12"/>
  <c r="AD69" i="12"/>
  <c r="AH69" i="12"/>
  <c r="X69" i="12"/>
  <c r="T69" i="12" l="1"/>
  <c r="J69" i="12" s="1"/>
  <c r="U69" i="12"/>
  <c r="K69" i="12" s="1"/>
  <c r="B70" i="12"/>
  <c r="AE70" i="12" s="1"/>
  <c r="C70" i="12"/>
  <c r="Y70" i="12" s="1"/>
  <c r="E69" i="12"/>
  <c r="F69" i="12"/>
  <c r="I69" i="12"/>
  <c r="L69" i="12"/>
  <c r="N69" i="12"/>
  <c r="AI69" i="12" s="1"/>
  <c r="P69" i="12"/>
  <c r="O69" i="12"/>
  <c r="R69" i="12"/>
  <c r="G69" i="12" s="1"/>
  <c r="S69" i="12"/>
  <c r="H69" i="12" s="1"/>
  <c r="Q69" i="12"/>
  <c r="M69" i="12" l="1"/>
  <c r="A70" i="12"/>
  <c r="D70" i="12"/>
  <c r="W70" i="12"/>
  <c r="X70" i="12"/>
  <c r="AD70" i="12"/>
  <c r="V70" i="12"/>
  <c r="AH70" i="12"/>
  <c r="O70" i="12" l="1"/>
  <c r="P70" i="12"/>
  <c r="Q70" i="12"/>
  <c r="R70" i="12"/>
  <c r="G70" i="12" s="1"/>
  <c r="B71" i="12"/>
  <c r="AE71" i="12" s="1"/>
  <c r="C71" i="12"/>
  <c r="Y71" i="12" s="1"/>
  <c r="E70" i="12"/>
  <c r="L70" i="12"/>
  <c r="N70" i="12"/>
  <c r="AI70" i="12" s="1"/>
  <c r="S70" i="12"/>
  <c r="H70" i="12" s="1"/>
  <c r="F70" i="12"/>
  <c r="I70" i="12"/>
  <c r="T70" i="12"/>
  <c r="J70" i="12" s="1"/>
  <c r="U70" i="12"/>
  <c r="K70" i="12" s="1"/>
  <c r="M70" i="12" l="1"/>
  <c r="AH71" i="12"/>
  <c r="A71" i="12"/>
  <c r="D71" i="12"/>
  <c r="V71" i="12"/>
  <c r="W71" i="12"/>
  <c r="X71" i="12"/>
  <c r="AD71" i="12"/>
  <c r="L71" i="12" l="1"/>
  <c r="B72" i="12"/>
  <c r="AE72" i="12" s="1"/>
  <c r="C72" i="12"/>
  <c r="Y72" i="12" s="1"/>
  <c r="S71" i="12"/>
  <c r="H71" i="12" s="1"/>
  <c r="T71" i="12"/>
  <c r="J71" i="12" s="1"/>
  <c r="U71" i="12"/>
  <c r="K71" i="12" s="1"/>
  <c r="I71" i="12"/>
  <c r="N71" i="12"/>
  <c r="AI71" i="12" s="1"/>
  <c r="O71" i="12"/>
  <c r="P71" i="12"/>
  <c r="E71" i="12"/>
  <c r="F71" i="12"/>
  <c r="R71" i="12"/>
  <c r="G71" i="12" s="1"/>
  <c r="Q71" i="12"/>
  <c r="M71" i="12" l="1"/>
  <c r="AH72" i="12"/>
  <c r="A72" i="12"/>
  <c r="W72" i="12"/>
  <c r="X72" i="12"/>
  <c r="AD72" i="12"/>
  <c r="D72" i="12"/>
  <c r="V72" i="12"/>
  <c r="E72" i="12" l="1"/>
  <c r="F72" i="12"/>
  <c r="B73" i="12"/>
  <c r="AE73" i="12" s="1"/>
  <c r="C73" i="12"/>
  <c r="Y73" i="12" s="1"/>
  <c r="L72" i="12"/>
  <c r="N72" i="12"/>
  <c r="AI72" i="12" s="1"/>
  <c r="O72" i="12"/>
  <c r="P72" i="12"/>
  <c r="S72" i="12"/>
  <c r="H72" i="12" s="1"/>
  <c r="T72" i="12"/>
  <c r="J72" i="12" s="1"/>
  <c r="U72" i="12"/>
  <c r="K72" i="12" s="1"/>
  <c r="Q72" i="12"/>
  <c r="R72" i="12"/>
  <c r="G72" i="12" s="1"/>
  <c r="I72" i="12"/>
  <c r="X73" i="12" l="1"/>
  <c r="A73" i="12"/>
  <c r="AH73" i="12"/>
  <c r="D73" i="12"/>
  <c r="V73" i="12"/>
  <c r="W73" i="12"/>
  <c r="AD73" i="12"/>
  <c r="M72" i="12"/>
  <c r="E73" i="12" l="1"/>
  <c r="B74" i="12"/>
  <c r="AE74" i="12" s="1"/>
  <c r="F73" i="12"/>
  <c r="T73" i="12"/>
  <c r="J73" i="12" s="1"/>
  <c r="U73" i="12"/>
  <c r="K73" i="12" s="1"/>
  <c r="Q73" i="12"/>
  <c r="R73" i="12"/>
  <c r="G73" i="12" s="1"/>
  <c r="S73" i="12"/>
  <c r="H73" i="12" s="1"/>
  <c r="C74" i="12"/>
  <c r="Y74" i="12" s="1"/>
  <c r="L73" i="12"/>
  <c r="N73" i="12"/>
  <c r="AI73" i="12" s="1"/>
  <c r="O73" i="12"/>
  <c r="P73" i="12"/>
  <c r="I73" i="12"/>
  <c r="X74" i="12" l="1"/>
  <c r="AD74" i="12"/>
  <c r="A74" i="12"/>
  <c r="AH74" i="12"/>
  <c r="D74" i="12"/>
  <c r="V74" i="12"/>
  <c r="W74" i="12"/>
  <c r="M73" i="12"/>
  <c r="S74" i="12" l="1"/>
  <c r="H74" i="12" s="1"/>
  <c r="T74" i="12"/>
  <c r="J74" i="12" s="1"/>
  <c r="E74" i="12"/>
  <c r="F74" i="12"/>
  <c r="I74" i="12"/>
  <c r="B75" i="12"/>
  <c r="AE75" i="12" s="1"/>
  <c r="R74" i="12"/>
  <c r="G74" i="12" s="1"/>
  <c r="U74" i="12"/>
  <c r="K74" i="12" s="1"/>
  <c r="C75" i="12"/>
  <c r="Y75" i="12" s="1"/>
  <c r="L74" i="12"/>
  <c r="N74" i="12"/>
  <c r="AI74" i="12" s="1"/>
  <c r="P74" i="12"/>
  <c r="O74" i="12"/>
  <c r="Q74" i="12"/>
  <c r="V75" i="12" l="1"/>
  <c r="W75" i="12"/>
  <c r="X75" i="12"/>
  <c r="AD75" i="12"/>
  <c r="AH75" i="12"/>
  <c r="A75" i="12"/>
  <c r="D75" i="12"/>
  <c r="M74" i="12"/>
  <c r="N75" i="12" l="1"/>
  <c r="AI75" i="12" s="1"/>
  <c r="O75" i="12"/>
  <c r="U75" i="12"/>
  <c r="K75" i="12" s="1"/>
  <c r="F75" i="12"/>
  <c r="I75" i="12"/>
  <c r="E75" i="12"/>
  <c r="L75" i="12"/>
  <c r="P75" i="12"/>
  <c r="S75" i="12"/>
  <c r="H75" i="12" s="1"/>
  <c r="T75" i="12"/>
  <c r="J75" i="12" s="1"/>
  <c r="Q75" i="12"/>
  <c r="R75" i="12"/>
  <c r="G75" i="12" s="1"/>
  <c r="B76" i="12"/>
  <c r="AE76" i="12" s="1"/>
  <c r="C76" i="12"/>
  <c r="Y76" i="12" s="1"/>
  <c r="M75" i="12" l="1"/>
  <c r="V76" i="12"/>
  <c r="X76" i="12"/>
  <c r="AD76" i="12"/>
  <c r="AH76" i="12"/>
  <c r="A76" i="12"/>
  <c r="D76" i="12"/>
  <c r="W76" i="12"/>
  <c r="I76" i="12" l="1"/>
  <c r="R76" i="12"/>
  <c r="G76" i="12" s="1"/>
  <c r="S76" i="12"/>
  <c r="H76" i="12" s="1"/>
  <c r="T76" i="12"/>
  <c r="J76" i="12" s="1"/>
  <c r="U76" i="12"/>
  <c r="K76" i="12" s="1"/>
  <c r="L76" i="12"/>
  <c r="N76" i="12"/>
  <c r="AI76" i="12" s="1"/>
  <c r="C77" i="12"/>
  <c r="Y77" i="12" s="1"/>
  <c r="E76" i="12"/>
  <c r="F76" i="12"/>
  <c r="O76" i="12"/>
  <c r="P76" i="12"/>
  <c r="B77" i="12"/>
  <c r="AE77" i="12" s="1"/>
  <c r="Q76" i="12"/>
  <c r="M76" i="12" l="1"/>
  <c r="D77" i="12"/>
  <c r="AH77" i="12"/>
  <c r="V77" i="12"/>
  <c r="W77" i="12"/>
  <c r="X77" i="12"/>
  <c r="AD77" i="12"/>
  <c r="A77" i="12"/>
  <c r="E77" i="12" l="1"/>
  <c r="O77" i="12"/>
  <c r="P77" i="12"/>
  <c r="Q77" i="12"/>
  <c r="R77" i="12"/>
  <c r="G77" i="12" s="1"/>
  <c r="S77" i="12"/>
  <c r="H77" i="12" s="1"/>
  <c r="L77" i="12"/>
  <c r="N77" i="12"/>
  <c r="AI77" i="12" s="1"/>
  <c r="T77" i="12"/>
  <c r="J77" i="12" s="1"/>
  <c r="U77" i="12"/>
  <c r="K77" i="12" s="1"/>
  <c r="I77" i="12"/>
  <c r="F77" i="12"/>
  <c r="B78" i="12"/>
  <c r="AE78" i="12" s="1"/>
  <c r="C78" i="12"/>
  <c r="Y78" i="12" s="1"/>
  <c r="W78" i="12" l="1"/>
  <c r="X78" i="12"/>
  <c r="V78" i="12"/>
  <c r="D78" i="12"/>
  <c r="AD78" i="12"/>
  <c r="AH78" i="12"/>
  <c r="A78" i="12"/>
  <c r="M77" i="12"/>
  <c r="L78" i="12" l="1"/>
  <c r="N78" i="12"/>
  <c r="AI78" i="12" s="1"/>
  <c r="O78" i="12"/>
  <c r="P78" i="12"/>
  <c r="S78" i="12"/>
  <c r="H78" i="12" s="1"/>
  <c r="T78" i="12"/>
  <c r="J78" i="12" s="1"/>
  <c r="U78" i="12"/>
  <c r="K78" i="12" s="1"/>
  <c r="E78" i="12"/>
  <c r="F78" i="12"/>
  <c r="B79" i="12"/>
  <c r="AE79" i="12" s="1"/>
  <c r="C79" i="12"/>
  <c r="Y79" i="12" s="1"/>
  <c r="Q78" i="12"/>
  <c r="R78" i="12"/>
  <c r="G78" i="12" s="1"/>
  <c r="I78" i="12"/>
  <c r="V79" i="12" l="1"/>
  <c r="W79" i="12"/>
  <c r="X79" i="12"/>
  <c r="AD79" i="12"/>
  <c r="D79" i="12"/>
  <c r="AH79" i="12"/>
  <c r="A79" i="12"/>
  <c r="M78" i="12"/>
  <c r="R79" i="12" l="1"/>
  <c r="G79" i="12" s="1"/>
  <c r="S79" i="12"/>
  <c r="H79" i="12" s="1"/>
  <c r="I79" i="12"/>
  <c r="L79" i="12"/>
  <c r="O79" i="12"/>
  <c r="P79" i="12"/>
  <c r="Q79" i="12"/>
  <c r="T79" i="12"/>
  <c r="J79" i="12" s="1"/>
  <c r="U79" i="12"/>
  <c r="K79" i="12" s="1"/>
  <c r="E79" i="12"/>
  <c r="F79" i="12"/>
  <c r="N79" i="12"/>
  <c r="AI79" i="12" s="1"/>
  <c r="B80" i="12"/>
  <c r="AE80" i="12" s="1"/>
  <c r="C80" i="12"/>
  <c r="Y80" i="12" s="1"/>
  <c r="M79" i="12" l="1"/>
  <c r="W80" i="12"/>
  <c r="X80" i="12"/>
  <c r="AD80" i="12"/>
  <c r="AH80" i="12"/>
  <c r="V80" i="12"/>
  <c r="A80" i="12"/>
  <c r="D80" i="12"/>
  <c r="N80" i="12" l="1"/>
  <c r="AI80" i="12" s="1"/>
  <c r="F80" i="12"/>
  <c r="C81" i="12"/>
  <c r="Y81" i="12" s="1"/>
  <c r="I80" i="12"/>
  <c r="B81" i="12"/>
  <c r="AE81" i="12" s="1"/>
  <c r="U80" i="12"/>
  <c r="K80" i="12" s="1"/>
  <c r="Q80" i="12"/>
  <c r="R80" i="12"/>
  <c r="G80" i="12" s="1"/>
  <c r="S80" i="12"/>
  <c r="H80" i="12" s="1"/>
  <c r="T80" i="12"/>
  <c r="J80" i="12" s="1"/>
  <c r="E80" i="12"/>
  <c r="P80" i="12"/>
  <c r="O80" i="12"/>
  <c r="L80" i="12"/>
  <c r="M80" i="12" l="1"/>
  <c r="D81" i="12"/>
  <c r="X81" i="12"/>
  <c r="AD81" i="12"/>
  <c r="AH81" i="12"/>
  <c r="A81" i="12"/>
  <c r="V81" i="12"/>
  <c r="W81" i="12"/>
  <c r="C82" i="12" l="1"/>
  <c r="Y82" i="12" s="1"/>
  <c r="I81" i="12"/>
  <c r="E81" i="12"/>
  <c r="B82" i="12"/>
  <c r="AE82" i="12" s="1"/>
  <c r="F81" i="12"/>
  <c r="L81" i="12"/>
  <c r="S81" i="12"/>
  <c r="H81" i="12" s="1"/>
  <c r="T81" i="12"/>
  <c r="J81" i="12" s="1"/>
  <c r="U81" i="12"/>
  <c r="K81" i="12" s="1"/>
  <c r="R81" i="12"/>
  <c r="G81" i="12" s="1"/>
  <c r="N81" i="12"/>
  <c r="AI81" i="12" s="1"/>
  <c r="P81" i="12"/>
  <c r="Q81" i="12"/>
  <c r="O81" i="12"/>
  <c r="M81" i="12" l="1"/>
  <c r="D82" i="12"/>
  <c r="AH82" i="12"/>
  <c r="AD82" i="12"/>
  <c r="A82" i="12"/>
  <c r="V82" i="12"/>
  <c r="W82" i="12"/>
  <c r="X82" i="12"/>
  <c r="E82" i="12" l="1"/>
  <c r="B83" i="12"/>
  <c r="AE83" i="12" s="1"/>
  <c r="C83" i="12"/>
  <c r="Y83" i="12" s="1"/>
  <c r="L82" i="12"/>
  <c r="N82" i="12"/>
  <c r="AI82" i="12" s="1"/>
  <c r="O82" i="12"/>
  <c r="S82" i="12"/>
  <c r="H82" i="12" s="1"/>
  <c r="T82" i="12"/>
  <c r="J82" i="12" s="1"/>
  <c r="U82" i="12"/>
  <c r="K82" i="12" s="1"/>
  <c r="F82" i="12"/>
  <c r="I82" i="12"/>
  <c r="P82" i="12"/>
  <c r="Q82" i="12"/>
  <c r="R82" i="12"/>
  <c r="G82" i="12" s="1"/>
  <c r="M82" i="12" l="1"/>
  <c r="V83" i="12"/>
  <c r="W83" i="12"/>
  <c r="AD83" i="12"/>
  <c r="A83" i="12"/>
  <c r="AH83" i="12"/>
  <c r="D83" i="12"/>
  <c r="X83" i="12"/>
  <c r="C84" i="12" l="1"/>
  <c r="Y84" i="12" s="1"/>
  <c r="E83" i="12"/>
  <c r="F83" i="12"/>
  <c r="Q83" i="12"/>
  <c r="R83" i="12"/>
  <c r="G83" i="12" s="1"/>
  <c r="S83" i="12"/>
  <c r="H83" i="12" s="1"/>
  <c r="T83" i="12"/>
  <c r="J83" i="12" s="1"/>
  <c r="U83" i="12"/>
  <c r="K83" i="12" s="1"/>
  <c r="B84" i="12"/>
  <c r="AE84" i="12" s="1"/>
  <c r="L83" i="12"/>
  <c r="O83" i="12"/>
  <c r="I83" i="12"/>
  <c r="N83" i="12"/>
  <c r="AI83" i="12" s="1"/>
  <c r="P83" i="12"/>
  <c r="M83" i="12" l="1"/>
  <c r="V84" i="12"/>
  <c r="W84" i="12"/>
  <c r="X84" i="12"/>
  <c r="D84" i="12"/>
  <c r="A84" i="12"/>
  <c r="AD84" i="12"/>
  <c r="AH84" i="12"/>
  <c r="Q84" i="12" l="1"/>
  <c r="R84" i="12"/>
  <c r="G84" i="12" s="1"/>
  <c r="E84" i="12"/>
  <c r="F84" i="12"/>
  <c r="B85" i="12"/>
  <c r="AE85" i="12" s="1"/>
  <c r="C85" i="12"/>
  <c r="Y85" i="12" s="1"/>
  <c r="L84" i="12"/>
  <c r="N84" i="12"/>
  <c r="AI84" i="12" s="1"/>
  <c r="O84" i="12"/>
  <c r="P84" i="12"/>
  <c r="U84" i="12"/>
  <c r="K84" i="12" s="1"/>
  <c r="S84" i="12"/>
  <c r="H84" i="12" s="1"/>
  <c r="I84" i="12"/>
  <c r="T84" i="12"/>
  <c r="J84" i="12" s="1"/>
  <c r="V85" i="12" l="1"/>
  <c r="D85" i="12"/>
  <c r="A85" i="12"/>
  <c r="AD85" i="12"/>
  <c r="AH85" i="12"/>
  <c r="W85" i="12"/>
  <c r="X85" i="12"/>
  <c r="M84" i="12"/>
  <c r="L85" i="12" l="1"/>
  <c r="S85" i="12"/>
  <c r="H85" i="12" s="1"/>
  <c r="T85" i="12"/>
  <c r="J85" i="12" s="1"/>
  <c r="U85" i="12"/>
  <c r="K85" i="12" s="1"/>
  <c r="E85" i="12"/>
  <c r="F85" i="12"/>
  <c r="I85" i="12"/>
  <c r="B86" i="12"/>
  <c r="AE86" i="12" s="1"/>
  <c r="C86" i="12"/>
  <c r="Y86" i="12" s="1"/>
  <c r="Q85" i="12"/>
  <c r="R85" i="12"/>
  <c r="G85" i="12" s="1"/>
  <c r="N85" i="12"/>
  <c r="AI85" i="12" s="1"/>
  <c r="O85" i="12"/>
  <c r="P85" i="12"/>
  <c r="M85" i="12" l="1"/>
  <c r="A86" i="12"/>
  <c r="D86" i="12"/>
  <c r="V86" i="12"/>
  <c r="X86" i="12"/>
  <c r="AD86" i="12"/>
  <c r="W86" i="12"/>
  <c r="AH86" i="12"/>
  <c r="B87" i="12" l="1"/>
  <c r="AE87" i="12" s="1"/>
  <c r="C87" i="12"/>
  <c r="Y87" i="12" s="1"/>
  <c r="P86" i="12"/>
  <c r="Q86" i="12"/>
  <c r="R86" i="12"/>
  <c r="G86" i="12" s="1"/>
  <c r="S86" i="12"/>
  <c r="H86" i="12" s="1"/>
  <c r="E86" i="12"/>
  <c r="F86" i="12"/>
  <c r="I86" i="12"/>
  <c r="N86" i="12"/>
  <c r="AI86" i="12" s="1"/>
  <c r="O86" i="12"/>
  <c r="T86" i="12"/>
  <c r="J86" i="12" s="1"/>
  <c r="U86" i="12"/>
  <c r="K86" i="12" s="1"/>
  <c r="L86" i="12"/>
  <c r="M86" i="12" l="1"/>
  <c r="AD87" i="12"/>
  <c r="W87" i="12"/>
  <c r="X87" i="12"/>
  <c r="AH87" i="12"/>
  <c r="V87" i="12"/>
  <c r="D87" i="12"/>
  <c r="A87" i="12"/>
  <c r="N87" i="12" l="1"/>
  <c r="AI87" i="12" s="1"/>
  <c r="O87" i="12"/>
  <c r="P87" i="12"/>
  <c r="I87" i="12"/>
  <c r="L87" i="12"/>
  <c r="B88" i="12"/>
  <c r="AE88" i="12" s="1"/>
  <c r="C88" i="12"/>
  <c r="Y88" i="12" s="1"/>
  <c r="F87" i="12"/>
  <c r="Q87" i="12"/>
  <c r="R87" i="12"/>
  <c r="G87" i="12" s="1"/>
  <c r="S87" i="12"/>
  <c r="H87" i="12" s="1"/>
  <c r="E87" i="12"/>
  <c r="T87" i="12"/>
  <c r="J87" i="12" s="1"/>
  <c r="U87" i="12"/>
  <c r="K87" i="12" s="1"/>
  <c r="M87" i="12" l="1"/>
  <c r="V88" i="12"/>
  <c r="A88" i="12"/>
  <c r="D88" i="12"/>
  <c r="AH88" i="12"/>
  <c r="W88" i="12"/>
  <c r="X88" i="12"/>
  <c r="AD88" i="12"/>
  <c r="U88" i="12" l="1"/>
  <c r="K88" i="12" s="1"/>
  <c r="L88" i="12"/>
  <c r="I88" i="12"/>
  <c r="N88" i="12"/>
  <c r="AI88" i="12" s="1"/>
  <c r="O88" i="12"/>
  <c r="P88" i="12"/>
  <c r="Q88" i="12"/>
  <c r="B89" i="12"/>
  <c r="AE89" i="12" s="1"/>
  <c r="C89" i="12"/>
  <c r="Y89" i="12" s="1"/>
  <c r="R88" i="12"/>
  <c r="G88" i="12" s="1"/>
  <c r="S88" i="12"/>
  <c r="H88" i="12" s="1"/>
  <c r="T88" i="12"/>
  <c r="J88" i="12" s="1"/>
  <c r="F88" i="12"/>
  <c r="E88" i="12"/>
  <c r="M88" i="12" l="1"/>
  <c r="D89" i="12"/>
  <c r="V89" i="12"/>
  <c r="W89" i="12"/>
  <c r="X89" i="12"/>
  <c r="A89" i="12"/>
  <c r="AD89" i="12"/>
  <c r="AH89" i="12"/>
  <c r="P89" i="12" l="1"/>
  <c r="C90" i="12"/>
  <c r="Y90" i="12" s="1"/>
  <c r="I89" i="12"/>
  <c r="N89" i="12"/>
  <c r="AI89" i="12" s="1"/>
  <c r="O89" i="12"/>
  <c r="Q89" i="12"/>
  <c r="R89" i="12"/>
  <c r="G89" i="12" s="1"/>
  <c r="S89" i="12"/>
  <c r="H89" i="12" s="1"/>
  <c r="E89" i="12"/>
  <c r="F89" i="12"/>
  <c r="U89" i="12"/>
  <c r="K89" i="12" s="1"/>
  <c r="B90" i="12"/>
  <c r="AE90" i="12" s="1"/>
  <c r="L89" i="12"/>
  <c r="T89" i="12"/>
  <c r="J89" i="12" s="1"/>
  <c r="D90" i="12" l="1"/>
  <c r="AH90" i="12"/>
  <c r="V90" i="12"/>
  <c r="A90" i="12"/>
  <c r="W90" i="12"/>
  <c r="AD90" i="12"/>
  <c r="X90" i="12"/>
  <c r="M89" i="12"/>
  <c r="E90" i="12" l="1"/>
  <c r="F90" i="12"/>
  <c r="N90" i="12"/>
  <c r="AI90" i="12" s="1"/>
  <c r="O90" i="12"/>
  <c r="P90" i="12"/>
  <c r="Q90" i="12"/>
  <c r="R90" i="12"/>
  <c r="G90" i="12" s="1"/>
  <c r="L90" i="12"/>
  <c r="S90" i="12"/>
  <c r="H90" i="12" s="1"/>
  <c r="T90" i="12"/>
  <c r="J90" i="12" s="1"/>
  <c r="I90" i="12"/>
  <c r="U90" i="12"/>
  <c r="K90" i="12" s="1"/>
  <c r="B91" i="12"/>
  <c r="AE91" i="12" s="1"/>
  <c r="C91" i="12"/>
  <c r="Y91" i="12" s="1"/>
  <c r="M90" i="12" l="1"/>
  <c r="V91" i="12"/>
  <c r="W91" i="12"/>
  <c r="X91" i="12"/>
  <c r="A91" i="12"/>
  <c r="AD91" i="12"/>
  <c r="AH91" i="12"/>
  <c r="D91" i="12"/>
  <c r="N91" i="12" l="1"/>
  <c r="AI91" i="12" s="1"/>
  <c r="O91" i="12"/>
  <c r="P91" i="12"/>
  <c r="S91" i="12"/>
  <c r="H91" i="12" s="1"/>
  <c r="T91" i="12"/>
  <c r="J91" i="12" s="1"/>
  <c r="U91" i="12"/>
  <c r="K91" i="12" s="1"/>
  <c r="E91" i="12"/>
  <c r="F91" i="12"/>
  <c r="I91" i="12"/>
  <c r="B92" i="12"/>
  <c r="AE92" i="12" s="1"/>
  <c r="C92" i="12"/>
  <c r="Y92" i="12" s="1"/>
  <c r="L91" i="12"/>
  <c r="Q91" i="12"/>
  <c r="R91" i="12"/>
  <c r="G91" i="12" s="1"/>
  <c r="AD92" i="12" l="1"/>
  <c r="AH92" i="12"/>
  <c r="V92" i="12"/>
  <c r="W92" i="12"/>
  <c r="X92" i="12"/>
  <c r="D92" i="12"/>
  <c r="A92" i="12"/>
  <c r="M91" i="12"/>
  <c r="Q92" i="12" l="1"/>
  <c r="R92" i="12"/>
  <c r="G92" i="12" s="1"/>
  <c r="S92" i="12"/>
  <c r="H92" i="12" s="1"/>
  <c r="T92" i="12"/>
  <c r="J92" i="12" s="1"/>
  <c r="L92" i="12"/>
  <c r="N92" i="12"/>
  <c r="AI92" i="12" s="1"/>
  <c r="O92" i="12"/>
  <c r="U92" i="12"/>
  <c r="K92" i="12" s="1"/>
  <c r="F92" i="12"/>
  <c r="I92" i="12"/>
  <c r="P92" i="12"/>
  <c r="B93" i="12"/>
  <c r="AE93" i="12" s="1"/>
  <c r="C93" i="12"/>
  <c r="Y93" i="12" s="1"/>
  <c r="E92" i="12"/>
  <c r="A93" i="12" l="1"/>
  <c r="AH93" i="12"/>
  <c r="D93" i="12"/>
  <c r="V93" i="12"/>
  <c r="W93" i="12"/>
  <c r="X93" i="12"/>
  <c r="AD93" i="12"/>
  <c r="M92" i="12"/>
  <c r="L93" i="12" l="1"/>
  <c r="N93" i="12"/>
  <c r="AI93" i="12" s="1"/>
  <c r="O93" i="12"/>
  <c r="P93" i="12"/>
  <c r="Q93" i="12"/>
  <c r="R93" i="12"/>
  <c r="G93" i="12" s="1"/>
  <c r="B94" i="12"/>
  <c r="AE94" i="12" s="1"/>
  <c r="C94" i="12"/>
  <c r="Y94" i="12" s="1"/>
  <c r="E93" i="12"/>
  <c r="F93" i="12"/>
  <c r="T93" i="12"/>
  <c r="J93" i="12" s="1"/>
  <c r="S93" i="12"/>
  <c r="H93" i="12" s="1"/>
  <c r="U93" i="12"/>
  <c r="K93" i="12" s="1"/>
  <c r="I93" i="12"/>
  <c r="A94" i="12" l="1"/>
  <c r="D94" i="12"/>
  <c r="AH94" i="12"/>
  <c r="AD94" i="12"/>
  <c r="V94" i="12"/>
  <c r="W94" i="12"/>
  <c r="X94" i="12"/>
  <c r="M93" i="12"/>
  <c r="B95" i="12" l="1"/>
  <c r="AE95" i="12" s="1"/>
  <c r="C95" i="12"/>
  <c r="Y95" i="12" s="1"/>
  <c r="I94" i="12"/>
  <c r="N94" i="12"/>
  <c r="AI94" i="12" s="1"/>
  <c r="O94" i="12"/>
  <c r="P94" i="12"/>
  <c r="Q94" i="12"/>
  <c r="E94" i="12"/>
  <c r="F94" i="12"/>
  <c r="L94" i="12"/>
  <c r="R94" i="12"/>
  <c r="G94" i="12" s="1"/>
  <c r="S94" i="12"/>
  <c r="H94" i="12" s="1"/>
  <c r="T94" i="12"/>
  <c r="J94" i="12" s="1"/>
  <c r="U94" i="12"/>
  <c r="K94" i="12" s="1"/>
  <c r="M94" i="12" l="1"/>
  <c r="AD95" i="12"/>
  <c r="D95" i="12"/>
  <c r="AH95" i="12"/>
  <c r="V95" i="12"/>
  <c r="W95" i="12"/>
  <c r="X95" i="12"/>
  <c r="A95" i="12"/>
  <c r="E95" i="12" l="1"/>
  <c r="N95" i="12"/>
  <c r="AI95" i="12" s="1"/>
  <c r="O95" i="12"/>
  <c r="P95" i="12"/>
  <c r="I95" i="12"/>
  <c r="U95" i="12"/>
  <c r="K95" i="12" s="1"/>
  <c r="F95" i="12"/>
  <c r="L95" i="12"/>
  <c r="Q95" i="12"/>
  <c r="R95" i="12"/>
  <c r="G95" i="12" s="1"/>
  <c r="S95" i="12"/>
  <c r="H95" i="12" s="1"/>
  <c r="T95" i="12"/>
  <c r="J95" i="12" s="1"/>
  <c r="B96" i="12"/>
  <c r="AE96" i="12" s="1"/>
  <c r="C96" i="12"/>
  <c r="Y96" i="12" s="1"/>
  <c r="M95" i="12" l="1"/>
  <c r="V96" i="12"/>
  <c r="W96" i="12"/>
  <c r="X96" i="12"/>
  <c r="D96" i="12"/>
  <c r="A96" i="12"/>
  <c r="AD96" i="12"/>
  <c r="AH96" i="12"/>
  <c r="U96" i="12" l="1"/>
  <c r="K96" i="12" s="1"/>
  <c r="L96" i="12"/>
  <c r="N96" i="12"/>
  <c r="AI96" i="12" s="1"/>
  <c r="O96" i="12"/>
  <c r="P96" i="12"/>
  <c r="Q96" i="12"/>
  <c r="R96" i="12"/>
  <c r="G96" i="12" s="1"/>
  <c r="E96" i="12"/>
  <c r="F96" i="12"/>
  <c r="S96" i="12"/>
  <c r="H96" i="12" s="1"/>
  <c r="B97" i="12"/>
  <c r="AE97" i="12" s="1"/>
  <c r="C97" i="12"/>
  <c r="Y97" i="12" s="1"/>
  <c r="I96" i="12"/>
  <c r="T96" i="12"/>
  <c r="J96" i="12" s="1"/>
  <c r="M96" i="12" l="1"/>
  <c r="V97" i="12"/>
  <c r="W97" i="12"/>
  <c r="X97" i="12"/>
  <c r="D97" i="12"/>
  <c r="AD97" i="12"/>
  <c r="AH97" i="12"/>
  <c r="A97" i="12"/>
  <c r="P97" i="12" l="1"/>
  <c r="Q97" i="12"/>
  <c r="R97" i="12"/>
  <c r="G97" i="12" s="1"/>
  <c r="S97" i="12"/>
  <c r="H97" i="12" s="1"/>
  <c r="L97" i="12"/>
  <c r="N97" i="12"/>
  <c r="AI97" i="12" s="1"/>
  <c r="U97" i="12"/>
  <c r="K97" i="12" s="1"/>
  <c r="E97" i="12"/>
  <c r="F97" i="12"/>
  <c r="B98" i="12"/>
  <c r="AE98" i="12" s="1"/>
  <c r="C98" i="12"/>
  <c r="Y98" i="12" s="1"/>
  <c r="I97" i="12"/>
  <c r="O97" i="12"/>
  <c r="T97" i="12"/>
  <c r="J97" i="12" s="1"/>
  <c r="M97" i="12" l="1"/>
  <c r="X98" i="12"/>
  <c r="AD98" i="12"/>
  <c r="AH98" i="12"/>
  <c r="V98" i="12"/>
  <c r="W98" i="12"/>
  <c r="A98" i="12"/>
  <c r="D98" i="12"/>
  <c r="L98" i="12" l="1"/>
  <c r="N98" i="12"/>
  <c r="AI98" i="12" s="1"/>
  <c r="O98" i="12"/>
  <c r="P98" i="12"/>
  <c r="Q98" i="12"/>
  <c r="T98" i="12"/>
  <c r="J98" i="12" s="1"/>
  <c r="U98" i="12"/>
  <c r="K98" i="12" s="1"/>
  <c r="E98" i="12"/>
  <c r="I98" i="12"/>
  <c r="R98" i="12"/>
  <c r="G98" i="12" s="1"/>
  <c r="S98" i="12"/>
  <c r="H98" i="12" s="1"/>
  <c r="B99" i="12"/>
  <c r="AE99" i="12" s="1"/>
  <c r="C99" i="12"/>
  <c r="Y99" i="12" s="1"/>
  <c r="F98" i="12"/>
  <c r="M98" i="12" l="1"/>
  <c r="AH99" i="12"/>
  <c r="V99" i="12"/>
  <c r="W99" i="12"/>
  <c r="X99" i="12"/>
  <c r="AD99" i="12"/>
  <c r="A99" i="12"/>
  <c r="D99" i="12"/>
  <c r="F99" i="12" l="1"/>
  <c r="B100" i="12"/>
  <c r="AE100" i="12" s="1"/>
  <c r="C100" i="12"/>
  <c r="Y100" i="12" s="1"/>
  <c r="I99" i="12"/>
  <c r="N99" i="12"/>
  <c r="AI99" i="12" s="1"/>
  <c r="O99" i="12"/>
  <c r="P99" i="12"/>
  <c r="S99" i="12"/>
  <c r="H99" i="12" s="1"/>
  <c r="T99" i="12"/>
  <c r="J99" i="12" s="1"/>
  <c r="U99" i="12"/>
  <c r="K99" i="12" s="1"/>
  <c r="L99" i="12"/>
  <c r="Q99" i="12"/>
  <c r="R99" i="12"/>
  <c r="G99" i="12" s="1"/>
  <c r="E99" i="12"/>
  <c r="M99" i="12" l="1"/>
  <c r="A100" i="12"/>
  <c r="AD100" i="12"/>
  <c r="D100" i="12"/>
  <c r="AH100" i="12"/>
  <c r="X100" i="12"/>
  <c r="W100" i="12"/>
  <c r="V100" i="12"/>
  <c r="L100" i="12" l="1"/>
  <c r="N100" i="12"/>
  <c r="AI100" i="12" s="1"/>
  <c r="O100" i="12"/>
  <c r="E100" i="12"/>
  <c r="F100" i="12"/>
  <c r="I100" i="12"/>
  <c r="P100" i="12"/>
  <c r="Q100" i="12"/>
  <c r="C101" i="12"/>
  <c r="Y101" i="12" s="1"/>
  <c r="R100" i="12"/>
  <c r="G100" i="12" s="1"/>
  <c r="B101" i="12"/>
  <c r="AE101" i="12" s="1"/>
  <c r="U100" i="12"/>
  <c r="K100" i="12" s="1"/>
  <c r="S100" i="12"/>
  <c r="H100" i="12" s="1"/>
  <c r="T100" i="12"/>
  <c r="J100" i="12" s="1"/>
  <c r="M100" i="12" l="1"/>
  <c r="V101" i="12"/>
  <c r="W101" i="12"/>
  <c r="X101" i="12"/>
  <c r="AD101" i="12"/>
  <c r="AH101" i="12"/>
  <c r="D101" i="12"/>
  <c r="A101" i="12"/>
  <c r="T101" i="12" l="1"/>
  <c r="J101" i="12" s="1"/>
  <c r="U101" i="12"/>
  <c r="K101" i="12" s="1"/>
  <c r="L101" i="12"/>
  <c r="N101" i="12"/>
  <c r="AI101" i="12" s="1"/>
  <c r="E101" i="12"/>
  <c r="F101" i="12"/>
  <c r="I101" i="12"/>
  <c r="S101" i="12"/>
  <c r="H101" i="12" s="1"/>
  <c r="O101" i="12"/>
  <c r="P101" i="12"/>
  <c r="Q101" i="12"/>
  <c r="R101" i="12"/>
  <c r="G101" i="12" s="1"/>
  <c r="C102" i="12"/>
  <c r="Y102" i="12" s="1"/>
  <c r="B102" i="12"/>
  <c r="AE102" i="12" s="1"/>
  <c r="M101" i="12" l="1"/>
  <c r="AH102" i="12"/>
  <c r="A102" i="12"/>
  <c r="D102" i="12"/>
  <c r="AD102" i="12"/>
  <c r="V102" i="12"/>
  <c r="W102" i="12"/>
  <c r="X102" i="12"/>
  <c r="O102" i="12" l="1"/>
  <c r="P102" i="12"/>
  <c r="I102" i="12"/>
  <c r="F102" i="12"/>
  <c r="L102" i="12"/>
  <c r="N102" i="12"/>
  <c r="AI102" i="12" s="1"/>
  <c r="B103" i="12"/>
  <c r="AE103" i="12" s="1"/>
  <c r="C103" i="12"/>
  <c r="Y103" i="12" s="1"/>
  <c r="E102" i="12"/>
  <c r="Q102" i="12"/>
  <c r="R102" i="12"/>
  <c r="G102" i="12" s="1"/>
  <c r="S102" i="12"/>
  <c r="H102" i="12" s="1"/>
  <c r="U102" i="12"/>
  <c r="K102" i="12" s="1"/>
  <c r="T102" i="12"/>
  <c r="J102" i="12" s="1"/>
  <c r="M102" i="12" l="1"/>
  <c r="A103" i="12"/>
  <c r="V103" i="12"/>
  <c r="W103" i="12"/>
  <c r="AH103" i="12"/>
  <c r="D103" i="12"/>
  <c r="X103" i="12"/>
  <c r="AD103" i="12"/>
  <c r="E103" i="12" l="1"/>
  <c r="B104" i="12"/>
  <c r="AE104" i="12" s="1"/>
  <c r="F103" i="12"/>
  <c r="C104" i="12"/>
  <c r="Y104" i="12" s="1"/>
  <c r="N103" i="12"/>
  <c r="AI103" i="12" s="1"/>
  <c r="O103" i="12"/>
  <c r="P103" i="12"/>
  <c r="Q103" i="12"/>
  <c r="S103" i="12"/>
  <c r="H103" i="12" s="1"/>
  <c r="T103" i="12"/>
  <c r="J103" i="12" s="1"/>
  <c r="U103" i="12"/>
  <c r="K103" i="12" s="1"/>
  <c r="L103" i="12"/>
  <c r="R103" i="12"/>
  <c r="G103" i="12" s="1"/>
  <c r="I103" i="12"/>
  <c r="M103" i="12" l="1"/>
  <c r="AH104" i="12"/>
  <c r="D104" i="12"/>
  <c r="V104" i="12"/>
  <c r="A104" i="12"/>
  <c r="W104" i="12"/>
  <c r="AD104" i="12"/>
  <c r="X104" i="12"/>
  <c r="E104" i="12" l="1"/>
  <c r="F104" i="12"/>
  <c r="B105" i="12"/>
  <c r="AE105" i="12" s="1"/>
  <c r="C105" i="12"/>
  <c r="Y105" i="12" s="1"/>
  <c r="N104" i="12"/>
  <c r="AI104" i="12" s="1"/>
  <c r="O104" i="12"/>
  <c r="P104" i="12"/>
  <c r="Q104" i="12"/>
  <c r="R104" i="12"/>
  <c r="G104" i="12" s="1"/>
  <c r="L104" i="12"/>
  <c r="S104" i="12"/>
  <c r="H104" i="12" s="1"/>
  <c r="T104" i="12"/>
  <c r="J104" i="12" s="1"/>
  <c r="I104" i="12"/>
  <c r="U104" i="12"/>
  <c r="K104" i="12" s="1"/>
  <c r="M104" i="12" l="1"/>
  <c r="X105" i="12"/>
  <c r="A105" i="12"/>
  <c r="AH105" i="12"/>
  <c r="D105" i="12"/>
  <c r="V105" i="12"/>
  <c r="W105" i="12"/>
  <c r="AD105" i="12"/>
  <c r="O105" i="12" l="1"/>
  <c r="P105" i="12"/>
  <c r="Q105" i="12"/>
  <c r="R105" i="12"/>
  <c r="G105" i="12" s="1"/>
  <c r="S105" i="12"/>
  <c r="H105" i="12" s="1"/>
  <c r="B106" i="12"/>
  <c r="AE106" i="12" s="1"/>
  <c r="C106" i="12"/>
  <c r="Y106" i="12" s="1"/>
  <c r="I105" i="12"/>
  <c r="N105" i="12"/>
  <c r="AI105" i="12" s="1"/>
  <c r="T105" i="12"/>
  <c r="J105" i="12" s="1"/>
  <c r="U105" i="12"/>
  <c r="K105" i="12" s="1"/>
  <c r="F105" i="12"/>
  <c r="E105" i="12"/>
  <c r="L105" i="12"/>
  <c r="M105" i="12" l="1"/>
  <c r="X106" i="12"/>
  <c r="AD106" i="12"/>
  <c r="A106" i="12"/>
  <c r="V106" i="12"/>
  <c r="AH106" i="12"/>
  <c r="D106" i="12"/>
  <c r="W106" i="12"/>
  <c r="S106" i="12" l="1"/>
  <c r="H106" i="12" s="1"/>
  <c r="T106" i="12"/>
  <c r="J106" i="12" s="1"/>
  <c r="P106" i="12"/>
  <c r="Q106" i="12"/>
  <c r="R106" i="12"/>
  <c r="G106" i="12" s="1"/>
  <c r="U106" i="12"/>
  <c r="K106" i="12" s="1"/>
  <c r="B107" i="12"/>
  <c r="AE107" i="12" s="1"/>
  <c r="C107" i="12"/>
  <c r="Y107" i="12" s="1"/>
  <c r="L106" i="12"/>
  <c r="N106" i="12"/>
  <c r="AI106" i="12" s="1"/>
  <c r="O106" i="12"/>
  <c r="I106" i="12"/>
  <c r="F106" i="12"/>
  <c r="E106" i="12"/>
  <c r="M106" i="12" l="1"/>
  <c r="V107" i="12"/>
  <c r="W107" i="12"/>
  <c r="X107" i="12"/>
  <c r="AD107" i="12"/>
  <c r="A107" i="12"/>
  <c r="D107" i="12"/>
  <c r="AH107" i="12"/>
  <c r="N107" i="12" l="1"/>
  <c r="AI107" i="12" s="1"/>
  <c r="O107" i="12"/>
  <c r="U107" i="12"/>
  <c r="K107" i="12" s="1"/>
  <c r="S107" i="12"/>
  <c r="H107" i="12" s="1"/>
  <c r="T107" i="12"/>
  <c r="J107" i="12" s="1"/>
  <c r="E107" i="12"/>
  <c r="F107" i="12"/>
  <c r="I107" i="12"/>
  <c r="L107" i="12"/>
  <c r="P107" i="12"/>
  <c r="R107" i="12"/>
  <c r="G107" i="12" s="1"/>
  <c r="B108" i="12"/>
  <c r="AE108" i="12" s="1"/>
  <c r="C108" i="12"/>
  <c r="Y108" i="12" s="1"/>
  <c r="Q107" i="12"/>
  <c r="M107" i="12" l="1"/>
  <c r="X108" i="12"/>
  <c r="AD108" i="12"/>
  <c r="AH108" i="12"/>
  <c r="V108" i="12"/>
  <c r="W108" i="12"/>
  <c r="A108" i="12"/>
  <c r="D108" i="12"/>
  <c r="I108" i="12" l="1"/>
  <c r="R108" i="12"/>
  <c r="G108" i="12" s="1"/>
  <c r="S108" i="12"/>
  <c r="H108" i="12" s="1"/>
  <c r="T108" i="12"/>
  <c r="J108" i="12" s="1"/>
  <c r="U108" i="12"/>
  <c r="K108" i="12" s="1"/>
  <c r="N108" i="12"/>
  <c r="AI108" i="12" s="1"/>
  <c r="O108" i="12"/>
  <c r="P108" i="12"/>
  <c r="Q108" i="12"/>
  <c r="B109" i="12"/>
  <c r="AE109" i="12" s="1"/>
  <c r="L108" i="12"/>
  <c r="C109" i="12"/>
  <c r="Y109" i="12" s="1"/>
  <c r="E108" i="12"/>
  <c r="F108" i="12"/>
  <c r="M108" i="12" l="1"/>
  <c r="D109" i="12"/>
  <c r="AH109" i="12"/>
  <c r="AD109" i="12"/>
  <c r="W109" i="12"/>
  <c r="X109" i="12"/>
  <c r="A109" i="12"/>
  <c r="V109" i="12"/>
  <c r="E109" i="12" l="1"/>
  <c r="O109" i="12"/>
  <c r="P109" i="12"/>
  <c r="Q109" i="12"/>
  <c r="R109" i="12"/>
  <c r="G109" i="12" s="1"/>
  <c r="B110" i="12"/>
  <c r="AE110" i="12" s="1"/>
  <c r="C110" i="12"/>
  <c r="Y110" i="12" s="1"/>
  <c r="F109" i="12"/>
  <c r="N109" i="12"/>
  <c r="AI109" i="12" s="1"/>
  <c r="S109" i="12"/>
  <c r="H109" i="12" s="1"/>
  <c r="T109" i="12"/>
  <c r="J109" i="12" s="1"/>
  <c r="U109" i="12"/>
  <c r="K109" i="12" s="1"/>
  <c r="I109" i="12"/>
  <c r="L109" i="12"/>
  <c r="M109" i="12" l="1"/>
  <c r="W110" i="12"/>
  <c r="X110" i="12"/>
  <c r="AH110" i="12"/>
  <c r="A110" i="12"/>
  <c r="D110" i="12"/>
  <c r="AD110" i="12"/>
  <c r="V110" i="12"/>
  <c r="L110" i="12" l="1"/>
  <c r="N110" i="12"/>
  <c r="AI110" i="12" s="1"/>
  <c r="O110" i="12"/>
  <c r="B111" i="12"/>
  <c r="AE111" i="12" s="1"/>
  <c r="C111" i="12"/>
  <c r="Y111" i="12" s="1"/>
  <c r="E110" i="12"/>
  <c r="P110" i="12"/>
  <c r="Q110" i="12"/>
  <c r="R110" i="12"/>
  <c r="G110" i="12" s="1"/>
  <c r="S110" i="12"/>
  <c r="H110" i="12" s="1"/>
  <c r="F110" i="12"/>
  <c r="I110" i="12"/>
  <c r="T110" i="12"/>
  <c r="J110" i="12" s="1"/>
  <c r="U110" i="12"/>
  <c r="K110" i="12" s="1"/>
  <c r="M110" i="12" l="1"/>
  <c r="AH111" i="12"/>
  <c r="A111" i="12"/>
  <c r="D111" i="12"/>
  <c r="AD111" i="12"/>
  <c r="W111" i="12"/>
  <c r="X111" i="12"/>
  <c r="V111" i="12"/>
  <c r="R111" i="12" l="1"/>
  <c r="G111" i="12" s="1"/>
  <c r="I111" i="12"/>
  <c r="L111" i="12"/>
  <c r="B112" i="12"/>
  <c r="AE112" i="12" s="1"/>
  <c r="C112" i="12"/>
  <c r="Y112" i="12" s="1"/>
  <c r="N111" i="12"/>
  <c r="AI111" i="12" s="1"/>
  <c r="O111" i="12"/>
  <c r="E111" i="12"/>
  <c r="P111" i="12"/>
  <c r="U111" i="12"/>
  <c r="K111" i="12" s="1"/>
  <c r="F111" i="12"/>
  <c r="Q111" i="12"/>
  <c r="S111" i="12"/>
  <c r="H111" i="12" s="1"/>
  <c r="T111" i="12"/>
  <c r="J111" i="12" s="1"/>
  <c r="M111" i="12" l="1"/>
  <c r="AH112" i="12"/>
  <c r="A112" i="12"/>
  <c r="D112" i="12"/>
  <c r="AD112" i="12"/>
  <c r="V112" i="12"/>
  <c r="W112" i="12"/>
  <c r="X112" i="12"/>
  <c r="E112" i="12" l="1"/>
  <c r="F112" i="12"/>
  <c r="B113" i="12"/>
  <c r="AE113" i="12" s="1"/>
  <c r="C113" i="12"/>
  <c r="Y113" i="12" s="1"/>
  <c r="Q112" i="12"/>
  <c r="R112" i="12"/>
  <c r="G112" i="12" s="1"/>
  <c r="S112" i="12"/>
  <c r="H112" i="12" s="1"/>
  <c r="T112" i="12"/>
  <c r="J112" i="12" s="1"/>
  <c r="U112" i="12"/>
  <c r="K112" i="12" s="1"/>
  <c r="I112" i="12"/>
  <c r="L112" i="12"/>
  <c r="N112" i="12"/>
  <c r="AI112" i="12" s="1"/>
  <c r="O112" i="12"/>
  <c r="P112" i="12"/>
  <c r="M112" i="12" l="1"/>
  <c r="A113" i="12"/>
  <c r="AD113" i="12"/>
  <c r="AH113" i="12"/>
  <c r="D113" i="12"/>
  <c r="V113" i="12"/>
  <c r="W113" i="12"/>
  <c r="X113" i="12"/>
  <c r="C114" i="12" l="1"/>
  <c r="Y114" i="12" s="1"/>
  <c r="E113" i="12"/>
  <c r="F113" i="12"/>
  <c r="R113" i="12"/>
  <c r="G113" i="12" s="1"/>
  <c r="S113" i="12"/>
  <c r="H113" i="12" s="1"/>
  <c r="T113" i="12"/>
  <c r="J113" i="12" s="1"/>
  <c r="U113" i="12"/>
  <c r="K113" i="12" s="1"/>
  <c r="B114" i="12"/>
  <c r="AE114" i="12" s="1"/>
  <c r="I113" i="12"/>
  <c r="N113" i="12"/>
  <c r="AI113" i="12" s="1"/>
  <c r="O113" i="12"/>
  <c r="P113" i="12"/>
  <c r="Q113" i="12"/>
  <c r="L113" i="12"/>
  <c r="M113" i="12" l="1"/>
  <c r="V114" i="12"/>
  <c r="W114" i="12"/>
  <c r="X114" i="12"/>
  <c r="D114" i="12"/>
  <c r="A114" i="12"/>
  <c r="AD114" i="12"/>
  <c r="AH114" i="12"/>
  <c r="E114" i="12" l="1"/>
  <c r="F114" i="12"/>
  <c r="C115" i="12"/>
  <c r="Y115" i="12" s="1"/>
  <c r="B115" i="12"/>
  <c r="AE115" i="12" s="1"/>
  <c r="S114" i="12"/>
  <c r="H114" i="12" s="1"/>
  <c r="T114" i="12"/>
  <c r="J114" i="12" s="1"/>
  <c r="U114" i="12"/>
  <c r="K114" i="12" s="1"/>
  <c r="N114" i="12"/>
  <c r="AI114" i="12" s="1"/>
  <c r="O114" i="12"/>
  <c r="P114" i="12"/>
  <c r="Q114" i="12"/>
  <c r="I114" i="12"/>
  <c r="L114" i="12"/>
  <c r="R114" i="12"/>
  <c r="G114" i="12" s="1"/>
  <c r="M114" i="12" l="1"/>
  <c r="V115" i="12"/>
  <c r="D115" i="12"/>
  <c r="W115" i="12"/>
  <c r="A115" i="12"/>
  <c r="X115" i="12"/>
  <c r="AH115" i="12"/>
  <c r="AD115" i="12"/>
  <c r="R115" i="12" l="1"/>
  <c r="G115" i="12" s="1"/>
  <c r="S115" i="12"/>
  <c r="H115" i="12" s="1"/>
  <c r="T115" i="12"/>
  <c r="J115" i="12" s="1"/>
  <c r="U115" i="12"/>
  <c r="K115" i="12" s="1"/>
  <c r="E115" i="12"/>
  <c r="F115" i="12"/>
  <c r="I115" i="12"/>
  <c r="L115" i="12"/>
  <c r="N115" i="12"/>
  <c r="AI115" i="12" s="1"/>
  <c r="O115" i="12"/>
  <c r="P115" i="12"/>
  <c r="Q115" i="12"/>
  <c r="B116" i="12"/>
  <c r="AE116" i="12" s="1"/>
  <c r="C116" i="12"/>
  <c r="Y116" i="12" s="1"/>
  <c r="M115" i="12" l="1"/>
  <c r="D116" i="12"/>
  <c r="AH116" i="12"/>
  <c r="AD116" i="12"/>
  <c r="V116" i="12"/>
  <c r="X116" i="12"/>
  <c r="A116" i="12"/>
  <c r="W116" i="12"/>
  <c r="Q116" i="12" l="1"/>
  <c r="N116" i="12"/>
  <c r="AI116" i="12" s="1"/>
  <c r="O116" i="12"/>
  <c r="P116" i="12"/>
  <c r="C117" i="12"/>
  <c r="Y117" i="12" s="1"/>
  <c r="E116" i="12"/>
  <c r="F116" i="12"/>
  <c r="L116" i="12"/>
  <c r="R116" i="12"/>
  <c r="G116" i="12" s="1"/>
  <c r="S116" i="12"/>
  <c r="H116" i="12" s="1"/>
  <c r="T116" i="12"/>
  <c r="J116" i="12" s="1"/>
  <c r="B117" i="12"/>
  <c r="AE117" i="12" s="1"/>
  <c r="U116" i="12"/>
  <c r="K116" i="12" s="1"/>
  <c r="I116" i="12"/>
  <c r="M116" i="12" l="1"/>
  <c r="D117" i="12"/>
  <c r="V117" i="12"/>
  <c r="A117" i="12"/>
  <c r="W117" i="12"/>
  <c r="X117" i="12"/>
  <c r="AD117" i="12"/>
  <c r="AH117" i="12"/>
  <c r="L117" i="12" l="1"/>
  <c r="B118" i="12"/>
  <c r="AE118" i="12" s="1"/>
  <c r="E117" i="12"/>
  <c r="C118" i="12"/>
  <c r="Y118" i="12" s="1"/>
  <c r="F117" i="12"/>
  <c r="R117" i="12"/>
  <c r="G117" i="12" s="1"/>
  <c r="S117" i="12"/>
  <c r="H117" i="12" s="1"/>
  <c r="T117" i="12"/>
  <c r="J117" i="12" s="1"/>
  <c r="U117" i="12"/>
  <c r="K117" i="12" s="1"/>
  <c r="I117" i="12"/>
  <c r="P117" i="12"/>
  <c r="Q117" i="12"/>
  <c r="O117" i="12"/>
  <c r="N117" i="12"/>
  <c r="AI117" i="12" s="1"/>
  <c r="M117" i="12" l="1"/>
  <c r="A118" i="12"/>
  <c r="AH118" i="12"/>
  <c r="D118" i="12"/>
  <c r="V118" i="12"/>
  <c r="W118" i="12"/>
  <c r="X118" i="12"/>
  <c r="AD118" i="12"/>
  <c r="B119" i="12" l="1"/>
  <c r="AE119" i="12" s="1"/>
  <c r="F118" i="12"/>
  <c r="C119" i="12"/>
  <c r="Y119" i="12" s="1"/>
  <c r="T118" i="12"/>
  <c r="J118" i="12" s="1"/>
  <c r="U118" i="12"/>
  <c r="K118" i="12" s="1"/>
  <c r="L118" i="12"/>
  <c r="N118" i="12"/>
  <c r="AI118" i="12" s="1"/>
  <c r="O118" i="12"/>
  <c r="P118" i="12"/>
  <c r="I118" i="12"/>
  <c r="Q118" i="12"/>
  <c r="S118" i="12"/>
  <c r="H118" i="12" s="1"/>
  <c r="E118" i="12"/>
  <c r="R118" i="12"/>
  <c r="G118" i="12" s="1"/>
  <c r="M118" i="12" l="1"/>
  <c r="AD119" i="12"/>
  <c r="AH119" i="12"/>
  <c r="D119" i="12"/>
  <c r="A119" i="12"/>
  <c r="V119" i="12"/>
  <c r="W119" i="12"/>
  <c r="X119" i="12"/>
  <c r="B120" i="12" l="1"/>
  <c r="AE120" i="12" s="1"/>
  <c r="E119" i="12"/>
  <c r="C120" i="12"/>
  <c r="Y120" i="12" s="1"/>
  <c r="S119" i="12"/>
  <c r="H119" i="12" s="1"/>
  <c r="T119" i="12"/>
  <c r="J119" i="12" s="1"/>
  <c r="U119" i="12"/>
  <c r="K119" i="12" s="1"/>
  <c r="F119" i="12"/>
  <c r="P119" i="12"/>
  <c r="Q119" i="12"/>
  <c r="R119" i="12"/>
  <c r="G119" i="12" s="1"/>
  <c r="L119" i="12"/>
  <c r="N119" i="12"/>
  <c r="AI119" i="12" s="1"/>
  <c r="O119" i="12"/>
  <c r="I119" i="12"/>
  <c r="M119" i="12" l="1"/>
  <c r="X120" i="12"/>
  <c r="A120" i="12"/>
  <c r="AH120" i="12"/>
  <c r="D120" i="12"/>
  <c r="AD120" i="12"/>
  <c r="V120" i="12"/>
  <c r="W120" i="12"/>
  <c r="U120" i="12" l="1"/>
  <c r="K120" i="12" s="1"/>
  <c r="B121" i="12"/>
  <c r="AE121" i="12" s="1"/>
  <c r="C121" i="12"/>
  <c r="Y121" i="12" s="1"/>
  <c r="E120" i="12"/>
  <c r="F120" i="12"/>
  <c r="P120" i="12"/>
  <c r="Q120" i="12"/>
  <c r="R120" i="12"/>
  <c r="G120" i="12" s="1"/>
  <c r="S120" i="12"/>
  <c r="H120" i="12" s="1"/>
  <c r="T120" i="12"/>
  <c r="J120" i="12" s="1"/>
  <c r="I120" i="12"/>
  <c r="L120" i="12"/>
  <c r="N120" i="12"/>
  <c r="AI120" i="12" s="1"/>
  <c r="O120" i="12"/>
  <c r="M120" i="12" l="1"/>
  <c r="AD121" i="12"/>
  <c r="A121" i="12"/>
  <c r="AH121" i="12"/>
  <c r="D121" i="12"/>
  <c r="X121" i="12"/>
  <c r="V121" i="12"/>
  <c r="W121" i="12"/>
  <c r="P121" i="12" l="1"/>
  <c r="T121" i="12"/>
  <c r="J121" i="12" s="1"/>
  <c r="U121" i="12"/>
  <c r="K121" i="12" s="1"/>
  <c r="E121" i="12"/>
  <c r="F121" i="12"/>
  <c r="I121" i="12"/>
  <c r="L121" i="12"/>
  <c r="B122" i="12"/>
  <c r="AE122" i="12" s="1"/>
  <c r="C122" i="12"/>
  <c r="Y122" i="12" s="1"/>
  <c r="R121" i="12"/>
  <c r="G121" i="12" s="1"/>
  <c r="S121" i="12"/>
  <c r="H121" i="12" s="1"/>
  <c r="Q121" i="12"/>
  <c r="O121" i="12"/>
  <c r="N121" i="12"/>
  <c r="AI121" i="12" s="1"/>
  <c r="M121" i="12" l="1"/>
  <c r="W122" i="12"/>
  <c r="X122" i="12"/>
  <c r="AD122" i="12"/>
  <c r="D122" i="12"/>
  <c r="V122" i="12"/>
  <c r="A122" i="12"/>
  <c r="AH122" i="12"/>
  <c r="P122" i="12" l="1"/>
  <c r="Q122" i="12"/>
  <c r="E122" i="12"/>
  <c r="F122" i="12"/>
  <c r="S122" i="12"/>
  <c r="H122" i="12" s="1"/>
  <c r="T122" i="12"/>
  <c r="J122" i="12" s="1"/>
  <c r="U122" i="12"/>
  <c r="K122" i="12" s="1"/>
  <c r="L122" i="12"/>
  <c r="N122" i="12"/>
  <c r="AI122" i="12" s="1"/>
  <c r="O122" i="12"/>
  <c r="R122" i="12"/>
  <c r="G122" i="12" s="1"/>
  <c r="C123" i="12"/>
  <c r="Y123" i="12" s="1"/>
  <c r="B123" i="12"/>
  <c r="AE123" i="12" s="1"/>
  <c r="I122" i="12"/>
  <c r="M122" i="12" l="1"/>
  <c r="V123" i="12"/>
  <c r="W123" i="12"/>
  <c r="X123" i="12"/>
  <c r="AH123" i="12"/>
  <c r="A123" i="12"/>
  <c r="D123" i="12"/>
  <c r="AD123" i="12"/>
  <c r="F123" i="12" l="1"/>
  <c r="L123" i="12"/>
  <c r="U123" i="12"/>
  <c r="K123" i="12" s="1"/>
  <c r="I123" i="12"/>
  <c r="B124" i="12"/>
  <c r="AE124" i="12" s="1"/>
  <c r="C124" i="12"/>
  <c r="Y124" i="12" s="1"/>
  <c r="R123" i="12"/>
  <c r="G123" i="12" s="1"/>
  <c r="S123" i="12"/>
  <c r="H123" i="12" s="1"/>
  <c r="T123" i="12"/>
  <c r="J123" i="12" s="1"/>
  <c r="N123" i="12"/>
  <c r="AI123" i="12" s="1"/>
  <c r="E123" i="12"/>
  <c r="O123" i="12"/>
  <c r="P123" i="12"/>
  <c r="Q123" i="12"/>
  <c r="M123" i="12" l="1"/>
  <c r="A124" i="12"/>
  <c r="V124" i="12"/>
  <c r="D124" i="12"/>
  <c r="W124" i="12"/>
  <c r="X124" i="12"/>
  <c r="AD124" i="12"/>
  <c r="AH124" i="12"/>
  <c r="I124" i="12" l="1"/>
  <c r="S124" i="12"/>
  <c r="H124" i="12" s="1"/>
  <c r="T124" i="12"/>
  <c r="J124" i="12" s="1"/>
  <c r="U124" i="12"/>
  <c r="K124" i="12" s="1"/>
  <c r="L124" i="12"/>
  <c r="N124" i="12"/>
  <c r="AI124" i="12" s="1"/>
  <c r="O124" i="12"/>
  <c r="E124" i="12"/>
  <c r="F124" i="12"/>
  <c r="P124" i="12"/>
  <c r="Q124" i="12"/>
  <c r="R124" i="12"/>
  <c r="G124" i="12" s="1"/>
  <c r="B125" i="12"/>
  <c r="AE125" i="12" s="1"/>
  <c r="C125" i="12"/>
  <c r="Y125" i="12" s="1"/>
  <c r="M124" i="12" l="1"/>
  <c r="D125" i="12"/>
  <c r="V125" i="12"/>
  <c r="W125" i="12"/>
  <c r="X125" i="12"/>
  <c r="AD125" i="12"/>
  <c r="AH125" i="12"/>
  <c r="A125" i="12"/>
  <c r="T125" i="12" l="1"/>
  <c r="J125" i="12" s="1"/>
  <c r="E125" i="12"/>
  <c r="Q125" i="12"/>
  <c r="R125" i="12"/>
  <c r="G125" i="12" s="1"/>
  <c r="S125" i="12"/>
  <c r="H125" i="12" s="1"/>
  <c r="U125" i="12"/>
  <c r="K125" i="12" s="1"/>
  <c r="N125" i="12"/>
  <c r="AI125" i="12" s="1"/>
  <c r="O125" i="12"/>
  <c r="P125" i="12"/>
  <c r="L125" i="12"/>
  <c r="F125" i="12"/>
  <c r="I125" i="12"/>
  <c r="B126" i="12"/>
  <c r="AE126" i="12" s="1"/>
  <c r="C126" i="12"/>
  <c r="Y126" i="12" s="1"/>
  <c r="M125" i="12" l="1"/>
  <c r="A126" i="12"/>
  <c r="AD126" i="12"/>
  <c r="V126" i="12"/>
  <c r="W126" i="12"/>
  <c r="X126" i="12"/>
  <c r="D126" i="12"/>
  <c r="AH126" i="12"/>
  <c r="O126" i="12" l="1"/>
  <c r="P126" i="12"/>
  <c r="Q126" i="12"/>
  <c r="R126" i="12"/>
  <c r="G126" i="12" s="1"/>
  <c r="S126" i="12"/>
  <c r="H126" i="12" s="1"/>
  <c r="T126" i="12"/>
  <c r="J126" i="12" s="1"/>
  <c r="U126" i="12"/>
  <c r="K126" i="12" s="1"/>
  <c r="B127" i="12"/>
  <c r="AE127" i="12" s="1"/>
  <c r="C127" i="12"/>
  <c r="Y127" i="12" s="1"/>
  <c r="E126" i="12"/>
  <c r="F126" i="12"/>
  <c r="L126" i="12"/>
  <c r="N126" i="12"/>
  <c r="AI126" i="12" s="1"/>
  <c r="I126" i="12"/>
  <c r="M126" i="12" l="1"/>
  <c r="V127" i="12"/>
  <c r="X127" i="12"/>
  <c r="AD127" i="12"/>
  <c r="AH127" i="12"/>
  <c r="A127" i="12"/>
  <c r="D127" i="12"/>
  <c r="W127" i="12"/>
  <c r="U127" i="12" l="1"/>
  <c r="K127" i="12" s="1"/>
  <c r="N127" i="12"/>
  <c r="AI127" i="12" s="1"/>
  <c r="O127" i="12"/>
  <c r="P127" i="12"/>
  <c r="Q127" i="12"/>
  <c r="E127" i="12"/>
  <c r="B128" i="12"/>
  <c r="AE128" i="12" s="1"/>
  <c r="C128" i="12"/>
  <c r="Y128" i="12" s="1"/>
  <c r="F127" i="12"/>
  <c r="T127" i="12"/>
  <c r="J127" i="12" s="1"/>
  <c r="I127" i="12"/>
  <c r="R127" i="12"/>
  <c r="G127" i="12" s="1"/>
  <c r="L127" i="12"/>
  <c r="S127" i="12"/>
  <c r="H127" i="12" s="1"/>
  <c r="M127" i="12" l="1"/>
  <c r="AD128" i="12"/>
  <c r="AH128" i="12"/>
  <c r="A128" i="12"/>
  <c r="X128" i="12"/>
  <c r="D128" i="12"/>
  <c r="V128" i="12"/>
  <c r="W128" i="12"/>
  <c r="E128" i="12" l="1"/>
  <c r="Q128" i="12"/>
  <c r="R128" i="12"/>
  <c r="G128" i="12" s="1"/>
  <c r="L128" i="12"/>
  <c r="N128" i="12"/>
  <c r="AI128" i="12" s="1"/>
  <c r="O128" i="12"/>
  <c r="B129" i="12"/>
  <c r="AE129" i="12" s="1"/>
  <c r="I128" i="12"/>
  <c r="P128" i="12"/>
  <c r="S128" i="12"/>
  <c r="H128" i="12" s="1"/>
  <c r="C129" i="12"/>
  <c r="Y129" i="12" s="1"/>
  <c r="F128" i="12"/>
  <c r="U128" i="12"/>
  <c r="K128" i="12" s="1"/>
  <c r="T128" i="12"/>
  <c r="J128" i="12" s="1"/>
  <c r="M128" i="12" l="1"/>
  <c r="X129" i="12"/>
  <c r="A129" i="12"/>
  <c r="V129" i="12"/>
  <c r="W129" i="12"/>
  <c r="AD129" i="12"/>
  <c r="AH129" i="12"/>
  <c r="D129" i="12"/>
  <c r="N129" i="12" l="1"/>
  <c r="AI129" i="12" s="1"/>
  <c r="L129" i="12"/>
  <c r="O129" i="12"/>
  <c r="B130" i="12"/>
  <c r="AE130" i="12" s="1"/>
  <c r="C130" i="12"/>
  <c r="Y130" i="12" s="1"/>
  <c r="R129" i="12"/>
  <c r="G129" i="12" s="1"/>
  <c r="S129" i="12"/>
  <c r="H129" i="12" s="1"/>
  <c r="T129" i="12"/>
  <c r="J129" i="12" s="1"/>
  <c r="U129" i="12"/>
  <c r="K129" i="12" s="1"/>
  <c r="E129" i="12"/>
  <c r="I129" i="12"/>
  <c r="P129" i="12"/>
  <c r="Q129" i="12"/>
  <c r="F129" i="12"/>
  <c r="M129" i="12" l="1"/>
  <c r="A130" i="12"/>
  <c r="D130" i="12"/>
  <c r="AD130" i="12"/>
  <c r="AH130" i="12"/>
  <c r="V130" i="12"/>
  <c r="W130" i="12"/>
  <c r="X130" i="12"/>
  <c r="S130" i="12" l="1"/>
  <c r="H130" i="12" s="1"/>
  <c r="I130" i="12"/>
  <c r="L130" i="12"/>
  <c r="B131" i="12"/>
  <c r="AE131" i="12" s="1"/>
  <c r="C131" i="12"/>
  <c r="Y131" i="12" s="1"/>
  <c r="F130" i="12"/>
  <c r="E130" i="12"/>
  <c r="O130" i="12"/>
  <c r="R130" i="12"/>
  <c r="G130" i="12" s="1"/>
  <c r="Q130" i="12"/>
  <c r="T130" i="12"/>
  <c r="J130" i="12" s="1"/>
  <c r="N130" i="12"/>
  <c r="AI130" i="12" s="1"/>
  <c r="P130" i="12"/>
  <c r="U130" i="12"/>
  <c r="K130" i="12" s="1"/>
  <c r="M130" i="12" l="1"/>
  <c r="D131" i="12"/>
  <c r="A131" i="12"/>
  <c r="V131" i="12"/>
  <c r="W131" i="12"/>
  <c r="X131" i="12"/>
  <c r="AD131" i="12"/>
  <c r="AH131" i="12"/>
  <c r="N131" i="12" l="1"/>
  <c r="AI131" i="12" s="1"/>
  <c r="E131" i="12"/>
  <c r="F131" i="12"/>
  <c r="B132" i="12"/>
  <c r="AE132" i="12" s="1"/>
  <c r="I131" i="12"/>
  <c r="L131" i="12"/>
  <c r="O131" i="12"/>
  <c r="P131" i="12"/>
  <c r="Q131" i="12"/>
  <c r="S131" i="12"/>
  <c r="H131" i="12" s="1"/>
  <c r="T131" i="12"/>
  <c r="J131" i="12" s="1"/>
  <c r="U131" i="12"/>
  <c r="K131" i="12" s="1"/>
  <c r="R131" i="12"/>
  <c r="G131" i="12" s="1"/>
  <c r="C132" i="12"/>
  <c r="Y132" i="12" s="1"/>
  <c r="M131" i="12" l="1"/>
  <c r="A132" i="12"/>
  <c r="AD132" i="12"/>
  <c r="V132" i="12"/>
  <c r="W132" i="12"/>
  <c r="X132" i="12"/>
  <c r="AH132" i="12"/>
  <c r="D132" i="12"/>
  <c r="I132" i="12" l="1"/>
  <c r="F132" i="12"/>
  <c r="L132" i="12"/>
  <c r="N132" i="12"/>
  <c r="AI132" i="12" s="1"/>
  <c r="O132" i="12"/>
  <c r="T132" i="12"/>
  <c r="J132" i="12" s="1"/>
  <c r="U132" i="12"/>
  <c r="K132" i="12" s="1"/>
  <c r="C133" i="12"/>
  <c r="Y133" i="12" s="1"/>
  <c r="R132" i="12"/>
  <c r="G132" i="12" s="1"/>
  <c r="S132" i="12"/>
  <c r="H132" i="12" s="1"/>
  <c r="E132" i="12"/>
  <c r="Q132" i="12"/>
  <c r="P132" i="12"/>
  <c r="B133" i="12"/>
  <c r="AE133" i="12" s="1"/>
  <c r="M132" i="12" l="1"/>
  <c r="D133" i="12"/>
  <c r="AH133" i="12"/>
  <c r="V133" i="12"/>
  <c r="W133" i="12"/>
  <c r="X133" i="12"/>
  <c r="A133" i="12"/>
  <c r="AD133" i="12"/>
  <c r="E133" i="12" l="1"/>
  <c r="C134" i="12"/>
  <c r="Y134" i="12" s="1"/>
  <c r="F133" i="12"/>
  <c r="N133" i="12"/>
  <c r="AI133" i="12" s="1"/>
  <c r="O133" i="12"/>
  <c r="P133" i="12"/>
  <c r="Q133" i="12"/>
  <c r="B134" i="12"/>
  <c r="AE134" i="12" s="1"/>
  <c r="I133" i="12"/>
  <c r="L133" i="12"/>
  <c r="R133" i="12"/>
  <c r="G133" i="12" s="1"/>
  <c r="S133" i="12"/>
  <c r="H133" i="12" s="1"/>
  <c r="T133" i="12"/>
  <c r="J133" i="12" s="1"/>
  <c r="U133" i="12"/>
  <c r="K133" i="12" s="1"/>
  <c r="M133" i="12" l="1"/>
  <c r="W134" i="12"/>
  <c r="D134" i="12"/>
  <c r="A134" i="12"/>
  <c r="AD134" i="12"/>
  <c r="AH134" i="12"/>
  <c r="V134" i="12"/>
  <c r="X134" i="12"/>
  <c r="R134" i="12" l="1"/>
  <c r="G134" i="12" s="1"/>
  <c r="S134" i="12"/>
  <c r="H134" i="12" s="1"/>
  <c r="B135" i="12"/>
  <c r="AE135" i="12" s="1"/>
  <c r="E134" i="12"/>
  <c r="C135" i="12"/>
  <c r="Y135" i="12" s="1"/>
  <c r="F134" i="12"/>
  <c r="O134" i="12"/>
  <c r="P134" i="12"/>
  <c r="Q134" i="12"/>
  <c r="T134" i="12"/>
  <c r="J134" i="12" s="1"/>
  <c r="U134" i="12"/>
  <c r="K134" i="12" s="1"/>
  <c r="I134" i="12"/>
  <c r="N134" i="12"/>
  <c r="AI134" i="12" s="1"/>
  <c r="L134" i="12"/>
  <c r="M134" i="12" l="1"/>
  <c r="A135" i="12"/>
  <c r="AH135" i="12"/>
  <c r="D135" i="12"/>
  <c r="V135" i="12"/>
  <c r="W135" i="12"/>
  <c r="X135" i="12"/>
  <c r="AD135" i="12"/>
  <c r="R135" i="12" l="1"/>
  <c r="G135" i="12" s="1"/>
  <c r="N135" i="12"/>
  <c r="AI135" i="12" s="1"/>
  <c r="O135" i="12"/>
  <c r="T135" i="12"/>
  <c r="J135" i="12" s="1"/>
  <c r="U135" i="12"/>
  <c r="K135" i="12" s="1"/>
  <c r="L135" i="12"/>
  <c r="P135" i="12"/>
  <c r="Q135" i="12"/>
  <c r="S135" i="12"/>
  <c r="H135" i="12" s="1"/>
  <c r="E135" i="12"/>
  <c r="F135" i="12"/>
  <c r="B136" i="12"/>
  <c r="AE136" i="12" s="1"/>
  <c r="C136" i="12"/>
  <c r="Y136" i="12" s="1"/>
  <c r="I135" i="12"/>
  <c r="M135" i="12" l="1"/>
  <c r="AD136" i="12"/>
  <c r="V136" i="12"/>
  <c r="W136" i="12"/>
  <c r="X136" i="12"/>
  <c r="AH136" i="12"/>
  <c r="A136" i="12"/>
  <c r="D136" i="12"/>
  <c r="T136" i="12" l="1"/>
  <c r="J136" i="12" s="1"/>
  <c r="U136" i="12"/>
  <c r="K136" i="12" s="1"/>
  <c r="B137" i="12"/>
  <c r="AE137" i="12" s="1"/>
  <c r="Q136" i="12"/>
  <c r="R136" i="12"/>
  <c r="G136" i="12" s="1"/>
  <c r="S136" i="12"/>
  <c r="H136" i="12" s="1"/>
  <c r="C137" i="12"/>
  <c r="Y137" i="12" s="1"/>
  <c r="N136" i="12"/>
  <c r="AI136" i="12" s="1"/>
  <c r="O136" i="12"/>
  <c r="P136" i="12"/>
  <c r="I136" i="12"/>
  <c r="L136" i="12"/>
  <c r="F136" i="12"/>
  <c r="E136" i="12"/>
  <c r="M136" i="12" l="1"/>
  <c r="X137" i="12"/>
  <c r="V137" i="12"/>
  <c r="W137" i="12"/>
  <c r="AD137" i="12"/>
  <c r="A137" i="12"/>
  <c r="D137" i="12"/>
  <c r="AH137" i="12"/>
  <c r="F137" i="12" l="1"/>
  <c r="B138" i="12"/>
  <c r="AE138" i="12" s="1"/>
  <c r="C138" i="12"/>
  <c r="Y138" i="12" s="1"/>
  <c r="T137" i="12"/>
  <c r="J137" i="12" s="1"/>
  <c r="U137" i="12"/>
  <c r="K137" i="12" s="1"/>
  <c r="Q137" i="12"/>
  <c r="R137" i="12"/>
  <c r="G137" i="12" s="1"/>
  <c r="S137" i="12"/>
  <c r="H137" i="12" s="1"/>
  <c r="E137" i="12"/>
  <c r="N137" i="12"/>
  <c r="AI137" i="12" s="1"/>
  <c r="P137" i="12"/>
  <c r="O137" i="12"/>
  <c r="I137" i="12"/>
  <c r="L137" i="12"/>
  <c r="M137" i="12" l="1"/>
  <c r="AD138" i="12"/>
  <c r="V138" i="12"/>
  <c r="W138" i="12"/>
  <c r="X138" i="12"/>
  <c r="D138" i="12"/>
  <c r="A138" i="12"/>
  <c r="AH138" i="12"/>
  <c r="U138" i="12" l="1"/>
  <c r="K138" i="12" s="1"/>
  <c r="S138" i="12"/>
  <c r="H138" i="12" s="1"/>
  <c r="T138" i="12"/>
  <c r="J138" i="12" s="1"/>
  <c r="E138" i="12"/>
  <c r="F138" i="12"/>
  <c r="I138" i="12"/>
  <c r="L138" i="12"/>
  <c r="N138" i="12"/>
  <c r="AI138" i="12" s="1"/>
  <c r="O138" i="12"/>
  <c r="P138" i="12"/>
  <c r="B139" i="12"/>
  <c r="AE139" i="12" s="1"/>
  <c r="C139" i="12"/>
  <c r="Y139" i="12" s="1"/>
  <c r="R138" i="12"/>
  <c r="G138" i="12" s="1"/>
  <c r="Q138" i="12"/>
  <c r="M138" i="12" l="1"/>
  <c r="V139" i="12"/>
  <c r="W139" i="12"/>
  <c r="X139" i="12"/>
  <c r="AD139" i="12"/>
  <c r="AH139" i="12"/>
  <c r="D139" i="12"/>
  <c r="A139" i="12"/>
  <c r="U139" i="12" l="1"/>
  <c r="K139" i="12" s="1"/>
  <c r="R139" i="12"/>
  <c r="G139" i="12" s="1"/>
  <c r="S139" i="12"/>
  <c r="H139" i="12" s="1"/>
  <c r="T139" i="12"/>
  <c r="J139" i="12" s="1"/>
  <c r="I139" i="12"/>
  <c r="L139" i="12"/>
  <c r="B140" i="12"/>
  <c r="AE140" i="12" s="1"/>
  <c r="C140" i="12"/>
  <c r="Y140" i="12" s="1"/>
  <c r="P139" i="12"/>
  <c r="Q139" i="12"/>
  <c r="E139" i="12"/>
  <c r="F139" i="12"/>
  <c r="N139" i="12"/>
  <c r="AI139" i="12" s="1"/>
  <c r="O139" i="12"/>
  <c r="M139" i="12" l="1"/>
  <c r="V140" i="12"/>
  <c r="W140" i="12"/>
  <c r="X140" i="12"/>
  <c r="AD140" i="12"/>
  <c r="A140" i="12"/>
  <c r="D140" i="12"/>
  <c r="AH140" i="12"/>
  <c r="P140" i="12" l="1"/>
  <c r="Q140" i="12"/>
  <c r="O140" i="12"/>
  <c r="R140" i="12"/>
  <c r="G140" i="12" s="1"/>
  <c r="U140" i="12"/>
  <c r="K140" i="12" s="1"/>
  <c r="N140" i="12"/>
  <c r="AI140" i="12" s="1"/>
  <c r="S140" i="12"/>
  <c r="H140" i="12" s="1"/>
  <c r="T140" i="12"/>
  <c r="J140" i="12" s="1"/>
  <c r="E140" i="12"/>
  <c r="F140" i="12"/>
  <c r="I140" i="12"/>
  <c r="L140" i="12"/>
  <c r="B141" i="12"/>
  <c r="AE141" i="12" s="1"/>
  <c r="C141" i="12"/>
  <c r="Y141" i="12" s="1"/>
  <c r="M140" i="12" l="1"/>
  <c r="V141" i="12"/>
  <c r="W141" i="12"/>
  <c r="X141" i="12"/>
  <c r="AD141" i="12"/>
  <c r="AH141" i="12"/>
  <c r="D141" i="12"/>
  <c r="A141" i="12"/>
  <c r="L141" i="12" l="1"/>
  <c r="N141" i="12"/>
  <c r="AI141" i="12" s="1"/>
  <c r="O141" i="12"/>
  <c r="T141" i="12"/>
  <c r="J141" i="12" s="1"/>
  <c r="U141" i="12"/>
  <c r="K141" i="12" s="1"/>
  <c r="P141" i="12"/>
  <c r="Q141" i="12"/>
  <c r="R141" i="12"/>
  <c r="G141" i="12" s="1"/>
  <c r="S141" i="12"/>
  <c r="H141" i="12" s="1"/>
  <c r="B142" i="12"/>
  <c r="AE142" i="12" s="1"/>
  <c r="C142" i="12"/>
  <c r="Y142" i="12" s="1"/>
  <c r="I141" i="12"/>
  <c r="E141" i="12"/>
  <c r="F141" i="12"/>
  <c r="M141" i="12" l="1"/>
  <c r="V142" i="12"/>
  <c r="A142" i="12"/>
  <c r="AH142" i="12"/>
  <c r="D142" i="12"/>
  <c r="W142" i="12"/>
  <c r="X142" i="12"/>
  <c r="AD142" i="12"/>
  <c r="F142" i="12" l="1"/>
  <c r="R142" i="12"/>
  <c r="G142" i="12" s="1"/>
  <c r="S142" i="12"/>
  <c r="H142" i="12" s="1"/>
  <c r="T142" i="12"/>
  <c r="J142" i="12" s="1"/>
  <c r="U142" i="12"/>
  <c r="K142" i="12" s="1"/>
  <c r="B143" i="12"/>
  <c r="AE143" i="12" s="1"/>
  <c r="C143" i="12"/>
  <c r="Y143" i="12" s="1"/>
  <c r="E142" i="12"/>
  <c r="I142" i="12"/>
  <c r="Q142" i="12"/>
  <c r="O142" i="12"/>
  <c r="P142" i="12"/>
  <c r="L142" i="12"/>
  <c r="N142" i="12"/>
  <c r="AI142" i="12" s="1"/>
  <c r="M142" i="12" l="1"/>
  <c r="A143" i="12"/>
  <c r="D143" i="12"/>
  <c r="V143" i="12"/>
  <c r="W143" i="12"/>
  <c r="X143" i="12"/>
  <c r="AD143" i="12"/>
  <c r="AH143" i="12"/>
  <c r="F143" i="12" l="1"/>
  <c r="B144" i="12"/>
  <c r="AE144" i="12" s="1"/>
  <c r="C144" i="12"/>
  <c r="Y144" i="12" s="1"/>
  <c r="P143" i="12"/>
  <c r="Q143" i="12"/>
  <c r="R143" i="12"/>
  <c r="G143" i="12" s="1"/>
  <c r="S143" i="12"/>
  <c r="H143" i="12" s="1"/>
  <c r="T143" i="12"/>
  <c r="J143" i="12" s="1"/>
  <c r="E143" i="12"/>
  <c r="I143" i="12"/>
  <c r="U143" i="12"/>
  <c r="K143" i="12" s="1"/>
  <c r="L143" i="12"/>
  <c r="N143" i="12"/>
  <c r="AI143" i="12" s="1"/>
  <c r="O143" i="12"/>
  <c r="M143" i="12" l="1"/>
  <c r="AH144" i="12"/>
  <c r="V144" i="12"/>
  <c r="W144" i="12"/>
  <c r="X144" i="12"/>
  <c r="A144" i="12"/>
  <c r="D144" i="12"/>
  <c r="AD144" i="12"/>
  <c r="T144" i="12" l="1"/>
  <c r="J144" i="12" s="1"/>
  <c r="N144" i="12"/>
  <c r="AI144" i="12" s="1"/>
  <c r="O144" i="12"/>
  <c r="P144" i="12"/>
  <c r="Q144" i="12"/>
  <c r="R144" i="12"/>
  <c r="G144" i="12" s="1"/>
  <c r="F144" i="12"/>
  <c r="I144" i="12"/>
  <c r="S144" i="12"/>
  <c r="H144" i="12" s="1"/>
  <c r="U144" i="12"/>
  <c r="K144" i="12" s="1"/>
  <c r="E144" i="12"/>
  <c r="C145" i="12"/>
  <c r="Y145" i="12" s="1"/>
  <c r="B145" i="12"/>
  <c r="AE145" i="12" s="1"/>
  <c r="L144" i="12"/>
  <c r="M144" i="12" l="1"/>
  <c r="W145" i="12"/>
  <c r="X145" i="12"/>
  <c r="V145" i="12"/>
  <c r="AD145" i="12"/>
  <c r="AH145" i="12"/>
  <c r="D145" i="12"/>
  <c r="A145" i="12"/>
  <c r="O145" i="12" l="1"/>
  <c r="L145" i="12"/>
  <c r="N145" i="12"/>
  <c r="AI145" i="12" s="1"/>
  <c r="P145" i="12"/>
  <c r="Q145" i="12"/>
  <c r="I145" i="12"/>
  <c r="R145" i="12"/>
  <c r="G145" i="12" s="1"/>
  <c r="S145" i="12"/>
  <c r="H145" i="12" s="1"/>
  <c r="B146" i="12"/>
  <c r="AE146" i="12" s="1"/>
  <c r="C146" i="12"/>
  <c r="Y146" i="12" s="1"/>
  <c r="T145" i="12"/>
  <c r="J145" i="12" s="1"/>
  <c r="U145" i="12"/>
  <c r="K145" i="12" s="1"/>
  <c r="E145" i="12"/>
  <c r="F145" i="12"/>
  <c r="M145" i="12" l="1"/>
  <c r="V146" i="12"/>
  <c r="W146" i="12"/>
  <c r="X146" i="12"/>
  <c r="A146" i="12"/>
  <c r="D146" i="12"/>
  <c r="AD146" i="12"/>
  <c r="AH146" i="12"/>
  <c r="S146" i="12" l="1"/>
  <c r="H146" i="12" s="1"/>
  <c r="T146" i="12"/>
  <c r="J146" i="12" s="1"/>
  <c r="L146" i="12"/>
  <c r="N146" i="12"/>
  <c r="AI146" i="12" s="1"/>
  <c r="O146" i="12"/>
  <c r="R146" i="12"/>
  <c r="G146" i="12" s="1"/>
  <c r="U146" i="12"/>
  <c r="K146" i="12" s="1"/>
  <c r="E146" i="12"/>
  <c r="P146" i="12"/>
  <c r="Q146" i="12"/>
  <c r="B147" i="12"/>
  <c r="AE147" i="12" s="1"/>
  <c r="I146" i="12"/>
  <c r="F146" i="12"/>
  <c r="C147" i="12"/>
  <c r="Y147" i="12" s="1"/>
  <c r="M146" i="12" l="1"/>
  <c r="W147" i="12"/>
  <c r="X147" i="12"/>
  <c r="AD147" i="12"/>
  <c r="V147" i="12"/>
  <c r="D147" i="12"/>
  <c r="AH147" i="12"/>
  <c r="A147" i="12"/>
  <c r="E147" i="12" l="1"/>
  <c r="O147" i="12"/>
  <c r="P147" i="12"/>
  <c r="I147" i="12"/>
  <c r="L147" i="12"/>
  <c r="Q147" i="12"/>
  <c r="R147" i="12"/>
  <c r="G147" i="12" s="1"/>
  <c r="S147" i="12"/>
  <c r="H147" i="12" s="1"/>
  <c r="T147" i="12"/>
  <c r="J147" i="12" s="1"/>
  <c r="U147" i="12"/>
  <c r="K147" i="12" s="1"/>
  <c r="F147" i="12"/>
  <c r="N147" i="12"/>
  <c r="AI147" i="12" s="1"/>
  <c r="B148" i="12"/>
  <c r="AE148" i="12" s="1"/>
  <c r="C148" i="12"/>
  <c r="Y148" i="12" s="1"/>
  <c r="M147" i="12" l="1"/>
  <c r="X148" i="12"/>
  <c r="AH148" i="12"/>
  <c r="AD148" i="12"/>
  <c r="V148" i="12"/>
  <c r="W148" i="12"/>
  <c r="A148" i="12"/>
  <c r="D148" i="12"/>
  <c r="L148" i="12" l="1"/>
  <c r="I148" i="12"/>
  <c r="B149" i="12"/>
  <c r="AE149" i="12" s="1"/>
  <c r="C149" i="12"/>
  <c r="Y149" i="12" s="1"/>
  <c r="T148" i="12"/>
  <c r="J148" i="12" s="1"/>
  <c r="U148" i="12"/>
  <c r="K148" i="12" s="1"/>
  <c r="Q148" i="12"/>
  <c r="R148" i="12"/>
  <c r="G148" i="12" s="1"/>
  <c r="S148" i="12"/>
  <c r="H148" i="12" s="1"/>
  <c r="E148" i="12"/>
  <c r="P148" i="12"/>
  <c r="O148" i="12"/>
  <c r="F148" i="12"/>
  <c r="N148" i="12"/>
  <c r="AI148" i="12" s="1"/>
  <c r="M148" i="12" l="1"/>
  <c r="A149" i="12"/>
  <c r="D149" i="12"/>
  <c r="V149" i="12"/>
  <c r="AH149" i="12"/>
  <c r="W149" i="12"/>
  <c r="X149" i="12"/>
  <c r="AD149" i="12"/>
  <c r="S149" i="12" l="1"/>
  <c r="H149" i="12" s="1"/>
  <c r="C150" i="12"/>
  <c r="Y150" i="12" s="1"/>
  <c r="E149" i="12"/>
  <c r="F149" i="12"/>
  <c r="I149" i="12"/>
  <c r="B150" i="12"/>
  <c r="AE150" i="12" s="1"/>
  <c r="L149" i="12"/>
  <c r="N149" i="12"/>
  <c r="AI149" i="12" s="1"/>
  <c r="O149" i="12"/>
  <c r="P149" i="12"/>
  <c r="Q149" i="12"/>
  <c r="R149" i="12"/>
  <c r="G149" i="12" s="1"/>
  <c r="U149" i="12"/>
  <c r="K149" i="12" s="1"/>
  <c r="T149" i="12"/>
  <c r="J149" i="12" s="1"/>
  <c r="M149" i="12" l="1"/>
  <c r="AH150" i="12"/>
  <c r="D150" i="12"/>
  <c r="A150" i="12"/>
  <c r="AD150" i="12"/>
  <c r="X150" i="12"/>
  <c r="V150" i="12"/>
  <c r="W150" i="12"/>
  <c r="N150" i="12" l="1"/>
  <c r="AI150" i="12" s="1"/>
  <c r="E150" i="12"/>
  <c r="C151" i="12"/>
  <c r="Y151" i="12" s="1"/>
  <c r="F150" i="12"/>
  <c r="I150" i="12"/>
  <c r="P150" i="12"/>
  <c r="Q150" i="12"/>
  <c r="R150" i="12"/>
  <c r="G150" i="12" s="1"/>
  <c r="S150" i="12"/>
  <c r="H150" i="12" s="1"/>
  <c r="T150" i="12"/>
  <c r="J150" i="12" s="1"/>
  <c r="B151" i="12"/>
  <c r="AE151" i="12" s="1"/>
  <c r="L150" i="12"/>
  <c r="O150" i="12"/>
  <c r="U150" i="12"/>
  <c r="K150" i="12" s="1"/>
  <c r="M150" i="12" l="1"/>
  <c r="X151" i="12"/>
  <c r="D151" i="12"/>
  <c r="W151" i="12"/>
  <c r="AD151" i="12"/>
  <c r="AH151" i="12"/>
  <c r="A151" i="12"/>
  <c r="V151" i="12"/>
  <c r="I151" i="12" l="1"/>
  <c r="B152" i="12"/>
  <c r="AE152" i="12" s="1"/>
  <c r="E151" i="12"/>
  <c r="C152" i="12"/>
  <c r="Y152" i="12" s="1"/>
  <c r="F151" i="12"/>
  <c r="L151" i="12"/>
  <c r="N151" i="12"/>
  <c r="AI151" i="12" s="1"/>
  <c r="O151" i="12"/>
  <c r="P151" i="12"/>
  <c r="Q151" i="12"/>
  <c r="S151" i="12"/>
  <c r="H151" i="12" s="1"/>
  <c r="U151" i="12"/>
  <c r="K151" i="12" s="1"/>
  <c r="R151" i="12"/>
  <c r="G151" i="12" s="1"/>
  <c r="T151" i="12"/>
  <c r="J151" i="12" s="1"/>
  <c r="M151" i="12" l="1"/>
  <c r="D152" i="12"/>
  <c r="AH152" i="12"/>
  <c r="A152" i="12"/>
  <c r="X152" i="12"/>
  <c r="AD152" i="12"/>
  <c r="V152" i="12"/>
  <c r="W152" i="12"/>
  <c r="T152" i="12" l="1"/>
  <c r="J152" i="12" s="1"/>
  <c r="U152" i="12"/>
  <c r="K152" i="12" s="1"/>
  <c r="B153" i="12"/>
  <c r="AE153" i="12" s="1"/>
  <c r="E152" i="12"/>
  <c r="C153" i="12"/>
  <c r="Y153" i="12" s="1"/>
  <c r="L152" i="12"/>
  <c r="N152" i="12"/>
  <c r="AI152" i="12" s="1"/>
  <c r="O152" i="12"/>
  <c r="F152" i="12"/>
  <c r="I152" i="12"/>
  <c r="Q152" i="12"/>
  <c r="R152" i="12"/>
  <c r="G152" i="12" s="1"/>
  <c r="S152" i="12"/>
  <c r="H152" i="12" s="1"/>
  <c r="P152" i="12"/>
  <c r="M152" i="12" l="1"/>
  <c r="W153" i="12"/>
  <c r="A153" i="12"/>
  <c r="AH153" i="12"/>
  <c r="D153" i="12"/>
  <c r="V153" i="12"/>
  <c r="X153" i="12"/>
  <c r="AD153" i="12"/>
  <c r="P153" i="12" l="1"/>
  <c r="Q153" i="12"/>
  <c r="N153" i="12"/>
  <c r="AI153" i="12" s="1"/>
  <c r="O153" i="12"/>
  <c r="R153" i="12"/>
  <c r="G153" i="12" s="1"/>
  <c r="S153" i="12"/>
  <c r="H153" i="12" s="1"/>
  <c r="I153" i="12"/>
  <c r="L153" i="12"/>
  <c r="U153" i="12"/>
  <c r="K153" i="12" s="1"/>
  <c r="B154" i="12"/>
  <c r="AE154" i="12" s="1"/>
  <c r="T153" i="12"/>
  <c r="J153" i="12" s="1"/>
  <c r="C154" i="12"/>
  <c r="Y154" i="12" s="1"/>
  <c r="F153" i="12"/>
  <c r="E153" i="12"/>
  <c r="M153" i="12" l="1"/>
  <c r="AD154" i="12"/>
  <c r="A154" i="12"/>
  <c r="AH154" i="12"/>
  <c r="V154" i="12"/>
  <c r="W154" i="12"/>
  <c r="X154" i="12"/>
  <c r="D154" i="12"/>
  <c r="R154" i="12" l="1"/>
  <c r="G154" i="12" s="1"/>
  <c r="L154" i="12"/>
  <c r="Q154" i="12"/>
  <c r="S154" i="12"/>
  <c r="H154" i="12" s="1"/>
  <c r="T154" i="12"/>
  <c r="J154" i="12" s="1"/>
  <c r="U154" i="12"/>
  <c r="K154" i="12" s="1"/>
  <c r="B155" i="12"/>
  <c r="AE155" i="12" s="1"/>
  <c r="N154" i="12"/>
  <c r="AI154" i="12" s="1"/>
  <c r="O154" i="12"/>
  <c r="P154" i="12"/>
  <c r="C155" i="12"/>
  <c r="Y155" i="12" s="1"/>
  <c r="I154" i="12"/>
  <c r="F154" i="12"/>
  <c r="E154" i="12"/>
  <c r="M154" i="12" l="1"/>
  <c r="W155" i="12"/>
  <c r="X155" i="12"/>
  <c r="AD155" i="12"/>
  <c r="V155" i="12"/>
  <c r="AH155" i="12"/>
  <c r="A155" i="12"/>
  <c r="D155" i="12"/>
  <c r="I155" i="12" l="1"/>
  <c r="T155" i="12"/>
  <c r="J155" i="12" s="1"/>
  <c r="U155" i="12"/>
  <c r="K155" i="12" s="1"/>
  <c r="Q155" i="12"/>
  <c r="R155" i="12"/>
  <c r="G155" i="12" s="1"/>
  <c r="S155" i="12"/>
  <c r="H155" i="12" s="1"/>
  <c r="B156" i="12"/>
  <c r="AE156" i="12" s="1"/>
  <c r="E155" i="12"/>
  <c r="L155" i="12"/>
  <c r="O155" i="12"/>
  <c r="N155" i="12"/>
  <c r="AI155" i="12" s="1"/>
  <c r="C156" i="12"/>
  <c r="Y156" i="12" s="1"/>
  <c r="P155" i="12"/>
  <c r="F155" i="12"/>
  <c r="M155" i="12" l="1"/>
  <c r="D156" i="12"/>
  <c r="V156" i="12"/>
  <c r="W156" i="12"/>
  <c r="X156" i="12"/>
  <c r="AD156" i="12"/>
  <c r="AH156" i="12"/>
  <c r="A156" i="12"/>
  <c r="C157" i="12" l="1"/>
  <c r="Y157" i="12" s="1"/>
  <c r="E156" i="12"/>
  <c r="U156" i="12"/>
  <c r="K156" i="12" s="1"/>
  <c r="B157" i="12"/>
  <c r="AE157" i="12" s="1"/>
  <c r="I156" i="12"/>
  <c r="L156" i="12"/>
  <c r="O156" i="12"/>
  <c r="P156" i="12"/>
  <c r="Q156" i="12"/>
  <c r="R156" i="12"/>
  <c r="G156" i="12" s="1"/>
  <c r="S156" i="12"/>
  <c r="H156" i="12" s="1"/>
  <c r="N156" i="12"/>
  <c r="AI156" i="12" s="1"/>
  <c r="F156" i="12"/>
  <c r="T156" i="12"/>
  <c r="J156" i="12" s="1"/>
  <c r="M156" i="12" l="1"/>
  <c r="A157" i="12"/>
  <c r="AD157" i="12"/>
  <c r="V157" i="12"/>
  <c r="D157" i="12"/>
  <c r="W157" i="12"/>
  <c r="X157" i="12"/>
  <c r="AH157" i="12"/>
  <c r="S157" i="12" l="1"/>
  <c r="H157" i="12" s="1"/>
  <c r="T157" i="12"/>
  <c r="J157" i="12" s="1"/>
  <c r="U157" i="12"/>
  <c r="K157" i="12" s="1"/>
  <c r="B158" i="12"/>
  <c r="AE158" i="12" s="1"/>
  <c r="C158" i="12"/>
  <c r="Y158" i="12" s="1"/>
  <c r="O157" i="12"/>
  <c r="P157" i="12"/>
  <c r="Q157" i="12"/>
  <c r="R157" i="12"/>
  <c r="G157" i="12" s="1"/>
  <c r="L157" i="12"/>
  <c r="E157" i="12"/>
  <c r="F157" i="12"/>
  <c r="I157" i="12"/>
  <c r="N157" i="12"/>
  <c r="AI157" i="12" s="1"/>
  <c r="M157" i="12" l="1"/>
  <c r="V158" i="12"/>
  <c r="W158" i="12"/>
  <c r="D158" i="12"/>
  <c r="A158" i="12"/>
  <c r="AD158" i="12"/>
  <c r="AH158" i="12"/>
  <c r="X158" i="12"/>
  <c r="U158" i="12" l="1"/>
  <c r="K158" i="12" s="1"/>
  <c r="Q158" i="12"/>
  <c r="R158" i="12"/>
  <c r="G158" i="12" s="1"/>
  <c r="S158" i="12"/>
  <c r="H158" i="12" s="1"/>
  <c r="T158" i="12"/>
  <c r="J158" i="12" s="1"/>
  <c r="E158" i="12"/>
  <c r="F158" i="12"/>
  <c r="B159" i="12"/>
  <c r="AE159" i="12" s="1"/>
  <c r="C159" i="12"/>
  <c r="Y159" i="12" s="1"/>
  <c r="L158" i="12"/>
  <c r="N158" i="12"/>
  <c r="AI158" i="12" s="1"/>
  <c r="O158" i="12"/>
  <c r="I158" i="12"/>
  <c r="P158" i="12"/>
  <c r="M158" i="12" l="1"/>
  <c r="D159" i="12"/>
  <c r="A159" i="12"/>
  <c r="AH159" i="12"/>
  <c r="X159" i="12"/>
  <c r="W159" i="12"/>
  <c r="V159" i="12"/>
  <c r="AD159" i="12"/>
  <c r="Q159" i="12" l="1"/>
  <c r="R159" i="12"/>
  <c r="G159" i="12" s="1"/>
  <c r="S159" i="12"/>
  <c r="H159" i="12" s="1"/>
  <c r="O159" i="12"/>
  <c r="P159" i="12"/>
  <c r="T159" i="12"/>
  <c r="J159" i="12" s="1"/>
  <c r="U159" i="12"/>
  <c r="K159" i="12" s="1"/>
  <c r="E159" i="12"/>
  <c r="F159" i="12"/>
  <c r="I159" i="12"/>
  <c r="B160" i="12"/>
  <c r="AE160" i="12" s="1"/>
  <c r="C160" i="12"/>
  <c r="Y160" i="12" s="1"/>
  <c r="L159" i="12"/>
  <c r="N159" i="12"/>
  <c r="AI159" i="12" s="1"/>
  <c r="M159" i="12" l="1"/>
  <c r="V160" i="12"/>
  <c r="W160" i="12"/>
  <c r="A160" i="12"/>
  <c r="D160" i="12"/>
  <c r="X160" i="12"/>
  <c r="AD160" i="12"/>
  <c r="AH160" i="12"/>
  <c r="L160" i="12" l="1"/>
  <c r="N160" i="12"/>
  <c r="AI160" i="12" s="1"/>
  <c r="O160" i="12"/>
  <c r="P160" i="12"/>
  <c r="Q160" i="12"/>
  <c r="R160" i="12"/>
  <c r="G160" i="12" s="1"/>
  <c r="S160" i="12"/>
  <c r="H160" i="12" s="1"/>
  <c r="F160" i="12"/>
  <c r="I160" i="12"/>
  <c r="T160" i="12"/>
  <c r="J160" i="12" s="1"/>
  <c r="U160" i="12"/>
  <c r="K160" i="12" s="1"/>
  <c r="E160" i="12"/>
  <c r="B161" i="12"/>
  <c r="AE161" i="12" s="1"/>
  <c r="C161" i="12"/>
  <c r="Y161" i="12" s="1"/>
  <c r="M160" i="12" l="1"/>
  <c r="AD161" i="12"/>
  <c r="AH161" i="12"/>
  <c r="X161" i="12"/>
  <c r="A161" i="12"/>
  <c r="D161" i="12"/>
  <c r="V161" i="12"/>
  <c r="W161" i="12"/>
  <c r="B162" i="12" l="1"/>
  <c r="AE162" i="12" s="1"/>
  <c r="N161" i="12"/>
  <c r="AI161" i="12" s="1"/>
  <c r="O161" i="12"/>
  <c r="P161" i="12"/>
  <c r="Q161" i="12"/>
  <c r="I161" i="12"/>
  <c r="L161" i="12"/>
  <c r="R161" i="12"/>
  <c r="G161" i="12" s="1"/>
  <c r="S161" i="12"/>
  <c r="H161" i="12" s="1"/>
  <c r="C162" i="12"/>
  <c r="Y162" i="12" s="1"/>
  <c r="E161" i="12"/>
  <c r="T161" i="12"/>
  <c r="J161" i="12" s="1"/>
  <c r="U161" i="12"/>
  <c r="K161" i="12" s="1"/>
  <c r="F161" i="12"/>
  <c r="M161" i="12" l="1"/>
  <c r="AD162" i="12"/>
  <c r="A162" i="12"/>
  <c r="D162" i="12"/>
  <c r="V162" i="12"/>
  <c r="W162" i="12"/>
  <c r="X162" i="12"/>
  <c r="AH162" i="12"/>
  <c r="F162" i="12" l="1"/>
  <c r="B163" i="12"/>
  <c r="AE163" i="12" s="1"/>
  <c r="C163" i="12"/>
  <c r="Y163" i="12" s="1"/>
  <c r="L162" i="12"/>
  <c r="N162" i="12"/>
  <c r="AI162" i="12" s="1"/>
  <c r="O162" i="12"/>
  <c r="Q162" i="12"/>
  <c r="R162" i="12"/>
  <c r="G162" i="12" s="1"/>
  <c r="S162" i="12"/>
  <c r="H162" i="12" s="1"/>
  <c r="T162" i="12"/>
  <c r="J162" i="12" s="1"/>
  <c r="U162" i="12"/>
  <c r="K162" i="12" s="1"/>
  <c r="E162" i="12"/>
  <c r="P162" i="12"/>
  <c r="I162" i="12"/>
  <c r="M162" i="12" l="1"/>
  <c r="AH163" i="12"/>
  <c r="V163" i="12"/>
  <c r="W163" i="12"/>
  <c r="X163" i="12"/>
  <c r="AD163" i="12"/>
  <c r="D163" i="12"/>
  <c r="A163" i="12"/>
  <c r="U163" i="12" l="1"/>
  <c r="K163" i="12" s="1"/>
  <c r="L163" i="12"/>
  <c r="S163" i="12"/>
  <c r="H163" i="12" s="1"/>
  <c r="T163" i="12"/>
  <c r="J163" i="12" s="1"/>
  <c r="I163" i="12"/>
  <c r="N163" i="12"/>
  <c r="AI163" i="12" s="1"/>
  <c r="O163" i="12"/>
  <c r="B164" i="12"/>
  <c r="AE164" i="12" s="1"/>
  <c r="E163" i="12"/>
  <c r="F163" i="12"/>
  <c r="P163" i="12"/>
  <c r="R163" i="12"/>
  <c r="G163" i="12" s="1"/>
  <c r="Q163" i="12"/>
  <c r="C164" i="12"/>
  <c r="Y164" i="12" s="1"/>
  <c r="M163" i="12" l="1"/>
  <c r="W164" i="12"/>
  <c r="X164" i="12"/>
  <c r="V164" i="12"/>
  <c r="AD164" i="12"/>
  <c r="AH164" i="12"/>
  <c r="A164" i="12"/>
  <c r="D164" i="12"/>
  <c r="P164" i="12" l="1"/>
  <c r="I164" i="12"/>
  <c r="S164" i="12"/>
  <c r="H164" i="12" s="1"/>
  <c r="T164" i="12"/>
  <c r="J164" i="12" s="1"/>
  <c r="U164" i="12"/>
  <c r="K164" i="12" s="1"/>
  <c r="R164" i="12"/>
  <c r="G164" i="12" s="1"/>
  <c r="B165" i="12"/>
  <c r="AE165" i="12" s="1"/>
  <c r="C165" i="12"/>
  <c r="Y165" i="12" s="1"/>
  <c r="E164" i="12"/>
  <c r="F164" i="12"/>
  <c r="Q164" i="12"/>
  <c r="L164" i="12"/>
  <c r="N164" i="12"/>
  <c r="AI164" i="12" s="1"/>
  <c r="O164" i="12"/>
  <c r="M164" i="12" l="1"/>
  <c r="AD165" i="12"/>
  <c r="AH165" i="12"/>
  <c r="A165" i="12"/>
  <c r="D165" i="12"/>
  <c r="W165" i="12"/>
  <c r="X165" i="12"/>
  <c r="V165" i="12"/>
  <c r="S165" i="12" l="1"/>
  <c r="H165" i="12" s="1"/>
  <c r="T165" i="12"/>
  <c r="J165" i="12" s="1"/>
  <c r="F165" i="12"/>
  <c r="I165" i="12"/>
  <c r="O165" i="12"/>
  <c r="P165" i="12"/>
  <c r="Q165" i="12"/>
  <c r="R165" i="12"/>
  <c r="G165" i="12" s="1"/>
  <c r="U165" i="12"/>
  <c r="K165" i="12" s="1"/>
  <c r="B166" i="12"/>
  <c r="AE166" i="12" s="1"/>
  <c r="C166" i="12"/>
  <c r="Y166" i="12" s="1"/>
  <c r="E165" i="12"/>
  <c r="L165" i="12"/>
  <c r="N165" i="12"/>
  <c r="AI165" i="12" s="1"/>
  <c r="M165" i="12" l="1"/>
  <c r="D166" i="12"/>
  <c r="AH166" i="12"/>
  <c r="A166" i="12"/>
  <c r="AD166" i="12"/>
  <c r="W166" i="12"/>
  <c r="V166" i="12"/>
  <c r="X166" i="12"/>
  <c r="F166" i="12" l="1"/>
  <c r="O166" i="12"/>
  <c r="P166" i="12"/>
  <c r="C167" i="12"/>
  <c r="Y167" i="12" s="1"/>
  <c r="E166" i="12"/>
  <c r="B167" i="12"/>
  <c r="AE167" i="12" s="1"/>
  <c r="I166" i="12"/>
  <c r="L166" i="12"/>
  <c r="N166" i="12"/>
  <c r="AI166" i="12" s="1"/>
  <c r="Q166" i="12"/>
  <c r="S166" i="12"/>
  <c r="H166" i="12" s="1"/>
  <c r="R166" i="12"/>
  <c r="G166" i="12" s="1"/>
  <c r="T166" i="12"/>
  <c r="J166" i="12" s="1"/>
  <c r="U166" i="12"/>
  <c r="K166" i="12" s="1"/>
  <c r="M166" i="12" l="1"/>
  <c r="A167" i="12"/>
  <c r="D167" i="12"/>
  <c r="V167" i="12"/>
  <c r="W167" i="12"/>
  <c r="X167" i="12"/>
  <c r="AH167" i="12"/>
  <c r="AD167" i="12"/>
  <c r="L167" i="12" l="1"/>
  <c r="B168" i="12"/>
  <c r="AE168" i="12" s="1"/>
  <c r="E167" i="12"/>
  <c r="C168" i="12"/>
  <c r="Y168" i="12" s="1"/>
  <c r="F167" i="12"/>
  <c r="R167" i="12"/>
  <c r="G167" i="12" s="1"/>
  <c r="S167" i="12"/>
  <c r="H167" i="12" s="1"/>
  <c r="T167" i="12"/>
  <c r="J167" i="12" s="1"/>
  <c r="U167" i="12"/>
  <c r="K167" i="12" s="1"/>
  <c r="N167" i="12"/>
  <c r="AI167" i="12" s="1"/>
  <c r="O167" i="12"/>
  <c r="P167" i="12"/>
  <c r="I167" i="12"/>
  <c r="Q167" i="12"/>
  <c r="M167" i="12" l="1"/>
  <c r="A168" i="12"/>
  <c r="AH168" i="12"/>
  <c r="D168" i="12"/>
  <c r="AD168" i="12"/>
  <c r="V168" i="12"/>
  <c r="W168" i="12"/>
  <c r="X168" i="12"/>
  <c r="T168" i="12" l="1"/>
  <c r="J168" i="12" s="1"/>
  <c r="C169" i="12"/>
  <c r="Y169" i="12" s="1"/>
  <c r="B169" i="12"/>
  <c r="AE169" i="12" s="1"/>
  <c r="F168" i="12"/>
  <c r="I168" i="12"/>
  <c r="L168" i="12"/>
  <c r="S168" i="12"/>
  <c r="H168" i="12" s="1"/>
  <c r="U168" i="12"/>
  <c r="K168" i="12" s="1"/>
  <c r="E168" i="12"/>
  <c r="N168" i="12"/>
  <c r="AI168" i="12" s="1"/>
  <c r="P168" i="12"/>
  <c r="O168" i="12"/>
  <c r="Q168" i="12"/>
  <c r="R168" i="12"/>
  <c r="G168" i="12" s="1"/>
  <c r="M168" i="12" l="1"/>
  <c r="AH169" i="12"/>
  <c r="D169" i="12"/>
  <c r="AD169" i="12"/>
  <c r="A169" i="12"/>
  <c r="V169" i="12"/>
  <c r="X169" i="12"/>
  <c r="W169" i="12"/>
  <c r="O169" i="12" l="1"/>
  <c r="B170" i="12"/>
  <c r="AE170" i="12" s="1"/>
  <c r="L169" i="12"/>
  <c r="N169" i="12"/>
  <c r="AI169" i="12" s="1"/>
  <c r="E169" i="12"/>
  <c r="F169" i="12"/>
  <c r="I169" i="12"/>
  <c r="P169" i="12"/>
  <c r="Q169" i="12"/>
  <c r="S169" i="12"/>
  <c r="H169" i="12" s="1"/>
  <c r="T169" i="12"/>
  <c r="J169" i="12" s="1"/>
  <c r="U169" i="12"/>
  <c r="K169" i="12" s="1"/>
  <c r="R169" i="12"/>
  <c r="G169" i="12" s="1"/>
  <c r="C170" i="12"/>
  <c r="Y170" i="12" s="1"/>
  <c r="M169" i="12" l="1"/>
  <c r="X170" i="12"/>
  <c r="AD170" i="12"/>
  <c r="A170" i="12"/>
  <c r="AH170" i="12"/>
  <c r="W170" i="12"/>
  <c r="D170" i="12"/>
  <c r="V170" i="12"/>
  <c r="N170" i="12" l="1"/>
  <c r="AI170" i="12" s="1"/>
  <c r="O170" i="12"/>
  <c r="P170" i="12"/>
  <c r="Q170" i="12"/>
  <c r="L170" i="12"/>
  <c r="R170" i="12"/>
  <c r="G170" i="12" s="1"/>
  <c r="S170" i="12"/>
  <c r="H170" i="12" s="1"/>
  <c r="T170" i="12"/>
  <c r="J170" i="12" s="1"/>
  <c r="B171" i="12"/>
  <c r="AE171" i="12" s="1"/>
  <c r="C171" i="12"/>
  <c r="Y171" i="12" s="1"/>
  <c r="F170" i="12"/>
  <c r="I170" i="12"/>
  <c r="U170" i="12"/>
  <c r="K170" i="12" s="1"/>
  <c r="E170" i="12"/>
  <c r="M170" i="12" l="1"/>
  <c r="X171" i="12"/>
  <c r="AD171" i="12"/>
  <c r="D171" i="12"/>
  <c r="V171" i="12"/>
  <c r="W171" i="12"/>
  <c r="AH171" i="12"/>
  <c r="A171" i="12"/>
  <c r="E171" i="12" l="1"/>
  <c r="T171" i="12"/>
  <c r="J171" i="12" s="1"/>
  <c r="U171" i="12"/>
  <c r="K171" i="12" s="1"/>
  <c r="O171" i="12"/>
  <c r="P171" i="12"/>
  <c r="Q171" i="12"/>
  <c r="R171" i="12"/>
  <c r="G171" i="12" s="1"/>
  <c r="S171" i="12"/>
  <c r="H171" i="12" s="1"/>
  <c r="B172" i="12"/>
  <c r="AE172" i="12" s="1"/>
  <c r="C172" i="12"/>
  <c r="Y172" i="12" s="1"/>
  <c r="F171" i="12"/>
  <c r="N171" i="12"/>
  <c r="AI171" i="12" s="1"/>
  <c r="L171" i="12"/>
  <c r="I171" i="12"/>
  <c r="M171" i="12" l="1"/>
  <c r="X172" i="12"/>
  <c r="V172" i="12"/>
  <c r="W172" i="12"/>
  <c r="AD172" i="12"/>
  <c r="A172" i="12"/>
  <c r="D172" i="12"/>
  <c r="AH172" i="12"/>
  <c r="P172" i="12" l="1"/>
  <c r="Q172" i="12"/>
  <c r="S172" i="12"/>
  <c r="H172" i="12" s="1"/>
  <c r="T172" i="12"/>
  <c r="J172" i="12" s="1"/>
  <c r="U172" i="12"/>
  <c r="K172" i="12" s="1"/>
  <c r="E172" i="12"/>
  <c r="O172" i="12"/>
  <c r="R172" i="12"/>
  <c r="G172" i="12" s="1"/>
  <c r="F172" i="12"/>
  <c r="I172" i="12"/>
  <c r="L172" i="12"/>
  <c r="B173" i="12"/>
  <c r="AE173" i="12" s="1"/>
  <c r="N172" i="12"/>
  <c r="AI172" i="12" s="1"/>
  <c r="C173" i="12"/>
  <c r="Y173" i="12" s="1"/>
  <c r="M172" i="12" l="1"/>
  <c r="V173" i="12"/>
  <c r="W173" i="12"/>
  <c r="X173" i="12"/>
  <c r="AD173" i="12"/>
  <c r="AH173" i="12"/>
  <c r="D173" i="12"/>
  <c r="A173" i="12"/>
  <c r="S173" i="12" l="1"/>
  <c r="H173" i="12" s="1"/>
  <c r="L173" i="12"/>
  <c r="U173" i="12"/>
  <c r="K173" i="12" s="1"/>
  <c r="T173" i="12"/>
  <c r="J173" i="12" s="1"/>
  <c r="F173" i="12"/>
  <c r="I173" i="12"/>
  <c r="C174" i="12"/>
  <c r="Y174" i="12" s="1"/>
  <c r="E173" i="12"/>
  <c r="B174" i="12"/>
  <c r="AE174" i="12" s="1"/>
  <c r="O173" i="12"/>
  <c r="N173" i="12"/>
  <c r="AI173" i="12" s="1"/>
  <c r="P173" i="12"/>
  <c r="Q173" i="12"/>
  <c r="R173" i="12"/>
  <c r="G173" i="12" s="1"/>
  <c r="M173" i="12" l="1"/>
  <c r="V174" i="12"/>
  <c r="W174" i="12"/>
  <c r="X174" i="12"/>
  <c r="A174" i="12"/>
  <c r="AD174" i="12"/>
  <c r="AH174" i="12"/>
  <c r="D174" i="12"/>
  <c r="N174" i="12" l="1"/>
  <c r="AI174" i="12" s="1"/>
  <c r="R174" i="12"/>
  <c r="G174" i="12" s="1"/>
  <c r="S174" i="12"/>
  <c r="H174" i="12" s="1"/>
  <c r="U174" i="12"/>
  <c r="K174" i="12" s="1"/>
  <c r="L174" i="12"/>
  <c r="O174" i="12"/>
  <c r="P174" i="12"/>
  <c r="Q174" i="12"/>
  <c r="F174" i="12"/>
  <c r="I174" i="12"/>
  <c r="B175" i="12"/>
  <c r="AE175" i="12" s="1"/>
  <c r="E174" i="12"/>
  <c r="T174" i="12"/>
  <c r="J174" i="12" s="1"/>
  <c r="C175" i="12"/>
  <c r="Y175" i="12" s="1"/>
  <c r="M174" i="12" l="1"/>
  <c r="D175" i="12"/>
  <c r="V175" i="12"/>
  <c r="W175" i="12"/>
  <c r="X175" i="12"/>
  <c r="AD175" i="12"/>
  <c r="AH175" i="12"/>
  <c r="A175" i="12"/>
  <c r="I175" i="12" l="1"/>
  <c r="O175" i="12"/>
  <c r="P175" i="12"/>
  <c r="T175" i="12"/>
  <c r="J175" i="12" s="1"/>
  <c r="U175" i="12"/>
  <c r="K175" i="12" s="1"/>
  <c r="S175" i="12"/>
  <c r="H175" i="12" s="1"/>
  <c r="B176" i="12"/>
  <c r="AE176" i="12" s="1"/>
  <c r="C176" i="12"/>
  <c r="Y176" i="12" s="1"/>
  <c r="N175" i="12"/>
  <c r="AI175" i="12" s="1"/>
  <c r="Q175" i="12"/>
  <c r="R175" i="12"/>
  <c r="G175" i="12" s="1"/>
  <c r="L175" i="12"/>
  <c r="E175" i="12"/>
  <c r="F175" i="12"/>
  <c r="M175" i="12" l="1"/>
  <c r="D176" i="12"/>
  <c r="AH176" i="12"/>
  <c r="V176" i="12"/>
  <c r="W176" i="12"/>
  <c r="A176" i="12"/>
  <c r="AD176" i="12"/>
  <c r="X176" i="12"/>
  <c r="L176" i="12" l="1"/>
  <c r="S176" i="12"/>
  <c r="H176" i="12" s="1"/>
  <c r="T176" i="12"/>
  <c r="J176" i="12" s="1"/>
  <c r="U176" i="12"/>
  <c r="K176" i="12" s="1"/>
  <c r="B177" i="12"/>
  <c r="AE177" i="12" s="1"/>
  <c r="C177" i="12"/>
  <c r="Y177" i="12" s="1"/>
  <c r="E176" i="12"/>
  <c r="F176" i="12"/>
  <c r="I176" i="12"/>
  <c r="N176" i="12"/>
  <c r="AI176" i="12" s="1"/>
  <c r="O176" i="12"/>
  <c r="P176" i="12"/>
  <c r="Q176" i="12"/>
  <c r="R176" i="12"/>
  <c r="G176" i="12" s="1"/>
  <c r="M176" i="12" l="1"/>
  <c r="W177" i="12"/>
  <c r="V177" i="12"/>
  <c r="X177" i="12"/>
  <c r="A177" i="12"/>
  <c r="D177" i="12"/>
  <c r="AH177" i="12"/>
  <c r="AD177" i="12"/>
  <c r="U177" i="12" l="1"/>
  <c r="K177" i="12" s="1"/>
  <c r="I177" i="12"/>
  <c r="R177" i="12"/>
  <c r="G177" i="12" s="1"/>
  <c r="S177" i="12"/>
  <c r="H177" i="12" s="1"/>
  <c r="T177" i="12"/>
  <c r="J177" i="12" s="1"/>
  <c r="E177" i="12"/>
  <c r="N177" i="12"/>
  <c r="AI177" i="12" s="1"/>
  <c r="O177" i="12"/>
  <c r="P177" i="12"/>
  <c r="Q177" i="12"/>
  <c r="C178" i="12"/>
  <c r="Y178" i="12" s="1"/>
  <c r="F177" i="12"/>
  <c r="L177" i="12"/>
  <c r="B178" i="12"/>
  <c r="AE178" i="12" s="1"/>
  <c r="M177" i="12" l="1"/>
  <c r="V178" i="12"/>
  <c r="AH178" i="12"/>
  <c r="A178" i="12"/>
  <c r="W178" i="12"/>
  <c r="X178" i="12"/>
  <c r="D178" i="12"/>
  <c r="AD178" i="12"/>
  <c r="Q178" i="12" l="1"/>
  <c r="F178" i="12"/>
  <c r="B179" i="12"/>
  <c r="AE179" i="12" s="1"/>
  <c r="C179" i="12"/>
  <c r="Y179" i="12" s="1"/>
  <c r="R178" i="12"/>
  <c r="G178" i="12" s="1"/>
  <c r="S178" i="12"/>
  <c r="H178" i="12" s="1"/>
  <c r="T178" i="12"/>
  <c r="J178" i="12" s="1"/>
  <c r="U178" i="12"/>
  <c r="K178" i="12" s="1"/>
  <c r="E178" i="12"/>
  <c r="I178" i="12"/>
  <c r="N178" i="12"/>
  <c r="AI178" i="12" s="1"/>
  <c r="O178" i="12"/>
  <c r="P178" i="12"/>
  <c r="L178" i="12"/>
  <c r="M178" i="12" l="1"/>
  <c r="AH179" i="12"/>
  <c r="A179" i="12"/>
  <c r="D179" i="12"/>
  <c r="X179" i="12"/>
  <c r="AD179" i="12"/>
  <c r="V179" i="12"/>
  <c r="W179" i="12"/>
  <c r="L179" i="12" l="1"/>
  <c r="P179" i="12"/>
  <c r="Q179" i="12"/>
  <c r="R179" i="12"/>
  <c r="G179" i="12" s="1"/>
  <c r="S179" i="12"/>
  <c r="H179" i="12" s="1"/>
  <c r="T179" i="12"/>
  <c r="J179" i="12" s="1"/>
  <c r="N179" i="12"/>
  <c r="AI179" i="12" s="1"/>
  <c r="O179" i="12"/>
  <c r="E179" i="12"/>
  <c r="B180" i="12"/>
  <c r="AE180" i="12" s="1"/>
  <c r="I179" i="12"/>
  <c r="U179" i="12"/>
  <c r="K179" i="12" s="1"/>
  <c r="F179" i="12"/>
  <c r="C180" i="12"/>
  <c r="Y180" i="12" s="1"/>
  <c r="M179" i="12" l="1"/>
  <c r="W180" i="12"/>
  <c r="X180" i="12"/>
  <c r="V180" i="12"/>
  <c r="AD180" i="12"/>
  <c r="A180" i="12"/>
  <c r="AH180" i="12"/>
  <c r="D180" i="12"/>
  <c r="B181" i="12" l="1"/>
  <c r="AE181" i="12" s="1"/>
  <c r="N180" i="12"/>
  <c r="AI180" i="12" s="1"/>
  <c r="O180" i="12"/>
  <c r="P180" i="12"/>
  <c r="Q180" i="12"/>
  <c r="R180" i="12"/>
  <c r="G180" i="12" s="1"/>
  <c r="S180" i="12"/>
  <c r="H180" i="12" s="1"/>
  <c r="T180" i="12"/>
  <c r="J180" i="12" s="1"/>
  <c r="U180" i="12"/>
  <c r="K180" i="12" s="1"/>
  <c r="L180" i="12"/>
  <c r="E180" i="12"/>
  <c r="F180" i="12"/>
  <c r="I180" i="12"/>
  <c r="C181" i="12"/>
  <c r="Y181" i="12" s="1"/>
  <c r="M180" i="12" l="1"/>
  <c r="AD181" i="12"/>
  <c r="X181" i="12"/>
  <c r="AH181" i="12"/>
  <c r="W181" i="12"/>
  <c r="V181" i="12"/>
  <c r="D181" i="12"/>
  <c r="A181" i="12"/>
  <c r="S181" i="12" l="1"/>
  <c r="H181" i="12" s="1"/>
  <c r="T181" i="12"/>
  <c r="J181" i="12" s="1"/>
  <c r="L181" i="12"/>
  <c r="N181" i="12"/>
  <c r="AI181" i="12" s="1"/>
  <c r="O181" i="12"/>
  <c r="P181" i="12"/>
  <c r="B182" i="12"/>
  <c r="AE182" i="12" s="1"/>
  <c r="C182" i="12"/>
  <c r="Y182" i="12" s="1"/>
  <c r="Q181" i="12"/>
  <c r="R181" i="12"/>
  <c r="G181" i="12" s="1"/>
  <c r="U181" i="12"/>
  <c r="K181" i="12" s="1"/>
  <c r="I181" i="12"/>
  <c r="E181" i="12"/>
  <c r="F181" i="12"/>
  <c r="M181" i="12" l="1"/>
  <c r="AH182" i="12"/>
  <c r="D182" i="12"/>
  <c r="A182" i="12"/>
  <c r="V182" i="12"/>
  <c r="W182" i="12"/>
  <c r="X182" i="12"/>
  <c r="AD182" i="12"/>
  <c r="U182" i="12" l="1"/>
  <c r="K182" i="12" s="1"/>
  <c r="O182" i="12"/>
  <c r="P182" i="12"/>
  <c r="L182" i="12"/>
  <c r="N182" i="12"/>
  <c r="AI182" i="12" s="1"/>
  <c r="B183" i="12"/>
  <c r="AE183" i="12" s="1"/>
  <c r="C183" i="12"/>
  <c r="Y183" i="12" s="1"/>
  <c r="E182" i="12"/>
  <c r="F182" i="12"/>
  <c r="Q182" i="12"/>
  <c r="T182" i="12"/>
  <c r="J182" i="12" s="1"/>
  <c r="I182" i="12"/>
  <c r="R182" i="12"/>
  <c r="G182" i="12" s="1"/>
  <c r="S182" i="12"/>
  <c r="H182" i="12" s="1"/>
  <c r="M182" i="12" l="1"/>
  <c r="A183" i="12"/>
  <c r="V183" i="12"/>
  <c r="W183" i="12"/>
  <c r="X183" i="12"/>
  <c r="AD183" i="12"/>
  <c r="D183" i="12"/>
  <c r="AH183" i="12"/>
  <c r="P183" i="12" l="1"/>
  <c r="L183" i="12"/>
  <c r="I183" i="12"/>
  <c r="N183" i="12"/>
  <c r="AI183" i="12" s="1"/>
  <c r="B184" i="12"/>
  <c r="AE184" i="12" s="1"/>
  <c r="C184" i="12"/>
  <c r="Y184" i="12" s="1"/>
  <c r="R183" i="12"/>
  <c r="G183" i="12" s="1"/>
  <c r="S183" i="12"/>
  <c r="H183" i="12" s="1"/>
  <c r="T183" i="12"/>
  <c r="J183" i="12" s="1"/>
  <c r="U183" i="12"/>
  <c r="K183" i="12" s="1"/>
  <c r="O183" i="12"/>
  <c r="Q183" i="12"/>
  <c r="E183" i="12"/>
  <c r="F183" i="12"/>
  <c r="M183" i="12" l="1"/>
  <c r="D184" i="12"/>
  <c r="AD184" i="12"/>
  <c r="AH184" i="12"/>
  <c r="W184" i="12"/>
  <c r="X184" i="12"/>
  <c r="V184" i="12"/>
  <c r="A184" i="12"/>
  <c r="C185" i="12" l="1"/>
  <c r="Y185" i="12" s="1"/>
  <c r="F184" i="12"/>
  <c r="I184" i="12"/>
  <c r="L184" i="12"/>
  <c r="E184" i="12"/>
  <c r="N184" i="12"/>
  <c r="AI184" i="12" s="1"/>
  <c r="O184" i="12"/>
  <c r="P184" i="12"/>
  <c r="Q184" i="12"/>
  <c r="R184" i="12"/>
  <c r="G184" i="12" s="1"/>
  <c r="T184" i="12"/>
  <c r="J184" i="12" s="1"/>
  <c r="U184" i="12"/>
  <c r="K184" i="12" s="1"/>
  <c r="B185" i="12"/>
  <c r="AE185" i="12" s="1"/>
  <c r="S184" i="12"/>
  <c r="H184" i="12" s="1"/>
  <c r="M184" i="12" l="1"/>
  <c r="AH185" i="12"/>
  <c r="D185" i="12"/>
  <c r="A185" i="12"/>
  <c r="W185" i="12"/>
  <c r="V185" i="12"/>
  <c r="X185" i="12"/>
  <c r="AD185" i="12"/>
  <c r="F185" i="12" l="1"/>
  <c r="I185" i="12"/>
  <c r="N185" i="12"/>
  <c r="AI185" i="12" s="1"/>
  <c r="O185" i="12"/>
  <c r="P185" i="12"/>
  <c r="Q185" i="12"/>
  <c r="R185" i="12"/>
  <c r="G185" i="12" s="1"/>
  <c r="S185" i="12"/>
  <c r="H185" i="12" s="1"/>
  <c r="T185" i="12"/>
  <c r="J185" i="12" s="1"/>
  <c r="U185" i="12"/>
  <c r="K185" i="12" s="1"/>
  <c r="L185" i="12"/>
  <c r="C186" i="12"/>
  <c r="Y186" i="12" s="1"/>
  <c r="B186" i="12"/>
  <c r="AE186" i="12" s="1"/>
  <c r="E185" i="12"/>
  <c r="M185" i="12" l="1"/>
  <c r="A186" i="12"/>
  <c r="X186" i="12"/>
  <c r="AD186" i="12"/>
  <c r="V186" i="12"/>
  <c r="W186" i="12"/>
  <c r="AH186" i="12"/>
  <c r="D186" i="12"/>
  <c r="E186" i="12" l="1"/>
  <c r="C187" i="12"/>
  <c r="Y187" i="12" s="1"/>
  <c r="F186" i="12"/>
  <c r="I186" i="12"/>
  <c r="P186" i="12"/>
  <c r="Q186" i="12"/>
  <c r="R186" i="12"/>
  <c r="G186" i="12" s="1"/>
  <c r="S186" i="12"/>
  <c r="H186" i="12" s="1"/>
  <c r="T186" i="12"/>
  <c r="J186" i="12" s="1"/>
  <c r="N186" i="12"/>
  <c r="AI186" i="12" s="1"/>
  <c r="O186" i="12"/>
  <c r="U186" i="12"/>
  <c r="K186" i="12" s="1"/>
  <c r="L186" i="12"/>
  <c r="B187" i="12"/>
  <c r="AE187" i="12" s="1"/>
  <c r="M186" i="12" l="1"/>
  <c r="V187" i="12"/>
  <c r="D187" i="12"/>
  <c r="W187" i="12"/>
  <c r="X187" i="12"/>
  <c r="AD187" i="12"/>
  <c r="A187" i="12"/>
  <c r="AH187" i="12"/>
  <c r="T187" i="12" l="1"/>
  <c r="J187" i="12" s="1"/>
  <c r="U187" i="12"/>
  <c r="K187" i="12" s="1"/>
  <c r="B188" i="12"/>
  <c r="AE188" i="12" s="1"/>
  <c r="E187" i="12"/>
  <c r="C188" i="12"/>
  <c r="Y188" i="12" s="1"/>
  <c r="F187" i="12"/>
  <c r="S187" i="12"/>
  <c r="H187" i="12" s="1"/>
  <c r="L187" i="12"/>
  <c r="O187" i="12"/>
  <c r="P187" i="12"/>
  <c r="Q187" i="12"/>
  <c r="R187" i="12"/>
  <c r="G187" i="12" s="1"/>
  <c r="I187" i="12"/>
  <c r="N187" i="12"/>
  <c r="AI187" i="12" s="1"/>
  <c r="M187" i="12" l="1"/>
  <c r="A188" i="12"/>
  <c r="AH188" i="12"/>
  <c r="D188" i="12"/>
  <c r="AD188" i="12"/>
  <c r="V188" i="12"/>
  <c r="W188" i="12"/>
  <c r="X188" i="12"/>
  <c r="O188" i="12" l="1"/>
  <c r="Q188" i="12"/>
  <c r="R188" i="12"/>
  <c r="G188" i="12" s="1"/>
  <c r="B189" i="12"/>
  <c r="AE189" i="12" s="1"/>
  <c r="E188" i="12"/>
  <c r="C189" i="12"/>
  <c r="Y189" i="12" s="1"/>
  <c r="F188" i="12"/>
  <c r="I188" i="12"/>
  <c r="N188" i="12"/>
  <c r="AI188" i="12" s="1"/>
  <c r="P188" i="12"/>
  <c r="S188" i="12"/>
  <c r="H188" i="12" s="1"/>
  <c r="T188" i="12"/>
  <c r="J188" i="12" s="1"/>
  <c r="U188" i="12"/>
  <c r="K188" i="12" s="1"/>
  <c r="L188" i="12"/>
  <c r="M188" i="12" l="1"/>
  <c r="AD189" i="12"/>
  <c r="A189" i="12"/>
  <c r="AH189" i="12"/>
  <c r="D189" i="12"/>
  <c r="W189" i="12"/>
  <c r="V189" i="12"/>
  <c r="X189" i="12"/>
  <c r="N189" i="12" l="1"/>
  <c r="AI189" i="12" s="1"/>
  <c r="E189" i="12"/>
  <c r="P189" i="12"/>
  <c r="Q189" i="12"/>
  <c r="R189" i="12"/>
  <c r="G189" i="12" s="1"/>
  <c r="S189" i="12"/>
  <c r="H189" i="12" s="1"/>
  <c r="T189" i="12"/>
  <c r="J189" i="12" s="1"/>
  <c r="I189" i="12"/>
  <c r="O189" i="12"/>
  <c r="F189" i="12"/>
  <c r="U189" i="12"/>
  <c r="K189" i="12" s="1"/>
  <c r="L189" i="12"/>
  <c r="B190" i="12"/>
  <c r="AE190" i="12" s="1"/>
  <c r="C190" i="12"/>
  <c r="Y190" i="12" s="1"/>
  <c r="M189" i="12" l="1"/>
  <c r="X190" i="12"/>
  <c r="AD190" i="12"/>
  <c r="A190" i="12"/>
  <c r="AH190" i="12"/>
  <c r="D190" i="12"/>
  <c r="W190" i="12"/>
  <c r="V190" i="12"/>
  <c r="E190" i="12" l="1"/>
  <c r="I190" i="12"/>
  <c r="F190" i="12"/>
  <c r="B191" i="12"/>
  <c r="AE191" i="12" s="1"/>
  <c r="C191" i="12"/>
  <c r="Y191" i="12" s="1"/>
  <c r="L190" i="12"/>
  <c r="U190" i="12"/>
  <c r="K190" i="12" s="1"/>
  <c r="R190" i="12"/>
  <c r="G190" i="12" s="1"/>
  <c r="S190" i="12"/>
  <c r="H190" i="12" s="1"/>
  <c r="T190" i="12"/>
  <c r="J190" i="12" s="1"/>
  <c r="N190" i="12"/>
  <c r="AI190" i="12" s="1"/>
  <c r="O190" i="12"/>
  <c r="P190" i="12"/>
  <c r="Q190" i="12"/>
  <c r="M190" i="12" l="1"/>
  <c r="X191" i="12"/>
  <c r="V191" i="12"/>
  <c r="W191" i="12"/>
  <c r="AD191" i="12"/>
  <c r="A191" i="12"/>
  <c r="D191" i="12"/>
  <c r="AH191" i="12"/>
  <c r="E191" i="12" l="1"/>
  <c r="F191" i="12"/>
  <c r="B192" i="12"/>
  <c r="AE192" i="12" s="1"/>
  <c r="L191" i="12"/>
  <c r="N191" i="12"/>
  <c r="AI191" i="12" s="1"/>
  <c r="I191" i="12"/>
  <c r="O191" i="12"/>
  <c r="Q191" i="12"/>
  <c r="R191" i="12"/>
  <c r="G191" i="12" s="1"/>
  <c r="S191" i="12"/>
  <c r="H191" i="12" s="1"/>
  <c r="T191" i="12"/>
  <c r="J191" i="12" s="1"/>
  <c r="U191" i="12"/>
  <c r="K191" i="12" s="1"/>
  <c r="P191" i="12"/>
  <c r="C192" i="12"/>
  <c r="Y192" i="12" s="1"/>
  <c r="M191" i="12" l="1"/>
  <c r="A192" i="12"/>
  <c r="AD192" i="12"/>
  <c r="V192" i="12"/>
  <c r="W192" i="12"/>
  <c r="X192" i="12"/>
  <c r="AH192" i="12"/>
  <c r="D192" i="12"/>
  <c r="S192" i="12" l="1"/>
  <c r="H192" i="12" s="1"/>
  <c r="U192" i="12"/>
  <c r="K192" i="12" s="1"/>
  <c r="N192" i="12"/>
  <c r="AI192" i="12" s="1"/>
  <c r="O192" i="12"/>
  <c r="P192" i="12"/>
  <c r="Q192" i="12"/>
  <c r="L192" i="12"/>
  <c r="R192" i="12"/>
  <c r="G192" i="12" s="1"/>
  <c r="T192" i="12"/>
  <c r="J192" i="12" s="1"/>
  <c r="E192" i="12"/>
  <c r="F192" i="12"/>
  <c r="I192" i="12"/>
  <c r="B193" i="12"/>
  <c r="AE193" i="12" s="1"/>
  <c r="C193" i="12"/>
  <c r="Y193" i="12" s="1"/>
  <c r="M192" i="12" l="1"/>
  <c r="V193" i="12"/>
  <c r="W193" i="12"/>
  <c r="X193" i="12"/>
  <c r="AD193" i="12"/>
  <c r="AH193" i="12"/>
  <c r="D193" i="12"/>
  <c r="A193" i="12"/>
  <c r="N193" i="12" l="1"/>
  <c r="AI193" i="12" s="1"/>
  <c r="S193" i="12"/>
  <c r="H193" i="12" s="1"/>
  <c r="T193" i="12"/>
  <c r="J193" i="12" s="1"/>
  <c r="U193" i="12"/>
  <c r="K193" i="12" s="1"/>
  <c r="Q193" i="12"/>
  <c r="R193" i="12"/>
  <c r="G193" i="12" s="1"/>
  <c r="C194" i="12"/>
  <c r="Y194" i="12" s="1"/>
  <c r="E193" i="12"/>
  <c r="F193" i="12"/>
  <c r="I193" i="12"/>
  <c r="P193" i="12"/>
  <c r="B194" i="12"/>
  <c r="AE194" i="12" s="1"/>
  <c r="L193" i="12"/>
  <c r="O193" i="12"/>
  <c r="M193" i="12" l="1"/>
  <c r="V194" i="12"/>
  <c r="W194" i="12"/>
  <c r="AH194" i="12"/>
  <c r="D194" i="12"/>
  <c r="AD194" i="12"/>
  <c r="A194" i="12"/>
  <c r="X194" i="12"/>
  <c r="I194" i="12" l="1"/>
  <c r="R194" i="12"/>
  <c r="G194" i="12" s="1"/>
  <c r="S194" i="12"/>
  <c r="H194" i="12" s="1"/>
  <c r="Q194" i="12"/>
  <c r="T194" i="12"/>
  <c r="J194" i="12" s="1"/>
  <c r="U194" i="12"/>
  <c r="K194" i="12" s="1"/>
  <c r="B195" i="12"/>
  <c r="AE195" i="12" s="1"/>
  <c r="E194" i="12"/>
  <c r="F194" i="12"/>
  <c r="C195" i="12"/>
  <c r="Y195" i="12" s="1"/>
  <c r="N194" i="12"/>
  <c r="AI194" i="12" s="1"/>
  <c r="O194" i="12"/>
  <c r="P194" i="12"/>
  <c r="L194" i="12"/>
  <c r="M194" i="12" l="1"/>
  <c r="D195" i="12"/>
  <c r="AH195" i="12"/>
  <c r="A195" i="12"/>
  <c r="V195" i="12"/>
  <c r="W195" i="12"/>
  <c r="X195" i="12"/>
  <c r="AD195" i="12"/>
  <c r="N195" i="12" l="1"/>
  <c r="AI195" i="12" s="1"/>
  <c r="O195" i="12"/>
  <c r="Q195" i="12"/>
  <c r="R195" i="12"/>
  <c r="G195" i="12" s="1"/>
  <c r="S195" i="12"/>
  <c r="H195" i="12" s="1"/>
  <c r="T195" i="12"/>
  <c r="J195" i="12" s="1"/>
  <c r="U195" i="12"/>
  <c r="K195" i="12" s="1"/>
  <c r="B196" i="12"/>
  <c r="AE196" i="12" s="1"/>
  <c r="C196" i="12"/>
  <c r="Y196" i="12" s="1"/>
  <c r="L195" i="12"/>
  <c r="P195" i="12"/>
  <c r="E195" i="12"/>
  <c r="F195" i="12"/>
  <c r="I195" i="12"/>
  <c r="M195" i="12" l="1"/>
  <c r="W196" i="12"/>
  <c r="D196" i="12"/>
  <c r="AH196" i="12"/>
  <c r="V196" i="12"/>
  <c r="X196" i="12"/>
  <c r="AD196" i="12"/>
  <c r="A196" i="12"/>
  <c r="O196" i="12" l="1"/>
  <c r="P196" i="12"/>
  <c r="Q196" i="12"/>
  <c r="R196" i="12"/>
  <c r="G196" i="12" s="1"/>
  <c r="S196" i="12"/>
  <c r="H196" i="12" s="1"/>
  <c r="E196" i="12"/>
  <c r="F196" i="12"/>
  <c r="B197" i="12"/>
  <c r="AE197" i="12" s="1"/>
  <c r="C197" i="12"/>
  <c r="Y197" i="12" s="1"/>
  <c r="I196" i="12"/>
  <c r="L196" i="12"/>
  <c r="N196" i="12"/>
  <c r="AI196" i="12" s="1"/>
  <c r="U196" i="12"/>
  <c r="K196" i="12" s="1"/>
  <c r="T196" i="12"/>
  <c r="J196" i="12" s="1"/>
  <c r="M196" i="12" l="1"/>
  <c r="A197" i="12"/>
  <c r="D197" i="12"/>
  <c r="W197" i="12"/>
  <c r="X197" i="12"/>
  <c r="AD197" i="12"/>
  <c r="AH197" i="12"/>
  <c r="V197" i="12"/>
  <c r="R197" i="12" l="1"/>
  <c r="G197" i="12" s="1"/>
  <c r="F197" i="12"/>
  <c r="B198" i="12"/>
  <c r="AE198" i="12" s="1"/>
  <c r="C198" i="12"/>
  <c r="Y198" i="12" s="1"/>
  <c r="N197" i="12"/>
  <c r="AI197" i="12" s="1"/>
  <c r="O197" i="12"/>
  <c r="P197" i="12"/>
  <c r="Q197" i="12"/>
  <c r="E197" i="12"/>
  <c r="I197" i="12"/>
  <c r="L197" i="12"/>
  <c r="U197" i="12"/>
  <c r="K197" i="12" s="1"/>
  <c r="S197" i="12"/>
  <c r="H197" i="12" s="1"/>
  <c r="T197" i="12"/>
  <c r="J197" i="12" s="1"/>
  <c r="M197" i="12" l="1"/>
  <c r="AH198" i="12"/>
  <c r="V198" i="12"/>
  <c r="W198" i="12"/>
  <c r="X198" i="12"/>
  <c r="AD198" i="12"/>
  <c r="D198" i="12"/>
  <c r="A198" i="12"/>
  <c r="L198" i="12" l="1"/>
  <c r="N198" i="12"/>
  <c r="AI198" i="12" s="1"/>
  <c r="O198" i="12"/>
  <c r="P198" i="12"/>
  <c r="Q198" i="12"/>
  <c r="R198" i="12"/>
  <c r="G198" i="12" s="1"/>
  <c r="S198" i="12"/>
  <c r="H198" i="12" s="1"/>
  <c r="T198" i="12"/>
  <c r="J198" i="12" s="1"/>
  <c r="I198" i="12"/>
  <c r="U198" i="12"/>
  <c r="K198" i="12" s="1"/>
  <c r="C199" i="12"/>
  <c r="Y199" i="12" s="1"/>
  <c r="F198" i="12"/>
  <c r="B199" i="12"/>
  <c r="AE199" i="12" s="1"/>
  <c r="E198" i="12"/>
  <c r="M198" i="12" l="1"/>
  <c r="W199" i="12"/>
  <c r="X199" i="12"/>
  <c r="V199" i="12"/>
  <c r="A199" i="12"/>
  <c r="D199" i="12"/>
  <c r="AH199" i="12"/>
  <c r="AD199" i="12"/>
  <c r="C200" i="12" l="1"/>
  <c r="Y200" i="12" s="1"/>
  <c r="L199" i="12"/>
  <c r="R199" i="12"/>
  <c r="G199" i="12" s="1"/>
  <c r="S199" i="12"/>
  <c r="H199" i="12" s="1"/>
  <c r="T199" i="12"/>
  <c r="J199" i="12" s="1"/>
  <c r="U199" i="12"/>
  <c r="K199" i="12" s="1"/>
  <c r="B200" i="12"/>
  <c r="AE200" i="12" s="1"/>
  <c r="E199" i="12"/>
  <c r="I199" i="12"/>
  <c r="N199" i="12"/>
  <c r="AI199" i="12" s="1"/>
  <c r="P199" i="12"/>
  <c r="O199" i="12"/>
  <c r="Q199" i="12"/>
  <c r="F199" i="12"/>
  <c r="M199" i="12" l="1"/>
  <c r="V200" i="12"/>
  <c r="W200" i="12"/>
  <c r="X200" i="12"/>
  <c r="AD200" i="12"/>
  <c r="A200" i="12"/>
  <c r="D200" i="12"/>
  <c r="AH200" i="12"/>
  <c r="S200" i="12" l="1"/>
  <c r="H200" i="12" s="1"/>
  <c r="T200" i="12"/>
  <c r="J200" i="12" s="1"/>
  <c r="I200" i="12"/>
  <c r="E200" i="12"/>
  <c r="O200" i="12"/>
  <c r="P200" i="12"/>
  <c r="Q200" i="12"/>
  <c r="R200" i="12"/>
  <c r="G200" i="12" s="1"/>
  <c r="B201" i="12"/>
  <c r="AE201" i="12" s="1"/>
  <c r="C201" i="12"/>
  <c r="Y201" i="12" s="1"/>
  <c r="L200" i="12"/>
  <c r="N200" i="12"/>
  <c r="AI200" i="12" s="1"/>
  <c r="U200" i="12"/>
  <c r="K200" i="12" s="1"/>
  <c r="F200" i="12"/>
  <c r="M200" i="12" l="1"/>
  <c r="V201" i="12"/>
  <c r="AD201" i="12"/>
  <c r="AH201" i="12"/>
  <c r="A201" i="12"/>
  <c r="D201" i="12"/>
  <c r="W201" i="12"/>
  <c r="X201" i="12"/>
  <c r="O201" i="12" l="1"/>
  <c r="P201" i="12"/>
  <c r="F201" i="12"/>
  <c r="I201" i="12"/>
  <c r="L201" i="12"/>
  <c r="N201" i="12"/>
  <c r="AI201" i="12" s="1"/>
  <c r="Q201" i="12"/>
  <c r="R201" i="12"/>
  <c r="G201" i="12" s="1"/>
  <c r="U201" i="12"/>
  <c r="K201" i="12" s="1"/>
  <c r="S201" i="12"/>
  <c r="H201" i="12" s="1"/>
  <c r="T201" i="12"/>
  <c r="J201" i="12" s="1"/>
  <c r="E201" i="12"/>
  <c r="C202" i="12"/>
  <c r="Y202" i="12" s="1"/>
  <c r="B202" i="12"/>
  <c r="AE202" i="12" s="1"/>
  <c r="M201" i="12" l="1"/>
  <c r="D202" i="12"/>
  <c r="AH202" i="12"/>
  <c r="V202" i="12"/>
  <c r="W202" i="12"/>
  <c r="X202" i="12"/>
  <c r="AD202" i="12"/>
  <c r="A202" i="12"/>
  <c r="Q202" i="12" l="1"/>
  <c r="L202" i="12"/>
  <c r="B203" i="12"/>
  <c r="AE203" i="12" s="1"/>
  <c r="E202" i="12"/>
  <c r="C203" i="12"/>
  <c r="Y203" i="12" s="1"/>
  <c r="F202" i="12"/>
  <c r="N202" i="12"/>
  <c r="AI202" i="12" s="1"/>
  <c r="O202" i="12"/>
  <c r="R202" i="12"/>
  <c r="G202" i="12" s="1"/>
  <c r="U202" i="12"/>
  <c r="K202" i="12" s="1"/>
  <c r="T202" i="12"/>
  <c r="J202" i="12" s="1"/>
  <c r="I202" i="12"/>
  <c r="P202" i="12"/>
  <c r="S202" i="12"/>
  <c r="H202" i="12" s="1"/>
  <c r="M202" i="12" l="1"/>
  <c r="D203" i="12"/>
  <c r="A203" i="12"/>
  <c r="AD203" i="12"/>
  <c r="AH203" i="12"/>
  <c r="V203" i="12"/>
  <c r="W203" i="12"/>
  <c r="X203" i="12"/>
  <c r="L203" i="12" l="1"/>
  <c r="C204" i="12"/>
  <c r="Y204" i="12" s="1"/>
  <c r="B204" i="12"/>
  <c r="AE204" i="12" s="1"/>
  <c r="E203" i="12"/>
  <c r="F203" i="12"/>
  <c r="N203" i="12"/>
  <c r="AI203" i="12" s="1"/>
  <c r="O203" i="12"/>
  <c r="P203" i="12"/>
  <c r="R203" i="12"/>
  <c r="G203" i="12" s="1"/>
  <c r="Q203" i="12"/>
  <c r="S203" i="12"/>
  <c r="H203" i="12" s="1"/>
  <c r="T203" i="12"/>
  <c r="J203" i="12" s="1"/>
  <c r="U203" i="12"/>
  <c r="K203" i="12" s="1"/>
  <c r="I203" i="12"/>
  <c r="M203" i="12" l="1"/>
  <c r="AH204" i="12"/>
  <c r="D204" i="12"/>
  <c r="A204" i="12"/>
  <c r="V204" i="12"/>
  <c r="W204" i="12"/>
  <c r="X204" i="12"/>
  <c r="AD204" i="12"/>
  <c r="B205" i="12" l="1"/>
  <c r="AE205" i="12" s="1"/>
  <c r="E204" i="12"/>
  <c r="C205" i="12"/>
  <c r="Y205" i="12" s="1"/>
  <c r="F204" i="12"/>
  <c r="I204" i="12"/>
  <c r="L204" i="12"/>
  <c r="N204" i="12"/>
  <c r="AI204" i="12" s="1"/>
  <c r="O204" i="12"/>
  <c r="P204" i="12"/>
  <c r="R204" i="12"/>
  <c r="G204" i="12" s="1"/>
  <c r="T204" i="12"/>
  <c r="J204" i="12" s="1"/>
  <c r="Q204" i="12"/>
  <c r="S204" i="12"/>
  <c r="H204" i="12" s="1"/>
  <c r="U204" i="12"/>
  <c r="K204" i="12" s="1"/>
  <c r="M204" i="12" l="1"/>
  <c r="W205" i="12"/>
  <c r="X205" i="12"/>
  <c r="AD205" i="12"/>
  <c r="A205" i="12"/>
  <c r="AH205" i="12"/>
  <c r="V205" i="12"/>
  <c r="D205" i="12"/>
  <c r="I205" i="12" l="1"/>
  <c r="L205" i="12"/>
  <c r="R205" i="12"/>
  <c r="G205" i="12" s="1"/>
  <c r="S205" i="12"/>
  <c r="H205" i="12" s="1"/>
  <c r="T205" i="12"/>
  <c r="J205" i="12" s="1"/>
  <c r="U205" i="12"/>
  <c r="K205" i="12" s="1"/>
  <c r="B206" i="12"/>
  <c r="AE206" i="12" s="1"/>
  <c r="C206" i="12"/>
  <c r="Y206" i="12" s="1"/>
  <c r="N205" i="12"/>
  <c r="AI205" i="12" s="1"/>
  <c r="O205" i="12"/>
  <c r="Q205" i="12"/>
  <c r="E205" i="12"/>
  <c r="F205" i="12"/>
  <c r="P205" i="12"/>
  <c r="M205" i="12" l="1"/>
  <c r="W206" i="12"/>
  <c r="X206" i="12"/>
  <c r="AD206" i="12"/>
  <c r="A206" i="12"/>
  <c r="D206" i="12"/>
  <c r="AH206" i="12"/>
  <c r="V206" i="12"/>
  <c r="R206" i="12" l="1"/>
  <c r="G206" i="12" s="1"/>
  <c r="S206" i="12"/>
  <c r="H206" i="12" s="1"/>
  <c r="I206" i="12"/>
  <c r="L206" i="12"/>
  <c r="B207" i="12"/>
  <c r="AE207" i="12" s="1"/>
  <c r="C207" i="12"/>
  <c r="Y207" i="12" s="1"/>
  <c r="F206" i="12"/>
  <c r="N206" i="12"/>
  <c r="AI206" i="12" s="1"/>
  <c r="O206" i="12"/>
  <c r="T206" i="12"/>
  <c r="J206" i="12" s="1"/>
  <c r="P206" i="12"/>
  <c r="Q206" i="12"/>
  <c r="U206" i="12"/>
  <c r="K206" i="12" s="1"/>
  <c r="E206" i="12"/>
  <c r="M206" i="12" l="1"/>
  <c r="V207" i="12"/>
  <c r="W207" i="12"/>
  <c r="A207" i="12"/>
  <c r="D207" i="12"/>
  <c r="X207" i="12"/>
  <c r="AD207" i="12"/>
  <c r="AH207" i="12"/>
  <c r="N207" i="12" l="1"/>
  <c r="AI207" i="12" s="1"/>
  <c r="T207" i="12"/>
  <c r="J207" i="12" s="1"/>
  <c r="U207" i="12"/>
  <c r="K207" i="12" s="1"/>
  <c r="L207" i="12"/>
  <c r="O207" i="12"/>
  <c r="P207" i="12"/>
  <c r="E207" i="12"/>
  <c r="S207" i="12"/>
  <c r="H207" i="12" s="1"/>
  <c r="Q207" i="12"/>
  <c r="R207" i="12"/>
  <c r="G207" i="12" s="1"/>
  <c r="B208" i="12"/>
  <c r="AE208" i="12" s="1"/>
  <c r="F207" i="12"/>
  <c r="I207" i="12"/>
  <c r="C208" i="12"/>
  <c r="Y208" i="12" s="1"/>
  <c r="M207" i="12" l="1"/>
  <c r="V208" i="12"/>
  <c r="AH208" i="12"/>
  <c r="AD208" i="12"/>
  <c r="D208" i="12"/>
  <c r="A208" i="12"/>
  <c r="W208" i="12"/>
  <c r="X208" i="12"/>
  <c r="C209" i="12" l="1"/>
  <c r="Y209" i="12" s="1"/>
  <c r="I208" i="12"/>
  <c r="Q208" i="12"/>
  <c r="R208" i="12"/>
  <c r="G208" i="12" s="1"/>
  <c r="S208" i="12"/>
  <c r="H208" i="12" s="1"/>
  <c r="T208" i="12"/>
  <c r="J208" i="12" s="1"/>
  <c r="N208" i="12"/>
  <c r="AI208" i="12" s="1"/>
  <c r="O208" i="12"/>
  <c r="P208" i="12"/>
  <c r="U208" i="12"/>
  <c r="K208" i="12" s="1"/>
  <c r="L208" i="12"/>
  <c r="B209" i="12"/>
  <c r="AE209" i="12" s="1"/>
  <c r="E208" i="12"/>
  <c r="F208" i="12"/>
  <c r="M208" i="12" l="1"/>
  <c r="D209" i="12"/>
  <c r="AH209" i="12"/>
  <c r="V209" i="12"/>
  <c r="W209" i="12"/>
  <c r="X209" i="12"/>
  <c r="AD209" i="12"/>
  <c r="A209" i="12"/>
  <c r="N209" i="12" l="1"/>
  <c r="AI209" i="12" s="1"/>
  <c r="O209" i="12"/>
  <c r="P209" i="12"/>
  <c r="Q209" i="12"/>
  <c r="R209" i="12"/>
  <c r="G209" i="12" s="1"/>
  <c r="S209" i="12"/>
  <c r="H209" i="12" s="1"/>
  <c r="T209" i="12"/>
  <c r="J209" i="12" s="1"/>
  <c r="I209" i="12"/>
  <c r="L209" i="12"/>
  <c r="B210" i="12"/>
  <c r="AE210" i="12" s="1"/>
  <c r="C210" i="12"/>
  <c r="Y210" i="12" s="1"/>
  <c r="U209" i="12"/>
  <c r="K209" i="12" s="1"/>
  <c r="E209" i="12"/>
  <c r="F209" i="12"/>
  <c r="M209" i="12" l="1"/>
  <c r="V210" i="12"/>
  <c r="W210" i="12"/>
  <c r="AH210" i="12"/>
  <c r="AD210" i="12"/>
  <c r="A210" i="12"/>
  <c r="D210" i="12"/>
  <c r="X210" i="12"/>
  <c r="L210" i="12" l="1"/>
  <c r="O210" i="12"/>
  <c r="P210" i="12"/>
  <c r="Q210" i="12"/>
  <c r="R210" i="12"/>
  <c r="G210" i="12" s="1"/>
  <c r="S210" i="12"/>
  <c r="H210" i="12" s="1"/>
  <c r="B211" i="12"/>
  <c r="AE211" i="12" s="1"/>
  <c r="C211" i="12"/>
  <c r="Y211" i="12" s="1"/>
  <c r="E210" i="12"/>
  <c r="F210" i="12"/>
  <c r="N210" i="12"/>
  <c r="AI210" i="12" s="1"/>
  <c r="T210" i="12"/>
  <c r="J210" i="12" s="1"/>
  <c r="U210" i="12"/>
  <c r="K210" i="12" s="1"/>
  <c r="I210" i="12"/>
  <c r="M210" i="12" l="1"/>
  <c r="A211" i="12"/>
  <c r="D211" i="12"/>
  <c r="W211" i="12"/>
  <c r="X211" i="12"/>
  <c r="AD211" i="12"/>
  <c r="AH211" i="12"/>
  <c r="V211" i="12"/>
  <c r="Q211" i="12" l="1"/>
  <c r="R211" i="12"/>
  <c r="G211" i="12" s="1"/>
  <c r="I211" i="12"/>
  <c r="N211" i="12"/>
  <c r="AI211" i="12" s="1"/>
  <c r="O211" i="12"/>
  <c r="P211" i="12"/>
  <c r="S211" i="12"/>
  <c r="H211" i="12" s="1"/>
  <c r="T211" i="12"/>
  <c r="J211" i="12" s="1"/>
  <c r="C212" i="12"/>
  <c r="Y212" i="12" s="1"/>
  <c r="F211" i="12"/>
  <c r="L211" i="12"/>
  <c r="U211" i="12"/>
  <c r="K211" i="12" s="1"/>
  <c r="B212" i="12"/>
  <c r="AE212" i="12" s="1"/>
  <c r="E211" i="12"/>
  <c r="M211" i="12" l="1"/>
  <c r="D212" i="12"/>
  <c r="V212" i="12"/>
  <c r="X212" i="12"/>
  <c r="W212" i="12"/>
  <c r="A212" i="12"/>
  <c r="AD212" i="12"/>
  <c r="AH212" i="12"/>
  <c r="L212" i="12" l="1"/>
  <c r="E212" i="12"/>
  <c r="B213" i="12"/>
  <c r="AE213" i="12" s="1"/>
  <c r="F212" i="12"/>
  <c r="C213" i="12"/>
  <c r="Y213" i="12" s="1"/>
  <c r="O212" i="12"/>
  <c r="P212" i="12"/>
  <c r="Q212" i="12"/>
  <c r="R212" i="12"/>
  <c r="G212" i="12" s="1"/>
  <c r="S212" i="12"/>
  <c r="H212" i="12" s="1"/>
  <c r="I212" i="12"/>
  <c r="N212" i="12"/>
  <c r="AI212" i="12" s="1"/>
  <c r="T212" i="12"/>
  <c r="J212" i="12" s="1"/>
  <c r="U212" i="12"/>
  <c r="K212" i="12" s="1"/>
  <c r="M212" i="12" l="1"/>
  <c r="AH213" i="12"/>
  <c r="V213" i="12"/>
  <c r="W213" i="12"/>
  <c r="X213" i="12"/>
  <c r="AD213" i="12"/>
  <c r="A213" i="12"/>
  <c r="D213" i="12"/>
  <c r="B214" i="12" l="1"/>
  <c r="AE214" i="12" s="1"/>
  <c r="N213" i="12"/>
  <c r="AI213" i="12" s="1"/>
  <c r="O213" i="12"/>
  <c r="P213" i="12"/>
  <c r="Q213" i="12"/>
  <c r="R213" i="12"/>
  <c r="G213" i="12" s="1"/>
  <c r="L213" i="12"/>
  <c r="S213" i="12"/>
  <c r="H213" i="12" s="1"/>
  <c r="T213" i="12"/>
  <c r="J213" i="12" s="1"/>
  <c r="C214" i="12"/>
  <c r="Y214" i="12" s="1"/>
  <c r="F213" i="12"/>
  <c r="I213" i="12"/>
  <c r="U213" i="12"/>
  <c r="K213" i="12" s="1"/>
  <c r="E213" i="12"/>
  <c r="M213" i="12" l="1"/>
  <c r="AD214" i="12"/>
  <c r="X214" i="12"/>
  <c r="V214" i="12"/>
  <c r="W214" i="12"/>
  <c r="A214" i="12"/>
  <c r="D214" i="12"/>
  <c r="AH214" i="12"/>
  <c r="L214" i="12" l="1"/>
  <c r="N214" i="12"/>
  <c r="AI214" i="12" s="1"/>
  <c r="O214" i="12"/>
  <c r="P214" i="12"/>
  <c r="S214" i="12"/>
  <c r="H214" i="12" s="1"/>
  <c r="T214" i="12"/>
  <c r="J214" i="12" s="1"/>
  <c r="U214" i="12"/>
  <c r="K214" i="12" s="1"/>
  <c r="E214" i="12"/>
  <c r="F214" i="12"/>
  <c r="I214" i="12"/>
  <c r="Q214" i="12"/>
  <c r="R214" i="12"/>
  <c r="G214" i="12" s="1"/>
  <c r="B215" i="12"/>
  <c r="AE215" i="12" s="1"/>
  <c r="C215" i="12"/>
  <c r="Y215" i="12" s="1"/>
  <c r="M214" i="12" l="1"/>
  <c r="V215" i="12"/>
  <c r="AD215" i="12"/>
  <c r="AH215" i="12"/>
  <c r="W215" i="12"/>
  <c r="X215" i="12"/>
  <c r="A215" i="12"/>
  <c r="D215" i="12"/>
  <c r="U215" i="12" l="1"/>
  <c r="K215" i="12" s="1"/>
  <c r="T215" i="12"/>
  <c r="J215" i="12" s="1"/>
  <c r="L215" i="12"/>
  <c r="N215" i="12"/>
  <c r="AI215" i="12" s="1"/>
  <c r="O215" i="12"/>
  <c r="P215" i="12"/>
  <c r="Q215" i="12"/>
  <c r="R215" i="12"/>
  <c r="G215" i="12" s="1"/>
  <c r="I215" i="12"/>
  <c r="S215" i="12"/>
  <c r="H215" i="12" s="1"/>
  <c r="C216" i="12"/>
  <c r="Y216" i="12" s="1"/>
  <c r="F215" i="12"/>
  <c r="E215" i="12"/>
  <c r="B216" i="12"/>
  <c r="AE216" i="12" s="1"/>
  <c r="M215" i="12" l="1"/>
  <c r="AH216" i="12"/>
  <c r="AD216" i="12"/>
  <c r="A216" i="12"/>
  <c r="V216" i="12"/>
  <c r="W216" i="12"/>
  <c r="X216" i="12"/>
  <c r="D216" i="12"/>
  <c r="P216" i="12" l="1"/>
  <c r="Q216" i="12"/>
  <c r="R216" i="12"/>
  <c r="G216" i="12" s="1"/>
  <c r="I216" i="12"/>
  <c r="L216" i="12"/>
  <c r="B217" i="12"/>
  <c r="AE217" i="12" s="1"/>
  <c r="C217" i="12"/>
  <c r="Y217" i="12" s="1"/>
  <c r="N216" i="12"/>
  <c r="AI216" i="12" s="1"/>
  <c r="O216" i="12"/>
  <c r="U216" i="12"/>
  <c r="K216" i="12" s="1"/>
  <c r="S216" i="12"/>
  <c r="H216" i="12" s="1"/>
  <c r="T216" i="12"/>
  <c r="J216" i="12" s="1"/>
  <c r="E216" i="12"/>
  <c r="F216" i="12"/>
  <c r="M216" i="12" l="1"/>
  <c r="A217" i="12"/>
  <c r="D217" i="12"/>
  <c r="V217" i="12"/>
  <c r="X217" i="12"/>
  <c r="AH217" i="12"/>
  <c r="W217" i="12"/>
  <c r="AD217" i="12"/>
  <c r="N217" i="12" l="1"/>
  <c r="AI217" i="12" s="1"/>
  <c r="F217" i="12"/>
  <c r="I217" i="12"/>
  <c r="B218" i="12"/>
  <c r="AE218" i="12" s="1"/>
  <c r="C218" i="12"/>
  <c r="Y218" i="12" s="1"/>
  <c r="E217" i="12"/>
  <c r="O217" i="12"/>
  <c r="S217" i="12"/>
  <c r="H217" i="12" s="1"/>
  <c r="T217" i="12"/>
  <c r="J217" i="12" s="1"/>
  <c r="U217" i="12"/>
  <c r="K217" i="12" s="1"/>
  <c r="P217" i="12"/>
  <c r="L217" i="12"/>
  <c r="Q217" i="12"/>
  <c r="R217" i="12"/>
  <c r="G217" i="12" s="1"/>
  <c r="M217" i="12" l="1"/>
  <c r="D218" i="12"/>
  <c r="W218" i="12"/>
  <c r="X218" i="12"/>
  <c r="AD218" i="12"/>
  <c r="AH218" i="12"/>
  <c r="A218" i="12"/>
  <c r="V218" i="12"/>
  <c r="F218" i="12" l="1"/>
  <c r="I218" i="12"/>
  <c r="C219" i="12"/>
  <c r="Y219" i="12" s="1"/>
  <c r="E218" i="12"/>
  <c r="L218" i="12"/>
  <c r="N218" i="12"/>
  <c r="AI218" i="12" s="1"/>
  <c r="R218" i="12"/>
  <c r="G218" i="12" s="1"/>
  <c r="S218" i="12"/>
  <c r="H218" i="12" s="1"/>
  <c r="T218" i="12"/>
  <c r="J218" i="12" s="1"/>
  <c r="U218" i="12"/>
  <c r="K218" i="12" s="1"/>
  <c r="B219" i="12"/>
  <c r="AE219" i="12" s="1"/>
  <c r="P218" i="12"/>
  <c r="O218" i="12"/>
  <c r="Q218" i="12"/>
  <c r="M218" i="12" l="1"/>
  <c r="A219" i="12"/>
  <c r="D219" i="12"/>
  <c r="AH219" i="12"/>
  <c r="V219" i="12"/>
  <c r="W219" i="12"/>
  <c r="X219" i="12"/>
  <c r="AD219" i="12"/>
  <c r="E219" i="12" l="1"/>
  <c r="F219" i="12"/>
  <c r="B220" i="12"/>
  <c r="AE220" i="12" s="1"/>
  <c r="C220" i="12"/>
  <c r="Y220" i="12" s="1"/>
  <c r="I219" i="12"/>
  <c r="N219" i="12"/>
  <c r="AI219" i="12" s="1"/>
  <c r="O219" i="12"/>
  <c r="P219" i="12"/>
  <c r="Q219" i="12"/>
  <c r="L219" i="12"/>
  <c r="R219" i="12"/>
  <c r="G219" i="12" s="1"/>
  <c r="S219" i="12"/>
  <c r="H219" i="12" s="1"/>
  <c r="U219" i="12"/>
  <c r="K219" i="12" s="1"/>
  <c r="T219" i="12"/>
  <c r="J219" i="12" s="1"/>
  <c r="M219" i="12" l="1"/>
  <c r="A220" i="12"/>
  <c r="AD220" i="12"/>
  <c r="D220" i="12"/>
  <c r="X220" i="12"/>
  <c r="W220" i="12"/>
  <c r="V220" i="12"/>
  <c r="AH220" i="12"/>
  <c r="T220" i="12" l="1"/>
  <c r="J220" i="12" s="1"/>
  <c r="B221" i="12"/>
  <c r="AE221" i="12" s="1"/>
  <c r="E220" i="12"/>
  <c r="C221" i="12"/>
  <c r="Y221" i="12" s="1"/>
  <c r="F220" i="12"/>
  <c r="P220" i="12"/>
  <c r="Q220" i="12"/>
  <c r="R220" i="12"/>
  <c r="G220" i="12" s="1"/>
  <c r="S220" i="12"/>
  <c r="H220" i="12" s="1"/>
  <c r="U220" i="12"/>
  <c r="K220" i="12" s="1"/>
  <c r="I220" i="12"/>
  <c r="N220" i="12"/>
  <c r="AI220" i="12" s="1"/>
  <c r="O220" i="12"/>
  <c r="L220" i="12"/>
  <c r="M220" i="12" l="1"/>
  <c r="V221" i="12"/>
  <c r="W221" i="12"/>
  <c r="A221" i="12"/>
  <c r="AH221" i="12"/>
  <c r="D221" i="12"/>
  <c r="X221" i="12"/>
  <c r="AD221" i="12"/>
  <c r="O221" i="12" l="1"/>
  <c r="B222" i="12"/>
  <c r="AE222" i="12" s="1"/>
  <c r="E221" i="12"/>
  <c r="C222" i="12"/>
  <c r="Y222" i="12" s="1"/>
  <c r="T221" i="12"/>
  <c r="J221" i="12" s="1"/>
  <c r="U221" i="12"/>
  <c r="K221" i="12" s="1"/>
  <c r="N221" i="12"/>
  <c r="AI221" i="12" s="1"/>
  <c r="P221" i="12"/>
  <c r="Q221" i="12"/>
  <c r="S221" i="12"/>
  <c r="H221" i="12" s="1"/>
  <c r="I221" i="12"/>
  <c r="R221" i="12"/>
  <c r="G221" i="12" s="1"/>
  <c r="F221" i="12"/>
  <c r="L221" i="12"/>
  <c r="M221" i="12" l="1"/>
  <c r="AD222" i="12"/>
  <c r="A222" i="12"/>
  <c r="AH222" i="12"/>
  <c r="X222" i="12"/>
  <c r="D222" i="12"/>
  <c r="V222" i="12"/>
  <c r="W222" i="12"/>
  <c r="R222" i="12" l="1"/>
  <c r="G222" i="12" s="1"/>
  <c r="S222" i="12"/>
  <c r="H222" i="12" s="1"/>
  <c r="B223" i="12"/>
  <c r="AE223" i="12" s="1"/>
  <c r="C223" i="12"/>
  <c r="Y223" i="12" s="1"/>
  <c r="F222" i="12"/>
  <c r="I222" i="12"/>
  <c r="E222" i="12"/>
  <c r="O222" i="12"/>
  <c r="U222" i="12"/>
  <c r="K222" i="12" s="1"/>
  <c r="P222" i="12"/>
  <c r="L222" i="12"/>
  <c r="Q222" i="12"/>
  <c r="T222" i="12"/>
  <c r="J222" i="12" s="1"/>
  <c r="N222" i="12"/>
  <c r="AI222" i="12" s="1"/>
  <c r="M222" i="12" l="1"/>
  <c r="X223" i="12"/>
  <c r="AD223" i="12"/>
  <c r="A223" i="12"/>
  <c r="AH223" i="12"/>
  <c r="D223" i="12"/>
  <c r="V223" i="12"/>
  <c r="W223" i="12"/>
  <c r="E223" i="12" l="1"/>
  <c r="N223" i="12"/>
  <c r="AI223" i="12" s="1"/>
  <c r="O223" i="12"/>
  <c r="F223" i="12"/>
  <c r="I223" i="12"/>
  <c r="L223" i="12"/>
  <c r="P223" i="12"/>
  <c r="R223" i="12"/>
  <c r="G223" i="12" s="1"/>
  <c r="T223" i="12"/>
  <c r="J223" i="12" s="1"/>
  <c r="U223" i="12"/>
  <c r="K223" i="12" s="1"/>
  <c r="B224" i="12"/>
  <c r="AE224" i="12" s="1"/>
  <c r="C224" i="12"/>
  <c r="Y224" i="12" s="1"/>
  <c r="Q223" i="12"/>
  <c r="S223" i="12"/>
  <c r="H223" i="12" s="1"/>
  <c r="M223" i="12" l="1"/>
  <c r="X224" i="12"/>
  <c r="V224" i="12"/>
  <c r="W224" i="12"/>
  <c r="AD224" i="12"/>
  <c r="A224" i="12"/>
  <c r="D224" i="12"/>
  <c r="AH224" i="12"/>
  <c r="E224" i="12" l="1"/>
  <c r="F224" i="12"/>
  <c r="I224" i="12"/>
  <c r="P224" i="12"/>
  <c r="Q224" i="12"/>
  <c r="R224" i="12"/>
  <c r="G224" i="12" s="1"/>
  <c r="S224" i="12"/>
  <c r="H224" i="12" s="1"/>
  <c r="U224" i="12"/>
  <c r="K224" i="12" s="1"/>
  <c r="C225" i="12"/>
  <c r="Y225" i="12" s="1"/>
  <c r="L224" i="12"/>
  <c r="N224" i="12"/>
  <c r="AI224" i="12" s="1"/>
  <c r="T224" i="12"/>
  <c r="J224" i="12" s="1"/>
  <c r="O224" i="12"/>
  <c r="B225" i="12"/>
  <c r="AE225" i="12" s="1"/>
  <c r="M224" i="12" l="1"/>
  <c r="V225" i="12"/>
  <c r="W225" i="12"/>
  <c r="X225" i="12"/>
  <c r="D225" i="12"/>
  <c r="AH225" i="12"/>
  <c r="AD225" i="12"/>
  <c r="A225" i="12"/>
  <c r="S225" i="12" l="1"/>
  <c r="H225" i="12" s="1"/>
  <c r="F225" i="12"/>
  <c r="B226" i="12"/>
  <c r="AE226" i="12" s="1"/>
  <c r="C226" i="12"/>
  <c r="Y226" i="12" s="1"/>
  <c r="U225" i="12"/>
  <c r="K225" i="12" s="1"/>
  <c r="L225" i="12"/>
  <c r="N225" i="12"/>
  <c r="AI225" i="12" s="1"/>
  <c r="E225" i="12"/>
  <c r="O225" i="12"/>
  <c r="R225" i="12"/>
  <c r="G225" i="12" s="1"/>
  <c r="Q225" i="12"/>
  <c r="I225" i="12"/>
  <c r="P225" i="12"/>
  <c r="T225" i="12"/>
  <c r="J225" i="12" s="1"/>
  <c r="M225" i="12" l="1"/>
  <c r="AH226" i="12"/>
  <c r="V226" i="12"/>
  <c r="W226" i="12"/>
  <c r="A226" i="12"/>
  <c r="D226" i="12"/>
  <c r="X226" i="12"/>
  <c r="AD226" i="12"/>
  <c r="N226" i="12" l="1"/>
  <c r="AI226" i="12" s="1"/>
  <c r="S226" i="12"/>
  <c r="H226" i="12" s="1"/>
  <c r="T226" i="12"/>
  <c r="J226" i="12" s="1"/>
  <c r="U226" i="12"/>
  <c r="K226" i="12" s="1"/>
  <c r="O226" i="12"/>
  <c r="P226" i="12"/>
  <c r="Q226" i="12"/>
  <c r="R226" i="12"/>
  <c r="G226" i="12" s="1"/>
  <c r="E226" i="12"/>
  <c r="F226" i="12"/>
  <c r="B227" i="12"/>
  <c r="AE227" i="12" s="1"/>
  <c r="C227" i="12"/>
  <c r="Y227" i="12" s="1"/>
  <c r="I226" i="12"/>
  <c r="L226" i="12"/>
  <c r="M226" i="12" l="1"/>
  <c r="W227" i="12"/>
  <c r="X227" i="12"/>
  <c r="V227" i="12"/>
  <c r="AD227" i="12"/>
  <c r="AH227" i="12"/>
  <c r="D227" i="12"/>
  <c r="A227" i="12"/>
  <c r="I227" i="12" l="1"/>
  <c r="Q227" i="12"/>
  <c r="R227" i="12"/>
  <c r="G227" i="12" s="1"/>
  <c r="S227" i="12"/>
  <c r="H227" i="12" s="1"/>
  <c r="T227" i="12"/>
  <c r="J227" i="12" s="1"/>
  <c r="U227" i="12"/>
  <c r="K227" i="12" s="1"/>
  <c r="L227" i="12"/>
  <c r="N227" i="12"/>
  <c r="AI227" i="12" s="1"/>
  <c r="O227" i="12"/>
  <c r="E227" i="12"/>
  <c r="P227" i="12"/>
  <c r="B228" i="12"/>
  <c r="AE228" i="12" s="1"/>
  <c r="C228" i="12"/>
  <c r="Y228" i="12" s="1"/>
  <c r="F227" i="12"/>
  <c r="M227" i="12" l="1"/>
  <c r="D228" i="12"/>
  <c r="AH228" i="12"/>
  <c r="W228" i="12"/>
  <c r="X228" i="12"/>
  <c r="AD228" i="12"/>
  <c r="V228" i="12"/>
  <c r="A228" i="12"/>
  <c r="S228" i="12" l="1"/>
  <c r="H228" i="12" s="1"/>
  <c r="T228" i="12"/>
  <c r="J228" i="12" s="1"/>
  <c r="O228" i="12"/>
  <c r="P228" i="12"/>
  <c r="Q228" i="12"/>
  <c r="R228" i="12"/>
  <c r="G228" i="12" s="1"/>
  <c r="U228" i="12"/>
  <c r="K228" i="12" s="1"/>
  <c r="B229" i="12"/>
  <c r="AE229" i="12" s="1"/>
  <c r="C229" i="12"/>
  <c r="Y229" i="12" s="1"/>
  <c r="I228" i="12"/>
  <c r="L228" i="12"/>
  <c r="N228" i="12"/>
  <c r="AI228" i="12" s="1"/>
  <c r="E228" i="12"/>
  <c r="F228" i="12"/>
  <c r="M228" i="12" l="1"/>
  <c r="W229" i="12"/>
  <c r="A229" i="12"/>
  <c r="D229" i="12"/>
  <c r="AD229" i="12"/>
  <c r="AH229" i="12"/>
  <c r="V229" i="12"/>
  <c r="X229" i="12"/>
  <c r="O229" i="12" l="1"/>
  <c r="P229" i="12"/>
  <c r="N229" i="12"/>
  <c r="AI229" i="12" s="1"/>
  <c r="Q229" i="12"/>
  <c r="R229" i="12"/>
  <c r="G229" i="12" s="1"/>
  <c r="S229" i="12"/>
  <c r="H229" i="12" s="1"/>
  <c r="B230" i="12"/>
  <c r="AE230" i="12" s="1"/>
  <c r="C230" i="12"/>
  <c r="Y230" i="12" s="1"/>
  <c r="E229" i="12"/>
  <c r="F229" i="12"/>
  <c r="I229" i="12"/>
  <c r="T229" i="12"/>
  <c r="J229" i="12" s="1"/>
  <c r="L229" i="12"/>
  <c r="U229" i="12"/>
  <c r="K229" i="12" s="1"/>
  <c r="M229" i="12" l="1"/>
  <c r="D230" i="12"/>
  <c r="V230" i="12"/>
  <c r="W230" i="12"/>
  <c r="AD230" i="12"/>
  <c r="AH230" i="12"/>
  <c r="X230" i="12"/>
  <c r="A230" i="12"/>
  <c r="R230" i="12" l="1"/>
  <c r="G230" i="12" s="1"/>
  <c r="L230" i="12"/>
  <c r="N230" i="12"/>
  <c r="AI230" i="12" s="1"/>
  <c r="O230" i="12"/>
  <c r="P230" i="12"/>
  <c r="Q230" i="12"/>
  <c r="E230" i="12"/>
  <c r="F230" i="12"/>
  <c r="T230" i="12"/>
  <c r="J230" i="12" s="1"/>
  <c r="U230" i="12"/>
  <c r="K230" i="12" s="1"/>
  <c r="B231" i="12"/>
  <c r="AE231" i="12" s="1"/>
  <c r="S230" i="12"/>
  <c r="H230" i="12" s="1"/>
  <c r="C231" i="12"/>
  <c r="Y231" i="12" s="1"/>
  <c r="I230" i="12"/>
  <c r="M230" i="12" l="1"/>
  <c r="AH231" i="12"/>
  <c r="W231" i="12"/>
  <c r="A231" i="12"/>
  <c r="D231" i="12"/>
  <c r="V231" i="12"/>
  <c r="X231" i="12"/>
  <c r="AD231" i="12"/>
  <c r="C232" i="12" l="1"/>
  <c r="Y232" i="12" s="1"/>
  <c r="L231" i="12"/>
  <c r="N231" i="12"/>
  <c r="AI231" i="12" s="1"/>
  <c r="O231" i="12"/>
  <c r="P231" i="12"/>
  <c r="E231" i="12"/>
  <c r="F231" i="12"/>
  <c r="I231" i="12"/>
  <c r="Q231" i="12"/>
  <c r="B232" i="12"/>
  <c r="AE232" i="12" s="1"/>
  <c r="T231" i="12"/>
  <c r="J231" i="12" s="1"/>
  <c r="U231" i="12"/>
  <c r="K231" i="12" s="1"/>
  <c r="R231" i="12"/>
  <c r="G231" i="12" s="1"/>
  <c r="S231" i="12"/>
  <c r="H231" i="12" s="1"/>
  <c r="M231" i="12" l="1"/>
  <c r="AH232" i="12"/>
  <c r="D232" i="12"/>
  <c r="A232" i="12"/>
  <c r="W232" i="12"/>
  <c r="X232" i="12"/>
  <c r="AD232" i="12"/>
  <c r="V232" i="12"/>
  <c r="C233" i="12" l="1"/>
  <c r="Y233" i="12" s="1"/>
  <c r="L232" i="12"/>
  <c r="N232" i="12"/>
  <c r="AI232" i="12" s="1"/>
  <c r="P232" i="12"/>
  <c r="Q232" i="12"/>
  <c r="R232" i="12"/>
  <c r="G232" i="12" s="1"/>
  <c r="S232" i="12"/>
  <c r="H232" i="12" s="1"/>
  <c r="T232" i="12"/>
  <c r="J232" i="12" s="1"/>
  <c r="F232" i="12"/>
  <c r="U232" i="12"/>
  <c r="K232" i="12" s="1"/>
  <c r="E232" i="12"/>
  <c r="I232" i="12"/>
  <c r="O232" i="12"/>
  <c r="B233" i="12"/>
  <c r="AE233" i="12" s="1"/>
  <c r="M232" i="12" l="1"/>
  <c r="X233" i="12"/>
  <c r="V233" i="12"/>
  <c r="W233" i="12"/>
  <c r="AH233" i="12"/>
  <c r="A233" i="12"/>
  <c r="AD233" i="12"/>
  <c r="D233" i="12"/>
  <c r="I233" i="12" l="1"/>
  <c r="L233" i="12"/>
  <c r="S233" i="12"/>
  <c r="H233" i="12" s="1"/>
  <c r="T233" i="12"/>
  <c r="J233" i="12" s="1"/>
  <c r="U233" i="12"/>
  <c r="K233" i="12" s="1"/>
  <c r="O233" i="12"/>
  <c r="P233" i="12"/>
  <c r="Q233" i="12"/>
  <c r="R233" i="12"/>
  <c r="G233" i="12" s="1"/>
  <c r="E233" i="12"/>
  <c r="N233" i="12"/>
  <c r="AI233" i="12" s="1"/>
  <c r="C234" i="12"/>
  <c r="Y234" i="12" s="1"/>
  <c r="F233" i="12"/>
  <c r="B234" i="12"/>
  <c r="AE234" i="12" s="1"/>
  <c r="M233" i="12" l="1"/>
  <c r="V234" i="12"/>
  <c r="AD234" i="12"/>
  <c r="AH234" i="12"/>
  <c r="W234" i="12"/>
  <c r="D234" i="12"/>
  <c r="A234" i="12"/>
  <c r="X234" i="12"/>
  <c r="T234" i="12" l="1"/>
  <c r="J234" i="12" s="1"/>
  <c r="U234" i="12"/>
  <c r="K234" i="12" s="1"/>
  <c r="F234" i="12"/>
  <c r="I234" i="12"/>
  <c r="B235" i="12"/>
  <c r="AE235" i="12" s="1"/>
  <c r="C235" i="12"/>
  <c r="Y235" i="12" s="1"/>
  <c r="O234" i="12"/>
  <c r="P234" i="12"/>
  <c r="Q234" i="12"/>
  <c r="R234" i="12"/>
  <c r="G234" i="12" s="1"/>
  <c r="E234" i="12"/>
  <c r="S234" i="12"/>
  <c r="H234" i="12" s="1"/>
  <c r="L234" i="12"/>
  <c r="N234" i="12"/>
  <c r="AI234" i="12" s="1"/>
  <c r="M234" i="12" l="1"/>
  <c r="D235" i="12"/>
  <c r="AH235" i="12"/>
  <c r="AD235" i="12"/>
  <c r="V235" i="12"/>
  <c r="W235" i="12"/>
  <c r="X235" i="12"/>
  <c r="A235" i="12"/>
  <c r="Q235" i="12" l="1"/>
  <c r="P235" i="12"/>
  <c r="R235" i="12"/>
  <c r="G235" i="12" s="1"/>
  <c r="B236" i="12"/>
  <c r="AE236" i="12" s="1"/>
  <c r="E235" i="12"/>
  <c r="C236" i="12"/>
  <c r="Y236" i="12" s="1"/>
  <c r="F235" i="12"/>
  <c r="L235" i="12"/>
  <c r="O235" i="12"/>
  <c r="S235" i="12"/>
  <c r="H235" i="12" s="1"/>
  <c r="T235" i="12"/>
  <c r="J235" i="12" s="1"/>
  <c r="U235" i="12"/>
  <c r="K235" i="12" s="1"/>
  <c r="I235" i="12"/>
  <c r="N235" i="12"/>
  <c r="AI235" i="12" s="1"/>
  <c r="M235" i="12" l="1"/>
  <c r="D236" i="12"/>
  <c r="A236" i="12"/>
  <c r="W236" i="12"/>
  <c r="AD236" i="12"/>
  <c r="AH236" i="12"/>
  <c r="V236" i="12"/>
  <c r="X236" i="12"/>
  <c r="L236" i="12" l="1"/>
  <c r="N236" i="12"/>
  <c r="AI236" i="12" s="1"/>
  <c r="B237" i="12"/>
  <c r="AE237" i="12" s="1"/>
  <c r="E236" i="12"/>
  <c r="C237" i="12"/>
  <c r="Y237" i="12" s="1"/>
  <c r="F236" i="12"/>
  <c r="R236" i="12"/>
  <c r="G236" i="12" s="1"/>
  <c r="S236" i="12"/>
  <c r="H236" i="12" s="1"/>
  <c r="O236" i="12"/>
  <c r="P236" i="12"/>
  <c r="T236" i="12"/>
  <c r="J236" i="12" s="1"/>
  <c r="I236" i="12"/>
  <c r="U236" i="12"/>
  <c r="K236" i="12" s="1"/>
  <c r="Q236" i="12"/>
  <c r="M236" i="12" l="1"/>
  <c r="A237" i="12"/>
  <c r="AH237" i="12"/>
  <c r="D237" i="12"/>
  <c r="AD237" i="12"/>
  <c r="X237" i="12"/>
  <c r="V237" i="12"/>
  <c r="W237" i="12"/>
  <c r="I237" i="12" l="1"/>
  <c r="B238" i="12"/>
  <c r="AE238" i="12" s="1"/>
  <c r="L237" i="12"/>
  <c r="N237" i="12"/>
  <c r="AI237" i="12" s="1"/>
  <c r="C238" i="12"/>
  <c r="Y238" i="12" s="1"/>
  <c r="R237" i="12"/>
  <c r="G237" i="12" s="1"/>
  <c r="S237" i="12"/>
  <c r="H237" i="12" s="1"/>
  <c r="T237" i="12"/>
  <c r="J237" i="12" s="1"/>
  <c r="U237" i="12"/>
  <c r="K237" i="12" s="1"/>
  <c r="F237" i="12"/>
  <c r="E237" i="12"/>
  <c r="O237" i="12"/>
  <c r="P237" i="12"/>
  <c r="Q237" i="12"/>
  <c r="M237" i="12" l="1"/>
  <c r="D238" i="12"/>
  <c r="AH238" i="12"/>
  <c r="X238" i="12"/>
  <c r="AD238" i="12"/>
  <c r="A238" i="12"/>
  <c r="W238" i="12"/>
  <c r="V238" i="12"/>
  <c r="E238" i="12" l="1"/>
  <c r="L238" i="12"/>
  <c r="N238" i="12"/>
  <c r="AI238" i="12" s="1"/>
  <c r="O238" i="12"/>
  <c r="P238" i="12"/>
  <c r="I238" i="12"/>
  <c r="F238" i="12"/>
  <c r="Q238" i="12"/>
  <c r="S238" i="12"/>
  <c r="H238" i="12" s="1"/>
  <c r="R238" i="12"/>
  <c r="G238" i="12" s="1"/>
  <c r="U238" i="12"/>
  <c r="K238" i="12" s="1"/>
  <c r="C239" i="12"/>
  <c r="Y239" i="12" s="1"/>
  <c r="T238" i="12"/>
  <c r="J238" i="12" s="1"/>
  <c r="B239" i="12"/>
  <c r="AE239" i="12" s="1"/>
  <c r="M238" i="12" l="1"/>
  <c r="W239" i="12"/>
  <c r="X239" i="12"/>
  <c r="V239" i="12"/>
  <c r="AD239" i="12"/>
  <c r="A239" i="12"/>
  <c r="AH239" i="12"/>
  <c r="D239" i="12"/>
  <c r="U239" i="12" l="1"/>
  <c r="K239" i="12" s="1"/>
  <c r="N239" i="12"/>
  <c r="AI239" i="12" s="1"/>
  <c r="O239" i="12"/>
  <c r="P239" i="12"/>
  <c r="Q239" i="12"/>
  <c r="R239" i="12"/>
  <c r="G239" i="12" s="1"/>
  <c r="L239" i="12"/>
  <c r="S239" i="12"/>
  <c r="H239" i="12" s="1"/>
  <c r="T239" i="12"/>
  <c r="J239" i="12" s="1"/>
  <c r="C240" i="12"/>
  <c r="Y240" i="12" s="1"/>
  <c r="B240" i="12"/>
  <c r="AE240" i="12" s="1"/>
  <c r="F239" i="12"/>
  <c r="I239" i="12"/>
  <c r="E239" i="12"/>
  <c r="M239" i="12" l="1"/>
  <c r="V240" i="12"/>
  <c r="W240" i="12"/>
  <c r="X240" i="12"/>
  <c r="AD240" i="12"/>
  <c r="A240" i="12"/>
  <c r="D240" i="12"/>
  <c r="AH240" i="12"/>
  <c r="R240" i="12" l="1"/>
  <c r="G240" i="12" s="1"/>
  <c r="S240" i="12"/>
  <c r="H240" i="12" s="1"/>
  <c r="T240" i="12"/>
  <c r="J240" i="12" s="1"/>
  <c r="U240" i="12"/>
  <c r="K240" i="12" s="1"/>
  <c r="P240" i="12"/>
  <c r="Q240" i="12"/>
  <c r="B241" i="12"/>
  <c r="AE241" i="12" s="1"/>
  <c r="I240" i="12"/>
  <c r="F240" i="12"/>
  <c r="E240" i="12"/>
  <c r="N240" i="12"/>
  <c r="AI240" i="12" s="1"/>
  <c r="C241" i="12"/>
  <c r="Y241" i="12" s="1"/>
  <c r="L240" i="12"/>
  <c r="O240" i="12"/>
  <c r="M240" i="12" l="1"/>
  <c r="AD241" i="12"/>
  <c r="AH241" i="12"/>
  <c r="A241" i="12"/>
  <c r="X241" i="12"/>
  <c r="W241" i="12"/>
  <c r="D241" i="12"/>
  <c r="V241" i="12"/>
  <c r="N241" i="12" l="1"/>
  <c r="AI241" i="12" s="1"/>
  <c r="Q241" i="12"/>
  <c r="R241" i="12"/>
  <c r="G241" i="12" s="1"/>
  <c r="S241" i="12"/>
  <c r="H241" i="12" s="1"/>
  <c r="T241" i="12"/>
  <c r="J241" i="12" s="1"/>
  <c r="U241" i="12"/>
  <c r="K241" i="12" s="1"/>
  <c r="F241" i="12"/>
  <c r="I241" i="12"/>
  <c r="O241" i="12"/>
  <c r="B242" i="12"/>
  <c r="AE242" i="12" s="1"/>
  <c r="C242" i="12"/>
  <c r="Y242" i="12" s="1"/>
  <c r="L241" i="12"/>
  <c r="E241" i="12"/>
  <c r="P241" i="12"/>
  <c r="M241" i="12" l="1"/>
  <c r="AH242" i="12"/>
  <c r="X242" i="12"/>
  <c r="AD242" i="12"/>
  <c r="D242" i="12"/>
  <c r="A242" i="12"/>
  <c r="W242" i="12"/>
  <c r="V242" i="12"/>
  <c r="C243" i="12" l="1"/>
  <c r="Y243" i="12" s="1"/>
  <c r="I242" i="12"/>
  <c r="N242" i="12"/>
  <c r="AI242" i="12" s="1"/>
  <c r="O242" i="12"/>
  <c r="P242" i="12"/>
  <c r="Q242" i="12"/>
  <c r="R242" i="12"/>
  <c r="G242" i="12" s="1"/>
  <c r="B243" i="12"/>
  <c r="AE243" i="12" s="1"/>
  <c r="L242" i="12"/>
  <c r="E242" i="12"/>
  <c r="F242" i="12"/>
  <c r="T242" i="12"/>
  <c r="J242" i="12" s="1"/>
  <c r="S242" i="12"/>
  <c r="H242" i="12" s="1"/>
  <c r="U242" i="12"/>
  <c r="K242" i="12" s="1"/>
  <c r="M242" i="12" l="1"/>
  <c r="D243" i="12"/>
  <c r="AH243" i="12"/>
  <c r="A243" i="12"/>
  <c r="V243" i="12"/>
  <c r="W243" i="12"/>
  <c r="X243" i="12"/>
  <c r="AD243" i="12"/>
  <c r="L243" i="12" l="1"/>
  <c r="N243" i="12"/>
  <c r="AI243" i="12" s="1"/>
  <c r="O243" i="12"/>
  <c r="B244" i="12"/>
  <c r="AE244" i="12" s="1"/>
  <c r="C244" i="12"/>
  <c r="Y244" i="12" s="1"/>
  <c r="E243" i="12"/>
  <c r="U243" i="12"/>
  <c r="K243" i="12" s="1"/>
  <c r="F243" i="12"/>
  <c r="S243" i="12"/>
  <c r="H243" i="12" s="1"/>
  <c r="T243" i="12"/>
  <c r="J243" i="12" s="1"/>
  <c r="I243" i="12"/>
  <c r="P243" i="12"/>
  <c r="Q243" i="12"/>
  <c r="R243" i="12"/>
  <c r="G243" i="12" s="1"/>
  <c r="M243" i="12" l="1"/>
  <c r="V244" i="12"/>
  <c r="W244" i="12"/>
  <c r="D244" i="12"/>
  <c r="A244" i="12"/>
  <c r="X244" i="12"/>
  <c r="AH244" i="12"/>
  <c r="AD244" i="12"/>
  <c r="I244" i="12" l="1"/>
  <c r="L244" i="12"/>
  <c r="E244" i="12"/>
  <c r="F244" i="12"/>
  <c r="B245" i="12"/>
  <c r="AE245" i="12" s="1"/>
  <c r="C245" i="12"/>
  <c r="Y245" i="12" s="1"/>
  <c r="P244" i="12"/>
  <c r="Q244" i="12"/>
  <c r="R244" i="12"/>
  <c r="G244" i="12" s="1"/>
  <c r="S244" i="12"/>
  <c r="H244" i="12" s="1"/>
  <c r="U244" i="12"/>
  <c r="K244" i="12" s="1"/>
  <c r="O244" i="12"/>
  <c r="N244" i="12"/>
  <c r="AI244" i="12" s="1"/>
  <c r="T244" i="12"/>
  <c r="J244" i="12" s="1"/>
  <c r="M244" i="12" l="1"/>
  <c r="D245" i="12"/>
  <c r="AH245" i="12"/>
  <c r="V245" i="12"/>
  <c r="W245" i="12"/>
  <c r="AD245" i="12"/>
  <c r="X245" i="12"/>
  <c r="A245" i="12"/>
  <c r="Q245" i="12" l="1"/>
  <c r="R245" i="12"/>
  <c r="G245" i="12" s="1"/>
  <c r="E245" i="12"/>
  <c r="B246" i="12"/>
  <c r="AE246" i="12" s="1"/>
  <c r="F245" i="12"/>
  <c r="C246" i="12"/>
  <c r="Y246" i="12" s="1"/>
  <c r="I245" i="12"/>
  <c r="L245" i="12"/>
  <c r="O245" i="12"/>
  <c r="T245" i="12"/>
  <c r="J245" i="12" s="1"/>
  <c r="N245" i="12"/>
  <c r="AI245" i="12" s="1"/>
  <c r="P245" i="12"/>
  <c r="S245" i="12"/>
  <c r="H245" i="12" s="1"/>
  <c r="U245" i="12"/>
  <c r="K245" i="12" s="1"/>
  <c r="M245" i="12" l="1"/>
  <c r="AH246" i="12"/>
  <c r="D246" i="12"/>
  <c r="A246" i="12"/>
  <c r="V246" i="12"/>
  <c r="W246" i="12"/>
  <c r="X246" i="12"/>
  <c r="AD246" i="12"/>
  <c r="L246" i="12" l="1"/>
  <c r="E246" i="12"/>
  <c r="F246" i="12"/>
  <c r="B247" i="12"/>
  <c r="AE247" i="12" s="1"/>
  <c r="N246" i="12"/>
  <c r="AI246" i="12" s="1"/>
  <c r="O246" i="12"/>
  <c r="P246" i="12"/>
  <c r="T246" i="12"/>
  <c r="J246" i="12" s="1"/>
  <c r="U246" i="12"/>
  <c r="K246" i="12" s="1"/>
  <c r="R246" i="12"/>
  <c r="G246" i="12" s="1"/>
  <c r="Q246" i="12"/>
  <c r="I246" i="12"/>
  <c r="C247" i="12"/>
  <c r="Y247" i="12" s="1"/>
  <c r="S246" i="12"/>
  <c r="H246" i="12" s="1"/>
  <c r="M246" i="12" l="1"/>
  <c r="W247" i="12"/>
  <c r="X247" i="12"/>
  <c r="A247" i="12"/>
  <c r="AD247" i="12"/>
  <c r="V247" i="12"/>
  <c r="AH247" i="12"/>
  <c r="D247" i="12"/>
  <c r="B248" i="12" l="1"/>
  <c r="AE248" i="12" s="1"/>
  <c r="N247" i="12"/>
  <c r="AI247" i="12" s="1"/>
  <c r="O247" i="12"/>
  <c r="P247" i="12"/>
  <c r="Q247" i="12"/>
  <c r="C248" i="12"/>
  <c r="Y248" i="12" s="1"/>
  <c r="L247" i="12"/>
  <c r="R247" i="12"/>
  <c r="G247" i="12" s="1"/>
  <c r="S247" i="12"/>
  <c r="H247" i="12" s="1"/>
  <c r="T247" i="12"/>
  <c r="J247" i="12" s="1"/>
  <c r="U247" i="12"/>
  <c r="K247" i="12" s="1"/>
  <c r="F247" i="12"/>
  <c r="I247" i="12"/>
  <c r="E247" i="12"/>
  <c r="M247" i="12" l="1"/>
  <c r="AD248" i="12"/>
  <c r="V248" i="12"/>
  <c r="W248" i="12"/>
  <c r="D248" i="12"/>
  <c r="A248" i="12"/>
  <c r="X248" i="12"/>
  <c r="AH248" i="12"/>
  <c r="S248" i="12" l="1"/>
  <c r="H248" i="12" s="1"/>
  <c r="T248" i="12"/>
  <c r="J248" i="12" s="1"/>
  <c r="U248" i="12"/>
  <c r="K248" i="12" s="1"/>
  <c r="N248" i="12"/>
  <c r="AI248" i="12" s="1"/>
  <c r="O248" i="12"/>
  <c r="P248" i="12"/>
  <c r="Q248" i="12"/>
  <c r="R248" i="12"/>
  <c r="G248" i="12" s="1"/>
  <c r="B249" i="12"/>
  <c r="AE249" i="12" s="1"/>
  <c r="C249" i="12"/>
  <c r="Y249" i="12" s="1"/>
  <c r="I248" i="12"/>
  <c r="E248" i="12"/>
  <c r="F248" i="12"/>
  <c r="L248" i="12"/>
  <c r="M248" i="12" l="1"/>
  <c r="V249" i="12"/>
  <c r="W249" i="12"/>
  <c r="X249" i="12"/>
  <c r="D249" i="12"/>
  <c r="AD249" i="12"/>
  <c r="AH249" i="12"/>
  <c r="A249" i="12"/>
  <c r="U249" i="12" l="1"/>
  <c r="K249" i="12" s="1"/>
  <c r="O249" i="12"/>
  <c r="P249" i="12"/>
  <c r="Q249" i="12"/>
  <c r="R249" i="12"/>
  <c r="G249" i="12" s="1"/>
  <c r="S249" i="12"/>
  <c r="H249" i="12" s="1"/>
  <c r="T249" i="12"/>
  <c r="J249" i="12" s="1"/>
  <c r="I249" i="12"/>
  <c r="E249" i="12"/>
  <c r="N249" i="12"/>
  <c r="AI249" i="12" s="1"/>
  <c r="C250" i="12"/>
  <c r="Y250" i="12" s="1"/>
  <c r="B250" i="12"/>
  <c r="AE250" i="12" s="1"/>
  <c r="L249" i="12"/>
  <c r="F249" i="12"/>
  <c r="M249" i="12" l="1"/>
  <c r="V250" i="12"/>
  <c r="W250" i="12"/>
  <c r="X250" i="12"/>
  <c r="AD250" i="12"/>
  <c r="AH250" i="12"/>
  <c r="D250" i="12"/>
  <c r="A250" i="12"/>
  <c r="P250" i="12" l="1"/>
  <c r="L250" i="12"/>
  <c r="N250" i="12"/>
  <c r="AI250" i="12" s="1"/>
  <c r="O250" i="12"/>
  <c r="U250" i="12"/>
  <c r="K250" i="12" s="1"/>
  <c r="Q250" i="12"/>
  <c r="R250" i="12"/>
  <c r="G250" i="12" s="1"/>
  <c r="S250" i="12"/>
  <c r="H250" i="12" s="1"/>
  <c r="E250" i="12"/>
  <c r="B251" i="12"/>
  <c r="AE251" i="12" s="1"/>
  <c r="C251" i="12"/>
  <c r="Y251" i="12" s="1"/>
  <c r="F250" i="12"/>
  <c r="I250" i="12"/>
  <c r="T250" i="12"/>
  <c r="J250" i="12" s="1"/>
  <c r="M250" i="12" l="1"/>
  <c r="W251" i="12"/>
  <c r="X251" i="12"/>
  <c r="AD251" i="12"/>
  <c r="AH251" i="12"/>
  <c r="V251" i="12"/>
  <c r="A251" i="12"/>
  <c r="D251" i="12"/>
  <c r="C252" i="12" l="1"/>
  <c r="Y252" i="12" s="1"/>
  <c r="I251" i="12"/>
  <c r="L251" i="12"/>
  <c r="B252" i="12"/>
  <c r="AE252" i="12" s="1"/>
  <c r="O251" i="12"/>
  <c r="P251" i="12"/>
  <c r="Q251" i="12"/>
  <c r="R251" i="12"/>
  <c r="G251" i="12" s="1"/>
  <c r="S251" i="12"/>
  <c r="H251" i="12" s="1"/>
  <c r="T251" i="12"/>
  <c r="J251" i="12" s="1"/>
  <c r="U251" i="12"/>
  <c r="K251" i="12" s="1"/>
  <c r="E251" i="12"/>
  <c r="N251" i="12"/>
  <c r="AI251" i="12" s="1"/>
  <c r="F251" i="12"/>
  <c r="M251" i="12" l="1"/>
  <c r="AH252" i="12"/>
  <c r="D252" i="12"/>
  <c r="X252" i="12"/>
  <c r="AD252" i="12"/>
  <c r="A252" i="12"/>
  <c r="V252" i="12"/>
  <c r="W252" i="12"/>
  <c r="F252" i="12" l="1"/>
  <c r="E252" i="12"/>
  <c r="B253" i="12"/>
  <c r="AE253" i="12" s="1"/>
  <c r="C253" i="12"/>
  <c r="Y253" i="12" s="1"/>
  <c r="I252" i="12"/>
  <c r="L252" i="12"/>
  <c r="U252" i="12"/>
  <c r="K252" i="12" s="1"/>
  <c r="R252" i="12"/>
  <c r="G252" i="12" s="1"/>
  <c r="P252" i="12"/>
  <c r="O252" i="12"/>
  <c r="Q252" i="12"/>
  <c r="N252" i="12"/>
  <c r="AI252" i="12" s="1"/>
  <c r="T252" i="12"/>
  <c r="J252" i="12" s="1"/>
  <c r="S252" i="12"/>
  <c r="H252" i="12" s="1"/>
  <c r="M252" i="12" l="1"/>
  <c r="A253" i="12"/>
  <c r="X253" i="12"/>
  <c r="AD253" i="12"/>
  <c r="AH253" i="12"/>
  <c r="D253" i="12"/>
  <c r="V253" i="12"/>
  <c r="W253" i="12"/>
  <c r="B254" i="12" l="1"/>
  <c r="AE254" i="12" s="1"/>
  <c r="C254" i="12"/>
  <c r="Y254" i="12" s="1"/>
  <c r="E253" i="12"/>
  <c r="O253" i="12"/>
  <c r="P253" i="12"/>
  <c r="N253" i="12"/>
  <c r="AI253" i="12" s="1"/>
  <c r="Q253" i="12"/>
  <c r="R253" i="12"/>
  <c r="G253" i="12" s="1"/>
  <c r="S253" i="12"/>
  <c r="H253" i="12" s="1"/>
  <c r="U253" i="12"/>
  <c r="K253" i="12" s="1"/>
  <c r="T253" i="12"/>
  <c r="J253" i="12" s="1"/>
  <c r="L253" i="12"/>
  <c r="F253" i="12"/>
  <c r="I253" i="12"/>
  <c r="M253" i="12" l="1"/>
  <c r="V254" i="12"/>
  <c r="W254" i="12"/>
  <c r="X254" i="12"/>
  <c r="D254" i="12"/>
  <c r="AH254" i="12"/>
  <c r="A254" i="12"/>
  <c r="AD254" i="12"/>
  <c r="T254" i="12" l="1"/>
  <c r="J254" i="12" s="1"/>
  <c r="U254" i="12"/>
  <c r="K254" i="12" s="1"/>
  <c r="C255" i="12"/>
  <c r="Y255" i="12" s="1"/>
  <c r="E254" i="12"/>
  <c r="F254" i="12"/>
  <c r="B255" i="12"/>
  <c r="AE255" i="12" s="1"/>
  <c r="I254" i="12"/>
  <c r="N254" i="12"/>
  <c r="AI254" i="12" s="1"/>
  <c r="Q254" i="12"/>
  <c r="S254" i="12"/>
  <c r="H254" i="12" s="1"/>
  <c r="O254" i="12"/>
  <c r="L254" i="12"/>
  <c r="P254" i="12"/>
  <c r="R254" i="12"/>
  <c r="G254" i="12" s="1"/>
  <c r="M254" i="12" l="1"/>
  <c r="D255" i="12"/>
  <c r="A255" i="12"/>
  <c r="V255" i="12"/>
  <c r="AD255" i="12"/>
  <c r="W255" i="12"/>
  <c r="X255" i="12"/>
  <c r="AH255" i="12"/>
  <c r="O255" i="12" l="1"/>
  <c r="Q255" i="12"/>
  <c r="R255" i="12"/>
  <c r="G255" i="12" s="1"/>
  <c r="S255" i="12"/>
  <c r="H255" i="12" s="1"/>
  <c r="T255" i="12"/>
  <c r="J255" i="12" s="1"/>
  <c r="U255" i="12"/>
  <c r="K255" i="12" s="1"/>
  <c r="E255" i="12"/>
  <c r="F255" i="12"/>
  <c r="I255" i="12"/>
  <c r="L255" i="12"/>
  <c r="N255" i="12"/>
  <c r="AI255" i="12" s="1"/>
  <c r="P255" i="12"/>
  <c r="B256" i="12"/>
  <c r="AE256" i="12" s="1"/>
  <c r="C256" i="12"/>
  <c r="Y256" i="12" s="1"/>
  <c r="M255" i="12" l="1"/>
  <c r="D256" i="12"/>
  <c r="V256" i="12"/>
  <c r="W256" i="12"/>
  <c r="X256" i="12"/>
  <c r="AD256" i="12"/>
  <c r="AH256" i="12"/>
  <c r="A256" i="12"/>
  <c r="N256" i="12" l="1"/>
  <c r="AI256" i="12" s="1"/>
  <c r="O256" i="12"/>
  <c r="P256" i="12"/>
  <c r="Q256" i="12"/>
  <c r="E256" i="12"/>
  <c r="F256" i="12"/>
  <c r="I256" i="12"/>
  <c r="T256" i="12"/>
  <c r="J256" i="12" s="1"/>
  <c r="U256" i="12"/>
  <c r="K256" i="12" s="1"/>
  <c r="B257" i="12"/>
  <c r="AE257" i="12" s="1"/>
  <c r="C257" i="12"/>
  <c r="Y257" i="12" s="1"/>
  <c r="S256" i="12"/>
  <c r="H256" i="12" s="1"/>
  <c r="L256" i="12"/>
  <c r="R256" i="12"/>
  <c r="G256" i="12" s="1"/>
  <c r="M256" i="12" l="1"/>
  <c r="V257" i="12"/>
  <c r="AH257" i="12"/>
  <c r="W257" i="12"/>
  <c r="X257" i="12"/>
  <c r="D257" i="12"/>
  <c r="A257" i="12"/>
  <c r="AD257" i="12"/>
  <c r="E257" i="12" l="1"/>
  <c r="I257" i="12"/>
  <c r="L257" i="12"/>
  <c r="F257" i="12"/>
  <c r="N257" i="12"/>
  <c r="AI257" i="12" s="1"/>
  <c r="O257" i="12"/>
  <c r="U257" i="12"/>
  <c r="K257" i="12" s="1"/>
  <c r="B258" i="12"/>
  <c r="AE258" i="12" s="1"/>
  <c r="C258" i="12"/>
  <c r="Y258" i="12" s="1"/>
  <c r="Q257" i="12"/>
  <c r="T257" i="12"/>
  <c r="J257" i="12" s="1"/>
  <c r="P257" i="12"/>
  <c r="R257" i="12"/>
  <c r="G257" i="12" s="1"/>
  <c r="S257" i="12"/>
  <c r="H257" i="12" s="1"/>
  <c r="M257" i="12" l="1"/>
  <c r="X258" i="12"/>
  <c r="AH258" i="12"/>
  <c r="A258" i="12"/>
  <c r="AD258" i="12"/>
  <c r="D258" i="12"/>
  <c r="V258" i="12"/>
  <c r="W258" i="12"/>
  <c r="E258" i="12" l="1"/>
  <c r="F258" i="12"/>
  <c r="B259" i="12"/>
  <c r="AE259" i="12" s="1"/>
  <c r="C259" i="12"/>
  <c r="Y259" i="12" s="1"/>
  <c r="I258" i="12"/>
  <c r="L258" i="12"/>
  <c r="N258" i="12"/>
  <c r="AI258" i="12" s="1"/>
  <c r="O258" i="12"/>
  <c r="P258" i="12"/>
  <c r="Q258" i="12"/>
  <c r="U258" i="12"/>
  <c r="K258" i="12" s="1"/>
  <c r="R258" i="12"/>
  <c r="G258" i="12" s="1"/>
  <c r="S258" i="12"/>
  <c r="H258" i="12" s="1"/>
  <c r="T258" i="12"/>
  <c r="J258" i="12" s="1"/>
  <c r="M258" i="12" l="1"/>
  <c r="A259" i="12"/>
  <c r="AD259" i="12"/>
  <c r="AH259" i="12"/>
  <c r="D259" i="12"/>
  <c r="V259" i="12"/>
  <c r="X259" i="12"/>
  <c r="W259" i="12"/>
  <c r="S259" i="12" l="1"/>
  <c r="H259" i="12" s="1"/>
  <c r="E259" i="12"/>
  <c r="N259" i="12"/>
  <c r="AI259" i="12" s="1"/>
  <c r="O259" i="12"/>
  <c r="P259" i="12"/>
  <c r="Q259" i="12"/>
  <c r="R259" i="12"/>
  <c r="G259" i="12" s="1"/>
  <c r="T259" i="12"/>
  <c r="J259" i="12" s="1"/>
  <c r="U259" i="12"/>
  <c r="K259" i="12" s="1"/>
  <c r="F259" i="12"/>
  <c r="I259" i="12"/>
  <c r="L259" i="12"/>
  <c r="B260" i="12"/>
  <c r="AE260" i="12" s="1"/>
  <c r="C260" i="12"/>
  <c r="Y260" i="12" s="1"/>
  <c r="M259" i="12" l="1"/>
  <c r="V260" i="12"/>
  <c r="W260" i="12"/>
  <c r="X260" i="12"/>
  <c r="A260" i="12"/>
  <c r="AD260" i="12"/>
  <c r="AH260" i="12"/>
  <c r="D260" i="12"/>
  <c r="N260" i="12" l="1"/>
  <c r="AI260" i="12" s="1"/>
  <c r="O260" i="12"/>
  <c r="P260" i="12"/>
  <c r="Q260" i="12"/>
  <c r="R260" i="12"/>
  <c r="G260" i="12" s="1"/>
  <c r="S260" i="12"/>
  <c r="H260" i="12" s="1"/>
  <c r="C261" i="12"/>
  <c r="Y261" i="12" s="1"/>
  <c r="B261" i="12"/>
  <c r="AE261" i="12" s="1"/>
  <c r="E260" i="12"/>
  <c r="U260" i="12"/>
  <c r="K260" i="12" s="1"/>
  <c r="L260" i="12"/>
  <c r="T260" i="12"/>
  <c r="J260" i="12" s="1"/>
  <c r="I260" i="12"/>
  <c r="F260" i="12"/>
  <c r="M260" i="12" l="1"/>
  <c r="V261" i="12"/>
  <c r="W261" i="12"/>
  <c r="X261" i="12"/>
  <c r="AH261" i="12"/>
  <c r="D261" i="12"/>
  <c r="A261" i="12"/>
  <c r="AD261" i="12"/>
  <c r="I261" i="12" l="1"/>
  <c r="R261" i="12"/>
  <c r="G261" i="12" s="1"/>
  <c r="S261" i="12"/>
  <c r="H261" i="12" s="1"/>
  <c r="T261" i="12"/>
  <c r="J261" i="12" s="1"/>
  <c r="U261" i="12"/>
  <c r="K261" i="12" s="1"/>
  <c r="P261" i="12"/>
  <c r="Q261" i="12"/>
  <c r="E261" i="12"/>
  <c r="F261" i="12"/>
  <c r="N261" i="12"/>
  <c r="AI261" i="12" s="1"/>
  <c r="O261" i="12"/>
  <c r="L261" i="12"/>
  <c r="C262" i="12"/>
  <c r="Y262" i="12" s="1"/>
  <c r="B262" i="12"/>
  <c r="AE262" i="12" s="1"/>
  <c r="M261" i="12" l="1"/>
  <c r="D262" i="12"/>
  <c r="AH262" i="12"/>
  <c r="V262" i="12"/>
  <c r="W262" i="12"/>
  <c r="X262" i="12"/>
  <c r="AD262" i="12"/>
  <c r="A262" i="12"/>
  <c r="N262" i="12" l="1"/>
  <c r="AI262" i="12" s="1"/>
  <c r="O262" i="12"/>
  <c r="P262" i="12"/>
  <c r="Q262" i="12"/>
  <c r="R262" i="12"/>
  <c r="G262" i="12" s="1"/>
  <c r="L262" i="12"/>
  <c r="S262" i="12"/>
  <c r="H262" i="12" s="1"/>
  <c r="T262" i="12"/>
  <c r="J262" i="12" s="1"/>
  <c r="B263" i="12"/>
  <c r="AE263" i="12" s="1"/>
  <c r="C263" i="12"/>
  <c r="Y263" i="12" s="1"/>
  <c r="I262" i="12"/>
  <c r="U262" i="12"/>
  <c r="K262" i="12" s="1"/>
  <c r="E262" i="12"/>
  <c r="F262" i="12"/>
  <c r="M262" i="12" l="1"/>
  <c r="W263" i="12"/>
  <c r="X263" i="12"/>
  <c r="AD263" i="12"/>
  <c r="AH263" i="12"/>
  <c r="A263" i="12"/>
  <c r="D263" i="12"/>
  <c r="V263" i="12"/>
  <c r="L263" i="12" l="1"/>
  <c r="N263" i="12"/>
  <c r="AI263" i="12" s="1"/>
  <c r="E263" i="12"/>
  <c r="F263" i="12"/>
  <c r="B264" i="12"/>
  <c r="AE264" i="12" s="1"/>
  <c r="C264" i="12"/>
  <c r="Y264" i="12" s="1"/>
  <c r="O263" i="12"/>
  <c r="I263" i="12"/>
  <c r="P263" i="12"/>
  <c r="Q263" i="12"/>
  <c r="U263" i="12"/>
  <c r="K263" i="12" s="1"/>
  <c r="T263" i="12"/>
  <c r="J263" i="12" s="1"/>
  <c r="R263" i="12"/>
  <c r="G263" i="12" s="1"/>
  <c r="S263" i="12"/>
  <c r="H263" i="12" s="1"/>
  <c r="M263" i="12" l="1"/>
  <c r="AD264" i="12"/>
  <c r="AH264" i="12"/>
  <c r="D264" i="12"/>
  <c r="V264" i="12"/>
  <c r="W264" i="12"/>
  <c r="X264" i="12"/>
  <c r="A264" i="12"/>
  <c r="R264" i="12" l="1"/>
  <c r="G264" i="12" s="1"/>
  <c r="F264" i="12"/>
  <c r="B265" i="12"/>
  <c r="AE265" i="12" s="1"/>
  <c r="C265" i="12"/>
  <c r="Y265" i="12" s="1"/>
  <c r="I264" i="12"/>
  <c r="P264" i="12"/>
  <c r="Q264" i="12"/>
  <c r="E264" i="12"/>
  <c r="L264" i="12"/>
  <c r="N264" i="12"/>
  <c r="AI264" i="12" s="1"/>
  <c r="U264" i="12"/>
  <c r="K264" i="12" s="1"/>
  <c r="O264" i="12"/>
  <c r="S264" i="12"/>
  <c r="H264" i="12" s="1"/>
  <c r="T264" i="12"/>
  <c r="J264" i="12" s="1"/>
  <c r="M264" i="12" l="1"/>
  <c r="AH265" i="12"/>
  <c r="D265" i="12"/>
  <c r="AD265" i="12"/>
  <c r="W265" i="12"/>
  <c r="X265" i="12"/>
  <c r="A265" i="12"/>
  <c r="V265" i="12"/>
  <c r="E265" i="12" l="1"/>
  <c r="F265" i="12"/>
  <c r="B266" i="12"/>
  <c r="AE266" i="12" s="1"/>
  <c r="C266" i="12"/>
  <c r="Y266" i="12" s="1"/>
  <c r="P265" i="12"/>
  <c r="Q265" i="12"/>
  <c r="R265" i="12"/>
  <c r="G265" i="12" s="1"/>
  <c r="S265" i="12"/>
  <c r="H265" i="12" s="1"/>
  <c r="U265" i="12"/>
  <c r="K265" i="12" s="1"/>
  <c r="L265" i="12"/>
  <c r="I265" i="12"/>
  <c r="O265" i="12"/>
  <c r="T265" i="12"/>
  <c r="J265" i="12" s="1"/>
  <c r="N265" i="12"/>
  <c r="AI265" i="12" s="1"/>
  <c r="M265" i="12" l="1"/>
  <c r="W266" i="12"/>
  <c r="X266" i="12"/>
  <c r="A266" i="12"/>
  <c r="AD266" i="12"/>
  <c r="D266" i="12"/>
  <c r="AH266" i="12"/>
  <c r="V266" i="12"/>
  <c r="C267" i="12" l="1"/>
  <c r="Y267" i="12" s="1"/>
  <c r="B267" i="12"/>
  <c r="AE267" i="12" s="1"/>
  <c r="E266" i="12"/>
  <c r="P266" i="12"/>
  <c r="Q266" i="12"/>
  <c r="R266" i="12"/>
  <c r="G266" i="12" s="1"/>
  <c r="S266" i="12"/>
  <c r="H266" i="12" s="1"/>
  <c r="T266" i="12"/>
  <c r="J266" i="12" s="1"/>
  <c r="U266" i="12"/>
  <c r="K266" i="12" s="1"/>
  <c r="F266" i="12"/>
  <c r="I266" i="12"/>
  <c r="L266" i="12"/>
  <c r="N266" i="12"/>
  <c r="AI266" i="12" s="1"/>
  <c r="O266" i="12"/>
  <c r="M266" i="12" l="1"/>
  <c r="V267" i="12"/>
  <c r="A267" i="12"/>
  <c r="D267" i="12"/>
  <c r="AH267" i="12"/>
  <c r="X267" i="12"/>
  <c r="W267" i="12"/>
  <c r="AD267" i="12"/>
  <c r="S267" i="12" l="1"/>
  <c r="H267" i="12" s="1"/>
  <c r="T267" i="12"/>
  <c r="J267" i="12" s="1"/>
  <c r="U267" i="12"/>
  <c r="K267" i="12" s="1"/>
  <c r="B268" i="12"/>
  <c r="AE268" i="12" s="1"/>
  <c r="C268" i="12"/>
  <c r="Y268" i="12" s="1"/>
  <c r="E267" i="12"/>
  <c r="F267" i="12"/>
  <c r="I267" i="12"/>
  <c r="L267" i="12"/>
  <c r="Q267" i="12"/>
  <c r="O267" i="12"/>
  <c r="P267" i="12"/>
  <c r="N267" i="12"/>
  <c r="AI267" i="12" s="1"/>
  <c r="R267" i="12"/>
  <c r="G267" i="12" s="1"/>
  <c r="M267" i="12" l="1"/>
  <c r="V268" i="12"/>
  <c r="D268" i="12"/>
  <c r="W268" i="12"/>
  <c r="X268" i="12"/>
  <c r="AD268" i="12"/>
  <c r="AH268" i="12"/>
  <c r="A268" i="12"/>
  <c r="O268" i="12" l="1"/>
  <c r="P268" i="12"/>
  <c r="Q268" i="12"/>
  <c r="R268" i="12"/>
  <c r="G268" i="12" s="1"/>
  <c r="B269" i="12"/>
  <c r="AE269" i="12" s="1"/>
  <c r="C269" i="12"/>
  <c r="Y269" i="12" s="1"/>
  <c r="E268" i="12"/>
  <c r="F268" i="12"/>
  <c r="N268" i="12"/>
  <c r="AI268" i="12" s="1"/>
  <c r="S268" i="12"/>
  <c r="H268" i="12" s="1"/>
  <c r="L268" i="12"/>
  <c r="T268" i="12"/>
  <c r="J268" i="12" s="1"/>
  <c r="I268" i="12"/>
  <c r="U268" i="12"/>
  <c r="K268" i="12" s="1"/>
  <c r="M268" i="12" l="1"/>
  <c r="D269" i="12"/>
  <c r="X269" i="12"/>
  <c r="W269" i="12"/>
  <c r="AD269" i="12"/>
  <c r="AH269" i="12"/>
  <c r="A269" i="12"/>
  <c r="V269" i="12"/>
  <c r="Q269" i="12" l="1"/>
  <c r="L269" i="12"/>
  <c r="N269" i="12"/>
  <c r="AI269" i="12" s="1"/>
  <c r="B270" i="12"/>
  <c r="AE270" i="12" s="1"/>
  <c r="C270" i="12"/>
  <c r="Y270" i="12" s="1"/>
  <c r="E269" i="12"/>
  <c r="F269" i="12"/>
  <c r="T269" i="12"/>
  <c r="J269" i="12" s="1"/>
  <c r="I269" i="12"/>
  <c r="U269" i="12"/>
  <c r="K269" i="12" s="1"/>
  <c r="O269" i="12"/>
  <c r="P269" i="12"/>
  <c r="R269" i="12"/>
  <c r="G269" i="12" s="1"/>
  <c r="S269" i="12"/>
  <c r="H269" i="12" s="1"/>
  <c r="M269" i="12" l="1"/>
  <c r="D270" i="12"/>
  <c r="A270" i="12"/>
  <c r="V270" i="12"/>
  <c r="W270" i="12"/>
  <c r="AH270" i="12"/>
  <c r="X270" i="12"/>
  <c r="AD270" i="12"/>
  <c r="L270" i="12" l="1"/>
  <c r="C271" i="12"/>
  <c r="Y271" i="12" s="1"/>
  <c r="I270" i="12"/>
  <c r="B271" i="12"/>
  <c r="AE271" i="12" s="1"/>
  <c r="E270" i="12"/>
  <c r="F270" i="12"/>
  <c r="N270" i="12"/>
  <c r="AI270" i="12" s="1"/>
  <c r="O270" i="12"/>
  <c r="U270" i="12"/>
  <c r="K270" i="12" s="1"/>
  <c r="P270" i="12"/>
  <c r="R270" i="12"/>
  <c r="G270" i="12" s="1"/>
  <c r="Q270" i="12"/>
  <c r="S270" i="12"/>
  <c r="H270" i="12" s="1"/>
  <c r="T270" i="12"/>
  <c r="J270" i="12" s="1"/>
  <c r="M270" i="12" l="1"/>
  <c r="AH271" i="12"/>
  <c r="D271" i="12"/>
  <c r="A271" i="12"/>
  <c r="AD271" i="12"/>
  <c r="W271" i="12"/>
  <c r="X271" i="12"/>
  <c r="V271" i="12"/>
  <c r="B272" i="12" l="1"/>
  <c r="AE272" i="12" s="1"/>
  <c r="E271" i="12"/>
  <c r="F271" i="12"/>
  <c r="I271" i="12"/>
  <c r="N271" i="12"/>
  <c r="AI271" i="12" s="1"/>
  <c r="O271" i="12"/>
  <c r="P271" i="12"/>
  <c r="R271" i="12"/>
  <c r="G271" i="12" s="1"/>
  <c r="C272" i="12"/>
  <c r="Y272" i="12" s="1"/>
  <c r="Q271" i="12"/>
  <c r="S271" i="12"/>
  <c r="H271" i="12" s="1"/>
  <c r="T271" i="12"/>
  <c r="J271" i="12" s="1"/>
  <c r="L271" i="12"/>
  <c r="U271" i="12"/>
  <c r="K271" i="12" s="1"/>
  <c r="M271" i="12" l="1"/>
  <c r="AD272" i="12"/>
  <c r="X272" i="12"/>
  <c r="W272" i="12"/>
  <c r="D272" i="12"/>
  <c r="A272" i="12"/>
  <c r="V272" i="12"/>
  <c r="AH272" i="12"/>
  <c r="E272" i="12" l="1"/>
  <c r="C273" i="12"/>
  <c r="Y273" i="12" s="1"/>
  <c r="F272" i="12"/>
  <c r="I272" i="12"/>
  <c r="N272" i="12"/>
  <c r="AI272" i="12" s="1"/>
  <c r="R272" i="12"/>
  <c r="G272" i="12" s="1"/>
  <c r="S272" i="12"/>
  <c r="H272" i="12" s="1"/>
  <c r="T272" i="12"/>
  <c r="J272" i="12" s="1"/>
  <c r="U272" i="12"/>
  <c r="K272" i="12" s="1"/>
  <c r="P272" i="12"/>
  <c r="L272" i="12"/>
  <c r="O272" i="12"/>
  <c r="Q272" i="12"/>
  <c r="B273" i="12"/>
  <c r="AE273" i="12" s="1"/>
  <c r="M272" i="12" l="1"/>
  <c r="V273" i="12"/>
  <c r="D273" i="12"/>
  <c r="AD273" i="12"/>
  <c r="AH273" i="12"/>
  <c r="W273" i="12"/>
  <c r="X273" i="12"/>
  <c r="A273" i="12"/>
  <c r="U273" i="12" l="1"/>
  <c r="K273" i="12" s="1"/>
  <c r="T273" i="12"/>
  <c r="J273" i="12" s="1"/>
  <c r="B274" i="12"/>
  <c r="AE274" i="12" s="1"/>
  <c r="E273" i="12"/>
  <c r="C274" i="12"/>
  <c r="Y274" i="12" s="1"/>
  <c r="F273" i="12"/>
  <c r="P273" i="12"/>
  <c r="Q273" i="12"/>
  <c r="O273" i="12"/>
  <c r="R273" i="12"/>
  <c r="G273" i="12" s="1"/>
  <c r="S273" i="12"/>
  <c r="H273" i="12" s="1"/>
  <c r="L273" i="12"/>
  <c r="I273" i="12"/>
  <c r="N273" i="12"/>
  <c r="AI273" i="12" s="1"/>
  <c r="M273" i="12" l="1"/>
  <c r="A274" i="12"/>
  <c r="AH274" i="12"/>
  <c r="D274" i="12"/>
  <c r="V274" i="12"/>
  <c r="W274" i="12"/>
  <c r="X274" i="12"/>
  <c r="AD274" i="12"/>
  <c r="P274" i="12" l="1"/>
  <c r="Q274" i="12"/>
  <c r="R274" i="12"/>
  <c r="G274" i="12" s="1"/>
  <c r="B275" i="12"/>
  <c r="AE275" i="12" s="1"/>
  <c r="E274" i="12"/>
  <c r="C275" i="12"/>
  <c r="Y275" i="12" s="1"/>
  <c r="I274" i="12"/>
  <c r="F274" i="12"/>
  <c r="U274" i="12"/>
  <c r="K274" i="12" s="1"/>
  <c r="O274" i="12"/>
  <c r="N274" i="12"/>
  <c r="AI274" i="12" s="1"/>
  <c r="L274" i="12"/>
  <c r="T274" i="12"/>
  <c r="J274" i="12" s="1"/>
  <c r="S274" i="12"/>
  <c r="H274" i="12" s="1"/>
  <c r="M274" i="12" l="1"/>
  <c r="AD275" i="12"/>
  <c r="A275" i="12"/>
  <c r="AH275" i="12"/>
  <c r="V275" i="12"/>
  <c r="W275" i="12"/>
  <c r="X275" i="12"/>
  <c r="D275" i="12"/>
  <c r="N275" i="12" l="1"/>
  <c r="AI275" i="12" s="1"/>
  <c r="B276" i="12"/>
  <c r="AE276" i="12" s="1"/>
  <c r="I275" i="12"/>
  <c r="O275" i="12"/>
  <c r="F275" i="12"/>
  <c r="U275" i="12"/>
  <c r="K275" i="12" s="1"/>
  <c r="L275" i="12"/>
  <c r="R275" i="12"/>
  <c r="G275" i="12" s="1"/>
  <c r="P275" i="12"/>
  <c r="Q275" i="12"/>
  <c r="S275" i="12"/>
  <c r="H275" i="12" s="1"/>
  <c r="T275" i="12"/>
  <c r="J275" i="12" s="1"/>
  <c r="C276" i="12"/>
  <c r="Y276" i="12" s="1"/>
  <c r="E275" i="12"/>
  <c r="M275" i="12" l="1"/>
  <c r="X276" i="12"/>
  <c r="AD276" i="12"/>
  <c r="A276" i="12"/>
  <c r="AH276" i="12"/>
  <c r="D276" i="12"/>
  <c r="V276" i="12"/>
  <c r="W276" i="12"/>
  <c r="F276" i="12" l="1"/>
  <c r="I276" i="12"/>
  <c r="O276" i="12"/>
  <c r="P276" i="12"/>
  <c r="Q276" i="12"/>
  <c r="R276" i="12"/>
  <c r="G276" i="12" s="1"/>
  <c r="T276" i="12"/>
  <c r="J276" i="12" s="1"/>
  <c r="B277" i="12"/>
  <c r="AE277" i="12" s="1"/>
  <c r="C277" i="12"/>
  <c r="Y277" i="12" s="1"/>
  <c r="U276" i="12"/>
  <c r="K276" i="12" s="1"/>
  <c r="S276" i="12"/>
  <c r="H276" i="12" s="1"/>
  <c r="L276" i="12"/>
  <c r="N276" i="12"/>
  <c r="AI276" i="12" s="1"/>
  <c r="E276" i="12"/>
  <c r="M276" i="12" l="1"/>
  <c r="A277" i="12"/>
  <c r="V277" i="12"/>
  <c r="W277" i="12"/>
  <c r="X277" i="12"/>
  <c r="AD277" i="12"/>
  <c r="AH277" i="12"/>
  <c r="D277" i="12"/>
  <c r="E277" i="12" l="1"/>
  <c r="F277" i="12"/>
  <c r="B278" i="12"/>
  <c r="AE278" i="12" s="1"/>
  <c r="T277" i="12"/>
  <c r="J277" i="12" s="1"/>
  <c r="U277" i="12"/>
  <c r="K277" i="12" s="1"/>
  <c r="I277" i="12"/>
  <c r="N277" i="12"/>
  <c r="AI277" i="12" s="1"/>
  <c r="L277" i="12"/>
  <c r="R277" i="12"/>
  <c r="G277" i="12" s="1"/>
  <c r="S277" i="12"/>
  <c r="H277" i="12" s="1"/>
  <c r="C278" i="12"/>
  <c r="Y278" i="12" s="1"/>
  <c r="O277" i="12"/>
  <c r="P277" i="12"/>
  <c r="Q277" i="12"/>
  <c r="M277" i="12" l="1"/>
  <c r="A278" i="12"/>
  <c r="AD278" i="12"/>
  <c r="V278" i="12"/>
  <c r="W278" i="12"/>
  <c r="X278" i="12"/>
  <c r="D278" i="12"/>
  <c r="AH278" i="12"/>
  <c r="T278" i="12" l="1"/>
  <c r="J278" i="12" s="1"/>
  <c r="U278" i="12"/>
  <c r="K278" i="12" s="1"/>
  <c r="O278" i="12"/>
  <c r="S278" i="12"/>
  <c r="H278" i="12" s="1"/>
  <c r="B279" i="12"/>
  <c r="AE279" i="12" s="1"/>
  <c r="C279" i="12"/>
  <c r="Y279" i="12" s="1"/>
  <c r="P278" i="12"/>
  <c r="Q278" i="12"/>
  <c r="R278" i="12"/>
  <c r="G278" i="12" s="1"/>
  <c r="N278" i="12"/>
  <c r="AI278" i="12" s="1"/>
  <c r="I278" i="12"/>
  <c r="E278" i="12"/>
  <c r="F278" i="12"/>
  <c r="L278" i="12"/>
  <c r="M278" i="12" l="1"/>
  <c r="V279" i="12"/>
  <c r="W279" i="12"/>
  <c r="X279" i="12"/>
  <c r="D279" i="12"/>
  <c r="A279" i="12"/>
  <c r="AH279" i="12"/>
  <c r="AD279" i="12"/>
  <c r="O279" i="12" l="1"/>
  <c r="S279" i="12"/>
  <c r="H279" i="12" s="1"/>
  <c r="T279" i="12"/>
  <c r="J279" i="12" s="1"/>
  <c r="U279" i="12"/>
  <c r="K279" i="12" s="1"/>
  <c r="N279" i="12"/>
  <c r="AI279" i="12" s="1"/>
  <c r="E279" i="12"/>
  <c r="F279" i="12"/>
  <c r="I279" i="12"/>
  <c r="C280" i="12"/>
  <c r="Y280" i="12" s="1"/>
  <c r="Q279" i="12"/>
  <c r="L279" i="12"/>
  <c r="P279" i="12"/>
  <c r="R279" i="12"/>
  <c r="G279" i="12" s="1"/>
  <c r="B280" i="12"/>
  <c r="AE280" i="12" s="1"/>
  <c r="M279" i="12" l="1"/>
  <c r="V280" i="12"/>
  <c r="W280" i="12"/>
  <c r="X280" i="12"/>
  <c r="D280" i="12"/>
  <c r="AD280" i="12"/>
  <c r="AH280" i="12"/>
  <c r="A280" i="12"/>
  <c r="R280" i="12" l="1"/>
  <c r="G280" i="12" s="1"/>
  <c r="S280" i="12"/>
  <c r="H280" i="12" s="1"/>
  <c r="Q280" i="12"/>
  <c r="T280" i="12"/>
  <c r="J280" i="12" s="1"/>
  <c r="U280" i="12"/>
  <c r="K280" i="12" s="1"/>
  <c r="I280" i="12"/>
  <c r="L280" i="12"/>
  <c r="O280" i="12"/>
  <c r="E280" i="12"/>
  <c r="F280" i="12"/>
  <c r="N280" i="12"/>
  <c r="AI280" i="12" s="1"/>
  <c r="P280" i="12"/>
  <c r="C281" i="12"/>
  <c r="Y281" i="12" s="1"/>
  <c r="B281" i="12"/>
  <c r="AE281" i="12" s="1"/>
  <c r="M280" i="12" l="1"/>
  <c r="AH281" i="12"/>
  <c r="V281" i="12"/>
  <c r="W281" i="12"/>
  <c r="X281" i="12"/>
  <c r="AD281" i="12"/>
  <c r="A281" i="12"/>
  <c r="D281" i="12"/>
  <c r="E281" i="12" l="1"/>
  <c r="N281" i="12"/>
  <c r="AI281" i="12" s="1"/>
  <c r="O281" i="12"/>
  <c r="Q281" i="12"/>
  <c r="R281" i="12"/>
  <c r="G281" i="12" s="1"/>
  <c r="S281" i="12"/>
  <c r="H281" i="12" s="1"/>
  <c r="T281" i="12"/>
  <c r="J281" i="12" s="1"/>
  <c r="U281" i="12"/>
  <c r="K281" i="12" s="1"/>
  <c r="B282" i="12"/>
  <c r="AE282" i="12" s="1"/>
  <c r="C282" i="12"/>
  <c r="Y282" i="12" s="1"/>
  <c r="L281" i="12"/>
  <c r="I281" i="12"/>
  <c r="P281" i="12"/>
  <c r="F281" i="12"/>
  <c r="M281" i="12" l="1"/>
  <c r="X282" i="12"/>
  <c r="AH282" i="12"/>
  <c r="A282" i="12"/>
  <c r="D282" i="12"/>
  <c r="V282" i="12"/>
  <c r="W282" i="12"/>
  <c r="AD282" i="12"/>
  <c r="O282" i="12" l="1"/>
  <c r="P282" i="12"/>
  <c r="Q282" i="12"/>
  <c r="R282" i="12"/>
  <c r="G282" i="12" s="1"/>
  <c r="S282" i="12"/>
  <c r="H282" i="12" s="1"/>
  <c r="B283" i="12"/>
  <c r="AE283" i="12" s="1"/>
  <c r="C283" i="12"/>
  <c r="Y283" i="12" s="1"/>
  <c r="E282" i="12"/>
  <c r="L282" i="12"/>
  <c r="I282" i="12"/>
  <c r="F282" i="12"/>
  <c r="U282" i="12"/>
  <c r="K282" i="12" s="1"/>
  <c r="N282" i="12"/>
  <c r="AI282" i="12" s="1"/>
  <c r="T282" i="12"/>
  <c r="J282" i="12" s="1"/>
  <c r="M282" i="12" l="1"/>
  <c r="A283" i="12"/>
  <c r="D283" i="12"/>
  <c r="W283" i="12"/>
  <c r="V283" i="12"/>
  <c r="AH283" i="12"/>
  <c r="X283" i="12"/>
  <c r="AD283" i="12"/>
  <c r="S283" i="12" l="1"/>
  <c r="H283" i="12" s="1"/>
  <c r="F283" i="12"/>
  <c r="B284" i="12"/>
  <c r="AE284" i="12" s="1"/>
  <c r="C284" i="12"/>
  <c r="Y284" i="12" s="1"/>
  <c r="N283" i="12"/>
  <c r="AI283" i="12" s="1"/>
  <c r="O283" i="12"/>
  <c r="P283" i="12"/>
  <c r="Q283" i="12"/>
  <c r="R283" i="12"/>
  <c r="G283" i="12" s="1"/>
  <c r="T283" i="12"/>
  <c r="J283" i="12" s="1"/>
  <c r="U283" i="12"/>
  <c r="K283" i="12" s="1"/>
  <c r="E283" i="12"/>
  <c r="L283" i="12"/>
  <c r="I283" i="12"/>
  <c r="M283" i="12" l="1"/>
  <c r="AH284" i="12"/>
  <c r="D284" i="12"/>
  <c r="V284" i="12"/>
  <c r="AD284" i="12"/>
  <c r="W284" i="12"/>
  <c r="A284" i="12"/>
  <c r="X284" i="12"/>
  <c r="N284" i="12" l="1"/>
  <c r="AI284" i="12" s="1"/>
  <c r="L284" i="12"/>
  <c r="O284" i="12"/>
  <c r="P284" i="12"/>
  <c r="F284" i="12"/>
  <c r="I284" i="12"/>
  <c r="Q284" i="12"/>
  <c r="S284" i="12"/>
  <c r="H284" i="12" s="1"/>
  <c r="B285" i="12"/>
  <c r="AE285" i="12" s="1"/>
  <c r="C285" i="12"/>
  <c r="Y285" i="12" s="1"/>
  <c r="T284" i="12"/>
  <c r="J284" i="12" s="1"/>
  <c r="E284" i="12"/>
  <c r="R284" i="12"/>
  <c r="G284" i="12" s="1"/>
  <c r="U284" i="12"/>
  <c r="K284" i="12" s="1"/>
  <c r="M284" i="12" l="1"/>
  <c r="W285" i="12"/>
  <c r="X285" i="12"/>
  <c r="V285" i="12"/>
  <c r="AD285" i="12"/>
  <c r="D285" i="12"/>
  <c r="AH285" i="12"/>
  <c r="A285" i="12"/>
  <c r="I285" i="12" l="1"/>
  <c r="L285" i="12"/>
  <c r="N285" i="12"/>
  <c r="AI285" i="12" s="1"/>
  <c r="P285" i="12"/>
  <c r="Q285" i="12"/>
  <c r="S285" i="12"/>
  <c r="H285" i="12" s="1"/>
  <c r="T285" i="12"/>
  <c r="J285" i="12" s="1"/>
  <c r="U285" i="12"/>
  <c r="K285" i="12" s="1"/>
  <c r="F285" i="12"/>
  <c r="O285" i="12"/>
  <c r="R285" i="12"/>
  <c r="G285" i="12" s="1"/>
  <c r="E285" i="12"/>
  <c r="C286" i="12"/>
  <c r="Y286" i="12" s="1"/>
  <c r="B286" i="12"/>
  <c r="AE286" i="12" s="1"/>
  <c r="M285" i="12" l="1"/>
  <c r="D286" i="12"/>
  <c r="AH286" i="12"/>
  <c r="V286" i="12"/>
  <c r="AD286" i="12"/>
  <c r="W286" i="12"/>
  <c r="X286" i="12"/>
  <c r="A286" i="12"/>
  <c r="S286" i="12" l="1"/>
  <c r="H286" i="12" s="1"/>
  <c r="T286" i="12"/>
  <c r="J286" i="12" s="1"/>
  <c r="I286" i="12"/>
  <c r="L286" i="12"/>
  <c r="U286" i="12"/>
  <c r="K286" i="12" s="1"/>
  <c r="C287" i="12"/>
  <c r="Y287" i="12" s="1"/>
  <c r="R286" i="12"/>
  <c r="G286" i="12" s="1"/>
  <c r="B287" i="12"/>
  <c r="AE287" i="12" s="1"/>
  <c r="Q286" i="12"/>
  <c r="E286" i="12"/>
  <c r="F286" i="12"/>
  <c r="P286" i="12"/>
  <c r="N286" i="12"/>
  <c r="AI286" i="12" s="1"/>
  <c r="O286" i="12"/>
  <c r="M286" i="12" l="1"/>
  <c r="W287" i="12"/>
  <c r="AD287" i="12"/>
  <c r="A287" i="12"/>
  <c r="D287" i="12"/>
  <c r="AH287" i="12"/>
  <c r="V287" i="12"/>
  <c r="X287" i="12"/>
  <c r="O287" i="12" l="1"/>
  <c r="P287" i="12"/>
  <c r="F287" i="12"/>
  <c r="I287" i="12"/>
  <c r="C288" i="12"/>
  <c r="Y288" i="12" s="1"/>
  <c r="L287" i="12"/>
  <c r="E287" i="12"/>
  <c r="N287" i="12"/>
  <c r="AI287" i="12" s="1"/>
  <c r="T287" i="12"/>
  <c r="J287" i="12" s="1"/>
  <c r="U287" i="12"/>
  <c r="K287" i="12" s="1"/>
  <c r="B288" i="12"/>
  <c r="AE288" i="12" s="1"/>
  <c r="R287" i="12"/>
  <c r="G287" i="12" s="1"/>
  <c r="S287" i="12"/>
  <c r="H287" i="12" s="1"/>
  <c r="Q287" i="12"/>
  <c r="M287" i="12" l="1"/>
  <c r="D288" i="12"/>
  <c r="AH288" i="12"/>
  <c r="AD288" i="12"/>
  <c r="V288" i="12"/>
  <c r="W288" i="12"/>
  <c r="X288" i="12"/>
  <c r="A288" i="12"/>
  <c r="R288" i="12" l="1"/>
  <c r="G288" i="12" s="1"/>
  <c r="L288" i="12"/>
  <c r="B289" i="12"/>
  <c r="AE289" i="12" s="1"/>
  <c r="E288" i="12"/>
  <c r="C289" i="12"/>
  <c r="Y289" i="12" s="1"/>
  <c r="F288" i="12"/>
  <c r="I288" i="12"/>
  <c r="O288" i="12"/>
  <c r="P288" i="12"/>
  <c r="Q288" i="12"/>
  <c r="S288" i="12"/>
  <c r="H288" i="12" s="1"/>
  <c r="U288" i="12"/>
  <c r="K288" i="12" s="1"/>
  <c r="T288" i="12"/>
  <c r="J288" i="12" s="1"/>
  <c r="N288" i="12"/>
  <c r="AI288" i="12" s="1"/>
  <c r="M288" i="12" l="1"/>
  <c r="D289" i="12"/>
  <c r="AH289" i="12"/>
  <c r="A289" i="12"/>
  <c r="X289" i="12"/>
  <c r="V289" i="12"/>
  <c r="W289" i="12"/>
  <c r="AD289" i="12"/>
  <c r="C290" i="12" l="1"/>
  <c r="Y290" i="12" s="1"/>
  <c r="B290" i="12"/>
  <c r="AE290" i="12" s="1"/>
  <c r="E289" i="12"/>
  <c r="F289" i="12"/>
  <c r="P289" i="12"/>
  <c r="Q289" i="12"/>
  <c r="R289" i="12"/>
  <c r="G289" i="12" s="1"/>
  <c r="S289" i="12"/>
  <c r="H289" i="12" s="1"/>
  <c r="U289" i="12"/>
  <c r="K289" i="12" s="1"/>
  <c r="I289" i="12"/>
  <c r="L289" i="12"/>
  <c r="T289" i="12"/>
  <c r="J289" i="12" s="1"/>
  <c r="N289" i="12"/>
  <c r="AI289" i="12" s="1"/>
  <c r="O289" i="12"/>
  <c r="M289" i="12" l="1"/>
  <c r="AH290" i="12"/>
  <c r="D290" i="12"/>
  <c r="A290" i="12"/>
  <c r="V290" i="12"/>
  <c r="W290" i="12"/>
  <c r="X290" i="12"/>
  <c r="AD290" i="12"/>
  <c r="C291" i="12" l="1"/>
  <c r="Y291" i="12" s="1"/>
  <c r="B291" i="12"/>
  <c r="AE291" i="12" s="1"/>
  <c r="E290" i="12"/>
  <c r="F290" i="12"/>
  <c r="U290" i="12"/>
  <c r="K290" i="12" s="1"/>
  <c r="O290" i="12"/>
  <c r="I290" i="12"/>
  <c r="L290" i="12"/>
  <c r="P290" i="12"/>
  <c r="Q290" i="12"/>
  <c r="N290" i="12"/>
  <c r="AI290" i="12" s="1"/>
  <c r="R290" i="12"/>
  <c r="G290" i="12" s="1"/>
  <c r="S290" i="12"/>
  <c r="H290" i="12" s="1"/>
  <c r="T290" i="12"/>
  <c r="J290" i="12" s="1"/>
  <c r="M290" i="12" l="1"/>
  <c r="X291" i="12"/>
  <c r="AH291" i="12"/>
  <c r="A291" i="12"/>
  <c r="D291" i="12"/>
  <c r="V291" i="12"/>
  <c r="W291" i="12"/>
  <c r="AD291" i="12"/>
  <c r="B292" i="12" l="1"/>
  <c r="AE292" i="12" s="1"/>
  <c r="E291" i="12"/>
  <c r="C292" i="12"/>
  <c r="Y292" i="12" s="1"/>
  <c r="N291" i="12"/>
  <c r="AI291" i="12" s="1"/>
  <c r="R291" i="12"/>
  <c r="G291" i="12" s="1"/>
  <c r="S291" i="12"/>
  <c r="H291" i="12" s="1"/>
  <c r="T291" i="12"/>
  <c r="J291" i="12" s="1"/>
  <c r="U291" i="12"/>
  <c r="K291" i="12" s="1"/>
  <c r="O291" i="12"/>
  <c r="P291" i="12"/>
  <c r="F291" i="12"/>
  <c r="Q291" i="12"/>
  <c r="I291" i="12"/>
  <c r="L291" i="12"/>
  <c r="M291" i="12" l="1"/>
  <c r="V292" i="12"/>
  <c r="AD292" i="12"/>
  <c r="A292" i="12"/>
  <c r="AH292" i="12"/>
  <c r="D292" i="12"/>
  <c r="W292" i="12"/>
  <c r="X292" i="12"/>
  <c r="T292" i="12" l="1"/>
  <c r="J292" i="12" s="1"/>
  <c r="U292" i="12"/>
  <c r="K292" i="12" s="1"/>
  <c r="P292" i="12"/>
  <c r="Q292" i="12"/>
  <c r="E292" i="12"/>
  <c r="F292" i="12"/>
  <c r="I292" i="12"/>
  <c r="B293" i="12"/>
  <c r="AE293" i="12" s="1"/>
  <c r="S292" i="12"/>
  <c r="H292" i="12" s="1"/>
  <c r="L292" i="12"/>
  <c r="N292" i="12"/>
  <c r="AI292" i="12" s="1"/>
  <c r="O292" i="12"/>
  <c r="R292" i="12"/>
  <c r="G292" i="12" s="1"/>
  <c r="C293" i="12"/>
  <c r="Y293" i="12" s="1"/>
  <c r="M292" i="12" l="1"/>
  <c r="X293" i="12"/>
  <c r="AD293" i="12"/>
  <c r="A293" i="12"/>
  <c r="AH293" i="12"/>
  <c r="V293" i="12"/>
  <c r="W293" i="12"/>
  <c r="D293" i="12"/>
  <c r="Q293" i="12" l="1"/>
  <c r="P293" i="12"/>
  <c r="R293" i="12"/>
  <c r="G293" i="12" s="1"/>
  <c r="L293" i="12"/>
  <c r="O293" i="12"/>
  <c r="B294" i="12"/>
  <c r="AE294" i="12" s="1"/>
  <c r="I293" i="12"/>
  <c r="S293" i="12"/>
  <c r="H293" i="12" s="1"/>
  <c r="N293" i="12"/>
  <c r="AI293" i="12" s="1"/>
  <c r="T293" i="12"/>
  <c r="J293" i="12" s="1"/>
  <c r="U293" i="12"/>
  <c r="K293" i="12" s="1"/>
  <c r="E293" i="12"/>
  <c r="F293" i="12"/>
  <c r="C294" i="12"/>
  <c r="Y294" i="12" s="1"/>
  <c r="M293" i="12" l="1"/>
  <c r="V294" i="12"/>
  <c r="W294" i="12"/>
  <c r="X294" i="12"/>
  <c r="A294" i="12"/>
  <c r="D294" i="12"/>
  <c r="AD294" i="12"/>
  <c r="AH294" i="12"/>
  <c r="L294" i="12" l="1"/>
  <c r="U294" i="12"/>
  <c r="K294" i="12" s="1"/>
  <c r="Q294" i="12"/>
  <c r="R294" i="12"/>
  <c r="G294" i="12" s="1"/>
  <c r="S294" i="12"/>
  <c r="H294" i="12" s="1"/>
  <c r="T294" i="12"/>
  <c r="J294" i="12" s="1"/>
  <c r="B295" i="12"/>
  <c r="AE295" i="12" s="1"/>
  <c r="C295" i="12"/>
  <c r="Y295" i="12" s="1"/>
  <c r="N294" i="12"/>
  <c r="AI294" i="12" s="1"/>
  <c r="O294" i="12"/>
  <c r="P294" i="12"/>
  <c r="F294" i="12"/>
  <c r="E294" i="12"/>
  <c r="I294" i="12"/>
  <c r="M294" i="12" l="1"/>
  <c r="A295" i="12"/>
  <c r="AD295" i="12"/>
  <c r="AH295" i="12"/>
  <c r="D295" i="12"/>
  <c r="W295" i="12"/>
  <c r="X295" i="12"/>
  <c r="V295" i="12"/>
  <c r="B296" i="12" l="1"/>
  <c r="AE296" i="12" s="1"/>
  <c r="C296" i="12"/>
  <c r="Y296" i="12" s="1"/>
  <c r="R295" i="12"/>
  <c r="G295" i="12" s="1"/>
  <c r="S295" i="12"/>
  <c r="H295" i="12" s="1"/>
  <c r="T295" i="12"/>
  <c r="J295" i="12" s="1"/>
  <c r="U295" i="12"/>
  <c r="K295" i="12" s="1"/>
  <c r="F295" i="12"/>
  <c r="E295" i="12"/>
  <c r="I295" i="12"/>
  <c r="L295" i="12"/>
  <c r="N295" i="12"/>
  <c r="AI295" i="12" s="1"/>
  <c r="P295" i="12"/>
  <c r="Q295" i="12"/>
  <c r="O295" i="12"/>
  <c r="M295" i="12" l="1"/>
  <c r="AD296" i="12"/>
  <c r="A296" i="12"/>
  <c r="D296" i="12"/>
  <c r="X296" i="12"/>
  <c r="V296" i="12"/>
  <c r="W296" i="12"/>
  <c r="AH296" i="12"/>
  <c r="O296" i="12" l="1"/>
  <c r="P296" i="12"/>
  <c r="Q296" i="12"/>
  <c r="R296" i="12"/>
  <c r="G296" i="12" s="1"/>
  <c r="B297" i="12"/>
  <c r="AE297" i="12" s="1"/>
  <c r="C297" i="12"/>
  <c r="Y297" i="12" s="1"/>
  <c r="E296" i="12"/>
  <c r="L296" i="12"/>
  <c r="T296" i="12"/>
  <c r="J296" i="12" s="1"/>
  <c r="N296" i="12"/>
  <c r="AI296" i="12" s="1"/>
  <c r="S296" i="12"/>
  <c r="H296" i="12" s="1"/>
  <c r="U296" i="12"/>
  <c r="K296" i="12" s="1"/>
  <c r="I296" i="12"/>
  <c r="F296" i="12"/>
  <c r="M296" i="12" l="1"/>
  <c r="V297" i="12"/>
  <c r="D297" i="12"/>
  <c r="A297" i="12"/>
  <c r="AD297" i="12"/>
  <c r="AH297" i="12"/>
  <c r="W297" i="12"/>
  <c r="X297" i="12"/>
  <c r="U297" i="12" l="1"/>
  <c r="K297" i="12" s="1"/>
  <c r="L297" i="12"/>
  <c r="N297" i="12"/>
  <c r="AI297" i="12" s="1"/>
  <c r="O297" i="12"/>
  <c r="E297" i="12"/>
  <c r="F297" i="12"/>
  <c r="B298" i="12"/>
  <c r="AE298" i="12" s="1"/>
  <c r="C298" i="12"/>
  <c r="Y298" i="12" s="1"/>
  <c r="I297" i="12"/>
  <c r="T297" i="12"/>
  <c r="J297" i="12" s="1"/>
  <c r="Q297" i="12"/>
  <c r="P297" i="12"/>
  <c r="R297" i="12"/>
  <c r="G297" i="12" s="1"/>
  <c r="S297" i="12"/>
  <c r="H297" i="12" s="1"/>
  <c r="M297" i="12" l="1"/>
  <c r="D298" i="12"/>
  <c r="A298" i="12"/>
  <c r="W298" i="12"/>
  <c r="AD298" i="12"/>
  <c r="AH298" i="12"/>
  <c r="V298" i="12"/>
  <c r="X298" i="12"/>
  <c r="P298" i="12" l="1"/>
  <c r="Q298" i="12"/>
  <c r="I298" i="12"/>
  <c r="L298" i="12"/>
  <c r="E298" i="12"/>
  <c r="F298" i="12"/>
  <c r="O298" i="12"/>
  <c r="N298" i="12"/>
  <c r="AI298" i="12" s="1"/>
  <c r="R298" i="12"/>
  <c r="G298" i="12" s="1"/>
  <c r="S298" i="12"/>
  <c r="H298" i="12" s="1"/>
  <c r="U298" i="12"/>
  <c r="K298" i="12" s="1"/>
  <c r="T298" i="12"/>
  <c r="J298" i="12" s="1"/>
  <c r="C299" i="12"/>
  <c r="Y299" i="12" s="1"/>
  <c r="B299" i="12"/>
  <c r="AE299" i="12" s="1"/>
  <c r="M298" i="12" l="1"/>
  <c r="V299" i="12"/>
  <c r="AD299" i="12"/>
  <c r="W299" i="12"/>
  <c r="X299" i="12"/>
  <c r="D299" i="12"/>
  <c r="AH299" i="12"/>
  <c r="A299" i="12"/>
  <c r="L299" i="12" l="1"/>
  <c r="F299" i="12"/>
  <c r="C300" i="12"/>
  <c r="Y300" i="12" s="1"/>
  <c r="I299" i="12"/>
  <c r="O299" i="12"/>
  <c r="Q299" i="12"/>
  <c r="P299" i="12"/>
  <c r="R299" i="12"/>
  <c r="G299" i="12" s="1"/>
  <c r="T299" i="12"/>
  <c r="J299" i="12" s="1"/>
  <c r="E299" i="12"/>
  <c r="N299" i="12"/>
  <c r="AI299" i="12" s="1"/>
  <c r="S299" i="12"/>
  <c r="H299" i="12" s="1"/>
  <c r="U299" i="12"/>
  <c r="K299" i="12" s="1"/>
  <c r="B300" i="12"/>
  <c r="AE300" i="12" s="1"/>
  <c r="M299" i="12" l="1"/>
  <c r="D300" i="12"/>
  <c r="W300" i="12"/>
  <c r="AD300" i="12"/>
  <c r="AH300" i="12"/>
  <c r="X300" i="12"/>
  <c r="A300" i="12"/>
  <c r="V300" i="12"/>
  <c r="F300" i="12" l="1"/>
  <c r="B301" i="12"/>
  <c r="AE301" i="12" s="1"/>
  <c r="C301" i="12"/>
  <c r="Y301" i="12" s="1"/>
  <c r="E300" i="12"/>
  <c r="N300" i="12"/>
  <c r="AI300" i="12" s="1"/>
  <c r="R300" i="12"/>
  <c r="G300" i="12" s="1"/>
  <c r="S300" i="12"/>
  <c r="H300" i="12" s="1"/>
  <c r="T300" i="12"/>
  <c r="J300" i="12" s="1"/>
  <c r="U300" i="12"/>
  <c r="K300" i="12" s="1"/>
  <c r="P300" i="12"/>
  <c r="Q300" i="12"/>
  <c r="L300" i="12"/>
  <c r="O300" i="12"/>
  <c r="I300" i="12"/>
  <c r="M300" i="12" l="1"/>
  <c r="A301" i="12"/>
  <c r="AD301" i="12"/>
  <c r="AH301" i="12"/>
  <c r="D301" i="12"/>
  <c r="V301" i="12"/>
  <c r="W301" i="12"/>
  <c r="X301" i="12"/>
  <c r="E301" i="12" l="1"/>
  <c r="B302" i="12"/>
  <c r="AE302" i="12" s="1"/>
  <c r="N301" i="12"/>
  <c r="AI301" i="12" s="1"/>
  <c r="O301" i="12"/>
  <c r="U301" i="12"/>
  <c r="K301" i="12" s="1"/>
  <c r="C302" i="12"/>
  <c r="Y302" i="12" s="1"/>
  <c r="L301" i="12"/>
  <c r="F301" i="12"/>
  <c r="I301" i="12"/>
  <c r="R301" i="12"/>
  <c r="G301" i="12" s="1"/>
  <c r="P301" i="12"/>
  <c r="S301" i="12"/>
  <c r="H301" i="12" s="1"/>
  <c r="Q301" i="12"/>
  <c r="T301" i="12"/>
  <c r="J301" i="12" s="1"/>
  <c r="M301" i="12" l="1"/>
  <c r="AD302" i="12"/>
  <c r="A302" i="12"/>
  <c r="AH302" i="12"/>
  <c r="V302" i="12"/>
  <c r="W302" i="12"/>
  <c r="X302" i="12"/>
  <c r="D302" i="12"/>
  <c r="T302" i="12" l="1"/>
  <c r="J302" i="12" s="1"/>
  <c r="U302" i="12"/>
  <c r="K302" i="12" s="1"/>
  <c r="O302" i="12"/>
  <c r="B303" i="12"/>
  <c r="AE303" i="12" s="1"/>
  <c r="C303" i="12"/>
  <c r="Y303" i="12" s="1"/>
  <c r="P302" i="12"/>
  <c r="L302" i="12"/>
  <c r="N302" i="12"/>
  <c r="AI302" i="12" s="1"/>
  <c r="Q302" i="12"/>
  <c r="R302" i="12"/>
  <c r="G302" i="12" s="1"/>
  <c r="S302" i="12"/>
  <c r="H302" i="12" s="1"/>
  <c r="F302" i="12"/>
  <c r="I302" i="12"/>
  <c r="E302" i="12"/>
  <c r="M302" i="12" l="1"/>
  <c r="V303" i="12"/>
  <c r="W303" i="12"/>
  <c r="X303" i="12"/>
  <c r="A303" i="12"/>
  <c r="AD303" i="12"/>
  <c r="AH303" i="12"/>
  <c r="D303" i="12"/>
  <c r="O303" i="12" l="1"/>
  <c r="P303" i="12"/>
  <c r="R303" i="12"/>
  <c r="G303" i="12" s="1"/>
  <c r="B304" i="12"/>
  <c r="AE304" i="12" s="1"/>
  <c r="C304" i="12"/>
  <c r="Y304" i="12" s="1"/>
  <c r="E303" i="12"/>
  <c r="U303" i="12"/>
  <c r="K303" i="12" s="1"/>
  <c r="L303" i="12"/>
  <c r="N303" i="12"/>
  <c r="AI303" i="12" s="1"/>
  <c r="I303" i="12"/>
  <c r="Q303" i="12"/>
  <c r="S303" i="12"/>
  <c r="H303" i="12" s="1"/>
  <c r="F303" i="12"/>
  <c r="T303" i="12"/>
  <c r="J303" i="12" s="1"/>
  <c r="M303" i="12" l="1"/>
  <c r="V304" i="12"/>
  <c r="D304" i="12"/>
  <c r="A304" i="12"/>
  <c r="W304" i="12"/>
  <c r="X304" i="12"/>
  <c r="AD304" i="12"/>
  <c r="AH304" i="12"/>
  <c r="S304" i="12" l="1"/>
  <c r="H304" i="12" s="1"/>
  <c r="T304" i="12"/>
  <c r="J304" i="12" s="1"/>
  <c r="U304" i="12"/>
  <c r="K304" i="12" s="1"/>
  <c r="C305" i="12"/>
  <c r="Y305" i="12" s="1"/>
  <c r="E304" i="12"/>
  <c r="B305" i="12"/>
  <c r="AE305" i="12" s="1"/>
  <c r="I304" i="12"/>
  <c r="L304" i="12"/>
  <c r="F304" i="12"/>
  <c r="R304" i="12"/>
  <c r="G304" i="12" s="1"/>
  <c r="O304" i="12"/>
  <c r="N304" i="12"/>
  <c r="AI304" i="12" s="1"/>
  <c r="P304" i="12"/>
  <c r="Q304" i="12"/>
  <c r="M304" i="12" l="1"/>
  <c r="D305" i="12"/>
  <c r="A305" i="12"/>
  <c r="AH305" i="12"/>
  <c r="V305" i="12"/>
  <c r="AD305" i="12"/>
  <c r="X305" i="12"/>
  <c r="W305" i="12"/>
  <c r="E305" i="12" l="1"/>
  <c r="F305" i="12"/>
  <c r="P305" i="12"/>
  <c r="Q305" i="12"/>
  <c r="U305" i="12"/>
  <c r="K305" i="12" s="1"/>
  <c r="R305" i="12"/>
  <c r="G305" i="12" s="1"/>
  <c r="T305" i="12"/>
  <c r="J305" i="12" s="1"/>
  <c r="I305" i="12"/>
  <c r="L305" i="12"/>
  <c r="S305" i="12"/>
  <c r="H305" i="12" s="1"/>
  <c r="N305" i="12"/>
  <c r="AI305" i="12" s="1"/>
  <c r="O305" i="12"/>
  <c r="B306" i="12"/>
  <c r="AE306" i="12" s="1"/>
  <c r="C306" i="12"/>
  <c r="Y306" i="12" s="1"/>
  <c r="M305" i="12" l="1"/>
  <c r="X306" i="12"/>
  <c r="A306" i="12"/>
  <c r="AH306" i="12"/>
  <c r="V306" i="12"/>
  <c r="W306" i="12"/>
  <c r="AD306" i="12"/>
  <c r="D306" i="12"/>
  <c r="N306" i="12" l="1"/>
  <c r="AI306" i="12" s="1"/>
  <c r="T306" i="12"/>
  <c r="J306" i="12" s="1"/>
  <c r="E306" i="12"/>
  <c r="F306" i="12"/>
  <c r="P306" i="12"/>
  <c r="Q306" i="12"/>
  <c r="R306" i="12"/>
  <c r="G306" i="12" s="1"/>
  <c r="U306" i="12"/>
  <c r="K306" i="12" s="1"/>
  <c r="S306" i="12"/>
  <c r="H306" i="12" s="1"/>
  <c r="B307" i="12"/>
  <c r="AE307" i="12" s="1"/>
  <c r="C307" i="12"/>
  <c r="Y307" i="12" s="1"/>
  <c r="I306" i="12"/>
  <c r="L306" i="12"/>
  <c r="O306" i="12"/>
  <c r="M306" i="12" l="1"/>
  <c r="X307" i="12"/>
  <c r="AD307" i="12"/>
  <c r="AH307" i="12"/>
  <c r="A307" i="12"/>
  <c r="D307" i="12"/>
  <c r="W307" i="12"/>
  <c r="V307" i="12"/>
  <c r="S307" i="12" l="1"/>
  <c r="H307" i="12" s="1"/>
  <c r="T307" i="12"/>
  <c r="J307" i="12" s="1"/>
  <c r="U307" i="12"/>
  <c r="K307" i="12" s="1"/>
  <c r="E307" i="12"/>
  <c r="F307" i="12"/>
  <c r="L307" i="12"/>
  <c r="B308" i="12"/>
  <c r="AE308" i="12" s="1"/>
  <c r="C308" i="12"/>
  <c r="Y308" i="12" s="1"/>
  <c r="O307" i="12"/>
  <c r="Q307" i="12"/>
  <c r="R307" i="12"/>
  <c r="G307" i="12" s="1"/>
  <c r="I307" i="12"/>
  <c r="P307" i="12"/>
  <c r="N307" i="12"/>
  <c r="AI307" i="12" s="1"/>
  <c r="M307" i="12" l="1"/>
  <c r="A308" i="12"/>
  <c r="D308" i="12"/>
  <c r="AD308" i="12"/>
  <c r="AH308" i="12"/>
  <c r="W308" i="12"/>
  <c r="V308" i="12"/>
  <c r="X308" i="12"/>
  <c r="N308" i="12" l="1"/>
  <c r="AI308" i="12" s="1"/>
  <c r="O308" i="12"/>
  <c r="T308" i="12"/>
  <c r="J308" i="12" s="1"/>
  <c r="E308" i="12"/>
  <c r="F308" i="12"/>
  <c r="I308" i="12"/>
  <c r="L308" i="12"/>
  <c r="B309" i="12"/>
  <c r="AE309" i="12" s="1"/>
  <c r="C309" i="12"/>
  <c r="Y309" i="12" s="1"/>
  <c r="U308" i="12"/>
  <c r="K308" i="12" s="1"/>
  <c r="R308" i="12"/>
  <c r="G308" i="12" s="1"/>
  <c r="S308" i="12"/>
  <c r="H308" i="12" s="1"/>
  <c r="P308" i="12"/>
  <c r="Q308" i="12"/>
  <c r="M308" i="12" l="1"/>
  <c r="D309" i="12"/>
  <c r="A309" i="12"/>
  <c r="AH309" i="12"/>
  <c r="AD309" i="12"/>
  <c r="X309" i="12"/>
  <c r="V309" i="12"/>
  <c r="W309" i="12"/>
  <c r="I309" i="12" l="1"/>
  <c r="E309" i="12"/>
  <c r="B310" i="12"/>
  <c r="AE310" i="12" s="1"/>
  <c r="S309" i="12"/>
  <c r="H309" i="12" s="1"/>
  <c r="L309" i="12"/>
  <c r="N309" i="12"/>
  <c r="AI309" i="12" s="1"/>
  <c r="F309" i="12"/>
  <c r="Q309" i="12"/>
  <c r="R309" i="12"/>
  <c r="G309" i="12" s="1"/>
  <c r="P309" i="12"/>
  <c r="O309" i="12"/>
  <c r="U309" i="12"/>
  <c r="K309" i="12" s="1"/>
  <c r="C310" i="12"/>
  <c r="Y310" i="12" s="1"/>
  <c r="T309" i="12"/>
  <c r="J309" i="12" s="1"/>
  <c r="M309" i="12" l="1"/>
  <c r="D310" i="12"/>
  <c r="AH310" i="12"/>
  <c r="A310" i="12"/>
  <c r="V310" i="12"/>
  <c r="W310" i="12"/>
  <c r="X310" i="12"/>
  <c r="AD310" i="12"/>
  <c r="E310" i="12" l="1"/>
  <c r="R310" i="12"/>
  <c r="G310" i="12" s="1"/>
  <c r="I310" i="12"/>
  <c r="L310" i="12"/>
  <c r="N310" i="12"/>
  <c r="AI310" i="12" s="1"/>
  <c r="O310" i="12"/>
  <c r="S310" i="12"/>
  <c r="H310" i="12" s="1"/>
  <c r="P310" i="12"/>
  <c r="Q310" i="12"/>
  <c r="T310" i="12"/>
  <c r="J310" i="12" s="1"/>
  <c r="U310" i="12"/>
  <c r="K310" i="12" s="1"/>
  <c r="C311" i="12"/>
  <c r="Y311" i="12" s="1"/>
  <c r="F310" i="12"/>
  <c r="B311" i="12"/>
  <c r="AE311" i="12" s="1"/>
  <c r="M310" i="12" l="1"/>
  <c r="W311" i="12"/>
  <c r="X311" i="12"/>
  <c r="AD311" i="12"/>
  <c r="A311" i="12"/>
  <c r="V311" i="12"/>
  <c r="AH311" i="12"/>
  <c r="D311" i="12"/>
  <c r="Q311" i="12" l="1"/>
  <c r="I311" i="12"/>
  <c r="L311" i="12"/>
  <c r="N311" i="12"/>
  <c r="AI311" i="12" s="1"/>
  <c r="T311" i="12"/>
  <c r="J311" i="12" s="1"/>
  <c r="B312" i="12"/>
  <c r="AE312" i="12" s="1"/>
  <c r="U311" i="12"/>
  <c r="K311" i="12" s="1"/>
  <c r="C312" i="12"/>
  <c r="Y312" i="12" s="1"/>
  <c r="O311" i="12"/>
  <c r="P311" i="12"/>
  <c r="R311" i="12"/>
  <c r="G311" i="12" s="1"/>
  <c r="S311" i="12"/>
  <c r="H311" i="12" s="1"/>
  <c r="F311" i="12"/>
  <c r="E311" i="12"/>
  <c r="M311" i="12" l="1"/>
  <c r="W312" i="12"/>
  <c r="X312" i="12"/>
  <c r="D312" i="12"/>
  <c r="A312" i="12"/>
  <c r="V312" i="12"/>
  <c r="AD312" i="12"/>
  <c r="AH312" i="12"/>
  <c r="R312" i="12" l="1"/>
  <c r="G312" i="12" s="1"/>
  <c r="S312" i="12"/>
  <c r="H312" i="12" s="1"/>
  <c r="P312" i="12"/>
  <c r="I312" i="12"/>
  <c r="L312" i="12"/>
  <c r="N312" i="12"/>
  <c r="AI312" i="12" s="1"/>
  <c r="B313" i="12"/>
  <c r="AE313" i="12" s="1"/>
  <c r="C313" i="12"/>
  <c r="Y313" i="12" s="1"/>
  <c r="O312" i="12"/>
  <c r="E312" i="12"/>
  <c r="U312" i="12"/>
  <c r="K312" i="12" s="1"/>
  <c r="Q312" i="12"/>
  <c r="T312" i="12"/>
  <c r="J312" i="12" s="1"/>
  <c r="F312" i="12"/>
  <c r="M312" i="12" l="1"/>
  <c r="A313" i="12"/>
  <c r="D313" i="12"/>
  <c r="W313" i="12"/>
  <c r="X313" i="12"/>
  <c r="AD313" i="12"/>
  <c r="AH313" i="12"/>
  <c r="V313" i="12"/>
  <c r="N313" i="12" l="1"/>
  <c r="AI313" i="12" s="1"/>
  <c r="T313" i="12"/>
  <c r="J313" i="12" s="1"/>
  <c r="U313" i="12"/>
  <c r="K313" i="12" s="1"/>
  <c r="Q313" i="12"/>
  <c r="I313" i="12"/>
  <c r="L313" i="12"/>
  <c r="P313" i="12"/>
  <c r="O313" i="12"/>
  <c r="E313" i="12"/>
  <c r="F313" i="12"/>
  <c r="B314" i="12"/>
  <c r="AE314" i="12" s="1"/>
  <c r="R313" i="12"/>
  <c r="G313" i="12" s="1"/>
  <c r="C314" i="12"/>
  <c r="Y314" i="12" s="1"/>
  <c r="S313" i="12"/>
  <c r="H313" i="12" s="1"/>
  <c r="M313" i="12" l="1"/>
  <c r="V314" i="12"/>
  <c r="W314" i="12"/>
  <c r="X314" i="12"/>
  <c r="D314" i="12"/>
  <c r="AD314" i="12"/>
  <c r="A314" i="12"/>
  <c r="AH314" i="12"/>
  <c r="C315" i="12" l="1"/>
  <c r="Y315" i="12" s="1"/>
  <c r="I314" i="12"/>
  <c r="Q314" i="12"/>
  <c r="R314" i="12"/>
  <c r="G314" i="12" s="1"/>
  <c r="P314" i="12"/>
  <c r="L314" i="12"/>
  <c r="N314" i="12"/>
  <c r="AI314" i="12" s="1"/>
  <c r="S314" i="12"/>
  <c r="H314" i="12" s="1"/>
  <c r="E314" i="12"/>
  <c r="F314" i="12"/>
  <c r="O314" i="12"/>
  <c r="T314" i="12"/>
  <c r="J314" i="12" s="1"/>
  <c r="U314" i="12"/>
  <c r="K314" i="12" s="1"/>
  <c r="B315" i="12"/>
  <c r="AE315" i="12" s="1"/>
  <c r="M314" i="12" l="1"/>
  <c r="D315" i="12"/>
  <c r="V315" i="12"/>
  <c r="X315" i="12"/>
  <c r="W315" i="12"/>
  <c r="AH315" i="12"/>
  <c r="AD315" i="12"/>
  <c r="A315" i="12"/>
  <c r="N315" i="12" l="1"/>
  <c r="AI315" i="12" s="1"/>
  <c r="O315" i="12"/>
  <c r="Q315" i="12"/>
  <c r="L315" i="12"/>
  <c r="P315" i="12"/>
  <c r="S315" i="12"/>
  <c r="H315" i="12" s="1"/>
  <c r="T315" i="12"/>
  <c r="J315" i="12" s="1"/>
  <c r="U315" i="12"/>
  <c r="K315" i="12" s="1"/>
  <c r="R315" i="12"/>
  <c r="G315" i="12" s="1"/>
  <c r="C316" i="12"/>
  <c r="Y316" i="12" s="1"/>
  <c r="F315" i="12"/>
  <c r="B316" i="12"/>
  <c r="AE316" i="12" s="1"/>
  <c r="E315" i="12"/>
  <c r="I315" i="12"/>
  <c r="M315" i="12" l="1"/>
  <c r="V316" i="12"/>
  <c r="AD316" i="12"/>
  <c r="A316" i="12"/>
  <c r="AH316" i="12"/>
  <c r="X316" i="12"/>
  <c r="W316" i="12"/>
  <c r="D316" i="12"/>
  <c r="O316" i="12" l="1"/>
  <c r="L316" i="12"/>
  <c r="N316" i="12"/>
  <c r="AI316" i="12" s="1"/>
  <c r="P316" i="12"/>
  <c r="R316" i="12"/>
  <c r="G316" i="12" s="1"/>
  <c r="C317" i="12"/>
  <c r="Y317" i="12" s="1"/>
  <c r="B317" i="12"/>
  <c r="AE317" i="12" s="1"/>
  <c r="Q316" i="12"/>
  <c r="U316" i="12"/>
  <c r="K316" i="12" s="1"/>
  <c r="S316" i="12"/>
  <c r="H316" i="12" s="1"/>
  <c r="E316" i="12"/>
  <c r="I316" i="12"/>
  <c r="T316" i="12"/>
  <c r="J316" i="12" s="1"/>
  <c r="F316" i="12"/>
  <c r="M316" i="12" l="1"/>
  <c r="D317" i="12"/>
  <c r="A317" i="12"/>
  <c r="X317" i="12"/>
  <c r="AD317" i="12"/>
  <c r="AH317" i="12"/>
  <c r="V317" i="12"/>
  <c r="W317" i="12"/>
  <c r="Q317" i="12" l="1"/>
  <c r="F317" i="12"/>
  <c r="B318" i="12"/>
  <c r="AE318" i="12" s="1"/>
  <c r="C318" i="12"/>
  <c r="Y318" i="12" s="1"/>
  <c r="L317" i="12"/>
  <c r="N317" i="12"/>
  <c r="AI317" i="12" s="1"/>
  <c r="O317" i="12"/>
  <c r="R317" i="12"/>
  <c r="G317" i="12" s="1"/>
  <c r="E317" i="12"/>
  <c r="T317" i="12"/>
  <c r="J317" i="12" s="1"/>
  <c r="P317" i="12"/>
  <c r="I317" i="12"/>
  <c r="S317" i="12"/>
  <c r="H317" i="12" s="1"/>
  <c r="U317" i="12"/>
  <c r="K317" i="12" s="1"/>
  <c r="M317" i="12" l="1"/>
  <c r="AH318" i="12"/>
  <c r="A318" i="12"/>
  <c r="D318" i="12"/>
  <c r="W318" i="12"/>
  <c r="V318" i="12"/>
  <c r="X318" i="12"/>
  <c r="AD318" i="12"/>
  <c r="L318" i="12" l="1"/>
  <c r="N318" i="12"/>
  <c r="AI318" i="12" s="1"/>
  <c r="O318" i="12"/>
  <c r="Q318" i="12"/>
  <c r="I318" i="12"/>
  <c r="P318" i="12"/>
  <c r="R318" i="12"/>
  <c r="G318" i="12" s="1"/>
  <c r="E318" i="12"/>
  <c r="F318" i="12"/>
  <c r="C319" i="12"/>
  <c r="Y319" i="12" s="1"/>
  <c r="U318" i="12"/>
  <c r="K318" i="12" s="1"/>
  <c r="S318" i="12"/>
  <c r="H318" i="12" s="1"/>
  <c r="T318" i="12"/>
  <c r="J318" i="12" s="1"/>
  <c r="B319" i="12"/>
  <c r="AE319" i="12" s="1"/>
  <c r="M318" i="12" l="1"/>
  <c r="W319" i="12"/>
  <c r="X319" i="12"/>
  <c r="V319" i="12"/>
  <c r="A319" i="12"/>
  <c r="AD319" i="12"/>
  <c r="D319" i="12"/>
  <c r="AH319" i="12"/>
  <c r="B320" i="12" l="1"/>
  <c r="AE320" i="12" s="1"/>
  <c r="L319" i="12"/>
  <c r="N319" i="12"/>
  <c r="AI319" i="12" s="1"/>
  <c r="P319" i="12"/>
  <c r="F319" i="12"/>
  <c r="Q319" i="12"/>
  <c r="I319" i="12"/>
  <c r="O319" i="12"/>
  <c r="U319" i="12"/>
  <c r="K319" i="12" s="1"/>
  <c r="R319" i="12"/>
  <c r="G319" i="12" s="1"/>
  <c r="S319" i="12"/>
  <c r="H319" i="12" s="1"/>
  <c r="T319" i="12"/>
  <c r="J319" i="12" s="1"/>
  <c r="C320" i="12"/>
  <c r="Y320" i="12" s="1"/>
  <c r="E319" i="12"/>
  <c r="M319" i="12" l="1"/>
  <c r="AD320" i="12"/>
  <c r="W320" i="12"/>
  <c r="V320" i="12"/>
  <c r="X320" i="12"/>
  <c r="AH320" i="12"/>
  <c r="A320" i="12"/>
  <c r="D320" i="12"/>
  <c r="S320" i="12" l="1"/>
  <c r="H320" i="12" s="1"/>
  <c r="T320" i="12"/>
  <c r="J320" i="12" s="1"/>
  <c r="L320" i="12"/>
  <c r="O320" i="12"/>
  <c r="Q320" i="12"/>
  <c r="R320" i="12"/>
  <c r="G320" i="12" s="1"/>
  <c r="U320" i="12"/>
  <c r="K320" i="12" s="1"/>
  <c r="N320" i="12"/>
  <c r="AI320" i="12" s="1"/>
  <c r="B321" i="12"/>
  <c r="AE321" i="12" s="1"/>
  <c r="C321" i="12"/>
  <c r="Y321" i="12" s="1"/>
  <c r="E320" i="12"/>
  <c r="F320" i="12"/>
  <c r="I320" i="12"/>
  <c r="P320" i="12"/>
  <c r="M320" i="12" l="1"/>
  <c r="X321" i="12"/>
  <c r="AD321" i="12"/>
  <c r="AH321" i="12"/>
  <c r="A321" i="12"/>
  <c r="D321" i="12"/>
  <c r="V321" i="12"/>
  <c r="W321" i="12"/>
  <c r="U321" i="12" l="1"/>
  <c r="K321" i="12" s="1"/>
  <c r="O321" i="12"/>
  <c r="P321" i="12"/>
  <c r="F321" i="12"/>
  <c r="I321" i="12"/>
  <c r="L321" i="12"/>
  <c r="N321" i="12"/>
  <c r="AI321" i="12" s="1"/>
  <c r="C322" i="12"/>
  <c r="Y322" i="12" s="1"/>
  <c r="B322" i="12"/>
  <c r="AE322" i="12" s="1"/>
  <c r="Q321" i="12"/>
  <c r="R321" i="12"/>
  <c r="G321" i="12" s="1"/>
  <c r="T321" i="12"/>
  <c r="J321" i="12" s="1"/>
  <c r="S321" i="12"/>
  <c r="H321" i="12" s="1"/>
  <c r="E321" i="12"/>
  <c r="M321" i="12" l="1"/>
  <c r="D322" i="12"/>
  <c r="AH322" i="12"/>
  <c r="A322" i="12"/>
  <c r="W322" i="12"/>
  <c r="AD322" i="12"/>
  <c r="V322" i="12"/>
  <c r="X322" i="12"/>
  <c r="P322" i="12" l="1"/>
  <c r="L322" i="12"/>
  <c r="B323" i="12"/>
  <c r="AE323" i="12" s="1"/>
  <c r="I322" i="12"/>
  <c r="O322" i="12"/>
  <c r="E322" i="12"/>
  <c r="C323" i="12"/>
  <c r="Y323" i="12" s="1"/>
  <c r="N322" i="12"/>
  <c r="AI322" i="12" s="1"/>
  <c r="S322" i="12"/>
  <c r="H322" i="12" s="1"/>
  <c r="Q322" i="12"/>
  <c r="R322" i="12"/>
  <c r="G322" i="12" s="1"/>
  <c r="T322" i="12"/>
  <c r="J322" i="12" s="1"/>
  <c r="U322" i="12"/>
  <c r="K322" i="12" s="1"/>
  <c r="F322" i="12"/>
  <c r="M322" i="12" l="1"/>
  <c r="D323" i="12"/>
  <c r="A323" i="12"/>
  <c r="X323" i="12"/>
  <c r="V323" i="12"/>
  <c r="W323" i="12"/>
  <c r="AH323" i="12"/>
  <c r="AD323" i="12"/>
  <c r="C324" i="12" l="1"/>
  <c r="Y324" i="12" s="1"/>
  <c r="I323" i="12"/>
  <c r="L323" i="12"/>
  <c r="O323" i="12"/>
  <c r="Q323" i="12"/>
  <c r="P323" i="12"/>
  <c r="N323" i="12"/>
  <c r="AI323" i="12" s="1"/>
  <c r="E323" i="12"/>
  <c r="F323" i="12"/>
  <c r="S323" i="12"/>
  <c r="H323" i="12" s="1"/>
  <c r="B324" i="12"/>
  <c r="AE324" i="12" s="1"/>
  <c r="U323" i="12"/>
  <c r="K323" i="12" s="1"/>
  <c r="R323" i="12"/>
  <c r="G323" i="12" s="1"/>
  <c r="T323" i="12"/>
  <c r="J323" i="12" s="1"/>
  <c r="M323" i="12" l="1"/>
  <c r="AH324" i="12"/>
  <c r="D324" i="12"/>
  <c r="A324" i="12"/>
  <c r="AD324" i="12"/>
  <c r="W324" i="12"/>
  <c r="V324" i="12"/>
  <c r="X324" i="12"/>
  <c r="F324" i="12" l="1"/>
  <c r="I324" i="12"/>
  <c r="L324" i="12"/>
  <c r="N324" i="12"/>
  <c r="AI324" i="12" s="1"/>
  <c r="P324" i="12"/>
  <c r="T324" i="12"/>
  <c r="J324" i="12" s="1"/>
  <c r="U324" i="12"/>
  <c r="K324" i="12" s="1"/>
  <c r="O324" i="12"/>
  <c r="Q324" i="12"/>
  <c r="R324" i="12"/>
  <c r="G324" i="12" s="1"/>
  <c r="S324" i="12"/>
  <c r="H324" i="12" s="1"/>
  <c r="E324" i="12"/>
  <c r="C325" i="12"/>
  <c r="Y325" i="12" s="1"/>
  <c r="B325" i="12"/>
  <c r="AE325" i="12" s="1"/>
  <c r="M324" i="12" l="1"/>
  <c r="A325" i="12"/>
  <c r="X325" i="12"/>
  <c r="AD325" i="12"/>
  <c r="AH325" i="12"/>
  <c r="W325" i="12"/>
  <c r="V325" i="12"/>
  <c r="D325" i="12"/>
  <c r="I325" i="12" l="1"/>
  <c r="P325" i="12"/>
  <c r="Q325" i="12"/>
  <c r="R325" i="12"/>
  <c r="G325" i="12" s="1"/>
  <c r="T325" i="12"/>
  <c r="J325" i="12" s="1"/>
  <c r="S325" i="12"/>
  <c r="H325" i="12" s="1"/>
  <c r="U325" i="12"/>
  <c r="K325" i="12" s="1"/>
  <c r="F325" i="12"/>
  <c r="L325" i="12"/>
  <c r="N325" i="12"/>
  <c r="AI325" i="12" s="1"/>
  <c r="B326" i="12"/>
  <c r="AE326" i="12" s="1"/>
  <c r="C326" i="12"/>
  <c r="Y326" i="12" s="1"/>
  <c r="E325" i="12"/>
  <c r="O325" i="12"/>
  <c r="M325" i="12" l="1"/>
  <c r="V326" i="12"/>
  <c r="AD326" i="12"/>
  <c r="W326" i="12"/>
  <c r="X326" i="12"/>
  <c r="AH326" i="12"/>
  <c r="A326" i="12"/>
  <c r="D326" i="12"/>
  <c r="T326" i="12" l="1"/>
  <c r="J326" i="12" s="1"/>
  <c r="U326" i="12"/>
  <c r="K326" i="12" s="1"/>
  <c r="I326" i="12"/>
  <c r="L326" i="12"/>
  <c r="B327" i="12"/>
  <c r="AE327" i="12" s="1"/>
  <c r="C327" i="12"/>
  <c r="Y327" i="12" s="1"/>
  <c r="N326" i="12"/>
  <c r="AI326" i="12" s="1"/>
  <c r="O326" i="12"/>
  <c r="P326" i="12"/>
  <c r="Q326" i="12"/>
  <c r="R326" i="12"/>
  <c r="G326" i="12" s="1"/>
  <c r="S326" i="12"/>
  <c r="H326" i="12" s="1"/>
  <c r="F326" i="12"/>
  <c r="E326" i="12"/>
  <c r="M326" i="12" l="1"/>
  <c r="X327" i="12"/>
  <c r="AH327" i="12"/>
  <c r="A327" i="12"/>
  <c r="D327" i="12"/>
  <c r="V327" i="12"/>
  <c r="AD327" i="12"/>
  <c r="W327" i="12"/>
  <c r="O327" i="12" l="1"/>
  <c r="Q327" i="12"/>
  <c r="R327" i="12"/>
  <c r="G327" i="12" s="1"/>
  <c r="F327" i="12"/>
  <c r="I327" i="12"/>
  <c r="C328" i="12"/>
  <c r="Y328" i="12" s="1"/>
  <c r="B328" i="12"/>
  <c r="AE328" i="12" s="1"/>
  <c r="P327" i="12"/>
  <c r="S327" i="12"/>
  <c r="H327" i="12" s="1"/>
  <c r="N327" i="12"/>
  <c r="AI327" i="12" s="1"/>
  <c r="U327" i="12"/>
  <c r="K327" i="12" s="1"/>
  <c r="E327" i="12"/>
  <c r="L327" i="12"/>
  <c r="T327" i="12"/>
  <c r="J327" i="12" s="1"/>
  <c r="M327" i="12" l="1"/>
  <c r="V328" i="12"/>
  <c r="A328" i="12"/>
  <c r="D328" i="12"/>
  <c r="W328" i="12"/>
  <c r="AH328" i="12"/>
  <c r="X328" i="12"/>
  <c r="AD328" i="12"/>
  <c r="N328" i="12" l="1"/>
  <c r="AI328" i="12" s="1"/>
  <c r="E328" i="12"/>
  <c r="F328" i="12"/>
  <c r="C329" i="12"/>
  <c r="Y329" i="12" s="1"/>
  <c r="P328" i="12"/>
  <c r="L328" i="12"/>
  <c r="I328" i="12"/>
  <c r="O328" i="12"/>
  <c r="T328" i="12"/>
  <c r="J328" i="12" s="1"/>
  <c r="B329" i="12"/>
  <c r="AE329" i="12" s="1"/>
  <c r="U328" i="12"/>
  <c r="K328" i="12" s="1"/>
  <c r="R328" i="12"/>
  <c r="G328" i="12" s="1"/>
  <c r="Q328" i="12"/>
  <c r="S328" i="12"/>
  <c r="H328" i="12" s="1"/>
  <c r="M328" i="12" l="1"/>
  <c r="D329" i="12"/>
  <c r="A329" i="12"/>
  <c r="X329" i="12"/>
  <c r="V329" i="12"/>
  <c r="AH329" i="12"/>
  <c r="W329" i="12"/>
  <c r="AD329" i="12"/>
  <c r="E329" i="12" l="1"/>
  <c r="I329" i="12"/>
  <c r="T329" i="12"/>
  <c r="J329" i="12" s="1"/>
  <c r="F329" i="12"/>
  <c r="L329" i="12"/>
  <c r="S329" i="12"/>
  <c r="H329" i="12" s="1"/>
  <c r="U329" i="12"/>
  <c r="K329" i="12" s="1"/>
  <c r="O329" i="12"/>
  <c r="N329" i="12"/>
  <c r="AI329" i="12" s="1"/>
  <c r="R329" i="12"/>
  <c r="G329" i="12" s="1"/>
  <c r="P329" i="12"/>
  <c r="Q329" i="12"/>
  <c r="B330" i="12"/>
  <c r="AE330" i="12" s="1"/>
  <c r="C330" i="12"/>
  <c r="Y330" i="12" s="1"/>
  <c r="M329" i="12" l="1"/>
  <c r="X330" i="12"/>
  <c r="D330" i="12"/>
  <c r="AD330" i="12"/>
  <c r="V330" i="12"/>
  <c r="W330" i="12"/>
  <c r="AH330" i="12"/>
  <c r="A330" i="12"/>
  <c r="E330" i="12" l="1"/>
  <c r="F330" i="12"/>
  <c r="B331" i="12"/>
  <c r="AE331" i="12" s="1"/>
  <c r="R330" i="12"/>
  <c r="G330" i="12" s="1"/>
  <c r="I330" i="12"/>
  <c r="O330" i="12"/>
  <c r="T330" i="12"/>
  <c r="J330" i="12" s="1"/>
  <c r="P330" i="12"/>
  <c r="Q330" i="12"/>
  <c r="S330" i="12"/>
  <c r="H330" i="12" s="1"/>
  <c r="U330" i="12"/>
  <c r="K330" i="12" s="1"/>
  <c r="N330" i="12"/>
  <c r="AI330" i="12" s="1"/>
  <c r="C331" i="12"/>
  <c r="Y331" i="12" s="1"/>
  <c r="L330" i="12"/>
  <c r="M330" i="12" l="1"/>
  <c r="A331" i="12"/>
  <c r="AD331" i="12"/>
  <c r="V331" i="12"/>
  <c r="W331" i="12"/>
  <c r="X331" i="12"/>
  <c r="AH331" i="12"/>
  <c r="D331" i="12"/>
  <c r="S331" i="12" l="1"/>
  <c r="H331" i="12" s="1"/>
  <c r="P331" i="12"/>
  <c r="E331" i="12"/>
  <c r="F331" i="12"/>
  <c r="U331" i="12"/>
  <c r="K331" i="12" s="1"/>
  <c r="B332" i="12"/>
  <c r="AE332" i="12" s="1"/>
  <c r="C332" i="12"/>
  <c r="Y332" i="12" s="1"/>
  <c r="L331" i="12"/>
  <c r="I331" i="12"/>
  <c r="T331" i="12"/>
  <c r="J331" i="12" s="1"/>
  <c r="O331" i="12"/>
  <c r="Q331" i="12"/>
  <c r="N331" i="12"/>
  <c r="AI331" i="12" s="1"/>
  <c r="R331" i="12"/>
  <c r="G331" i="12" s="1"/>
  <c r="M331" i="12" l="1"/>
  <c r="V332" i="12"/>
  <c r="W332" i="12"/>
  <c r="D332" i="12"/>
  <c r="A332" i="12"/>
  <c r="AH332" i="12"/>
  <c r="X332" i="12"/>
  <c r="AD332" i="12"/>
  <c r="N332" i="12" l="1"/>
  <c r="AI332" i="12" s="1"/>
  <c r="O332" i="12"/>
  <c r="C333" i="12"/>
  <c r="Y333" i="12" s="1"/>
  <c r="E332" i="12"/>
  <c r="F332" i="12"/>
  <c r="I332" i="12"/>
  <c r="B333" i="12"/>
  <c r="AE333" i="12" s="1"/>
  <c r="T332" i="12"/>
  <c r="J332" i="12" s="1"/>
  <c r="L332" i="12"/>
  <c r="U332" i="12"/>
  <c r="K332" i="12" s="1"/>
  <c r="P332" i="12"/>
  <c r="R332" i="12"/>
  <c r="G332" i="12" s="1"/>
  <c r="Q332" i="12"/>
  <c r="S332" i="12"/>
  <c r="H332" i="12" s="1"/>
  <c r="M332" i="12" l="1"/>
  <c r="D333" i="12"/>
  <c r="A333" i="12"/>
  <c r="X333" i="12"/>
  <c r="AD333" i="12"/>
  <c r="V333" i="12"/>
  <c r="W333" i="12"/>
  <c r="AH333" i="12"/>
  <c r="I333" i="12" l="1"/>
  <c r="R333" i="12"/>
  <c r="G333" i="12" s="1"/>
  <c r="S333" i="12"/>
  <c r="H333" i="12" s="1"/>
  <c r="B334" i="12"/>
  <c r="AE334" i="12" s="1"/>
  <c r="C334" i="12"/>
  <c r="Y334" i="12" s="1"/>
  <c r="E333" i="12"/>
  <c r="F333" i="12"/>
  <c r="N333" i="12"/>
  <c r="AI333" i="12" s="1"/>
  <c r="L333" i="12"/>
  <c r="Q333" i="12"/>
  <c r="P333" i="12"/>
  <c r="O333" i="12"/>
  <c r="T333" i="12"/>
  <c r="J333" i="12" s="1"/>
  <c r="U333" i="12"/>
  <c r="K333" i="12" s="1"/>
  <c r="M333" i="12" l="1"/>
  <c r="D334" i="12"/>
  <c r="AH334" i="12"/>
  <c r="AD334" i="12"/>
  <c r="A334" i="12"/>
  <c r="V334" i="12"/>
  <c r="W334" i="12"/>
  <c r="X334" i="12"/>
  <c r="N334" i="12" l="1"/>
  <c r="AI334" i="12" s="1"/>
  <c r="O334" i="12"/>
  <c r="B335" i="12"/>
  <c r="AE335" i="12" s="1"/>
  <c r="C335" i="12"/>
  <c r="Y335" i="12" s="1"/>
  <c r="E334" i="12"/>
  <c r="F334" i="12"/>
  <c r="I334" i="12"/>
  <c r="S334" i="12"/>
  <c r="H334" i="12" s="1"/>
  <c r="R334" i="12"/>
  <c r="G334" i="12" s="1"/>
  <c r="L334" i="12"/>
  <c r="P334" i="12"/>
  <c r="Q334" i="12"/>
  <c r="T334" i="12"/>
  <c r="J334" i="12" s="1"/>
  <c r="U334" i="12"/>
  <c r="K334" i="12" s="1"/>
  <c r="M334" i="12" l="1"/>
  <c r="W335" i="12"/>
  <c r="D335" i="12"/>
  <c r="V335" i="12"/>
  <c r="X335" i="12"/>
  <c r="AD335" i="12"/>
  <c r="AH335" i="12"/>
  <c r="A335" i="12"/>
  <c r="I335" i="12" l="1"/>
  <c r="C336" i="12"/>
  <c r="Y336" i="12" s="1"/>
  <c r="B336" i="12"/>
  <c r="AE336" i="12" s="1"/>
  <c r="E335" i="12"/>
  <c r="O335" i="12"/>
  <c r="S335" i="12"/>
  <c r="H335" i="12" s="1"/>
  <c r="P335" i="12"/>
  <c r="Q335" i="12"/>
  <c r="R335" i="12"/>
  <c r="G335" i="12" s="1"/>
  <c r="T335" i="12"/>
  <c r="J335" i="12" s="1"/>
  <c r="U335" i="12"/>
  <c r="K335" i="12" s="1"/>
  <c r="N335" i="12"/>
  <c r="AI335" i="12" s="1"/>
  <c r="F335" i="12"/>
  <c r="L335" i="12"/>
  <c r="M335" i="12" l="1"/>
  <c r="A336" i="12"/>
  <c r="D336" i="12"/>
  <c r="V336" i="12"/>
  <c r="AH336" i="12"/>
  <c r="W336" i="12"/>
  <c r="X336" i="12"/>
  <c r="AD336" i="12"/>
  <c r="R336" i="12" l="1"/>
  <c r="G336" i="12" s="1"/>
  <c r="F336" i="12"/>
  <c r="B337" i="12"/>
  <c r="AE337" i="12" s="1"/>
  <c r="C337" i="12"/>
  <c r="Y337" i="12" s="1"/>
  <c r="I336" i="12"/>
  <c r="T336" i="12"/>
  <c r="J336" i="12" s="1"/>
  <c r="U336" i="12"/>
  <c r="K336" i="12" s="1"/>
  <c r="L336" i="12"/>
  <c r="E336" i="12"/>
  <c r="P336" i="12"/>
  <c r="N336" i="12"/>
  <c r="AI336" i="12" s="1"/>
  <c r="O336" i="12"/>
  <c r="S336" i="12"/>
  <c r="H336" i="12" s="1"/>
  <c r="Q336" i="12"/>
  <c r="M336" i="12" l="1"/>
  <c r="AH337" i="12"/>
  <c r="A337" i="12"/>
  <c r="D337" i="12"/>
  <c r="X337" i="12"/>
  <c r="AD337" i="12"/>
  <c r="W337" i="12"/>
  <c r="V337" i="12"/>
  <c r="B338" i="12" l="1"/>
  <c r="AE338" i="12" s="1"/>
  <c r="C338" i="12"/>
  <c r="Y338" i="12" s="1"/>
  <c r="E337" i="12"/>
  <c r="F337" i="12"/>
  <c r="L337" i="12"/>
  <c r="O337" i="12"/>
  <c r="U337" i="12"/>
  <c r="K337" i="12" s="1"/>
  <c r="T337" i="12"/>
  <c r="J337" i="12" s="1"/>
  <c r="S337" i="12"/>
  <c r="H337" i="12" s="1"/>
  <c r="N337" i="12"/>
  <c r="AI337" i="12" s="1"/>
  <c r="R337" i="12"/>
  <c r="G337" i="12" s="1"/>
  <c r="P337" i="12"/>
  <c r="Q337" i="12"/>
  <c r="I337" i="12"/>
  <c r="M337" i="12" l="1"/>
  <c r="W338" i="12"/>
  <c r="X338" i="12"/>
  <c r="A338" i="12"/>
  <c r="D338" i="12"/>
  <c r="AH338" i="12"/>
  <c r="V338" i="12"/>
  <c r="AD338" i="12"/>
  <c r="C339" i="12" l="1"/>
  <c r="Y339" i="12" s="1"/>
  <c r="E338" i="12"/>
  <c r="B339" i="12"/>
  <c r="AE339" i="12" s="1"/>
  <c r="L338" i="12"/>
  <c r="F338" i="12"/>
  <c r="I338" i="12"/>
  <c r="N338" i="12"/>
  <c r="AI338" i="12" s="1"/>
  <c r="U338" i="12"/>
  <c r="K338" i="12" s="1"/>
  <c r="T338" i="12"/>
  <c r="J338" i="12" s="1"/>
  <c r="P338" i="12"/>
  <c r="Q338" i="12"/>
  <c r="S338" i="12"/>
  <c r="H338" i="12" s="1"/>
  <c r="O338" i="12"/>
  <c r="R338" i="12"/>
  <c r="G338" i="12" s="1"/>
  <c r="M338" i="12" l="1"/>
  <c r="D339" i="12"/>
  <c r="A339" i="12"/>
  <c r="AH339" i="12"/>
  <c r="AD339" i="12"/>
  <c r="V339" i="12"/>
  <c r="W339" i="12"/>
  <c r="X339" i="12"/>
  <c r="S339" i="12" l="1"/>
  <c r="H339" i="12" s="1"/>
  <c r="T339" i="12"/>
  <c r="J339" i="12" s="1"/>
  <c r="B340" i="12"/>
  <c r="AE340" i="12" s="1"/>
  <c r="C340" i="12"/>
  <c r="Y340" i="12" s="1"/>
  <c r="E339" i="12"/>
  <c r="Q339" i="12"/>
  <c r="I339" i="12"/>
  <c r="O339" i="12"/>
  <c r="P339" i="12"/>
  <c r="L339" i="12"/>
  <c r="N339" i="12"/>
  <c r="AI339" i="12" s="1"/>
  <c r="F339" i="12"/>
  <c r="U339" i="12"/>
  <c r="K339" i="12" s="1"/>
  <c r="R339" i="12"/>
  <c r="G339" i="12" s="1"/>
  <c r="M339" i="12" l="1"/>
  <c r="V340" i="12"/>
  <c r="AH340" i="12"/>
  <c r="A340" i="12"/>
  <c r="D340" i="12"/>
  <c r="X340" i="12"/>
  <c r="W340" i="12"/>
  <c r="AD340" i="12"/>
  <c r="O340" i="12" l="1"/>
  <c r="P340" i="12"/>
  <c r="B341" i="12"/>
  <c r="AE341" i="12" s="1"/>
  <c r="C341" i="12"/>
  <c r="Y341" i="12" s="1"/>
  <c r="F340" i="12"/>
  <c r="L340" i="12"/>
  <c r="R340" i="12"/>
  <c r="G340" i="12" s="1"/>
  <c r="N340" i="12"/>
  <c r="AI340" i="12" s="1"/>
  <c r="U340" i="12"/>
  <c r="K340" i="12" s="1"/>
  <c r="Q340" i="12"/>
  <c r="S340" i="12"/>
  <c r="H340" i="12" s="1"/>
  <c r="T340" i="12"/>
  <c r="J340" i="12" s="1"/>
  <c r="I340" i="12"/>
  <c r="E340" i="12"/>
  <c r="M340" i="12" l="1"/>
  <c r="AH341" i="12"/>
  <c r="A341" i="12"/>
  <c r="V341" i="12"/>
  <c r="W341" i="12"/>
  <c r="AD341" i="12"/>
  <c r="X341" i="12"/>
  <c r="D341" i="12"/>
  <c r="Q341" i="12" l="1"/>
  <c r="L341" i="12"/>
  <c r="B342" i="12"/>
  <c r="AE342" i="12" s="1"/>
  <c r="E341" i="12"/>
  <c r="S341" i="12"/>
  <c r="H341" i="12" s="1"/>
  <c r="T341" i="12"/>
  <c r="J341" i="12" s="1"/>
  <c r="U341" i="12"/>
  <c r="K341" i="12" s="1"/>
  <c r="C342" i="12"/>
  <c r="Y342" i="12" s="1"/>
  <c r="I341" i="12"/>
  <c r="N341" i="12"/>
  <c r="AI341" i="12" s="1"/>
  <c r="O341" i="12"/>
  <c r="P341" i="12"/>
  <c r="R341" i="12"/>
  <c r="G341" i="12" s="1"/>
  <c r="F341" i="12"/>
  <c r="M341" i="12" l="1"/>
  <c r="AH342" i="12"/>
  <c r="A342" i="12"/>
  <c r="D342" i="12"/>
  <c r="W342" i="12"/>
  <c r="X342" i="12"/>
  <c r="AD342" i="12"/>
  <c r="V342" i="12"/>
  <c r="L342" i="12" l="1"/>
  <c r="C343" i="12"/>
  <c r="Y343" i="12" s="1"/>
  <c r="B343" i="12"/>
  <c r="AE343" i="12" s="1"/>
  <c r="E342" i="12"/>
  <c r="N342" i="12"/>
  <c r="AI342" i="12" s="1"/>
  <c r="P342" i="12"/>
  <c r="Q342" i="12"/>
  <c r="S342" i="12"/>
  <c r="H342" i="12" s="1"/>
  <c r="O342" i="12"/>
  <c r="F342" i="12"/>
  <c r="R342" i="12"/>
  <c r="G342" i="12" s="1"/>
  <c r="U342" i="12"/>
  <c r="K342" i="12" s="1"/>
  <c r="I342" i="12"/>
  <c r="T342" i="12"/>
  <c r="J342" i="12" s="1"/>
  <c r="M342" i="12" l="1"/>
  <c r="AH343" i="12"/>
  <c r="D343" i="12"/>
  <c r="W343" i="12"/>
  <c r="AD343" i="12"/>
  <c r="A343" i="12"/>
  <c r="X343" i="12"/>
  <c r="V343" i="12"/>
  <c r="B344" i="12" l="1"/>
  <c r="AE344" i="12" s="1"/>
  <c r="C344" i="12"/>
  <c r="Y344" i="12" s="1"/>
  <c r="E343" i="12"/>
  <c r="F343" i="12"/>
  <c r="L343" i="12"/>
  <c r="I343" i="12"/>
  <c r="P343" i="12"/>
  <c r="S343" i="12"/>
  <c r="H343" i="12" s="1"/>
  <c r="Q343" i="12"/>
  <c r="R343" i="12"/>
  <c r="G343" i="12" s="1"/>
  <c r="T343" i="12"/>
  <c r="J343" i="12" s="1"/>
  <c r="U343" i="12"/>
  <c r="K343" i="12" s="1"/>
  <c r="N343" i="12"/>
  <c r="AI343" i="12" s="1"/>
  <c r="O343" i="12"/>
  <c r="M343" i="12" l="1"/>
  <c r="AD344" i="12"/>
  <c r="X344" i="12"/>
  <c r="AH344" i="12"/>
  <c r="A344" i="12"/>
  <c r="D344" i="12"/>
  <c r="V344" i="12"/>
  <c r="W344" i="12"/>
  <c r="U344" i="12" l="1"/>
  <c r="K344" i="12" s="1"/>
  <c r="B345" i="12"/>
  <c r="AE345" i="12" s="1"/>
  <c r="E344" i="12"/>
  <c r="N344" i="12"/>
  <c r="AI344" i="12" s="1"/>
  <c r="I344" i="12"/>
  <c r="O344" i="12"/>
  <c r="P344" i="12"/>
  <c r="L344" i="12"/>
  <c r="Q344" i="12"/>
  <c r="T344" i="12"/>
  <c r="J344" i="12" s="1"/>
  <c r="C345" i="12"/>
  <c r="Y345" i="12" s="1"/>
  <c r="F344" i="12"/>
  <c r="R344" i="12"/>
  <c r="G344" i="12" s="1"/>
  <c r="S344" i="12"/>
  <c r="H344" i="12" s="1"/>
  <c r="M344" i="12" l="1"/>
  <c r="V345" i="12"/>
  <c r="AH345" i="12"/>
  <c r="A345" i="12"/>
  <c r="D345" i="12"/>
  <c r="W345" i="12"/>
  <c r="X345" i="12"/>
  <c r="AD345" i="12"/>
  <c r="U345" i="12" l="1"/>
  <c r="K345" i="12" s="1"/>
  <c r="T345" i="12"/>
  <c r="J345" i="12" s="1"/>
  <c r="S345" i="12"/>
  <c r="H345" i="12" s="1"/>
  <c r="C346" i="12"/>
  <c r="Y346" i="12" s="1"/>
  <c r="L345" i="12"/>
  <c r="R345" i="12"/>
  <c r="G345" i="12" s="1"/>
  <c r="N345" i="12"/>
  <c r="AI345" i="12" s="1"/>
  <c r="O345" i="12"/>
  <c r="P345" i="12"/>
  <c r="Q345" i="12"/>
  <c r="B346" i="12"/>
  <c r="AE346" i="12" s="1"/>
  <c r="E345" i="12"/>
  <c r="F345" i="12"/>
  <c r="I345" i="12"/>
  <c r="M345" i="12" l="1"/>
  <c r="AD346" i="12"/>
  <c r="AH346" i="12"/>
  <c r="A346" i="12"/>
  <c r="W346" i="12"/>
  <c r="V346" i="12"/>
  <c r="X346" i="12"/>
  <c r="D346" i="12"/>
  <c r="P346" i="12" l="1"/>
  <c r="Q346" i="12"/>
  <c r="R346" i="12"/>
  <c r="G346" i="12" s="1"/>
  <c r="T346" i="12"/>
  <c r="J346" i="12" s="1"/>
  <c r="B347" i="12"/>
  <c r="AE347" i="12" s="1"/>
  <c r="O346" i="12"/>
  <c r="S346" i="12"/>
  <c r="H346" i="12" s="1"/>
  <c r="U346" i="12"/>
  <c r="K346" i="12" s="1"/>
  <c r="C347" i="12"/>
  <c r="Y347" i="12" s="1"/>
  <c r="I346" i="12"/>
  <c r="N346" i="12"/>
  <c r="AI346" i="12" s="1"/>
  <c r="E346" i="12"/>
  <c r="F346" i="12"/>
  <c r="L346" i="12"/>
  <c r="M346" i="12" l="1"/>
  <c r="AD347" i="12"/>
  <c r="AH347" i="12"/>
  <c r="W347" i="12"/>
  <c r="X347" i="12"/>
  <c r="D347" i="12"/>
  <c r="A347" i="12"/>
  <c r="V347" i="12"/>
  <c r="N347" i="12" l="1"/>
  <c r="AI347" i="12" s="1"/>
  <c r="R347" i="12"/>
  <c r="G347" i="12" s="1"/>
  <c r="C348" i="12"/>
  <c r="Y348" i="12" s="1"/>
  <c r="B348" i="12"/>
  <c r="AE348" i="12" s="1"/>
  <c r="Q347" i="12"/>
  <c r="I347" i="12"/>
  <c r="S347" i="12"/>
  <c r="H347" i="12" s="1"/>
  <c r="T347" i="12"/>
  <c r="J347" i="12" s="1"/>
  <c r="F347" i="12"/>
  <c r="U347" i="12"/>
  <c r="K347" i="12" s="1"/>
  <c r="E347" i="12"/>
  <c r="L347" i="12"/>
  <c r="O347" i="12"/>
  <c r="P347" i="12"/>
  <c r="M347" i="12" l="1"/>
  <c r="X348" i="12"/>
  <c r="AD348" i="12"/>
  <c r="A348" i="12"/>
  <c r="D348" i="12"/>
  <c r="W348" i="12"/>
  <c r="AH348" i="12"/>
  <c r="V348" i="12"/>
  <c r="F348" i="12" l="1"/>
  <c r="I348" i="12"/>
  <c r="P348" i="12"/>
  <c r="E348" i="12"/>
  <c r="R348" i="12"/>
  <c r="G348" i="12" s="1"/>
  <c r="C349" i="12"/>
  <c r="Y349" i="12" s="1"/>
  <c r="Q348" i="12"/>
  <c r="T348" i="12"/>
  <c r="J348" i="12" s="1"/>
  <c r="S348" i="12"/>
  <c r="H348" i="12" s="1"/>
  <c r="N348" i="12"/>
  <c r="AI348" i="12" s="1"/>
  <c r="L348" i="12"/>
  <c r="O348" i="12"/>
  <c r="U348" i="12"/>
  <c r="K348" i="12" s="1"/>
  <c r="B349" i="12"/>
  <c r="AE349" i="12" s="1"/>
  <c r="M348" i="12" l="1"/>
  <c r="A349" i="12"/>
  <c r="W349" i="12"/>
  <c r="AD349" i="12"/>
  <c r="X349" i="12"/>
  <c r="D349" i="12"/>
  <c r="V349" i="12"/>
  <c r="AH349" i="12"/>
  <c r="E349" i="12" l="1"/>
  <c r="F349" i="12"/>
  <c r="B350" i="12"/>
  <c r="AE350" i="12" s="1"/>
  <c r="N349" i="12"/>
  <c r="AI349" i="12" s="1"/>
  <c r="O349" i="12"/>
  <c r="P349" i="12"/>
  <c r="I349" i="12"/>
  <c r="L349" i="12"/>
  <c r="C350" i="12"/>
  <c r="Y350" i="12" s="1"/>
  <c r="Q349" i="12"/>
  <c r="R349" i="12"/>
  <c r="G349" i="12" s="1"/>
  <c r="S349" i="12"/>
  <c r="H349" i="12" s="1"/>
  <c r="U349" i="12"/>
  <c r="K349" i="12" s="1"/>
  <c r="T349" i="12"/>
  <c r="J349" i="12" s="1"/>
  <c r="M349" i="12" l="1"/>
  <c r="A350" i="12"/>
  <c r="AD350" i="12"/>
  <c r="W350" i="12"/>
  <c r="X350" i="12"/>
  <c r="AH350" i="12"/>
  <c r="D350" i="12"/>
  <c r="V350" i="12"/>
  <c r="T350" i="12" l="1"/>
  <c r="J350" i="12" s="1"/>
  <c r="L350" i="12"/>
  <c r="O350" i="12"/>
  <c r="N350" i="12"/>
  <c r="AI350" i="12" s="1"/>
  <c r="U350" i="12"/>
  <c r="K350" i="12" s="1"/>
  <c r="P350" i="12"/>
  <c r="Q350" i="12"/>
  <c r="R350" i="12"/>
  <c r="G350" i="12" s="1"/>
  <c r="S350" i="12"/>
  <c r="H350" i="12" s="1"/>
  <c r="C351" i="12"/>
  <c r="Y351" i="12" s="1"/>
  <c r="E350" i="12"/>
  <c r="I350" i="12"/>
  <c r="F350" i="12"/>
  <c r="B351" i="12"/>
  <c r="AE351" i="12" s="1"/>
  <c r="M350" i="12" l="1"/>
  <c r="V351" i="12"/>
  <c r="W351" i="12"/>
  <c r="X351" i="12"/>
  <c r="AD351" i="12"/>
  <c r="A351" i="12"/>
  <c r="AH351" i="12"/>
  <c r="D351" i="12"/>
  <c r="O351" i="12" l="1"/>
  <c r="P351" i="12"/>
  <c r="T351" i="12"/>
  <c r="J351" i="12" s="1"/>
  <c r="B352" i="12"/>
  <c r="AE352" i="12" s="1"/>
  <c r="C352" i="12"/>
  <c r="Y352" i="12" s="1"/>
  <c r="Q351" i="12"/>
  <c r="R351" i="12"/>
  <c r="G351" i="12" s="1"/>
  <c r="S351" i="12"/>
  <c r="H351" i="12" s="1"/>
  <c r="U351" i="12"/>
  <c r="K351" i="12" s="1"/>
  <c r="E351" i="12"/>
  <c r="F351" i="12"/>
  <c r="L351" i="12"/>
  <c r="I351" i="12"/>
  <c r="N351" i="12"/>
  <c r="AI351" i="12" s="1"/>
  <c r="M351" i="12" l="1"/>
  <c r="W352" i="12"/>
  <c r="X352" i="12"/>
  <c r="AD352" i="12"/>
  <c r="AH352" i="12"/>
  <c r="V352" i="12"/>
  <c r="A352" i="12"/>
  <c r="D352" i="12"/>
  <c r="R352" i="12" l="1"/>
  <c r="G352" i="12" s="1"/>
  <c r="S352" i="12"/>
  <c r="H352" i="12" s="1"/>
  <c r="B353" i="12"/>
  <c r="AE353" i="12" s="1"/>
  <c r="C353" i="12"/>
  <c r="Y353" i="12" s="1"/>
  <c r="E352" i="12"/>
  <c r="O352" i="12"/>
  <c r="F352" i="12"/>
  <c r="N352" i="12"/>
  <c r="AI352" i="12" s="1"/>
  <c r="U352" i="12"/>
  <c r="K352" i="12" s="1"/>
  <c r="I352" i="12"/>
  <c r="Q352" i="12"/>
  <c r="T352" i="12"/>
  <c r="J352" i="12" s="1"/>
  <c r="L352" i="12"/>
  <c r="P352" i="12"/>
  <c r="M352" i="12" l="1"/>
  <c r="V353" i="12"/>
  <c r="X353" i="12"/>
  <c r="W353" i="12"/>
  <c r="A353" i="12"/>
  <c r="D353" i="12"/>
  <c r="AH353" i="12"/>
  <c r="AD353" i="12"/>
  <c r="E353" i="12" l="1"/>
  <c r="N353" i="12"/>
  <c r="AI353" i="12" s="1"/>
  <c r="O353" i="12"/>
  <c r="C354" i="12"/>
  <c r="Y354" i="12" s="1"/>
  <c r="I353" i="12"/>
  <c r="F353" i="12"/>
  <c r="B354" i="12"/>
  <c r="AE354" i="12" s="1"/>
  <c r="P353" i="12"/>
  <c r="S353" i="12"/>
  <c r="H353" i="12" s="1"/>
  <c r="L353" i="12"/>
  <c r="Q353" i="12"/>
  <c r="R353" i="12"/>
  <c r="G353" i="12" s="1"/>
  <c r="T353" i="12"/>
  <c r="J353" i="12" s="1"/>
  <c r="U353" i="12"/>
  <c r="K353" i="12" s="1"/>
  <c r="M353" i="12" l="1"/>
  <c r="X354" i="12"/>
  <c r="V354" i="12"/>
  <c r="W354" i="12"/>
  <c r="D354" i="12"/>
  <c r="AH354" i="12"/>
  <c r="A354" i="12"/>
  <c r="AD354" i="12"/>
  <c r="E354" i="12" l="1"/>
  <c r="U354" i="12"/>
  <c r="K354" i="12" s="1"/>
  <c r="N354" i="12"/>
  <c r="AI354" i="12" s="1"/>
  <c r="F354" i="12"/>
  <c r="I354" i="12"/>
  <c r="L354" i="12"/>
  <c r="O354" i="12"/>
  <c r="T354" i="12"/>
  <c r="J354" i="12" s="1"/>
  <c r="Q354" i="12"/>
  <c r="P354" i="12"/>
  <c r="R354" i="12"/>
  <c r="G354" i="12" s="1"/>
  <c r="S354" i="12"/>
  <c r="H354" i="12" s="1"/>
  <c r="C355" i="12"/>
  <c r="Y355" i="12" s="1"/>
  <c r="B355" i="12"/>
  <c r="AE355" i="12" s="1"/>
  <c r="M354" i="12" l="1"/>
  <c r="AH355" i="12"/>
  <c r="AD355" i="12"/>
  <c r="V355" i="12"/>
  <c r="X355" i="12"/>
  <c r="W355" i="12"/>
  <c r="D355" i="12"/>
  <c r="A355" i="12"/>
  <c r="O355" i="12" l="1"/>
  <c r="N355" i="12"/>
  <c r="AI355" i="12" s="1"/>
  <c r="P355" i="12"/>
  <c r="C356" i="12"/>
  <c r="Y356" i="12" s="1"/>
  <c r="R355" i="12"/>
  <c r="G355" i="12" s="1"/>
  <c r="S355" i="12"/>
  <c r="H355" i="12" s="1"/>
  <c r="F355" i="12"/>
  <c r="Q355" i="12"/>
  <c r="B356" i="12"/>
  <c r="AE356" i="12" s="1"/>
  <c r="L355" i="12"/>
  <c r="T355" i="12"/>
  <c r="J355" i="12" s="1"/>
  <c r="U355" i="12"/>
  <c r="K355" i="12" s="1"/>
  <c r="I355" i="12"/>
  <c r="E355" i="12"/>
  <c r="M355" i="12" l="1"/>
  <c r="AH356" i="12"/>
  <c r="AD356" i="12"/>
  <c r="W356" i="12"/>
  <c r="V356" i="12"/>
  <c r="X356" i="12"/>
  <c r="D356" i="12"/>
  <c r="A356" i="12"/>
  <c r="O356" i="12" l="1"/>
  <c r="P356" i="12"/>
  <c r="N356" i="12"/>
  <c r="AI356" i="12" s="1"/>
  <c r="C357" i="12"/>
  <c r="Y357" i="12" s="1"/>
  <c r="L356" i="12"/>
  <c r="R356" i="12"/>
  <c r="G356" i="12" s="1"/>
  <c r="T356" i="12"/>
  <c r="J356" i="12" s="1"/>
  <c r="S356" i="12"/>
  <c r="H356" i="12" s="1"/>
  <c r="U356" i="12"/>
  <c r="K356" i="12" s="1"/>
  <c r="F356" i="12"/>
  <c r="I356" i="12"/>
  <c r="Q356" i="12"/>
  <c r="E356" i="12"/>
  <c r="B357" i="12"/>
  <c r="AE357" i="12" s="1"/>
  <c r="M356" i="12" l="1"/>
  <c r="AH357" i="12"/>
  <c r="AD357" i="12"/>
  <c r="V357" i="12"/>
  <c r="W357" i="12"/>
  <c r="X357" i="12"/>
  <c r="D357" i="12"/>
  <c r="A357" i="12"/>
  <c r="O357" i="12" l="1"/>
  <c r="C358" i="12"/>
  <c r="Y358" i="12" s="1"/>
  <c r="N357" i="12"/>
  <c r="AI357" i="12" s="1"/>
  <c r="P357" i="12"/>
  <c r="L357" i="12"/>
  <c r="S357" i="12"/>
  <c r="H357" i="12" s="1"/>
  <c r="U357" i="12"/>
  <c r="K357" i="12" s="1"/>
  <c r="R357" i="12"/>
  <c r="G357" i="12" s="1"/>
  <c r="E357" i="12"/>
  <c r="T357" i="12"/>
  <c r="J357" i="12" s="1"/>
  <c r="F357" i="12"/>
  <c r="I357" i="12"/>
  <c r="Q357" i="12"/>
  <c r="B358" i="12"/>
  <c r="AE358" i="12" s="1"/>
  <c r="M357" i="12" l="1"/>
  <c r="AH358" i="12"/>
  <c r="AD358" i="12"/>
  <c r="X358" i="12"/>
  <c r="V358" i="12"/>
  <c r="W358" i="12"/>
  <c r="D358" i="12"/>
  <c r="A358" i="12"/>
  <c r="O358" i="12" l="1"/>
  <c r="P358" i="12"/>
  <c r="N358" i="12"/>
  <c r="AI358" i="12" s="1"/>
  <c r="L358" i="12"/>
  <c r="T358" i="12"/>
  <c r="J358" i="12" s="1"/>
  <c r="R358" i="12"/>
  <c r="G358" i="12" s="1"/>
  <c r="Q358" i="12"/>
  <c r="B359" i="12"/>
  <c r="AE359" i="12" s="1"/>
  <c r="C359" i="12"/>
  <c r="Y359" i="12" s="1"/>
  <c r="U358" i="12"/>
  <c r="K358" i="12" s="1"/>
  <c r="S358" i="12"/>
  <c r="H358" i="12" s="1"/>
  <c r="F358" i="12"/>
  <c r="I358" i="12"/>
  <c r="E358" i="12"/>
  <c r="M358" i="12" l="1"/>
  <c r="AH359" i="12"/>
  <c r="V359" i="12"/>
  <c r="W359" i="12"/>
  <c r="X359" i="12"/>
  <c r="AD359" i="12"/>
  <c r="D359" i="12"/>
  <c r="A359" i="12"/>
  <c r="O359" i="12" l="1"/>
  <c r="P359" i="12"/>
  <c r="N359" i="12"/>
  <c r="AI359" i="12" s="1"/>
  <c r="C360" i="12"/>
  <c r="Y360" i="12" s="1"/>
  <c r="T359" i="12"/>
  <c r="J359" i="12" s="1"/>
  <c r="R359" i="12"/>
  <c r="G359" i="12" s="1"/>
  <c r="U359" i="12"/>
  <c r="K359" i="12" s="1"/>
  <c r="F359" i="12"/>
  <c r="Q359" i="12"/>
  <c r="B360" i="12"/>
  <c r="AE360" i="12" s="1"/>
  <c r="L359" i="12"/>
  <c r="S359" i="12"/>
  <c r="H359" i="12" s="1"/>
  <c r="I359" i="12"/>
  <c r="E359" i="12"/>
  <c r="M359" i="12" l="1"/>
  <c r="AH360" i="12"/>
  <c r="AD360" i="12"/>
  <c r="W360" i="12"/>
  <c r="V360" i="12"/>
  <c r="X360" i="12"/>
  <c r="D360" i="12"/>
  <c r="A360" i="12"/>
  <c r="O360" i="12" l="1"/>
  <c r="N360" i="12"/>
  <c r="AI360" i="12" s="1"/>
  <c r="P360" i="12"/>
  <c r="C361" i="12"/>
  <c r="Y361" i="12" s="1"/>
  <c r="T360" i="12"/>
  <c r="J360" i="12" s="1"/>
  <c r="S360" i="12"/>
  <c r="H360" i="12" s="1"/>
  <c r="I360" i="12"/>
  <c r="E360" i="12"/>
  <c r="L360" i="12"/>
  <c r="U360" i="12"/>
  <c r="K360" i="12" s="1"/>
  <c r="R360" i="12"/>
  <c r="G360" i="12" s="1"/>
  <c r="F360" i="12"/>
  <c r="Q360" i="12"/>
  <c r="B361" i="12"/>
  <c r="AE361" i="12" s="1"/>
  <c r="M360" i="12" l="1"/>
  <c r="AH361" i="12"/>
  <c r="AD361" i="12"/>
  <c r="V361" i="12"/>
  <c r="X361" i="12"/>
  <c r="W361" i="12"/>
  <c r="A361" i="12"/>
  <c r="D361" i="12"/>
  <c r="O361" i="12" l="1"/>
  <c r="N361" i="12"/>
  <c r="AI361" i="12" s="1"/>
  <c r="P361" i="12"/>
  <c r="C362" i="12"/>
  <c r="Y362" i="12" s="1"/>
  <c r="R361" i="12"/>
  <c r="G361" i="12" s="1"/>
  <c r="T361" i="12"/>
  <c r="J361" i="12" s="1"/>
  <c r="F361" i="12"/>
  <c r="E361" i="12"/>
  <c r="L361" i="12"/>
  <c r="U361" i="12"/>
  <c r="K361" i="12" s="1"/>
  <c r="I361" i="12"/>
  <c r="Q361" i="12"/>
  <c r="B362" i="12"/>
  <c r="AE362" i="12" s="1"/>
  <c r="S361" i="12"/>
  <c r="H361" i="12" s="1"/>
  <c r="M361" i="12" l="1"/>
  <c r="D362" i="12"/>
  <c r="AH362" i="12"/>
  <c r="AD362" i="12"/>
  <c r="V362" i="12"/>
  <c r="W362" i="12"/>
  <c r="X362" i="12"/>
  <c r="A362" i="12"/>
  <c r="O362" i="12" l="1"/>
  <c r="C363" i="12"/>
  <c r="Y363" i="12" s="1"/>
  <c r="N362" i="12"/>
  <c r="AI362" i="12" s="1"/>
  <c r="P362" i="12"/>
  <c r="U362" i="12"/>
  <c r="K362" i="12" s="1"/>
  <c r="I362" i="12"/>
  <c r="B363" i="12"/>
  <c r="AE363" i="12" s="1"/>
  <c r="L362" i="12"/>
  <c r="S362" i="12"/>
  <c r="H362" i="12" s="1"/>
  <c r="T362" i="12"/>
  <c r="J362" i="12" s="1"/>
  <c r="F362" i="12"/>
  <c r="Q362" i="12"/>
  <c r="R362" i="12"/>
  <c r="G362" i="12" s="1"/>
  <c r="E362" i="12"/>
  <c r="M362" i="12" l="1"/>
  <c r="AH363" i="12"/>
  <c r="V363" i="12"/>
  <c r="W363" i="12"/>
  <c r="X363" i="12"/>
  <c r="AD363" i="12"/>
  <c r="D363" i="12"/>
  <c r="A363" i="12"/>
  <c r="O363" i="12" l="1"/>
  <c r="C364" i="12"/>
  <c r="Y364" i="12" s="1"/>
  <c r="N363" i="12"/>
  <c r="AI363" i="12" s="1"/>
  <c r="P363" i="12"/>
  <c r="L363" i="12"/>
  <c r="U363" i="12"/>
  <c r="K363" i="12" s="1"/>
  <c r="S363" i="12"/>
  <c r="H363" i="12" s="1"/>
  <c r="T363" i="12"/>
  <c r="J363" i="12" s="1"/>
  <c r="F363" i="12"/>
  <c r="Q363" i="12"/>
  <c r="B364" i="12"/>
  <c r="AE364" i="12" s="1"/>
  <c r="R363" i="12"/>
  <c r="G363" i="12" s="1"/>
  <c r="I363" i="12"/>
  <c r="E363" i="12"/>
  <c r="M363" i="12" l="1"/>
  <c r="AH364" i="12"/>
  <c r="AD364" i="12"/>
  <c r="V364" i="12"/>
  <c r="W364" i="12"/>
  <c r="X364" i="12"/>
  <c r="D364" i="12"/>
  <c r="A364" i="12"/>
  <c r="O364" i="12" l="1"/>
  <c r="N364" i="12"/>
  <c r="AI364" i="12" s="1"/>
  <c r="P364" i="12"/>
  <c r="C365" i="12"/>
  <c r="Y365" i="12" s="1"/>
  <c r="T364" i="12"/>
  <c r="J364" i="12" s="1"/>
  <c r="U364" i="12"/>
  <c r="K364" i="12" s="1"/>
  <c r="F364" i="12"/>
  <c r="Q364" i="12"/>
  <c r="B365" i="12"/>
  <c r="AE365" i="12" s="1"/>
  <c r="L364" i="12"/>
  <c r="R364" i="12"/>
  <c r="G364" i="12" s="1"/>
  <c r="S364" i="12"/>
  <c r="H364" i="12" s="1"/>
  <c r="I364" i="12"/>
  <c r="E364" i="12"/>
  <c r="M364" i="12" l="1"/>
  <c r="AH365" i="12"/>
  <c r="AD365" i="12"/>
  <c r="V365" i="12"/>
  <c r="W365" i="12"/>
  <c r="D365" i="12"/>
  <c r="A365" i="12"/>
  <c r="X365" i="12"/>
  <c r="O365" i="12" l="1"/>
  <c r="N365" i="12"/>
  <c r="AI365" i="12" s="1"/>
  <c r="P365" i="12"/>
  <c r="C366" i="12"/>
  <c r="Y366" i="12" s="1"/>
  <c r="L365" i="12"/>
  <c r="R365" i="12"/>
  <c r="G365" i="12" s="1"/>
  <c r="S365" i="12"/>
  <c r="H365" i="12" s="1"/>
  <c r="U365" i="12"/>
  <c r="K365" i="12" s="1"/>
  <c r="T365" i="12"/>
  <c r="J365" i="12" s="1"/>
  <c r="I365" i="12"/>
  <c r="Q365" i="12"/>
  <c r="B366" i="12"/>
  <c r="AE366" i="12" s="1"/>
  <c r="F365" i="12"/>
  <c r="E365" i="12"/>
  <c r="M365" i="12" l="1"/>
  <c r="AH366" i="12"/>
  <c r="X366" i="12"/>
  <c r="V366" i="12"/>
  <c r="A366" i="12"/>
  <c r="AD366" i="12"/>
  <c r="W366" i="12"/>
  <c r="D366" i="12"/>
  <c r="O366" i="12" l="1"/>
  <c r="P366" i="12"/>
  <c r="C367" i="12"/>
  <c r="Y367" i="12" s="1"/>
  <c r="N366" i="12"/>
  <c r="AI366" i="12" s="1"/>
  <c r="L366" i="12"/>
  <c r="S366" i="12"/>
  <c r="H366" i="12" s="1"/>
  <c r="T366" i="12"/>
  <c r="J366" i="12" s="1"/>
  <c r="I366" i="12"/>
  <c r="B367" i="12"/>
  <c r="AE367" i="12" s="1"/>
  <c r="E366" i="12"/>
  <c r="R366" i="12"/>
  <c r="G366" i="12" s="1"/>
  <c r="U366" i="12"/>
  <c r="K366" i="12" s="1"/>
  <c r="F366" i="12"/>
  <c r="Q366" i="12"/>
  <c r="M366" i="12" l="1"/>
  <c r="AH367" i="12"/>
  <c r="AD367" i="12"/>
  <c r="X367" i="12"/>
  <c r="W367" i="12"/>
  <c r="V367" i="12"/>
  <c r="D367" i="12"/>
  <c r="A367" i="12"/>
  <c r="N367" i="12" l="1"/>
  <c r="AI367" i="12" s="1"/>
  <c r="L367" i="12"/>
  <c r="R367" i="12"/>
  <c r="G367" i="12" s="1"/>
  <c r="S367" i="12"/>
  <c r="H367" i="12" s="1"/>
  <c r="T367" i="12"/>
  <c r="J367" i="12" s="1"/>
  <c r="U367" i="12"/>
  <c r="K367" i="12" s="1"/>
  <c r="F367" i="12"/>
  <c r="Q367" i="12"/>
  <c r="E367" i="12"/>
  <c r="B368" i="12"/>
  <c r="AE368" i="12" s="1"/>
  <c r="P367" i="12"/>
  <c r="C368" i="12"/>
  <c r="Y368" i="12" s="1"/>
  <c r="I367" i="12"/>
  <c r="O367" i="12"/>
  <c r="M367" i="12" l="1"/>
  <c r="AH368" i="12"/>
  <c r="V368" i="12"/>
  <c r="W368" i="12"/>
  <c r="AD368" i="12"/>
  <c r="X368" i="12"/>
  <c r="D368" i="12"/>
  <c r="A368" i="12"/>
  <c r="O368" i="12" l="1"/>
  <c r="P368" i="12"/>
  <c r="C369" i="12"/>
  <c r="Y369" i="12" s="1"/>
  <c r="N368" i="12"/>
  <c r="AI368" i="12" s="1"/>
  <c r="R368" i="12"/>
  <c r="G368" i="12" s="1"/>
  <c r="U368" i="12"/>
  <c r="K368" i="12" s="1"/>
  <c r="F368" i="12"/>
  <c r="E368" i="12"/>
  <c r="L368" i="12"/>
  <c r="T368" i="12"/>
  <c r="J368" i="12" s="1"/>
  <c r="S368" i="12"/>
  <c r="H368" i="12" s="1"/>
  <c r="I368" i="12"/>
  <c r="Q368" i="12"/>
  <c r="B369" i="12"/>
  <c r="AE369" i="12" s="1"/>
  <c r="M368" i="12" l="1"/>
  <c r="AH369" i="12"/>
  <c r="AD369" i="12"/>
  <c r="V369" i="12"/>
  <c r="W369" i="12"/>
  <c r="X369" i="12"/>
  <c r="D369" i="12"/>
  <c r="A369" i="12"/>
  <c r="O369" i="12" l="1"/>
  <c r="N369" i="12"/>
  <c r="AI369" i="12" s="1"/>
  <c r="P369" i="12"/>
  <c r="C370" i="12"/>
  <c r="Y370" i="12" s="1"/>
  <c r="L369" i="12"/>
  <c r="T369" i="12"/>
  <c r="J369" i="12" s="1"/>
  <c r="U369" i="12"/>
  <c r="K369" i="12" s="1"/>
  <c r="R369" i="12"/>
  <c r="G369" i="12" s="1"/>
  <c r="S369" i="12"/>
  <c r="H369" i="12" s="1"/>
  <c r="F369" i="12"/>
  <c r="I369" i="12"/>
  <c r="Q369" i="12"/>
  <c r="E369" i="12"/>
  <c r="B370" i="12"/>
  <c r="AE370" i="12" s="1"/>
  <c r="M369" i="12" l="1"/>
  <c r="AH370" i="12"/>
  <c r="AD370" i="12"/>
  <c r="V370" i="12"/>
  <c r="W370" i="12"/>
  <c r="X370" i="12"/>
  <c r="D370" i="12"/>
  <c r="A370" i="12"/>
  <c r="O370" i="12" l="1"/>
  <c r="P370" i="12"/>
  <c r="C371" i="12"/>
  <c r="Y371" i="12" s="1"/>
  <c r="N370" i="12"/>
  <c r="AI370" i="12" s="1"/>
  <c r="L370" i="12"/>
  <c r="S370" i="12"/>
  <c r="H370" i="12" s="1"/>
  <c r="T370" i="12"/>
  <c r="J370" i="12" s="1"/>
  <c r="U370" i="12"/>
  <c r="K370" i="12" s="1"/>
  <c r="F370" i="12"/>
  <c r="I370" i="12"/>
  <c r="Q370" i="12"/>
  <c r="B371" i="12"/>
  <c r="AE371" i="12" s="1"/>
  <c r="R370" i="12"/>
  <c r="G370" i="12" s="1"/>
  <c r="E370" i="12"/>
  <c r="M370" i="12" l="1"/>
  <c r="AH371" i="12"/>
  <c r="AD371" i="12"/>
  <c r="V371" i="12"/>
  <c r="X371" i="12"/>
  <c r="W371" i="12"/>
  <c r="D371" i="12"/>
  <c r="A371" i="12"/>
  <c r="O371" i="12" l="1"/>
  <c r="P371" i="12"/>
  <c r="N371" i="12"/>
  <c r="AI371" i="12" s="1"/>
  <c r="C372" i="12"/>
  <c r="Y372" i="12" s="1"/>
  <c r="L371" i="12"/>
  <c r="U371" i="12"/>
  <c r="K371" i="12" s="1"/>
  <c r="S371" i="12"/>
  <c r="H371" i="12" s="1"/>
  <c r="T371" i="12"/>
  <c r="J371" i="12" s="1"/>
  <c r="I371" i="12"/>
  <c r="E371" i="12"/>
  <c r="R371" i="12"/>
  <c r="G371" i="12" s="1"/>
  <c r="F371" i="12"/>
  <c r="Q371" i="12"/>
  <c r="B372" i="12"/>
  <c r="AE372" i="12" s="1"/>
  <c r="M371" i="12" l="1"/>
  <c r="AH372" i="12"/>
  <c r="V372" i="12"/>
  <c r="W372" i="12"/>
  <c r="X372" i="12"/>
  <c r="D372" i="12"/>
  <c r="A372" i="12"/>
  <c r="AD372" i="12"/>
  <c r="N372" i="12" l="1"/>
  <c r="AI372" i="12" s="1"/>
  <c r="P372" i="12"/>
  <c r="L372" i="12"/>
  <c r="R372" i="12"/>
  <c r="G372" i="12" s="1"/>
  <c r="U372" i="12"/>
  <c r="K372" i="12" s="1"/>
  <c r="S372" i="12"/>
  <c r="H372" i="12" s="1"/>
  <c r="T372" i="12"/>
  <c r="J372" i="12" s="1"/>
  <c r="F372" i="12"/>
  <c r="I372" i="12"/>
  <c r="Q372" i="12"/>
  <c r="E372" i="12"/>
  <c r="B373" i="12"/>
  <c r="AE373" i="12" s="1"/>
  <c r="O372" i="12"/>
  <c r="C373" i="12"/>
  <c r="Y373" i="12" s="1"/>
  <c r="M372" i="12" l="1"/>
  <c r="AH373" i="12"/>
  <c r="AD373" i="12"/>
  <c r="V373" i="12"/>
  <c r="W373" i="12"/>
  <c r="X373" i="12"/>
  <c r="D373" i="12"/>
  <c r="A373" i="12"/>
  <c r="O373" i="12" l="1"/>
  <c r="N373" i="12"/>
  <c r="AI373" i="12" s="1"/>
  <c r="P373" i="12"/>
  <c r="C374" i="12"/>
  <c r="Y374" i="12" s="1"/>
  <c r="L373" i="12"/>
  <c r="R373" i="12"/>
  <c r="G373" i="12" s="1"/>
  <c r="S373" i="12"/>
  <c r="H373" i="12" s="1"/>
  <c r="T373" i="12"/>
  <c r="J373" i="12" s="1"/>
  <c r="F373" i="12"/>
  <c r="Q373" i="12"/>
  <c r="U373" i="12"/>
  <c r="K373" i="12" s="1"/>
  <c r="E373" i="12"/>
  <c r="B374" i="12"/>
  <c r="AE374" i="12" s="1"/>
  <c r="I373" i="12"/>
  <c r="M373" i="12" l="1"/>
  <c r="AH374" i="12"/>
  <c r="AD374" i="12"/>
  <c r="X374" i="12"/>
  <c r="V374" i="12"/>
  <c r="W374" i="12"/>
  <c r="D374" i="12"/>
  <c r="A374" i="12"/>
  <c r="O374" i="12" l="1"/>
  <c r="N374" i="12"/>
  <c r="AI374" i="12" s="1"/>
  <c r="P374" i="12"/>
  <c r="L374" i="12"/>
  <c r="R374" i="12"/>
  <c r="G374" i="12" s="1"/>
  <c r="S374" i="12"/>
  <c r="H374" i="12" s="1"/>
  <c r="T374" i="12"/>
  <c r="J374" i="12" s="1"/>
  <c r="I374" i="12"/>
  <c r="E374" i="12"/>
  <c r="C375" i="12"/>
  <c r="Y375" i="12" s="1"/>
  <c r="U374" i="12"/>
  <c r="K374" i="12" s="1"/>
  <c r="F374" i="12"/>
  <c r="Q374" i="12"/>
  <c r="B375" i="12"/>
  <c r="AE375" i="12" s="1"/>
  <c r="M374" i="12" l="1"/>
  <c r="AH375" i="12"/>
  <c r="AD375" i="12"/>
  <c r="X375" i="12"/>
  <c r="W375" i="12"/>
  <c r="V375" i="12"/>
  <c r="D375" i="12"/>
  <c r="A375" i="12"/>
  <c r="O375" i="12" l="1"/>
  <c r="N375" i="12"/>
  <c r="AI375" i="12" s="1"/>
  <c r="P375" i="12"/>
  <c r="C376" i="12"/>
  <c r="Y376" i="12" s="1"/>
  <c r="E375" i="12"/>
  <c r="R375" i="12"/>
  <c r="G375" i="12" s="1"/>
  <c r="T375" i="12"/>
  <c r="J375" i="12" s="1"/>
  <c r="F375" i="12"/>
  <c r="I375" i="12"/>
  <c r="B376" i="12"/>
  <c r="AE376" i="12" s="1"/>
  <c r="L375" i="12"/>
  <c r="S375" i="12"/>
  <c r="H375" i="12" s="1"/>
  <c r="U375" i="12"/>
  <c r="K375" i="12" s="1"/>
  <c r="Q375" i="12"/>
  <c r="M375" i="12" l="1"/>
  <c r="AH376" i="12"/>
  <c r="AD376" i="12"/>
  <c r="V376" i="12"/>
  <c r="X376" i="12"/>
  <c r="W376" i="12"/>
  <c r="D376" i="12"/>
  <c r="A376" i="12"/>
  <c r="O376" i="12" l="1"/>
  <c r="C377" i="12"/>
  <c r="Y377" i="12" s="1"/>
  <c r="N376" i="12"/>
  <c r="AI376" i="12" s="1"/>
  <c r="P376" i="12"/>
  <c r="Q376" i="12"/>
  <c r="L376" i="12"/>
  <c r="U376" i="12"/>
  <c r="K376" i="12" s="1"/>
  <c r="S376" i="12"/>
  <c r="H376" i="12" s="1"/>
  <c r="T376" i="12"/>
  <c r="J376" i="12" s="1"/>
  <c r="I376" i="12"/>
  <c r="E376" i="12"/>
  <c r="B377" i="12"/>
  <c r="AE377" i="12" s="1"/>
  <c r="R376" i="12"/>
  <c r="G376" i="12" s="1"/>
  <c r="F376" i="12"/>
  <c r="M376" i="12" l="1"/>
  <c r="AH377" i="12"/>
  <c r="AD377" i="12"/>
  <c r="V377" i="12"/>
  <c r="X377" i="12"/>
  <c r="W377" i="12"/>
  <c r="D377" i="12"/>
  <c r="A377" i="12"/>
  <c r="O377" i="12" l="1"/>
  <c r="N377" i="12"/>
  <c r="AI377" i="12" s="1"/>
  <c r="P377" i="12"/>
  <c r="L377" i="12"/>
  <c r="R377" i="12"/>
  <c r="G377" i="12" s="1"/>
  <c r="T377" i="12"/>
  <c r="J377" i="12" s="1"/>
  <c r="U377" i="12"/>
  <c r="K377" i="12" s="1"/>
  <c r="F377" i="12"/>
  <c r="B378" i="12"/>
  <c r="AE378" i="12" s="1"/>
  <c r="C378" i="12"/>
  <c r="Y378" i="12" s="1"/>
  <c r="I377" i="12"/>
  <c r="E377" i="12"/>
  <c r="S377" i="12"/>
  <c r="H377" i="12" s="1"/>
  <c r="Q377" i="12"/>
  <c r="M377" i="12" l="1"/>
  <c r="AH378" i="12"/>
  <c r="AD378" i="12"/>
  <c r="W378" i="12"/>
  <c r="X378" i="12"/>
  <c r="V378" i="12"/>
  <c r="D378" i="12"/>
  <c r="A378" i="12"/>
  <c r="O378" i="12" l="1"/>
  <c r="N378" i="12"/>
  <c r="AI378" i="12" s="1"/>
  <c r="P378" i="12"/>
  <c r="S378" i="12"/>
  <c r="H378" i="12" s="1"/>
  <c r="R378" i="12"/>
  <c r="G378" i="12" s="1"/>
  <c r="U378" i="12"/>
  <c r="K378" i="12" s="1"/>
  <c r="T378" i="12"/>
  <c r="J378" i="12" s="1"/>
  <c r="F378" i="12"/>
  <c r="Q378" i="12"/>
  <c r="C379" i="12"/>
  <c r="Y379" i="12" s="1"/>
  <c r="L378" i="12"/>
  <c r="I378" i="12"/>
  <c r="E378" i="12"/>
  <c r="B379" i="12"/>
  <c r="AE379" i="12" s="1"/>
  <c r="M378" i="12" l="1"/>
  <c r="AH379" i="12"/>
  <c r="AD379" i="12"/>
  <c r="W379" i="12"/>
  <c r="X379" i="12"/>
  <c r="V379" i="12"/>
  <c r="D379" i="12"/>
  <c r="A379" i="12"/>
  <c r="O379" i="12" l="1"/>
  <c r="N379" i="12"/>
  <c r="AI379" i="12" s="1"/>
  <c r="P379" i="12"/>
  <c r="C380" i="12"/>
  <c r="Y380" i="12" s="1"/>
  <c r="L379" i="12"/>
  <c r="R379" i="12"/>
  <c r="G379" i="12" s="1"/>
  <c r="S379" i="12"/>
  <c r="H379" i="12" s="1"/>
  <c r="T379" i="12"/>
  <c r="J379" i="12" s="1"/>
  <c r="U379" i="12"/>
  <c r="K379" i="12" s="1"/>
  <c r="F379" i="12"/>
  <c r="I379" i="12"/>
  <c r="Q379" i="12"/>
  <c r="E379" i="12"/>
  <c r="B380" i="12"/>
  <c r="AE380" i="12" s="1"/>
  <c r="M379" i="12" l="1"/>
  <c r="AH380" i="12"/>
  <c r="AD380" i="12"/>
  <c r="V380" i="12"/>
  <c r="W380" i="12"/>
  <c r="X380" i="12"/>
  <c r="D380" i="12"/>
  <c r="A380" i="12"/>
  <c r="O380" i="12" l="1"/>
  <c r="N380" i="12"/>
  <c r="AI380" i="12" s="1"/>
  <c r="C381" i="12"/>
  <c r="Y381" i="12" s="1"/>
  <c r="P380" i="12"/>
  <c r="T380" i="12"/>
  <c r="J380" i="12" s="1"/>
  <c r="S380" i="12"/>
  <c r="H380" i="12" s="1"/>
  <c r="F380" i="12"/>
  <c r="Q380" i="12"/>
  <c r="U380" i="12"/>
  <c r="K380" i="12" s="1"/>
  <c r="B381" i="12"/>
  <c r="AE381" i="12" s="1"/>
  <c r="L380" i="12"/>
  <c r="R380" i="12"/>
  <c r="G380" i="12" s="1"/>
  <c r="I380" i="12"/>
  <c r="E380" i="12"/>
  <c r="M380" i="12" l="1"/>
  <c r="AD381" i="12"/>
  <c r="D381" i="12"/>
  <c r="AH381" i="12"/>
  <c r="V381" i="12"/>
  <c r="W381" i="12"/>
  <c r="X381" i="12"/>
  <c r="A381" i="12"/>
  <c r="O381" i="12" l="1"/>
  <c r="C382" i="12"/>
  <c r="Y382" i="12" s="1"/>
  <c r="P381" i="12"/>
  <c r="N381" i="12"/>
  <c r="AI381" i="12" s="1"/>
  <c r="L381" i="12"/>
  <c r="T381" i="12"/>
  <c r="J381" i="12" s="1"/>
  <c r="S381" i="12"/>
  <c r="H381" i="12" s="1"/>
  <c r="U381" i="12"/>
  <c r="K381" i="12" s="1"/>
  <c r="Q381" i="12"/>
  <c r="F381" i="12"/>
  <c r="B382" i="12"/>
  <c r="AE382" i="12" s="1"/>
  <c r="R381" i="12"/>
  <c r="G381" i="12" s="1"/>
  <c r="I381" i="12"/>
  <c r="E381" i="12"/>
  <c r="M381" i="12" l="1"/>
  <c r="AH382" i="12"/>
  <c r="AD382" i="12"/>
  <c r="V382" i="12"/>
  <c r="X382" i="12"/>
  <c r="W382" i="12"/>
  <c r="D382" i="12"/>
  <c r="A382" i="12"/>
  <c r="O382" i="12" l="1"/>
  <c r="P382" i="12"/>
  <c r="N382" i="12"/>
  <c r="AI382" i="12" s="1"/>
  <c r="C383" i="12"/>
  <c r="Y383" i="12" s="1"/>
  <c r="I382" i="12"/>
  <c r="E382" i="12"/>
  <c r="L382" i="12"/>
  <c r="T382" i="12"/>
  <c r="J382" i="12" s="1"/>
  <c r="U382" i="12"/>
  <c r="K382" i="12" s="1"/>
  <c r="R382" i="12"/>
  <c r="G382" i="12" s="1"/>
  <c r="S382" i="12"/>
  <c r="H382" i="12" s="1"/>
  <c r="F382" i="12"/>
  <c r="Q382" i="12"/>
  <c r="B383" i="12"/>
  <c r="AE383" i="12" s="1"/>
  <c r="M382" i="12" l="1"/>
  <c r="AH383" i="12"/>
  <c r="AD383" i="12"/>
  <c r="V383" i="12"/>
  <c r="X383" i="12"/>
  <c r="W383" i="12"/>
  <c r="A383" i="12"/>
  <c r="D383" i="12"/>
  <c r="O383" i="12" l="1"/>
  <c r="P383" i="12"/>
  <c r="N383" i="12"/>
  <c r="AI383" i="12" s="1"/>
  <c r="C384" i="12"/>
  <c r="Y384" i="12" s="1"/>
  <c r="L383" i="12"/>
  <c r="T383" i="12"/>
  <c r="J383" i="12" s="1"/>
  <c r="R383" i="12"/>
  <c r="G383" i="12" s="1"/>
  <c r="F383" i="12"/>
  <c r="Q383" i="12"/>
  <c r="U383" i="12"/>
  <c r="K383" i="12" s="1"/>
  <c r="S383" i="12"/>
  <c r="H383" i="12" s="1"/>
  <c r="I383" i="12"/>
  <c r="E383" i="12"/>
  <c r="B384" i="12"/>
  <c r="AE384" i="12" s="1"/>
  <c r="M383" i="12" l="1"/>
  <c r="AH384" i="12"/>
  <c r="AD384" i="12"/>
  <c r="X384" i="12"/>
  <c r="W384" i="12"/>
  <c r="V384" i="12"/>
  <c r="D384" i="12"/>
  <c r="A384" i="12"/>
  <c r="O384" i="12" l="1"/>
  <c r="C385" i="12"/>
  <c r="Y385" i="12" s="1"/>
  <c r="N384" i="12"/>
  <c r="AI384" i="12" s="1"/>
  <c r="P384" i="12"/>
  <c r="L384" i="12"/>
  <c r="R384" i="12"/>
  <c r="G384" i="12" s="1"/>
  <c r="T384" i="12"/>
  <c r="J384" i="12" s="1"/>
  <c r="U384" i="12"/>
  <c r="K384" i="12" s="1"/>
  <c r="F384" i="12"/>
  <c r="I384" i="12"/>
  <c r="Q384" i="12"/>
  <c r="E384" i="12"/>
  <c r="B385" i="12"/>
  <c r="AE385" i="12" s="1"/>
  <c r="S384" i="12"/>
  <c r="H384" i="12" s="1"/>
  <c r="M384" i="12" l="1"/>
  <c r="AH385" i="12"/>
  <c r="AD385" i="12"/>
  <c r="V385" i="12"/>
  <c r="X385" i="12"/>
  <c r="W385" i="12"/>
  <c r="D385" i="12"/>
  <c r="A385" i="12"/>
  <c r="O385" i="12" l="1"/>
  <c r="N385" i="12"/>
  <c r="AI385" i="12" s="1"/>
  <c r="P385" i="12"/>
  <c r="C386" i="12"/>
  <c r="Y386" i="12" s="1"/>
  <c r="U385" i="12"/>
  <c r="K385" i="12" s="1"/>
  <c r="B386" i="12"/>
  <c r="AE386" i="12" s="1"/>
  <c r="R385" i="12"/>
  <c r="G385" i="12" s="1"/>
  <c r="I385" i="12"/>
  <c r="Q385" i="12"/>
  <c r="L385" i="12"/>
  <c r="T385" i="12"/>
  <c r="J385" i="12" s="1"/>
  <c r="S385" i="12"/>
  <c r="H385" i="12" s="1"/>
  <c r="F385" i="12"/>
  <c r="E385" i="12"/>
  <c r="M385" i="12" l="1"/>
  <c r="AH386" i="12"/>
  <c r="AD386" i="12"/>
  <c r="W386" i="12"/>
  <c r="V386" i="12"/>
  <c r="X386" i="12"/>
  <c r="D386" i="12"/>
  <c r="A386" i="12"/>
  <c r="O386" i="12" l="1"/>
  <c r="P386" i="12"/>
  <c r="N386" i="12"/>
  <c r="AI386" i="12" s="1"/>
  <c r="C387" i="12"/>
  <c r="Y387" i="12" s="1"/>
  <c r="L386" i="12"/>
  <c r="R386" i="12"/>
  <c r="G386" i="12" s="1"/>
  <c r="S386" i="12"/>
  <c r="H386" i="12" s="1"/>
  <c r="T386" i="12"/>
  <c r="J386" i="12" s="1"/>
  <c r="U386" i="12"/>
  <c r="K386" i="12" s="1"/>
  <c r="F386" i="12"/>
  <c r="I386" i="12"/>
  <c r="Q386" i="12"/>
  <c r="B387" i="12"/>
  <c r="AE387" i="12" s="1"/>
  <c r="E386" i="12"/>
  <c r="M386" i="12" l="1"/>
  <c r="AH387" i="12"/>
  <c r="AD387" i="12"/>
  <c r="V387" i="12"/>
  <c r="W387" i="12"/>
  <c r="X387" i="12"/>
  <c r="A387" i="12"/>
  <c r="D387" i="12"/>
  <c r="O387" i="12" l="1"/>
  <c r="N387" i="12"/>
  <c r="AI387" i="12" s="1"/>
  <c r="P387" i="12"/>
  <c r="C388" i="12"/>
  <c r="Y388" i="12" s="1"/>
  <c r="T387" i="12"/>
  <c r="J387" i="12" s="1"/>
  <c r="R387" i="12"/>
  <c r="G387" i="12" s="1"/>
  <c r="F387" i="12"/>
  <c r="Q387" i="12"/>
  <c r="B388" i="12"/>
  <c r="AE388" i="12" s="1"/>
  <c r="L387" i="12"/>
  <c r="U387" i="12"/>
  <c r="K387" i="12" s="1"/>
  <c r="S387" i="12"/>
  <c r="H387" i="12" s="1"/>
  <c r="I387" i="12"/>
  <c r="E387" i="12"/>
  <c r="M387" i="12" l="1"/>
  <c r="AH388" i="12"/>
  <c r="AD388" i="12"/>
  <c r="V388" i="12"/>
  <c r="X388" i="12"/>
  <c r="W388" i="12"/>
  <c r="D388" i="12"/>
  <c r="A388" i="12"/>
  <c r="O388" i="12" l="1"/>
  <c r="N388" i="12"/>
  <c r="AI388" i="12" s="1"/>
  <c r="P388" i="12"/>
  <c r="C389" i="12"/>
  <c r="Y389" i="12" s="1"/>
  <c r="L388" i="12"/>
  <c r="U388" i="12"/>
  <c r="K388" i="12" s="1"/>
  <c r="R388" i="12"/>
  <c r="G388" i="12" s="1"/>
  <c r="S388" i="12"/>
  <c r="H388" i="12" s="1"/>
  <c r="F388" i="12"/>
  <c r="Q388" i="12"/>
  <c r="B389" i="12"/>
  <c r="AE389" i="12" s="1"/>
  <c r="T388" i="12"/>
  <c r="J388" i="12" s="1"/>
  <c r="I388" i="12"/>
  <c r="E388" i="12"/>
  <c r="M388" i="12" l="1"/>
  <c r="AH389" i="12"/>
  <c r="AD389" i="12"/>
  <c r="V389" i="12"/>
  <c r="W389" i="12"/>
  <c r="X389" i="12"/>
  <c r="A389" i="12"/>
  <c r="D389" i="12"/>
  <c r="O389" i="12" l="1"/>
  <c r="N389" i="12"/>
  <c r="AI389" i="12" s="1"/>
  <c r="P389" i="12"/>
  <c r="C390" i="12"/>
  <c r="Y390" i="12" s="1"/>
  <c r="L389" i="12"/>
  <c r="R389" i="12"/>
  <c r="G389" i="12" s="1"/>
  <c r="S389" i="12"/>
  <c r="H389" i="12" s="1"/>
  <c r="U389" i="12"/>
  <c r="K389" i="12" s="1"/>
  <c r="F389" i="12"/>
  <c r="I389" i="12"/>
  <c r="B390" i="12"/>
  <c r="AE390" i="12" s="1"/>
  <c r="T389" i="12"/>
  <c r="J389" i="12" s="1"/>
  <c r="Q389" i="12"/>
  <c r="E389" i="12"/>
  <c r="M389" i="12" l="1"/>
  <c r="AH390" i="12"/>
  <c r="AD390" i="12"/>
  <c r="V390" i="12"/>
  <c r="W390" i="12"/>
  <c r="X390" i="12"/>
  <c r="A390" i="12"/>
  <c r="D390" i="12"/>
  <c r="O390" i="12" l="1"/>
  <c r="P390" i="12"/>
  <c r="C391" i="12"/>
  <c r="Y391" i="12" s="1"/>
  <c r="N390" i="12"/>
  <c r="AI390" i="12" s="1"/>
  <c r="S390" i="12"/>
  <c r="H390" i="12" s="1"/>
  <c r="E390" i="12"/>
  <c r="L390" i="12"/>
  <c r="U390" i="12"/>
  <c r="K390" i="12" s="1"/>
  <c r="R390" i="12"/>
  <c r="G390" i="12" s="1"/>
  <c r="F390" i="12"/>
  <c r="I390" i="12"/>
  <c r="Q390" i="12"/>
  <c r="T390" i="12"/>
  <c r="J390" i="12" s="1"/>
  <c r="B391" i="12"/>
  <c r="AE391" i="12" s="1"/>
  <c r="M390" i="12" l="1"/>
  <c r="AH391" i="12"/>
  <c r="AD391" i="12"/>
  <c r="X391" i="12"/>
  <c r="W391" i="12"/>
  <c r="V391" i="12"/>
  <c r="D391" i="12"/>
  <c r="A391" i="12"/>
  <c r="P391" i="12" l="1"/>
  <c r="N391" i="12"/>
  <c r="AI391" i="12" s="1"/>
  <c r="C392" i="12"/>
  <c r="Y392" i="12" s="1"/>
  <c r="L391" i="12"/>
  <c r="R391" i="12"/>
  <c r="G391" i="12" s="1"/>
  <c r="S391" i="12"/>
  <c r="H391" i="12" s="1"/>
  <c r="T391" i="12"/>
  <c r="J391" i="12" s="1"/>
  <c r="U391" i="12"/>
  <c r="K391" i="12" s="1"/>
  <c r="F391" i="12"/>
  <c r="I391" i="12"/>
  <c r="Q391" i="12"/>
  <c r="O391" i="12"/>
  <c r="E391" i="12"/>
  <c r="B392" i="12"/>
  <c r="AE392" i="12" s="1"/>
  <c r="M391" i="12" l="1"/>
  <c r="AH392" i="12"/>
  <c r="AD392" i="12"/>
  <c r="V392" i="12"/>
  <c r="W392" i="12"/>
  <c r="X392" i="12"/>
  <c r="D392" i="12"/>
  <c r="A392" i="12"/>
  <c r="O392" i="12" l="1"/>
  <c r="P392" i="12"/>
  <c r="C393" i="12"/>
  <c r="Y393" i="12" s="1"/>
  <c r="N392" i="12"/>
  <c r="AI392" i="12" s="1"/>
  <c r="L392" i="12"/>
  <c r="S392" i="12"/>
  <c r="H392" i="12" s="1"/>
  <c r="T392" i="12"/>
  <c r="J392" i="12" s="1"/>
  <c r="E392" i="12"/>
  <c r="R392" i="12"/>
  <c r="G392" i="12" s="1"/>
  <c r="U392" i="12"/>
  <c r="K392" i="12" s="1"/>
  <c r="F392" i="12"/>
  <c r="I392" i="12"/>
  <c r="Q392" i="12"/>
  <c r="B393" i="12"/>
  <c r="AE393" i="12" s="1"/>
  <c r="M392" i="12" l="1"/>
  <c r="AH393" i="12"/>
  <c r="AD393" i="12"/>
  <c r="V393" i="12"/>
  <c r="W393" i="12"/>
  <c r="X393" i="12"/>
  <c r="A393" i="12"/>
  <c r="D393" i="12"/>
  <c r="N393" i="12" l="1"/>
  <c r="AI393" i="12" s="1"/>
  <c r="P393" i="12"/>
  <c r="C394" i="12"/>
  <c r="Y394" i="12" s="1"/>
  <c r="B394" i="12"/>
  <c r="AE394" i="12" s="1"/>
  <c r="L393" i="12"/>
  <c r="R393" i="12"/>
  <c r="G393" i="12" s="1"/>
  <c r="T393" i="12"/>
  <c r="J393" i="12" s="1"/>
  <c r="U393" i="12"/>
  <c r="K393" i="12" s="1"/>
  <c r="I393" i="12"/>
  <c r="Q393" i="12"/>
  <c r="O393" i="12"/>
  <c r="S393" i="12"/>
  <c r="H393" i="12" s="1"/>
  <c r="F393" i="12"/>
  <c r="E393" i="12"/>
  <c r="M393" i="12" l="1"/>
  <c r="AH394" i="12"/>
  <c r="AD394" i="12"/>
  <c r="V394" i="12"/>
  <c r="W394" i="12"/>
  <c r="X394" i="12"/>
  <c r="A394" i="12"/>
  <c r="D394" i="12"/>
  <c r="O394" i="12" l="1"/>
  <c r="P394" i="12"/>
  <c r="N394" i="12"/>
  <c r="AI394" i="12" s="1"/>
  <c r="C395" i="12"/>
  <c r="Y395" i="12" s="1"/>
  <c r="L394" i="12"/>
  <c r="U394" i="12"/>
  <c r="K394" i="12" s="1"/>
  <c r="S394" i="12"/>
  <c r="H394" i="12" s="1"/>
  <c r="T394" i="12"/>
  <c r="J394" i="12" s="1"/>
  <c r="R394" i="12"/>
  <c r="G394" i="12" s="1"/>
  <c r="F394" i="12"/>
  <c r="I394" i="12"/>
  <c r="E394" i="12"/>
  <c r="B395" i="12"/>
  <c r="AE395" i="12" s="1"/>
  <c r="Q394" i="12"/>
  <c r="M394" i="12" l="1"/>
  <c r="AH395" i="12"/>
  <c r="AD395" i="12"/>
  <c r="V395" i="12"/>
  <c r="X395" i="12"/>
  <c r="W395" i="12"/>
  <c r="A395" i="12"/>
  <c r="D395" i="12"/>
  <c r="O395" i="12" l="1"/>
  <c r="N395" i="12"/>
  <c r="AI395" i="12" s="1"/>
  <c r="P395" i="12"/>
  <c r="C396" i="12"/>
  <c r="Y396" i="12" s="1"/>
  <c r="B396" i="12"/>
  <c r="AE396" i="12" s="1"/>
  <c r="L395" i="12"/>
  <c r="S395" i="12"/>
  <c r="H395" i="12" s="1"/>
  <c r="R395" i="12"/>
  <c r="G395" i="12" s="1"/>
  <c r="U395" i="12"/>
  <c r="K395" i="12" s="1"/>
  <c r="F395" i="12"/>
  <c r="I395" i="12"/>
  <c r="Q395" i="12"/>
  <c r="T395" i="12"/>
  <c r="J395" i="12" s="1"/>
  <c r="E395" i="12"/>
  <c r="M395" i="12" l="1"/>
  <c r="AH396" i="12"/>
  <c r="AD396" i="12"/>
  <c r="X396" i="12"/>
  <c r="W396" i="12"/>
  <c r="V396" i="12"/>
  <c r="A396" i="12"/>
  <c r="D396" i="12"/>
  <c r="N396" i="12" l="1"/>
  <c r="AI396" i="12" s="1"/>
  <c r="P396" i="12"/>
  <c r="L396" i="12"/>
  <c r="T396" i="12"/>
  <c r="J396" i="12" s="1"/>
  <c r="U396" i="12"/>
  <c r="K396" i="12" s="1"/>
  <c r="S396" i="12"/>
  <c r="H396" i="12" s="1"/>
  <c r="I396" i="12"/>
  <c r="E396" i="12"/>
  <c r="O396" i="12"/>
  <c r="R396" i="12"/>
  <c r="G396" i="12" s="1"/>
  <c r="F396" i="12"/>
  <c r="Q396" i="12"/>
  <c r="B397" i="12"/>
  <c r="AE397" i="12" s="1"/>
  <c r="C397" i="12"/>
  <c r="Y397" i="12" s="1"/>
  <c r="M396" i="12" l="1"/>
  <c r="AH397" i="12"/>
  <c r="V397" i="12"/>
  <c r="W397" i="12"/>
  <c r="X397" i="12"/>
  <c r="A397" i="12"/>
  <c r="AD397" i="12"/>
  <c r="D397" i="12"/>
  <c r="O397" i="12" l="1"/>
  <c r="C398" i="12"/>
  <c r="Y398" i="12" s="1"/>
  <c r="N397" i="12"/>
  <c r="AI397" i="12" s="1"/>
  <c r="P397" i="12"/>
  <c r="L397" i="12"/>
  <c r="R397" i="12"/>
  <c r="G397" i="12" s="1"/>
  <c r="S397" i="12"/>
  <c r="H397" i="12" s="1"/>
  <c r="U397" i="12"/>
  <c r="K397" i="12" s="1"/>
  <c r="F397" i="12"/>
  <c r="I397" i="12"/>
  <c r="B398" i="12"/>
  <c r="AE398" i="12" s="1"/>
  <c r="T397" i="12"/>
  <c r="J397" i="12" s="1"/>
  <c r="Q397" i="12"/>
  <c r="E397" i="12"/>
  <c r="M397" i="12" l="1"/>
  <c r="AH398" i="12"/>
  <c r="AD398" i="12"/>
  <c r="V398" i="12"/>
  <c r="X398" i="12"/>
  <c r="W398" i="12"/>
  <c r="D398" i="12"/>
  <c r="A398" i="12"/>
  <c r="O398" i="12" l="1"/>
  <c r="N398" i="12"/>
  <c r="AI398" i="12" s="1"/>
  <c r="P398" i="12"/>
  <c r="C399" i="12"/>
  <c r="Y399" i="12" s="1"/>
  <c r="U398" i="12"/>
  <c r="K398" i="12" s="1"/>
  <c r="T398" i="12"/>
  <c r="J398" i="12" s="1"/>
  <c r="R398" i="12"/>
  <c r="G398" i="12" s="1"/>
  <c r="F398" i="12"/>
  <c r="Q398" i="12"/>
  <c r="B399" i="12"/>
  <c r="AE399" i="12" s="1"/>
  <c r="L398" i="12"/>
  <c r="S398" i="12"/>
  <c r="H398" i="12" s="1"/>
  <c r="I398" i="12"/>
  <c r="E398" i="12"/>
  <c r="M398" i="12" l="1"/>
  <c r="AH399" i="12"/>
  <c r="AD399" i="12"/>
  <c r="V399" i="12"/>
  <c r="W399" i="12"/>
  <c r="A399" i="12"/>
  <c r="D399" i="12"/>
  <c r="X399" i="12"/>
  <c r="O399" i="12" l="1"/>
  <c r="P399" i="12"/>
  <c r="N399" i="12"/>
  <c r="AI399" i="12" s="1"/>
  <c r="C400" i="12"/>
  <c r="Y400" i="12" s="1"/>
  <c r="L399" i="12"/>
  <c r="S399" i="12"/>
  <c r="H399" i="12" s="1"/>
  <c r="Q399" i="12"/>
  <c r="B400" i="12"/>
  <c r="AE400" i="12" s="1"/>
  <c r="R399" i="12"/>
  <c r="G399" i="12" s="1"/>
  <c r="U399" i="12"/>
  <c r="K399" i="12" s="1"/>
  <c r="F399" i="12"/>
  <c r="I399" i="12"/>
  <c r="E399" i="12"/>
  <c r="T399" i="12"/>
  <c r="J399" i="12" s="1"/>
  <c r="M399" i="12" l="1"/>
  <c r="AH400" i="12"/>
  <c r="W400" i="12"/>
  <c r="X400" i="12"/>
  <c r="V400" i="12"/>
  <c r="A400" i="12"/>
  <c r="AD400" i="12"/>
  <c r="D400" i="12"/>
  <c r="O400" i="12" l="1"/>
  <c r="P400" i="12"/>
  <c r="C401" i="12"/>
  <c r="Y401" i="12" s="1"/>
  <c r="N400" i="12"/>
  <c r="AI400" i="12" s="1"/>
  <c r="F400" i="12"/>
  <c r="E400" i="12"/>
  <c r="R400" i="12"/>
  <c r="G400" i="12" s="1"/>
  <c r="S400" i="12"/>
  <c r="H400" i="12" s="1"/>
  <c r="T400" i="12"/>
  <c r="J400" i="12" s="1"/>
  <c r="Q400" i="12"/>
  <c r="B401" i="12"/>
  <c r="AE401" i="12" s="1"/>
  <c r="L400" i="12"/>
  <c r="U400" i="12"/>
  <c r="K400" i="12" s="1"/>
  <c r="I400" i="12"/>
  <c r="M400" i="12" l="1"/>
  <c r="AH401" i="12"/>
  <c r="AD401" i="12"/>
  <c r="V401" i="12"/>
  <c r="W401" i="12"/>
  <c r="X401" i="12"/>
  <c r="D401" i="12"/>
  <c r="A401" i="12"/>
  <c r="O401" i="12" l="1"/>
  <c r="C402" i="12"/>
  <c r="Y402" i="12" s="1"/>
  <c r="N401" i="12"/>
  <c r="AI401" i="12" s="1"/>
  <c r="R401" i="12"/>
  <c r="G401" i="12" s="1"/>
  <c r="U401" i="12"/>
  <c r="K401" i="12" s="1"/>
  <c r="I401" i="12"/>
  <c r="E401" i="12"/>
  <c r="P401" i="12"/>
  <c r="L401" i="12"/>
  <c r="S401" i="12"/>
  <c r="H401" i="12" s="1"/>
  <c r="T401" i="12"/>
  <c r="J401" i="12" s="1"/>
  <c r="F401" i="12"/>
  <c r="Q401" i="12"/>
  <c r="B402" i="12"/>
  <c r="AE402" i="12" s="1"/>
  <c r="M401" i="12" l="1"/>
  <c r="AH402" i="12"/>
  <c r="AD402" i="12"/>
  <c r="V402" i="12"/>
  <c r="W402" i="12"/>
  <c r="X402" i="12"/>
  <c r="A402" i="12"/>
  <c r="D402" i="12"/>
  <c r="C403" i="12" l="1"/>
  <c r="Y403" i="12" s="1"/>
  <c r="P402" i="12"/>
  <c r="I402" i="12"/>
  <c r="E402" i="12"/>
  <c r="N402" i="12"/>
  <c r="AI402" i="12" s="1"/>
  <c r="L402" i="12"/>
  <c r="R402" i="12"/>
  <c r="G402" i="12" s="1"/>
  <c r="T402" i="12"/>
  <c r="J402" i="12" s="1"/>
  <c r="U402" i="12"/>
  <c r="K402" i="12" s="1"/>
  <c r="F402" i="12"/>
  <c r="Q402" i="12"/>
  <c r="B403" i="12"/>
  <c r="AE403" i="12" s="1"/>
  <c r="S402" i="12"/>
  <c r="H402" i="12" s="1"/>
  <c r="O402" i="12"/>
  <c r="M402" i="12" l="1"/>
  <c r="AH403" i="12"/>
  <c r="AD403" i="12"/>
  <c r="V403" i="12"/>
  <c r="W403" i="12"/>
  <c r="X403" i="12"/>
  <c r="D403" i="12"/>
  <c r="A403" i="12"/>
  <c r="O403" i="12" l="1"/>
  <c r="P403" i="12"/>
  <c r="C404" i="12"/>
  <c r="Y404" i="12" s="1"/>
  <c r="N403" i="12"/>
  <c r="AI403" i="12" s="1"/>
  <c r="L403" i="12"/>
  <c r="T403" i="12"/>
  <c r="J403" i="12" s="1"/>
  <c r="S403" i="12"/>
  <c r="H403" i="12" s="1"/>
  <c r="U403" i="12"/>
  <c r="K403" i="12" s="1"/>
  <c r="F403" i="12"/>
  <c r="I403" i="12"/>
  <c r="Q403" i="12"/>
  <c r="B404" i="12"/>
  <c r="AE404" i="12" s="1"/>
  <c r="E403" i="12"/>
  <c r="R403" i="12"/>
  <c r="G403" i="12" s="1"/>
  <c r="M403" i="12" l="1"/>
  <c r="AH404" i="12"/>
  <c r="AD404" i="12"/>
  <c r="X404" i="12"/>
  <c r="V404" i="12"/>
  <c r="D404" i="12"/>
  <c r="A404" i="12"/>
  <c r="W404" i="12"/>
  <c r="O404" i="12" l="1"/>
  <c r="C405" i="12"/>
  <c r="Y405" i="12" s="1"/>
  <c r="N404" i="12"/>
  <c r="AI404" i="12" s="1"/>
  <c r="P404" i="12"/>
  <c r="R404" i="12"/>
  <c r="G404" i="12" s="1"/>
  <c r="B405" i="12"/>
  <c r="AE405" i="12" s="1"/>
  <c r="L404" i="12"/>
  <c r="T404" i="12"/>
  <c r="J404" i="12" s="1"/>
  <c r="U404" i="12"/>
  <c r="K404" i="12" s="1"/>
  <c r="S404" i="12"/>
  <c r="H404" i="12" s="1"/>
  <c r="F404" i="12"/>
  <c r="I404" i="12"/>
  <c r="Q404" i="12"/>
  <c r="E404" i="12"/>
  <c r="M404" i="12" l="1"/>
  <c r="AH405" i="12"/>
  <c r="W405" i="12"/>
  <c r="AD405" i="12"/>
  <c r="V405" i="12"/>
  <c r="X405" i="12"/>
  <c r="D405" i="12"/>
  <c r="A405" i="12"/>
  <c r="O405" i="12" l="1"/>
  <c r="C406" i="12"/>
  <c r="Y406" i="12" s="1"/>
  <c r="P405" i="12"/>
  <c r="L405" i="12"/>
  <c r="U405" i="12"/>
  <c r="K405" i="12" s="1"/>
  <c r="T405" i="12"/>
  <c r="J405" i="12" s="1"/>
  <c r="R405" i="12"/>
  <c r="G405" i="12" s="1"/>
  <c r="S405" i="12"/>
  <c r="H405" i="12" s="1"/>
  <c r="F405" i="12"/>
  <c r="I405" i="12"/>
  <c r="Q405" i="12"/>
  <c r="N405" i="12"/>
  <c r="AI405" i="12" s="1"/>
  <c r="B406" i="12"/>
  <c r="AE406" i="12" s="1"/>
  <c r="E405" i="12"/>
  <c r="M405" i="12" l="1"/>
  <c r="AH406" i="12"/>
  <c r="AD406" i="12"/>
  <c r="V406" i="12"/>
  <c r="X406" i="12"/>
  <c r="W406" i="12"/>
  <c r="D406" i="12"/>
  <c r="A406" i="12"/>
  <c r="O406" i="12" l="1"/>
  <c r="P406" i="12"/>
  <c r="N406" i="12"/>
  <c r="AI406" i="12" s="1"/>
  <c r="C407" i="12"/>
  <c r="Y407" i="12" s="1"/>
  <c r="L406" i="12"/>
  <c r="R406" i="12"/>
  <c r="G406" i="12" s="1"/>
  <c r="S406" i="12"/>
  <c r="H406" i="12" s="1"/>
  <c r="T406" i="12"/>
  <c r="J406" i="12" s="1"/>
  <c r="U406" i="12"/>
  <c r="K406" i="12" s="1"/>
  <c r="F406" i="12"/>
  <c r="I406" i="12"/>
  <c r="E406" i="12"/>
  <c r="B407" i="12"/>
  <c r="AE407" i="12" s="1"/>
  <c r="Q406" i="12"/>
  <c r="M406" i="12" l="1"/>
  <c r="AH407" i="12"/>
  <c r="AD407" i="12"/>
  <c r="W407" i="12"/>
  <c r="X407" i="12"/>
  <c r="V407" i="12"/>
  <c r="D407" i="12"/>
  <c r="A407" i="12"/>
  <c r="O407" i="12" l="1"/>
  <c r="C408" i="12"/>
  <c r="Y408" i="12" s="1"/>
  <c r="N407" i="12"/>
  <c r="AI407" i="12" s="1"/>
  <c r="P407" i="12"/>
  <c r="L407" i="12"/>
  <c r="R407" i="12"/>
  <c r="G407" i="12" s="1"/>
  <c r="U407" i="12"/>
  <c r="K407" i="12" s="1"/>
  <c r="T407" i="12"/>
  <c r="J407" i="12" s="1"/>
  <c r="S407" i="12"/>
  <c r="H407" i="12" s="1"/>
  <c r="F407" i="12"/>
  <c r="I407" i="12"/>
  <c r="Q407" i="12"/>
  <c r="E407" i="12"/>
  <c r="B408" i="12"/>
  <c r="AE408" i="12" s="1"/>
  <c r="M407" i="12" l="1"/>
  <c r="AH408" i="12"/>
  <c r="AD408" i="12"/>
  <c r="V408" i="12"/>
  <c r="X408" i="12"/>
  <c r="W408" i="12"/>
  <c r="D408" i="12"/>
  <c r="A408" i="12"/>
  <c r="O408" i="12" l="1"/>
  <c r="C409" i="12"/>
  <c r="Y409" i="12" s="1"/>
  <c r="T408" i="12"/>
  <c r="J408" i="12" s="1"/>
  <c r="S408" i="12"/>
  <c r="H408" i="12" s="1"/>
  <c r="I408" i="12"/>
  <c r="B409" i="12"/>
  <c r="AE409" i="12" s="1"/>
  <c r="N408" i="12"/>
  <c r="AI408" i="12" s="1"/>
  <c r="P408" i="12"/>
  <c r="R408" i="12"/>
  <c r="G408" i="12" s="1"/>
  <c r="E408" i="12"/>
  <c r="L408" i="12"/>
  <c r="U408" i="12"/>
  <c r="K408" i="12" s="1"/>
  <c r="F408" i="12"/>
  <c r="Q408" i="12"/>
  <c r="M408" i="12" l="1"/>
  <c r="AH409" i="12"/>
  <c r="AD409" i="12"/>
  <c r="W409" i="12"/>
  <c r="X409" i="12"/>
  <c r="V409" i="12"/>
  <c r="A409" i="12"/>
  <c r="D409" i="12"/>
  <c r="O409" i="12" l="1"/>
  <c r="N409" i="12"/>
  <c r="AI409" i="12" s="1"/>
  <c r="C410" i="12"/>
  <c r="Y410" i="12" s="1"/>
  <c r="L409" i="12"/>
  <c r="S409" i="12"/>
  <c r="H409" i="12" s="1"/>
  <c r="U409" i="12"/>
  <c r="K409" i="12" s="1"/>
  <c r="I409" i="12"/>
  <c r="Q409" i="12"/>
  <c r="P409" i="12"/>
  <c r="R409" i="12"/>
  <c r="G409" i="12" s="1"/>
  <c r="T409" i="12"/>
  <c r="J409" i="12" s="1"/>
  <c r="F409" i="12"/>
  <c r="E409" i="12"/>
  <c r="B410" i="12"/>
  <c r="AE410" i="12" s="1"/>
  <c r="M409" i="12" l="1"/>
  <c r="AH410" i="12"/>
  <c r="AD410" i="12"/>
  <c r="V410" i="12"/>
  <c r="W410" i="12"/>
  <c r="X410" i="12"/>
  <c r="A410" i="12"/>
  <c r="D410" i="12"/>
  <c r="O410" i="12" l="1"/>
  <c r="N410" i="12"/>
  <c r="AI410" i="12" s="1"/>
  <c r="L410" i="12"/>
  <c r="S410" i="12"/>
  <c r="H410" i="12" s="1"/>
  <c r="T410" i="12"/>
  <c r="J410" i="12" s="1"/>
  <c r="F410" i="12"/>
  <c r="Q410" i="12"/>
  <c r="E410" i="12"/>
  <c r="C411" i="12"/>
  <c r="Y411" i="12" s="1"/>
  <c r="P410" i="12"/>
  <c r="U410" i="12"/>
  <c r="K410" i="12" s="1"/>
  <c r="R410" i="12"/>
  <c r="G410" i="12" s="1"/>
  <c r="I410" i="12"/>
  <c r="B411" i="12"/>
  <c r="AE411" i="12" s="1"/>
  <c r="M410" i="12" l="1"/>
  <c r="AH411" i="12"/>
  <c r="W411" i="12"/>
  <c r="X411" i="12"/>
  <c r="V411" i="12"/>
  <c r="D411" i="12"/>
  <c r="A411" i="12"/>
  <c r="AD411" i="12"/>
  <c r="O411" i="12" l="1"/>
  <c r="P411" i="12"/>
  <c r="C412" i="12"/>
  <c r="Y412" i="12" s="1"/>
  <c r="N411" i="12"/>
  <c r="AI411" i="12" s="1"/>
  <c r="L411" i="12"/>
  <c r="S411" i="12"/>
  <c r="H411" i="12" s="1"/>
  <c r="R411" i="12"/>
  <c r="G411" i="12" s="1"/>
  <c r="T411" i="12"/>
  <c r="J411" i="12" s="1"/>
  <c r="U411" i="12"/>
  <c r="K411" i="12" s="1"/>
  <c r="F411" i="12"/>
  <c r="I411" i="12"/>
  <c r="Q411" i="12"/>
  <c r="B412" i="12"/>
  <c r="AE412" i="12" s="1"/>
  <c r="E411" i="12"/>
  <c r="M411" i="12" l="1"/>
  <c r="AH412" i="12"/>
  <c r="AD412" i="12"/>
  <c r="V412" i="12"/>
  <c r="W412" i="12"/>
  <c r="X412" i="12"/>
  <c r="D412" i="12"/>
  <c r="A412" i="12"/>
  <c r="O412" i="12" l="1"/>
  <c r="N412" i="12"/>
  <c r="AI412" i="12" s="1"/>
  <c r="P412" i="12"/>
  <c r="C413" i="12"/>
  <c r="Y413" i="12" s="1"/>
  <c r="L412" i="12"/>
  <c r="U412" i="12"/>
  <c r="K412" i="12" s="1"/>
  <c r="R412" i="12"/>
  <c r="G412" i="12" s="1"/>
  <c r="T412" i="12"/>
  <c r="J412" i="12" s="1"/>
  <c r="S412" i="12"/>
  <c r="H412" i="12" s="1"/>
  <c r="F412" i="12"/>
  <c r="I412" i="12"/>
  <c r="Q412" i="12"/>
  <c r="E412" i="12"/>
  <c r="B413" i="12"/>
  <c r="AE413" i="12" s="1"/>
  <c r="M412" i="12" l="1"/>
  <c r="AH413" i="12"/>
  <c r="AD413" i="12"/>
  <c r="V413" i="12"/>
  <c r="W413" i="12"/>
  <c r="X413" i="12"/>
  <c r="A413" i="12"/>
  <c r="D413" i="12"/>
  <c r="O413" i="12" l="1"/>
  <c r="N413" i="12"/>
  <c r="AI413" i="12" s="1"/>
  <c r="P413" i="12"/>
  <c r="C414" i="12"/>
  <c r="Y414" i="12" s="1"/>
  <c r="L413" i="12"/>
  <c r="U413" i="12"/>
  <c r="K413" i="12" s="1"/>
  <c r="R413" i="12"/>
  <c r="G413" i="12" s="1"/>
  <c r="S413" i="12"/>
  <c r="H413" i="12" s="1"/>
  <c r="T413" i="12"/>
  <c r="J413" i="12" s="1"/>
  <c r="F413" i="12"/>
  <c r="I413" i="12"/>
  <c r="E413" i="12"/>
  <c r="B414" i="12"/>
  <c r="AE414" i="12" s="1"/>
  <c r="Q413" i="12"/>
  <c r="M413" i="12" l="1"/>
  <c r="AH414" i="12"/>
  <c r="AD414" i="12"/>
  <c r="V414" i="12"/>
  <c r="X414" i="12"/>
  <c r="W414" i="12"/>
  <c r="D414" i="12"/>
  <c r="A414" i="12"/>
  <c r="O414" i="12" l="1"/>
  <c r="N414" i="12"/>
  <c r="AI414" i="12" s="1"/>
  <c r="P414" i="12"/>
  <c r="C415" i="12"/>
  <c r="Y415" i="12" s="1"/>
  <c r="B415" i="12"/>
  <c r="AE415" i="12" s="1"/>
  <c r="L414" i="12"/>
  <c r="T414" i="12"/>
  <c r="J414" i="12" s="1"/>
  <c r="U414" i="12"/>
  <c r="K414" i="12" s="1"/>
  <c r="F414" i="12"/>
  <c r="I414" i="12"/>
  <c r="E414" i="12"/>
  <c r="R414" i="12"/>
  <c r="G414" i="12" s="1"/>
  <c r="S414" i="12"/>
  <c r="H414" i="12" s="1"/>
  <c r="Q414" i="12"/>
  <c r="M414" i="12" l="1"/>
  <c r="AH415" i="12"/>
  <c r="AD415" i="12"/>
  <c r="W415" i="12"/>
  <c r="V415" i="12"/>
  <c r="X415" i="12"/>
  <c r="D415" i="12"/>
  <c r="A415" i="12"/>
  <c r="N415" i="12" l="1"/>
  <c r="AI415" i="12" s="1"/>
  <c r="P415" i="12"/>
  <c r="C416" i="12"/>
  <c r="Y416" i="12" s="1"/>
  <c r="T415" i="12"/>
  <c r="J415" i="12" s="1"/>
  <c r="F415" i="12"/>
  <c r="E415" i="12"/>
  <c r="B416" i="12"/>
  <c r="AE416" i="12" s="1"/>
  <c r="L415" i="12"/>
  <c r="R415" i="12"/>
  <c r="G415" i="12" s="1"/>
  <c r="S415" i="12"/>
  <c r="H415" i="12" s="1"/>
  <c r="I415" i="12"/>
  <c r="Q415" i="12"/>
  <c r="O415" i="12"/>
  <c r="U415" i="12"/>
  <c r="K415" i="12" s="1"/>
  <c r="M415" i="12" l="1"/>
  <c r="AH416" i="12"/>
  <c r="AD416" i="12"/>
  <c r="V416" i="12"/>
  <c r="W416" i="12"/>
  <c r="X416" i="12"/>
  <c r="D416" i="12"/>
  <c r="A416" i="12"/>
  <c r="O416" i="12" l="1"/>
  <c r="N416" i="12"/>
  <c r="AI416" i="12" s="1"/>
  <c r="P416" i="12"/>
  <c r="L416" i="12"/>
  <c r="R416" i="12"/>
  <c r="G416" i="12" s="1"/>
  <c r="S416" i="12"/>
  <c r="H416" i="12" s="1"/>
  <c r="T416" i="12"/>
  <c r="J416" i="12" s="1"/>
  <c r="U416" i="12"/>
  <c r="K416" i="12" s="1"/>
  <c r="F416" i="12"/>
  <c r="I416" i="12"/>
  <c r="Q416" i="12"/>
  <c r="E416" i="12"/>
  <c r="C417" i="12"/>
  <c r="Y417" i="12" s="1"/>
  <c r="B417" i="12"/>
  <c r="AE417" i="12" s="1"/>
  <c r="M416" i="12" l="1"/>
  <c r="AH417" i="12"/>
  <c r="AD417" i="12"/>
  <c r="V417" i="12"/>
  <c r="W417" i="12"/>
  <c r="X417" i="12"/>
  <c r="D417" i="12"/>
  <c r="A417" i="12"/>
  <c r="N417" i="12" l="1"/>
  <c r="AI417" i="12" s="1"/>
  <c r="P417" i="12"/>
  <c r="C418" i="12"/>
  <c r="Y418" i="12" s="1"/>
  <c r="T417" i="12"/>
  <c r="J417" i="12" s="1"/>
  <c r="Q417" i="12"/>
  <c r="B418" i="12"/>
  <c r="AE418" i="12" s="1"/>
  <c r="R417" i="12"/>
  <c r="G417" i="12" s="1"/>
  <c r="F417" i="12"/>
  <c r="E417" i="12"/>
  <c r="L417" i="12"/>
  <c r="U417" i="12"/>
  <c r="K417" i="12" s="1"/>
  <c r="S417" i="12"/>
  <c r="H417" i="12" s="1"/>
  <c r="I417" i="12"/>
  <c r="O417" i="12"/>
  <c r="M417" i="12" l="1"/>
  <c r="AH418" i="12"/>
  <c r="X418" i="12"/>
  <c r="W418" i="12"/>
  <c r="D418" i="12"/>
  <c r="AD418" i="12"/>
  <c r="V418" i="12"/>
  <c r="A418" i="12"/>
  <c r="O418" i="12" l="1"/>
  <c r="N418" i="12"/>
  <c r="AI418" i="12" s="1"/>
  <c r="C419" i="12"/>
  <c r="Y419" i="12" s="1"/>
  <c r="P418" i="12"/>
  <c r="U418" i="12"/>
  <c r="K418" i="12" s="1"/>
  <c r="F418" i="12"/>
  <c r="Q418" i="12"/>
  <c r="B419" i="12"/>
  <c r="AE419" i="12" s="1"/>
  <c r="L418" i="12"/>
  <c r="R418" i="12"/>
  <c r="G418" i="12" s="1"/>
  <c r="S418" i="12"/>
  <c r="H418" i="12" s="1"/>
  <c r="T418" i="12"/>
  <c r="J418" i="12" s="1"/>
  <c r="I418" i="12"/>
  <c r="E418" i="12"/>
  <c r="M418" i="12" l="1"/>
  <c r="AH419" i="12"/>
  <c r="AD419" i="12"/>
  <c r="W419" i="12"/>
  <c r="X419" i="12"/>
  <c r="V419" i="12"/>
  <c r="A419" i="12"/>
  <c r="D419" i="12"/>
  <c r="O419" i="12" l="1"/>
  <c r="N419" i="12"/>
  <c r="AI419" i="12" s="1"/>
  <c r="P419" i="12"/>
  <c r="C420" i="12"/>
  <c r="Y420" i="12" s="1"/>
  <c r="U419" i="12"/>
  <c r="K419" i="12" s="1"/>
  <c r="R419" i="12"/>
  <c r="G419" i="12" s="1"/>
  <c r="F419" i="12"/>
  <c r="Q419" i="12"/>
  <c r="B420" i="12"/>
  <c r="AE420" i="12" s="1"/>
  <c r="L419" i="12"/>
  <c r="T419" i="12"/>
  <c r="J419" i="12" s="1"/>
  <c r="S419" i="12"/>
  <c r="H419" i="12" s="1"/>
  <c r="I419" i="12"/>
  <c r="E419" i="12"/>
  <c r="M419" i="12" l="1"/>
  <c r="AH420" i="12"/>
  <c r="AD420" i="12"/>
  <c r="W420" i="12"/>
  <c r="V420" i="12"/>
  <c r="X420" i="12"/>
  <c r="D420" i="12"/>
  <c r="A420" i="12"/>
  <c r="P420" i="12" l="1"/>
  <c r="C421" i="12"/>
  <c r="Y421" i="12" s="1"/>
  <c r="T420" i="12"/>
  <c r="J420" i="12" s="1"/>
  <c r="F420" i="12"/>
  <c r="B421" i="12"/>
  <c r="AE421" i="12" s="1"/>
  <c r="S420" i="12"/>
  <c r="H420" i="12" s="1"/>
  <c r="I420" i="12"/>
  <c r="O420" i="12"/>
  <c r="L420" i="12"/>
  <c r="Q420" i="12"/>
  <c r="R420" i="12"/>
  <c r="G420" i="12" s="1"/>
  <c r="U420" i="12"/>
  <c r="K420" i="12" s="1"/>
  <c r="E420" i="12"/>
  <c r="N420" i="12"/>
  <c r="AI420" i="12" s="1"/>
  <c r="M420" i="12" l="1"/>
  <c r="AH421" i="12"/>
  <c r="AD421" i="12"/>
  <c r="V421" i="12"/>
  <c r="W421" i="12"/>
  <c r="X421" i="12"/>
  <c r="A421" i="12"/>
  <c r="D421" i="12"/>
  <c r="O421" i="12" l="1"/>
  <c r="N421" i="12"/>
  <c r="AI421" i="12" s="1"/>
  <c r="P421" i="12"/>
  <c r="C422" i="12"/>
  <c r="Y422" i="12" s="1"/>
  <c r="L421" i="12"/>
  <c r="T421" i="12"/>
  <c r="J421" i="12" s="1"/>
  <c r="S421" i="12"/>
  <c r="H421" i="12" s="1"/>
  <c r="U421" i="12"/>
  <c r="K421" i="12" s="1"/>
  <c r="F421" i="12"/>
  <c r="I421" i="12"/>
  <c r="E421" i="12"/>
  <c r="R421" i="12"/>
  <c r="G421" i="12" s="1"/>
  <c r="Q421" i="12"/>
  <c r="B422" i="12"/>
  <c r="AE422" i="12" s="1"/>
  <c r="M421" i="12" l="1"/>
  <c r="AH422" i="12"/>
  <c r="AD422" i="12"/>
  <c r="V422" i="12"/>
  <c r="W422" i="12"/>
  <c r="X422" i="12"/>
  <c r="D422" i="12"/>
  <c r="A422" i="12"/>
  <c r="O422" i="12" l="1"/>
  <c r="P422" i="12"/>
  <c r="N422" i="12"/>
  <c r="AI422" i="12" s="1"/>
  <c r="C423" i="12"/>
  <c r="Y423" i="12" s="1"/>
  <c r="L422" i="12"/>
  <c r="F422" i="12"/>
  <c r="E422" i="12"/>
  <c r="U422" i="12"/>
  <c r="K422" i="12" s="1"/>
  <c r="T422" i="12"/>
  <c r="J422" i="12" s="1"/>
  <c r="Q422" i="12"/>
  <c r="R422" i="12"/>
  <c r="G422" i="12" s="1"/>
  <c r="S422" i="12"/>
  <c r="H422" i="12" s="1"/>
  <c r="I422" i="12"/>
  <c r="B423" i="12"/>
  <c r="AE423" i="12" s="1"/>
  <c r="M422" i="12" l="1"/>
  <c r="AH423" i="12"/>
  <c r="AD423" i="12"/>
  <c r="X423" i="12"/>
  <c r="V423" i="12"/>
  <c r="W423" i="12"/>
  <c r="D423" i="12"/>
  <c r="A423" i="12"/>
  <c r="O423" i="12" l="1"/>
  <c r="N423" i="12"/>
  <c r="AI423" i="12" s="1"/>
  <c r="P423" i="12"/>
  <c r="C424" i="12"/>
  <c r="Y424" i="12" s="1"/>
  <c r="F423" i="12"/>
  <c r="Q423" i="12"/>
  <c r="B424" i="12"/>
  <c r="AE424" i="12" s="1"/>
  <c r="U423" i="12"/>
  <c r="K423" i="12" s="1"/>
  <c r="E423" i="12"/>
  <c r="L423" i="12"/>
  <c r="S423" i="12"/>
  <c r="H423" i="12" s="1"/>
  <c r="R423" i="12"/>
  <c r="G423" i="12" s="1"/>
  <c r="T423" i="12"/>
  <c r="J423" i="12" s="1"/>
  <c r="I423" i="12"/>
  <c r="M423" i="12" l="1"/>
  <c r="AH424" i="12"/>
  <c r="AD424" i="12"/>
  <c r="V424" i="12"/>
  <c r="X424" i="12"/>
  <c r="D424" i="12"/>
  <c r="A424" i="12"/>
  <c r="W424" i="12"/>
  <c r="O424" i="12" l="1"/>
  <c r="N424" i="12"/>
  <c r="AI424" i="12" s="1"/>
  <c r="P424" i="12"/>
  <c r="C425" i="12"/>
  <c r="Y425" i="12" s="1"/>
  <c r="L424" i="12"/>
  <c r="R424" i="12"/>
  <c r="G424" i="12" s="1"/>
  <c r="S424" i="12"/>
  <c r="H424" i="12" s="1"/>
  <c r="T424" i="12"/>
  <c r="J424" i="12" s="1"/>
  <c r="U424" i="12"/>
  <c r="K424" i="12" s="1"/>
  <c r="F424" i="12"/>
  <c r="I424" i="12"/>
  <c r="Q424" i="12"/>
  <c r="B425" i="12"/>
  <c r="AE425" i="12" s="1"/>
  <c r="E424" i="12"/>
  <c r="M424" i="12" l="1"/>
  <c r="AH425" i="12"/>
  <c r="AD425" i="12"/>
  <c r="V425" i="12"/>
  <c r="X425" i="12"/>
  <c r="W425" i="12"/>
  <c r="A425" i="12"/>
  <c r="D425" i="12"/>
  <c r="O425" i="12" l="1"/>
  <c r="N425" i="12"/>
  <c r="AI425" i="12" s="1"/>
  <c r="P425" i="12"/>
  <c r="C426" i="12"/>
  <c r="Y426" i="12" s="1"/>
  <c r="U425" i="12"/>
  <c r="K425" i="12" s="1"/>
  <c r="E425" i="12"/>
  <c r="L425" i="12"/>
  <c r="S425" i="12"/>
  <c r="H425" i="12" s="1"/>
  <c r="T425" i="12"/>
  <c r="J425" i="12" s="1"/>
  <c r="R425" i="12"/>
  <c r="G425" i="12" s="1"/>
  <c r="F425" i="12"/>
  <c r="I425" i="12"/>
  <c r="Q425" i="12"/>
  <c r="B426" i="12"/>
  <c r="AE426" i="12" s="1"/>
  <c r="M425" i="12" l="1"/>
  <c r="AH426" i="12"/>
  <c r="AD426" i="12"/>
  <c r="V426" i="12"/>
  <c r="X426" i="12"/>
  <c r="D426" i="12"/>
  <c r="A426" i="12"/>
  <c r="W426" i="12"/>
  <c r="O426" i="12" l="1"/>
  <c r="N426" i="12"/>
  <c r="AI426" i="12" s="1"/>
  <c r="P426" i="12"/>
  <c r="C427" i="12"/>
  <c r="Y427" i="12" s="1"/>
  <c r="L426" i="12"/>
  <c r="U426" i="12"/>
  <c r="K426" i="12" s="1"/>
  <c r="R426" i="12"/>
  <c r="G426" i="12" s="1"/>
  <c r="S426" i="12"/>
  <c r="H426" i="12" s="1"/>
  <c r="T426" i="12"/>
  <c r="J426" i="12" s="1"/>
  <c r="F426" i="12"/>
  <c r="I426" i="12"/>
  <c r="Q426" i="12"/>
  <c r="E426" i="12"/>
  <c r="B427" i="12"/>
  <c r="AE427" i="12" s="1"/>
  <c r="M426" i="12" l="1"/>
  <c r="AH427" i="12"/>
  <c r="W427" i="12"/>
  <c r="X427" i="12"/>
  <c r="V427" i="12"/>
  <c r="A427" i="12"/>
  <c r="D427" i="12"/>
  <c r="AD427" i="12"/>
  <c r="O427" i="12" l="1"/>
  <c r="N427" i="12"/>
  <c r="AI427" i="12" s="1"/>
  <c r="P427" i="12"/>
  <c r="C428" i="12"/>
  <c r="Y428" i="12" s="1"/>
  <c r="R427" i="12"/>
  <c r="G427" i="12" s="1"/>
  <c r="T427" i="12"/>
  <c r="J427" i="12" s="1"/>
  <c r="U427" i="12"/>
  <c r="K427" i="12" s="1"/>
  <c r="I427" i="12"/>
  <c r="E427" i="12"/>
  <c r="L427" i="12"/>
  <c r="S427" i="12"/>
  <c r="H427" i="12" s="1"/>
  <c r="F427" i="12"/>
  <c r="Q427" i="12"/>
  <c r="B428" i="12"/>
  <c r="AE428" i="12" s="1"/>
  <c r="M427" i="12" l="1"/>
  <c r="AH428" i="12"/>
  <c r="AD428" i="12"/>
  <c r="X428" i="12"/>
  <c r="V428" i="12"/>
  <c r="A428" i="12"/>
  <c r="W428" i="12"/>
  <c r="D428" i="12"/>
  <c r="C429" i="12" l="1"/>
  <c r="Y429" i="12" s="1"/>
  <c r="N428" i="12"/>
  <c r="AI428" i="12" s="1"/>
  <c r="T428" i="12"/>
  <c r="J428" i="12" s="1"/>
  <c r="E428" i="12"/>
  <c r="P428" i="12"/>
  <c r="R428" i="12"/>
  <c r="G428" i="12" s="1"/>
  <c r="F428" i="12"/>
  <c r="Q428" i="12"/>
  <c r="O428" i="12"/>
  <c r="L428" i="12"/>
  <c r="S428" i="12"/>
  <c r="H428" i="12" s="1"/>
  <c r="U428" i="12"/>
  <c r="K428" i="12" s="1"/>
  <c r="I428" i="12"/>
  <c r="B429" i="12"/>
  <c r="AE429" i="12" s="1"/>
  <c r="M428" i="12" l="1"/>
  <c r="AH429" i="12"/>
  <c r="AD429" i="12"/>
  <c r="V429" i="12"/>
  <c r="W429" i="12"/>
  <c r="X429" i="12"/>
  <c r="D429" i="12"/>
  <c r="A429" i="12"/>
  <c r="O429" i="12" l="1"/>
  <c r="N429" i="12"/>
  <c r="AI429" i="12" s="1"/>
  <c r="P429" i="12"/>
  <c r="C430" i="12"/>
  <c r="Y430" i="12" s="1"/>
  <c r="R429" i="12"/>
  <c r="G429" i="12" s="1"/>
  <c r="U429" i="12"/>
  <c r="K429" i="12" s="1"/>
  <c r="T429" i="12"/>
  <c r="J429" i="12" s="1"/>
  <c r="I429" i="12"/>
  <c r="E429" i="12"/>
  <c r="S429" i="12"/>
  <c r="H429" i="12" s="1"/>
  <c r="L429" i="12"/>
  <c r="F429" i="12"/>
  <c r="Q429" i="12"/>
  <c r="B430" i="12"/>
  <c r="AE430" i="12" s="1"/>
  <c r="M429" i="12" l="1"/>
  <c r="AH430" i="12"/>
  <c r="AD430" i="12"/>
  <c r="V430" i="12"/>
  <c r="X430" i="12"/>
  <c r="W430" i="12"/>
  <c r="A430" i="12"/>
  <c r="D430" i="12"/>
  <c r="O430" i="12" l="1"/>
  <c r="P430" i="12"/>
  <c r="C431" i="12"/>
  <c r="Y431" i="12" s="1"/>
  <c r="R430" i="12"/>
  <c r="G430" i="12" s="1"/>
  <c r="S430" i="12"/>
  <c r="H430" i="12" s="1"/>
  <c r="U430" i="12"/>
  <c r="K430" i="12" s="1"/>
  <c r="F430" i="12"/>
  <c r="B431" i="12"/>
  <c r="AE431" i="12" s="1"/>
  <c r="N430" i="12"/>
  <c r="AI430" i="12" s="1"/>
  <c r="L430" i="12"/>
  <c r="T430" i="12"/>
  <c r="J430" i="12" s="1"/>
  <c r="I430" i="12"/>
  <c r="Q430" i="12"/>
  <c r="E430" i="12"/>
  <c r="M430" i="12" l="1"/>
  <c r="AH431" i="12"/>
  <c r="AD431" i="12"/>
  <c r="V431" i="12"/>
  <c r="W431" i="12"/>
  <c r="X431" i="12"/>
  <c r="D431" i="12"/>
  <c r="A431" i="12"/>
  <c r="O431" i="12" l="1"/>
  <c r="N431" i="12"/>
  <c r="AI431" i="12" s="1"/>
  <c r="P431" i="12"/>
  <c r="C432" i="12"/>
  <c r="Y432" i="12" s="1"/>
  <c r="L431" i="12"/>
  <c r="T431" i="12"/>
  <c r="J431" i="12" s="1"/>
  <c r="R431" i="12"/>
  <c r="G431" i="12" s="1"/>
  <c r="S431" i="12"/>
  <c r="H431" i="12" s="1"/>
  <c r="U431" i="12"/>
  <c r="K431" i="12" s="1"/>
  <c r="F431" i="12"/>
  <c r="I431" i="12"/>
  <c r="Q431" i="12"/>
  <c r="E431" i="12"/>
  <c r="B432" i="12"/>
  <c r="AE432" i="12" s="1"/>
  <c r="M431" i="12" l="1"/>
  <c r="AH432" i="12"/>
  <c r="AD432" i="12"/>
  <c r="V432" i="12"/>
  <c r="W432" i="12"/>
  <c r="X432" i="12"/>
  <c r="D432" i="12"/>
  <c r="A432" i="12"/>
  <c r="O432" i="12" l="1"/>
  <c r="C433" i="12"/>
  <c r="Y433" i="12" s="1"/>
  <c r="N432" i="12"/>
  <c r="AI432" i="12" s="1"/>
  <c r="P432" i="12"/>
  <c r="Q432" i="12"/>
  <c r="L432" i="12"/>
  <c r="T432" i="12"/>
  <c r="J432" i="12" s="1"/>
  <c r="U432" i="12"/>
  <c r="K432" i="12" s="1"/>
  <c r="R432" i="12"/>
  <c r="G432" i="12" s="1"/>
  <c r="S432" i="12"/>
  <c r="H432" i="12" s="1"/>
  <c r="F432" i="12"/>
  <c r="I432" i="12"/>
  <c r="E432" i="12"/>
  <c r="B433" i="12"/>
  <c r="AE433" i="12" s="1"/>
  <c r="AH433" i="12" l="1"/>
  <c r="AD433" i="12"/>
  <c r="W433" i="12"/>
  <c r="X433" i="12"/>
  <c r="V433" i="12"/>
  <c r="D433" i="12"/>
  <c r="A433" i="12"/>
  <c r="M432" i="12"/>
  <c r="O433" i="12" l="1"/>
  <c r="N433" i="12"/>
  <c r="AI433" i="12" s="1"/>
  <c r="P433" i="12"/>
  <c r="I433" i="12"/>
  <c r="C434" i="12"/>
  <c r="Y434" i="12" s="1"/>
  <c r="Q433" i="12"/>
  <c r="L433" i="12"/>
  <c r="T433" i="12"/>
  <c r="J433" i="12" s="1"/>
  <c r="U433" i="12"/>
  <c r="K433" i="12" s="1"/>
  <c r="F433" i="12"/>
  <c r="E433" i="12"/>
  <c r="B434" i="12"/>
  <c r="AE434" i="12" s="1"/>
  <c r="R433" i="12"/>
  <c r="G433" i="12" s="1"/>
  <c r="S433" i="12"/>
  <c r="H433" i="12" s="1"/>
  <c r="M433" i="12" l="1"/>
  <c r="AH434" i="12"/>
  <c r="AD434" i="12"/>
  <c r="V434" i="12"/>
  <c r="W434" i="12"/>
  <c r="X434" i="12"/>
  <c r="D434" i="12"/>
  <c r="A434" i="12"/>
  <c r="O434" i="12" l="1"/>
  <c r="N434" i="12"/>
  <c r="AI434" i="12" s="1"/>
  <c r="P434" i="12"/>
  <c r="C435" i="12"/>
  <c r="Y435" i="12" s="1"/>
  <c r="U434" i="12"/>
  <c r="K434" i="12" s="1"/>
  <c r="T434" i="12"/>
  <c r="J434" i="12" s="1"/>
  <c r="I434" i="12"/>
  <c r="E434" i="12"/>
  <c r="L434" i="12"/>
  <c r="R434" i="12"/>
  <c r="G434" i="12" s="1"/>
  <c r="S434" i="12"/>
  <c r="H434" i="12" s="1"/>
  <c r="F434" i="12"/>
  <c r="Q434" i="12"/>
  <c r="B435" i="12"/>
  <c r="AE435" i="12" s="1"/>
  <c r="M434" i="12" l="1"/>
  <c r="AH435" i="12"/>
  <c r="AD435" i="12"/>
  <c r="V435" i="12"/>
  <c r="X435" i="12"/>
  <c r="W435" i="12"/>
  <c r="D435" i="12"/>
  <c r="A435" i="12"/>
  <c r="O435" i="12" l="1"/>
  <c r="P435" i="12"/>
  <c r="N435" i="12"/>
  <c r="AI435" i="12" s="1"/>
  <c r="C436" i="12"/>
  <c r="Y436" i="12" s="1"/>
  <c r="L435" i="12"/>
  <c r="R435" i="12"/>
  <c r="G435" i="12" s="1"/>
  <c r="S435" i="12"/>
  <c r="H435" i="12" s="1"/>
  <c r="T435" i="12"/>
  <c r="J435" i="12" s="1"/>
  <c r="U435" i="12"/>
  <c r="K435" i="12" s="1"/>
  <c r="I435" i="12"/>
  <c r="E435" i="12"/>
  <c r="F435" i="12"/>
  <c r="Q435" i="12"/>
  <c r="B436" i="12"/>
  <c r="AE436" i="12" s="1"/>
  <c r="M435" i="12" l="1"/>
  <c r="AH436" i="12"/>
  <c r="AD436" i="12"/>
  <c r="V436" i="12"/>
  <c r="W436" i="12"/>
  <c r="X436" i="12"/>
  <c r="A436" i="12"/>
  <c r="D436" i="12"/>
  <c r="O436" i="12" l="1"/>
  <c r="N436" i="12"/>
  <c r="AI436" i="12" s="1"/>
  <c r="P436" i="12"/>
  <c r="C437" i="12"/>
  <c r="Y437" i="12" s="1"/>
  <c r="L436" i="12"/>
  <c r="T436" i="12"/>
  <c r="J436" i="12" s="1"/>
  <c r="S436" i="12"/>
  <c r="H436" i="12" s="1"/>
  <c r="F436" i="12"/>
  <c r="Q436" i="12"/>
  <c r="E436" i="12"/>
  <c r="R436" i="12"/>
  <c r="G436" i="12" s="1"/>
  <c r="U436" i="12"/>
  <c r="K436" i="12" s="1"/>
  <c r="I436" i="12"/>
  <c r="B437" i="12"/>
  <c r="AE437" i="12" s="1"/>
  <c r="M436" i="12" l="1"/>
  <c r="AH437" i="12"/>
  <c r="AD437" i="12"/>
  <c r="V437" i="12"/>
  <c r="W437" i="12"/>
  <c r="X437" i="12"/>
  <c r="A437" i="12"/>
  <c r="D437" i="12"/>
  <c r="O437" i="12" l="1"/>
  <c r="N437" i="12"/>
  <c r="AI437" i="12" s="1"/>
  <c r="P437" i="12"/>
  <c r="C438" i="12"/>
  <c r="Y438" i="12" s="1"/>
  <c r="L437" i="12"/>
  <c r="U437" i="12"/>
  <c r="K437" i="12" s="1"/>
  <c r="R437" i="12"/>
  <c r="G437" i="12" s="1"/>
  <c r="F437" i="12"/>
  <c r="E437" i="12"/>
  <c r="T437" i="12"/>
  <c r="J437" i="12" s="1"/>
  <c r="I437" i="12"/>
  <c r="Q437" i="12"/>
  <c r="S437" i="12"/>
  <c r="H437" i="12" s="1"/>
  <c r="B438" i="12"/>
  <c r="AE438" i="12" s="1"/>
  <c r="M437" i="12" l="1"/>
  <c r="AH438" i="12"/>
  <c r="AD438" i="12"/>
  <c r="X438" i="12"/>
  <c r="V438" i="12"/>
  <c r="W438" i="12"/>
  <c r="D438" i="12"/>
  <c r="A438" i="12"/>
  <c r="O438" i="12" l="1"/>
  <c r="N438" i="12"/>
  <c r="AI438" i="12" s="1"/>
  <c r="P438" i="12"/>
  <c r="C439" i="12"/>
  <c r="Y439" i="12" s="1"/>
  <c r="B439" i="12"/>
  <c r="AE439" i="12" s="1"/>
  <c r="F438" i="12"/>
  <c r="L438" i="12"/>
  <c r="R438" i="12"/>
  <c r="G438" i="12" s="1"/>
  <c r="T438" i="12"/>
  <c r="J438" i="12" s="1"/>
  <c r="U438" i="12"/>
  <c r="K438" i="12" s="1"/>
  <c r="E438" i="12"/>
  <c r="S438" i="12"/>
  <c r="H438" i="12" s="1"/>
  <c r="Q438" i="12"/>
  <c r="I438" i="12"/>
  <c r="M438" i="12" l="1"/>
  <c r="AH439" i="12"/>
  <c r="AD439" i="12"/>
  <c r="X439" i="12"/>
  <c r="W439" i="12"/>
  <c r="V439" i="12"/>
  <c r="D439" i="12"/>
  <c r="A439" i="12"/>
  <c r="O439" i="12" l="1"/>
  <c r="N439" i="12"/>
  <c r="AI439" i="12" s="1"/>
  <c r="P439" i="12"/>
  <c r="R439" i="12"/>
  <c r="G439" i="12" s="1"/>
  <c r="T439" i="12"/>
  <c r="J439" i="12" s="1"/>
  <c r="S439" i="12"/>
  <c r="H439" i="12" s="1"/>
  <c r="U439" i="12"/>
  <c r="K439" i="12" s="1"/>
  <c r="I439" i="12"/>
  <c r="Q439" i="12"/>
  <c r="C440" i="12"/>
  <c r="Y440" i="12" s="1"/>
  <c r="L439" i="12"/>
  <c r="F439" i="12"/>
  <c r="E439" i="12"/>
  <c r="B440" i="12"/>
  <c r="AE440" i="12" s="1"/>
  <c r="M439" i="12" l="1"/>
  <c r="AH440" i="12"/>
  <c r="AD440" i="12"/>
  <c r="V440" i="12"/>
  <c r="W440" i="12"/>
  <c r="X440" i="12"/>
  <c r="A440" i="12"/>
  <c r="D440" i="12"/>
  <c r="O440" i="12" l="1"/>
  <c r="P440" i="12"/>
  <c r="N440" i="12"/>
  <c r="AI440" i="12" s="1"/>
  <c r="C441" i="12"/>
  <c r="Y441" i="12" s="1"/>
  <c r="L440" i="12"/>
  <c r="S440" i="12"/>
  <c r="H440" i="12" s="1"/>
  <c r="T440" i="12"/>
  <c r="J440" i="12" s="1"/>
  <c r="R440" i="12"/>
  <c r="G440" i="12" s="1"/>
  <c r="U440" i="12"/>
  <c r="K440" i="12" s="1"/>
  <c r="I440" i="12"/>
  <c r="Q440" i="12"/>
  <c r="E440" i="12"/>
  <c r="F440" i="12"/>
  <c r="B441" i="12"/>
  <c r="AE441" i="12" s="1"/>
  <c r="M440" i="12" l="1"/>
  <c r="AH441" i="12"/>
  <c r="AD441" i="12"/>
  <c r="V441" i="12"/>
  <c r="W441" i="12"/>
  <c r="X441" i="12"/>
  <c r="D441" i="12"/>
  <c r="A441" i="12"/>
  <c r="O441" i="12" l="1"/>
  <c r="N441" i="12"/>
  <c r="AI441" i="12" s="1"/>
  <c r="P441" i="12"/>
  <c r="L441" i="12"/>
  <c r="U441" i="12"/>
  <c r="K441" i="12" s="1"/>
  <c r="R441" i="12"/>
  <c r="G441" i="12" s="1"/>
  <c r="S441" i="12"/>
  <c r="H441" i="12" s="1"/>
  <c r="F441" i="12"/>
  <c r="I441" i="12"/>
  <c r="B442" i="12"/>
  <c r="AE442" i="12" s="1"/>
  <c r="C442" i="12"/>
  <c r="Y442" i="12" s="1"/>
  <c r="Q441" i="12"/>
  <c r="E441" i="12"/>
  <c r="T441" i="12"/>
  <c r="J441" i="12" s="1"/>
  <c r="M441" i="12" l="1"/>
  <c r="AH442" i="12"/>
  <c r="AD442" i="12"/>
  <c r="V442" i="12"/>
  <c r="W442" i="12"/>
  <c r="X442" i="12"/>
  <c r="D442" i="12"/>
  <c r="A442" i="12"/>
  <c r="O442" i="12" l="1"/>
  <c r="N442" i="12"/>
  <c r="AI442" i="12" s="1"/>
  <c r="P442" i="12"/>
  <c r="C443" i="12"/>
  <c r="Y443" i="12" s="1"/>
  <c r="L442" i="12"/>
  <c r="S442" i="12"/>
  <c r="H442" i="12" s="1"/>
  <c r="U442" i="12"/>
  <c r="K442" i="12" s="1"/>
  <c r="I442" i="12"/>
  <c r="E442" i="12"/>
  <c r="R442" i="12"/>
  <c r="G442" i="12" s="1"/>
  <c r="T442" i="12"/>
  <c r="J442" i="12" s="1"/>
  <c r="F442" i="12"/>
  <c r="Q442" i="12"/>
  <c r="B443" i="12"/>
  <c r="AE443" i="12" s="1"/>
  <c r="M442" i="12" l="1"/>
  <c r="AH443" i="12"/>
  <c r="AD443" i="12"/>
  <c r="W443" i="12"/>
  <c r="X443" i="12"/>
  <c r="V443" i="12"/>
  <c r="A443" i="12"/>
  <c r="D443" i="12"/>
  <c r="O443" i="12" l="1"/>
  <c r="P443" i="12"/>
  <c r="N443" i="12"/>
  <c r="AI443" i="12" s="1"/>
  <c r="C444" i="12"/>
  <c r="Y444" i="12" s="1"/>
  <c r="L443" i="12"/>
  <c r="R443" i="12"/>
  <c r="G443" i="12" s="1"/>
  <c r="T443" i="12"/>
  <c r="J443" i="12" s="1"/>
  <c r="U443" i="12"/>
  <c r="K443" i="12" s="1"/>
  <c r="S443" i="12"/>
  <c r="H443" i="12" s="1"/>
  <c r="F443" i="12"/>
  <c r="I443" i="12"/>
  <c r="Q443" i="12"/>
  <c r="E443" i="12"/>
  <c r="B444" i="12"/>
  <c r="AE444" i="12" s="1"/>
  <c r="M443" i="12" l="1"/>
  <c r="AH444" i="12"/>
  <c r="AD444" i="12"/>
  <c r="V444" i="12"/>
  <c r="W444" i="12"/>
  <c r="X444" i="12"/>
  <c r="D444" i="12"/>
  <c r="A444" i="12"/>
  <c r="O444" i="12" l="1"/>
  <c r="N444" i="12"/>
  <c r="AI444" i="12" s="1"/>
  <c r="P444" i="12"/>
  <c r="C445" i="12"/>
  <c r="Y445" i="12" s="1"/>
  <c r="Q444" i="12"/>
  <c r="S444" i="12"/>
  <c r="H444" i="12" s="1"/>
  <c r="F444" i="12"/>
  <c r="L444" i="12"/>
  <c r="T444" i="12"/>
  <c r="J444" i="12" s="1"/>
  <c r="U444" i="12"/>
  <c r="K444" i="12" s="1"/>
  <c r="I444" i="12"/>
  <c r="B445" i="12"/>
  <c r="AE445" i="12" s="1"/>
  <c r="R444" i="12"/>
  <c r="G444" i="12" s="1"/>
  <c r="E444" i="12"/>
  <c r="M444" i="12" l="1"/>
  <c r="AH445" i="12"/>
  <c r="AD445" i="12"/>
  <c r="V445" i="12"/>
  <c r="W445" i="12"/>
  <c r="X445" i="12"/>
  <c r="D445" i="12"/>
  <c r="A445" i="12"/>
  <c r="O445" i="12" l="1"/>
  <c r="N445" i="12"/>
  <c r="AI445" i="12" s="1"/>
  <c r="P445" i="12"/>
  <c r="C446" i="12"/>
  <c r="Y446" i="12" s="1"/>
  <c r="L445" i="12"/>
  <c r="R445" i="12"/>
  <c r="G445" i="12" s="1"/>
  <c r="S445" i="12"/>
  <c r="H445" i="12" s="1"/>
  <c r="U445" i="12"/>
  <c r="K445" i="12" s="1"/>
  <c r="F445" i="12"/>
  <c r="I445" i="12"/>
  <c r="Q445" i="12"/>
  <c r="E445" i="12"/>
  <c r="T445" i="12"/>
  <c r="J445" i="12" s="1"/>
  <c r="B446" i="12"/>
  <c r="AE446" i="12" s="1"/>
  <c r="M445" i="12" l="1"/>
  <c r="AH446" i="12"/>
  <c r="AD446" i="12"/>
  <c r="V446" i="12"/>
  <c r="X446" i="12"/>
  <c r="W446" i="12"/>
  <c r="D446" i="12"/>
  <c r="A446" i="12"/>
  <c r="O446" i="12" l="1"/>
  <c r="P446" i="12"/>
  <c r="N446" i="12"/>
  <c r="AI446" i="12" s="1"/>
  <c r="C447" i="12"/>
  <c r="Y447" i="12" s="1"/>
  <c r="T446" i="12"/>
  <c r="J446" i="12" s="1"/>
  <c r="R446" i="12"/>
  <c r="G446" i="12" s="1"/>
  <c r="F446" i="12"/>
  <c r="E446" i="12"/>
  <c r="L446" i="12"/>
  <c r="S446" i="12"/>
  <c r="H446" i="12" s="1"/>
  <c r="U446" i="12"/>
  <c r="K446" i="12" s="1"/>
  <c r="I446" i="12"/>
  <c r="B447" i="12"/>
  <c r="AE447" i="12" s="1"/>
  <c r="Q446" i="12"/>
  <c r="M446" i="12" l="1"/>
  <c r="AH447" i="12"/>
  <c r="AD447" i="12"/>
  <c r="V447" i="12"/>
  <c r="X447" i="12"/>
  <c r="W447" i="12"/>
  <c r="D447" i="12"/>
  <c r="A447" i="12"/>
  <c r="N447" i="12" l="1"/>
  <c r="AI447" i="12" s="1"/>
  <c r="C448" i="12"/>
  <c r="Y448" i="12" s="1"/>
  <c r="P447" i="12"/>
  <c r="R447" i="12"/>
  <c r="G447" i="12" s="1"/>
  <c r="Q447" i="12"/>
  <c r="L447" i="12"/>
  <c r="U447" i="12"/>
  <c r="K447" i="12" s="1"/>
  <c r="S447" i="12"/>
  <c r="H447" i="12" s="1"/>
  <c r="I447" i="12"/>
  <c r="E447" i="12"/>
  <c r="B448" i="12"/>
  <c r="AE448" i="12" s="1"/>
  <c r="F447" i="12"/>
  <c r="O447" i="12"/>
  <c r="T447" i="12"/>
  <c r="J447" i="12" s="1"/>
  <c r="M447" i="12" l="1"/>
  <c r="AH448" i="12"/>
  <c r="AD448" i="12"/>
  <c r="X448" i="12"/>
  <c r="W448" i="12"/>
  <c r="V448" i="12"/>
  <c r="D448" i="12"/>
  <c r="A448" i="12"/>
  <c r="C449" i="12" l="1"/>
  <c r="Y449" i="12" s="1"/>
  <c r="O448" i="12"/>
  <c r="N448" i="12"/>
  <c r="AI448" i="12" s="1"/>
  <c r="P448" i="12"/>
  <c r="U448" i="12"/>
  <c r="K448" i="12" s="1"/>
  <c r="S448" i="12"/>
  <c r="H448" i="12" s="1"/>
  <c r="T448" i="12"/>
  <c r="J448" i="12" s="1"/>
  <c r="L448" i="12"/>
  <c r="Q448" i="12"/>
  <c r="R448" i="12"/>
  <c r="G448" i="12" s="1"/>
  <c r="I448" i="12"/>
  <c r="E448" i="12"/>
  <c r="F448" i="12"/>
  <c r="B449" i="12"/>
  <c r="AE449" i="12" s="1"/>
  <c r="M448" i="12" l="1"/>
  <c r="AH449" i="12"/>
  <c r="AD449" i="12"/>
  <c r="A449" i="12"/>
  <c r="D449" i="12"/>
  <c r="V449" i="12"/>
  <c r="W449" i="12"/>
  <c r="X449" i="12"/>
  <c r="N449" i="12" l="1"/>
  <c r="AI449" i="12" s="1"/>
  <c r="O449" i="12"/>
  <c r="Q449" i="12"/>
  <c r="P449" i="12"/>
  <c r="R449" i="12"/>
  <c r="G449" i="12" s="1"/>
  <c r="S449" i="12"/>
  <c r="H449" i="12" s="1"/>
  <c r="U449" i="12"/>
  <c r="K449" i="12" s="1"/>
  <c r="I449" i="12"/>
  <c r="L449" i="12"/>
  <c r="E449" i="12"/>
  <c r="F449" i="12"/>
  <c r="C450" i="12"/>
  <c r="Y450" i="12" s="1"/>
  <c r="T449" i="12"/>
  <c r="J449" i="12" s="1"/>
  <c r="B450" i="12"/>
  <c r="AE450" i="12" s="1"/>
  <c r="AH450" i="12" l="1"/>
  <c r="AD450" i="12"/>
  <c r="W450" i="12"/>
  <c r="X450" i="12"/>
  <c r="A450" i="12"/>
  <c r="D450" i="12"/>
  <c r="V450" i="12"/>
  <c r="M449" i="12"/>
  <c r="O450" i="12" l="1"/>
  <c r="P450" i="12"/>
  <c r="Q450" i="12"/>
  <c r="C451" i="12"/>
  <c r="Y451" i="12" s="1"/>
  <c r="R450" i="12"/>
  <c r="G450" i="12" s="1"/>
  <c r="T450" i="12"/>
  <c r="J450" i="12" s="1"/>
  <c r="S450" i="12"/>
  <c r="H450" i="12" s="1"/>
  <c r="I450" i="12"/>
  <c r="L450" i="12"/>
  <c r="E450" i="12"/>
  <c r="N450" i="12"/>
  <c r="AI450" i="12" s="1"/>
  <c r="U450" i="12"/>
  <c r="K450" i="12" s="1"/>
  <c r="F450" i="12"/>
  <c r="B451" i="12"/>
  <c r="AE451" i="12" s="1"/>
  <c r="M450" i="12" l="1"/>
  <c r="AH451" i="12"/>
  <c r="AD451" i="12"/>
  <c r="V451" i="12"/>
  <c r="W451" i="12"/>
  <c r="X451" i="12"/>
  <c r="A451" i="12"/>
  <c r="D451" i="12"/>
  <c r="N451" i="12" l="1"/>
  <c r="AI451" i="12" s="1"/>
  <c r="O451" i="12"/>
  <c r="B452" i="12"/>
  <c r="AE452" i="12" s="1"/>
  <c r="C452" i="12"/>
  <c r="Y452" i="12" s="1"/>
  <c r="T451" i="12"/>
  <c r="J451" i="12" s="1"/>
  <c r="U451" i="12"/>
  <c r="K451" i="12" s="1"/>
  <c r="L451" i="12"/>
  <c r="P451" i="12"/>
  <c r="R451" i="12"/>
  <c r="G451" i="12" s="1"/>
  <c r="S451" i="12"/>
  <c r="H451" i="12" s="1"/>
  <c r="I451" i="12"/>
  <c r="E451" i="12"/>
  <c r="Q451" i="12"/>
  <c r="F451" i="12"/>
  <c r="M451" i="12" l="1"/>
  <c r="AH452" i="12"/>
  <c r="AD452" i="12"/>
  <c r="V452" i="12"/>
  <c r="W452" i="12"/>
  <c r="X452" i="12"/>
  <c r="A452" i="12"/>
  <c r="D452" i="12"/>
  <c r="P452" i="12" l="1"/>
  <c r="Q452" i="12"/>
  <c r="N452" i="12"/>
  <c r="AI452" i="12" s="1"/>
  <c r="L452" i="12"/>
  <c r="B453" i="12"/>
  <c r="AE453" i="12" s="1"/>
  <c r="S452" i="12"/>
  <c r="H452" i="12" s="1"/>
  <c r="E452" i="12"/>
  <c r="C453" i="12"/>
  <c r="Y453" i="12" s="1"/>
  <c r="U452" i="12"/>
  <c r="K452" i="12" s="1"/>
  <c r="R452" i="12"/>
  <c r="G452" i="12" s="1"/>
  <c r="T452" i="12"/>
  <c r="J452" i="12" s="1"/>
  <c r="I452" i="12"/>
  <c r="F452" i="12"/>
  <c r="O452" i="12"/>
  <c r="M452" i="12" l="1"/>
  <c r="AH453" i="12"/>
  <c r="AD453" i="12"/>
  <c r="V453" i="12"/>
  <c r="A453" i="12"/>
  <c r="D453" i="12"/>
  <c r="W453" i="12"/>
  <c r="X453" i="12"/>
  <c r="N453" i="12" l="1"/>
  <c r="AI453" i="12" s="1"/>
  <c r="O453" i="12"/>
  <c r="P453" i="12"/>
  <c r="S453" i="12"/>
  <c r="H453" i="12" s="1"/>
  <c r="I453" i="12"/>
  <c r="R453" i="12"/>
  <c r="G453" i="12" s="1"/>
  <c r="L453" i="12"/>
  <c r="E453" i="12"/>
  <c r="Q453" i="12"/>
  <c r="C454" i="12"/>
  <c r="Y454" i="12" s="1"/>
  <c r="U453" i="12"/>
  <c r="K453" i="12" s="1"/>
  <c r="F453" i="12"/>
  <c r="B454" i="12"/>
  <c r="AE454" i="12" s="1"/>
  <c r="T453" i="12"/>
  <c r="J453" i="12" s="1"/>
  <c r="AH454" i="12" l="1"/>
  <c r="AD454" i="12"/>
  <c r="D454" i="12"/>
  <c r="V454" i="12"/>
  <c r="W454" i="12"/>
  <c r="X454" i="12"/>
  <c r="A454" i="12"/>
  <c r="M453" i="12"/>
  <c r="Q454" i="12" l="1"/>
  <c r="N454" i="12"/>
  <c r="AI454" i="12" s="1"/>
  <c r="B455" i="12"/>
  <c r="AE455" i="12" s="1"/>
  <c r="S454" i="12"/>
  <c r="H454" i="12" s="1"/>
  <c r="I454" i="12"/>
  <c r="P454" i="12"/>
  <c r="C455" i="12"/>
  <c r="Y455" i="12" s="1"/>
  <c r="L454" i="12"/>
  <c r="F454" i="12"/>
  <c r="R454" i="12"/>
  <c r="G454" i="12" s="1"/>
  <c r="T454" i="12"/>
  <c r="J454" i="12" s="1"/>
  <c r="U454" i="12"/>
  <c r="K454" i="12" s="1"/>
  <c r="E454" i="12"/>
  <c r="O454" i="12"/>
  <c r="M454" i="12" l="1"/>
  <c r="AH455" i="12"/>
  <c r="AD455" i="12"/>
  <c r="A455" i="12"/>
  <c r="D455" i="12"/>
  <c r="V455" i="12"/>
  <c r="W455" i="12"/>
  <c r="X455" i="12"/>
  <c r="P455" i="12" l="1"/>
  <c r="Q455" i="12"/>
  <c r="C456" i="12"/>
  <c r="Y456" i="12" s="1"/>
  <c r="B456" i="12"/>
  <c r="AE456" i="12" s="1"/>
  <c r="T455" i="12"/>
  <c r="J455" i="12" s="1"/>
  <c r="U455" i="12"/>
  <c r="K455" i="12" s="1"/>
  <c r="R455" i="12"/>
  <c r="G455" i="12" s="1"/>
  <c r="S455" i="12"/>
  <c r="H455" i="12" s="1"/>
  <c r="I455" i="12"/>
  <c r="L455" i="12"/>
  <c r="E455" i="12"/>
  <c r="F455" i="12"/>
  <c r="N455" i="12"/>
  <c r="AI455" i="12" s="1"/>
  <c r="O455" i="12"/>
  <c r="M455" i="12" l="1"/>
  <c r="AH456" i="12"/>
  <c r="AD456" i="12"/>
  <c r="V456" i="12"/>
  <c r="W456" i="12"/>
  <c r="A456" i="12"/>
  <c r="D456" i="12"/>
  <c r="X456" i="12"/>
  <c r="P456" i="12" l="1"/>
  <c r="B457" i="12"/>
  <c r="AE457" i="12" s="1"/>
  <c r="C457" i="12"/>
  <c r="Y457" i="12" s="1"/>
  <c r="Q456" i="12"/>
  <c r="O456" i="12"/>
  <c r="R456" i="12"/>
  <c r="G456" i="12" s="1"/>
  <c r="U456" i="12"/>
  <c r="K456" i="12" s="1"/>
  <c r="S456" i="12"/>
  <c r="H456" i="12" s="1"/>
  <c r="T456" i="12"/>
  <c r="J456" i="12" s="1"/>
  <c r="L456" i="12"/>
  <c r="E456" i="12"/>
  <c r="F456" i="12"/>
  <c r="N456" i="12"/>
  <c r="AI456" i="12" s="1"/>
  <c r="I456" i="12"/>
  <c r="M456" i="12" l="1"/>
  <c r="AH457" i="12"/>
  <c r="AD457" i="12"/>
  <c r="V457" i="12"/>
  <c r="W457" i="12"/>
  <c r="X457" i="12"/>
  <c r="A457" i="12"/>
  <c r="D457" i="12"/>
  <c r="B458" i="12" l="1"/>
  <c r="AE458" i="12" s="1"/>
  <c r="O457" i="12"/>
  <c r="C458" i="12"/>
  <c r="Y458" i="12" s="1"/>
  <c r="P457" i="12"/>
  <c r="R457" i="12"/>
  <c r="G457" i="12" s="1"/>
  <c r="S457" i="12"/>
  <c r="H457" i="12" s="1"/>
  <c r="U457" i="12"/>
  <c r="K457" i="12" s="1"/>
  <c r="I457" i="12"/>
  <c r="L457" i="12"/>
  <c r="F457" i="12"/>
  <c r="Q457" i="12"/>
  <c r="E457" i="12"/>
  <c r="N457" i="12"/>
  <c r="AI457" i="12" s="1"/>
  <c r="T457" i="12"/>
  <c r="J457" i="12" s="1"/>
  <c r="M457" i="12" l="1"/>
  <c r="AH458" i="12"/>
  <c r="A458" i="12"/>
  <c r="X458" i="12"/>
  <c r="D458" i="12"/>
  <c r="AD458" i="12"/>
  <c r="W458" i="12"/>
  <c r="V458" i="12"/>
  <c r="O458" i="12" l="1"/>
  <c r="P458" i="12"/>
  <c r="S458" i="12"/>
  <c r="H458" i="12" s="1"/>
  <c r="R458" i="12"/>
  <c r="G458" i="12" s="1"/>
  <c r="U458" i="12"/>
  <c r="K458" i="12" s="1"/>
  <c r="I458" i="12"/>
  <c r="L458" i="12"/>
  <c r="F458" i="12"/>
  <c r="C459" i="12"/>
  <c r="Y459" i="12" s="1"/>
  <c r="N458" i="12"/>
  <c r="AI458" i="12" s="1"/>
  <c r="Q458" i="12"/>
  <c r="T458" i="12"/>
  <c r="J458" i="12" s="1"/>
  <c r="E458" i="12"/>
  <c r="B459" i="12"/>
  <c r="AE459" i="12" s="1"/>
  <c r="M458" i="12" l="1"/>
  <c r="AH459" i="12"/>
  <c r="A459" i="12"/>
  <c r="D459" i="12"/>
  <c r="V459" i="12"/>
  <c r="X459" i="12"/>
  <c r="AD459" i="12"/>
  <c r="W459" i="12"/>
  <c r="O459" i="12" l="1"/>
  <c r="P459" i="12"/>
  <c r="B460" i="12"/>
  <c r="AE460" i="12" s="1"/>
  <c r="Q459" i="12"/>
  <c r="T459" i="12"/>
  <c r="J459" i="12" s="1"/>
  <c r="U459" i="12"/>
  <c r="K459" i="12" s="1"/>
  <c r="S459" i="12"/>
  <c r="H459" i="12" s="1"/>
  <c r="I459" i="12"/>
  <c r="E459" i="12"/>
  <c r="N459" i="12"/>
  <c r="AI459" i="12" s="1"/>
  <c r="R459" i="12"/>
  <c r="G459" i="12" s="1"/>
  <c r="L459" i="12"/>
  <c r="F459" i="12"/>
  <c r="C460" i="12"/>
  <c r="Y460" i="12" s="1"/>
  <c r="M459" i="12" l="1"/>
  <c r="A460" i="12"/>
  <c r="AH460" i="12"/>
  <c r="AD460" i="12"/>
  <c r="D460" i="12"/>
  <c r="V460" i="12"/>
  <c r="W460" i="12"/>
  <c r="X460" i="12"/>
  <c r="N460" i="12" l="1"/>
  <c r="AI460" i="12" s="1"/>
  <c r="O460" i="12"/>
  <c r="P460" i="12"/>
  <c r="Q460" i="12"/>
  <c r="R460" i="12"/>
  <c r="G460" i="12" s="1"/>
  <c r="S460" i="12"/>
  <c r="H460" i="12" s="1"/>
  <c r="T460" i="12"/>
  <c r="J460" i="12" s="1"/>
  <c r="U460" i="12"/>
  <c r="K460" i="12" s="1"/>
  <c r="L460" i="12"/>
  <c r="F460" i="12"/>
  <c r="B461" i="12"/>
  <c r="AE461" i="12" s="1"/>
  <c r="C461" i="12"/>
  <c r="Y461" i="12" s="1"/>
  <c r="I460" i="12"/>
  <c r="E460" i="12"/>
  <c r="AH461" i="12" l="1"/>
  <c r="AD461" i="12"/>
  <c r="A461" i="12"/>
  <c r="D461" i="12"/>
  <c r="V461" i="12"/>
  <c r="W461" i="12"/>
  <c r="X461" i="12"/>
  <c r="M460" i="12"/>
  <c r="N461" i="12" l="1"/>
  <c r="AI461" i="12" s="1"/>
  <c r="O461" i="12"/>
  <c r="P461" i="12"/>
  <c r="Q461" i="12"/>
  <c r="R461" i="12"/>
  <c r="G461" i="12" s="1"/>
  <c r="I461" i="12"/>
  <c r="F461" i="12"/>
  <c r="C462" i="12"/>
  <c r="Y462" i="12" s="1"/>
  <c r="L461" i="12"/>
  <c r="S461" i="12"/>
  <c r="H461" i="12" s="1"/>
  <c r="U461" i="12"/>
  <c r="K461" i="12" s="1"/>
  <c r="T461" i="12"/>
  <c r="J461" i="12" s="1"/>
  <c r="E461" i="12"/>
  <c r="B462" i="12"/>
  <c r="AE462" i="12" s="1"/>
  <c r="M461" i="12" l="1"/>
  <c r="AH462" i="12"/>
  <c r="AD462" i="12"/>
  <c r="W462" i="12"/>
  <c r="X462" i="12"/>
  <c r="A462" i="12"/>
  <c r="V462" i="12"/>
  <c r="D462" i="12"/>
  <c r="P462" i="12" l="1"/>
  <c r="Q462" i="12"/>
  <c r="T462" i="12"/>
  <c r="J462" i="12" s="1"/>
  <c r="U462" i="12"/>
  <c r="K462" i="12" s="1"/>
  <c r="S462" i="12"/>
  <c r="H462" i="12" s="1"/>
  <c r="R462" i="12"/>
  <c r="G462" i="12" s="1"/>
  <c r="I462" i="12"/>
  <c r="L462" i="12"/>
  <c r="E462" i="12"/>
  <c r="F462" i="12"/>
  <c r="N462" i="12"/>
  <c r="AI462" i="12" s="1"/>
  <c r="O462" i="12"/>
  <c r="C463" i="12"/>
  <c r="Y463" i="12" s="1"/>
  <c r="B463" i="12"/>
  <c r="AE463" i="12" s="1"/>
  <c r="M462" i="12" l="1"/>
  <c r="AH463" i="12"/>
  <c r="AD463" i="12"/>
  <c r="V463" i="12"/>
  <c r="W463" i="12"/>
  <c r="X463" i="12"/>
  <c r="A463" i="12"/>
  <c r="D463" i="12"/>
  <c r="N463" i="12" l="1"/>
  <c r="AI463" i="12" s="1"/>
  <c r="O463" i="12"/>
  <c r="P463" i="12"/>
  <c r="B464" i="12"/>
  <c r="AE464" i="12" s="1"/>
  <c r="U463" i="12"/>
  <c r="K463" i="12" s="1"/>
  <c r="L463" i="12"/>
  <c r="Q463" i="12"/>
  <c r="R463" i="12"/>
  <c r="G463" i="12" s="1"/>
  <c r="S463" i="12"/>
  <c r="H463" i="12" s="1"/>
  <c r="I463" i="12"/>
  <c r="F463" i="12"/>
  <c r="T463" i="12"/>
  <c r="J463" i="12" s="1"/>
  <c r="E463" i="12"/>
  <c r="C464" i="12"/>
  <c r="Y464" i="12" s="1"/>
  <c r="M463" i="12" l="1"/>
  <c r="AH464" i="12"/>
  <c r="AD464" i="12"/>
  <c r="V464" i="12"/>
  <c r="W464" i="12"/>
  <c r="A464" i="12"/>
  <c r="D464" i="12"/>
  <c r="X464" i="12"/>
  <c r="N464" i="12" l="1"/>
  <c r="AI464" i="12" s="1"/>
  <c r="O464" i="12"/>
  <c r="Q464" i="12"/>
  <c r="P464" i="12"/>
  <c r="S464" i="12"/>
  <c r="H464" i="12" s="1"/>
  <c r="R464" i="12"/>
  <c r="G464" i="12" s="1"/>
  <c r="U464" i="12"/>
  <c r="K464" i="12" s="1"/>
  <c r="I464" i="12"/>
  <c r="E464" i="12"/>
  <c r="B465" i="12"/>
  <c r="AE465" i="12" s="1"/>
  <c r="T464" i="12"/>
  <c r="J464" i="12" s="1"/>
  <c r="L464" i="12"/>
  <c r="F464" i="12"/>
  <c r="C465" i="12"/>
  <c r="Y465" i="12" s="1"/>
  <c r="M464" i="12" l="1"/>
  <c r="AH465" i="12"/>
  <c r="A465" i="12"/>
  <c r="V465" i="12"/>
  <c r="W465" i="12"/>
  <c r="X465" i="12"/>
  <c r="D465" i="12"/>
  <c r="AD465" i="12"/>
  <c r="C466" i="12" l="1"/>
  <c r="Y466" i="12" s="1"/>
  <c r="N465" i="12"/>
  <c r="AI465" i="12" s="1"/>
  <c r="P465" i="12"/>
  <c r="U465" i="12"/>
  <c r="K465" i="12" s="1"/>
  <c r="I465" i="12"/>
  <c r="E465" i="12"/>
  <c r="O465" i="12"/>
  <c r="S465" i="12"/>
  <c r="H465" i="12" s="1"/>
  <c r="T465" i="12"/>
  <c r="J465" i="12" s="1"/>
  <c r="R465" i="12"/>
  <c r="G465" i="12" s="1"/>
  <c r="L465" i="12"/>
  <c r="F465" i="12"/>
  <c r="Q465" i="12"/>
  <c r="B466" i="12"/>
  <c r="AE466" i="12" s="1"/>
  <c r="M465" i="12" l="1"/>
  <c r="AH466" i="12"/>
  <c r="AD466" i="12"/>
  <c r="D466" i="12"/>
  <c r="X466" i="12"/>
  <c r="A466" i="12"/>
  <c r="W466" i="12"/>
  <c r="V466" i="12"/>
  <c r="Q466" i="12" l="1"/>
  <c r="B467" i="12"/>
  <c r="AE467" i="12" s="1"/>
  <c r="C467" i="12"/>
  <c r="Y467" i="12" s="1"/>
  <c r="S466" i="12"/>
  <c r="H466" i="12" s="1"/>
  <c r="E466" i="12"/>
  <c r="O466" i="12"/>
  <c r="N466" i="12"/>
  <c r="AI466" i="12" s="1"/>
  <c r="T466" i="12"/>
  <c r="J466" i="12" s="1"/>
  <c r="U466" i="12"/>
  <c r="K466" i="12" s="1"/>
  <c r="R466" i="12"/>
  <c r="G466" i="12" s="1"/>
  <c r="I466" i="12"/>
  <c r="L466" i="12"/>
  <c r="F466" i="12"/>
  <c r="P466" i="12"/>
  <c r="M466" i="12" l="1"/>
  <c r="AH467" i="12"/>
  <c r="AD467" i="12"/>
  <c r="A467" i="12"/>
  <c r="V467" i="12"/>
  <c r="X467" i="12"/>
  <c r="D467" i="12"/>
  <c r="W467" i="12"/>
  <c r="P467" i="12" l="1"/>
  <c r="Q467" i="12"/>
  <c r="B468" i="12"/>
  <c r="AE468" i="12" s="1"/>
  <c r="C468" i="12"/>
  <c r="Y468" i="12" s="1"/>
  <c r="T467" i="12"/>
  <c r="J467" i="12" s="1"/>
  <c r="U467" i="12"/>
  <c r="K467" i="12" s="1"/>
  <c r="L467" i="12"/>
  <c r="O467" i="12"/>
  <c r="R467" i="12"/>
  <c r="G467" i="12" s="1"/>
  <c r="I467" i="12"/>
  <c r="F467" i="12"/>
  <c r="S467" i="12"/>
  <c r="H467" i="12" s="1"/>
  <c r="E467" i="12"/>
  <c r="N467" i="12"/>
  <c r="AI467" i="12" s="1"/>
  <c r="M467" i="12" l="1"/>
  <c r="AH468" i="12"/>
  <c r="AD468" i="12"/>
  <c r="V468" i="12"/>
  <c r="W468" i="12"/>
  <c r="D468" i="12"/>
  <c r="A468" i="12"/>
  <c r="X468" i="12"/>
  <c r="P468" i="12" l="1"/>
  <c r="Q468" i="12"/>
  <c r="S468" i="12"/>
  <c r="H468" i="12" s="1"/>
  <c r="U468" i="12"/>
  <c r="K468" i="12" s="1"/>
  <c r="R468" i="12"/>
  <c r="G468" i="12" s="1"/>
  <c r="I468" i="12"/>
  <c r="E468" i="12"/>
  <c r="N468" i="12"/>
  <c r="AI468" i="12" s="1"/>
  <c r="B469" i="12"/>
  <c r="AE469" i="12" s="1"/>
  <c r="C469" i="12"/>
  <c r="Y469" i="12" s="1"/>
  <c r="L468" i="12"/>
  <c r="O468" i="12"/>
  <c r="T468" i="12"/>
  <c r="J468" i="12" s="1"/>
  <c r="F468" i="12"/>
  <c r="M468" i="12" l="1"/>
  <c r="AH469" i="12"/>
  <c r="X469" i="12"/>
  <c r="V469" i="12"/>
  <c r="W469" i="12"/>
  <c r="AD469" i="12"/>
  <c r="D469" i="12"/>
  <c r="A469" i="12"/>
  <c r="B470" i="12" l="1"/>
  <c r="AE470" i="12" s="1"/>
  <c r="C470" i="12"/>
  <c r="Y470" i="12" s="1"/>
  <c r="R469" i="12"/>
  <c r="G469" i="12" s="1"/>
  <c r="S469" i="12"/>
  <c r="H469" i="12" s="1"/>
  <c r="T469" i="12"/>
  <c r="J469" i="12" s="1"/>
  <c r="U469" i="12"/>
  <c r="K469" i="12" s="1"/>
  <c r="I469" i="12"/>
  <c r="L469" i="12"/>
  <c r="F469" i="12"/>
  <c r="O469" i="12"/>
  <c r="N469" i="12"/>
  <c r="AI469" i="12" s="1"/>
  <c r="E469" i="12"/>
  <c r="Q469" i="12"/>
  <c r="P469" i="12"/>
  <c r="M469" i="12" l="1"/>
  <c r="AH470" i="12"/>
  <c r="V470" i="12"/>
  <c r="W470" i="12"/>
  <c r="A470" i="12"/>
  <c r="AD470" i="12"/>
  <c r="X470" i="12"/>
  <c r="D470" i="12"/>
  <c r="N470" i="12" l="1"/>
  <c r="AI470" i="12" s="1"/>
  <c r="O470" i="12"/>
  <c r="P470" i="12"/>
  <c r="Q470" i="12"/>
  <c r="T470" i="12"/>
  <c r="J470" i="12" s="1"/>
  <c r="B471" i="12"/>
  <c r="AE471" i="12" s="1"/>
  <c r="U470" i="12"/>
  <c r="K470" i="12" s="1"/>
  <c r="F470" i="12"/>
  <c r="R470" i="12"/>
  <c r="G470" i="12" s="1"/>
  <c r="S470" i="12"/>
  <c r="H470" i="12" s="1"/>
  <c r="I470" i="12"/>
  <c r="L470" i="12"/>
  <c r="E470" i="12"/>
  <c r="C471" i="12"/>
  <c r="Y471" i="12" s="1"/>
  <c r="AH471" i="12" l="1"/>
  <c r="AD471" i="12"/>
  <c r="V471" i="12"/>
  <c r="W471" i="12"/>
  <c r="D471" i="12"/>
  <c r="A471" i="12"/>
  <c r="X471" i="12"/>
  <c r="M470" i="12"/>
  <c r="O471" i="12" l="1"/>
  <c r="P471" i="12"/>
  <c r="Q471" i="12"/>
  <c r="T471" i="12"/>
  <c r="J471" i="12" s="1"/>
  <c r="E471" i="12"/>
  <c r="N471" i="12"/>
  <c r="AI471" i="12" s="1"/>
  <c r="B472" i="12"/>
  <c r="AE472" i="12" s="1"/>
  <c r="C472" i="12"/>
  <c r="Y472" i="12" s="1"/>
  <c r="R471" i="12"/>
  <c r="G471" i="12" s="1"/>
  <c r="S471" i="12"/>
  <c r="H471" i="12" s="1"/>
  <c r="U471" i="12"/>
  <c r="K471" i="12" s="1"/>
  <c r="L471" i="12"/>
  <c r="F471" i="12"/>
  <c r="I471" i="12"/>
  <c r="M471" i="12" l="1"/>
  <c r="AH472" i="12"/>
  <c r="AD472" i="12"/>
  <c r="D472" i="12"/>
  <c r="W472" i="12"/>
  <c r="X472" i="12"/>
  <c r="A472" i="12"/>
  <c r="V472" i="12"/>
  <c r="N472" i="12" l="1"/>
  <c r="AI472" i="12" s="1"/>
  <c r="O472" i="12"/>
  <c r="P472" i="12"/>
  <c r="S472" i="12"/>
  <c r="H472" i="12" s="1"/>
  <c r="T472" i="12"/>
  <c r="J472" i="12" s="1"/>
  <c r="I472" i="12"/>
  <c r="E472" i="12"/>
  <c r="B473" i="12"/>
  <c r="AE473" i="12" s="1"/>
  <c r="Q472" i="12"/>
  <c r="R472" i="12"/>
  <c r="G472" i="12" s="1"/>
  <c r="U472" i="12"/>
  <c r="K472" i="12" s="1"/>
  <c r="L472" i="12"/>
  <c r="F472" i="12"/>
  <c r="C473" i="12"/>
  <c r="Y473" i="12" s="1"/>
  <c r="M472" i="12" l="1"/>
  <c r="AH473" i="12"/>
  <c r="AD473" i="12"/>
  <c r="A473" i="12"/>
  <c r="D473" i="12"/>
  <c r="V473" i="12"/>
  <c r="W473" i="12"/>
  <c r="X473" i="12"/>
  <c r="N473" i="12" l="1"/>
  <c r="AI473" i="12" s="1"/>
  <c r="O473" i="12"/>
  <c r="Q473" i="12"/>
  <c r="P473" i="12"/>
  <c r="R473" i="12"/>
  <c r="G473" i="12" s="1"/>
  <c r="T473" i="12"/>
  <c r="J473" i="12" s="1"/>
  <c r="I473" i="12"/>
  <c r="F473" i="12"/>
  <c r="U473" i="12"/>
  <c r="K473" i="12" s="1"/>
  <c r="B474" i="12"/>
  <c r="AE474" i="12" s="1"/>
  <c r="S473" i="12"/>
  <c r="H473" i="12" s="1"/>
  <c r="L473" i="12"/>
  <c r="E473" i="12"/>
  <c r="C474" i="12"/>
  <c r="Y474" i="12" s="1"/>
  <c r="AH474" i="12" l="1"/>
  <c r="AD474" i="12"/>
  <c r="W474" i="12"/>
  <c r="X474" i="12"/>
  <c r="A474" i="12"/>
  <c r="V474" i="12"/>
  <c r="D474" i="12"/>
  <c r="M473" i="12"/>
  <c r="C475" i="12" l="1"/>
  <c r="Y475" i="12" s="1"/>
  <c r="B475" i="12"/>
  <c r="AE475" i="12" s="1"/>
  <c r="P474" i="12"/>
  <c r="Q474" i="12"/>
  <c r="T474" i="12"/>
  <c r="J474" i="12" s="1"/>
  <c r="S474" i="12"/>
  <c r="H474" i="12" s="1"/>
  <c r="R474" i="12"/>
  <c r="G474" i="12" s="1"/>
  <c r="U474" i="12"/>
  <c r="K474" i="12" s="1"/>
  <c r="L474" i="12"/>
  <c r="F474" i="12"/>
  <c r="O474" i="12"/>
  <c r="I474" i="12"/>
  <c r="N474" i="12"/>
  <c r="AI474" i="12" s="1"/>
  <c r="E474" i="12"/>
  <c r="M474" i="12" l="1"/>
  <c r="AH475" i="12"/>
  <c r="V475" i="12"/>
  <c r="W475" i="12"/>
  <c r="X475" i="12"/>
  <c r="A475" i="12"/>
  <c r="AD475" i="12"/>
  <c r="D475" i="12"/>
  <c r="O475" i="12" l="1"/>
  <c r="P475" i="12"/>
  <c r="Q475" i="12"/>
  <c r="C476" i="12"/>
  <c r="Y476" i="12" s="1"/>
  <c r="R475" i="12"/>
  <c r="G475" i="12" s="1"/>
  <c r="T475" i="12"/>
  <c r="J475" i="12" s="1"/>
  <c r="S475" i="12"/>
  <c r="H475" i="12" s="1"/>
  <c r="U475" i="12"/>
  <c r="K475" i="12" s="1"/>
  <c r="I475" i="12"/>
  <c r="L475" i="12"/>
  <c r="E475" i="12"/>
  <c r="F475" i="12"/>
  <c r="N475" i="12"/>
  <c r="AI475" i="12" s="1"/>
  <c r="B476" i="12"/>
  <c r="AE476" i="12" s="1"/>
  <c r="M475" i="12" l="1"/>
  <c r="AH476" i="12"/>
  <c r="AD476" i="12"/>
  <c r="W476" i="12"/>
  <c r="A476" i="12"/>
  <c r="D476" i="12"/>
  <c r="X476" i="12"/>
  <c r="V476" i="12"/>
  <c r="P476" i="12" l="1"/>
  <c r="Q476" i="12"/>
  <c r="C477" i="12"/>
  <c r="Y477" i="12" s="1"/>
  <c r="U476" i="12"/>
  <c r="K476" i="12" s="1"/>
  <c r="T476" i="12"/>
  <c r="J476" i="12" s="1"/>
  <c r="R476" i="12"/>
  <c r="G476" i="12" s="1"/>
  <c r="S476" i="12"/>
  <c r="H476" i="12" s="1"/>
  <c r="I476" i="12"/>
  <c r="L476" i="12"/>
  <c r="F476" i="12"/>
  <c r="N476" i="12"/>
  <c r="AI476" i="12" s="1"/>
  <c r="O476" i="12"/>
  <c r="B477" i="12"/>
  <c r="AE477" i="12" s="1"/>
  <c r="E476" i="12"/>
  <c r="M476" i="12" l="1"/>
  <c r="AH477" i="12"/>
  <c r="X477" i="12"/>
  <c r="D477" i="12"/>
  <c r="AD477" i="12"/>
  <c r="V477" i="12"/>
  <c r="W477" i="12"/>
  <c r="A477" i="12"/>
  <c r="B478" i="12" l="1"/>
  <c r="AE478" i="12" s="1"/>
  <c r="C478" i="12"/>
  <c r="Y478" i="12" s="1"/>
  <c r="N477" i="12"/>
  <c r="AI477" i="12" s="1"/>
  <c r="L477" i="12"/>
  <c r="F477" i="12"/>
  <c r="O477" i="12"/>
  <c r="R477" i="12"/>
  <c r="G477" i="12" s="1"/>
  <c r="S477" i="12"/>
  <c r="H477" i="12" s="1"/>
  <c r="T477" i="12"/>
  <c r="J477" i="12" s="1"/>
  <c r="I477" i="12"/>
  <c r="E477" i="12"/>
  <c r="P477" i="12"/>
  <c r="U477" i="12"/>
  <c r="K477" i="12" s="1"/>
  <c r="Q477" i="12"/>
  <c r="M477" i="12" l="1"/>
  <c r="AH478" i="12"/>
  <c r="AD478" i="12"/>
  <c r="V478" i="12"/>
  <c r="W478" i="12"/>
  <c r="A478" i="12"/>
  <c r="D478" i="12"/>
  <c r="X478" i="12"/>
  <c r="Q478" i="12" l="1"/>
  <c r="B479" i="12"/>
  <c r="AE479" i="12" s="1"/>
  <c r="R478" i="12"/>
  <c r="G478" i="12" s="1"/>
  <c r="T478" i="12"/>
  <c r="J478" i="12" s="1"/>
  <c r="I478" i="12"/>
  <c r="E478" i="12"/>
  <c r="F478" i="12"/>
  <c r="C479" i="12"/>
  <c r="Y479" i="12" s="1"/>
  <c r="N478" i="12"/>
  <c r="AI478" i="12" s="1"/>
  <c r="U478" i="12"/>
  <c r="K478" i="12" s="1"/>
  <c r="L478" i="12"/>
  <c r="P478" i="12"/>
  <c r="S478" i="12"/>
  <c r="H478" i="12" s="1"/>
  <c r="O478" i="12"/>
  <c r="M478" i="12" l="1"/>
  <c r="AH479" i="12"/>
  <c r="AD479" i="12"/>
  <c r="D479" i="12"/>
  <c r="V479" i="12"/>
  <c r="W479" i="12"/>
  <c r="A479" i="12"/>
  <c r="X479" i="12"/>
  <c r="P479" i="12" l="1"/>
  <c r="Q479" i="12"/>
  <c r="B480" i="12"/>
  <c r="AE480" i="12" s="1"/>
  <c r="C480" i="12"/>
  <c r="Y480" i="12" s="1"/>
  <c r="R479" i="12"/>
  <c r="G479" i="12" s="1"/>
  <c r="T479" i="12"/>
  <c r="J479" i="12" s="1"/>
  <c r="S479" i="12"/>
  <c r="H479" i="12" s="1"/>
  <c r="I479" i="12"/>
  <c r="L479" i="12"/>
  <c r="F479" i="12"/>
  <c r="O479" i="12"/>
  <c r="U479" i="12"/>
  <c r="K479" i="12" s="1"/>
  <c r="E479" i="12"/>
  <c r="N479" i="12"/>
  <c r="AI479" i="12" s="1"/>
  <c r="M479" i="12" l="1"/>
  <c r="AH480" i="12"/>
  <c r="AD480" i="12"/>
  <c r="A480" i="12"/>
  <c r="V480" i="12"/>
  <c r="W480" i="12"/>
  <c r="X480" i="12"/>
  <c r="D480" i="12"/>
  <c r="B481" i="12" l="1"/>
  <c r="AE481" i="12" s="1"/>
  <c r="Q480" i="12"/>
  <c r="P480" i="12"/>
  <c r="C481" i="12"/>
  <c r="Y481" i="12" s="1"/>
  <c r="R480" i="12"/>
  <c r="G480" i="12" s="1"/>
  <c r="T480" i="12"/>
  <c r="J480" i="12" s="1"/>
  <c r="U480" i="12"/>
  <c r="K480" i="12" s="1"/>
  <c r="I480" i="12"/>
  <c r="E480" i="12"/>
  <c r="F480" i="12"/>
  <c r="S480" i="12"/>
  <c r="H480" i="12" s="1"/>
  <c r="L480" i="12"/>
  <c r="N480" i="12"/>
  <c r="AI480" i="12" s="1"/>
  <c r="O480" i="12"/>
  <c r="M480" i="12" l="1"/>
  <c r="AH481" i="12"/>
  <c r="AD481" i="12"/>
  <c r="V481" i="12"/>
  <c r="W481" i="12"/>
  <c r="A481" i="12"/>
  <c r="X481" i="12"/>
  <c r="D481" i="12"/>
  <c r="P481" i="12" l="1"/>
  <c r="Q481" i="12"/>
  <c r="B482" i="12"/>
  <c r="AE482" i="12" s="1"/>
  <c r="C482" i="12"/>
  <c r="Y482" i="12" s="1"/>
  <c r="S481" i="12"/>
  <c r="H481" i="12" s="1"/>
  <c r="T481" i="12"/>
  <c r="J481" i="12" s="1"/>
  <c r="U481" i="12"/>
  <c r="K481" i="12" s="1"/>
  <c r="I481" i="12"/>
  <c r="E481" i="12"/>
  <c r="N481" i="12"/>
  <c r="AI481" i="12" s="1"/>
  <c r="R481" i="12"/>
  <c r="G481" i="12" s="1"/>
  <c r="L481" i="12"/>
  <c r="F481" i="12"/>
  <c r="O481" i="12"/>
  <c r="M481" i="12" l="1"/>
  <c r="AH482" i="12"/>
  <c r="AD482" i="12"/>
  <c r="V482" i="12"/>
  <c r="W482" i="12"/>
  <c r="X482" i="12"/>
  <c r="A482" i="12"/>
  <c r="D482" i="12"/>
  <c r="P482" i="12" l="1"/>
  <c r="B483" i="12"/>
  <c r="AE483" i="12" s="1"/>
  <c r="C483" i="12"/>
  <c r="Y483" i="12" s="1"/>
  <c r="Q482" i="12"/>
  <c r="T482" i="12"/>
  <c r="J482" i="12" s="1"/>
  <c r="E482" i="12"/>
  <c r="N482" i="12"/>
  <c r="AI482" i="12" s="1"/>
  <c r="R482" i="12"/>
  <c r="G482" i="12" s="1"/>
  <c r="U482" i="12"/>
  <c r="K482" i="12" s="1"/>
  <c r="I482" i="12"/>
  <c r="O482" i="12"/>
  <c r="S482" i="12"/>
  <c r="H482" i="12" s="1"/>
  <c r="L482" i="12"/>
  <c r="F482" i="12"/>
  <c r="M482" i="12" l="1"/>
  <c r="AH483" i="12"/>
  <c r="AD483" i="12"/>
  <c r="A483" i="12"/>
  <c r="D483" i="12"/>
  <c r="V483" i="12"/>
  <c r="W483" i="12"/>
  <c r="X483" i="12"/>
  <c r="P483" i="12" l="1"/>
  <c r="Q483" i="12"/>
  <c r="B484" i="12"/>
  <c r="AE484" i="12" s="1"/>
  <c r="T483" i="12"/>
  <c r="J483" i="12" s="1"/>
  <c r="U483" i="12"/>
  <c r="K483" i="12" s="1"/>
  <c r="S483" i="12"/>
  <c r="H483" i="12" s="1"/>
  <c r="R483" i="12"/>
  <c r="G483" i="12" s="1"/>
  <c r="I483" i="12"/>
  <c r="L483" i="12"/>
  <c r="E483" i="12"/>
  <c r="F483" i="12"/>
  <c r="C484" i="12"/>
  <c r="Y484" i="12" s="1"/>
  <c r="O483" i="12"/>
  <c r="N483" i="12"/>
  <c r="AI483" i="12" s="1"/>
  <c r="M483" i="12" l="1"/>
  <c r="AH484" i="12"/>
  <c r="AD484" i="12"/>
  <c r="D484" i="12"/>
  <c r="V484" i="12"/>
  <c r="W484" i="12"/>
  <c r="X484" i="12"/>
  <c r="A484" i="12"/>
  <c r="N484" i="12" l="1"/>
  <c r="AI484" i="12" s="1"/>
  <c r="O484" i="12"/>
  <c r="Q484" i="12"/>
  <c r="P484" i="12"/>
  <c r="U484" i="12"/>
  <c r="K484" i="12" s="1"/>
  <c r="R484" i="12"/>
  <c r="G484" i="12" s="1"/>
  <c r="S484" i="12"/>
  <c r="H484" i="12" s="1"/>
  <c r="T484" i="12"/>
  <c r="J484" i="12" s="1"/>
  <c r="I484" i="12"/>
  <c r="L484" i="12"/>
  <c r="E484" i="12"/>
  <c r="F484" i="12"/>
  <c r="B485" i="12"/>
  <c r="AE485" i="12" s="1"/>
  <c r="C485" i="12"/>
  <c r="Y485" i="12" s="1"/>
  <c r="M484" i="12" l="1"/>
  <c r="AH485" i="12"/>
  <c r="AD485" i="12"/>
  <c r="A485" i="12"/>
  <c r="D485" i="12"/>
  <c r="V485" i="12"/>
  <c r="W485" i="12"/>
  <c r="X485" i="12"/>
  <c r="N485" i="12" l="1"/>
  <c r="AI485" i="12" s="1"/>
  <c r="O485" i="12"/>
  <c r="F485" i="12"/>
  <c r="P485" i="12"/>
  <c r="Q485" i="12"/>
  <c r="T485" i="12"/>
  <c r="J485" i="12" s="1"/>
  <c r="R485" i="12"/>
  <c r="G485" i="12" s="1"/>
  <c r="S485" i="12"/>
  <c r="H485" i="12" s="1"/>
  <c r="U485" i="12"/>
  <c r="K485" i="12" s="1"/>
  <c r="I485" i="12"/>
  <c r="L485" i="12"/>
  <c r="E485" i="12"/>
  <c r="B486" i="12"/>
  <c r="AE486" i="12" s="1"/>
  <c r="C486" i="12"/>
  <c r="Y486" i="12" s="1"/>
  <c r="AH486" i="12" l="1"/>
  <c r="AD486" i="12"/>
  <c r="W486" i="12"/>
  <c r="X486" i="12"/>
  <c r="A486" i="12"/>
  <c r="D486" i="12"/>
  <c r="V486" i="12"/>
  <c r="M485" i="12"/>
  <c r="N486" i="12" l="1"/>
  <c r="AI486" i="12" s="1"/>
  <c r="O486" i="12"/>
  <c r="E486" i="12"/>
  <c r="P486" i="12"/>
  <c r="Q486" i="12"/>
  <c r="F486" i="12"/>
  <c r="U486" i="12"/>
  <c r="K486" i="12" s="1"/>
  <c r="R486" i="12"/>
  <c r="G486" i="12" s="1"/>
  <c r="S486" i="12"/>
  <c r="H486" i="12" s="1"/>
  <c r="T486" i="12"/>
  <c r="J486" i="12" s="1"/>
  <c r="I486" i="12"/>
  <c r="L486" i="12"/>
  <c r="B487" i="12"/>
  <c r="AE487" i="12" s="1"/>
  <c r="C487" i="12"/>
  <c r="Y487" i="12" s="1"/>
  <c r="AH487" i="12" l="1"/>
  <c r="AD487" i="12"/>
  <c r="V487" i="12"/>
  <c r="W487" i="12"/>
  <c r="X487" i="12"/>
  <c r="D487" i="12"/>
  <c r="A487" i="12"/>
  <c r="M486" i="12"/>
  <c r="P487" i="12" l="1"/>
  <c r="Q487" i="12"/>
  <c r="B488" i="12"/>
  <c r="AE488" i="12" s="1"/>
  <c r="R487" i="12"/>
  <c r="G487" i="12" s="1"/>
  <c r="T487" i="12"/>
  <c r="J487" i="12" s="1"/>
  <c r="S487" i="12"/>
  <c r="H487" i="12" s="1"/>
  <c r="U487" i="12"/>
  <c r="K487" i="12" s="1"/>
  <c r="L487" i="12"/>
  <c r="E487" i="12"/>
  <c r="F487" i="12"/>
  <c r="C488" i="12"/>
  <c r="Y488" i="12" s="1"/>
  <c r="I487" i="12"/>
  <c r="N487" i="12"/>
  <c r="AI487" i="12" s="1"/>
  <c r="O487" i="12"/>
  <c r="M487" i="12" l="1"/>
  <c r="AH488" i="12"/>
  <c r="AD488" i="12"/>
  <c r="V488" i="12"/>
  <c r="D488" i="12"/>
  <c r="X488" i="12"/>
  <c r="A488" i="12"/>
  <c r="W488" i="12"/>
  <c r="O488" i="12" l="1"/>
  <c r="P488" i="12"/>
  <c r="Q488" i="12"/>
  <c r="C489" i="12"/>
  <c r="Y489" i="12" s="1"/>
  <c r="S488" i="12"/>
  <c r="H488" i="12" s="1"/>
  <c r="R488" i="12"/>
  <c r="G488" i="12" s="1"/>
  <c r="T488" i="12"/>
  <c r="J488" i="12" s="1"/>
  <c r="U488" i="12"/>
  <c r="K488" i="12" s="1"/>
  <c r="I488" i="12"/>
  <c r="L488" i="12"/>
  <c r="E488" i="12"/>
  <c r="F488" i="12"/>
  <c r="B489" i="12"/>
  <c r="AE489" i="12" s="1"/>
  <c r="N488" i="12"/>
  <c r="AI488" i="12" s="1"/>
  <c r="M488" i="12" l="1"/>
  <c r="AH489" i="12"/>
  <c r="AD489" i="12"/>
  <c r="A489" i="12"/>
  <c r="V489" i="12"/>
  <c r="W489" i="12"/>
  <c r="X489" i="12"/>
  <c r="D489" i="12"/>
  <c r="C490" i="12" l="1"/>
  <c r="Y490" i="12" s="1"/>
  <c r="N489" i="12"/>
  <c r="AI489" i="12" s="1"/>
  <c r="O489" i="12"/>
  <c r="P489" i="12"/>
  <c r="S489" i="12"/>
  <c r="H489" i="12" s="1"/>
  <c r="I489" i="12"/>
  <c r="L489" i="12"/>
  <c r="Q489" i="12"/>
  <c r="R489" i="12"/>
  <c r="G489" i="12" s="1"/>
  <c r="T489" i="12"/>
  <c r="J489" i="12" s="1"/>
  <c r="U489" i="12"/>
  <c r="K489" i="12" s="1"/>
  <c r="E489" i="12"/>
  <c r="F489" i="12"/>
  <c r="B490" i="12"/>
  <c r="AE490" i="12" s="1"/>
  <c r="M489" i="12" l="1"/>
  <c r="AH490" i="12"/>
  <c r="AD490" i="12"/>
  <c r="D490" i="12"/>
  <c r="V490" i="12"/>
  <c r="W490" i="12"/>
  <c r="X490" i="12"/>
  <c r="A490" i="12"/>
  <c r="N490" i="12" l="1"/>
  <c r="AI490" i="12" s="1"/>
  <c r="B491" i="12"/>
  <c r="AE491" i="12" s="1"/>
  <c r="S490" i="12"/>
  <c r="H490" i="12" s="1"/>
  <c r="T490" i="12"/>
  <c r="J490" i="12" s="1"/>
  <c r="U490" i="12"/>
  <c r="K490" i="12" s="1"/>
  <c r="R490" i="12"/>
  <c r="G490" i="12" s="1"/>
  <c r="I490" i="12"/>
  <c r="L490" i="12"/>
  <c r="E490" i="12"/>
  <c r="O490" i="12"/>
  <c r="Q490" i="12"/>
  <c r="C491" i="12"/>
  <c r="Y491" i="12" s="1"/>
  <c r="F490" i="12"/>
  <c r="P490" i="12"/>
  <c r="M490" i="12" l="1"/>
  <c r="AH491" i="12"/>
  <c r="AD491" i="12"/>
  <c r="V491" i="12"/>
  <c r="W491" i="12"/>
  <c r="X491" i="12"/>
  <c r="A491" i="12"/>
  <c r="D491" i="12"/>
  <c r="P491" i="12" l="1"/>
  <c r="Q491" i="12"/>
  <c r="L491" i="12"/>
  <c r="B492" i="12"/>
  <c r="AE492" i="12" s="1"/>
  <c r="C492" i="12"/>
  <c r="Y492" i="12" s="1"/>
  <c r="S491" i="12"/>
  <c r="H491" i="12" s="1"/>
  <c r="T491" i="12"/>
  <c r="J491" i="12" s="1"/>
  <c r="U491" i="12"/>
  <c r="K491" i="12" s="1"/>
  <c r="I491" i="12"/>
  <c r="F491" i="12"/>
  <c r="O491" i="12"/>
  <c r="R491" i="12"/>
  <c r="G491" i="12" s="1"/>
  <c r="E491" i="12"/>
  <c r="N491" i="12"/>
  <c r="AI491" i="12" s="1"/>
  <c r="M491" i="12" l="1"/>
  <c r="AH492" i="12"/>
  <c r="AD492" i="12"/>
  <c r="A492" i="12"/>
  <c r="D492" i="12"/>
  <c r="V492" i="12"/>
  <c r="W492" i="12"/>
  <c r="X492" i="12"/>
  <c r="Q492" i="12" l="1"/>
  <c r="B493" i="12"/>
  <c r="AE493" i="12" s="1"/>
  <c r="C493" i="12"/>
  <c r="Y493" i="12" s="1"/>
  <c r="O492" i="12"/>
  <c r="S492" i="12"/>
  <c r="H492" i="12" s="1"/>
  <c r="U492" i="12"/>
  <c r="K492" i="12" s="1"/>
  <c r="R492" i="12"/>
  <c r="G492" i="12" s="1"/>
  <c r="T492" i="12"/>
  <c r="J492" i="12" s="1"/>
  <c r="I492" i="12"/>
  <c r="L492" i="12"/>
  <c r="E492" i="12"/>
  <c r="F492" i="12"/>
  <c r="N492" i="12"/>
  <c r="AI492" i="12" s="1"/>
  <c r="P492" i="12"/>
  <c r="M492" i="12" l="1"/>
  <c r="AH493" i="12"/>
  <c r="AD493" i="12"/>
  <c r="V493" i="12"/>
  <c r="D493" i="12"/>
  <c r="W493" i="12"/>
  <c r="X493" i="12"/>
  <c r="A493" i="12"/>
  <c r="P493" i="12" l="1"/>
  <c r="Q493" i="12"/>
  <c r="B494" i="12"/>
  <c r="AE494" i="12" s="1"/>
  <c r="R493" i="12"/>
  <c r="G493" i="12" s="1"/>
  <c r="T493" i="12"/>
  <c r="J493" i="12" s="1"/>
  <c r="S493" i="12"/>
  <c r="H493" i="12" s="1"/>
  <c r="U493" i="12"/>
  <c r="K493" i="12" s="1"/>
  <c r="I493" i="12"/>
  <c r="L493" i="12"/>
  <c r="E493" i="12"/>
  <c r="F493" i="12"/>
  <c r="N493" i="12"/>
  <c r="AI493" i="12" s="1"/>
  <c r="O493" i="12"/>
  <c r="C494" i="12"/>
  <c r="Y494" i="12" s="1"/>
  <c r="M493" i="12" l="1"/>
  <c r="AH494" i="12"/>
  <c r="AD494" i="12"/>
  <c r="V494" i="12"/>
  <c r="W494" i="12"/>
  <c r="D494" i="12"/>
  <c r="A494" i="12"/>
  <c r="X494" i="12"/>
  <c r="P494" i="12" l="1"/>
  <c r="Q494" i="12"/>
  <c r="C495" i="12"/>
  <c r="Y495" i="12" s="1"/>
  <c r="B495" i="12"/>
  <c r="AE495" i="12" s="1"/>
  <c r="S494" i="12"/>
  <c r="H494" i="12" s="1"/>
  <c r="T494" i="12"/>
  <c r="J494" i="12" s="1"/>
  <c r="R494" i="12"/>
  <c r="G494" i="12" s="1"/>
  <c r="U494" i="12"/>
  <c r="K494" i="12" s="1"/>
  <c r="I494" i="12"/>
  <c r="L494" i="12"/>
  <c r="E494" i="12"/>
  <c r="F494" i="12"/>
  <c r="N494" i="12"/>
  <c r="AI494" i="12" s="1"/>
  <c r="O494" i="12"/>
  <c r="M494" i="12" l="1"/>
  <c r="AH495" i="12"/>
  <c r="AD495" i="12"/>
  <c r="V495" i="12"/>
  <c r="W495" i="12"/>
  <c r="X495" i="12"/>
  <c r="D495" i="12"/>
  <c r="A495" i="12"/>
  <c r="O495" i="12" l="1"/>
  <c r="P495" i="12"/>
  <c r="Q495" i="12"/>
  <c r="T495" i="12"/>
  <c r="J495" i="12" s="1"/>
  <c r="R495" i="12"/>
  <c r="G495" i="12" s="1"/>
  <c r="U495" i="12"/>
  <c r="K495" i="12" s="1"/>
  <c r="S495" i="12"/>
  <c r="H495" i="12" s="1"/>
  <c r="I495" i="12"/>
  <c r="L495" i="12"/>
  <c r="E495" i="12"/>
  <c r="F495" i="12"/>
  <c r="C496" i="12"/>
  <c r="Y496" i="12" s="1"/>
  <c r="B496" i="12"/>
  <c r="AE496" i="12" s="1"/>
  <c r="N495" i="12"/>
  <c r="AI495" i="12" s="1"/>
  <c r="AH496" i="12" l="1"/>
  <c r="AD496" i="12"/>
  <c r="D496" i="12"/>
  <c r="X496" i="12"/>
  <c r="A496" i="12"/>
  <c r="V496" i="12"/>
  <c r="W496" i="12"/>
  <c r="M495" i="12"/>
  <c r="O496" i="12" l="1"/>
  <c r="N496" i="12"/>
  <c r="AI496" i="12" s="1"/>
  <c r="P496" i="12"/>
  <c r="Q496" i="12"/>
  <c r="S496" i="12"/>
  <c r="H496" i="12" s="1"/>
  <c r="R496" i="12"/>
  <c r="G496" i="12" s="1"/>
  <c r="T496" i="12"/>
  <c r="J496" i="12" s="1"/>
  <c r="U496" i="12"/>
  <c r="K496" i="12" s="1"/>
  <c r="I496" i="12"/>
  <c r="L496" i="12"/>
  <c r="F496" i="12"/>
  <c r="B497" i="12"/>
  <c r="AE497" i="12" s="1"/>
  <c r="E496" i="12"/>
  <c r="C497" i="12"/>
  <c r="Y497" i="12" s="1"/>
  <c r="M496" i="12" l="1"/>
  <c r="AH497" i="12"/>
  <c r="AD497" i="12"/>
  <c r="A497" i="12"/>
  <c r="D497" i="12"/>
  <c r="V497" i="12"/>
  <c r="W497" i="12"/>
  <c r="X497" i="12"/>
  <c r="C498" i="12" l="1"/>
  <c r="Y498" i="12" s="1"/>
  <c r="O497" i="12"/>
  <c r="Q497" i="12"/>
  <c r="R497" i="12"/>
  <c r="G497" i="12" s="1"/>
  <c r="T497" i="12"/>
  <c r="J497" i="12" s="1"/>
  <c r="U497" i="12"/>
  <c r="K497" i="12" s="1"/>
  <c r="I497" i="12"/>
  <c r="F497" i="12"/>
  <c r="N497" i="12"/>
  <c r="AI497" i="12" s="1"/>
  <c r="P497" i="12"/>
  <c r="S497" i="12"/>
  <c r="H497" i="12" s="1"/>
  <c r="L497" i="12"/>
  <c r="E497" i="12"/>
  <c r="B498" i="12"/>
  <c r="AE498" i="12" s="1"/>
  <c r="M497" i="12" l="1"/>
  <c r="AH498" i="12"/>
  <c r="AD498" i="12"/>
  <c r="W498" i="12"/>
  <c r="X498" i="12"/>
  <c r="A498" i="12"/>
  <c r="D498" i="12"/>
  <c r="V498" i="12"/>
  <c r="O498" i="12" l="1"/>
  <c r="P498" i="12"/>
  <c r="B499" i="12"/>
  <c r="AE499" i="12" s="1"/>
  <c r="I498" i="12"/>
  <c r="C499" i="12"/>
  <c r="Y499" i="12" s="1"/>
  <c r="R498" i="12"/>
  <c r="G498" i="12" s="1"/>
  <c r="S498" i="12"/>
  <c r="H498" i="12" s="1"/>
  <c r="U498" i="12"/>
  <c r="K498" i="12" s="1"/>
  <c r="L498" i="12"/>
  <c r="F498" i="12"/>
  <c r="Q498" i="12"/>
  <c r="T498" i="12"/>
  <c r="J498" i="12" s="1"/>
  <c r="E498" i="12"/>
  <c r="N498" i="12"/>
  <c r="AI498" i="12" s="1"/>
  <c r="M498" i="12" l="1"/>
  <c r="AH499" i="12"/>
  <c r="AD499" i="12"/>
  <c r="V499" i="12"/>
  <c r="W499" i="12"/>
  <c r="A499" i="12"/>
  <c r="X499" i="12"/>
  <c r="D499" i="12"/>
  <c r="N499" i="12" l="1"/>
  <c r="AI499" i="12" s="1"/>
  <c r="O499" i="12"/>
  <c r="R499" i="12"/>
  <c r="G499" i="12" s="1"/>
  <c r="T499" i="12"/>
  <c r="J499" i="12" s="1"/>
  <c r="U499" i="12"/>
  <c r="K499" i="12" s="1"/>
  <c r="I499" i="12"/>
  <c r="F499" i="12"/>
  <c r="P499" i="12"/>
  <c r="Q499" i="12"/>
  <c r="C500" i="12"/>
  <c r="Y500" i="12" s="1"/>
  <c r="S499" i="12"/>
  <c r="H499" i="12" s="1"/>
  <c r="L499" i="12"/>
  <c r="E499" i="12"/>
  <c r="B500" i="12"/>
  <c r="AE500" i="12" s="1"/>
  <c r="AH500" i="12" l="1"/>
  <c r="AD500" i="12"/>
  <c r="A500" i="12"/>
  <c r="D500" i="12"/>
  <c r="V500" i="12"/>
  <c r="W500" i="12"/>
  <c r="X500" i="12"/>
  <c r="M499" i="12"/>
  <c r="P500" i="12" l="1"/>
  <c r="Q500" i="12"/>
  <c r="B501" i="12"/>
  <c r="AE501" i="12" s="1"/>
  <c r="C501" i="12"/>
  <c r="Y501" i="12" s="1"/>
  <c r="T500" i="12"/>
  <c r="J500" i="12" s="1"/>
  <c r="U500" i="12"/>
  <c r="K500" i="12" s="1"/>
  <c r="L500" i="12"/>
  <c r="F500" i="12"/>
  <c r="N500" i="12"/>
  <c r="AI500" i="12" s="1"/>
  <c r="O500" i="12"/>
  <c r="R500" i="12"/>
  <c r="G500" i="12" s="1"/>
  <c r="S500" i="12"/>
  <c r="H500" i="12" s="1"/>
  <c r="I500" i="12"/>
  <c r="E500" i="12"/>
  <c r="AH501" i="12" l="1"/>
  <c r="AD501" i="12"/>
  <c r="X501" i="12"/>
  <c r="A501" i="12"/>
  <c r="V501" i="12"/>
  <c r="W501" i="12"/>
  <c r="D501" i="12"/>
  <c r="M500" i="12"/>
  <c r="C502" i="12" l="1"/>
  <c r="Y502" i="12" s="1"/>
  <c r="P501" i="12"/>
  <c r="N501" i="12"/>
  <c r="AI501" i="12" s="1"/>
  <c r="O501" i="12"/>
  <c r="R501" i="12"/>
  <c r="G501" i="12" s="1"/>
  <c r="S501" i="12"/>
  <c r="H501" i="12" s="1"/>
  <c r="T501" i="12"/>
  <c r="J501" i="12" s="1"/>
  <c r="U501" i="12"/>
  <c r="K501" i="12" s="1"/>
  <c r="L501" i="12"/>
  <c r="E501" i="12"/>
  <c r="F501" i="12"/>
  <c r="B502" i="12"/>
  <c r="AE502" i="12" s="1"/>
  <c r="I501" i="12"/>
  <c r="Q501" i="12"/>
  <c r="M501" i="12" l="1"/>
  <c r="AH502" i="12"/>
  <c r="AD502" i="12"/>
  <c r="A502" i="12"/>
  <c r="D502" i="12"/>
  <c r="V502" i="12"/>
  <c r="W502" i="12"/>
  <c r="X502" i="12"/>
  <c r="Q502" i="12" l="1"/>
  <c r="C503" i="12"/>
  <c r="Y503" i="12" s="1"/>
  <c r="T502" i="12"/>
  <c r="J502" i="12" s="1"/>
  <c r="S502" i="12"/>
  <c r="H502" i="12" s="1"/>
  <c r="R502" i="12"/>
  <c r="G502" i="12" s="1"/>
  <c r="I502" i="12"/>
  <c r="L502" i="12"/>
  <c r="E502" i="12"/>
  <c r="O502" i="12"/>
  <c r="N502" i="12"/>
  <c r="AI502" i="12" s="1"/>
  <c r="F502" i="12"/>
  <c r="U502" i="12"/>
  <c r="K502" i="12" s="1"/>
  <c r="P502" i="12"/>
  <c r="B503" i="12"/>
  <c r="AE503" i="12" s="1"/>
  <c r="AH503" i="12" l="1"/>
  <c r="AD503" i="12"/>
  <c r="V503" i="12"/>
  <c r="W503" i="12"/>
  <c r="X503" i="12"/>
  <c r="A503" i="12"/>
  <c r="D503" i="12"/>
  <c r="M502" i="12"/>
  <c r="P503" i="12" l="1"/>
  <c r="Q503" i="12"/>
  <c r="B504" i="12"/>
  <c r="AE504" i="12" s="1"/>
  <c r="C504" i="12"/>
  <c r="Y504" i="12" s="1"/>
  <c r="L503" i="12"/>
  <c r="N503" i="12"/>
  <c r="AI503" i="12" s="1"/>
  <c r="U503" i="12"/>
  <c r="K503" i="12" s="1"/>
  <c r="R503" i="12"/>
  <c r="G503" i="12" s="1"/>
  <c r="S503" i="12"/>
  <c r="H503" i="12" s="1"/>
  <c r="T503" i="12"/>
  <c r="J503" i="12" s="1"/>
  <c r="I503" i="12"/>
  <c r="E503" i="12"/>
  <c r="F503" i="12"/>
  <c r="O503" i="12"/>
  <c r="M503" i="12" l="1"/>
  <c r="AH504" i="12"/>
  <c r="AD504" i="12"/>
  <c r="V504" i="12"/>
  <c r="W504" i="12"/>
  <c r="X504" i="12"/>
  <c r="A504" i="12"/>
  <c r="D504" i="12"/>
  <c r="P504" i="12" l="1"/>
  <c r="B505" i="12"/>
  <c r="AE505" i="12" s="1"/>
  <c r="C505" i="12"/>
  <c r="Y505" i="12" s="1"/>
  <c r="Q504" i="12"/>
  <c r="R504" i="12"/>
  <c r="G504" i="12" s="1"/>
  <c r="S504" i="12"/>
  <c r="H504" i="12" s="1"/>
  <c r="U504" i="12"/>
  <c r="K504" i="12" s="1"/>
  <c r="I504" i="12"/>
  <c r="E504" i="12"/>
  <c r="N504" i="12"/>
  <c r="AI504" i="12" s="1"/>
  <c r="T504" i="12"/>
  <c r="J504" i="12" s="1"/>
  <c r="L504" i="12"/>
  <c r="F504" i="12"/>
  <c r="O504" i="12"/>
  <c r="M504" i="12" l="1"/>
  <c r="AH505" i="12"/>
  <c r="AD505" i="12"/>
  <c r="A505" i="12"/>
  <c r="D505" i="12"/>
  <c r="V505" i="12"/>
  <c r="W505" i="12"/>
  <c r="X505" i="12"/>
  <c r="P505" i="12" l="1"/>
  <c r="B506" i="12"/>
  <c r="AE506" i="12" s="1"/>
  <c r="C506" i="12"/>
  <c r="Y506" i="12" s="1"/>
  <c r="Q505" i="12"/>
  <c r="S505" i="12"/>
  <c r="H505" i="12" s="1"/>
  <c r="L505" i="12"/>
  <c r="F505" i="12"/>
  <c r="R505" i="12"/>
  <c r="G505" i="12" s="1"/>
  <c r="T505" i="12"/>
  <c r="J505" i="12" s="1"/>
  <c r="U505" i="12"/>
  <c r="K505" i="12" s="1"/>
  <c r="I505" i="12"/>
  <c r="E505" i="12"/>
  <c r="N505" i="12"/>
  <c r="AI505" i="12" s="1"/>
  <c r="O505" i="12"/>
  <c r="M505" i="12" l="1"/>
  <c r="AH506" i="12"/>
  <c r="AD506" i="12"/>
  <c r="V506" i="12"/>
  <c r="W506" i="12"/>
  <c r="X506" i="12"/>
  <c r="A506" i="12"/>
  <c r="D506" i="12"/>
  <c r="Q506" i="12" l="1"/>
  <c r="N506" i="12"/>
  <c r="AI506" i="12" s="1"/>
  <c r="B507" i="12"/>
  <c r="AE507" i="12" s="1"/>
  <c r="C507" i="12"/>
  <c r="Y507" i="12" s="1"/>
  <c r="U506" i="12"/>
  <c r="K506" i="12" s="1"/>
  <c r="S506" i="12"/>
  <c r="H506" i="12" s="1"/>
  <c r="T506" i="12"/>
  <c r="J506" i="12" s="1"/>
  <c r="R506" i="12"/>
  <c r="G506" i="12" s="1"/>
  <c r="I506" i="12"/>
  <c r="L506" i="12"/>
  <c r="E506" i="12"/>
  <c r="F506" i="12"/>
  <c r="O506" i="12"/>
  <c r="P506" i="12"/>
  <c r="M506" i="12" l="1"/>
  <c r="AH507" i="12"/>
  <c r="AD507" i="12"/>
  <c r="A507" i="12"/>
  <c r="D507" i="12"/>
  <c r="V507" i="12"/>
  <c r="W507" i="12"/>
  <c r="X507" i="12"/>
  <c r="Q507" i="12" l="1"/>
  <c r="N507" i="12"/>
  <c r="AI507" i="12" s="1"/>
  <c r="O507" i="12"/>
  <c r="B508" i="12"/>
  <c r="AE508" i="12" s="1"/>
  <c r="U507" i="12"/>
  <c r="K507" i="12" s="1"/>
  <c r="S507" i="12"/>
  <c r="H507" i="12" s="1"/>
  <c r="T507" i="12"/>
  <c r="J507" i="12" s="1"/>
  <c r="I507" i="12"/>
  <c r="L507" i="12"/>
  <c r="P507" i="12"/>
  <c r="R507" i="12"/>
  <c r="G507" i="12" s="1"/>
  <c r="F507" i="12"/>
  <c r="C508" i="12"/>
  <c r="Y508" i="12" s="1"/>
  <c r="E507" i="12"/>
  <c r="M507" i="12" l="1"/>
  <c r="AH508" i="12"/>
  <c r="AD508" i="12"/>
  <c r="D508" i="12"/>
  <c r="V508" i="12"/>
  <c r="W508" i="12"/>
  <c r="X508" i="12"/>
  <c r="A508" i="12"/>
  <c r="Q508" i="12" l="1"/>
  <c r="P508" i="12"/>
  <c r="N508" i="12"/>
  <c r="AI508" i="12" s="1"/>
  <c r="O508" i="12"/>
  <c r="S508" i="12"/>
  <c r="H508" i="12" s="1"/>
  <c r="R508" i="12"/>
  <c r="G508" i="12" s="1"/>
  <c r="T508" i="12"/>
  <c r="J508" i="12" s="1"/>
  <c r="U508" i="12"/>
  <c r="K508" i="12" s="1"/>
  <c r="I508" i="12"/>
  <c r="L508" i="12"/>
  <c r="E508" i="12"/>
  <c r="F508" i="12"/>
  <c r="B509" i="12"/>
  <c r="AE509" i="12" s="1"/>
  <c r="C509" i="12"/>
  <c r="Y509" i="12" s="1"/>
  <c r="AH509" i="12" l="1"/>
  <c r="AD509" i="12"/>
  <c r="A509" i="12"/>
  <c r="W509" i="12"/>
  <c r="D509" i="12"/>
  <c r="V509" i="12"/>
  <c r="X509" i="12"/>
  <c r="M508" i="12"/>
  <c r="N509" i="12" l="1"/>
  <c r="AI509" i="12" s="1"/>
  <c r="O509" i="12"/>
  <c r="P509" i="12"/>
  <c r="Q509" i="12"/>
  <c r="U509" i="12"/>
  <c r="K509" i="12" s="1"/>
  <c r="E509" i="12"/>
  <c r="B510" i="12"/>
  <c r="AE510" i="12" s="1"/>
  <c r="L509" i="12"/>
  <c r="S509" i="12"/>
  <c r="H509" i="12" s="1"/>
  <c r="R509" i="12"/>
  <c r="G509" i="12" s="1"/>
  <c r="T509" i="12"/>
  <c r="J509" i="12" s="1"/>
  <c r="I509" i="12"/>
  <c r="F509" i="12"/>
  <c r="C510" i="12"/>
  <c r="Y510" i="12" s="1"/>
  <c r="M509" i="12" l="1"/>
  <c r="AH510" i="12"/>
  <c r="AD510" i="12"/>
  <c r="W510" i="12"/>
  <c r="X510" i="12"/>
  <c r="A510" i="12"/>
  <c r="D510" i="12"/>
  <c r="V510" i="12"/>
  <c r="O510" i="12" l="1"/>
  <c r="P510" i="12"/>
  <c r="Q510" i="12"/>
  <c r="B511" i="12"/>
  <c r="AE511" i="12" s="1"/>
  <c r="I510" i="12"/>
  <c r="U510" i="12"/>
  <c r="K510" i="12" s="1"/>
  <c r="S510" i="12"/>
  <c r="H510" i="12" s="1"/>
  <c r="L510" i="12"/>
  <c r="F510" i="12"/>
  <c r="N510" i="12"/>
  <c r="AI510" i="12" s="1"/>
  <c r="T510" i="12"/>
  <c r="J510" i="12" s="1"/>
  <c r="R510" i="12"/>
  <c r="G510" i="12" s="1"/>
  <c r="E510" i="12"/>
  <c r="C511" i="12"/>
  <c r="Y511" i="12" s="1"/>
  <c r="M510" i="12" l="1"/>
  <c r="AH511" i="12"/>
  <c r="AD511" i="12"/>
  <c r="V511" i="12"/>
  <c r="W511" i="12"/>
  <c r="X511" i="12"/>
  <c r="D511" i="12"/>
  <c r="A511" i="12"/>
  <c r="O511" i="12" l="1"/>
  <c r="N511" i="12"/>
  <c r="AI511" i="12" s="1"/>
  <c r="P511" i="12"/>
  <c r="Q511" i="12"/>
  <c r="R511" i="12"/>
  <c r="G511" i="12" s="1"/>
  <c r="S511" i="12"/>
  <c r="H511" i="12" s="1"/>
  <c r="T511" i="12"/>
  <c r="J511" i="12" s="1"/>
  <c r="U511" i="12"/>
  <c r="K511" i="12" s="1"/>
  <c r="I511" i="12"/>
  <c r="L511" i="12"/>
  <c r="E511" i="12"/>
  <c r="F511" i="12"/>
  <c r="B512" i="12"/>
  <c r="AE512" i="12" s="1"/>
  <c r="C512" i="12"/>
  <c r="Y512" i="12" s="1"/>
  <c r="M511" i="12" l="1"/>
  <c r="AH512" i="12"/>
  <c r="AD512" i="12"/>
  <c r="X512" i="12"/>
  <c r="V512" i="12"/>
  <c r="W512" i="12"/>
  <c r="A512" i="12"/>
  <c r="D512" i="12"/>
  <c r="O512" i="12" l="1"/>
  <c r="P512" i="12"/>
  <c r="B513" i="12"/>
  <c r="AE513" i="12" s="1"/>
  <c r="C513" i="12"/>
  <c r="Y513" i="12" s="1"/>
  <c r="E512" i="12"/>
  <c r="S512" i="12"/>
  <c r="H512" i="12" s="1"/>
  <c r="T512" i="12"/>
  <c r="J512" i="12" s="1"/>
  <c r="U512" i="12"/>
  <c r="K512" i="12" s="1"/>
  <c r="L512" i="12"/>
  <c r="Q512" i="12"/>
  <c r="N512" i="12"/>
  <c r="AI512" i="12" s="1"/>
  <c r="R512" i="12"/>
  <c r="G512" i="12" s="1"/>
  <c r="I512" i="12"/>
  <c r="F512" i="12"/>
  <c r="M512" i="12" l="1"/>
  <c r="AH513" i="12"/>
  <c r="AD513" i="12"/>
  <c r="A513" i="12"/>
  <c r="D513" i="12"/>
  <c r="X513" i="12"/>
  <c r="V513" i="12"/>
  <c r="W513" i="12"/>
  <c r="O513" i="12" l="1"/>
  <c r="P513" i="12"/>
  <c r="B514" i="12"/>
  <c r="AE514" i="12" s="1"/>
  <c r="C514" i="12"/>
  <c r="Y514" i="12" s="1"/>
  <c r="R513" i="12"/>
  <c r="G513" i="12" s="1"/>
  <c r="T513" i="12"/>
  <c r="J513" i="12" s="1"/>
  <c r="U513" i="12"/>
  <c r="K513" i="12" s="1"/>
  <c r="I513" i="12"/>
  <c r="L513" i="12"/>
  <c r="Q513" i="12"/>
  <c r="S513" i="12"/>
  <c r="H513" i="12" s="1"/>
  <c r="E513" i="12"/>
  <c r="F513" i="12"/>
  <c r="N513" i="12"/>
  <c r="AI513" i="12" s="1"/>
  <c r="M513" i="12" l="1"/>
  <c r="AH514" i="12"/>
  <c r="AD514" i="12"/>
  <c r="A514" i="12"/>
  <c r="V514" i="12"/>
  <c r="W514" i="12"/>
  <c r="X514" i="12"/>
  <c r="D514" i="12"/>
  <c r="B515" i="12" l="1"/>
  <c r="AE515" i="12" s="1"/>
  <c r="N514" i="12"/>
  <c r="AI514" i="12" s="1"/>
  <c r="C515" i="12"/>
  <c r="Y515" i="12" s="1"/>
  <c r="R514" i="12"/>
  <c r="G514" i="12" s="1"/>
  <c r="T514" i="12"/>
  <c r="J514" i="12" s="1"/>
  <c r="I514" i="12"/>
  <c r="E514" i="12"/>
  <c r="O514" i="12"/>
  <c r="Q514" i="12"/>
  <c r="S514" i="12"/>
  <c r="H514" i="12" s="1"/>
  <c r="U514" i="12"/>
  <c r="K514" i="12" s="1"/>
  <c r="L514" i="12"/>
  <c r="F514" i="12"/>
  <c r="P514" i="12"/>
  <c r="M514" i="12" l="1"/>
  <c r="AH515" i="12"/>
  <c r="AD515" i="12"/>
  <c r="A515" i="12"/>
  <c r="W515" i="12"/>
  <c r="X515" i="12"/>
  <c r="D515" i="12"/>
  <c r="V515" i="12"/>
  <c r="B516" i="12" l="1"/>
  <c r="AE516" i="12" s="1"/>
  <c r="C516" i="12"/>
  <c r="Y516" i="12" s="1"/>
  <c r="P515" i="12"/>
  <c r="Q515" i="12"/>
  <c r="R515" i="12"/>
  <c r="G515" i="12" s="1"/>
  <c r="E515" i="12"/>
  <c r="O515" i="12"/>
  <c r="I515" i="12"/>
  <c r="F515" i="12"/>
  <c r="T515" i="12"/>
  <c r="J515" i="12" s="1"/>
  <c r="S515" i="12"/>
  <c r="H515" i="12" s="1"/>
  <c r="U515" i="12"/>
  <c r="K515" i="12" s="1"/>
  <c r="L515" i="12"/>
  <c r="N515" i="12"/>
  <c r="AI515" i="12" s="1"/>
  <c r="M515" i="12" l="1"/>
  <c r="AH516" i="12"/>
  <c r="AD516" i="12"/>
  <c r="A516" i="12"/>
  <c r="D516" i="12"/>
  <c r="V516" i="12"/>
  <c r="W516" i="12"/>
  <c r="X516" i="12"/>
  <c r="N516" i="12" l="1"/>
  <c r="AI516" i="12" s="1"/>
  <c r="O516" i="12"/>
  <c r="P516" i="12"/>
  <c r="Q516" i="12"/>
  <c r="R516" i="12"/>
  <c r="G516" i="12" s="1"/>
  <c r="U516" i="12"/>
  <c r="K516" i="12" s="1"/>
  <c r="S516" i="12"/>
  <c r="H516" i="12" s="1"/>
  <c r="T516" i="12"/>
  <c r="J516" i="12" s="1"/>
  <c r="L516" i="12"/>
  <c r="E516" i="12"/>
  <c r="F516" i="12"/>
  <c r="B517" i="12"/>
  <c r="AE517" i="12" s="1"/>
  <c r="C517" i="12"/>
  <c r="Y517" i="12" s="1"/>
  <c r="I516" i="12"/>
  <c r="AH517" i="12" l="1"/>
  <c r="AD517" i="12"/>
  <c r="D517" i="12"/>
  <c r="A517" i="12"/>
  <c r="V517" i="12"/>
  <c r="W517" i="12"/>
  <c r="X517" i="12"/>
  <c r="M516" i="12"/>
  <c r="O517" i="12" l="1"/>
  <c r="P517" i="12"/>
  <c r="B518" i="12"/>
  <c r="AE518" i="12" s="1"/>
  <c r="Q517" i="12"/>
  <c r="T517" i="12"/>
  <c r="J517" i="12" s="1"/>
  <c r="U517" i="12"/>
  <c r="K517" i="12" s="1"/>
  <c r="L517" i="12"/>
  <c r="F517" i="12"/>
  <c r="N517" i="12"/>
  <c r="AI517" i="12" s="1"/>
  <c r="R517" i="12"/>
  <c r="G517" i="12" s="1"/>
  <c r="S517" i="12"/>
  <c r="H517" i="12" s="1"/>
  <c r="I517" i="12"/>
  <c r="E517" i="12"/>
  <c r="C518" i="12"/>
  <c r="Y518" i="12" s="1"/>
  <c r="AH518" i="12" l="1"/>
  <c r="AD518" i="12"/>
  <c r="D518" i="12"/>
  <c r="V518" i="12"/>
  <c r="W518" i="12"/>
  <c r="X518" i="12"/>
  <c r="A518" i="12"/>
  <c r="M517" i="12"/>
  <c r="Q518" i="12" l="1"/>
  <c r="B519" i="12"/>
  <c r="AE519" i="12" s="1"/>
  <c r="C519" i="12"/>
  <c r="Y519" i="12" s="1"/>
  <c r="N518" i="12"/>
  <c r="AI518" i="12" s="1"/>
  <c r="O518" i="12"/>
  <c r="E518" i="12"/>
  <c r="R518" i="12"/>
  <c r="G518" i="12" s="1"/>
  <c r="S518" i="12"/>
  <c r="H518" i="12" s="1"/>
  <c r="T518" i="12"/>
  <c r="J518" i="12" s="1"/>
  <c r="U518" i="12"/>
  <c r="K518" i="12" s="1"/>
  <c r="I518" i="12"/>
  <c r="L518" i="12"/>
  <c r="F518" i="12"/>
  <c r="P518" i="12"/>
  <c r="M518" i="12" l="1"/>
  <c r="AH519" i="12"/>
  <c r="AD519" i="12"/>
  <c r="D519" i="12"/>
  <c r="W519" i="12"/>
  <c r="X519" i="12"/>
  <c r="A519" i="12"/>
  <c r="V519" i="12"/>
  <c r="P519" i="12" l="1"/>
  <c r="Q519" i="12"/>
  <c r="B520" i="12"/>
  <c r="AE520" i="12" s="1"/>
  <c r="N519" i="12"/>
  <c r="AI519" i="12" s="1"/>
  <c r="S519" i="12"/>
  <c r="H519" i="12" s="1"/>
  <c r="R519" i="12"/>
  <c r="G519" i="12" s="1"/>
  <c r="I519" i="12"/>
  <c r="L519" i="12"/>
  <c r="T519" i="12"/>
  <c r="J519" i="12" s="1"/>
  <c r="F519" i="12"/>
  <c r="O519" i="12"/>
  <c r="U519" i="12"/>
  <c r="K519" i="12" s="1"/>
  <c r="E519" i="12"/>
  <c r="C520" i="12"/>
  <c r="Y520" i="12" s="1"/>
  <c r="M519" i="12" l="1"/>
  <c r="AH520" i="12"/>
  <c r="AD520" i="12"/>
  <c r="D520" i="12"/>
  <c r="A520" i="12"/>
  <c r="X520" i="12"/>
  <c r="W520" i="12"/>
  <c r="V520" i="12"/>
  <c r="O520" i="12" l="1"/>
  <c r="C521" i="12"/>
  <c r="Y521" i="12" s="1"/>
  <c r="Q520" i="12"/>
  <c r="P520" i="12"/>
  <c r="R520" i="12"/>
  <c r="G520" i="12" s="1"/>
  <c r="U520" i="12"/>
  <c r="K520" i="12" s="1"/>
  <c r="E520" i="12"/>
  <c r="B521" i="12"/>
  <c r="AE521" i="12" s="1"/>
  <c r="I520" i="12"/>
  <c r="N520" i="12"/>
  <c r="AI520" i="12" s="1"/>
  <c r="S520" i="12"/>
  <c r="H520" i="12" s="1"/>
  <c r="T520" i="12"/>
  <c r="J520" i="12" s="1"/>
  <c r="L520" i="12"/>
  <c r="F520" i="12"/>
  <c r="M520" i="12" l="1"/>
  <c r="AH521" i="12"/>
  <c r="A521" i="12"/>
  <c r="V521" i="12"/>
  <c r="W521" i="12"/>
  <c r="X521" i="12"/>
  <c r="AD521" i="12"/>
  <c r="D521" i="12"/>
  <c r="P521" i="12" l="1"/>
  <c r="Q521" i="12"/>
  <c r="C522" i="12"/>
  <c r="Y522" i="12" s="1"/>
  <c r="O521" i="12"/>
  <c r="B522" i="12"/>
  <c r="AE522" i="12" s="1"/>
  <c r="T521" i="12"/>
  <c r="J521" i="12" s="1"/>
  <c r="L521" i="12"/>
  <c r="N521" i="12"/>
  <c r="AI521" i="12" s="1"/>
  <c r="R521" i="12"/>
  <c r="G521" i="12" s="1"/>
  <c r="S521" i="12"/>
  <c r="H521" i="12" s="1"/>
  <c r="U521" i="12"/>
  <c r="K521" i="12" s="1"/>
  <c r="I521" i="12"/>
  <c r="E521" i="12"/>
  <c r="F521" i="12"/>
  <c r="M521" i="12" l="1"/>
  <c r="AH522" i="12"/>
  <c r="AD522" i="12"/>
  <c r="W522" i="12"/>
  <c r="X522" i="12"/>
  <c r="V522" i="12"/>
  <c r="A522" i="12"/>
  <c r="D522" i="12"/>
  <c r="N522" i="12" l="1"/>
  <c r="AI522" i="12" s="1"/>
  <c r="O522" i="12"/>
  <c r="P522" i="12"/>
  <c r="Q522" i="12"/>
  <c r="U522" i="12"/>
  <c r="K522" i="12" s="1"/>
  <c r="S522" i="12"/>
  <c r="H522" i="12" s="1"/>
  <c r="T522" i="12"/>
  <c r="J522" i="12" s="1"/>
  <c r="I522" i="12"/>
  <c r="L522" i="12"/>
  <c r="E522" i="12"/>
  <c r="F522" i="12"/>
  <c r="C523" i="12"/>
  <c r="Y523" i="12" s="1"/>
  <c r="R522" i="12"/>
  <c r="G522" i="12" s="1"/>
  <c r="B523" i="12"/>
  <c r="AE523" i="12" s="1"/>
  <c r="M522" i="12" l="1"/>
  <c r="AH523" i="12"/>
  <c r="V523" i="12"/>
  <c r="A523" i="12"/>
  <c r="W523" i="12"/>
  <c r="D523" i="12"/>
  <c r="AD523" i="12"/>
  <c r="X523" i="12"/>
  <c r="N523" i="12" l="1"/>
  <c r="AI523" i="12" s="1"/>
  <c r="O523" i="12"/>
  <c r="P523" i="12"/>
  <c r="Q523" i="12"/>
  <c r="R523" i="12"/>
  <c r="G523" i="12" s="1"/>
  <c r="S523" i="12"/>
  <c r="H523" i="12" s="1"/>
  <c r="U523" i="12"/>
  <c r="K523" i="12" s="1"/>
  <c r="T523" i="12"/>
  <c r="J523" i="12" s="1"/>
  <c r="I523" i="12"/>
  <c r="L523" i="12"/>
  <c r="E523" i="12"/>
  <c r="F523" i="12"/>
  <c r="C524" i="12"/>
  <c r="Y524" i="12" s="1"/>
  <c r="B524" i="12"/>
  <c r="AE524" i="12" s="1"/>
  <c r="M523" i="12" l="1"/>
  <c r="AH524" i="12"/>
  <c r="AD524" i="12"/>
  <c r="D524" i="12"/>
  <c r="X524" i="12"/>
  <c r="A524" i="12"/>
  <c r="V524" i="12"/>
  <c r="W524" i="12"/>
  <c r="O524" i="12" l="1"/>
  <c r="P524" i="12"/>
  <c r="Q524" i="12"/>
  <c r="C525" i="12"/>
  <c r="Y525" i="12" s="1"/>
  <c r="T524" i="12"/>
  <c r="J524" i="12" s="1"/>
  <c r="U524" i="12"/>
  <c r="K524" i="12" s="1"/>
  <c r="R524" i="12"/>
  <c r="G524" i="12" s="1"/>
  <c r="S524" i="12"/>
  <c r="H524" i="12" s="1"/>
  <c r="I524" i="12"/>
  <c r="L524" i="12"/>
  <c r="E524" i="12"/>
  <c r="F524" i="12"/>
  <c r="B525" i="12"/>
  <c r="AE525" i="12" s="1"/>
  <c r="N524" i="12"/>
  <c r="AI524" i="12" s="1"/>
  <c r="M524" i="12" l="1"/>
  <c r="AH525" i="12"/>
  <c r="AD525" i="12"/>
  <c r="A525" i="12"/>
  <c r="V525" i="12"/>
  <c r="W525" i="12"/>
  <c r="X525" i="12"/>
  <c r="D525" i="12"/>
  <c r="P525" i="12" l="1"/>
  <c r="Q525" i="12"/>
  <c r="B526" i="12"/>
  <c r="AE526" i="12" s="1"/>
  <c r="T525" i="12"/>
  <c r="J525" i="12" s="1"/>
  <c r="I525" i="12"/>
  <c r="F525" i="12"/>
  <c r="O525" i="12"/>
  <c r="C526" i="12"/>
  <c r="Y526" i="12" s="1"/>
  <c r="R525" i="12"/>
  <c r="G525" i="12" s="1"/>
  <c r="U525" i="12"/>
  <c r="K525" i="12" s="1"/>
  <c r="S525" i="12"/>
  <c r="H525" i="12" s="1"/>
  <c r="L525" i="12"/>
  <c r="E525" i="12"/>
  <c r="N525" i="12"/>
  <c r="AI525" i="12" s="1"/>
  <c r="AH526" i="12" l="1"/>
  <c r="AD526" i="12"/>
  <c r="V526" i="12"/>
  <c r="W526" i="12"/>
  <c r="X526" i="12"/>
  <c r="A526" i="12"/>
  <c r="D526" i="12"/>
  <c r="M525" i="12"/>
  <c r="O526" i="12" l="1"/>
  <c r="Q526" i="12"/>
  <c r="S526" i="12"/>
  <c r="H526" i="12" s="1"/>
  <c r="T526" i="12"/>
  <c r="J526" i="12" s="1"/>
  <c r="U526" i="12"/>
  <c r="K526" i="12" s="1"/>
  <c r="R526" i="12"/>
  <c r="G526" i="12" s="1"/>
  <c r="I526" i="12"/>
  <c r="L526" i="12"/>
  <c r="E526" i="12"/>
  <c r="F526" i="12"/>
  <c r="P526" i="12"/>
  <c r="N526" i="12"/>
  <c r="AI526" i="12" s="1"/>
  <c r="B527" i="12"/>
  <c r="AE527" i="12" s="1"/>
  <c r="C527" i="12"/>
  <c r="Y527" i="12" s="1"/>
  <c r="AH527" i="12" l="1"/>
  <c r="AD527" i="12"/>
  <c r="D527" i="12"/>
  <c r="W527" i="12"/>
  <c r="X527" i="12"/>
  <c r="V527" i="12"/>
  <c r="A527" i="12"/>
  <c r="M526" i="12"/>
  <c r="N527" i="12" l="1"/>
  <c r="AI527" i="12" s="1"/>
  <c r="Q527" i="12"/>
  <c r="T527" i="12"/>
  <c r="J527" i="12" s="1"/>
  <c r="B528" i="12"/>
  <c r="AE528" i="12" s="1"/>
  <c r="O527" i="12"/>
  <c r="P527" i="12"/>
  <c r="I527" i="12"/>
  <c r="C528" i="12"/>
  <c r="Y528" i="12" s="1"/>
  <c r="S527" i="12"/>
  <c r="H527" i="12" s="1"/>
  <c r="R527" i="12"/>
  <c r="G527" i="12" s="1"/>
  <c r="U527" i="12"/>
  <c r="K527" i="12" s="1"/>
  <c r="L527" i="12"/>
  <c r="E527" i="12"/>
  <c r="F527" i="12"/>
  <c r="M527" i="12" l="1"/>
  <c r="AH528" i="12"/>
  <c r="AD528" i="12"/>
  <c r="D528" i="12"/>
  <c r="A528" i="12"/>
  <c r="V528" i="12"/>
  <c r="W528" i="12"/>
  <c r="X528" i="12"/>
  <c r="O528" i="12" l="1"/>
  <c r="P528" i="12"/>
  <c r="Q528" i="12"/>
  <c r="U528" i="12"/>
  <c r="K528" i="12" s="1"/>
  <c r="S528" i="12"/>
  <c r="H528" i="12" s="1"/>
  <c r="T528" i="12"/>
  <c r="J528" i="12" s="1"/>
  <c r="I528" i="12"/>
  <c r="E528" i="12"/>
  <c r="B529" i="12"/>
  <c r="AE529" i="12" s="1"/>
  <c r="C529" i="12"/>
  <c r="Y529" i="12" s="1"/>
  <c r="R528" i="12"/>
  <c r="G528" i="12" s="1"/>
  <c r="L528" i="12"/>
  <c r="F528" i="12"/>
  <c r="N528" i="12"/>
  <c r="AI528" i="12" s="1"/>
  <c r="M528" i="12" l="1"/>
  <c r="AH529" i="12"/>
  <c r="AD529" i="12"/>
  <c r="X529" i="12"/>
  <c r="A529" i="12"/>
  <c r="D529" i="12"/>
  <c r="V529" i="12"/>
  <c r="W529" i="12"/>
  <c r="P529" i="12" l="1"/>
  <c r="Q529" i="12"/>
  <c r="B530" i="12"/>
  <c r="AE530" i="12" s="1"/>
  <c r="C530" i="12"/>
  <c r="Y530" i="12" s="1"/>
  <c r="R529" i="12"/>
  <c r="G529" i="12" s="1"/>
  <c r="T529" i="12"/>
  <c r="J529" i="12" s="1"/>
  <c r="S529" i="12"/>
  <c r="H529" i="12" s="1"/>
  <c r="U529" i="12"/>
  <c r="K529" i="12" s="1"/>
  <c r="I529" i="12"/>
  <c r="L529" i="12"/>
  <c r="E529" i="12"/>
  <c r="F529" i="12"/>
  <c r="N529" i="12"/>
  <c r="AI529" i="12" s="1"/>
  <c r="O529" i="12"/>
  <c r="M529" i="12" l="1"/>
  <c r="AH530" i="12"/>
  <c r="AD530" i="12"/>
  <c r="V530" i="12"/>
  <c r="W530" i="12"/>
  <c r="X530" i="12"/>
  <c r="A530" i="12"/>
  <c r="D530" i="12"/>
  <c r="Q530" i="12" l="1"/>
  <c r="B531" i="12"/>
  <c r="AE531" i="12" s="1"/>
  <c r="C531" i="12"/>
  <c r="Y531" i="12" s="1"/>
  <c r="N530" i="12"/>
  <c r="AI530" i="12" s="1"/>
  <c r="S530" i="12"/>
  <c r="H530" i="12" s="1"/>
  <c r="R530" i="12"/>
  <c r="G530" i="12" s="1"/>
  <c r="U530" i="12"/>
  <c r="K530" i="12" s="1"/>
  <c r="T530" i="12"/>
  <c r="J530" i="12" s="1"/>
  <c r="I530" i="12"/>
  <c r="L530" i="12"/>
  <c r="E530" i="12"/>
  <c r="F530" i="12"/>
  <c r="O530" i="12"/>
  <c r="P530" i="12"/>
  <c r="M530" i="12" l="1"/>
  <c r="AH531" i="12"/>
  <c r="AD531" i="12"/>
  <c r="V531" i="12"/>
  <c r="D531" i="12"/>
  <c r="W531" i="12"/>
  <c r="X531" i="12"/>
  <c r="A531" i="12"/>
  <c r="N531" i="12" l="1"/>
  <c r="AI531" i="12" s="1"/>
  <c r="O531" i="12"/>
  <c r="C532" i="12"/>
  <c r="Y532" i="12" s="1"/>
  <c r="P531" i="12"/>
  <c r="B532" i="12"/>
  <c r="AE532" i="12" s="1"/>
  <c r="U531" i="12"/>
  <c r="K531" i="12" s="1"/>
  <c r="E531" i="12"/>
  <c r="S531" i="12"/>
  <c r="H531" i="12" s="1"/>
  <c r="T531" i="12"/>
  <c r="J531" i="12" s="1"/>
  <c r="R531" i="12"/>
  <c r="G531" i="12" s="1"/>
  <c r="I531" i="12"/>
  <c r="L531" i="12"/>
  <c r="F531" i="12"/>
  <c r="Q531" i="12"/>
  <c r="M531" i="12" l="1"/>
  <c r="AH532" i="12"/>
  <c r="AD532" i="12"/>
  <c r="V532" i="12"/>
  <c r="W532" i="12"/>
  <c r="X532" i="12"/>
  <c r="A532" i="12"/>
  <c r="D532" i="12"/>
  <c r="N532" i="12" l="1"/>
  <c r="AI532" i="12" s="1"/>
  <c r="C533" i="12"/>
  <c r="Y533" i="12" s="1"/>
  <c r="O532" i="12"/>
  <c r="B533" i="12"/>
  <c r="AE533" i="12" s="1"/>
  <c r="Q532" i="12"/>
  <c r="U532" i="12"/>
  <c r="K532" i="12" s="1"/>
  <c r="F532" i="12"/>
  <c r="P532" i="12"/>
  <c r="S532" i="12"/>
  <c r="H532" i="12" s="1"/>
  <c r="R532" i="12"/>
  <c r="G532" i="12" s="1"/>
  <c r="T532" i="12"/>
  <c r="J532" i="12" s="1"/>
  <c r="I532" i="12"/>
  <c r="L532" i="12"/>
  <c r="E532" i="12"/>
  <c r="M532" i="12" l="1"/>
  <c r="AH533" i="12"/>
  <c r="AD533" i="12"/>
  <c r="V533" i="12"/>
  <c r="W533" i="12"/>
  <c r="A533" i="12"/>
  <c r="X533" i="12"/>
  <c r="D533" i="12"/>
  <c r="C534" i="12" l="1"/>
  <c r="Y534" i="12" s="1"/>
  <c r="R533" i="12"/>
  <c r="G533" i="12" s="1"/>
  <c r="U533" i="12"/>
  <c r="K533" i="12" s="1"/>
  <c r="T533" i="12"/>
  <c r="J533" i="12" s="1"/>
  <c r="S533" i="12"/>
  <c r="H533" i="12" s="1"/>
  <c r="I533" i="12"/>
  <c r="L533" i="12"/>
  <c r="E533" i="12"/>
  <c r="F533" i="12"/>
  <c r="B534" i="12"/>
  <c r="AE534" i="12" s="1"/>
  <c r="N533" i="12"/>
  <c r="AI533" i="12" s="1"/>
  <c r="O533" i="12"/>
  <c r="P533" i="12"/>
  <c r="Q533" i="12"/>
  <c r="M533" i="12" l="1"/>
  <c r="AH534" i="12"/>
  <c r="AD534" i="12"/>
  <c r="V534" i="12"/>
  <c r="W534" i="12"/>
  <c r="X534" i="12"/>
  <c r="A534" i="12"/>
  <c r="D534" i="12"/>
  <c r="P534" i="12" l="1"/>
  <c r="Q534" i="12"/>
  <c r="C535" i="12"/>
  <c r="Y535" i="12" s="1"/>
  <c r="B535" i="12"/>
  <c r="AE535" i="12" s="1"/>
  <c r="U534" i="12"/>
  <c r="K534" i="12" s="1"/>
  <c r="I534" i="12"/>
  <c r="E534" i="12"/>
  <c r="N534" i="12"/>
  <c r="AI534" i="12" s="1"/>
  <c r="O534" i="12"/>
  <c r="T534" i="12"/>
  <c r="J534" i="12" s="1"/>
  <c r="S534" i="12"/>
  <c r="H534" i="12" s="1"/>
  <c r="R534" i="12"/>
  <c r="G534" i="12" s="1"/>
  <c r="L534" i="12"/>
  <c r="F534" i="12"/>
  <c r="M534" i="12" l="1"/>
  <c r="AH535" i="12"/>
  <c r="AD535" i="12"/>
  <c r="W535" i="12"/>
  <c r="X535" i="12"/>
  <c r="D535" i="12"/>
  <c r="V535" i="12"/>
  <c r="A535" i="12"/>
  <c r="P535" i="12" l="1"/>
  <c r="Q535" i="12"/>
  <c r="B536" i="12"/>
  <c r="AE536" i="12" s="1"/>
  <c r="U535" i="12"/>
  <c r="K535" i="12" s="1"/>
  <c r="N535" i="12"/>
  <c r="AI535" i="12" s="1"/>
  <c r="C536" i="12"/>
  <c r="Y536" i="12" s="1"/>
  <c r="R535" i="12"/>
  <c r="G535" i="12" s="1"/>
  <c r="S535" i="12"/>
  <c r="H535" i="12" s="1"/>
  <c r="T535" i="12"/>
  <c r="J535" i="12" s="1"/>
  <c r="I535" i="12"/>
  <c r="L535" i="12"/>
  <c r="E535" i="12"/>
  <c r="F535" i="12"/>
  <c r="O535" i="12"/>
  <c r="M535" i="12" l="1"/>
  <c r="AH536" i="12"/>
  <c r="AD536" i="12"/>
  <c r="X536" i="12"/>
  <c r="A536" i="12"/>
  <c r="D536" i="12"/>
  <c r="W536" i="12"/>
  <c r="V536" i="12"/>
  <c r="P536" i="12" l="1"/>
  <c r="Q536" i="12"/>
  <c r="C537" i="12"/>
  <c r="Y537" i="12" s="1"/>
  <c r="B537" i="12"/>
  <c r="AE537" i="12" s="1"/>
  <c r="R536" i="12"/>
  <c r="G536" i="12" s="1"/>
  <c r="S536" i="12"/>
  <c r="H536" i="12" s="1"/>
  <c r="U536" i="12"/>
  <c r="K536" i="12" s="1"/>
  <c r="T536" i="12"/>
  <c r="J536" i="12" s="1"/>
  <c r="I536" i="12"/>
  <c r="L536" i="12"/>
  <c r="E536" i="12"/>
  <c r="F536" i="12"/>
  <c r="N536" i="12"/>
  <c r="AI536" i="12" s="1"/>
  <c r="O536" i="12"/>
  <c r="M536" i="12" l="1"/>
  <c r="AH537" i="12"/>
  <c r="AD537" i="12"/>
  <c r="D537" i="12"/>
  <c r="V537" i="12"/>
  <c r="W537" i="12"/>
  <c r="X537" i="12"/>
  <c r="A537" i="12"/>
  <c r="Q537" i="12" l="1"/>
  <c r="N537" i="12"/>
  <c r="AI537" i="12" s="1"/>
  <c r="B538" i="12"/>
  <c r="AE538" i="12" s="1"/>
  <c r="C538" i="12"/>
  <c r="Y538" i="12" s="1"/>
  <c r="T537" i="12"/>
  <c r="J537" i="12" s="1"/>
  <c r="R537" i="12"/>
  <c r="G537" i="12" s="1"/>
  <c r="U537" i="12"/>
  <c r="K537" i="12" s="1"/>
  <c r="S537" i="12"/>
  <c r="H537" i="12" s="1"/>
  <c r="L537" i="12"/>
  <c r="E537" i="12"/>
  <c r="F537" i="12"/>
  <c r="P537" i="12"/>
  <c r="I537" i="12"/>
  <c r="O537" i="12"/>
  <c r="M537" i="12" l="1"/>
  <c r="AH538" i="12"/>
  <c r="AD538" i="12"/>
  <c r="A538" i="12"/>
  <c r="V538" i="12"/>
  <c r="W538" i="12"/>
  <c r="X538" i="12"/>
  <c r="D538" i="12"/>
  <c r="N538" i="12" l="1"/>
  <c r="AI538" i="12" s="1"/>
  <c r="O538" i="12"/>
  <c r="P538" i="12"/>
  <c r="T538" i="12"/>
  <c r="J538" i="12" s="1"/>
  <c r="E538" i="12"/>
  <c r="Q538" i="12"/>
  <c r="L538" i="12"/>
  <c r="C539" i="12"/>
  <c r="Y539" i="12" s="1"/>
  <c r="S538" i="12"/>
  <c r="H538" i="12" s="1"/>
  <c r="U538" i="12"/>
  <c r="K538" i="12" s="1"/>
  <c r="F538" i="12"/>
  <c r="R538" i="12"/>
  <c r="G538" i="12" s="1"/>
  <c r="I538" i="12"/>
  <c r="B539" i="12"/>
  <c r="AE539" i="12" s="1"/>
  <c r="M538" i="12" l="1"/>
  <c r="AH539" i="12"/>
  <c r="AD539" i="12"/>
  <c r="D539" i="12"/>
  <c r="A539" i="12"/>
  <c r="V539" i="12"/>
  <c r="W539" i="12"/>
  <c r="X539" i="12"/>
  <c r="N539" i="12" l="1"/>
  <c r="AI539" i="12" s="1"/>
  <c r="O539" i="12"/>
  <c r="P539" i="12"/>
  <c r="Q539" i="12"/>
  <c r="R539" i="12"/>
  <c r="G539" i="12" s="1"/>
  <c r="U539" i="12"/>
  <c r="K539" i="12" s="1"/>
  <c r="L539" i="12"/>
  <c r="C540" i="12"/>
  <c r="Y540" i="12" s="1"/>
  <c r="T539" i="12"/>
  <c r="J539" i="12" s="1"/>
  <c r="F539" i="12"/>
  <c r="S539" i="12"/>
  <c r="H539" i="12" s="1"/>
  <c r="I539" i="12"/>
  <c r="E539" i="12"/>
  <c r="B540" i="12"/>
  <c r="AE540" i="12" s="1"/>
  <c r="M539" i="12" l="1"/>
  <c r="AH540" i="12"/>
  <c r="AD540" i="12"/>
  <c r="A540" i="12"/>
  <c r="D540" i="12"/>
  <c r="W540" i="12"/>
  <c r="X540" i="12"/>
  <c r="V540" i="12"/>
  <c r="N540" i="12" l="1"/>
  <c r="AI540" i="12" s="1"/>
  <c r="O540" i="12"/>
  <c r="P540" i="12"/>
  <c r="L540" i="12"/>
  <c r="Q540" i="12"/>
  <c r="R540" i="12"/>
  <c r="G540" i="12" s="1"/>
  <c r="U540" i="12"/>
  <c r="K540" i="12" s="1"/>
  <c r="S540" i="12"/>
  <c r="H540" i="12" s="1"/>
  <c r="T540" i="12"/>
  <c r="J540" i="12" s="1"/>
  <c r="I540" i="12"/>
  <c r="F540" i="12"/>
  <c r="C541" i="12"/>
  <c r="Y541" i="12" s="1"/>
  <c r="E540" i="12"/>
  <c r="B541" i="12"/>
  <c r="AE541" i="12" s="1"/>
  <c r="M540" i="12" l="1"/>
  <c r="AH541" i="12"/>
  <c r="AD541" i="12"/>
  <c r="A541" i="12"/>
  <c r="D541" i="12"/>
  <c r="V541" i="12"/>
  <c r="X541" i="12"/>
  <c r="W541" i="12"/>
  <c r="Q541" i="12" l="1"/>
  <c r="N541" i="12"/>
  <c r="AI541" i="12" s="1"/>
  <c r="R541" i="12"/>
  <c r="G541" i="12" s="1"/>
  <c r="T541" i="12"/>
  <c r="J541" i="12" s="1"/>
  <c r="S541" i="12"/>
  <c r="H541" i="12" s="1"/>
  <c r="U541" i="12"/>
  <c r="K541" i="12" s="1"/>
  <c r="I541" i="12"/>
  <c r="L541" i="12"/>
  <c r="E541" i="12"/>
  <c r="F541" i="12"/>
  <c r="B542" i="12"/>
  <c r="AE542" i="12" s="1"/>
  <c r="P541" i="12"/>
  <c r="O541" i="12"/>
  <c r="C542" i="12"/>
  <c r="Y542" i="12" s="1"/>
  <c r="M541" i="12" l="1"/>
  <c r="AH542" i="12"/>
  <c r="AD542" i="12"/>
  <c r="W542" i="12"/>
  <c r="A542" i="12"/>
  <c r="X542" i="12"/>
  <c r="V542" i="12"/>
  <c r="D542" i="12"/>
  <c r="P542" i="12" l="1"/>
  <c r="Q542" i="12"/>
  <c r="N542" i="12"/>
  <c r="AI542" i="12" s="1"/>
  <c r="R542" i="12"/>
  <c r="G542" i="12" s="1"/>
  <c r="U542" i="12"/>
  <c r="K542" i="12" s="1"/>
  <c r="S542" i="12"/>
  <c r="H542" i="12" s="1"/>
  <c r="T542" i="12"/>
  <c r="J542" i="12" s="1"/>
  <c r="I542" i="12"/>
  <c r="L542" i="12"/>
  <c r="E542" i="12"/>
  <c r="B543" i="12"/>
  <c r="AE543" i="12" s="1"/>
  <c r="C543" i="12"/>
  <c r="Y543" i="12" s="1"/>
  <c r="O542" i="12"/>
  <c r="F542" i="12"/>
  <c r="M542" i="12" l="1"/>
  <c r="AH543" i="12"/>
  <c r="AD543" i="12"/>
  <c r="W543" i="12"/>
  <c r="X543" i="12"/>
  <c r="A543" i="12"/>
  <c r="D543" i="12"/>
  <c r="V543" i="12"/>
  <c r="P543" i="12" l="1"/>
  <c r="B544" i="12"/>
  <c r="AE544" i="12" s="1"/>
  <c r="Q543" i="12"/>
  <c r="C544" i="12"/>
  <c r="Y544" i="12" s="1"/>
  <c r="R543" i="12"/>
  <c r="G543" i="12" s="1"/>
  <c r="S543" i="12"/>
  <c r="H543" i="12" s="1"/>
  <c r="I543" i="12"/>
  <c r="L543" i="12"/>
  <c r="E543" i="12"/>
  <c r="F543" i="12"/>
  <c r="N543" i="12"/>
  <c r="AI543" i="12" s="1"/>
  <c r="O543" i="12"/>
  <c r="T543" i="12"/>
  <c r="J543" i="12" s="1"/>
  <c r="U543" i="12"/>
  <c r="K543" i="12" s="1"/>
  <c r="M543" i="12" l="1"/>
  <c r="AH544" i="12"/>
  <c r="AD544" i="12"/>
  <c r="V544" i="12"/>
  <c r="W544" i="12"/>
  <c r="X544" i="12"/>
  <c r="D544" i="12"/>
  <c r="A544" i="12"/>
  <c r="E544" i="12" l="1"/>
  <c r="Q544" i="12"/>
  <c r="B545" i="12"/>
  <c r="AE545" i="12" s="1"/>
  <c r="C545" i="12"/>
  <c r="Y545" i="12" s="1"/>
  <c r="R544" i="12"/>
  <c r="G544" i="12" s="1"/>
  <c r="L544" i="12"/>
  <c r="N544" i="12"/>
  <c r="AI544" i="12" s="1"/>
  <c r="P544" i="12"/>
  <c r="U544" i="12"/>
  <c r="K544" i="12" s="1"/>
  <c r="S544" i="12"/>
  <c r="H544" i="12" s="1"/>
  <c r="T544" i="12"/>
  <c r="J544" i="12" s="1"/>
  <c r="I544" i="12"/>
  <c r="F544" i="12"/>
  <c r="O544" i="12"/>
  <c r="M544" i="12" l="1"/>
  <c r="AH545" i="12"/>
  <c r="AD545" i="12"/>
  <c r="V545" i="12"/>
  <c r="W545" i="12"/>
  <c r="X545" i="12"/>
  <c r="A545" i="12"/>
  <c r="D545" i="12"/>
  <c r="E545" i="12" l="1"/>
  <c r="B546" i="12"/>
  <c r="AE546" i="12" s="1"/>
  <c r="N545" i="12"/>
  <c r="AI545" i="12" s="1"/>
  <c r="P545" i="12"/>
  <c r="S545" i="12"/>
  <c r="H545" i="12" s="1"/>
  <c r="R545" i="12"/>
  <c r="G545" i="12" s="1"/>
  <c r="T545" i="12"/>
  <c r="J545" i="12" s="1"/>
  <c r="U545" i="12"/>
  <c r="K545" i="12" s="1"/>
  <c r="I545" i="12"/>
  <c r="L545" i="12"/>
  <c r="F545" i="12"/>
  <c r="O545" i="12"/>
  <c r="Q545" i="12"/>
  <c r="C546" i="12"/>
  <c r="Y546" i="12" s="1"/>
  <c r="M545" i="12" l="1"/>
  <c r="AH546" i="12"/>
  <c r="V546" i="12"/>
  <c r="W546" i="12"/>
  <c r="X546" i="12"/>
  <c r="A546" i="12"/>
  <c r="D546" i="12"/>
  <c r="AD546" i="12"/>
  <c r="E546" i="12" l="1"/>
  <c r="C547" i="12"/>
  <c r="Y547" i="12" s="1"/>
  <c r="O546" i="12"/>
  <c r="T546" i="12"/>
  <c r="J546" i="12" s="1"/>
  <c r="F546" i="12"/>
  <c r="Q546" i="12"/>
  <c r="P546" i="12"/>
  <c r="I546" i="12"/>
  <c r="N546" i="12"/>
  <c r="AI546" i="12" s="1"/>
  <c r="R546" i="12"/>
  <c r="G546" i="12" s="1"/>
  <c r="S546" i="12"/>
  <c r="H546" i="12" s="1"/>
  <c r="U546" i="12"/>
  <c r="K546" i="12" s="1"/>
  <c r="L546" i="12"/>
  <c r="B547" i="12"/>
  <c r="AE547" i="12" s="1"/>
  <c r="M546" i="12" l="1"/>
  <c r="AH547" i="12"/>
  <c r="AD547" i="12"/>
  <c r="A547" i="12"/>
  <c r="D547" i="12"/>
  <c r="X547" i="12"/>
  <c r="W547" i="12"/>
  <c r="V547" i="12"/>
  <c r="N547" i="12" l="1"/>
  <c r="AI547" i="12" s="1"/>
  <c r="L547" i="12"/>
  <c r="O547" i="12"/>
  <c r="C548" i="12"/>
  <c r="Y548" i="12" s="1"/>
  <c r="B548" i="12"/>
  <c r="AE548" i="12" s="1"/>
  <c r="R547" i="12"/>
  <c r="G547" i="12" s="1"/>
  <c r="S547" i="12"/>
  <c r="H547" i="12" s="1"/>
  <c r="T547" i="12"/>
  <c r="J547" i="12" s="1"/>
  <c r="I547" i="12"/>
  <c r="E547" i="12"/>
  <c r="F547" i="12"/>
  <c r="P547" i="12"/>
  <c r="U547" i="12"/>
  <c r="K547" i="12" s="1"/>
  <c r="Q547" i="12"/>
  <c r="M547" i="12" l="1"/>
  <c r="AH548" i="12"/>
  <c r="AD548" i="12"/>
  <c r="X548" i="12"/>
  <c r="A548" i="12"/>
  <c r="D548" i="12"/>
  <c r="V548" i="12"/>
  <c r="W548" i="12"/>
  <c r="P548" i="12" l="1"/>
  <c r="Q548" i="12"/>
  <c r="C549" i="12"/>
  <c r="Y549" i="12" s="1"/>
  <c r="S548" i="12"/>
  <c r="H548" i="12" s="1"/>
  <c r="B549" i="12"/>
  <c r="AE549" i="12" s="1"/>
  <c r="U548" i="12"/>
  <c r="K548" i="12" s="1"/>
  <c r="F548" i="12"/>
  <c r="O548" i="12"/>
  <c r="T548" i="12"/>
  <c r="J548" i="12" s="1"/>
  <c r="R548" i="12"/>
  <c r="G548" i="12" s="1"/>
  <c r="I548" i="12"/>
  <c r="L548" i="12"/>
  <c r="E548" i="12"/>
  <c r="N548" i="12"/>
  <c r="AI548" i="12" s="1"/>
  <c r="M548" i="12" l="1"/>
  <c r="AH549" i="12"/>
  <c r="AD549" i="12"/>
  <c r="V549" i="12"/>
  <c r="W549" i="12"/>
  <c r="X549" i="12"/>
  <c r="A549" i="12"/>
  <c r="D549" i="12"/>
  <c r="N549" i="12" l="1"/>
  <c r="AI549" i="12" s="1"/>
  <c r="O549" i="12"/>
  <c r="R549" i="12"/>
  <c r="G549" i="12" s="1"/>
  <c r="U549" i="12"/>
  <c r="K549" i="12" s="1"/>
  <c r="S549" i="12"/>
  <c r="H549" i="12" s="1"/>
  <c r="T549" i="12"/>
  <c r="J549" i="12" s="1"/>
  <c r="I549" i="12"/>
  <c r="L549" i="12"/>
  <c r="E549" i="12"/>
  <c r="F549" i="12"/>
  <c r="P549" i="12"/>
  <c r="Q549" i="12"/>
  <c r="B550" i="12"/>
  <c r="AE550" i="12" s="1"/>
  <c r="C550" i="12"/>
  <c r="Y550" i="12" s="1"/>
  <c r="M549" i="12" l="1"/>
  <c r="AH550" i="12"/>
  <c r="AD550" i="12"/>
  <c r="A550" i="12"/>
  <c r="D550" i="12"/>
  <c r="W550" i="12"/>
  <c r="V550" i="12"/>
  <c r="X550" i="12"/>
  <c r="C551" i="12" l="1"/>
  <c r="Y551" i="12" s="1"/>
  <c r="N550" i="12"/>
  <c r="AI550" i="12" s="1"/>
  <c r="O550" i="12"/>
  <c r="P550" i="12"/>
  <c r="T550" i="12"/>
  <c r="J550" i="12" s="1"/>
  <c r="R550" i="12"/>
  <c r="G550" i="12" s="1"/>
  <c r="L550" i="12"/>
  <c r="E550" i="12"/>
  <c r="B551" i="12"/>
  <c r="AE551" i="12" s="1"/>
  <c r="U550" i="12"/>
  <c r="K550" i="12" s="1"/>
  <c r="I550" i="12"/>
  <c r="F550" i="12"/>
  <c r="S550" i="12"/>
  <c r="H550" i="12" s="1"/>
  <c r="Q550" i="12"/>
  <c r="M550" i="12" l="1"/>
  <c r="AH551" i="12"/>
  <c r="AD551" i="12"/>
  <c r="V551" i="12"/>
  <c r="A551" i="12"/>
  <c r="D551" i="12"/>
  <c r="W551" i="12"/>
  <c r="X551" i="12"/>
  <c r="N551" i="12" l="1"/>
  <c r="AI551" i="12" s="1"/>
  <c r="P551" i="12"/>
  <c r="Q551" i="12"/>
  <c r="U551" i="12"/>
  <c r="K551" i="12" s="1"/>
  <c r="L551" i="12"/>
  <c r="B552" i="12"/>
  <c r="AE552" i="12" s="1"/>
  <c r="C552" i="12"/>
  <c r="Y552" i="12" s="1"/>
  <c r="S551" i="12"/>
  <c r="H551" i="12" s="1"/>
  <c r="E551" i="12"/>
  <c r="F551" i="12"/>
  <c r="T551" i="12"/>
  <c r="J551" i="12" s="1"/>
  <c r="R551" i="12"/>
  <c r="G551" i="12" s="1"/>
  <c r="I551" i="12"/>
  <c r="O551" i="12"/>
  <c r="M551" i="12" l="1"/>
  <c r="AH552" i="12"/>
  <c r="AD552" i="12"/>
  <c r="V552" i="12"/>
  <c r="W552" i="12"/>
  <c r="A552" i="12"/>
  <c r="D552" i="12"/>
  <c r="X552" i="12"/>
  <c r="B553" i="12" l="1"/>
  <c r="AE553" i="12" s="1"/>
  <c r="Q552" i="12"/>
  <c r="P552" i="12"/>
  <c r="E552" i="12"/>
  <c r="O552" i="12"/>
  <c r="S552" i="12"/>
  <c r="H552" i="12" s="1"/>
  <c r="R552" i="12"/>
  <c r="G552" i="12" s="1"/>
  <c r="L552" i="12"/>
  <c r="C553" i="12"/>
  <c r="Y553" i="12" s="1"/>
  <c r="T552" i="12"/>
  <c r="J552" i="12" s="1"/>
  <c r="I552" i="12"/>
  <c r="F552" i="12"/>
  <c r="N552" i="12"/>
  <c r="AI552" i="12" s="1"/>
  <c r="U552" i="12"/>
  <c r="K552" i="12" s="1"/>
  <c r="M552" i="12" l="1"/>
  <c r="AH553" i="12"/>
  <c r="AD553" i="12"/>
  <c r="D553" i="12"/>
  <c r="V553" i="12"/>
  <c r="W553" i="12"/>
  <c r="X553" i="12"/>
  <c r="A553" i="12"/>
  <c r="P553" i="12" l="1"/>
  <c r="Q553" i="12"/>
  <c r="N553" i="12"/>
  <c r="AI553" i="12" s="1"/>
  <c r="O553" i="12"/>
  <c r="R553" i="12"/>
  <c r="G553" i="12" s="1"/>
  <c r="T553" i="12"/>
  <c r="J553" i="12" s="1"/>
  <c r="S553" i="12"/>
  <c r="H553" i="12" s="1"/>
  <c r="U553" i="12"/>
  <c r="K553" i="12" s="1"/>
  <c r="I553" i="12"/>
  <c r="L553" i="12"/>
  <c r="E553" i="12"/>
  <c r="F553" i="12"/>
  <c r="B554" i="12"/>
  <c r="AE554" i="12" s="1"/>
  <c r="C554" i="12"/>
  <c r="Y554" i="12" s="1"/>
  <c r="M553" i="12" l="1"/>
  <c r="AH554" i="12"/>
  <c r="AD554" i="12"/>
  <c r="A554" i="12"/>
  <c r="V554" i="12"/>
  <c r="W554" i="12"/>
  <c r="X554" i="12"/>
  <c r="D554" i="12"/>
  <c r="O554" i="12" l="1"/>
  <c r="P554" i="12"/>
  <c r="Q554" i="12"/>
  <c r="B555" i="12"/>
  <c r="AE555" i="12" s="1"/>
  <c r="S554" i="12"/>
  <c r="H554" i="12" s="1"/>
  <c r="U554" i="12"/>
  <c r="K554" i="12" s="1"/>
  <c r="I554" i="12"/>
  <c r="E554" i="12"/>
  <c r="C555" i="12"/>
  <c r="Y555" i="12" s="1"/>
  <c r="R554" i="12"/>
  <c r="G554" i="12" s="1"/>
  <c r="T554" i="12"/>
  <c r="J554" i="12" s="1"/>
  <c r="L554" i="12"/>
  <c r="F554" i="12"/>
  <c r="N554" i="12"/>
  <c r="AI554" i="12" s="1"/>
  <c r="M554" i="12" l="1"/>
  <c r="AH555" i="12"/>
  <c r="AD555" i="12"/>
  <c r="W555" i="12"/>
  <c r="X555" i="12"/>
  <c r="V555" i="12"/>
  <c r="A555" i="12"/>
  <c r="D555" i="12"/>
  <c r="C556" i="12" l="1"/>
  <c r="Y556" i="12" s="1"/>
  <c r="P555" i="12"/>
  <c r="Q555" i="12"/>
  <c r="O555" i="12"/>
  <c r="U555" i="12"/>
  <c r="K555" i="12" s="1"/>
  <c r="F555" i="12"/>
  <c r="N555" i="12"/>
  <c r="AI555" i="12" s="1"/>
  <c r="S555" i="12"/>
  <c r="H555" i="12" s="1"/>
  <c r="T555" i="12"/>
  <c r="J555" i="12" s="1"/>
  <c r="L555" i="12"/>
  <c r="R555" i="12"/>
  <c r="G555" i="12" s="1"/>
  <c r="E555" i="12"/>
  <c r="B556" i="12"/>
  <c r="AE556" i="12" s="1"/>
  <c r="I555" i="12"/>
  <c r="M555" i="12" l="1"/>
  <c r="AH556" i="12"/>
  <c r="AD556" i="12"/>
  <c r="V556" i="12"/>
  <c r="W556" i="12"/>
  <c r="X556" i="12"/>
  <c r="A556" i="12"/>
  <c r="D556" i="12"/>
  <c r="P556" i="12" l="1"/>
  <c r="Q556" i="12"/>
  <c r="C557" i="12"/>
  <c r="Y557" i="12" s="1"/>
  <c r="I556" i="12"/>
  <c r="E556" i="12"/>
  <c r="N556" i="12"/>
  <c r="AI556" i="12" s="1"/>
  <c r="B557" i="12"/>
  <c r="AE557" i="12" s="1"/>
  <c r="R556" i="12"/>
  <c r="G556" i="12" s="1"/>
  <c r="T556" i="12"/>
  <c r="J556" i="12" s="1"/>
  <c r="S556" i="12"/>
  <c r="H556" i="12" s="1"/>
  <c r="U556" i="12"/>
  <c r="K556" i="12" s="1"/>
  <c r="L556" i="12"/>
  <c r="F556" i="12"/>
  <c r="O556" i="12"/>
  <c r="M556" i="12" l="1"/>
  <c r="AH557" i="12"/>
  <c r="AD557" i="12"/>
  <c r="V557" i="12"/>
  <c r="W557" i="12"/>
  <c r="X557" i="12"/>
  <c r="A557" i="12"/>
  <c r="D557" i="12"/>
  <c r="P557" i="12" l="1"/>
  <c r="Q557" i="12"/>
  <c r="B558" i="12"/>
  <c r="AE558" i="12" s="1"/>
  <c r="R557" i="12"/>
  <c r="G557" i="12" s="1"/>
  <c r="T557" i="12"/>
  <c r="J557" i="12" s="1"/>
  <c r="E557" i="12"/>
  <c r="N557" i="12"/>
  <c r="AI557" i="12" s="1"/>
  <c r="C558" i="12"/>
  <c r="Y558" i="12" s="1"/>
  <c r="S557" i="12"/>
  <c r="H557" i="12" s="1"/>
  <c r="U557" i="12"/>
  <c r="K557" i="12" s="1"/>
  <c r="I557" i="12"/>
  <c r="L557" i="12"/>
  <c r="F557" i="12"/>
  <c r="O557" i="12"/>
  <c r="M557" i="12" l="1"/>
  <c r="AH558" i="12"/>
  <c r="AD558" i="12"/>
  <c r="V558" i="12"/>
  <c r="W558" i="12"/>
  <c r="X558" i="12"/>
  <c r="A558" i="12"/>
  <c r="D558" i="12"/>
  <c r="C559" i="12" l="1"/>
  <c r="Y559" i="12" s="1"/>
  <c r="B559" i="12"/>
  <c r="AE559" i="12" s="1"/>
  <c r="S558" i="12"/>
  <c r="H558" i="12" s="1"/>
  <c r="T558" i="12"/>
  <c r="J558" i="12" s="1"/>
  <c r="R558" i="12"/>
  <c r="G558" i="12" s="1"/>
  <c r="I558" i="12"/>
  <c r="L558" i="12"/>
  <c r="F558" i="12"/>
  <c r="N558" i="12"/>
  <c r="AI558" i="12" s="1"/>
  <c r="P558" i="12"/>
  <c r="O558" i="12"/>
  <c r="U558" i="12"/>
  <c r="K558" i="12" s="1"/>
  <c r="E558" i="12"/>
  <c r="Q558" i="12"/>
  <c r="M558" i="12" l="1"/>
  <c r="AH559" i="12"/>
  <c r="AD559" i="12"/>
  <c r="V559" i="12"/>
  <c r="W559" i="12"/>
  <c r="X559" i="12"/>
  <c r="A559" i="12"/>
  <c r="D559" i="12"/>
  <c r="C560" i="12" l="1"/>
  <c r="Y560" i="12" s="1"/>
  <c r="N559" i="12"/>
  <c r="AI559" i="12" s="1"/>
  <c r="Q559" i="12"/>
  <c r="T559" i="12"/>
  <c r="J559" i="12" s="1"/>
  <c r="U559" i="12"/>
  <c r="K559" i="12" s="1"/>
  <c r="L559" i="12"/>
  <c r="P559" i="12"/>
  <c r="O559" i="12"/>
  <c r="S559" i="12"/>
  <c r="H559" i="12" s="1"/>
  <c r="E559" i="12"/>
  <c r="B560" i="12"/>
  <c r="AE560" i="12" s="1"/>
  <c r="R559" i="12"/>
  <c r="G559" i="12" s="1"/>
  <c r="I559" i="12"/>
  <c r="F559" i="12"/>
  <c r="M559" i="12" l="1"/>
  <c r="AH560" i="12"/>
  <c r="AD560" i="12"/>
  <c r="V560" i="12"/>
  <c r="W560" i="12"/>
  <c r="A560" i="12"/>
  <c r="D560" i="12"/>
  <c r="X560" i="12"/>
  <c r="B561" i="12" l="1"/>
  <c r="AE561" i="12" s="1"/>
  <c r="O560" i="12"/>
  <c r="Q560" i="12"/>
  <c r="P560" i="12"/>
  <c r="R560" i="12"/>
  <c r="G560" i="12" s="1"/>
  <c r="S560" i="12"/>
  <c r="H560" i="12" s="1"/>
  <c r="T560" i="12"/>
  <c r="J560" i="12" s="1"/>
  <c r="U560" i="12"/>
  <c r="K560" i="12" s="1"/>
  <c r="I560" i="12"/>
  <c r="L560" i="12"/>
  <c r="E560" i="12"/>
  <c r="F560" i="12"/>
  <c r="N560" i="12"/>
  <c r="AI560" i="12" s="1"/>
  <c r="C561" i="12"/>
  <c r="Y561" i="12" s="1"/>
  <c r="M560" i="12" l="1"/>
  <c r="AH561" i="12"/>
  <c r="AD561" i="12"/>
  <c r="V561" i="12"/>
  <c r="A561" i="12"/>
  <c r="D561" i="12"/>
  <c r="W561" i="12"/>
  <c r="X561" i="12"/>
  <c r="O561" i="12" l="1"/>
  <c r="C562" i="12"/>
  <c r="Y562" i="12" s="1"/>
  <c r="P561" i="12"/>
  <c r="U561" i="12"/>
  <c r="K561" i="12" s="1"/>
  <c r="R561" i="12"/>
  <c r="G561" i="12" s="1"/>
  <c r="T561" i="12"/>
  <c r="J561" i="12" s="1"/>
  <c r="S561" i="12"/>
  <c r="H561" i="12" s="1"/>
  <c r="I561" i="12"/>
  <c r="L561" i="12"/>
  <c r="E561" i="12"/>
  <c r="F561" i="12"/>
  <c r="Q561" i="12"/>
  <c r="N561" i="12"/>
  <c r="AI561" i="12" s="1"/>
  <c r="B562" i="12"/>
  <c r="AE562" i="12" s="1"/>
  <c r="M561" i="12" l="1"/>
  <c r="AH562" i="12"/>
  <c r="AD562" i="12"/>
  <c r="W562" i="12"/>
  <c r="V562" i="12"/>
  <c r="X562" i="12"/>
  <c r="D562" i="12"/>
  <c r="A562" i="12"/>
  <c r="O562" i="12" l="1"/>
  <c r="P562" i="12"/>
  <c r="B563" i="12"/>
  <c r="AE563" i="12" s="1"/>
  <c r="C563" i="12"/>
  <c r="Y563" i="12" s="1"/>
  <c r="S562" i="12"/>
  <c r="H562" i="12" s="1"/>
  <c r="T562" i="12"/>
  <c r="J562" i="12" s="1"/>
  <c r="U562" i="12"/>
  <c r="K562" i="12" s="1"/>
  <c r="R562" i="12"/>
  <c r="G562" i="12" s="1"/>
  <c r="I562" i="12"/>
  <c r="E562" i="12"/>
  <c r="F562" i="12"/>
  <c r="Q562" i="12"/>
  <c r="N562" i="12"/>
  <c r="AI562" i="12" s="1"/>
  <c r="L562" i="12"/>
  <c r="M562" i="12" l="1"/>
  <c r="AH563" i="12"/>
  <c r="AD563" i="12"/>
  <c r="V563" i="12"/>
  <c r="W563" i="12"/>
  <c r="A563" i="12"/>
  <c r="D563" i="12"/>
  <c r="X563" i="12"/>
  <c r="N563" i="12" l="1"/>
  <c r="AI563" i="12" s="1"/>
  <c r="O563" i="12"/>
  <c r="B564" i="12"/>
  <c r="AE564" i="12" s="1"/>
  <c r="C564" i="12"/>
  <c r="Y564" i="12" s="1"/>
  <c r="R563" i="12"/>
  <c r="G563" i="12" s="1"/>
  <c r="S563" i="12"/>
  <c r="H563" i="12" s="1"/>
  <c r="T563" i="12"/>
  <c r="J563" i="12" s="1"/>
  <c r="I563" i="12"/>
  <c r="E563" i="12"/>
  <c r="Q563" i="12"/>
  <c r="F563" i="12"/>
  <c r="L563" i="12"/>
  <c r="P563" i="12"/>
  <c r="U563" i="12"/>
  <c r="K563" i="12" s="1"/>
  <c r="M563" i="12" l="1"/>
  <c r="AH564" i="12"/>
  <c r="AD564" i="12"/>
  <c r="W564" i="12"/>
  <c r="X564" i="12"/>
  <c r="A564" i="12"/>
  <c r="D564" i="12"/>
  <c r="V564" i="12"/>
  <c r="Q564" i="12" l="1"/>
  <c r="N564" i="12"/>
  <c r="AI564" i="12" s="1"/>
  <c r="C565" i="12"/>
  <c r="Y565" i="12" s="1"/>
  <c r="R564" i="12"/>
  <c r="G564" i="12" s="1"/>
  <c r="T564" i="12"/>
  <c r="J564" i="12" s="1"/>
  <c r="U564" i="12"/>
  <c r="K564" i="12" s="1"/>
  <c r="S564" i="12"/>
  <c r="H564" i="12" s="1"/>
  <c r="I564" i="12"/>
  <c r="L564" i="12"/>
  <c r="E564" i="12"/>
  <c r="F564" i="12"/>
  <c r="O564" i="12"/>
  <c r="P564" i="12"/>
  <c r="B565" i="12"/>
  <c r="AE565" i="12" s="1"/>
  <c r="M564" i="12" l="1"/>
  <c r="AH565" i="12"/>
  <c r="AD565" i="12"/>
  <c r="A565" i="12"/>
  <c r="V565" i="12"/>
  <c r="W565" i="12"/>
  <c r="X565" i="12"/>
  <c r="D565" i="12"/>
  <c r="Q565" i="12" l="1"/>
  <c r="B566" i="12"/>
  <c r="AE566" i="12" s="1"/>
  <c r="C566" i="12"/>
  <c r="Y566" i="12" s="1"/>
  <c r="R565" i="12"/>
  <c r="G565" i="12" s="1"/>
  <c r="S565" i="12"/>
  <c r="H565" i="12" s="1"/>
  <c r="T565" i="12"/>
  <c r="J565" i="12" s="1"/>
  <c r="U565" i="12"/>
  <c r="K565" i="12" s="1"/>
  <c r="I565" i="12"/>
  <c r="L565" i="12"/>
  <c r="E565" i="12"/>
  <c r="F565" i="12"/>
  <c r="N565" i="12"/>
  <c r="AI565" i="12" s="1"/>
  <c r="O565" i="12"/>
  <c r="P565" i="12"/>
  <c r="M565" i="12" l="1"/>
  <c r="AH566" i="12"/>
  <c r="AD566" i="12"/>
  <c r="A566" i="12"/>
  <c r="D566" i="12"/>
  <c r="W566" i="12"/>
  <c r="X566" i="12"/>
  <c r="V566" i="12"/>
  <c r="B567" i="12" l="1"/>
  <c r="AE567" i="12" s="1"/>
  <c r="Q566" i="12"/>
  <c r="P566" i="12"/>
  <c r="S566" i="12"/>
  <c r="H566" i="12" s="1"/>
  <c r="R566" i="12"/>
  <c r="G566" i="12" s="1"/>
  <c r="T566" i="12"/>
  <c r="J566" i="12" s="1"/>
  <c r="U566" i="12"/>
  <c r="K566" i="12" s="1"/>
  <c r="I566" i="12"/>
  <c r="L566" i="12"/>
  <c r="E566" i="12"/>
  <c r="F566" i="12"/>
  <c r="N566" i="12"/>
  <c r="AI566" i="12" s="1"/>
  <c r="O566" i="12"/>
  <c r="C567" i="12"/>
  <c r="Y567" i="12" s="1"/>
  <c r="M566" i="12" l="1"/>
  <c r="AH567" i="12"/>
  <c r="AD567" i="12"/>
  <c r="D567" i="12"/>
  <c r="A567" i="12"/>
  <c r="W567" i="12"/>
  <c r="X567" i="12"/>
  <c r="V567" i="12"/>
  <c r="P567" i="12" l="1"/>
  <c r="Q567" i="12"/>
  <c r="B568" i="12"/>
  <c r="AE568" i="12" s="1"/>
  <c r="C568" i="12"/>
  <c r="Y568" i="12" s="1"/>
  <c r="R567" i="12"/>
  <c r="G567" i="12" s="1"/>
  <c r="U567" i="12"/>
  <c r="K567" i="12" s="1"/>
  <c r="S567" i="12"/>
  <c r="H567" i="12" s="1"/>
  <c r="T567" i="12"/>
  <c r="J567" i="12" s="1"/>
  <c r="I567" i="12"/>
  <c r="E567" i="12"/>
  <c r="F567" i="12"/>
  <c r="N567" i="12"/>
  <c r="AI567" i="12" s="1"/>
  <c r="L567" i="12"/>
  <c r="O567" i="12"/>
  <c r="AH568" i="12" l="1"/>
  <c r="AD568" i="12"/>
  <c r="D568" i="12"/>
  <c r="V568" i="12"/>
  <c r="W568" i="12"/>
  <c r="X568" i="12"/>
  <c r="A568" i="12"/>
  <c r="M567" i="12"/>
  <c r="P568" i="12" l="1"/>
  <c r="Q568" i="12"/>
  <c r="B569" i="12"/>
  <c r="AE569" i="12" s="1"/>
  <c r="C569" i="12"/>
  <c r="Y569" i="12" s="1"/>
  <c r="T568" i="12"/>
  <c r="J568" i="12" s="1"/>
  <c r="L568" i="12"/>
  <c r="F568" i="12"/>
  <c r="N568" i="12"/>
  <c r="AI568" i="12" s="1"/>
  <c r="I568" i="12"/>
  <c r="R568" i="12"/>
  <c r="G568" i="12" s="1"/>
  <c r="U568" i="12"/>
  <c r="K568" i="12" s="1"/>
  <c r="S568" i="12"/>
  <c r="H568" i="12" s="1"/>
  <c r="E568" i="12"/>
  <c r="O568" i="12"/>
  <c r="M568" i="12" l="1"/>
  <c r="AH569" i="12"/>
  <c r="AD569" i="12"/>
  <c r="V569" i="12"/>
  <c r="W569" i="12"/>
  <c r="X569" i="12"/>
  <c r="A569" i="12"/>
  <c r="D569" i="12"/>
  <c r="B570" i="12" l="1"/>
  <c r="AE570" i="12" s="1"/>
  <c r="C570" i="12"/>
  <c r="Y570" i="12" s="1"/>
  <c r="P569" i="12"/>
  <c r="Q569" i="12"/>
  <c r="S569" i="12"/>
  <c r="H569" i="12" s="1"/>
  <c r="R569" i="12"/>
  <c r="G569" i="12" s="1"/>
  <c r="T569" i="12"/>
  <c r="J569" i="12" s="1"/>
  <c r="I569" i="12"/>
  <c r="L569" i="12"/>
  <c r="F569" i="12"/>
  <c r="O569" i="12"/>
  <c r="U569" i="12"/>
  <c r="K569" i="12" s="1"/>
  <c r="E569" i="12"/>
  <c r="N569" i="12"/>
  <c r="AI569" i="12" s="1"/>
  <c r="M569" i="12" l="1"/>
  <c r="AH570" i="12"/>
  <c r="AD570" i="12"/>
  <c r="D570" i="12"/>
  <c r="A570" i="12"/>
  <c r="W570" i="12"/>
  <c r="V570" i="12"/>
  <c r="X570" i="12"/>
  <c r="N570" i="12" l="1"/>
  <c r="AI570" i="12" s="1"/>
  <c r="O570" i="12"/>
  <c r="P570" i="12"/>
  <c r="Q570" i="12"/>
  <c r="T570" i="12"/>
  <c r="J570" i="12" s="1"/>
  <c r="U570" i="12"/>
  <c r="K570" i="12" s="1"/>
  <c r="R570" i="12"/>
  <c r="G570" i="12" s="1"/>
  <c r="I570" i="12"/>
  <c r="E570" i="12"/>
  <c r="B571" i="12"/>
  <c r="AE571" i="12" s="1"/>
  <c r="S570" i="12"/>
  <c r="H570" i="12" s="1"/>
  <c r="L570" i="12"/>
  <c r="F570" i="12"/>
  <c r="C571" i="12"/>
  <c r="Y571" i="12" s="1"/>
  <c r="M570" i="12" l="1"/>
  <c r="AH571" i="12"/>
  <c r="AD571" i="12"/>
  <c r="D571" i="12"/>
  <c r="A571" i="12"/>
  <c r="V571" i="12"/>
  <c r="W571" i="12"/>
  <c r="X571" i="12"/>
  <c r="O571" i="12" l="1"/>
  <c r="P571" i="12"/>
  <c r="Q571" i="12"/>
  <c r="C572" i="12"/>
  <c r="Y572" i="12" s="1"/>
  <c r="S571" i="12"/>
  <c r="H571" i="12" s="1"/>
  <c r="F571" i="12"/>
  <c r="U571" i="12"/>
  <c r="K571" i="12" s="1"/>
  <c r="E571" i="12"/>
  <c r="B572" i="12"/>
  <c r="AE572" i="12" s="1"/>
  <c r="R571" i="12"/>
  <c r="G571" i="12" s="1"/>
  <c r="T571" i="12"/>
  <c r="J571" i="12" s="1"/>
  <c r="I571" i="12"/>
  <c r="L571" i="12"/>
  <c r="N571" i="12"/>
  <c r="AI571" i="12" s="1"/>
  <c r="M571" i="12" l="1"/>
  <c r="AH572" i="12"/>
  <c r="AD572" i="12"/>
  <c r="X572" i="12"/>
  <c r="A572" i="12"/>
  <c r="V572" i="12"/>
  <c r="W572" i="12"/>
  <c r="D572" i="12"/>
  <c r="P572" i="12" l="1"/>
  <c r="Q572" i="12"/>
  <c r="B573" i="12"/>
  <c r="AE573" i="12" s="1"/>
  <c r="C573" i="12"/>
  <c r="Y573" i="12" s="1"/>
  <c r="T572" i="12"/>
  <c r="J572" i="12" s="1"/>
  <c r="U572" i="12"/>
  <c r="K572" i="12" s="1"/>
  <c r="R572" i="12"/>
  <c r="G572" i="12" s="1"/>
  <c r="I572" i="12"/>
  <c r="L572" i="12"/>
  <c r="E572" i="12"/>
  <c r="S572" i="12"/>
  <c r="H572" i="12" s="1"/>
  <c r="F572" i="12"/>
  <c r="N572" i="12"/>
  <c r="AI572" i="12" s="1"/>
  <c r="O572" i="12"/>
  <c r="M572" i="12" l="1"/>
  <c r="AH573" i="12"/>
  <c r="AD573" i="12"/>
  <c r="V573" i="12"/>
  <c r="W573" i="12"/>
  <c r="X573" i="12"/>
  <c r="D573" i="12"/>
  <c r="A573" i="12"/>
  <c r="Q573" i="12" l="1"/>
  <c r="B574" i="12"/>
  <c r="AE574" i="12" s="1"/>
  <c r="C574" i="12"/>
  <c r="Y574" i="12" s="1"/>
  <c r="N573" i="12"/>
  <c r="AI573" i="12" s="1"/>
  <c r="T573" i="12"/>
  <c r="J573" i="12" s="1"/>
  <c r="F573" i="12"/>
  <c r="P573" i="12"/>
  <c r="R573" i="12"/>
  <c r="G573" i="12" s="1"/>
  <c r="S573" i="12"/>
  <c r="H573" i="12" s="1"/>
  <c r="U573" i="12"/>
  <c r="K573" i="12" s="1"/>
  <c r="I573" i="12"/>
  <c r="L573" i="12"/>
  <c r="E573" i="12"/>
  <c r="O573" i="12"/>
  <c r="M573" i="12" l="1"/>
  <c r="AH574" i="12"/>
  <c r="AD574" i="12"/>
  <c r="V574" i="12"/>
  <c r="W574" i="12"/>
  <c r="A574" i="12"/>
  <c r="D574" i="12"/>
  <c r="X574" i="12"/>
  <c r="C575" i="12" l="1"/>
  <c r="Y575" i="12" s="1"/>
  <c r="O574" i="12"/>
  <c r="B575" i="12"/>
  <c r="AE575" i="12" s="1"/>
  <c r="N574" i="12"/>
  <c r="AI574" i="12" s="1"/>
  <c r="T574" i="12"/>
  <c r="J574" i="12" s="1"/>
  <c r="R574" i="12"/>
  <c r="G574" i="12" s="1"/>
  <c r="U574" i="12"/>
  <c r="K574" i="12" s="1"/>
  <c r="L574" i="12"/>
  <c r="F574" i="12"/>
  <c r="P574" i="12"/>
  <c r="Q574" i="12"/>
  <c r="S574" i="12"/>
  <c r="H574" i="12" s="1"/>
  <c r="I574" i="12"/>
  <c r="E574" i="12"/>
  <c r="M574" i="12" l="1"/>
  <c r="AH575" i="12"/>
  <c r="AD575" i="12"/>
  <c r="V575" i="12"/>
  <c r="W575" i="12"/>
  <c r="X575" i="12"/>
  <c r="D575" i="12"/>
  <c r="A575" i="12"/>
  <c r="N575" i="12" l="1"/>
  <c r="AI575" i="12" s="1"/>
  <c r="O575" i="12"/>
  <c r="B576" i="12"/>
  <c r="AE576" i="12" s="1"/>
  <c r="C576" i="12"/>
  <c r="Y576" i="12" s="1"/>
  <c r="I575" i="12"/>
  <c r="Q575" i="12"/>
  <c r="U575" i="12"/>
  <c r="K575" i="12" s="1"/>
  <c r="R575" i="12"/>
  <c r="G575" i="12" s="1"/>
  <c r="T575" i="12"/>
  <c r="J575" i="12" s="1"/>
  <c r="S575" i="12"/>
  <c r="H575" i="12" s="1"/>
  <c r="L575" i="12"/>
  <c r="E575" i="12"/>
  <c r="F575" i="12"/>
  <c r="P575" i="12"/>
  <c r="M575" i="12" l="1"/>
  <c r="AH576" i="12"/>
  <c r="AD576" i="12"/>
  <c r="V576" i="12"/>
  <c r="W576" i="12"/>
  <c r="X576" i="12"/>
  <c r="A576" i="12"/>
  <c r="D576" i="12"/>
  <c r="N576" i="12" l="1"/>
  <c r="AI576" i="12" s="1"/>
  <c r="B577" i="12"/>
  <c r="AE577" i="12" s="1"/>
  <c r="C577" i="12"/>
  <c r="Y577" i="12" s="1"/>
  <c r="E576" i="12"/>
  <c r="P576" i="12"/>
  <c r="Q576" i="12"/>
  <c r="R576" i="12"/>
  <c r="G576" i="12" s="1"/>
  <c r="S576" i="12"/>
  <c r="H576" i="12" s="1"/>
  <c r="U576" i="12"/>
  <c r="K576" i="12" s="1"/>
  <c r="T576" i="12"/>
  <c r="J576" i="12" s="1"/>
  <c r="I576" i="12"/>
  <c r="L576" i="12"/>
  <c r="F576" i="12"/>
  <c r="O576" i="12"/>
  <c r="M576" i="12" l="1"/>
  <c r="AH577" i="12"/>
  <c r="AD577" i="12"/>
  <c r="V577" i="12"/>
  <c r="W577" i="12"/>
  <c r="X577" i="12"/>
  <c r="D577" i="12"/>
  <c r="A577" i="12"/>
  <c r="P577" i="12" l="1"/>
  <c r="B578" i="12"/>
  <c r="AE578" i="12" s="1"/>
  <c r="C578" i="12"/>
  <c r="Y578" i="12" s="1"/>
  <c r="S577" i="12"/>
  <c r="H577" i="12" s="1"/>
  <c r="U577" i="12"/>
  <c r="K577" i="12" s="1"/>
  <c r="L577" i="12"/>
  <c r="N577" i="12"/>
  <c r="AI577" i="12" s="1"/>
  <c r="Q577" i="12"/>
  <c r="T577" i="12"/>
  <c r="J577" i="12" s="1"/>
  <c r="E577" i="12"/>
  <c r="R577" i="12"/>
  <c r="G577" i="12" s="1"/>
  <c r="I577" i="12"/>
  <c r="F577" i="12"/>
  <c r="O577" i="12"/>
  <c r="M577" i="12" l="1"/>
  <c r="AH578" i="12"/>
  <c r="AD578" i="12"/>
  <c r="W578" i="12"/>
  <c r="X578" i="12"/>
  <c r="A578" i="12"/>
  <c r="D578" i="12"/>
  <c r="V578" i="12"/>
  <c r="Q578" i="12" l="1"/>
  <c r="O578" i="12"/>
  <c r="P578" i="12"/>
  <c r="E578" i="12"/>
  <c r="N578" i="12"/>
  <c r="AI578" i="12" s="1"/>
  <c r="B579" i="12"/>
  <c r="AE579" i="12" s="1"/>
  <c r="C579" i="12"/>
  <c r="Y579" i="12" s="1"/>
  <c r="R578" i="12"/>
  <c r="G578" i="12" s="1"/>
  <c r="S578" i="12"/>
  <c r="H578" i="12" s="1"/>
  <c r="U578" i="12"/>
  <c r="K578" i="12" s="1"/>
  <c r="T578" i="12"/>
  <c r="J578" i="12" s="1"/>
  <c r="I578" i="12"/>
  <c r="L578" i="12"/>
  <c r="F578" i="12"/>
  <c r="M578" i="12" l="1"/>
  <c r="AH579" i="12"/>
  <c r="AD579" i="12"/>
  <c r="X579" i="12"/>
  <c r="A579" i="12"/>
  <c r="D579" i="12"/>
  <c r="W579" i="12"/>
  <c r="V579" i="12"/>
  <c r="P579" i="12" l="1"/>
  <c r="N579" i="12"/>
  <c r="AI579" i="12" s="1"/>
  <c r="O579" i="12"/>
  <c r="C580" i="12"/>
  <c r="Y580" i="12" s="1"/>
  <c r="U579" i="12"/>
  <c r="K579" i="12" s="1"/>
  <c r="L579" i="12"/>
  <c r="B580" i="12"/>
  <c r="AE580" i="12" s="1"/>
  <c r="S579" i="12"/>
  <c r="H579" i="12" s="1"/>
  <c r="T579" i="12"/>
  <c r="J579" i="12" s="1"/>
  <c r="R579" i="12"/>
  <c r="G579" i="12" s="1"/>
  <c r="I579" i="12"/>
  <c r="E579" i="12"/>
  <c r="F579" i="12"/>
  <c r="Q579" i="12"/>
  <c r="M579" i="12" l="1"/>
  <c r="AH580" i="12"/>
  <c r="AD580" i="12"/>
  <c r="A580" i="12"/>
  <c r="V580" i="12"/>
  <c r="W580" i="12"/>
  <c r="X580" i="12"/>
  <c r="D580" i="12"/>
  <c r="Q580" i="12" l="1"/>
  <c r="N580" i="12"/>
  <c r="AI580" i="12" s="1"/>
  <c r="O580" i="12"/>
  <c r="P580" i="12"/>
  <c r="T580" i="12"/>
  <c r="J580" i="12" s="1"/>
  <c r="U580" i="12"/>
  <c r="K580" i="12" s="1"/>
  <c r="E580" i="12"/>
  <c r="B581" i="12"/>
  <c r="AE581" i="12" s="1"/>
  <c r="L580" i="12"/>
  <c r="R580" i="12"/>
  <c r="G580" i="12" s="1"/>
  <c r="S580" i="12"/>
  <c r="H580" i="12" s="1"/>
  <c r="I580" i="12"/>
  <c r="F580" i="12"/>
  <c r="C581" i="12"/>
  <c r="Y581" i="12" s="1"/>
  <c r="M580" i="12" l="1"/>
  <c r="AH581" i="12"/>
  <c r="AD581" i="12"/>
  <c r="A581" i="12"/>
  <c r="W581" i="12"/>
  <c r="X581" i="12"/>
  <c r="V581" i="12"/>
  <c r="D581" i="12"/>
  <c r="P581" i="12" l="1"/>
  <c r="N581" i="12"/>
  <c r="AI581" i="12" s="1"/>
  <c r="Q581" i="12"/>
  <c r="I581" i="12"/>
  <c r="C582" i="12"/>
  <c r="Y582" i="12" s="1"/>
  <c r="L581" i="12"/>
  <c r="B582" i="12"/>
  <c r="AE582" i="12" s="1"/>
  <c r="O581" i="12"/>
  <c r="R581" i="12"/>
  <c r="G581" i="12" s="1"/>
  <c r="S581" i="12"/>
  <c r="H581" i="12" s="1"/>
  <c r="T581" i="12"/>
  <c r="J581" i="12" s="1"/>
  <c r="U581" i="12"/>
  <c r="K581" i="12" s="1"/>
  <c r="E581" i="12"/>
  <c r="F581" i="12"/>
  <c r="M581" i="12" l="1"/>
  <c r="AH582" i="12"/>
  <c r="AD582" i="12"/>
  <c r="D582" i="12"/>
  <c r="A582" i="12"/>
  <c r="X582" i="12"/>
  <c r="W582" i="12"/>
  <c r="V582" i="12"/>
  <c r="N582" i="12" l="1"/>
  <c r="AI582" i="12" s="1"/>
  <c r="O582" i="12"/>
  <c r="P582" i="12"/>
  <c r="Q582" i="12"/>
  <c r="R582" i="12"/>
  <c r="G582" i="12" s="1"/>
  <c r="T582" i="12"/>
  <c r="J582" i="12" s="1"/>
  <c r="U582" i="12"/>
  <c r="K582" i="12" s="1"/>
  <c r="S582" i="12"/>
  <c r="H582" i="12" s="1"/>
  <c r="L582" i="12"/>
  <c r="F582" i="12"/>
  <c r="C583" i="12"/>
  <c r="Y583" i="12" s="1"/>
  <c r="I582" i="12"/>
  <c r="B583" i="12"/>
  <c r="AE583" i="12" s="1"/>
  <c r="E582" i="12"/>
  <c r="M582" i="12" l="1"/>
  <c r="AH583" i="12"/>
  <c r="AD583" i="12"/>
  <c r="D583" i="12"/>
  <c r="A583" i="12"/>
  <c r="V583" i="12"/>
  <c r="W583" i="12"/>
  <c r="X583" i="12"/>
  <c r="N583" i="12" l="1"/>
  <c r="AI583" i="12" s="1"/>
  <c r="O583" i="12"/>
  <c r="P583" i="12"/>
  <c r="C584" i="12"/>
  <c r="Y584" i="12" s="1"/>
  <c r="L583" i="12"/>
  <c r="Q583" i="12"/>
  <c r="R583" i="12"/>
  <c r="G583" i="12" s="1"/>
  <c r="T583" i="12"/>
  <c r="J583" i="12" s="1"/>
  <c r="S583" i="12"/>
  <c r="H583" i="12" s="1"/>
  <c r="U583" i="12"/>
  <c r="K583" i="12" s="1"/>
  <c r="I583" i="12"/>
  <c r="E583" i="12"/>
  <c r="F583" i="12"/>
  <c r="B584" i="12"/>
  <c r="AE584" i="12" s="1"/>
  <c r="M583" i="12" l="1"/>
  <c r="AH584" i="12"/>
  <c r="AD584" i="12"/>
  <c r="X584" i="12"/>
  <c r="A584" i="12"/>
  <c r="V584" i="12"/>
  <c r="W584" i="12"/>
  <c r="D584" i="12"/>
  <c r="O584" i="12" l="1"/>
  <c r="P584" i="12"/>
  <c r="B585" i="12"/>
  <c r="AE585" i="12" s="1"/>
  <c r="C585" i="12"/>
  <c r="Y585" i="12" s="1"/>
  <c r="U584" i="12"/>
  <c r="K584" i="12" s="1"/>
  <c r="I584" i="12"/>
  <c r="F584" i="12"/>
  <c r="S584" i="12"/>
  <c r="H584" i="12" s="1"/>
  <c r="T584" i="12"/>
  <c r="J584" i="12" s="1"/>
  <c r="R584" i="12"/>
  <c r="G584" i="12" s="1"/>
  <c r="L584" i="12"/>
  <c r="E584" i="12"/>
  <c r="N584" i="12"/>
  <c r="AI584" i="12" s="1"/>
  <c r="Q584" i="12"/>
  <c r="AH585" i="12" l="1"/>
  <c r="AD585" i="12"/>
  <c r="V585" i="12"/>
  <c r="W585" i="12"/>
  <c r="X585" i="12"/>
  <c r="A585" i="12"/>
  <c r="D585" i="12"/>
  <c r="M584" i="12"/>
  <c r="N585" i="12" l="1"/>
  <c r="AI585" i="12" s="1"/>
  <c r="O585" i="12"/>
  <c r="P585" i="12"/>
  <c r="T585" i="12"/>
  <c r="J585" i="12" s="1"/>
  <c r="U585" i="12"/>
  <c r="K585" i="12" s="1"/>
  <c r="L585" i="12"/>
  <c r="E585" i="12"/>
  <c r="B586" i="12"/>
  <c r="AE586" i="12" s="1"/>
  <c r="Q585" i="12"/>
  <c r="R585" i="12"/>
  <c r="G585" i="12" s="1"/>
  <c r="S585" i="12"/>
  <c r="H585" i="12" s="1"/>
  <c r="I585" i="12"/>
  <c r="F585" i="12"/>
  <c r="C586" i="12"/>
  <c r="Y586" i="12" s="1"/>
  <c r="M585" i="12" l="1"/>
  <c r="AH586" i="12"/>
  <c r="AD586" i="12"/>
  <c r="V586" i="12"/>
  <c r="A586" i="12"/>
  <c r="D586" i="12"/>
  <c r="W586" i="12"/>
  <c r="X586" i="12"/>
  <c r="P586" i="12" l="1"/>
  <c r="Q586" i="12"/>
  <c r="O586" i="12"/>
  <c r="N586" i="12"/>
  <c r="AI586" i="12" s="1"/>
  <c r="E586" i="12"/>
  <c r="S586" i="12"/>
  <c r="H586" i="12" s="1"/>
  <c r="T586" i="12"/>
  <c r="J586" i="12" s="1"/>
  <c r="L586" i="12"/>
  <c r="F586" i="12"/>
  <c r="C587" i="12"/>
  <c r="Y587" i="12" s="1"/>
  <c r="R586" i="12"/>
  <c r="G586" i="12" s="1"/>
  <c r="U586" i="12"/>
  <c r="K586" i="12" s="1"/>
  <c r="I586" i="12"/>
  <c r="B587" i="12"/>
  <c r="AE587" i="12" s="1"/>
  <c r="M586" i="12" l="1"/>
  <c r="AH587" i="12"/>
  <c r="AD587" i="12"/>
  <c r="A587" i="12"/>
  <c r="D587" i="12"/>
  <c r="V587" i="12"/>
  <c r="W587" i="12"/>
  <c r="X587" i="12"/>
  <c r="B588" i="12" l="1"/>
  <c r="AE588" i="12" s="1"/>
  <c r="R587" i="12"/>
  <c r="G587" i="12" s="1"/>
  <c r="T587" i="12"/>
  <c r="J587" i="12" s="1"/>
  <c r="I587" i="12"/>
  <c r="F587" i="12"/>
  <c r="Q587" i="12"/>
  <c r="C588" i="12"/>
  <c r="Y588" i="12" s="1"/>
  <c r="S587" i="12"/>
  <c r="H587" i="12" s="1"/>
  <c r="U587" i="12"/>
  <c r="K587" i="12" s="1"/>
  <c r="L587" i="12"/>
  <c r="E587" i="12"/>
  <c r="N587" i="12"/>
  <c r="AI587" i="12" s="1"/>
  <c r="O587" i="12"/>
  <c r="P587" i="12"/>
  <c r="M587" i="12" l="1"/>
  <c r="AH588" i="12"/>
  <c r="AD588" i="12"/>
  <c r="V588" i="12"/>
  <c r="W588" i="12"/>
  <c r="A588" i="12"/>
  <c r="D588" i="12"/>
  <c r="X588" i="12"/>
  <c r="N588" i="12" l="1"/>
  <c r="AI588" i="12" s="1"/>
  <c r="O588" i="12"/>
  <c r="B589" i="12"/>
  <c r="AE589" i="12" s="1"/>
  <c r="C589" i="12"/>
  <c r="Y589" i="12" s="1"/>
  <c r="T588" i="12"/>
  <c r="J588" i="12" s="1"/>
  <c r="S588" i="12"/>
  <c r="H588" i="12" s="1"/>
  <c r="U588" i="12"/>
  <c r="K588" i="12" s="1"/>
  <c r="I588" i="12"/>
  <c r="L588" i="12"/>
  <c r="E588" i="12"/>
  <c r="R588" i="12"/>
  <c r="G588" i="12" s="1"/>
  <c r="F588" i="12"/>
  <c r="P588" i="12"/>
  <c r="Q588" i="12"/>
  <c r="M588" i="12" l="1"/>
  <c r="AH589" i="12"/>
  <c r="AD589" i="12"/>
  <c r="V589" i="12"/>
  <c r="A589" i="12"/>
  <c r="W589" i="12"/>
  <c r="X589" i="12"/>
  <c r="D589" i="12"/>
  <c r="P589" i="12" l="1"/>
  <c r="Q589" i="12"/>
  <c r="B590" i="12"/>
  <c r="AE590" i="12" s="1"/>
  <c r="C590" i="12"/>
  <c r="Y590" i="12" s="1"/>
  <c r="R589" i="12"/>
  <c r="G589" i="12" s="1"/>
  <c r="S589" i="12"/>
  <c r="H589" i="12" s="1"/>
  <c r="T589" i="12"/>
  <c r="J589" i="12" s="1"/>
  <c r="U589" i="12"/>
  <c r="K589" i="12" s="1"/>
  <c r="I589" i="12"/>
  <c r="L589" i="12"/>
  <c r="E589" i="12"/>
  <c r="F589" i="12"/>
  <c r="N589" i="12"/>
  <c r="AI589" i="12" s="1"/>
  <c r="O589" i="12"/>
  <c r="M589" i="12" l="1"/>
  <c r="AH590" i="12"/>
  <c r="AD590" i="12"/>
  <c r="D590" i="12"/>
  <c r="V590" i="12"/>
  <c r="W590" i="12"/>
  <c r="A590" i="12"/>
  <c r="X590" i="12"/>
  <c r="P590" i="12" l="1"/>
  <c r="C591" i="12"/>
  <c r="Y591" i="12" s="1"/>
  <c r="Q590" i="12"/>
  <c r="B591" i="12"/>
  <c r="AE591" i="12" s="1"/>
  <c r="R590" i="12"/>
  <c r="G590" i="12" s="1"/>
  <c r="S590" i="12"/>
  <c r="H590" i="12" s="1"/>
  <c r="U590" i="12"/>
  <c r="K590" i="12" s="1"/>
  <c r="I590" i="12"/>
  <c r="L590" i="12"/>
  <c r="E590" i="12"/>
  <c r="F590" i="12"/>
  <c r="N590" i="12"/>
  <c r="AI590" i="12" s="1"/>
  <c r="O590" i="12"/>
  <c r="T590" i="12"/>
  <c r="J590" i="12" s="1"/>
  <c r="M590" i="12" l="1"/>
  <c r="AH591" i="12"/>
  <c r="AD591" i="12"/>
  <c r="V591" i="12"/>
  <c r="D591" i="12"/>
  <c r="W591" i="12"/>
  <c r="X591" i="12"/>
  <c r="A591" i="12"/>
  <c r="Q591" i="12" l="1"/>
  <c r="N591" i="12"/>
  <c r="AI591" i="12" s="1"/>
  <c r="C592" i="12"/>
  <c r="Y592" i="12" s="1"/>
  <c r="B592" i="12"/>
  <c r="AE592" i="12" s="1"/>
  <c r="R591" i="12"/>
  <c r="G591" i="12" s="1"/>
  <c r="T591" i="12"/>
  <c r="J591" i="12" s="1"/>
  <c r="L591" i="12"/>
  <c r="F591" i="12"/>
  <c r="O591" i="12"/>
  <c r="P591" i="12"/>
  <c r="S591" i="12"/>
  <c r="H591" i="12" s="1"/>
  <c r="U591" i="12"/>
  <c r="K591" i="12" s="1"/>
  <c r="I591" i="12"/>
  <c r="E591" i="12"/>
  <c r="M591" i="12" l="1"/>
  <c r="AH592" i="12"/>
  <c r="AD592" i="12"/>
  <c r="V592" i="12"/>
  <c r="W592" i="12"/>
  <c r="X592" i="12"/>
  <c r="D592" i="12"/>
  <c r="A592" i="12"/>
  <c r="O592" i="12" l="1"/>
  <c r="N592" i="12"/>
  <c r="AI592" i="12" s="1"/>
  <c r="B593" i="12"/>
  <c r="AE593" i="12" s="1"/>
  <c r="C593" i="12"/>
  <c r="Y593" i="12" s="1"/>
  <c r="U592" i="12"/>
  <c r="K592" i="12" s="1"/>
  <c r="R592" i="12"/>
  <c r="G592" i="12" s="1"/>
  <c r="T592" i="12"/>
  <c r="J592" i="12" s="1"/>
  <c r="I592" i="12"/>
  <c r="L592" i="12"/>
  <c r="P592" i="12"/>
  <c r="E592" i="12"/>
  <c r="S592" i="12"/>
  <c r="H592" i="12" s="1"/>
  <c r="F592" i="12"/>
  <c r="Q592" i="12"/>
  <c r="M592" i="12" l="1"/>
  <c r="AH593" i="12"/>
  <c r="AD593" i="12"/>
  <c r="V593" i="12"/>
  <c r="W593" i="12"/>
  <c r="X593" i="12"/>
  <c r="A593" i="12"/>
  <c r="D593" i="12"/>
  <c r="B594" i="12" l="1"/>
  <c r="AE594" i="12" s="1"/>
  <c r="C594" i="12"/>
  <c r="Y594" i="12" s="1"/>
  <c r="N593" i="12"/>
  <c r="AI593" i="12" s="1"/>
  <c r="O593" i="12"/>
  <c r="S593" i="12"/>
  <c r="H593" i="12" s="1"/>
  <c r="R593" i="12"/>
  <c r="G593" i="12" s="1"/>
  <c r="T593" i="12"/>
  <c r="J593" i="12" s="1"/>
  <c r="U593" i="12"/>
  <c r="K593" i="12" s="1"/>
  <c r="I593" i="12"/>
  <c r="L593" i="12"/>
  <c r="E593" i="12"/>
  <c r="F593" i="12"/>
  <c r="Q593" i="12"/>
  <c r="P593" i="12"/>
  <c r="M593" i="12" l="1"/>
  <c r="AH594" i="12"/>
  <c r="AD594" i="12"/>
  <c r="D594" i="12"/>
  <c r="A594" i="12"/>
  <c r="W594" i="12"/>
  <c r="X594" i="12"/>
  <c r="V594" i="12"/>
  <c r="P594" i="12" l="1"/>
  <c r="N594" i="12"/>
  <c r="AI594" i="12" s="1"/>
  <c r="O594" i="12"/>
  <c r="Q594" i="12"/>
  <c r="R594" i="12"/>
  <c r="G594" i="12" s="1"/>
  <c r="T594" i="12"/>
  <c r="J594" i="12" s="1"/>
  <c r="U594" i="12"/>
  <c r="K594" i="12" s="1"/>
  <c r="S594" i="12"/>
  <c r="H594" i="12" s="1"/>
  <c r="L594" i="12"/>
  <c r="E594" i="12"/>
  <c r="F594" i="12"/>
  <c r="B595" i="12"/>
  <c r="AE595" i="12" s="1"/>
  <c r="I594" i="12"/>
  <c r="C595" i="12"/>
  <c r="Y595" i="12" s="1"/>
  <c r="M594" i="12" l="1"/>
  <c r="AH595" i="12"/>
  <c r="AD595" i="12"/>
  <c r="V595" i="12"/>
  <c r="A595" i="12"/>
  <c r="W595" i="12"/>
  <c r="X595" i="12"/>
  <c r="D595" i="12"/>
  <c r="O595" i="12" l="1"/>
  <c r="P595" i="12"/>
  <c r="Q595" i="12"/>
  <c r="C596" i="12"/>
  <c r="Y596" i="12" s="1"/>
  <c r="R595" i="12"/>
  <c r="G595" i="12" s="1"/>
  <c r="F595" i="12"/>
  <c r="S595" i="12"/>
  <c r="H595" i="12" s="1"/>
  <c r="T595" i="12"/>
  <c r="J595" i="12" s="1"/>
  <c r="U595" i="12"/>
  <c r="K595" i="12" s="1"/>
  <c r="I595" i="12"/>
  <c r="L595" i="12"/>
  <c r="E595" i="12"/>
  <c r="B596" i="12"/>
  <c r="AE596" i="12" s="1"/>
  <c r="N595" i="12"/>
  <c r="AI595" i="12" s="1"/>
  <c r="AH596" i="12" l="1"/>
  <c r="AD596" i="12"/>
  <c r="X596" i="12"/>
  <c r="A596" i="12"/>
  <c r="V596" i="12"/>
  <c r="W596" i="12"/>
  <c r="D596" i="12"/>
  <c r="M595" i="12"/>
  <c r="O596" i="12" l="1"/>
  <c r="P596" i="12"/>
  <c r="B597" i="12"/>
  <c r="AE597" i="12" s="1"/>
  <c r="C597" i="12"/>
  <c r="Y597" i="12" s="1"/>
  <c r="T596" i="12"/>
  <c r="J596" i="12" s="1"/>
  <c r="S596" i="12"/>
  <c r="H596" i="12" s="1"/>
  <c r="R596" i="12"/>
  <c r="G596" i="12" s="1"/>
  <c r="I596" i="12"/>
  <c r="E596" i="12"/>
  <c r="Q596" i="12"/>
  <c r="U596" i="12"/>
  <c r="K596" i="12" s="1"/>
  <c r="L596" i="12"/>
  <c r="F596" i="12"/>
  <c r="N596" i="12"/>
  <c r="AI596" i="12" s="1"/>
  <c r="M596" i="12" l="1"/>
  <c r="AH597" i="12"/>
  <c r="AD597" i="12"/>
  <c r="V597" i="12"/>
  <c r="W597" i="12"/>
  <c r="X597" i="12"/>
  <c r="A597" i="12"/>
  <c r="D597" i="12"/>
  <c r="O597" i="12" l="1"/>
  <c r="P597" i="12"/>
  <c r="B598" i="12"/>
  <c r="AE598" i="12" s="1"/>
  <c r="C598" i="12"/>
  <c r="Y598" i="12" s="1"/>
  <c r="S597" i="12"/>
  <c r="H597" i="12" s="1"/>
  <c r="R597" i="12"/>
  <c r="G597" i="12" s="1"/>
  <c r="U597" i="12"/>
  <c r="K597" i="12" s="1"/>
  <c r="T597" i="12"/>
  <c r="J597" i="12" s="1"/>
  <c r="I597" i="12"/>
  <c r="L597" i="12"/>
  <c r="E597" i="12"/>
  <c r="F597" i="12"/>
  <c r="Q597" i="12"/>
  <c r="N597" i="12"/>
  <c r="AI597" i="12" s="1"/>
  <c r="M597" i="12" l="1"/>
  <c r="AH598" i="12"/>
  <c r="AD598" i="12"/>
  <c r="V598" i="12"/>
  <c r="A598" i="12"/>
  <c r="D598" i="12"/>
  <c r="W598" i="12"/>
  <c r="X598" i="12"/>
  <c r="C599" i="12" l="1"/>
  <c r="Y599" i="12" s="1"/>
  <c r="O598" i="12"/>
  <c r="P598" i="12"/>
  <c r="N598" i="12"/>
  <c r="AI598" i="12" s="1"/>
  <c r="S598" i="12"/>
  <c r="H598" i="12" s="1"/>
  <c r="U598" i="12"/>
  <c r="K598" i="12" s="1"/>
  <c r="T598" i="12"/>
  <c r="J598" i="12" s="1"/>
  <c r="R598" i="12"/>
  <c r="G598" i="12" s="1"/>
  <c r="L598" i="12"/>
  <c r="E598" i="12"/>
  <c r="F598" i="12"/>
  <c r="Q598" i="12"/>
  <c r="I598" i="12"/>
  <c r="B599" i="12"/>
  <c r="AE599" i="12" s="1"/>
  <c r="M598" i="12" l="1"/>
  <c r="X599" i="12"/>
  <c r="AH599" i="12"/>
  <c r="AD599" i="12"/>
  <c r="A599" i="12"/>
  <c r="D599" i="12"/>
  <c r="V599" i="12"/>
  <c r="W599" i="12"/>
  <c r="Q599" i="12" l="1"/>
  <c r="O599" i="12"/>
  <c r="P599" i="12"/>
  <c r="N599" i="12"/>
  <c r="AI599" i="12" s="1"/>
  <c r="T599" i="12"/>
  <c r="J599" i="12" s="1"/>
  <c r="U599" i="12"/>
  <c r="K599" i="12" s="1"/>
  <c r="R599" i="12"/>
  <c r="G599" i="12" s="1"/>
  <c r="S599" i="12"/>
  <c r="H599" i="12" s="1"/>
  <c r="E599" i="12"/>
  <c r="F599" i="12"/>
  <c r="C600" i="12"/>
  <c r="Y600" i="12" s="1"/>
  <c r="L599" i="12"/>
  <c r="I599" i="12"/>
  <c r="B600" i="12"/>
  <c r="AE600" i="12" s="1"/>
  <c r="AH600" i="12" l="1"/>
  <c r="AD600" i="12"/>
  <c r="A600" i="12"/>
  <c r="D600" i="12"/>
  <c r="W600" i="12"/>
  <c r="X600" i="12"/>
  <c r="V600" i="12"/>
  <c r="M599" i="12"/>
  <c r="N600" i="12" l="1"/>
  <c r="AI600" i="12" s="1"/>
  <c r="R600" i="12"/>
  <c r="G600" i="12" s="1"/>
  <c r="S600" i="12"/>
  <c r="H600" i="12" s="1"/>
  <c r="T600" i="12"/>
  <c r="J600" i="12" s="1"/>
  <c r="I600" i="12"/>
  <c r="L600" i="12"/>
  <c r="P600" i="12"/>
  <c r="C601" i="12"/>
  <c r="Y601" i="12" s="1"/>
  <c r="O600" i="12"/>
  <c r="F600" i="12"/>
  <c r="B601" i="12"/>
  <c r="AE601" i="12" s="1"/>
  <c r="U600" i="12"/>
  <c r="K600" i="12" s="1"/>
  <c r="E600" i="12"/>
  <c r="Q600" i="12"/>
  <c r="M600" i="12" l="1"/>
  <c r="AH601" i="12"/>
  <c r="AD601" i="12"/>
  <c r="A601" i="12"/>
  <c r="D601" i="12"/>
  <c r="X601" i="12"/>
  <c r="V601" i="12"/>
  <c r="W601" i="12"/>
  <c r="P601" i="12" l="1"/>
  <c r="B602" i="12"/>
  <c r="AE602" i="12" s="1"/>
  <c r="C602" i="12"/>
  <c r="Y602" i="12" s="1"/>
  <c r="Q601" i="12"/>
  <c r="R601" i="12"/>
  <c r="G601" i="12" s="1"/>
  <c r="T601" i="12"/>
  <c r="J601" i="12" s="1"/>
  <c r="U601" i="12"/>
  <c r="K601" i="12" s="1"/>
  <c r="L601" i="12"/>
  <c r="F601" i="12"/>
  <c r="S601" i="12"/>
  <c r="H601" i="12" s="1"/>
  <c r="I601" i="12"/>
  <c r="E601" i="12"/>
  <c r="N601" i="12"/>
  <c r="AI601" i="12" s="1"/>
  <c r="O601" i="12"/>
  <c r="M601" i="12" l="1"/>
  <c r="AH602" i="12"/>
  <c r="AD602" i="12"/>
  <c r="D602" i="12"/>
  <c r="W602" i="12"/>
  <c r="X602" i="12"/>
  <c r="A602" i="12"/>
  <c r="V602" i="12"/>
  <c r="P602" i="12" l="1"/>
  <c r="Q602" i="12"/>
  <c r="B603" i="12"/>
  <c r="AE603" i="12" s="1"/>
  <c r="O602" i="12"/>
  <c r="R602" i="12"/>
  <c r="G602" i="12" s="1"/>
  <c r="U602" i="12"/>
  <c r="K602" i="12" s="1"/>
  <c r="T602" i="12"/>
  <c r="J602" i="12" s="1"/>
  <c r="S602" i="12"/>
  <c r="H602" i="12" s="1"/>
  <c r="I602" i="12"/>
  <c r="L602" i="12"/>
  <c r="E602" i="12"/>
  <c r="F602" i="12"/>
  <c r="N602" i="12"/>
  <c r="AI602" i="12" s="1"/>
  <c r="C603" i="12"/>
  <c r="Y603" i="12" s="1"/>
  <c r="M602" i="12" l="1"/>
  <c r="AH603" i="12"/>
  <c r="AD603" i="12"/>
  <c r="D603" i="12"/>
  <c r="V603" i="12"/>
  <c r="W603" i="12"/>
  <c r="A603" i="12"/>
  <c r="X603" i="12"/>
  <c r="N603" i="12" l="1"/>
  <c r="AI603" i="12" s="1"/>
  <c r="Q603" i="12"/>
  <c r="P603" i="12"/>
  <c r="U603" i="12"/>
  <c r="K603" i="12" s="1"/>
  <c r="T603" i="12"/>
  <c r="J603" i="12" s="1"/>
  <c r="S603" i="12"/>
  <c r="H603" i="12" s="1"/>
  <c r="I603" i="12"/>
  <c r="L603" i="12"/>
  <c r="F603" i="12"/>
  <c r="E603" i="12"/>
  <c r="R603" i="12"/>
  <c r="G603" i="12" s="1"/>
  <c r="O603" i="12"/>
  <c r="M603" i="12" l="1"/>
</calcChain>
</file>

<file path=xl/comments1.xml><?xml version="1.0" encoding="utf-8"?>
<comments xmlns="http://schemas.openxmlformats.org/spreadsheetml/2006/main">
  <authors>
    <author>Сурова Светлана</author>
  </authors>
  <commentList>
    <comment ref="W4" authorId="0">
      <text>
        <r>
          <rPr>
            <b/>
            <sz val="9"/>
            <color indexed="81"/>
            <rFont val="Tahoma"/>
            <family val="2"/>
            <charset val="204"/>
          </rPr>
          <t>Сурова Светлана:</t>
        </r>
        <r>
          <rPr>
            <sz val="9"/>
            <color indexed="81"/>
            <rFont val="Tahoma"/>
            <family val="2"/>
            <charset val="204"/>
          </rPr>
          <t xml:space="preserve">
формула не возмет это в расчет
</t>
        </r>
      </text>
    </comment>
    <comment ref="G31" authorId="0">
      <text>
        <r>
          <rPr>
            <b/>
            <sz val="9"/>
            <color indexed="81"/>
            <rFont val="Tahoma"/>
            <family val="2"/>
            <charset val="204"/>
          </rPr>
          <t>Сурова Светлана:</t>
        </r>
        <r>
          <rPr>
            <sz val="9"/>
            <color indexed="81"/>
            <rFont val="Tahoma"/>
            <family val="2"/>
            <charset val="204"/>
          </rPr>
          <t xml:space="preserve">
ошибку не убирать не исправлять</t>
        </r>
      </text>
    </comment>
  </commentList>
</comments>
</file>

<file path=xl/sharedStrings.xml><?xml version="1.0" encoding="utf-8"?>
<sst xmlns="http://schemas.openxmlformats.org/spreadsheetml/2006/main" count="17537" uniqueCount="2170">
  <si>
    <t>Цена</t>
  </si>
  <si>
    <t>Номенклатура</t>
  </si>
  <si>
    <t>Код</t>
  </si>
  <si>
    <t>Группа</t>
  </si>
  <si>
    <t>Структура</t>
  </si>
  <si>
    <t>Формат</t>
  </si>
  <si>
    <t>Толщина</t>
  </si>
  <si>
    <t>Дополнительно</t>
  </si>
  <si>
    <t>Производитель</t>
  </si>
  <si>
    <t>БСП</t>
  </si>
  <si>
    <t>0,8</t>
  </si>
  <si>
    <t>Алюминий</t>
  </si>
  <si>
    <t>3050*1310</t>
  </si>
  <si>
    <t>Kronospan Польша</t>
  </si>
  <si>
    <t>Белый</t>
  </si>
  <si>
    <t>Белые декоры</t>
  </si>
  <si>
    <t>W1000</t>
  </si>
  <si>
    <t>Белый Премиум</t>
  </si>
  <si>
    <t>PG</t>
  </si>
  <si>
    <t>Egger</t>
  </si>
  <si>
    <t>ГРУППА W (Белые Декоры)</t>
  </si>
  <si>
    <t>ST38</t>
  </si>
  <si>
    <t>ST9</t>
  </si>
  <si>
    <t>W1100</t>
  </si>
  <si>
    <t>Белый Альпийский</t>
  </si>
  <si>
    <t>2800*1310</t>
  </si>
  <si>
    <t>W1200</t>
  </si>
  <si>
    <t>Фарфор белый</t>
  </si>
  <si>
    <t>W908</t>
  </si>
  <si>
    <t>Белый Базовый</t>
  </si>
  <si>
    <t>SM</t>
  </si>
  <si>
    <t>ST2</t>
  </si>
  <si>
    <t>W980</t>
  </si>
  <si>
    <t>Белый платиновый</t>
  </si>
  <si>
    <t>Древесные декоры</t>
  </si>
  <si>
    <t>ГРУППА Н (Древесные Декоры)</t>
  </si>
  <si>
    <t>H1113</t>
  </si>
  <si>
    <t>Дуб Канзас коричневый</t>
  </si>
  <si>
    <t>ST10</t>
  </si>
  <si>
    <t>H1115</t>
  </si>
  <si>
    <t>Баменда серо-бежевый</t>
  </si>
  <si>
    <t>ST12</t>
  </si>
  <si>
    <t>H1122</t>
  </si>
  <si>
    <t>Древесина белая</t>
  </si>
  <si>
    <t>ST22</t>
  </si>
  <si>
    <t>H1123</t>
  </si>
  <si>
    <t>Древесина графит</t>
  </si>
  <si>
    <t>H1137</t>
  </si>
  <si>
    <t>Дуб Сорано черно-коричневый</t>
  </si>
  <si>
    <t>H1145</t>
  </si>
  <si>
    <t>Дуб Бардолино натуральный</t>
  </si>
  <si>
    <t>H1146</t>
  </si>
  <si>
    <t>Дуб Бардолино серый</t>
  </si>
  <si>
    <t>H1176</t>
  </si>
  <si>
    <t>Дуб Галифакс белый</t>
  </si>
  <si>
    <t>ST37</t>
  </si>
  <si>
    <t>H1180</t>
  </si>
  <si>
    <t>Дуб Галифакс натуральный</t>
  </si>
  <si>
    <t>H1181</t>
  </si>
  <si>
    <t>Дуб Галифакс табак</t>
  </si>
  <si>
    <t>H1199</t>
  </si>
  <si>
    <t>Дуб термо черно-коричневый</t>
  </si>
  <si>
    <t>H1250</t>
  </si>
  <si>
    <t>Ясень Наварра</t>
  </si>
  <si>
    <t>ST36</t>
  </si>
  <si>
    <t>H1277</t>
  </si>
  <si>
    <t>Акация Лэйклэнд светлая</t>
  </si>
  <si>
    <t>H1334</t>
  </si>
  <si>
    <t>Дуб Сорано натуральный светлый</t>
  </si>
  <si>
    <t>H1387</t>
  </si>
  <si>
    <t>Дуб Денвер графит</t>
  </si>
  <si>
    <t>H1399</t>
  </si>
  <si>
    <t>Дуб Денвер трюфель</t>
  </si>
  <si>
    <t>H1400</t>
  </si>
  <si>
    <t>Древесина Аттик</t>
  </si>
  <si>
    <t>H1401</t>
  </si>
  <si>
    <t>Сосна Касцина</t>
  </si>
  <si>
    <t>H1424</t>
  </si>
  <si>
    <t>Файнлайн крем</t>
  </si>
  <si>
    <t>H1486</t>
  </si>
  <si>
    <t>Сосна Пасадена</t>
  </si>
  <si>
    <t>H1487</t>
  </si>
  <si>
    <t>Пихта Брамберг</t>
  </si>
  <si>
    <t>H1511</t>
  </si>
  <si>
    <t>Бук Бавария</t>
  </si>
  <si>
    <t>ST15</t>
  </si>
  <si>
    <t>H1582</t>
  </si>
  <si>
    <t>Бук Эльмау</t>
  </si>
  <si>
    <t>H1615</t>
  </si>
  <si>
    <t>Вишня Верона</t>
  </si>
  <si>
    <t>H1636</t>
  </si>
  <si>
    <t>Вишня Локарно</t>
  </si>
  <si>
    <t>H1733</t>
  </si>
  <si>
    <t>Береза Майнау</t>
  </si>
  <si>
    <t>H3012</t>
  </si>
  <si>
    <t>Кокоболо натуральный</t>
  </si>
  <si>
    <t>H3058</t>
  </si>
  <si>
    <t>Венге Мали</t>
  </si>
  <si>
    <t>H3090</t>
  </si>
  <si>
    <t>Древесина Шорвуд</t>
  </si>
  <si>
    <t>H3131</t>
  </si>
  <si>
    <t>Дуб Давос натуральный</t>
  </si>
  <si>
    <t>H3133</t>
  </si>
  <si>
    <t>Дуб Давос трюфель</t>
  </si>
  <si>
    <t>H3154</t>
  </si>
  <si>
    <t>Дуб Чарльстон темно-коричневый</t>
  </si>
  <si>
    <t>H3156</t>
  </si>
  <si>
    <t>Дуб Корбридж серый</t>
  </si>
  <si>
    <t>H3157</t>
  </si>
  <si>
    <t>Дуб Винченца</t>
  </si>
  <si>
    <t>H3170</t>
  </si>
  <si>
    <t>Дуб Кендал натуральный</t>
  </si>
  <si>
    <t>H3303</t>
  </si>
  <si>
    <t>Дуб Гамильтон натуральный</t>
  </si>
  <si>
    <t>H3309</t>
  </si>
  <si>
    <t>Дуб Гладстоун песочный</t>
  </si>
  <si>
    <t>ST28</t>
  </si>
  <si>
    <t>H3325</t>
  </si>
  <si>
    <t>Дуб Гладстоун табак</t>
  </si>
  <si>
    <t>H3331</t>
  </si>
  <si>
    <t>Дуб Небраска натуральный</t>
  </si>
  <si>
    <t>H3342</t>
  </si>
  <si>
    <t>Дуб Гладстоун сепия</t>
  </si>
  <si>
    <t>H3395</t>
  </si>
  <si>
    <t>Дуб Корбридж натуральный</t>
  </si>
  <si>
    <t>H3398</t>
  </si>
  <si>
    <t>Дуб Кендал коньяк</t>
  </si>
  <si>
    <t>H3406</t>
  </si>
  <si>
    <t>Лиственница горная антрацит</t>
  </si>
  <si>
    <t>H3430</t>
  </si>
  <si>
    <t>Сосна Аланд белая</t>
  </si>
  <si>
    <t>H3433</t>
  </si>
  <si>
    <t>Сосна Аланд полярная</t>
  </si>
  <si>
    <t>H3450</t>
  </si>
  <si>
    <t>Флитвуд белый</t>
  </si>
  <si>
    <t>H3451</t>
  </si>
  <si>
    <t>Флитвуд шампань</t>
  </si>
  <si>
    <t>H3453</t>
  </si>
  <si>
    <t>Флитвуд серая лава</t>
  </si>
  <si>
    <t>H3700</t>
  </si>
  <si>
    <t>Орех Пацифик натуральный</t>
  </si>
  <si>
    <t>H3702</t>
  </si>
  <si>
    <t>Орех Пацифик табак</t>
  </si>
  <si>
    <t>H3730</t>
  </si>
  <si>
    <t>Гикори натуральный</t>
  </si>
  <si>
    <t>H3734</t>
  </si>
  <si>
    <t>Орех Дижон натуральный</t>
  </si>
  <si>
    <t>H3840</t>
  </si>
  <si>
    <t>Клен Мандал натуральный</t>
  </si>
  <si>
    <t>H3860</t>
  </si>
  <si>
    <t>Клен сахарный шампань</t>
  </si>
  <si>
    <t>Однотонные декоры</t>
  </si>
  <si>
    <t>ГРУППА U (Однотонные Декоры)</t>
  </si>
  <si>
    <t>U104</t>
  </si>
  <si>
    <t>Алебастр белый</t>
  </si>
  <si>
    <t>U108</t>
  </si>
  <si>
    <t>Ванильный желтый</t>
  </si>
  <si>
    <t>U113</t>
  </si>
  <si>
    <t>Коттон бежевый</t>
  </si>
  <si>
    <t>U156</t>
  </si>
  <si>
    <t>Бежевый песок</t>
  </si>
  <si>
    <t>U200</t>
  </si>
  <si>
    <t>Бежевый</t>
  </si>
  <si>
    <t>U201</t>
  </si>
  <si>
    <t>Серая галька</t>
  </si>
  <si>
    <t>U222</t>
  </si>
  <si>
    <t>Крем бежевый</t>
  </si>
  <si>
    <t>U311</t>
  </si>
  <si>
    <t>Бургундский красный</t>
  </si>
  <si>
    <t>U321</t>
  </si>
  <si>
    <t>Красный китайский</t>
  </si>
  <si>
    <t>U323</t>
  </si>
  <si>
    <t>Ярко-красный</t>
  </si>
  <si>
    <t>U332</t>
  </si>
  <si>
    <t>Оранжевый</t>
  </si>
  <si>
    <t>U337</t>
  </si>
  <si>
    <t>Фуксия розовая</t>
  </si>
  <si>
    <t>U504</t>
  </si>
  <si>
    <t>Альпийское озеро</t>
  </si>
  <si>
    <t>U525</t>
  </si>
  <si>
    <t>Делфт голубой</t>
  </si>
  <si>
    <t>U626</t>
  </si>
  <si>
    <t>Зеленый киви</t>
  </si>
  <si>
    <t>U636</t>
  </si>
  <si>
    <t>Фьерд зеленый</t>
  </si>
  <si>
    <t>U702</t>
  </si>
  <si>
    <t>Кашемир серый</t>
  </si>
  <si>
    <t>U707</t>
  </si>
  <si>
    <t>Шелк серый</t>
  </si>
  <si>
    <t>U708</t>
  </si>
  <si>
    <t>Светло-серый</t>
  </si>
  <si>
    <t>U727</t>
  </si>
  <si>
    <t>Серый камень</t>
  </si>
  <si>
    <t>U732</t>
  </si>
  <si>
    <t>Серый пыльный</t>
  </si>
  <si>
    <t>U741</t>
  </si>
  <si>
    <t>Лава серая</t>
  </si>
  <si>
    <t>U748</t>
  </si>
  <si>
    <t>Трюфель коричневый</t>
  </si>
  <si>
    <t>U750</t>
  </si>
  <si>
    <t>Ярко-серый</t>
  </si>
  <si>
    <t>U763</t>
  </si>
  <si>
    <t>Серый перламутровый</t>
  </si>
  <si>
    <t>U767</t>
  </si>
  <si>
    <t>Кубанит серый</t>
  </si>
  <si>
    <t>U775</t>
  </si>
  <si>
    <t>Бело-серый</t>
  </si>
  <si>
    <t>U788</t>
  </si>
  <si>
    <t>Арктика серый</t>
  </si>
  <si>
    <t>U818</t>
  </si>
  <si>
    <t>Темно-коричневый</t>
  </si>
  <si>
    <t>U899</t>
  </si>
  <si>
    <t>Нежный черный</t>
  </si>
  <si>
    <t>U960</t>
  </si>
  <si>
    <t>Оникс серый</t>
  </si>
  <si>
    <t>U961</t>
  </si>
  <si>
    <t>Черный графит</t>
  </si>
  <si>
    <t>U963</t>
  </si>
  <si>
    <t>Диамант серый</t>
  </si>
  <si>
    <t>U999</t>
  </si>
  <si>
    <t>Черный</t>
  </si>
  <si>
    <t>Фантазийные декоры</t>
  </si>
  <si>
    <t>ГРУППА F (Фантазийные Декоры)</t>
  </si>
  <si>
    <t>F186</t>
  </si>
  <si>
    <t>Бетон Чикаго светло-серый</t>
  </si>
  <si>
    <t>F187</t>
  </si>
  <si>
    <t>Бетон Чикаго темно-серый</t>
  </si>
  <si>
    <t>F302</t>
  </si>
  <si>
    <t>Ферро бронза</t>
  </si>
  <si>
    <t>ST87</t>
  </si>
  <si>
    <t>F501</t>
  </si>
  <si>
    <t>Алюминий матированный</t>
  </si>
  <si>
    <t>F509</t>
  </si>
  <si>
    <t>ДСП</t>
  </si>
  <si>
    <t>ДСП без покрытия</t>
  </si>
  <si>
    <t>16</t>
  </si>
  <si>
    <t>ШЛИФОВАННОЕ без покрытия</t>
  </si>
  <si>
    <t>ДСП 16*2800*2070 мм ШЛИФОВАННОЕ без покрытия</t>
  </si>
  <si>
    <t>2800*2070</t>
  </si>
  <si>
    <t>ДСП 16*2800*2070 мм ШЛИФОВАННОЕ без покрытия P-1</t>
  </si>
  <si>
    <t>ШЛИФОВАННОЕ без покрытия P-1</t>
  </si>
  <si>
    <t>Кромка</t>
  </si>
  <si>
    <t>Кромка W1000 PG 1,0*23 мм Белый Премиум (75 м бухта) Egger</t>
  </si>
  <si>
    <t>Под ЛМДФ Egger</t>
  </si>
  <si>
    <t>23</t>
  </si>
  <si>
    <t>1,0</t>
  </si>
  <si>
    <t>(75 м бухта)</t>
  </si>
  <si>
    <t>Кромка W1000 PM 1,0*23 мм Белый Премиум (75 м бухта) Egger</t>
  </si>
  <si>
    <t>PM</t>
  </si>
  <si>
    <t>Кромка W1000 ST19 0,4*19 мм Белый Премиум (200 м бухта) Egger</t>
  </si>
  <si>
    <t>Белые (W группа)</t>
  </si>
  <si>
    <t>ST19</t>
  </si>
  <si>
    <t>19</t>
  </si>
  <si>
    <t>0,4</t>
  </si>
  <si>
    <t>(200 м бухта)</t>
  </si>
  <si>
    <t>Кромка W1000 ST19 0,4*23 мм Белый Премиум (200 м бухта) Egger</t>
  </si>
  <si>
    <t>Кромка W1000 ST19 0,8*19 мм Белый Премиум (75 м бухта) Egger</t>
  </si>
  <si>
    <t>Кромка W1000 ST19 0,8*23 мм Белый Премиум (75 м бухта) Egger</t>
  </si>
  <si>
    <t>Кромка W1000 ST19 2,0*19 мм Белый Премиум (75 м бухта) Egger</t>
  </si>
  <si>
    <t>2,0</t>
  </si>
  <si>
    <t>Кромка W1000 ST19 2,0*23 мм Белый Премиум (75 м бухта) Egger</t>
  </si>
  <si>
    <t>Кромка W1000 ST38 0,4*19 мм Белый Премиум (200 м бухта) Egger</t>
  </si>
  <si>
    <t>Кромка W1000 ST38 0,4*23 мм Белый Премиум (200 м бухта) Egger</t>
  </si>
  <si>
    <t>Кромка W1000 ST38 0,4*28 мм Белый Премиум (200 м бухта) Egger</t>
  </si>
  <si>
    <t>28</t>
  </si>
  <si>
    <t>Кромка W1000 ST38 0,8*19 мм Белый Премиум (75 м бухта) Egger</t>
  </si>
  <si>
    <t>Кромка W1000 ST38 0,8*23 мм Белый Премиум (75 м бухта) Egger</t>
  </si>
  <si>
    <t>Кромка W1000 ST38 2,0*19 мм Белый Премиум (75 м бухта) Egger</t>
  </si>
  <si>
    <t>Кромка W1000 ST38 2,0*23 мм Белый Премиум (75 м бухта) Egger</t>
  </si>
  <si>
    <t>Кромка W1000 ST38 2,0*35 мм Белый Премиум (75 м бухта) Egger</t>
  </si>
  <si>
    <t>35</t>
  </si>
  <si>
    <t>Кромка W1000 ST9 0,4*19 мм Белый Премиум (200 м бухта) Egger</t>
  </si>
  <si>
    <t>Кромка W1000 ST9 0,4*23 мм Белый Премиум (200 м бухта) Egger</t>
  </si>
  <si>
    <t>Кромка W1000 ST9 0,4*28 мм Белый Премиум (200 м бухта) Egger</t>
  </si>
  <si>
    <t>Кромка W1000 ST9 0,8*19 мм Белый Премиум (75 м бухта) Egger</t>
  </si>
  <si>
    <t>Кромка W1000 ST9 0,8*23 мм Белый Премиум (75 м бухта) Egger</t>
  </si>
  <si>
    <t>Кромка W1000 ST9 0,8*28 мм Белый Премиум (75 м бухта) Egger</t>
  </si>
  <si>
    <t>Кромка W1000 ST9 2,0*19 мм Белый Премиум (75 м бухта) Egger</t>
  </si>
  <si>
    <t>Кромка W1000 ST9 2,0*23 мм Белый Премиум (75 м бухта) Egger</t>
  </si>
  <si>
    <t>Кромка W1000 ST9 2,0*28 мм Белый Премиум (75 м бухта) Egger</t>
  </si>
  <si>
    <t>Кромка W1000 ST9 2,0*35 мм Белый Премиум (75 м бухта) Egger</t>
  </si>
  <si>
    <t>Кромка W1000 ST9 2,0*43 мм Белый Премиум (75 м бухта) Egger</t>
  </si>
  <si>
    <t>43</t>
  </si>
  <si>
    <t>Кромка W1100 PG 1,0*23 мм Белый Альпийский (75 м бухта) Egger</t>
  </si>
  <si>
    <t>Кромка W1100 PM 1,0*23 мм Белый Альпийский (75 м бухта) Egger</t>
  </si>
  <si>
    <t>Кромка W1100 ST9 0,4*19 мм Белый Альпийский (200 м бухта) Egger</t>
  </si>
  <si>
    <t>Кромка W1100 ST9 0,4*23 мм Белый Альпийский (200 м бухта) Egger</t>
  </si>
  <si>
    <t>Кромка W1100 ST9 0,4*28 мм Белый Альпийский (200 м бухта) Egger</t>
  </si>
  <si>
    <t>Кромка W1100 ST9 0,8*19 мм Белый Альпийский (75 м бухта) Egger</t>
  </si>
  <si>
    <t>Кромка W1100 ST9 0,8*23 мм Белый Альпийский (75 м бухта) Egger</t>
  </si>
  <si>
    <t>Кромка W1100 ST9 0,8*28 мм Белый Альпийский (75 м бухта) Egger</t>
  </si>
  <si>
    <t>Кромка W1100 ST9 2,0*19 мм Белый Альпийский (75 м бухта) Egger</t>
  </si>
  <si>
    <t>Кромка W1100 ST9 2,0*23 мм Белый Альпийский (75 м бухта) Egger</t>
  </si>
  <si>
    <t>Кромка W1100 ST9 2,0*28 мм Белый Альпийский (75 м бухта) Egger</t>
  </si>
  <si>
    <t>Кромка W1100 ST9 2,0*35 мм Белый Альпийский (75 м бухта) Egger</t>
  </si>
  <si>
    <t>Кромка W1100 ST9 2,0*43 мм Белый Альпийский (75 м бухта) Egger</t>
  </si>
  <si>
    <t>Кромка W908 SM 0,4*19 мм Белый Базовый (200 м бухта) Egger</t>
  </si>
  <si>
    <t>Кромка W908 SM 0,4*23 мм Белый Базовый (200 м бухта) Egger</t>
  </si>
  <si>
    <t>Кромка W908 SM 0,4*28 мм Белый Базовый (200 м бухта) Egger</t>
  </si>
  <si>
    <t>Кромка W908 SM 0,8*19 мм Белый Базовый (75 м бухта) Egger</t>
  </si>
  <si>
    <t>Кромка W908 SM 0,8*23 мм Белый Базовый (75 м бухта) Egger</t>
  </si>
  <si>
    <t>Кромка W908 SM 2,0*19 мм Белый Базовый (75 м бухта) Egger</t>
  </si>
  <si>
    <t>Кромка W908 SM 2,0*23 мм Белый Базовый (75 м бухта) Egger</t>
  </si>
  <si>
    <t>Кромка W908 SM 2,0*28 мм Белый Базовый (75 м бухта) Egger</t>
  </si>
  <si>
    <t>Кромка W908 SM 2,0*35 мм Белый Базовый (75 м бухта) Egger</t>
  </si>
  <si>
    <t>Кромка W908 ST2 0,4*19 мм Белый Базовый (200 м бухта) Egger</t>
  </si>
  <si>
    <t>Кромка W908 ST2 0,4*23 мм Белый Базовый (200 м бухта) Egger</t>
  </si>
  <si>
    <t>Кромка W908 ST2 0,4*28 мм Белый Базовый (200 м бухта) Egger</t>
  </si>
  <si>
    <t>Кромка W908 ST2 0,8*19 мм Белый Базовый (75 м бухта) Egger</t>
  </si>
  <si>
    <t>Кромка W908 ST2 0,8*23 мм Белый Базовый (75 м бухта) Egger</t>
  </si>
  <si>
    <t>Кромка W908 ST2 0,8*28 мм Белый Базовый (75 м бухта) Egger</t>
  </si>
  <si>
    <t>Кромка W908 ST2 0,8*35 мм Белый Базовый (75 м бухта) Egger</t>
  </si>
  <si>
    <t>Кромка W908 ST2 2,0*19 мм Белый Базовый (75 м бухта) Egger</t>
  </si>
  <si>
    <t>Кромка W908 ST2 2,0*23 мм Белый Базовый (75 м бухта) Egger</t>
  </si>
  <si>
    <t>Кромка W908 ST2 2,0*28 мм Белый Базовый (75 м бухта) Egger</t>
  </si>
  <si>
    <t>Кромка W908 ST2 2,0*35 мм Белый Базовый (75 м бухта) Egger</t>
  </si>
  <si>
    <t>Кромка W908 ST2 2,0*43 мм Белый Базовый (75 м бухта) Egger</t>
  </si>
  <si>
    <t>Кромка W980 SM 0,4*19 мм Белый платиновый (200 м бухта) Egger</t>
  </si>
  <si>
    <t>Кромка W980 SM 0,4*23 мм Белый платиновый (200 м бухта) Egger</t>
  </si>
  <si>
    <t>Кромка W980 SM 0,8*19 мм Белый платиновый (75 м бухта) Egger</t>
  </si>
  <si>
    <t>Кромка W980 SM 0,8*23 мм Белый платиновый (75 м бухта) Egger</t>
  </si>
  <si>
    <t>Кромка W980 SM 0,8*28 мм Белый платиновый (75 м бухта) Egger</t>
  </si>
  <si>
    <t>Кромка W980 SM 2,0*19 мм Белый платиновый (75 м бухта) Egger</t>
  </si>
  <si>
    <t>Кромка W980 SM 2,0*23 мм Белый платиновый (75 м бухта) Egger</t>
  </si>
  <si>
    <t>Кромка W980 SM 2,0*28 мм Белый платиновый (75 м бухта) Egger</t>
  </si>
  <si>
    <t>Кромка W980 ST2 0,4*23 мм Белый платиновый (200 м бухта) Egger</t>
  </si>
  <si>
    <t>Кромка W980 ST2 0,8*19 мм Белый платиновый (75 м бухта) Egger</t>
  </si>
  <si>
    <t>Кромка W980 ST2 0,8*23 мм Белый платиновый (75 м бухта) Egger</t>
  </si>
  <si>
    <t>Кромка W980 ST2 2,0*23 мм Белый платиновый (75 м бухта) Egger</t>
  </si>
  <si>
    <t>Кромка H1113 ST10 0,4*19 мм Дуб Канзас коричневый (200 м бухта) Egger</t>
  </si>
  <si>
    <t>Древесные (Н группа)</t>
  </si>
  <si>
    <t>Кромка H1113 ST10 0,4*23 мм Дуб Канзас коричневый (200 м бухта) Egger</t>
  </si>
  <si>
    <t>Кромка H1113 ST10 0,4*28 мм Дуб Канзас коричневый (200 м бухта) Egger</t>
  </si>
  <si>
    <t>Кромка H1113 ST10 0,8*19 мм Дуб Канзас коричневый (75 м бухта) Egger</t>
  </si>
  <si>
    <t>Кромка H1113 ST10 0,8*23 мм Дуб Канзас коричневый (75 м бухта) Egger</t>
  </si>
  <si>
    <t>Кромка H1113 ST10 2,0*19 мм Дуб Канзас коричневый (75 м бухта) Egger</t>
  </si>
  <si>
    <t>Кромка H1113 ST10 2,0*23 мм Дуб Канзас коричневый (75 м бухта) Egger</t>
  </si>
  <si>
    <t>Кромка H1113 ST10 2,0*28 мм Дуб Канзас коричневый (75 м бухта) Egger</t>
  </si>
  <si>
    <t>Кромка H1113 ST10 2,0*35 мм Дуб Канзас коричневый (75 м бухта) Egger</t>
  </si>
  <si>
    <t>Кромка H1115 ST12 0,4*19 мм Баменда серо-бежевый (200 м бухта) Egger</t>
  </si>
  <si>
    <t>Кромка H1115 ST12 0,4*28 мм Баменда серо-бежевый (200 м бухта) Egger</t>
  </si>
  <si>
    <t>Кромка H1115 ST12 0,8*19 мм Баменда серо-бежевый (75 м бухта) Egger</t>
  </si>
  <si>
    <t>Кромка H1115 ST12 2,0*19 мм Баменда серо-бежевый (75 м бухта) Egger</t>
  </si>
  <si>
    <t>Кромка H1115 ST12 2,0*28 мм Баменда серо-бежевый (75 м бухта) Egger</t>
  </si>
  <si>
    <t>Кромка H1115 ST12 2,0*35 мм Баменда серо-бежевый (75 м бухта) Egger</t>
  </si>
  <si>
    <t>Кромка H1122 ST22 0,4*19 мм Древесина белая (200 м бухта) Egger</t>
  </si>
  <si>
    <t>Кромка H1122 ST22 0,4*23 мм Древесина белая (200 м бухта) Egger</t>
  </si>
  <si>
    <t>Кромка H1122 ST22 0,4*28 мм Древесина белая (200 м бухта) Egger</t>
  </si>
  <si>
    <t>Кромка H1122 ST22 0,8*19 мм Древесина белая (75 м бухта) Egger</t>
  </si>
  <si>
    <t>Кромка H1122 ST22 0,8*23 мм Древесина белая (75 м бухта) Egger</t>
  </si>
  <si>
    <t>Кромка H1122 ST22 0,8*28 мм Древесина белая (75 м бухта) Egger</t>
  </si>
  <si>
    <t>Кромка H1122 ST22 2,0*19 мм Древесина белая (75 м бухта) Egger</t>
  </si>
  <si>
    <t>Кромка H1122 ST22 2,0*23 мм Древесина белая (75 м бухта) Egger</t>
  </si>
  <si>
    <t>Кромка H1122 ST22 2,0*28 мм Древесина белая (75 м бухта) Egger</t>
  </si>
  <si>
    <t>Кромка H1122 ST22 2,0*35 мм Древесина белая (75 м бухта) Egger</t>
  </si>
  <si>
    <t>Кромка H1122 ST22 2,0*43 мм Древесина белая (75 м бухта) Egger</t>
  </si>
  <si>
    <t>Кромка H1123 ST22 0,4*19 мм Древесина графит (200 м бухта) Egger</t>
  </si>
  <si>
    <t>Кромка H1123 ST22 0,4*23 мм Древесина графит (200 м бухта) Egger</t>
  </si>
  <si>
    <t>Кромка H1123 ST22 0,4*28 мм Древесина графит (200 м бухта) Egger</t>
  </si>
  <si>
    <t>Кромка H1123 ST22 0,8*19 мм Древесина графит (75 м бухта) Egger</t>
  </si>
  <si>
    <t>Кромка H1123 ST22 0,8*23 мм Древесина графит (75 м бухта) Egger</t>
  </si>
  <si>
    <t>Кромка H1123 ST22 0,8*28 мм Древесина графит (75 м бухта) Egger</t>
  </si>
  <si>
    <t>Кромка H1123 ST22 2,0*19 мм Древесина графит (75 м бухта) Egger</t>
  </si>
  <si>
    <t>Кромка H1123 ST22 2,0*23 мм Древесина графит (75 м бухта) Egger</t>
  </si>
  <si>
    <t>Кромка H1123 ST22 2,0*28 мм Древесина графит (75 м бухта) Egger</t>
  </si>
  <si>
    <t>Кромка H1123 ST22 2,0*35 мм Древесина графит (75 м бухта) Egger</t>
  </si>
  <si>
    <t>Кромка H1137 ST12 0,4*19 мм Дуб Сорано черно-коричневый (200 м бухта) Egger</t>
  </si>
  <si>
    <t>Кромка H1137 ST12 0,4*23 мм Дуб Сорано черно-коричневый (200 м бухта) Egger</t>
  </si>
  <si>
    <t>Кромка H1137 ST12 0,4*28 мм Дуб Сорано черно-коричневый (200 м бухта) Egger</t>
  </si>
  <si>
    <t>Кромка H1137 ST12 0,8*19 мм Дуб Сорано черно-коричневый (75 м бухта) Egger</t>
  </si>
  <si>
    <t>Кромка H1137 ST12 0,8*23 мм Дуб Сорано черно-коричневый (75 м бухта) Egger</t>
  </si>
  <si>
    <t>Кромка H1137 ST12 0,8*28 мм Дуб Сорано черно-коричневый (75 м бухта) Egger</t>
  </si>
  <si>
    <t>Кромка H1137 ST12 2,0*19 мм Дуб Сорано черно-коричневый (75 м бухта) Egger</t>
  </si>
  <si>
    <t>Кромка H1137 ST12 2,0*23 мм Дуб Сорано черно-коричневый (75 м бухта) Egger</t>
  </si>
  <si>
    <t>Кромка H1137 ST12 2,0*28 мм Дуб Сорано черно-коричневый (75 м бухта) Egger</t>
  </si>
  <si>
    <t>Кромка H1137 ST12 2,0*35 мм Дуб Сорано черно-коричневый (75 м бухта) Egger</t>
  </si>
  <si>
    <t>Кромка H1145 ST10 0,4*19 мм Дуб Бардолино натуральный (200 м бухта) Egger</t>
  </si>
  <si>
    <t>Кромка H1145 ST10 0,4*23 мм Дуб Бардолино натуральный (200 м бухта) Egger</t>
  </si>
  <si>
    <t>Кромка H1145 ST10 0,4*28 мм Дуб Бардолино натуральный (200 м бухта) Egger</t>
  </si>
  <si>
    <t>Кромка H1145 ST10 0,8*19 мм Дуб Бардолино натуральный (75 м бухта) Egger</t>
  </si>
  <si>
    <t>Кромка H1145 ST10 0,8*23 мм Дуб Бардолино натуральный (75 м бухта) Egger</t>
  </si>
  <si>
    <t>Кромка H1145 ST10 0,8*28 мм Дуб Бардолино натуральный (75 м бухта) Egger</t>
  </si>
  <si>
    <t>Кромка H1145 ST10 2,0*19 мм Дуб Бардолино натуральный (75 м бухта) Egger</t>
  </si>
  <si>
    <t>Кромка H1145 ST10 2,0*23 мм Дуб Бардолино натуральный (75 м бухта) Egger</t>
  </si>
  <si>
    <t>Кромка H1145 ST10 2,0*28 мм Дуб Бардолино натуральный (75 м бухта) Egger</t>
  </si>
  <si>
    <t>Кромка H1145 ST10 2,0*35 мм Дуб Бардолино натуральный (75 м бухта) Egger</t>
  </si>
  <si>
    <t>Кромка H1145 ST10 2,0*43 мм Дуб Бардолино натуральный (75 м бухта) Egger</t>
  </si>
  <si>
    <t>Кромка H1146 ST10 0,4*23 мм Дуб Бардолино серый (200 м бухта) Egger</t>
  </si>
  <si>
    <t>Кромка H1146 ST10 0,4*28 мм Дуб Бардолино серый (200 м бухта) Egger</t>
  </si>
  <si>
    <t>Кромка H1146 ST10 0,8*19 мм Дуб Бардолино серый (75 м бухта) Egger</t>
  </si>
  <si>
    <t>Кромка H1146 ST10 0,8*23 мм Дуб Бардолино серый (75 м бухта) Egger</t>
  </si>
  <si>
    <t>Кромка H1146 ST10 2,0*19 мм Дуб Бардолино серый (75 м бухта) Egger</t>
  </si>
  <si>
    <t>Кромка H1146 ST10 2,0*23 мм Дуб Бардолино серый (75 м бухта) Egger</t>
  </si>
  <si>
    <t>Кромка H1146 ST10 2,0*28 мм Дуб Бардолино серый (75 м бухта) Egger</t>
  </si>
  <si>
    <t>Кромка H1146 ST10 2,0*35 мм Дуб Бардолино серый (75 м бухта) Egger</t>
  </si>
  <si>
    <t>Кромка H1151 ST10 0,4*19 мм Дуб Аризона коричневый (200 м бухта) Egger</t>
  </si>
  <si>
    <t>H1151</t>
  </si>
  <si>
    <t>Дуб Аризона коричневый</t>
  </si>
  <si>
    <t>Кромка H1151 ST10 0,4*23 мм Дуб Аризона коричневый (200 м бухта) Egger</t>
  </si>
  <si>
    <t>Кромка H1151 ST10 0,8*19 мм Дуб Аризона коричневый (75 м бухта) Egger</t>
  </si>
  <si>
    <t>Кромка H1151 ST10 0,8*23 мм Дуб Аризона коричневый (75 м бухта) Egger</t>
  </si>
  <si>
    <t>Кромка H1151 ST10 0,8*28 мм Дуб Аризона коричневый (75 м бухта) Egger</t>
  </si>
  <si>
    <t>Кромка H1151 ST10 2,0*19 мм Дуб Аризона коричневый (75 м бухта) Egger</t>
  </si>
  <si>
    <t>Кромка H1151 ST10 2,0*23 мм Дуб Аризона коричневый (75 м бухта) Egger</t>
  </si>
  <si>
    <t>Кромка H1151 ST10 2,0*28 мм Дуб Аризона коричневый (75 м бухта) Egger</t>
  </si>
  <si>
    <t>Кромка H1151 ST10 2,0*35 мм Дуб Аризона коричневый (75 м бухта) Egger</t>
  </si>
  <si>
    <t>Кромка H1176 ST37 0,4*19 мм Дуб Галифакс белый (200 м бухта) Egger</t>
  </si>
  <si>
    <t>Кромка H1176 ST37 0,4*23 мм Дуб Галифакс белый (200 м бухта) Egger</t>
  </si>
  <si>
    <t>Кромка H1176 ST37 0,4*28 мм Дуб Галифакс белый (200 м бухта) Egger</t>
  </si>
  <si>
    <t>Кромка H1176 ST37 0,8*19 мм Дуб Галифакс белый (75 м бухта) Egger</t>
  </si>
  <si>
    <t>Кромка H1176 ST37 0,8*23 мм Дуб Галифакс белый (75 м бухта) Egger</t>
  </si>
  <si>
    <t>Кромка H1176 ST37 0,8*28 мм Дуб Галифакс белый (75 м бухта) Egger</t>
  </si>
  <si>
    <t>Кромка H1176 ST37 2,0*19 мм Дуб Галифакс белый (75 м бухта) Egger</t>
  </si>
  <si>
    <t>Кромка H1176 ST37 2,0*23 мм Дуб Галифакс белый (75 м бухта) Egger</t>
  </si>
  <si>
    <t>Кромка H1176 ST37 2,0*28 мм Дуб Галифакс белый (75 м бухта) Egger</t>
  </si>
  <si>
    <t>Кромка H1176 ST37 2,0*35 мм Дуб Галифакс белый (75 м бухта) Egger</t>
  </si>
  <si>
    <t>Кромка H1180 ST37 0,4*19 мм Дуб Галифакс натуральный (200 м бухта) Egger</t>
  </si>
  <si>
    <t>Кромка H1180 ST37 0,4*23 мм Дуб Галифакс натуральный (200 м бухта) Egger</t>
  </si>
  <si>
    <t>Кромка H1180 ST37 0,4*28 мм Дуб Галифакс натуральный (200 м бухта) Egger</t>
  </si>
  <si>
    <t>Кромка H1180 ST37 0,8*19 мм Дуб Галифакс натуральный (75 м бухта) Egger</t>
  </si>
  <si>
    <t>Кромка H1180 ST37 0,8*23 мм Дуб Галифакс натуральный (75 м бухта) Egger</t>
  </si>
  <si>
    <t>Кромка H1180 ST37 0,8*28 мм Дуб Галифакс натуральный (75 м бухта) Egger</t>
  </si>
  <si>
    <t>Кромка H1180 ST37 0,8*35 мм Дуб Галифакс натуральный (75 м бухта) Egger</t>
  </si>
  <si>
    <t>Кромка H1180 ST37 2,0*19 мм Дуб Галифакс натуральный (75 м бухта) Egger</t>
  </si>
  <si>
    <t>Кромка H1180 ST37 2,0*23 мм Дуб Галифакс натуральный (75 м бухта) Egger</t>
  </si>
  <si>
    <t>Кромка H1180 ST37 2,0*28 мм Дуб Галифакс натуральный (75 м бухта) Egger</t>
  </si>
  <si>
    <t>Кромка H1180 ST37 2,0*35 мм Дуб Галифакс натуральный (75 м бухта) Egger</t>
  </si>
  <si>
    <t>Кромка H1180 ST37 2,0*43 мм Дуб Галифакс натуральный (75 м бухта) Egger</t>
  </si>
  <si>
    <t>Кромка H1181 ST37 0,4*19 мм Дуб Галифакс табак (200 м бухта) Egger</t>
  </si>
  <si>
    <t>Кромка H1181 ST37 0,4*23 мм Дуб Галифакс табак (200 м бухта) Egger</t>
  </si>
  <si>
    <t>Кромка H1181 ST37 0,4*28 мм Дуб Галифакс табак (200 м бухта) Egger</t>
  </si>
  <si>
    <t>Кромка H1181 ST37 0,8*19 мм Дуб Галифакс табак (75 м бухта) Egger</t>
  </si>
  <si>
    <t>Кромка H1181 ST37 0,8*23 мм Дуб Галифакс табак (75 м бухта) Egger</t>
  </si>
  <si>
    <t>Кромка H1181 ST37 2,0*19 мм Дуб Галифакс табак (75 м бухта) Egger</t>
  </si>
  <si>
    <t>Кромка H1181 ST37 2,0*23 мм Дуб Галифакс табак (75 м бухта) Egger</t>
  </si>
  <si>
    <t>Кромка H1181 ST37 2,0*28 мм Дуб Галифакс табак (75 м бухта) Egger</t>
  </si>
  <si>
    <t>Кромка H1181 ST37 2,0*35 мм Дуб Галифакс табак (75 м бухта) Egger</t>
  </si>
  <si>
    <t>Кромка H1186 TM37 1,0*23 мм Дуб Гаронна темно-коричневый (75 м бухта) Egger</t>
  </si>
  <si>
    <t>Под ЛДСП PS</t>
  </si>
  <si>
    <t>H1186</t>
  </si>
  <si>
    <t>Дуб Гаронна темно-коричневый</t>
  </si>
  <si>
    <t>TM37</t>
  </si>
  <si>
    <t>Кромка H1199 ST12 0,4*19 мм Дуб термо черно-коричневый (200 м бухта) Egger</t>
  </si>
  <si>
    <t>Кромка H1199 ST12 0,4*28 мм Дуб термо черно-коричневый (200 м бухта) Egger</t>
  </si>
  <si>
    <t>Кромка H1199 ST12 0,8*19 мм Дуб термо черно-коричневый (75 м бухта) Egger</t>
  </si>
  <si>
    <t>Кромка H1199 ST12 2,0*19 мм Дуб термо черно-коричневый (75 м бухта) Egger</t>
  </si>
  <si>
    <t>Кромка H1199 ST12 2,0*28 мм Дуб термо черно-коричневый (75 м бухта) Egger</t>
  </si>
  <si>
    <t>Кромка H1199 ST12 2,0*35 мм Дуб термо черно-коричневый (75 м бухта) Egger</t>
  </si>
  <si>
    <t>Кромка H1250 ST36 0,4*19 мм Ясень Наварра (200 м бухта) Egger</t>
  </si>
  <si>
    <t>Кромка H1250 ST36 0,4*23 мм Ясень Наварра (200 м бухта) Egger</t>
  </si>
  <si>
    <t>Кромка H1250 ST36 0,4*28 мм Ясень Наварра (200 м бухта) Egger</t>
  </si>
  <si>
    <t>Кромка H1250 ST36 0,8*19 мм Ясень Наварра (75 м бухта) Egger</t>
  </si>
  <si>
    <t>Кромка H1250 ST36 0,8*23 мм Ясень Наварра (75 м бухта) Egger</t>
  </si>
  <si>
    <t>Кромка H1250 ST36 0,8*28 мм Ясень Наварра (75 м бухта) Egger</t>
  </si>
  <si>
    <t>Кромка H1250 ST36 2,0*19 мм Ясень Наварра (75 м бухта) Egger</t>
  </si>
  <si>
    <t>Кромка H1250 ST36 2,0*23 мм Ясень Наварра (75 м бухта) Egger</t>
  </si>
  <si>
    <t>Кромка H1250 ST36 2,0*28 мм Ясень Наварра (75 м бухта) Egger</t>
  </si>
  <si>
    <t>Кромка H1250 ST36 2,0*35 мм Ясень Наварра (75 м бухта) Egger</t>
  </si>
  <si>
    <t>Кромка H1250 ST36 2,0*43 мм Ясень Наварра (75 м бухта) Egger</t>
  </si>
  <si>
    <t>Кромка H1251 ST19 0,4*19 мм Робиния Брэнсон натуральная коричневая (200 м бухта) Egger</t>
  </si>
  <si>
    <t>H1251</t>
  </si>
  <si>
    <t>Робиния Брэнсон натуральная коричневая</t>
  </si>
  <si>
    <t>Кромка H1251 ST19 0,4*23 мм Робиния Брэнсон натуральная коричневая (200 м бухта) Egger</t>
  </si>
  <si>
    <t>Кромка H1251 ST19 0,4*28 мм Робиния Брэнсон натуральная коричневая (200 м бухта) Egger</t>
  </si>
  <si>
    <t>Кромка H1251 ST19 0,8*19 мм Робиния Брэнсон натуральная коричневая (75 м бухта) Egger</t>
  </si>
  <si>
    <t>Кромка H1251 ST19 0,8*23 мм Робиния Брэнсон натуральная коричневая (75 м бухта) Egger</t>
  </si>
  <si>
    <t>Кромка H1251 ST19 2,0*19 мм Робиния Брэнсон натуральная коричневая (75 м бухта) Egger</t>
  </si>
  <si>
    <t>Кромка H1251 ST19 2,0*23 мм Робиния Брэнсон натуральная коричневая (75 м бухта) Egger</t>
  </si>
  <si>
    <t>Кромка H1251 ST19 2,0*28 мм Робиния Брэнсон натуральная коричневая (75 м бухта) Egger</t>
  </si>
  <si>
    <t>Кромка H1251 ST19 2,0*35 мм Робиния Брэнсон натуральная коричневая (75 м бухта) Egger</t>
  </si>
  <si>
    <t>Кромка H1253 ST19 0,4*19 мм Робиния Брэнсон трюфель коричневый (200 м бухта) Egger</t>
  </si>
  <si>
    <t>H1253</t>
  </si>
  <si>
    <t>Робиния Брэнсон трюфель коричневый</t>
  </si>
  <si>
    <t>Кромка H1253 ST19 0,4*23 мм Робиния Брэнсон трюфель коричневый (200 м бухта) Egger</t>
  </si>
  <si>
    <t>Кромка H1253 ST19 0,8*19 мм Робиния Брэнсон трюфель коричневый (75 м бухта) Egger</t>
  </si>
  <si>
    <t>Кромка H1253 ST19 0,8*23 мм Робиния Брэнсон трюфель коричневый (75 м бухта) Egger</t>
  </si>
  <si>
    <t>Кромка H1253 ST19 2,0*19 мм Робиния Брэнсон трюфель коричневый (75 м бухта) Egger</t>
  </si>
  <si>
    <t>Кромка H1253 ST19 2,0*23 мм Робиния Брэнсон трюфель коричневый (75 м бухта) Egger</t>
  </si>
  <si>
    <t>Кромка H1253 ST19 2,0*35 мм Робиния Брэнсон трюфель коричневый (75 м бухта) Egger</t>
  </si>
  <si>
    <t>Кромка H1277 ST9 0,4*19 мм Акация Лэйклэнд светлая (200 м бухта) Egger</t>
  </si>
  <si>
    <t>Кромка H1277 ST9 0,4*23 мм Акация Лэйклэнд светлая (200 м бухта) Egger</t>
  </si>
  <si>
    <t>Кромка H1277 ST9 0,4*28 мм Акация Лэйклэнд светлая (200 м бухта) Egger</t>
  </si>
  <si>
    <t>Кромка H1277 ST9 0,8*19 мм Акация Лэйклэнд светлая (75 м бухта) Egger</t>
  </si>
  <si>
    <t>Кромка H1277 ST9 0,8*23 мм Акация Лэйклэнд светлая (75 м бухта) Egger</t>
  </si>
  <si>
    <t>Кромка H1277 ST9 0,8*28 мм Акация Лэйклэнд светлая (75 м бухта) Egger</t>
  </si>
  <si>
    <t>Кромка H1277 ST9 2,0*19 мм Акация Лэйклэнд светлая (75 м бухта) Egger</t>
  </si>
  <si>
    <t>Кромка H1277 ST9 2,0*23 мм Акация Лэйклэнд светлая (75 м бухта) Egger</t>
  </si>
  <si>
    <t>Кромка H1277 ST9 2,0*28 мм Акация Лэйклэнд светлая (75 м бухта) Egger</t>
  </si>
  <si>
    <t>Кромка H1277 ST9 2,0*35 мм Акация Лэйклэнд светлая (75 м бухта) Egger</t>
  </si>
  <si>
    <t>Кромка H1277 ST9 2,0*43 мм Акация Лэйклэнд светлая (75 м бухта) Egger</t>
  </si>
  <si>
    <t>Кромка H1312 ST10 0,4*19 мм Дуб Уайт-Ривер песочно-бежевый (200 м бухта) Egger</t>
  </si>
  <si>
    <t>H1312</t>
  </si>
  <si>
    <t>Дуб Уайт-Ривер песочно-бежевый</t>
  </si>
  <si>
    <t>Кромка H1312 ST10 0,4*28 мм Дуб Уайт-Ривер песочно-бежевый (200 м бухта) Egger</t>
  </si>
  <si>
    <t>Кромка H1312 ST10 0,8*19 мм Дуб Уайт-Ривер песочно-бежевый (75 м бухта) Egger</t>
  </si>
  <si>
    <t>Кромка H1312 ST10 2,0*19 мм Дуб Уайт-Ривер песочно-бежевый (75 м бухта) Egger</t>
  </si>
  <si>
    <t>Кромка H1312 ST10 2,0*28 мм Дуб Уайт-Ривер песочно-бежевый (75 м бухта) Egger</t>
  </si>
  <si>
    <t>Кромка H1312 ST10 2,0*35 мм Дуб Уайт-Ривер песочно-бежевый (75 м бухта) Egger</t>
  </si>
  <si>
    <t>Кромка H1313 ST10 0,4*19 мм Дуб Уайт-Ривер серо-коричневый (200 м бухта) Egger</t>
  </si>
  <si>
    <t>H1313</t>
  </si>
  <si>
    <t>Дуб Уайт-Ривер серо-коричневый</t>
  </si>
  <si>
    <t>Кромка H1313 ST10 0,4*28 мм Дуб Уайт-Ривер серо-коричневый (200 м бухта) Egger</t>
  </si>
  <si>
    <t>Кромка H1313 ST10 0,8*19 мм Дуб Уайт-Ривер серо-коричневый (75 м бухта) Egger</t>
  </si>
  <si>
    <t>Кромка H1313 ST10 2,0*19 мм Дуб Уайт-Ривер серо-коричневый (75 м бухта) Egger</t>
  </si>
  <si>
    <t>Кромка H1313 ST10 2,0*28 мм Дуб Уайт-Ривер серо-коричневый (75 м бухта) Egger</t>
  </si>
  <si>
    <t>Кромка H1313 ST10 2,0*35 мм Дуб Уайт-Ривер серо-коричневый (75 м бухта) Egger</t>
  </si>
  <si>
    <t>Кромка H1318 ST10 0,4*19 мм Дикий дуб натуральный (200 м бухта) Egger</t>
  </si>
  <si>
    <t>H1318</t>
  </si>
  <si>
    <t>Дикий дуб натуральный</t>
  </si>
  <si>
    <t>Кромка H1318 ST10 0,4*28 мм Дикий дуб натуральный (200 м бухта) Egger</t>
  </si>
  <si>
    <t>Кромка H1318 ST10 0,8*19 мм Дикий дуб натуральный (75 м бухта) Egger</t>
  </si>
  <si>
    <t>Кромка H1318 ST10 2,0*19 мм Дикий дуб натуральный (75 м бухта) Egger</t>
  </si>
  <si>
    <t>Кромка H1318 ST10 2,0*28 мм Дикий дуб натуральный (75 м бухта) Egger</t>
  </si>
  <si>
    <t>Кромка H1318 ST10 2,0*35 мм Дикий дуб натуральный (75 м бухта) Egger</t>
  </si>
  <si>
    <t>Кромка H1330 ST10 0,4*19 мм Дуб Санта-Фе винтаж (200 м бухта) Egger</t>
  </si>
  <si>
    <t>H1330</t>
  </si>
  <si>
    <t>Дуб Санта-Фе винтаж</t>
  </si>
  <si>
    <t>Кромка H1330 ST10 0,4*28 мм Дуб Санта-Фе винтаж (200 м бухта) Egger</t>
  </si>
  <si>
    <t>Кромка H1330 ST10 0,8*19 мм Дуб Санта-Фе винтаж (75 м бухта) Egger</t>
  </si>
  <si>
    <t>Кромка H1330 ST10 2,0*19 мм Дуб Санта-Фе винтаж (75 м бухта) Egger</t>
  </si>
  <si>
    <t>Кромка H1330 ST10 2,0*28 мм Дуб Санта-Фе винтаж (75 м бухта) Egger</t>
  </si>
  <si>
    <t>Кромка H1330 ST10 2,0*35 мм Дуб Санта-Фе винтаж (75 м бухта) Egger</t>
  </si>
  <si>
    <t>Кромка H1334 ST9 0,4*19 мм Дуб Сорано натуральный светлый (200 м бухта) Egger</t>
  </si>
  <si>
    <t>Кромка H1334 ST9 0,4*23 мм Дуб Сорано натуральный светлый (200 м бухта) Egger</t>
  </si>
  <si>
    <t>Кромка H1334 ST9 0,4*28 мм Дуб Сорано натуральный светлый (200 м бухта) Egger</t>
  </si>
  <si>
    <t>Кромка H1334 ST9 0,8*19 мм Дуб Сорано натуральный светлый (75 м бухта) Egger</t>
  </si>
  <si>
    <t>Кромка H1334 ST9 0,8*23 мм Дуб Сорано натуральный светлый (75 м бухта) Egger</t>
  </si>
  <si>
    <t>Кромка H1334 ST9 0,8*28 мм Дуб Сорано натуральный светлый (75 м бухта) Egger</t>
  </si>
  <si>
    <t>Кромка H1334 ST9 2,0*19 мм Дуб Сорано натуральный светлый (75 м бухта) Egger</t>
  </si>
  <si>
    <t>Кромка H1334 ST9 2,0*23 мм Дуб Сорано натуральный светлый (75 м бухта) Egger</t>
  </si>
  <si>
    <t>Кромка H1334 ST9 2,0*28 мм Дуб Сорано натуральный светлый (75 м бухта) Egger</t>
  </si>
  <si>
    <t>Кромка H1334 ST9 2,0*35 мм Дуб Сорано натуральный светлый (75 м бухта) Egger</t>
  </si>
  <si>
    <t>Кромка H1334 ST9 2,0*43 мм Дуб Сорано натуральный светлый (75 м бухта) Egger</t>
  </si>
  <si>
    <t>Кромка H1344 ST32 0,4*19 мм Дуб Шерман коньяк коричневый (200 м бухта) Egger</t>
  </si>
  <si>
    <t>H1344</t>
  </si>
  <si>
    <t>Дуб Шерман коньяк коричневый</t>
  </si>
  <si>
    <t>ST32</t>
  </si>
  <si>
    <t>Кромка H1344 ST32 0,4*23 мм Дуб Шерман коньяк коричневый (200 м бухта) Egger</t>
  </si>
  <si>
    <t>Кромка H1344 ST32 0,4*28 мм Дуб Шерман коньяк коричневый (200 м бухта) Egger</t>
  </si>
  <si>
    <t>Кромка H1344 ST32 0,8*19 мм Дуб Шерман коньяк коричневый (75 м бухта) Egger</t>
  </si>
  <si>
    <t>Кромка H1344 ST32 0,8*23 мм Дуб Шерман коньяк коричневый (75 м бухта) Egger</t>
  </si>
  <si>
    <t>Кромка H1344 ST32 2,0*19 мм Дуб Шерман коньяк коричневый (75 м бухта) Egger</t>
  </si>
  <si>
    <t>Кромка H1344 ST32 2,0*23 мм Дуб Шерман коньяк коричневый (75 м бухта) Egger</t>
  </si>
  <si>
    <t>Кромка H1344 ST32 2,0*28 мм Дуб Шерман коньяк коричневый (75 м бухта) Egger</t>
  </si>
  <si>
    <t>Кромка H1344 ST32 2,0*35 мм Дуб Шерман коньяк коричневый (75 м бухта) Egger</t>
  </si>
  <si>
    <t>Кромка H1345 ST32 0,4*19 мм Дуб Шерман серый (200 м бухта) Egger</t>
  </si>
  <si>
    <t>H1345</t>
  </si>
  <si>
    <t>Дуб Шерман серый</t>
  </si>
  <si>
    <t>Кромка H1345 ST32 0,4*28 мм Дуб Шерман серый (200 м бухта) Egger</t>
  </si>
  <si>
    <t>Кромка H1345 ST32 0,8*19 мм Дуб Шерман серый (75 м бухта) Egger</t>
  </si>
  <si>
    <t>Кромка H1345 ST32 2,0*19 мм Дуб Шерман серый (75 м бухта) Egger</t>
  </si>
  <si>
    <t>Кромка H1345 ST32 2,0*28 мм Дуб Шерман серый (75 м бухта) Egger</t>
  </si>
  <si>
    <t>Кромка H1345 ST32 2,0*35 мм Дуб Шерман серый (75 м бухта) Egger</t>
  </si>
  <si>
    <t>Кромка H1345 ST32 2,0*43 мм Дуб Шерман серый (75 м бухта) Egger</t>
  </si>
  <si>
    <t>Кромка H1346 ST32 0,4*19 мм Дуб Шерман антрацит (200 м бухта) Egger</t>
  </si>
  <si>
    <t>H1346</t>
  </si>
  <si>
    <t>Дуб Шерман антрацит</t>
  </si>
  <si>
    <t>Кромка H1346 ST32 0,4*28 мм Дуб Шерман антрацит (200 м бухта) Egger</t>
  </si>
  <si>
    <t>Кромка H1346 ST32 0,8*19 мм Дуб Шерман антрацит (75 м бухта) Egger</t>
  </si>
  <si>
    <t>Кромка H1346 ST32 2,0*19 мм Дуб Шерман антрацит (75 м бухта) Egger</t>
  </si>
  <si>
    <t>Кромка H1346 ST32 2,0*28 мм Дуб Шерман антрацит (75 м бухта) Egger</t>
  </si>
  <si>
    <t>Кромка H1346 ST32 2,0*35 мм Дуб Шерман антрацит (75 м бухта) Egger</t>
  </si>
  <si>
    <t>Кромка H1387/Н3342 ST10 0,4*28 мм Дуб Денвер графит (200 м бухта) Egger</t>
  </si>
  <si>
    <t>Кромка H1387/Н3342 ST10 2,0*19 мм Дуб Денвер графит (75 м бухта) Egger</t>
  </si>
  <si>
    <t>Кромка H1387/Н3342 ST10 2,0*28 мм Дуб Денвер графит (75 м бухта) Egger</t>
  </si>
  <si>
    <t>Кромка H1387/Н3342 ST10 2,0*35 мм Дуб Денвер графит (75 м бухта) Egger</t>
  </si>
  <si>
    <t>Кромка H1399 ST10 0,4*19 мм Дуб Денвер трюфель (200 м бухта) Egger</t>
  </si>
  <si>
    <t>Кромка H1399 ST10 0,4*23 мм Дуб Денвер трюфель (200 м бухта) Egger</t>
  </si>
  <si>
    <t>Кромка H1399 ST10 0,4*28 мм Дуб Денвер трюфель (200 м бухта) Egger</t>
  </si>
  <si>
    <t>Кромка H1399 ST10 0,8*19 мм Дуб Денвер трюфель (75 м бухта) Egger</t>
  </si>
  <si>
    <t>Кромка H1399 ST10 0,8*23 мм Дуб Денвер трюфель (75 м бухта) Egger</t>
  </si>
  <si>
    <t>Кромка H1399 ST10 2,0*19 мм Дуб Денвер трюфель (75 м бухта) Egger</t>
  </si>
  <si>
    <t>Кромка H1399 ST10 2,0*23 мм Дуб Денвер трюфель (75 м бухта) Egger</t>
  </si>
  <si>
    <t>Кромка H1399 ST10 2,0*28 мм Дуб Денвер трюфель (75 м бухта) Egger</t>
  </si>
  <si>
    <t>Кромка H1399 ST10 2,0*35 мм Дуб Денвер трюфель (75 м бухта) Egger</t>
  </si>
  <si>
    <t>Кромка H1401 ST22 0,4*19 мм Сосна Касцина (200 м бухта) Egger</t>
  </si>
  <si>
    <t>Кромка H1401 ST22 0,4*23 мм Сосна Касцина (200 м бухта) Egger</t>
  </si>
  <si>
    <t>Кромка H1401 ST22 0,4*28 мм Сосна Касцина (200 м бухта) Egger</t>
  </si>
  <si>
    <t>Кромка H1401 ST22 0,8*19 мм Сосна Касцина (75 м бухта) Egger</t>
  </si>
  <si>
    <t>Кромка H1401 ST22 0,8*23 мм Сосна Касцина (75 м бухта) Egger</t>
  </si>
  <si>
    <t>Кромка H1401 ST22 2,0*19 мм Сосна Касцина (75 м бухта) Egger</t>
  </si>
  <si>
    <t>Кромка H1401 ST22 2,0*23 мм Сосна Касцина (75 м бухта) Egger</t>
  </si>
  <si>
    <t>Кромка H1401 ST22 2,0*28 мм Сосна Касцина (75 м бухта) Egger</t>
  </si>
  <si>
    <t>Кромка H1401 ST22 2,0*35 мм Сосна Касцина (75 м бухта) Egger</t>
  </si>
  <si>
    <t>Кромка H1486 ST36 0,4*19 мм Сосна Пасадена (200 м бухта) Egger</t>
  </si>
  <si>
    <t>Кромка H1486 ST36 0,4*23 мм Сосна Пасадена (200 м бухта) Egger</t>
  </si>
  <si>
    <t>Кромка H1486 ST36 0,4*28 мм Сосна Пасадена (200 м бухта) Egger</t>
  </si>
  <si>
    <t>Кромка H1486 ST36 0,8*19 мм Сосна Пасадена (75 м бухта) Egger</t>
  </si>
  <si>
    <t>Кромка H1486 ST36 0,8*23 мм Сосна Пасадена (75 м бухта) Egger</t>
  </si>
  <si>
    <t>Кромка H1486 ST36 0,8*28 мм Сосна Пасадена (75 м бухта) Egger</t>
  </si>
  <si>
    <t>Кромка H1486 ST36 2,0*19 мм Сосна Пасадена (75 м бухта) Egger</t>
  </si>
  <si>
    <t>Кромка H1486 ST36 2,0*23 мм Сосна Пасадена (75 м бухта) Egger</t>
  </si>
  <si>
    <t>Кромка H1486 ST36 2,0*28 мм Сосна Пасадена (75 м бухта) Egger</t>
  </si>
  <si>
    <t>Кромка H1486 ST36 2,0*35 мм Сосна Пасадена (75 м бухта) Egger</t>
  </si>
  <si>
    <t>Кромка H1487 ST22 0,4*19 мм Пихта Брамберг (200 м бухта) Egger</t>
  </si>
  <si>
    <t>Кромка H1487 ST22 0,4*28 мм Пихта Брамберг (200 м бухта) Egger</t>
  </si>
  <si>
    <t>Кромка H1487 ST22 0,8*19 мм Пихта Брамберг (75 м бухта) Egger</t>
  </si>
  <si>
    <t>Кромка H1487 ST22 0,8*28 мм Пихта Брамберг (75 м бухта) Egger</t>
  </si>
  <si>
    <t>Кромка H1487 ST22 2,0*19 мм Пихта Брамберг (75 м бухта) Egger</t>
  </si>
  <si>
    <t>Кромка H1487 ST22 2,0*28 мм Пихта Брамберг (75 м бухта) Egger</t>
  </si>
  <si>
    <t>Кромка H1487 ST22 2,0*35 мм Пихта Брамберг (75 м бухта) Egger</t>
  </si>
  <si>
    <t>Кромка H1511 ST15 0,4*19 мм Бук Бавария (200 м бухта) Egger</t>
  </si>
  <si>
    <t>Кромка H1511 ST15 0,4*28 мм Бук Бавария (200 м бухта) Egger</t>
  </si>
  <si>
    <t>Кромка H1511 ST15 2,0*19 мм Бук Бавария (75 м бухта) Egger</t>
  </si>
  <si>
    <t>Кромка H1511 ST15 2,0*28 мм Бук Бавария (75 м бухта) Egger</t>
  </si>
  <si>
    <t>Кромка H1511 ST15 2,0*35 мм Бук Бавария (75 м бухта) Egger</t>
  </si>
  <si>
    <t>Кромка H1511 ST15 2,0*43 мм Бук Бавария (75 м бухта) Egger</t>
  </si>
  <si>
    <t>Кромка H1582 ST15 0,4*19 мм Бук Эльмау (200 м бухта) Egger</t>
  </si>
  <si>
    <t>Кромка H1582 ST15 0,4*28 мм Бук Эльмау (200 м бухта) Egger</t>
  </si>
  <si>
    <t>Кромка H1582 ST15 0,8*19 мм Бук Эльмау (75 м бухта) Egger</t>
  </si>
  <si>
    <t>Кромка H1582 ST15 2,0*19 мм Бук Эльмау (75 м бухта) Egger</t>
  </si>
  <si>
    <t>Кромка H1582 ST15 2,0*28 мм Бук Эльмау (75 м бухта) Egger</t>
  </si>
  <si>
    <t>Кромка H1582 ST15 2,0*35 мм Бук Эльмау (75 м бухта) Egger</t>
  </si>
  <si>
    <t>Кромка H1615 ST9 0,4*19 мм Вишня Верона (200 м бухта) Egger</t>
  </si>
  <si>
    <t>Кромка H1615 ST9 0,4*28 мм Вишня Верона (200 м бухта) Egger</t>
  </si>
  <si>
    <t>Кромка H1615 ST9 0,8*19 мм Вишня Верона (75 м бухта) Egger</t>
  </si>
  <si>
    <t>Кромка H1615 ST9 0,8*28 мм Вишня Верона (75 м бухта) Egger</t>
  </si>
  <si>
    <t>Кромка H1615 ST9 2,0*19 мм Вишня Верона (75 м бухта) Egger</t>
  </si>
  <si>
    <t>Кромка H1615 ST9 2,0*28 мм Вишня Верона (75 м бухта) Egger</t>
  </si>
  <si>
    <t>Кромка H1615 ST9 2,0*35 мм Вишня Верона (75 м бухта) Egger</t>
  </si>
  <si>
    <t>Кромка H1636 ST12 0,4*19 мм Вишня Локарно (200 м бухта) Egger</t>
  </si>
  <si>
    <t>Кромка H1636 ST12 0,4*28 мм Вишня Локарно (200 м бухта) Egger</t>
  </si>
  <si>
    <t>Кромка H1636 ST12 0,8*19 мм Вишня Локарно (75 м бухта) Egger</t>
  </si>
  <si>
    <t>Кромка H1636 ST12 0,8*28 мм Вишня Локарно (75 м бухта) Egger</t>
  </si>
  <si>
    <t>Кромка H1636 ST12 2,0*19 мм Вишня Локарно (75 м бухта) Egger</t>
  </si>
  <si>
    <t>Кромка H1636 ST12 2,0*28 мм Вишня Локарно (75 м бухта) Egger</t>
  </si>
  <si>
    <t>Кромка H1636 ST12 2,0*35 мм Вишня Локарно (75 м бухта) Egger</t>
  </si>
  <si>
    <t>Кромка H1710 ST10 0,4*19 мм Каштан Кентукки песочный (200 м бухта) Egger</t>
  </si>
  <si>
    <t>H1710</t>
  </si>
  <si>
    <t>Каштан Кентукки песочный</t>
  </si>
  <si>
    <t>Кромка H1710 ST10 0,4*28 мм Каштан Кентукки песочный (200 м бухта) Egger</t>
  </si>
  <si>
    <t>Кромка H1710 ST10 0,8*19 мм Каштан Кентукки песочный (75 м бухта) Egger</t>
  </si>
  <si>
    <t>Кромка H1710 ST10 2,0*19 мм Каштан Кентукки песочный (75 м бухта) Egger</t>
  </si>
  <si>
    <t>Кромка H1710 ST10 2,0*28 мм Каштан Кентукки песочный (75 м бухта) Egger</t>
  </si>
  <si>
    <t>Кромка H1710 ST10 2,0*35 мм Каштан Кентукки песочный (75 м бухта) Egger</t>
  </si>
  <si>
    <t>Кромка H1714 ST19 0,4*19 мм Орех Линкольн (200 м бухта) Egger</t>
  </si>
  <si>
    <t>H1714</t>
  </si>
  <si>
    <t>Орех Линкольн</t>
  </si>
  <si>
    <t>Кромка H1714 ST19 0,4*23 мм Орех Линкольн (200 м бухта) Egger</t>
  </si>
  <si>
    <t>Кромка H1714 ST19 0,4*28 мм Орех Линкольн (200 м бухта) Egger</t>
  </si>
  <si>
    <t>Кромка H1714 ST19 0,8*19 мм Орех Линкольн (75 м бухта) Egger</t>
  </si>
  <si>
    <t>Кромка H1714 ST19 0,8*23 мм Орех Линкольн (75 м бухта) Egger</t>
  </si>
  <si>
    <t>Кромка H1714 ST19 2,0*19 мм Орех Линкольн (75 м бухта) Egger</t>
  </si>
  <si>
    <t>Кромка H1714 ST19 2,0*23 мм Орех Линкольн (75 м бухта) Egger</t>
  </si>
  <si>
    <t>Кромка H1714 ST19 2,0*28 мм Орех Линкольн (75 м бухта) Egger</t>
  </si>
  <si>
    <t>Кромка H1714 ST19 2,0*35 мм Орех Линкольн (75 м бухта) Egger</t>
  </si>
  <si>
    <t>Кромка H1733 ST9 0,4*19 мм Береза Майнау (200 м бухта) Egger</t>
  </si>
  <si>
    <t>Кромка H1733 ST9 0,4*28 мм Береза Майнау (200 м бухта) Egger</t>
  </si>
  <si>
    <t>Кромка H1733 ST9 0,8*19 мм Береза Майнау (75 м бухта) Egger</t>
  </si>
  <si>
    <t>Кромка H1733 ST9 2,0*19 мм Береза Майнау (75 м бухта) Egger</t>
  </si>
  <si>
    <t>Кромка H1733 ST9 2,0*28 мм Береза Майнау (75 м бухта) Egger</t>
  </si>
  <si>
    <t>Кромка H1733 ST9 2,0*35 мм Береза Майнау (75 м бухта) Egger</t>
  </si>
  <si>
    <t>Кромка H1733 ST9 2,0*43 мм Береза Майнау (75 м бухта) Egger</t>
  </si>
  <si>
    <t>Кромка H1760 TM28 1,0*23 мм Каштан благородный серый (75 м бухта) Egger</t>
  </si>
  <si>
    <t>H1760</t>
  </si>
  <si>
    <t>Каштан благородный серый</t>
  </si>
  <si>
    <t>TM28</t>
  </si>
  <si>
    <t>Кромка H3012 ST22 0,4*19 мм Кокоболо натуральный (200 м бухта) Egger</t>
  </si>
  <si>
    <t>Кромка H3012 ST22 0,4*28 мм Кокоболо натуральный (200 м бухта) Egger</t>
  </si>
  <si>
    <t>Кромка H3012 ST22 0,8*19 мм Кокоболо натуральный (75 м бухта) Egger</t>
  </si>
  <si>
    <t>Кромка H3012 ST22 2,0*19 мм Кокоболо натуральный (75 м бухта) Egger</t>
  </si>
  <si>
    <t>Кромка H3012 ST22 2,0*28 мм Кокоболо натуральный (75 м бухта) Egger</t>
  </si>
  <si>
    <t>Кромка H3012 ST22 2,0*35 мм Кокоболо натуральный (75 м бухта) Egger</t>
  </si>
  <si>
    <t>Кромка H3058 ST22 0,4*19 мм Венге Мали (200 м бухта) Egger</t>
  </si>
  <si>
    <t>Кромка H3058 ST22 0,4*23 мм Венге Мали (200 м бухта) Egger</t>
  </si>
  <si>
    <t>Кромка H3058 ST22 0,4*28 мм Венге Мали (200 м бухта) Egger</t>
  </si>
  <si>
    <t>Кромка H3058 ST22 0,8*19 мм Венге Мали (75 м бухта) Egger</t>
  </si>
  <si>
    <t>Кромка H3058 ST22 0,8*23 мм Венге Мали (75 м бухта) Egger</t>
  </si>
  <si>
    <t>Кромка H3058 ST22 2,0*19 мм Венге Мали (75 м бухта) Egger</t>
  </si>
  <si>
    <t>Кромка H3058 ST22 2,0*23 мм Венге Мали (75 м бухта) Egger</t>
  </si>
  <si>
    <t>Кромка H3058 ST22 2,0*28 мм Венге Мали (75 м бухта) Egger</t>
  </si>
  <si>
    <t>Кромка H3058 ST22 2,0*35 мм Венге Мали (75 м бухта) Egger</t>
  </si>
  <si>
    <t>Кромка H3090 ST22 0,4*19 мм Древесина Шорвуд (200 м бухта) Egger</t>
  </si>
  <si>
    <t>Кромка H3090 ST22 0,4*28 мм Древесина Шорвуд (200 м бухта) Egger</t>
  </si>
  <si>
    <t>Кромка H3090 ST22 0,8*19 мм Древесина Шорвуд (75 м бухта) Egger</t>
  </si>
  <si>
    <t>Кромка H3090 ST22 0,8*28 мм Древесина Шорвуд (75 м бухта) Egger</t>
  </si>
  <si>
    <t>Кромка H3090 ST22 2,0*19 мм Древесина Шорвуд (75 м бухта) Egger</t>
  </si>
  <si>
    <t>Кромка H3090 ST22 2,0*28 мм Древесина Шорвуд (75 м бухта) Egger</t>
  </si>
  <si>
    <t>Кромка H3090 ST22 2,0*35 мм Древесина Шорвуд (75 м бухта) Egger</t>
  </si>
  <si>
    <t>Кромка H3131 ST12 0,4*19 мм Дуб Давос натуральный (200 м бухта) Egger</t>
  </si>
  <si>
    <t>Кромка H3131 ST12 0,4*28 мм Дуб Давос натуральный (200 м бухта) Egger</t>
  </si>
  <si>
    <t>Кромка H3131 ST12 0,8*19 мм Дуб Давос натуральный (75 м бухта) Egger</t>
  </si>
  <si>
    <t>Кромка H3131 ST12 2,0*19 мм Дуб Давос натуральный (75 м бухта) Egger</t>
  </si>
  <si>
    <t>Кромка H3131 ST12 2,0*28 мм Дуб Давос натуральный (75 м бухта) Egger</t>
  </si>
  <si>
    <t>Кромка H3131 ST12 2,0*35 мм Дуб Давос натуральный (75 м бухта) Egger</t>
  </si>
  <si>
    <t>Кромка H3133 ST12 0,4*19 мм Дуб Давос трюфель (200 м бухта) Egger</t>
  </si>
  <si>
    <t>Кромка H3133 ST12 0,4*23 мм Дуб Давос трюфель (200 м бухта) Egger</t>
  </si>
  <si>
    <t>Кромка H3133 ST12 0,4*28 мм Дуб Давос трюфель (200 м бухта) Egger</t>
  </si>
  <si>
    <t>Кромка H3133 ST12 0,8*19 мм Дуб Давос трюфель (75 м бухта) Egger</t>
  </si>
  <si>
    <t>Кромка H3133 ST12 0,8*23 мм Дуб Давос трюфель (75 м бухта) Egger</t>
  </si>
  <si>
    <t>Кромка H3133 ST12 2,0*19 мм Дуб Давос трюфель (75 м бухта) Egger</t>
  </si>
  <si>
    <t>Кромка H3133 ST12 2,0*23 мм Дуб Давос трюфель (75 м бухта) Egger</t>
  </si>
  <si>
    <t>Кромка H3133 ST12 2,0*28 мм Дуб Давос трюфель (75 м бухта) Egger</t>
  </si>
  <si>
    <t>Кромка H3133 ST12 2,0*35 мм Дуб Давос трюфель (75 м бухта) Egger</t>
  </si>
  <si>
    <t>Кромка H3133 ST12 2,0*43 мм Дуб Давос трюфель (75 м бухта) Egger</t>
  </si>
  <si>
    <t>Кромка H3146 ST19 0,4*19 мм Дуб Лоренцо бежево-серый (200 м бухта) Egger</t>
  </si>
  <si>
    <t>H3146</t>
  </si>
  <si>
    <t>Дуб Лоренцо бежево-серый</t>
  </si>
  <si>
    <t>Кромка H3146 ST19 0,4*23 мм Дуб Лоренцо бежево-серый (200 м бухта) Egger</t>
  </si>
  <si>
    <t>Кромка H3146 ST19 0,4*28 мм Дуб Лоренцо бежево-серый (200 м бухта) Egger</t>
  </si>
  <si>
    <t>Кромка H3146 ST19 0,8*19 мм Дуб Лоренцо бежево-серый (75 м бухта) Egger</t>
  </si>
  <si>
    <t>Кромка H3146 ST19 0,8*23 мм Дуб Лоренцо бежево-серый (75 м бухта) Egger</t>
  </si>
  <si>
    <t>Кромка H3146 ST19 2,0*19 мм Дуб Лоренцо бежево-серый (75 м бухта) Egger</t>
  </si>
  <si>
    <t>Кромка H3146 ST19 2,0*23 мм Дуб Лоренцо бежево-серый (75 м бухта) Egger</t>
  </si>
  <si>
    <t>Кромка H3146 ST19 2,0*28 мм Дуб Лоренцо бежево-серый (75 м бухта) Egger</t>
  </si>
  <si>
    <t>Кромка H3146 ST19 2,0*35 мм Дуб Лоренцо бежево-серый (75 м бухта) Egger</t>
  </si>
  <si>
    <t>Кромка H3149 TM37 1,0*23 мм Дуб Рифьяно дымчатый (75 м бухта) Egger</t>
  </si>
  <si>
    <t>H3149</t>
  </si>
  <si>
    <t>Дуб Рифьяно дымчатый</t>
  </si>
  <si>
    <t>Кромка H3154 ST36 0,4*19 мм Дуб Чарльстон темно-коричневый (200 м бухта) Egger</t>
  </si>
  <si>
    <t>Кромка H3154 ST36 0,4*23 мм Дуб Чарльстон темно-коричневый (200 м бухта) Egger</t>
  </si>
  <si>
    <t>Кромка H3154 ST36 0,4*28 мм Дуб Чарльстон темно-коричневый (200 м бухта) Egger</t>
  </si>
  <si>
    <t>Кромка H3154 ST36 0,8*19 мм Дуб Чарльстон темно-коричневый (75 м бухта) Egger</t>
  </si>
  <si>
    <t>Кромка H3154 ST36 0,8*23 мм Дуб Чарльстон темно-коричневый (75 м бухта) Egger</t>
  </si>
  <si>
    <t>Кромка H3154 ST36 2,0*19 мм Дуб Чарльстон темно-коричневый (75 м бухта) Egger</t>
  </si>
  <si>
    <t>Кромка H3154 ST36 2,0*23 мм Дуб Чарльстон темно-коричневый (75 м бухта) Egger</t>
  </si>
  <si>
    <t>Кромка H3154 ST36 2,0*28 мм Дуб Чарльстон темно-коричневый (75 м бухта) Egger</t>
  </si>
  <si>
    <t>Кромка H3154 ST36 2,0*35 мм Дуб Чарльстон темно-коричневый (75 м бухта) Egger</t>
  </si>
  <si>
    <t>Кромка H3154 ST36 2,0*43 мм Дуб Чарльстон темно-коричневый (75 м бухта) Egger</t>
  </si>
  <si>
    <t>Кромка H3156 ST12 0,4*19 мм Дуб Корбридж серый (200 м бухта) Egger</t>
  </si>
  <si>
    <t>Кромка H3156 ST12 0,4*23 мм Дуб Корбридж серый (200 м бухта) Egger</t>
  </si>
  <si>
    <t>Кромка H3156 ST12 0,4*28 мм Дуб Корбридж серый (200 м бухта) Egger</t>
  </si>
  <si>
    <t>Кромка H3156 ST12 0,8*19 мм Дуб Корбридж серый (75 м бухта) Egger</t>
  </si>
  <si>
    <t>Кромка H3156 ST12 0,8*23 мм Дуб Корбридж серый (75 м бухта) Egger</t>
  </si>
  <si>
    <t>Кромка H3156 ST12 0,8*28 мм Дуб Корбридж серый (75 м бухта) Egger</t>
  </si>
  <si>
    <t>Кромка H3156 ST12 2,0*19 мм Дуб Корбридж серый (75 м бухта) Egger</t>
  </si>
  <si>
    <t>Кромка H3156 ST12 2,0*23 мм Дуб Корбридж серый (75 м бухта) Egger</t>
  </si>
  <si>
    <t>Кромка H3156 ST12 2,0*28 мм Дуб Корбридж серый (75 м бухта) Egger</t>
  </si>
  <si>
    <t>Кромка H3156 ST12 2,0*35 мм Дуб Корбридж серый (75 м бухта) Egger</t>
  </si>
  <si>
    <t>Кромка H3157 ST12 0,4*19 мм Дуб Винченца (200 м бухта) Egger</t>
  </si>
  <si>
    <t>Кромка H3157 ST12 0,4*23 мм Дуб Винченца (200 м бухта) Egger</t>
  </si>
  <si>
    <t>Кромка H3157 ST12 0,4*28 мм Дуб Винченца (200 м бухта) Egger</t>
  </si>
  <si>
    <t>Кромка H3157 ST12 0,8*19 мм Дуб Винченца (75 м бухта) Egger</t>
  </si>
  <si>
    <t>Кромка H3157 ST12 0,8*23 мм Дуб Винченца (75 м бухта) Egger</t>
  </si>
  <si>
    <t>Кромка H3157 ST12 2,0*19 мм Дуб Винченца (75 м бухта) Egger</t>
  </si>
  <si>
    <t>Кромка H3157 ST12 2,0*23 мм Дуб Винченца (75 м бухта) Egger</t>
  </si>
  <si>
    <t>Кромка H3157 ST12 2,0*28 мм Дуб Винченца (75 м бухта) Egger</t>
  </si>
  <si>
    <t>Кромка H3170 ST12 0,4*19 мм Дуб Кендал натуральный (200 м бухта) Egger</t>
  </si>
  <si>
    <t>Кромка H3170 ST12 0,4*23 мм Дуб Кендал натуральный (200 м бухта) Egger</t>
  </si>
  <si>
    <t>Кромка H3170 ST12 0,4*28 мм Дуб Кендал натуральный (200 м бухта) Egger</t>
  </si>
  <si>
    <t>Кромка H3170 ST12 0,8*19 мм Дуб Кендал натуральный (75 м бухта) Egger</t>
  </si>
  <si>
    <t>Кромка H3170 ST12 0,8*23 мм Дуб Кендал натуральный (75 м бухта) Egger</t>
  </si>
  <si>
    <t>Кромка H3170 ST12 2,0*19 мм Дуб Кендал натуральный (75 м бухта) Egger</t>
  </si>
  <si>
    <t>Кромка H3170 ST12 2,0*23 мм Дуб Кендал натуральный (75 м бухта) Egger</t>
  </si>
  <si>
    <t>Кромка H3170 ST12 2,0*28 мм Дуб Кендал натуральный (75 м бухта) Egger</t>
  </si>
  <si>
    <t>Кромка H3170 ST12 2,0*35 мм Дуб Кендал натуральный (75 м бухта) Egger</t>
  </si>
  <si>
    <t>Кромка H3176 ST37 0,4*19 мм Дуб Галифакс олово (200 м бухта) Egger</t>
  </si>
  <si>
    <t>H3176</t>
  </si>
  <si>
    <t>Дуб Галифакс олово</t>
  </si>
  <si>
    <t>Кромка H3176 ST37 0,4*28 мм Дуб Галифакс олово (200 м бухта) Egger</t>
  </si>
  <si>
    <t>Кромка H3176 ST37 0,8*19 мм Дуб Галифакс олово (75 м бухта) Egger</t>
  </si>
  <si>
    <t>Кромка H3176 ST37 2,0*19 мм Дуб Галифакс олово (75 м бухта) Egger</t>
  </si>
  <si>
    <t>Кромка H3176 ST37 2,0*28 мм Дуб Галифакс олово (75 м бухта) Egger</t>
  </si>
  <si>
    <t>Кромка H3176 ST37 2,0*35 мм Дуб Галифакс олово (75 м бухта) Egger</t>
  </si>
  <si>
    <t>Кромка H3180 TM37 1,0*23 мм Дуб Галифакс коричневый (75 м бухта) Egger</t>
  </si>
  <si>
    <t>H3180</t>
  </si>
  <si>
    <t>Дуб Галифакс коричневый</t>
  </si>
  <si>
    <t>Кромка H3190 ST19 0,4*19 мм Металлик Файнлайн антрацит (200 м бухта) Egger</t>
  </si>
  <si>
    <t>H3190</t>
  </si>
  <si>
    <t>Металлик Файнлайн антрацит</t>
  </si>
  <si>
    <t>Кромка H3190 ST19 0,4*23 мм Металлик Файнлайн антрацит (200 м бухта) Egger</t>
  </si>
  <si>
    <t>Кромка H3190 ST19 0,4*28 мм Металлик Файнлайн антрацит (200 м бухта) Egger</t>
  </si>
  <si>
    <t>Кромка H3190 ST19 0,8*19 мм Металлик Файнлайн антрацит (75 м бухта) Egger</t>
  </si>
  <si>
    <t>Кромка H3190 ST19 0,8*23 мм Металлик Файнлайн антрацит (75 м бухта) Egger</t>
  </si>
  <si>
    <t>Кромка H3190 ST19 2,0*19 мм Металлик Файнлайн антрацит (75 м бухта) Egger</t>
  </si>
  <si>
    <t>Кромка H3190 ST19 2,0*23 мм Металлик Файнлайн антрацит (75 м бухта) Egger</t>
  </si>
  <si>
    <t>Кромка H3190 ST19 2,0*28 мм Металлик Файнлайн антрацит (75 м бухта) Egger</t>
  </si>
  <si>
    <t>Кромка H3190 ST19 2,0*35 мм Металлик Файнлайн антрацит (75 м бухта) Egger</t>
  </si>
  <si>
    <t>Кромка H3192 ST19 0,4*19 мм Металлик Файнлайн коричневый (200 м бухта) Egger</t>
  </si>
  <si>
    <t>H3192</t>
  </si>
  <si>
    <t>Металлик Файнлайн коричневый</t>
  </si>
  <si>
    <t>Кромка H3192 ST19 0,4*23 мм Металлик Файнлайн коричневый (200 м бухта) Egger</t>
  </si>
  <si>
    <t>Кромка H3192 ST19 0,4*28 мм Металлик Файнлайн коричневый (200 м бухта) Egger</t>
  </si>
  <si>
    <t>Кромка H3192 ST19 0,8*19 мм Металлик Файнлайн коричневый (75 м бухта) Egger</t>
  </si>
  <si>
    <t>Кромка H3192 ST19 0,8*23 мм Металлик Файнлайн коричневый (75 м бухта) Egger</t>
  </si>
  <si>
    <t>Кромка H3192 ST19 2,0*19 мм Металлик Файнлайн коричневый (75 м бухта) Egger</t>
  </si>
  <si>
    <t>Кромка H3192 ST19 2,0*23 мм Металлик Файнлайн коричневый (75 м бухта) Egger</t>
  </si>
  <si>
    <t>Кромка H3192 ST19 2,0*28 мм Металлик Файнлайн коричневый (75 м бухта) Egger</t>
  </si>
  <si>
    <t>Кромка H3192 ST19 2,0*35 мм Металлик Файнлайн коричневый (75 м бухта) Egger</t>
  </si>
  <si>
    <t>Кромка H3303 ST10 0,4*19 мм Дуб Гамильтон натуральный (200 м бухта) Egger</t>
  </si>
  <si>
    <t>Кромка H3303 ST10 0,4*23 мм Дуб Гамильтон натуральный (200 м бухта) Egger</t>
  </si>
  <si>
    <t>Кромка H3303 ST10 0,4*28 мм Дуб Гамильтон натуральный (200 м бухта) Egger</t>
  </si>
  <si>
    <t>Кромка H3303 ST10 0,8*19 мм Дуб Гамильтон натуральный (75 м бухта) Egger</t>
  </si>
  <si>
    <t>Кромка H3303 ST10 0,8*23 мм Дуб Гамильтон натуральный (75 м бухта) Egger</t>
  </si>
  <si>
    <t>Кромка H3303 ST10 2,0*19 мм Дуб Гамильтон натуральный (75 м бухта) Egger</t>
  </si>
  <si>
    <t>Кромка H3303 ST10 2,0*23 мм Дуб Гамильтон натуральный (75 м бухта) Egger</t>
  </si>
  <si>
    <t>Кромка H3303 ST10 2,0*28 мм Дуб Гамильтон натуральный (75 м бухта) Egger</t>
  </si>
  <si>
    <t>Кромка H3303 ST10 2,0*35 мм Дуб Гамильтон натуральный (75 м бухта) Egger</t>
  </si>
  <si>
    <t>Кромка H3309 ST28 0,4*19 мм Дуб Гладстоун песочный (200 м бухта) Egger</t>
  </si>
  <si>
    <t>Кромка H3309 ST28 0,4*23 мм Дуб Гладстоун песочный (200 м бухта) Egger</t>
  </si>
  <si>
    <t>Кромка H3309 ST28 0,4*28 мм Дуб Гладстоун песочный (200 м бухта) Egger</t>
  </si>
  <si>
    <t>Кромка H3309 ST28 0,8*19 мм Дуб Гладстоун песочный (75 м бухта) Egger</t>
  </si>
  <si>
    <t>Кромка H3309 ST28 0,8*23 мм Дуб Гладстоун песочный (75 м бухта) Egger</t>
  </si>
  <si>
    <t>Кромка H3309 ST28 0,8*28 мм Дуб Гладстоун песочный (75 м бухта) Egger</t>
  </si>
  <si>
    <t>Кромка H3309 ST28 2,0*19 мм Дуб Гладстоун песочный (75 м бухта) Egger</t>
  </si>
  <si>
    <t>Кромка H3309 ST28 2,0*23 мм Дуб Гладстоун песочный (75 м бухта) Egger</t>
  </si>
  <si>
    <t>Кромка H3309 ST28 2,0*28 мм Дуб Гладстоун песочный (75 м бухта) Egger</t>
  </si>
  <si>
    <t>Кромка H3309 ST28 2,0*35 мм Дуб Гладстоун песочный (75 м бухта) Egger</t>
  </si>
  <si>
    <t>Кромка H3311 TM28 1,0*23 мм Дуб Кунео беленый (75 м бухта) Egger</t>
  </si>
  <si>
    <t>H3311</t>
  </si>
  <si>
    <t>Дуб Кунео беленый</t>
  </si>
  <si>
    <t>Кромка H3325 ST28 0,4*19 мм Дуб Гладстоун табак (200 м бухта) Egger</t>
  </si>
  <si>
    <t>Кромка H3325 ST28 0,4*23 мм Дуб Гладстоун табак (200 м бухта) Egger</t>
  </si>
  <si>
    <t>Кромка H3325 ST28 0,8*19 мм Дуб Гладстоун табак (75 м бухта) Egger</t>
  </si>
  <si>
    <t>Кромка H3325 ST28 0,8*23 мм Дуб Гладстоун табак (75 м бухта) Egger</t>
  </si>
  <si>
    <t>Кромка H3325 ST28 2,0*19 мм Дуб Гладстоун табак (75 м бухта) Egger</t>
  </si>
  <si>
    <t>Кромка H3325 ST28 2,0*23 мм Дуб Гладстоун табак (75 м бухта) Egger</t>
  </si>
  <si>
    <t>Кромка H3325 ST28 2,0*28 мм Дуб Гладстоун табак (75 м бухта) Egger</t>
  </si>
  <si>
    <t>Кромка H3325 ST28 2,0*35 мм Дуб Гладстоун табак (75 м бухта) Egger</t>
  </si>
  <si>
    <t>Кромка H3326 ST28 0,4*19 мм Дуб Гладстоун серо-бежевый (200 м бухта) Egger</t>
  </si>
  <si>
    <t>H3326</t>
  </si>
  <si>
    <t>Дуб Гладстоун серо-бежевый</t>
  </si>
  <si>
    <t>Кромка H3326 ST28 0,4*28 мм Дуб Гладстоун серо-бежевый (200 м бухта) Egger</t>
  </si>
  <si>
    <t>Кромка H3326 ST28 0,8*19 мм Дуб Гладстоун серо-бежевый (75 м бухта) Egger</t>
  </si>
  <si>
    <t>Кромка H3326 ST28 0,8*28 мм Дуб Гладстоун серо-бежевый (75 м бухта) Egger</t>
  </si>
  <si>
    <t>Кромка H3326 ST28 2,0*19 мм Дуб Гладстоун серо-бежевый (75 м бухта) Egger</t>
  </si>
  <si>
    <t>Кромка H3326 ST28 2,0*28 мм Дуб Гладстоун серо-бежевый (75 м бухта) Egger</t>
  </si>
  <si>
    <t>Кромка H3326 ST28 2,0*35 мм Дуб Гладстоун серо-бежевый (75 м бухта) Egger</t>
  </si>
  <si>
    <t>Кромка H3330 ST36 0,4*19 мм Дуб Антор натуральный (200 м бухта) Egger</t>
  </si>
  <si>
    <t>H3330</t>
  </si>
  <si>
    <t>Дуб Антор натуральный</t>
  </si>
  <si>
    <t>Кромка H3330 ST36 0,4*23 мм Дуб Антор натуральный (200 м бухта) Egger</t>
  </si>
  <si>
    <t>Кромка H3330 ST36 0,4*28 мм Дуб Антор натуральный (200 м бухта) Egger</t>
  </si>
  <si>
    <t>Кромка H3330 ST36 0,8*19 мм Дуб Антор натуральный (75 м бухта) Egger</t>
  </si>
  <si>
    <t>Кромка H3330 ST36 0,8*23 мм Дуб Антор натуральный (75 м бухта) Egger</t>
  </si>
  <si>
    <t>Кромка H3330 ST36 2,0*19 мм Дуб Антор натуральный (75 м бухта) Egger</t>
  </si>
  <si>
    <t>Кромка H3330 ST36 2,0*23 мм Дуб Антор натуральный (75 м бухта) Egger</t>
  </si>
  <si>
    <t>Кромка H3330 ST36 2,0*28 мм Дуб Антор натуральный (75 м бухта) Egger</t>
  </si>
  <si>
    <t>Кромка H3330 ST36 2,0*35 мм Дуб Антор натуральный (75 м бухта) Egger</t>
  </si>
  <si>
    <t>Кромка H3331 ST10 0,4*19 мм Дуб Небраска натуральный (200 м бухта) Egger</t>
  </si>
  <si>
    <t>Кромка H3331 ST10 0,4*23 мм Дуб Небраска натуральный (200 м бухта) Egger</t>
  </si>
  <si>
    <t>Кромка H3331 ST10 0,4*28 мм Дуб Небраска натуральный (200 м бухта) Egger</t>
  </si>
  <si>
    <t>Кромка H3331 ST10 0,8*19 мм Дуб Небраска натуральный (75 м бухта) Egger</t>
  </si>
  <si>
    <t>Кромка H3331 ST10 0,8*23 мм Дуб Небраска натуральный (75 м бухта) Egger</t>
  </si>
  <si>
    <t>Кромка H3331 ST10 0,8*28 мм Дуб Небраска натуральный (75 м бухта) Egger</t>
  </si>
  <si>
    <t>Кромка H3331 ST10 2,0*19 мм Дуб Небраска натуральный (75 м бухта) Egger</t>
  </si>
  <si>
    <t>Кромка H3331 ST10 2,0*23 мм Дуб Небраска натуральный (75 м бухта) Egger</t>
  </si>
  <si>
    <t>Кромка H3331 ST10 2,0*28 мм Дуб Небраска натуральный (75 м бухта) Egger</t>
  </si>
  <si>
    <t>Кромка H3331 ST10 2,0*35 мм Дуб Небраска натуральный (75 м бухта) Egger</t>
  </si>
  <si>
    <t>Кромка H3331 ST10 2,0*43 мм Дуб Небраска натуральный (75 м бухта) Egger</t>
  </si>
  <si>
    <t>Кромка H3395 ST12 0,4*19 мм Дуб Корбридж натуральный (200 м бухта) Egger</t>
  </si>
  <si>
    <t>Кромка H3395 ST12 0,4*23 мм Дуб Корбридж натуральный (200 м бухта) Egger</t>
  </si>
  <si>
    <t>Кромка H3395 ST12 0,4*28 мм Дуб Корбридж натуральный (200 м бухта) Egger</t>
  </si>
  <si>
    <t>Кромка H3395 ST12 0,8*19 мм Дуб Корбридж натуральный (75 м бухта) Egger</t>
  </si>
  <si>
    <t>Кромка H3395 ST12 0,8*23 мм Дуб Корбридж натуральный (75 м бухта) Egger</t>
  </si>
  <si>
    <t>Кромка H3395 ST12 0,8*28 мм Дуб Корбридж натуральный (75 м бухта) Egger</t>
  </si>
  <si>
    <t>Кромка H3395 ST12 2,0*19 мм Дуб Корбридж натуральный (75 м бухта) Egger</t>
  </si>
  <si>
    <t>Кромка H3395 ST12 2,0*23 мм Дуб Корбридж натуральный (75 м бухта) Egger</t>
  </si>
  <si>
    <t>Кромка H3395 ST12 2,0*28 мм Дуб Корбридж натуральный (75 м бухта) Egger</t>
  </si>
  <si>
    <t>Кромка H3395 ST12 2,0*35 мм Дуб Корбридж натуральный (75 м бухта) Egger</t>
  </si>
  <si>
    <t>Кромка H3398 ST12 0,4*19 мм Дуб Кендал коньяк (200 м бухта) Egger</t>
  </si>
  <si>
    <t>Кромка H3398 ST12 0,4*23 мм Дуб Кендал коньяк (200 м бухта) Egger</t>
  </si>
  <si>
    <t>Кромка H3398 ST12 0,4*28 мм Дуб Кендал коньяк (200 м бухта) Egger</t>
  </si>
  <si>
    <t>Кромка H3398 ST12 0,8*19 мм Дуб Кендал коньяк (75 м бухта) Egger</t>
  </si>
  <si>
    <t>Кромка H3398 ST12 0,8*23 мм Дуб Кендал коньяк (75 м бухта) Egger</t>
  </si>
  <si>
    <t>Кромка H3398 ST12 2,0*19 мм Дуб Кендал коньяк (75 м бухта) Egger</t>
  </si>
  <si>
    <t>Кромка H3398 ST12 2,0*23 мм Дуб Кендал коньяк (75 м бухта) Egger</t>
  </si>
  <si>
    <t>Кромка H3398 ST12 2,0*28 мм Дуб Кендал коньяк (75 м бухта) Egger</t>
  </si>
  <si>
    <t>Кромка H3398 ST12 2,0*35 мм Дуб Кендал коньяк (75 м бухта) Egger</t>
  </si>
  <si>
    <t>Кромка H3408 ST38 0,4*19 мм Лиственница горная коричневая термо (200 м бухта) Egger</t>
  </si>
  <si>
    <t>H3408</t>
  </si>
  <si>
    <t>Лиственница горная коричневая термо</t>
  </si>
  <si>
    <t>Кромка H3408 ST38 0,4*23 мм Лиственница горная коричневая термо (200 м бухта) Egger</t>
  </si>
  <si>
    <t>Кромка H3408 ST38 0,4*28 мм Лиственница горная коричневая термо (200 м бухта) Egger</t>
  </si>
  <si>
    <t>Кромка H3408 ST38 0,8*19 мм Лиственница горная коричневая термо (75 м бухта) Egger</t>
  </si>
  <si>
    <t>Кромка H3408 ST38 0,8*23 мм Лиственница горная коричневая термо (75 м бухта) Egger</t>
  </si>
  <si>
    <t>Кромка H3408 ST38 2,0*23 мм Лиственница горная коричневая термо (75 м бухта) Egger</t>
  </si>
  <si>
    <t>Кромка H3408 ST38 2,0*35 мм Лиственница горная коричневая термо (75 м бухта) Egger</t>
  </si>
  <si>
    <t>Кромка H3430 ST22 0,4*19 мм Сосна Аланд белая (200 м бухта) Egger</t>
  </si>
  <si>
    <t>Кромка H3430 ST22 0,4*23 мм Сосна Аланд белая (200 м бухта) Egger</t>
  </si>
  <si>
    <t>Кромка H3430 ST22 0,4*28 мм Сосна Аланд белая (200 м бухта) Egger</t>
  </si>
  <si>
    <t>Кромка H3430 ST22 0,8*19 мм Сосна Аланд белая (75 м бухта) Egger</t>
  </si>
  <si>
    <t>Кромка H3430 ST22 0,8*23 мм Сосна Аланд белая (75 м бухта) Egger</t>
  </si>
  <si>
    <t>Кромка H3430 ST22 2,0*19 мм Сосна Аланд белая (75 м бухта) Egger</t>
  </si>
  <si>
    <t>Кромка H3430 ST22 2,0*23 мм Сосна Аланд белая (75 м бухта) Egger</t>
  </si>
  <si>
    <t>Кромка H3430 ST22 2,0*28 мм Сосна Аланд белая (75 м бухта) Egger</t>
  </si>
  <si>
    <t>Кромка H3430 ST22 2,0*35 мм Сосна Аланд белая (75 м бухта) Egger</t>
  </si>
  <si>
    <t>Кромка H3433 ST22 0,4*19 мм Сосна Аланд полярная (200 м бухта) Egger</t>
  </si>
  <si>
    <t>Кромка H3433 ST22 0,4*23 мм Сосна Аланд полярная (200 м бухта) Egger</t>
  </si>
  <si>
    <t>Кромка H3433 ST22 0,4*28 мм Сосна Аланд полярная (200 м бухта) Egger</t>
  </si>
  <si>
    <t>Кромка H3433 ST22 0,8*19 мм Сосна Аланд полярная (75 м бухта) Egger</t>
  </si>
  <si>
    <t>Кромка H3433 ST22 0,8*23 мм Сосна Аланд полярная (75 м бухта) Egger</t>
  </si>
  <si>
    <t>Кромка H3433 ST22 2,0*19 мм Сосна Аланд полярная (75 м бухта) Egger</t>
  </si>
  <si>
    <t>Кромка H3433 ST22 2,0*23 мм Сосна Аланд полярная (75 м бухта) Egger</t>
  </si>
  <si>
    <t>Кромка H3433 ST22 2,0*28 мм Сосна Аланд полярная (75 м бухта) Egger</t>
  </si>
  <si>
    <t>Кромка H3433 ST22 2,0*35 мм Сосна Аланд полярная (75 м бухта) Egger</t>
  </si>
  <si>
    <t>Кромка H3450 ST22 0,4*19 мм Флитвуд белый (200 м бухта) Egger</t>
  </si>
  <si>
    <t>Кромка H3450 ST22 0,4*23 мм Флитвуд белый (200 м бухта) Egger</t>
  </si>
  <si>
    <t>Кромка H3450 ST22 0,4*28 мм Флитвуд белый (200 м бухта) Egger</t>
  </si>
  <si>
    <t>Кромка H3450 ST22 0,8*19 мм Флитвуд белый (75 м бухта) Egger</t>
  </si>
  <si>
    <t>Кромка H3450 ST22 0,8*23 мм Флитвуд белый (75 м бухта) Egger</t>
  </si>
  <si>
    <t>Кромка H3450 ST22 2,0*19 мм Флитвуд белый (75 м бухта) Egger</t>
  </si>
  <si>
    <t>Кромка H3450 ST22 2,0*23 мм Флитвуд белый (75 м бухта) Egger</t>
  </si>
  <si>
    <t>Кромка H3450 ST22 2,0*28 мм Флитвуд белый (75 м бухта) Egger</t>
  </si>
  <si>
    <t>Кромка H3450 ST22 2,0*35 мм Флитвуд белый (75 м бухта) Egger</t>
  </si>
  <si>
    <t>Кромка H3451 ST22 0,4*19 мм Флитвуд шампань (200 м бухта) Egger</t>
  </si>
  <si>
    <t>Кромка H3451 ST22 0,4*23 мм Флитвуд шампань (200 м бухта) Egger</t>
  </si>
  <si>
    <t>Кромка H3451 ST22 0,4*28 мм Флитвуд шампань (200 м бухта) Egger</t>
  </si>
  <si>
    <t>Кромка H3451 ST22 0,8*19 мм Флитвуд шампань (75 м бухта) Egger</t>
  </si>
  <si>
    <t>Кромка H3451 ST22 0,8*23 мм Флитвуд шампань (75 м бухта) Egger</t>
  </si>
  <si>
    <t>Кромка H3451 ST22 0,8*28 мм Флитвуд шампань (75 м бухта) Egger</t>
  </si>
  <si>
    <t>Кромка H3451 ST22 2,0*19 мм Флитвуд шампань (75 м бухта) Egger</t>
  </si>
  <si>
    <t>Кромка H3451 ST22 2,0*23 мм Флитвуд шампань (75 м бухта) Egger</t>
  </si>
  <si>
    <t>Кромка H3451 ST22 2,0*28 мм Флитвуд шампань (75 м бухта) Egger</t>
  </si>
  <si>
    <t>Кромка H3451 ST22 2,0*35 мм Флитвуд шампань (75 м бухта) Egger</t>
  </si>
  <si>
    <t>Кромка H3453 ST22 0,4*19 мм Флитвуд серая лава (200 м бухта) Egger</t>
  </si>
  <si>
    <t>Кромка H3453 ST22 0,4*23 мм Флитвуд серая лава (200 м бухта) Egger</t>
  </si>
  <si>
    <t>Кромка H3453 ST22 0,4*28 мм Флитвуд серая лава (200 м бухта) Egger</t>
  </si>
  <si>
    <t>Кромка H3453 ST22 0,8*19 мм Флитвуд серая лава (75 м бухта) Egger</t>
  </si>
  <si>
    <t>Кромка H3453 ST22 0,8*23 мм Флитвуд серая лава (75 м бухта) Egger</t>
  </si>
  <si>
    <t>Кромка H3453 ST22 0,8*28 мм Флитвуд серая лава (75 м бухта) Egger</t>
  </si>
  <si>
    <t>Кромка H3453 ST22 2,0*19 мм Флитвуд серая лава (75 м бухта) Egger</t>
  </si>
  <si>
    <t>Кромка H3453 ST22 2,0*23 мм Флитвуд серая лава (75 м бухта) Egger</t>
  </si>
  <si>
    <t>Кромка H3453 ST22 2,0*35 мм Флитвуд серая лава (75 м бухта) Egger</t>
  </si>
  <si>
    <t>Кромка H3700 ST10 0,4*19 мм Орех Пацифик натуральный (200 м бухта) Egger</t>
  </si>
  <si>
    <t>Кромка H3700 ST10 0,4*23 мм Орех Пацифик натуральный (200 м бухта) Egger</t>
  </si>
  <si>
    <t>Кромка H3700 ST10 0,4*28 мм Орех Пацифик натуральный (200 м бухта) Egger</t>
  </si>
  <si>
    <t>Кромка H3700 ST10 0,8*19 мм Орех Пацифик натуральный (75 м бухта) Egger</t>
  </si>
  <si>
    <t>Кромка H3700 ST10 0,8*23 мм Орех Пацифик натуральный (75 м бухта) Egger</t>
  </si>
  <si>
    <t>Кромка H3700 ST10 2,0*19 мм Орех Пацифик натуральный (75 м бухта) Egger</t>
  </si>
  <si>
    <t>Кромка H3700 ST10 2,0*23 мм Орех Пацифик натуральный (75 м бухта) Egger</t>
  </si>
  <si>
    <t>Кромка H3700 ST10 2,0*28 мм Орех Пацифик натуральный (75 м бухта) Egger</t>
  </si>
  <si>
    <t>Кромка H3700 ST10 2,0*35 мм Орех Пацифик натуральный (75 м бухта) Egger</t>
  </si>
  <si>
    <t>Кромка H3702 ST10 0,4*19 мм Орех Пацифик табак (200 м бухта) Egger</t>
  </si>
  <si>
    <t>Кромка H3702 ST10 0,4*23 мм Орех Пацифик табак (200 м бухта) Egger</t>
  </si>
  <si>
    <t>Кромка H3702 ST10 0,4*28 мм Орех Пацифик табак (200 м бухта) Egger</t>
  </si>
  <si>
    <t>Кромка H3702 ST10 0,8*19 мм Орех Пацифик табак (75 м бухта) Egger</t>
  </si>
  <si>
    <t>Кромка H3702 ST10 0,8*23 мм Орех Пацифик табак (75 м бухта) Egger</t>
  </si>
  <si>
    <t>Кромка H3702 ST10 2,0*19 мм Орех Пацифик табак (75 м бухта) Egger</t>
  </si>
  <si>
    <t>Кромка H3702 ST10 2,0*23 мм Орех Пацифик табак (75 м бухта) Egger</t>
  </si>
  <si>
    <t>Кромка H3702 ST10 2,0*28 мм Орех Пацифик табак (75 м бухта) Egger</t>
  </si>
  <si>
    <t>Кромка H3702 ST10 2,0*35 мм Орех Пацифик табак (75 м бухта) Egger</t>
  </si>
  <si>
    <t>Кромка H3710 ST12 0,4*19 мм Орех Карини натуральный (200 м бухта) Egger</t>
  </si>
  <si>
    <t>H3710</t>
  </si>
  <si>
    <t>Орех Карини натуральный</t>
  </si>
  <si>
    <t>Кромка H3710 ST12 0,4*23 мм Орех Карини натуральный (200 м бухта) Egger</t>
  </si>
  <si>
    <t>Кромка H3710 ST12 0,4*28 мм Орех Карини натуральный (200 м бухта) Egger</t>
  </si>
  <si>
    <t>Кромка H3710 ST12 0,8*19 мм Орех Карини натуральный (75 м бухта) Egger</t>
  </si>
  <si>
    <t>Кромка H3710 ST12 0,8*23 мм Орех Карини натуральный (75 м бухта) Egger</t>
  </si>
  <si>
    <t>Кромка H3710 ST12 2,0*19 мм Орех Карини натуральный (75 м бухта) Egger</t>
  </si>
  <si>
    <t>Кромка H3710 ST12 2,0*23 мм Орех Карини натуральный (75 м бухта) Egger</t>
  </si>
  <si>
    <t>Кромка H3710 ST12 2,0*28 мм Орех Карини натуральный (75 м бухта) Egger</t>
  </si>
  <si>
    <t>Кромка H3730 ST10 0,4*19 мм Гикори натуральный (200 м бухта) Egger</t>
  </si>
  <si>
    <t>Кромка H3730 ST10 0,4*23 мм Гикори натуральный (200 м бухта) Egger</t>
  </si>
  <si>
    <t>Кромка H3730 ST10 0,4*28 мм Гикори натуральный (200 м бухта) Egger</t>
  </si>
  <si>
    <t>Кромка H3730 ST10 0,8*19 мм Гикори натуральный (75 м бухта) Egger</t>
  </si>
  <si>
    <t>Кромка H3730 ST10 0,8*23 мм Гикори натуральный (75 м бухта) Egger</t>
  </si>
  <si>
    <t>Кромка H3730 ST10 2,0*19 мм Гикори натуральный (75 м бухта) Egger</t>
  </si>
  <si>
    <t>Кромка H3730 ST10 2,0*23 мм Гикори натуральный (75 м бухта) Egger</t>
  </si>
  <si>
    <t>Кромка H3730 ST10 2,0*28 мм Гикори натуральный (75 м бухта) Egger</t>
  </si>
  <si>
    <t>Кромка H3730 ST10 2,0*35 мм Гикори натуральный (75 м бухта) Egger</t>
  </si>
  <si>
    <t>Кромка H3730 ST10 2,0*43 мм Гикори натуральный (75 м бухта) Egger</t>
  </si>
  <si>
    <t>Кромка H3734 ST9 0,4*19 мм Орех Дижон натуральный (200 м бухта) Egger</t>
  </si>
  <si>
    <t>Кромка H3734 ST9 0,4*23 мм Орех Дижон натуральный (200 м бухта) Egger</t>
  </si>
  <si>
    <t>Кромка H3734 ST9 0,4*28 мм Орех Дижон натуральный (200 м бухта) Egger</t>
  </si>
  <si>
    <t>Кромка H3734 ST9 0,8*19 мм Орех Дижон натуральный (75 м бухта) Egger</t>
  </si>
  <si>
    <t>Кромка H3734 ST9 0,8*23 мм Орех Дижон натуральный (75 м бухта) Egger</t>
  </si>
  <si>
    <t>Кромка H3734 ST9 2,0*19 мм Орех Дижон натуральный (75 м бухта) Egger</t>
  </si>
  <si>
    <t>Кромка H3734 ST9 2,0*23 мм Орех Дижон натуральный (75 м бухта) Egger</t>
  </si>
  <si>
    <t>Кромка H3734 ST9 2,0*28 мм Орех Дижон натуральный (75 м бухта) Egger</t>
  </si>
  <si>
    <t>Кромка H3734 ST9 2,0*35 мм Орех Дижон натуральный (75 м бухта) Egger</t>
  </si>
  <si>
    <t>Кромка H3734 ST9 2,0*43 мм Орех Дижон натуральный (75 м бухта) Egger</t>
  </si>
  <si>
    <t>Кромка H3840 ST9 0,4*19 мм Клен Мандал натуральный (200 м бухта) Egger</t>
  </si>
  <si>
    <t>Кромка H3840 ST9 0,4*28 мм Клен Мандал натуральный (200 м бухта) Egger</t>
  </si>
  <si>
    <t>Кромка H3840 ST9 0,8*19 мм Клен Мандал натуральный (75 м бухта) Egger</t>
  </si>
  <si>
    <t>Кромка H3840 ST9 2,0*19 мм Клен Мандал натуральный (75 м бухта) Egger</t>
  </si>
  <si>
    <t>Кромка H3840 ST9 2,0*28 мм Клен Мандал натуральный (75 м бухта) Egger</t>
  </si>
  <si>
    <t>Кромка H3840 ST9 2,0*35 мм Клен Мандал натуральный (75 м бухта) Egger</t>
  </si>
  <si>
    <t>Кромка H3860 ST9 0,4*19 мм Клен сахарный шампань (200 м бухта) Egger</t>
  </si>
  <si>
    <t>Кромка H3860 ST9 0,4*28 мм Клен сахарный шампань (200 м бухта) Egger</t>
  </si>
  <si>
    <t>Кромка H3860 ST9 0,8*19 мм Клен сахарный шампань (75 м бухта) Egger</t>
  </si>
  <si>
    <t>Кромка H3860 ST9 0,8*28 мм Клен сахарный шампань (75 м бухта) Egger</t>
  </si>
  <si>
    <t>Кромка H3860 ST9 2,0*19 мм Клен сахарный шампань (75 м бухта) Egger</t>
  </si>
  <si>
    <t>Кромка H3860 ST9 2,0*28 мм Клен сахарный шампань (75 м бухта) Egger</t>
  </si>
  <si>
    <t>Кромка H3860 ST9 2,0*35 мм Клен сахарный шампань (75 м бухта) Egger</t>
  </si>
  <si>
    <t>Кромка U104 ST9 0,4*19 мм Алебастр белый (200 м бухта) Egger</t>
  </si>
  <si>
    <t>Однотонные (U группа)</t>
  </si>
  <si>
    <t>Кромка U104 ST9 0,4*23 мм Алебастр белый (200 м бухта) Egger</t>
  </si>
  <si>
    <t>Кромка U104 ST9 0,4*28 мм Алебастр белый (200 м бухта) Egger</t>
  </si>
  <si>
    <t>Кромка U104 ST9 0,8*19 мм Алебастр белый (75 м бухта) Egger</t>
  </si>
  <si>
    <t>Кромка U104 ST9 0,8*23 мм Алебастр белый (75 м бухта) Egger</t>
  </si>
  <si>
    <t>Кромка U104 ST9 2,0*19 мм Алебастр белый (75 м бухта) Egger</t>
  </si>
  <si>
    <t>Кромка U104 ST9 2,0*23 мм Алебастр белый (75 м бухта) Egger</t>
  </si>
  <si>
    <t>Кромка U104 ST9 2,0*28 мм Алебастр белый (75 м бухта) Egger</t>
  </si>
  <si>
    <t>Кромка U104 ST9 2,0*35 мм Алебастр белый (75 м бухта) Egger</t>
  </si>
  <si>
    <t>Кромка U108 ST9 0,4*19 мм Ванильный желтый (200 м бухта) Egger</t>
  </si>
  <si>
    <t>Кромка U108 ST9 0,4*23 мм Ванильный желтый (200 м бухта) Egger</t>
  </si>
  <si>
    <t>Кромка U108 ST9 0,4*28 мм Ванильный желтый (200 м бухта) Egger</t>
  </si>
  <si>
    <t>Кромка U108 ST9 0,8*19 мм Ванильный желтый (75 м бухта) Egger</t>
  </si>
  <si>
    <t>Кромка U108 ST9 0,8*23 мм Ванильный желтый (75 м бухта) Egger</t>
  </si>
  <si>
    <t>Кромка U108 ST9 0,8*28 мм Ванильный желтый (75 м бухта) Egger</t>
  </si>
  <si>
    <t>Кромка U108 ST9 2,0*19 мм Ванильный желтый (75 м бухта) Egger</t>
  </si>
  <si>
    <t>Кромка U108 ST9 2,0*23 мм Ванильный желтый (75 м бухта) Egger</t>
  </si>
  <si>
    <t>Кромка U108 ST9 2,0*28 мм Ванильный желтый (75 м бухта) Egger</t>
  </si>
  <si>
    <t>Кромка U108 ST9 2,0*35 мм Ванильный желтый (75 м бухта) Egger</t>
  </si>
  <si>
    <t>Кромка U113 ST9 0,4*19 мм Коттон бежевый (200 м бухта) Egger</t>
  </si>
  <si>
    <t>Кромка U113 ST9 0,4*23 мм Коттон бежевый (200 м бухта) Egger</t>
  </si>
  <si>
    <t>Кромка U113 ST9 0,4*28 мм Коттон бежевый (200 м бухта) Egger</t>
  </si>
  <si>
    <t>Кромка U113 ST9 0,8*19 мм Коттон бежевый (75 м бухта) Egger</t>
  </si>
  <si>
    <t>Кромка U113 ST9 0,8*23 мм Коттон бежевый (75 м бухта) Egger</t>
  </si>
  <si>
    <t>Кромка U113 ST9 0,8*28 мм Коттон бежевый (75 м бухта) Egger</t>
  </si>
  <si>
    <t>Кромка U113 ST9 2,0*19 мм Коттон бежевый (75 м бухта) Egger</t>
  </si>
  <si>
    <t>Кромка U113 ST9 2,0*23 мм Коттон бежевый (75 м бухта) Egger</t>
  </si>
  <si>
    <t>Кромка U113 ST9 2,0*28 мм Коттон бежевый (75 м бухта) Egger</t>
  </si>
  <si>
    <t>Кромка U113 ST9 2,0*35 мм Коттон бежевый (75 м бухта) Egger</t>
  </si>
  <si>
    <t>Кромка U114 ST9 0,4*19 мм Желтый бриллиант (200 м бухта) Egger</t>
  </si>
  <si>
    <t>U114</t>
  </si>
  <si>
    <t>Желтый бриллиант</t>
  </si>
  <si>
    <t>Кромка U114 ST9 0,8*19 мм Желтый бриллиант (75 м бухта) Egger</t>
  </si>
  <si>
    <t>Кромка U114 ST9 2,0*19 мм Желтый бриллиант (75 м бухта) Egger</t>
  </si>
  <si>
    <t>Кромка U114 ST9 2,0*35 мм Желтый бриллиант (75 м бухта) Egger</t>
  </si>
  <si>
    <t>Кромка U156 ST9 0,4*19 мм Бежевый песок (200 м бухта) Egger</t>
  </si>
  <si>
    <t>Кромка U156 ST9 0,4*23 мм Бежевый песок (200 м бухта) Egger</t>
  </si>
  <si>
    <t>Кромка U156 ST9 0,4*28 мм Бежевый песок (200 м бухта) Egger</t>
  </si>
  <si>
    <t>Кромка U156 ST9 0,8*19 мм Бежевый песок (75 м бухта) Egger</t>
  </si>
  <si>
    <t>Кромка U156 ST9 0,8*23 мм Бежевый песок (75 м бухта) Egger</t>
  </si>
  <si>
    <t>Кромка U156 ST9 0,8*28 мм Бежевый песок (75 м бухта) Egger</t>
  </si>
  <si>
    <t>Кромка U156 ST9 2,0*19 мм Бежевый песок (75 м бухта) Egger</t>
  </si>
  <si>
    <t>Кромка U156 ST9 2,0*23 мм Бежевый песок (75 м бухта) Egger</t>
  </si>
  <si>
    <t>Кромка U156 ST9 2,0*28 мм Бежевый песок (75 м бухта) Egger</t>
  </si>
  <si>
    <t>Кромка U156 ST9 2,0*35 мм Бежевый песок (75 м бухта) Egger</t>
  </si>
  <si>
    <t>Кромка U156 ST9 2,0*43 мм Бежевый песок (75 м бухта) Egger</t>
  </si>
  <si>
    <t>Кромка U200 ST9 0,4*19 мм Бежевый (200 м бухта) Egger</t>
  </si>
  <si>
    <t>Кромка U200 ST9 0,4*23 мм Бежевый (200 м бухта) Egger</t>
  </si>
  <si>
    <t>Кромка U200 ST9 0,4*28 мм Бежевый (200 м бухта) Egger</t>
  </si>
  <si>
    <t>Кромка U200 ST9 0,8*19 мм Бежевый (75 м бухта) Egger</t>
  </si>
  <si>
    <t>Кромка U200 ST9 0,8*23 мм Бежевый (75 м бухта) Egger</t>
  </si>
  <si>
    <t>Кромка U200 ST9 2,0*19 мм Бежевый (75 м бухта) Egger</t>
  </si>
  <si>
    <t>Кромка U200 ST9 2,0*23 мм Бежевый (75 м бухта) Egger</t>
  </si>
  <si>
    <t>Кромка U200 ST9 2,0*28 мм Бежевый (75 м бухта) Egger</t>
  </si>
  <si>
    <t>Кромка U200 ST9 2,0*35 мм Бежевый (75 м бухта) Egger</t>
  </si>
  <si>
    <t>Кромка U201 ST9 0,4*19 мм Серая галька (200 м бухта) Egger</t>
  </si>
  <si>
    <t>Кромка U201 ST9 0,4*23 мм Серая галька (200 м бухта) Egger</t>
  </si>
  <si>
    <t>Кромка U201 ST9 0,8*19 мм Серая галька (75 м бухта) Egger</t>
  </si>
  <si>
    <t>Кромка U201 ST9 0,8*23 мм Серая галька (75 м бухта) Egger</t>
  </si>
  <si>
    <t>Кромка U201 ST9 2,0*19 мм Серая галька (75 м бухта) Egger</t>
  </si>
  <si>
    <t>Кромка U201 ST9 2,0*23 мм Серая галька (75 м бухта) Egger</t>
  </si>
  <si>
    <t>Кромка U201 ST9 2,0*28 мм Серая галька (75 м бухта) Egger</t>
  </si>
  <si>
    <t>Кромка U201 ST9 2,0*35 мм Серая галька (75 м бухта) Egger</t>
  </si>
  <si>
    <t>Кромка U216 ST9 0,4*19 мм Камель бежевый (200 м бухта) Egger</t>
  </si>
  <si>
    <t>U216</t>
  </si>
  <si>
    <t>Камель бежевый</t>
  </si>
  <si>
    <t>Кромка U216 ST9 0,4*23 мм Камель бежевый (200 м бухта) Egger</t>
  </si>
  <si>
    <t>Кромка U216 ST9 0,8*19 мм Камель бежевый (75 м бухта) Egger</t>
  </si>
  <si>
    <t>Кромка U216 ST9 0,8*23 мм Камель бежевый (75 м бухта) Egger</t>
  </si>
  <si>
    <t>Кромка U216 ST9 0,8*28 мм Камель бежевый (75 м бухта) Egger</t>
  </si>
  <si>
    <t>Кромка U216 ST9 2,0*19 мм Камель бежевый (75 м бухта) Egger</t>
  </si>
  <si>
    <t>Кромка U216 ST9 2,0*23 мм Камель бежевый (75 м бухта) Egger</t>
  </si>
  <si>
    <t>Кромка U216 ST9 2,0*35 мм Камель бежевый (75 м бухта) Egger</t>
  </si>
  <si>
    <t>Кромка U222 ST9 0,4*19 мм Крем бежевый (200 м бухта) Egger</t>
  </si>
  <si>
    <t>Кромка U222 ST9 0,4*23 мм Крем бежевый (200 м бухта) Egger</t>
  </si>
  <si>
    <t>Кромка U222 ST9 0,4*28 мм Крем бежевый (200 м бухта) Egger</t>
  </si>
  <si>
    <t>Кромка U222 ST9 0,8*19 мм Крем бежевый (75 м бухта) Egger</t>
  </si>
  <si>
    <t>Кромка U222 ST9 0,8*23 мм Крем бежевый (75 м бухта) Egger</t>
  </si>
  <si>
    <t>Кромка U222 ST9 2,0*19 мм Крем бежевый (75 м бухта) Egger</t>
  </si>
  <si>
    <t>Кромка U222 ST9 2,0*23 мм Крем бежевый (75 м бухта) Egger</t>
  </si>
  <si>
    <t>Кромка U222 ST9 2,0*28 мм Крем бежевый (75 м бухта) Egger</t>
  </si>
  <si>
    <t>Кромка U222 ST9 2,0*35 мм Крем бежевый (75 м бухта) Egger</t>
  </si>
  <si>
    <t>Кромка U311 ST9 0,4*19 мм Бургундский красный (200 м бухта) Egger</t>
  </si>
  <si>
    <t>Кромка U311 ST9 0,8*19 мм Бургундский красный (75 м бухта) Egger</t>
  </si>
  <si>
    <t>Кромка U311 ST9 2,0*19 мм Бургундский красный (75 м бухта) Egger</t>
  </si>
  <si>
    <t>Кромка U321 ST9 0,4*19 мм Красный китайский (200 м бухта) Egger</t>
  </si>
  <si>
    <t>Кромка U321 ST9 0,4*28 мм Красный китайский (200 м бухта) Egger</t>
  </si>
  <si>
    <t>Кромка U321 ST9 0,8*19 мм Красный китайский (75 м бухта) Egger</t>
  </si>
  <si>
    <t>Кромка U321 ST9 2,0*19 мм Красный китайский (75 м бухта) Egger</t>
  </si>
  <si>
    <t>Кромка U321 ST9 2,0*28 мм Красный китайский (75 м бухта) Egger</t>
  </si>
  <si>
    <t>Кромка U321 ST9 2,0*35 мм Красный китайский (75 м бухта) Egger</t>
  </si>
  <si>
    <t>Кромка U323 PG 1,0*23 мм Ярко-красный (75 м бухта) Egger</t>
  </si>
  <si>
    <t>Кромка U325 ST9 0,4*19 мм Розовый антик (200 м бухта) Egger</t>
  </si>
  <si>
    <t>U325</t>
  </si>
  <si>
    <t>Розовый антик</t>
  </si>
  <si>
    <t>Кромка U325 ST9 0,8*19 мм Розовый антик (75 м бухта) Egger</t>
  </si>
  <si>
    <t>Кромка U325 ST9 2,0*19 мм Розовый антик (75 м бухта) Egger</t>
  </si>
  <si>
    <t>Кромка U332 ST9 0,4*19 мм Оранжевый (200 м бухта) Egger</t>
  </si>
  <si>
    <t>Кромка U332 ST9 0,8*19 мм Оранжевый (75 м бухта) Egger</t>
  </si>
  <si>
    <t>Кромка U332 ST9 2,0*19 мм Оранжевый (75 м бухта) Egger</t>
  </si>
  <si>
    <t>Кромка U332 ST9 2,0*35 мм Оранжевый (75 м бухта) Egger</t>
  </si>
  <si>
    <t>Кромка U337 ST9 0,4*19 мм Фуксия розовая (200 м бухта) Egger</t>
  </si>
  <si>
    <t>Кромка U337 ST9 0,8*19 мм Фуксия розовая (75 м бухта) Egger</t>
  </si>
  <si>
    <t>Кромка U337 ST9 2,0*19 мм Фуксия розовая (75 м бухта) Egger</t>
  </si>
  <si>
    <t>Кромка U337 ST9 2,0*35 мм Фуксия розовая (75 м бухта) Egger</t>
  </si>
  <si>
    <t>Кромка U337 ST9 2,0*43 мм Фуксия розовая (25 м бухта) Egger</t>
  </si>
  <si>
    <t>Кромка U337 ST9 2,0*43 мм Фуксия розовая (75 м бухта) Egger</t>
  </si>
  <si>
    <t>U363</t>
  </si>
  <si>
    <t>Фламинго розовый</t>
  </si>
  <si>
    <t>Кромка U363 ST9 2,0*43 мм Фламинго розовый (25 м бухта) Egger</t>
  </si>
  <si>
    <t>Кромка U504 ST9 0,4*19 мм Альпийское озеро (200 м бухта) Egger</t>
  </si>
  <si>
    <t>Кромка U504 ST9 0,8*19 мм Альпийское озеро (75 м бухта) Egger</t>
  </si>
  <si>
    <t>Кромка U504 ST9 2,0*19 мм Альпийское озеро (75 м бухта) Egger</t>
  </si>
  <si>
    <t>Кромка U504 ST9 2,0*28 мм Альпийское озеро (75 м бухта) Egger</t>
  </si>
  <si>
    <t>Кромка U504 ST9 2,0*35 мм Альпийское озеро (75 м бухта) Egger</t>
  </si>
  <si>
    <t>Кромка U525 ST9 0,4*19 мм Делфт голубой (200 м бухта) Egger</t>
  </si>
  <si>
    <t>Кромка U525 ST9 0,4*28 мм Делфт голубой (200 м бухта) Egger</t>
  </si>
  <si>
    <t>Кромка U525 ST9 0,8*19 мм Делфт голубой (75 м бухта) Egger</t>
  </si>
  <si>
    <t>Кромка U525 ST9 2,0*19 мм Делфт голубой (75 м бухта) Egger</t>
  </si>
  <si>
    <t>Кромка U525 ST9 2,0*28 мм Делфт голубой (75 м бухта) Egger</t>
  </si>
  <si>
    <t>Кромка U599 PM 1,0*23 мм Индиго синий (75 м бухта) Egger</t>
  </si>
  <si>
    <t>U599</t>
  </si>
  <si>
    <t>Индиго синий</t>
  </si>
  <si>
    <t>Кромка U626 ST9 0,4*19 мм Зеленый киви (200 м бухта) Egger</t>
  </si>
  <si>
    <t>Кромка U626 ST9 0,8*19 мм Зеленый киви (75 м бухта) Egger</t>
  </si>
  <si>
    <t>Кромка U626 ST9 2,0*19 мм Зеленый киви (75 м бухта) Egger</t>
  </si>
  <si>
    <t>Кромка U626 ST9 2,0*35 мм Зеленый киви (75 м бухта) Egger</t>
  </si>
  <si>
    <t>Кромка U636 ST9 2,0*23 мм Фьерд зеленый (75 м бухта) Egger</t>
  </si>
  <si>
    <t>Кромка U702 PG 1,0*23 мм Кашемир серый (75 м бухта) Egger</t>
  </si>
  <si>
    <t>Кромка U702 PM 1,0*23 мм Кашемир серый (75 м бухта) Egger</t>
  </si>
  <si>
    <t>Кромка U702 ST9 0,4*19 мм Кашемир серый (200 м бухта) Egger</t>
  </si>
  <si>
    <t>Кромка U702 ST9 0,4*23 мм Кашемир серый (200 м бухта) Egger</t>
  </si>
  <si>
    <t>Кромка U702 ST9 0,4*28 мм Кашемир серый (200 м бухта) Egger</t>
  </si>
  <si>
    <t>Кромка U702 ST9 0,8*19 мм Кашемир серый (75 м бухта) Egger</t>
  </si>
  <si>
    <t>Кромка U702 ST9 0,8*23 мм Кашемир серый (75 м бухта) Egger</t>
  </si>
  <si>
    <t>Кромка U702 ST9 0,8*28 мм Кашемир серый (75 м бухта) Egger</t>
  </si>
  <si>
    <t>Кромка U702 ST9 2,0*19 мм Кашемир серый (75 м бухта) Egger</t>
  </si>
  <si>
    <t>Кромка U702 ST9 2,0*23 мм Кашемир серый (75 м бухта) Egger</t>
  </si>
  <si>
    <t>Кромка U702 ST9 2,0*28 мм Кашемир серый (75 м бухта) Egger</t>
  </si>
  <si>
    <t>Кромка U702 ST9 2,0*35 мм Кашемир серый (75 м бухта) Egger</t>
  </si>
  <si>
    <t>Кромка U702 ST9 2,0*43 мм Кашемир серый (75 м бухта) Egger</t>
  </si>
  <si>
    <t>Кромка U707 ST9 0,4*19 мм Шелк серый (200 м бухта) Egger</t>
  </si>
  <si>
    <t>Кромка U707 ST9 0,4*23 мм Шелк серый (200 м бухта) Egger</t>
  </si>
  <si>
    <t>Кромка U707 ST9 0,4*28 мм Шелк серый (200 м бухта) Egger</t>
  </si>
  <si>
    <t>Кромка U707 ST9 0,8*19 мм Шелк серый (75 м бухта) Egger</t>
  </si>
  <si>
    <t>Кромка U707 ST9 0,8*23 мм Шелк серый (75 м бухта) Egger</t>
  </si>
  <si>
    <t>Кромка U707 ST9 2,0*19 мм Шелк серый (75 м бухта) Egger</t>
  </si>
  <si>
    <t>Кромка U707 ST9 2,0*23 мм Шелк серый (75 м бухта) Egger</t>
  </si>
  <si>
    <t>Кромка U707 ST9 2,0*28 мм Шелк серый (75 м бухта) Egger</t>
  </si>
  <si>
    <t>Кромка U707 ST9 2,0*35 мм Шелк серый (75 м бухта) Egger</t>
  </si>
  <si>
    <t>Кромка U707 ST9 2,0*43 мм Шелк серый (75 м бухта) Egger</t>
  </si>
  <si>
    <t>Кромка U708 PG 1,0*23 мм Светло-серый (75 м бухта) Egger</t>
  </si>
  <si>
    <t>Кромка U708 PM 1,0*23 мм Светло-серый (75 м бухта) Egger</t>
  </si>
  <si>
    <t>Кромка U708 ST9 0,4*19 мм Светло-серый (200 м бухта) Egger</t>
  </si>
  <si>
    <t>Кромка U708 ST9 0,4*23 мм Светло-серый (200 м бухта) Egger</t>
  </si>
  <si>
    <t>Кромка U708 ST9 0,4*28 мм Светло-серый (200 м бухта) Egger</t>
  </si>
  <si>
    <t>Кромка U708 ST9 0,8*19 мм Светло-серый (75 м бухта) Egger</t>
  </si>
  <si>
    <t>Кромка U708 ST9 0,8*23 мм Светло-серый (75 м бухта) Egger</t>
  </si>
  <si>
    <t>Кромка U708 ST9 0,8*28 мм Светло-серый (75 м бухта) Egger</t>
  </si>
  <si>
    <t>Кромка U708 ST9 2,0*19 мм Светло-серый (75 м бухта) Egger</t>
  </si>
  <si>
    <t>Кромка U708 ST9 2,0*23 мм Светло-серый (75 м бухта) Egger</t>
  </si>
  <si>
    <t>Кромка U708 ST9 2,0*28 мм Светло-серый (75 м бухта) Egger</t>
  </si>
  <si>
    <t>Кромка U708 ST9 2,0*35 мм Светло-серый (75 м бухта) Egger</t>
  </si>
  <si>
    <t>Кромка U708 ST9 2,0*43 мм Светло-серый (75 м бухта) Egger</t>
  </si>
  <si>
    <t>Кромка U727 PM 1,0*23 мм Серый камень (75 м бухта) Egger</t>
  </si>
  <si>
    <t>Кромка U727 ST9 0,4*19 мм Серый камень (200 м бухта) Egger</t>
  </si>
  <si>
    <t>Кромка U727 ST9 0,4*23 мм Серый камень (200 м бухта) Egger</t>
  </si>
  <si>
    <t>Кромка U727 ST9 0,4*28 мм Серый камень (200 м бухта) Egger</t>
  </si>
  <si>
    <t>Кромка U727 ST9 0,8*19 мм Серый камень (75 м бухта) Egger</t>
  </si>
  <si>
    <t>Кромка U727 ST9 0,8*23 мм Серый камень (75 м бухта) Egger</t>
  </si>
  <si>
    <t>Кромка U727 ST9 2,0*19 мм Серый камень (75 м бухта) Egger</t>
  </si>
  <si>
    <t>Кромка U727 ST9 2,0*23 мм Серый камень (75 м бухта) Egger</t>
  </si>
  <si>
    <t>Кромка U727 ST9 2,0*28 мм Серый камень (75 м бухта) Egger</t>
  </si>
  <si>
    <t>Кромка U727 ST9 2,0*35 мм Серый камень (75 м бухта) Egger</t>
  </si>
  <si>
    <t>Кромка U732 PG 1,0*23 мм Серый пыльный (75 м бухта) Egger</t>
  </si>
  <si>
    <t>Кромка U732 PM 1,0*23 мм Серый пыльный (75 м бухта) Egger</t>
  </si>
  <si>
    <t>Кромка U732 ST9 0,4*19 мм Серый пыльный (200 м бухта) Egger</t>
  </si>
  <si>
    <t>Кромка U732 ST9 0,4*23 мм Серый пыльный (200 м бухта) Egger</t>
  </si>
  <si>
    <t>Кромка U732 ST9 0,4*28 мм Серый пыльный (200 м бухта) Egger</t>
  </si>
  <si>
    <t>Кромка U732 ST9 0,8*19 мм Серый пыльный (75 м бухта) Egger</t>
  </si>
  <si>
    <t>Кромка U732 ST9 0,8*23 мм Серый пыльный (75 м бухта) Egger</t>
  </si>
  <si>
    <t>Кромка U732 ST9 2,0*19 мм Серый пыльный (75 м бухта) Egger</t>
  </si>
  <si>
    <t>Кромка U732 ST9 2,0*23 мм Серый пыльный (75 м бухта) Egger</t>
  </si>
  <si>
    <t>Кромка U732 ST9 2,0*28 мм Серый пыльный (75 м бухта) Egger</t>
  </si>
  <si>
    <t>Кромка U732 ST9 2,0*35 мм Серый пыльный (75 м бухта) Egger</t>
  </si>
  <si>
    <t>Кромка U732 ST9 2,0*43 мм Серый пыльный (75 м бухта) Egger</t>
  </si>
  <si>
    <t>Кромка U741 ST9 0,4*19 мм Лава серая (200 м бухта) Egger</t>
  </si>
  <si>
    <t>Кромка U741 ST9 0,8*19 мм Лава серая (75 м бухта) Egger</t>
  </si>
  <si>
    <t>Кромка U741 ST9 0,8*28 мм Лава серая (75 м бухта) Egger</t>
  </si>
  <si>
    <t>Кромка U741 ST9 2,0*19 мм Лава серая (75 м бухта) Egger</t>
  </si>
  <si>
    <t>Кромка U741 ST9 2,0*35 мм Лава серая (75 м бухта) Egger</t>
  </si>
  <si>
    <t>Кромка U748 ST9 0,4*19 мм Трюфель коричневый (200 м бухта) Egger</t>
  </si>
  <si>
    <t>Кромка U748 ST9 0,4*23 мм Трюфель коричневый (200 м бухта) Egger</t>
  </si>
  <si>
    <t>Кромка U748 ST9 0,4*28 мм Трюфель коричневый (200 м бухта) Egger</t>
  </si>
  <si>
    <t>Кромка U748 ST9 0,8*19 мм Трюфель коричневый (75 м бухта) Egger</t>
  </si>
  <si>
    <t>Кромка U748 ST9 0,8*23 мм Трюфель коричневый (75 м бухта) Egger</t>
  </si>
  <si>
    <t>Кромка U748 ST9 0,8*28 мм Трюфель коричневый (75 м бухта) Egger</t>
  </si>
  <si>
    <t>Кромка U748 ST9 2,0*19 мм Трюфель коричневый (75 м бухта) Egger</t>
  </si>
  <si>
    <t>Кромка U748 ST9 2,0*23 мм Трюфель коричневый (75 м бухта) Egger</t>
  </si>
  <si>
    <t>Кромка U748 ST9 2,0*28 мм Трюфель коричневый (75 м бухта) Egger</t>
  </si>
  <si>
    <t>Кромка U748 ST9 2,0*35 мм Трюфель коричневый (75 м бухта) Egger</t>
  </si>
  <si>
    <t>Кромка U750 ST9 0,4*19 мм Ярко-серый (200 м бухта) Egger</t>
  </si>
  <si>
    <t>Кромка U750 ST9 0,8*19 мм Ярко-серый (75 м бухта) Egger</t>
  </si>
  <si>
    <t>Кромка U750 ST9 2,0*19 мм Ярко-серый (75 м бухта) Egger</t>
  </si>
  <si>
    <t>Кромка U750 ST9 2,0*35 мм Ярко-серый (75 м бухта) Egger</t>
  </si>
  <si>
    <t>Кромка U763 PG 1,0*23 мм Серый перламутровый (75 м бухта) Egger</t>
  </si>
  <si>
    <t>Кромка U763 ST9 0,4*19 мм Серый перламутровый (200 м бухта) Egger</t>
  </si>
  <si>
    <t>Кромка U763 ST9 0,4*23 мм Серый перламутровый (200 м бухта) Egger</t>
  </si>
  <si>
    <t>Кромка U763 ST9 0,4*28 мм Серый перламутровый (200 м бухта) Egger</t>
  </si>
  <si>
    <t>Кромка U763 ST9 0,8*19 мм Серый перламутровый (75 м бухта) Egger</t>
  </si>
  <si>
    <t>Кромка U763 ST9 0,8*23 мм Серый перламутровый (75 м бухта) Egger</t>
  </si>
  <si>
    <t>Кромка U763 ST9 2,0*19 мм Серый перламутровый (75 м бухта) Egger</t>
  </si>
  <si>
    <t>Кромка U763 ST9 2,0*23 мм Серый перламутровый (75 м бухта) Egger</t>
  </si>
  <si>
    <t>Кромка U763 ST9 2,0*28 мм Серый перламутровый (75 м бухта) Egger</t>
  </si>
  <si>
    <t>Кромка U763 ST9 2,0*35 мм Серый перламутровый (75 м бухта) Egger</t>
  </si>
  <si>
    <t>Кромка U767 ST9 0,4*19 мм Кубанит серый (200 м бухта) Egger</t>
  </si>
  <si>
    <t>Кромка U767 ST9 0,8*19 мм Кубанит серый (75 м бухта) Egger</t>
  </si>
  <si>
    <t>Кромка U767 ST9 2,0*19 мм Кубанит серый (75 м бухта) Egger</t>
  </si>
  <si>
    <t>Кромка U767 ST9 2,0*35 мм Кубанит серый (75 м бухта) Egger</t>
  </si>
  <si>
    <t>Кромка U775 ST9 0,4*19 мм Бело-серый (200 м бухта) Egger</t>
  </si>
  <si>
    <t>Кромка U775 ST9 0,8*19 мм Бело-серый (75 м бухта) Egger</t>
  </si>
  <si>
    <t>Кромка U775 ST9 2,0*19 мм Бело-серый (75 м бухта) Egger</t>
  </si>
  <si>
    <t>Кромка U775 ST9 2,0*35 мм Бело-серый (75 м бухта) Egger</t>
  </si>
  <si>
    <t>Кромка U780 ST9 0,4*19 мм Серый монументальный (200 м бухта) Egger</t>
  </si>
  <si>
    <t>U780</t>
  </si>
  <si>
    <t>Серый монументальный</t>
  </si>
  <si>
    <t>Кромка U780 ST9 0,8*19 мм Серый монументальный (75 м бухта) Egger</t>
  </si>
  <si>
    <t>Кромка U780 ST9 2,0*19 мм Серый монументальный (75 м бухта) Egger</t>
  </si>
  <si>
    <t>Кромка U788 ST16 0,4*28 мм Арктика серый (200 м бухта) Egger</t>
  </si>
  <si>
    <t>ST16</t>
  </si>
  <si>
    <t>Кромка U788 ST9 0,4*19 мм Арктика серый (200 м бухта) Egger</t>
  </si>
  <si>
    <t>Кромка U788 ST9 0,4*23 мм Арктика серый (200 м бухта) Egger</t>
  </si>
  <si>
    <t>Кромка U788 ST9 0,4*28 мм Арктика серый (200 м бухта) Egger</t>
  </si>
  <si>
    <t>Кромка U788 ST9 0,8*19 мм Арктика серый (75 м бухта) Egger</t>
  </si>
  <si>
    <t>Кромка U788 ST9 0,8*23 мм Арктика серый (75 м бухта) Egger</t>
  </si>
  <si>
    <t>Кромка U788 ST9 2,0*19 мм Арктика серый (75 м бухта) Egger</t>
  </si>
  <si>
    <t>Кромка U788 ST9 2,0*23 мм Арктика серый (75 м бухта) Egger</t>
  </si>
  <si>
    <t>Кромка U788 ST9 2,0*28 мм Арктика серый (75 м бухта) Egger</t>
  </si>
  <si>
    <t>Кромка U788 ST9 2,0*35 мм Арктика серый (75 м бухта) Egger</t>
  </si>
  <si>
    <t>Кромка U818 ST9 0,4*19 мм Темно-коричневый (200 м бухта) Egger</t>
  </si>
  <si>
    <t>Кромка U818 ST9 0,8*19 мм Темно-коричневый (75 м бухта) Egger</t>
  </si>
  <si>
    <t>Кромка U818 ST9 2,0*19 мм Темно-коричневый (75 м бухта) Egger</t>
  </si>
  <si>
    <t>Кромка U818 ST9 2,0*35 мм Темно-коричневый (75 м бухта) Egger</t>
  </si>
  <si>
    <t>Кромка U899 ST9 0,4*19 мм Нежный черный (200 м бухта) Egger</t>
  </si>
  <si>
    <t>Кромка U899 ST9 0,4*23 мм Нежный черный (200 м бухта) Egger</t>
  </si>
  <si>
    <t>Кромка U899 ST9 0,4*28 мм Нежный черный (200 м бухта) Egger</t>
  </si>
  <si>
    <t>Кромка U899 ST9 0,8*19 мм Нежный черный (75 м бухта) Egger</t>
  </si>
  <si>
    <t>Кромка U899 ST9 0,8*23 мм Нежный черный (75 м бухта) Egger</t>
  </si>
  <si>
    <t>Кромка U899 ST9 2,0*19 мм Нежный черный (75 м бухта) Egger</t>
  </si>
  <si>
    <t>Кромка U899 ST9 2,0*23 мм Нежный черный (75 м бухта) Egger</t>
  </si>
  <si>
    <t>Кромка U899 ST9 2,0*28 мм Нежный черный (75 м бухта) Egger</t>
  </si>
  <si>
    <t>Кромка U899 ST9 2,0*35 мм Нежный черный (75 м бухта) Egger</t>
  </si>
  <si>
    <t>Кромка U899 ST9 2,0*43 мм Нежный черный (75 м бухта) Egger</t>
  </si>
  <si>
    <t>Кромка U960 ST9 0,4*19 мм Оникс серый (200 м бухта) Egger</t>
  </si>
  <si>
    <t>Кромка U960 ST9 0,4*23 мм Оникс серый (200 м бухта) Egger</t>
  </si>
  <si>
    <t>Кромка U960 ST9 0,4*28 мм Оникс серый (200 м бухта) Egger</t>
  </si>
  <si>
    <t>Кромка U960 ST9 0,8*19 мм Оникс серый (75 м бухта) Egger</t>
  </si>
  <si>
    <t>Кромка U960 ST9 0,8*23 мм Оникс серый (75 м бухта) Egger</t>
  </si>
  <si>
    <t>Кромка U960 ST9 2,0*19 мм Оникс серый (75 м бухта) Egger</t>
  </si>
  <si>
    <t>Кромка U960 ST9 2,0*23 мм Оникс серый (75 м бухта) Egger</t>
  </si>
  <si>
    <t>Кромка U960 ST9 2,0*28 мм Оникс серый (75 м бухта) Egger</t>
  </si>
  <si>
    <t>Кромка U960 ST9 2,0*35 мм Оникс серый (75 м бухта) Egger</t>
  </si>
  <si>
    <t>Кромка U961 PM 1,0*23 мм Черный графит (75 м бухта) Egger</t>
  </si>
  <si>
    <t>Кромка U961 ST19 0,8*19 мм Черный графит (75 м бухта) Egger</t>
  </si>
  <si>
    <t>Кромка U961 ST19 2,0*19 мм Черный графит (75 м бухта) Egger</t>
  </si>
  <si>
    <t>Кромка U961 ST2 0,4*19 мм Черный графит (200 м бухта) Egger</t>
  </si>
  <si>
    <t>Кромка U961 ST2 0,4*23 мм Черный графит (200 м бухта) Egger</t>
  </si>
  <si>
    <t>Кромка U961 ST2 0,8*19 мм Черный графит (75 м бухта) Egger</t>
  </si>
  <si>
    <t>Кромка U961 ST2 0,8*23 мм Черный графит (75 м бухта) Egger</t>
  </si>
  <si>
    <t>Кромка U961 ST2 0,8*28 мм Черный графит (75 м бухта) Egger</t>
  </si>
  <si>
    <t>Кромка U961 ST2 0,8*35 мм Черный графит (75 м бухта) Egger</t>
  </si>
  <si>
    <t>Кромка U961 ST2 2,0*19 мм Черный графит (75 м бухта) Egger</t>
  </si>
  <si>
    <t>Кромка U961 ST2 2,0*23 мм Черный графит (75 м бухта) Egger</t>
  </si>
  <si>
    <t>Кромка U961 ST2 2,0*28 мм Черный графит (75 м бухта) Egger</t>
  </si>
  <si>
    <t>Кромка U961 ST2 2,0*35 мм Черный графит (75 м бухта) Egger</t>
  </si>
  <si>
    <t>Кромка U961 ST2 2,0*43 мм Черный графит (75 м бухта) Egger</t>
  </si>
  <si>
    <t>Кромка U963 ST9 0,4*19 мм Диамант серый (200 м бухта) Egger</t>
  </si>
  <si>
    <t>Кромка U963 ST9 0,4*23 мм Диамант серый (200 м бухта) Egger</t>
  </si>
  <si>
    <t>Кромка U963 ST9 0,4*28 мм Диамант серый (200 м бухта) Egger</t>
  </si>
  <si>
    <t>Кромка U963 ST9 0,8*19 мм Диамант серый (75 м бухта) Egger</t>
  </si>
  <si>
    <t>Кромка U963 ST9 0,8*23 мм Диамант серый (75 м бухта) Egger</t>
  </si>
  <si>
    <t>Кромка U963 ST9 2,0*19 мм Диамант серый (75 м бухта) Egger</t>
  </si>
  <si>
    <t>Кромка U963 ST9 2,0*23 мм Диамант серый (75 м бухта) Egger</t>
  </si>
  <si>
    <t>Кромка U963 ST9 2,0*28 мм Диамант серый (75 м бухта) Egger</t>
  </si>
  <si>
    <t>Кромка U963 ST9 2,0*35 мм Диамант серый (75 м бухта) Egger</t>
  </si>
  <si>
    <t>Кромка U968 ST9 0,4*19 мм Серый уголь (200 м бухта) Egger</t>
  </si>
  <si>
    <t>U968</t>
  </si>
  <si>
    <t>Серый уголь</t>
  </si>
  <si>
    <t>Кромка U968 ST9 0,4*23 мм Серый уголь (200 м бухта) Egger</t>
  </si>
  <si>
    <t>Кромка U968 ST9 0,4*28 мм Серый уголь (200 м бухта) Egger</t>
  </si>
  <si>
    <t>Кромка U968 ST9 0,8*19 мм Серый уголь (75 м бухта) Egger</t>
  </si>
  <si>
    <t>Кромка U968 ST9 0,8*23 мм Серый уголь (75 м бухта) Egger</t>
  </si>
  <si>
    <t>Кромка U968 ST9 2,0*19 мм Серый уголь (75 м бухта) Egger</t>
  </si>
  <si>
    <t>Кромка U968 ST9 2,0*23 мм Серый уголь (75 м бухта) Egger</t>
  </si>
  <si>
    <t>Кромка U968 ST9 2,0*28 мм Серый уголь (75 м бухта) Egger</t>
  </si>
  <si>
    <t>Кромка U998 ST38 0,4*19 мм Лес черный (200 м бухта) Egger</t>
  </si>
  <si>
    <t>U998</t>
  </si>
  <si>
    <t>Лес черный</t>
  </si>
  <si>
    <t>Кромка U998 ST38 0,4*23 мм Лес черный (200 м бухта) Egger</t>
  </si>
  <si>
    <t>Кромка U998 ST38 0,4*28 мм Лес черный (200 м бухта) Egger</t>
  </si>
  <si>
    <t>Кромка U998 ST38 0,8*19 мм Лес черный (75 м бухта) Egger</t>
  </si>
  <si>
    <t>Кромка U998 ST38 0,8*23 мм Лес черный (75 м бухта) Egger</t>
  </si>
  <si>
    <t>Кромка U998 ST38 2,0*19 мм Лес черный (75 м бухта) Egger</t>
  </si>
  <si>
    <t>Кромка U998 ST38 2,0*23 мм Лес черный (75 м бухта) Egger</t>
  </si>
  <si>
    <t>Кромка U998 ST38 2,0*28 мм Лес черный (75 м бухта) Egger</t>
  </si>
  <si>
    <t>Кромка U998 ST38 2,0*35 мм Лес черный (75 м бухта) Egger</t>
  </si>
  <si>
    <t>Кромка U999 PG 1,0*23 мм Черный (75 м бухта) Egger</t>
  </si>
  <si>
    <t>Кромка U999 PM 1,0*23 мм Черный (75 м бухта) Egger</t>
  </si>
  <si>
    <t>Кромка U999 ST19 0,4*19 мм Черный (200 м бухта) Egger</t>
  </si>
  <si>
    <t>Кромка U999 ST19 0,8*19 мм Черный (75 м бухта) Egger</t>
  </si>
  <si>
    <t>Кромка U999 ST19 2,0*19 мм Черный (75 м бухта) Egger</t>
  </si>
  <si>
    <t>Кромка U999 ST2 0,4*19 мм Черный (200 м бухта) Egger</t>
  </si>
  <si>
    <t>Кромка U999 ST2 0,4*23 мм Черный (200 м бухта) Egger</t>
  </si>
  <si>
    <t>Кромка U999 ST2 0,8*19 мм Черный (75 м бухта) Egger</t>
  </si>
  <si>
    <t>Кромка U999 ST2 0,8*23 мм Черный (75 м бухта) Egger</t>
  </si>
  <si>
    <t>Кромка U999 ST2 2,0*19 мм Черный (75 м бухта) Egger</t>
  </si>
  <si>
    <t>Кромка U999 ST2 2,0*23 мм Черный (75 м бухта) Egger</t>
  </si>
  <si>
    <t>Кромка U999 TM28 1,0*23 мм Черный (75 м бухта) Egger</t>
  </si>
  <si>
    <t>Кромка F186 ST9 0,4*19 мм Бетон Чикаго светло-серый (200 м бухта) Egger</t>
  </si>
  <si>
    <t>Фантазийные (F группа)</t>
  </si>
  <si>
    <t>Кромка F186 ST9 0,4*23 мм Бетон Чикаго светло-серый (200 м бухта) Egger</t>
  </si>
  <si>
    <t>Кромка F186 ST9 0,4*28 мм Бетон Чикаго светло-серый (200 м бухта) Egger</t>
  </si>
  <si>
    <t>Кромка F186 ST9 0,8*19 мм Бетон Чикаго светло-серый (75 м бухта) Egger</t>
  </si>
  <si>
    <t>Кромка F186 ST9 0,8*23 мм Бетон Чикаго светло-серый (75 м бухта) Egger</t>
  </si>
  <si>
    <t>Кромка F186 ST9 2,0*19 мм Бетон Чикаго светло-серый (75 м бухта) Egger</t>
  </si>
  <si>
    <t>Кромка F186 ST9 2,0*23 мм Бетон Чикаго светло-серый (75 м бухта) Egger</t>
  </si>
  <si>
    <t>Кромка F186 ST9 2,0*28 мм Бетон Чикаго светло-серый (75 м бухта) Egger</t>
  </si>
  <si>
    <t>Кромка F186 ST9 2,0*35 мм Бетон Чикаго светло-серый (75 м бухта) Egger</t>
  </si>
  <si>
    <t>Кромка F186 ST9 2,0*43 мм Бетон Чикаго светло-серый (75 м бухта) Egger</t>
  </si>
  <si>
    <t>Кромка F187 ST9 0,4*19 мм Бетон Чикаго темно-серый (200 м бухта) Egger</t>
  </si>
  <si>
    <t>Кромка F187 ST9 0,4*23 мм Бетон Чикаго темно-серый (200 м бухта) Egger</t>
  </si>
  <si>
    <t>Кромка F187 ST9 0,4*28 мм Бетон Чикаго темно-серый (200 м бухта) Egger</t>
  </si>
  <si>
    <t>Кромка F187 ST9 0,8*19 мм Бетон Чикаго темно-серый (75 м бухта) Egger</t>
  </si>
  <si>
    <t>Кромка F187 ST9 0,8*23 мм Бетон Чикаго темно-серый (75 м бухта) Egger</t>
  </si>
  <si>
    <t>Кромка F187 ST9 0,8*28 мм Бетон Чикаго темно-серый (75 м бухта) Egger</t>
  </si>
  <si>
    <t>Кромка F187 ST9 2,0*19 мм Бетон Чикаго темно-серый (75 м бухта) Egger</t>
  </si>
  <si>
    <t>Кромка F187 ST9 2,0*23 мм Бетон Чикаго темно-серый (75 м бухта) Egger</t>
  </si>
  <si>
    <t>Кромка F187 ST9 2,0*28 мм Бетон Чикаго темно-серый (75 м бухта) Egger</t>
  </si>
  <si>
    <t>Кромка F187 ST9 2,0*35 мм Бетон Чикаго темно-серый (75 м бухта) Egger</t>
  </si>
  <si>
    <t>Кромка F187 ST9 2,0*43 мм Бетон Чикаго темно-серый (75 м бухта) Egger</t>
  </si>
  <si>
    <t>Кромка F204 ST9 0,4*19 мм Мрамор Каррара белый (200 м бухта) Egger</t>
  </si>
  <si>
    <t>F204</t>
  </si>
  <si>
    <t>Мрамор Каррара белый</t>
  </si>
  <si>
    <t>Кромка F204 ST9 0,8*19 мм Мрамор Каррара белый (75 м бухта) Egger</t>
  </si>
  <si>
    <t>Кромка F204 ST9 2,0*19 мм Мрамор Каррара белый (75 м бухта) Egger</t>
  </si>
  <si>
    <t>Кромка F206 ST9 0,4*19 мм Камень Пьетра Гриджиа черный (200 м бухта) Egger</t>
  </si>
  <si>
    <t>F206</t>
  </si>
  <si>
    <t>Камень Пьетра Гриджиа черный</t>
  </si>
  <si>
    <t>Кромка F206 ST9 0,8*19 мм Камень Пьетра Гриджиа черный (75 м бухта) Egger</t>
  </si>
  <si>
    <t>Кромка F206 ST9 2,0*19 мм Камень Пьетра Гриджиа черный (75 м бухта) Egger</t>
  </si>
  <si>
    <t>Кромка F302 ST87 2,0*23 мм Ферро бронза (75 м бухта) Egger</t>
  </si>
  <si>
    <t>Кромка F416 ST10 0,4*19 мм Текстиль бежевый (200 м бухта) Egger</t>
  </si>
  <si>
    <t>F416</t>
  </si>
  <si>
    <t>Текстиль бежевый</t>
  </si>
  <si>
    <t>Кромка F416 ST10 0,4*28 мм Текстиль бежевый (200 м бухта) Egger</t>
  </si>
  <si>
    <t>Кромка F416 ST10 0,8*19 мм Текстиль бежевый (75 м бухта) Egger</t>
  </si>
  <si>
    <t>Кромка F416 ST10 2,0*19 мм Текстиль бежевый (75 м бухта) Egger</t>
  </si>
  <si>
    <t>Кромка F416 ST10 2,0*28 мм Текстиль бежевый (75 м бухта) Egger</t>
  </si>
  <si>
    <t>Кромка F416 ST10 2,0*35 мм Текстиль бежевый (75 м бухта) Egger</t>
  </si>
  <si>
    <t>Кромка F433 ST10 0,4*19 мм Лен антрацит (200 м бухта) Egger</t>
  </si>
  <si>
    <t>F433</t>
  </si>
  <si>
    <t>Лен антрацит</t>
  </si>
  <si>
    <t>Кромка F433 ST10 0,8*19 мм Лен антрацит (75 м бухта) Egger</t>
  </si>
  <si>
    <t>Кромка F433 ST10 2,0*19 мм Лен антрацит (75 м бухта) Egger</t>
  </si>
  <si>
    <t>Кромка F433 ST10 2,0*35 мм Лен антрацит (75 м бухта) Egger</t>
  </si>
  <si>
    <t>Кромка F501 ST2 0,4*19 мм Алюминий матированный (200 м бухта) Egger</t>
  </si>
  <si>
    <t>Кромка F501 ST2 0,4*28 мм Алюминий матированный (200 м бухта) Egger</t>
  </si>
  <si>
    <t>Кромка F501 ST2 0,8*19 мм Алюминий матированный (75 м бухта) Egger</t>
  </si>
  <si>
    <t>Кромка F501 ST2 0,8*28 мм Алюминий матированный (75 м бухта) Egger</t>
  </si>
  <si>
    <t>Кромка F501 ST2 2,0*19 мм Алюминий матированный (75 м бухта) Egger</t>
  </si>
  <si>
    <t>Кромка F501 ST2 2,0*28 мм Алюминий матированный (75 м бухта) Egger</t>
  </si>
  <si>
    <t>Кромка F501 ST2 2,0*35 мм Алюминий матированный (75 м бухта) Egger</t>
  </si>
  <si>
    <t>Кромка F501 ST2 2,0*43 мм Алюминий матированный (75 м бухта) Egger</t>
  </si>
  <si>
    <t>Кромка F509 ST2 0,4*19 мм Алюминий (200 м бухта) Egger</t>
  </si>
  <si>
    <t>Кромка F509 ST2 0,4*28 мм Алюминий (200 м бухта) Egger</t>
  </si>
  <si>
    <t>Кромка F509 ST2 0,8*19 мм Алюминий (75 м бухта) Egger</t>
  </si>
  <si>
    <t>Кромка F509 ST2 2,0*19 мм Алюминий (75 м бухта) Egger</t>
  </si>
  <si>
    <t>Кромка F509 ST2 2,0*28 мм Алюминий (75 м бухта) Egger</t>
  </si>
  <si>
    <t>Кромка F509 ST2 2,0*35 мм Алюминий (75 м бухта) Egger</t>
  </si>
  <si>
    <t>Кромка F509 ST2 2,0*43 мм Алюминий (75 м бухта) Egger</t>
  </si>
  <si>
    <t>Кромка F637 ST16 0,4*19 мм Хромикс белый (200 м бухта) Egger</t>
  </si>
  <si>
    <t>F637</t>
  </si>
  <si>
    <t>Хромикс белый</t>
  </si>
  <si>
    <t>Кромка F637 ST16 0,8*19 мм Хромикс белый (75 м бухта) Egger</t>
  </si>
  <si>
    <t>Кромка F637 ST16 2,0*19 мм Хромикс белый (75 м бухта) Egger</t>
  </si>
  <si>
    <t>Кромка F642 ST16 0,4*19 мм Хромикс бронза (200 м бухта) Egger</t>
  </si>
  <si>
    <t>F642</t>
  </si>
  <si>
    <t>Хромикс бронза</t>
  </si>
  <si>
    <t>Кромка F642 ST16 0,8*19 мм Хромикс бронза (75 м бухта) Egger</t>
  </si>
  <si>
    <t>Кромка F642 ST16 2,0*19 мм Хромикс бронза (75 м бухта) Egger</t>
  </si>
  <si>
    <t>Кромка F812 PG 1,0*23 мм Мрамор Леванто белый (75 м бухта) Egger</t>
  </si>
  <si>
    <t>F812</t>
  </si>
  <si>
    <t>Мрамор Леванто белый</t>
  </si>
  <si>
    <t>Кромка F812 ST9 0,4*19 мм Мрамор Леванто белый (200 м бухта) Egger</t>
  </si>
  <si>
    <t>Кромка F812 ST9 0,8*19 мм Мрамор Леванто белый (75 м бухта) Egger</t>
  </si>
  <si>
    <t>Кромка F812 ST9 2,0*19 мм Мрамор Леванто белый (75 м бухта) Egger</t>
  </si>
  <si>
    <t>ЛДСП</t>
  </si>
  <si>
    <t>ЛДСП 0190 /U999 ST30/  GL/SM 16*2800*2070 мм Черный Кроношпан</t>
  </si>
  <si>
    <t>Однотонные и Фантазийные</t>
  </si>
  <si>
    <t>0190</t>
  </si>
  <si>
    <t>GL/SM</t>
  </si>
  <si>
    <t>Кроношпан</t>
  </si>
  <si>
    <t>ЛДСП 8681/1100 ST30/ GL/SM 16*2800*2070 мм Белый бриллиант Кроношпан</t>
  </si>
  <si>
    <t>8681</t>
  </si>
  <si>
    <t>Белый бриллиант</t>
  </si>
  <si>
    <t>ЛДСП W1000 ST19 08*2800*2070 мм Белый Премиум Egger</t>
  </si>
  <si>
    <t>08</t>
  </si>
  <si>
    <t>ЛДСП W1000 ST19 16*2800*2070 мм Белый Премиум Egger</t>
  </si>
  <si>
    <t>ЛДСП W1000 ST19 18*2800*2070 мм Белый Премиум Egger</t>
  </si>
  <si>
    <t>18</t>
  </si>
  <si>
    <t>ЛДСП W1000 ST19 25*2800*2070 мм Белый Премиум Egger</t>
  </si>
  <si>
    <t>25</t>
  </si>
  <si>
    <t>ЛДСП W1000 ST38 08*2800*2070 мм Белый Премиум Egger</t>
  </si>
  <si>
    <t>ЛДСП W1000 ST38 16*2800*2070 мм Белый Премиум Egger</t>
  </si>
  <si>
    <t>ЛДСП W1000 ST38 18*2800*2070 мм Белый Премиум Egger</t>
  </si>
  <si>
    <t>ЛДСП W1000 ST38 25*2800*2070 мм Белый Премиум Egger</t>
  </si>
  <si>
    <t>ЛДСП W1000 ST9 08*2800*2070 мм Белый Премиум Egger</t>
  </si>
  <si>
    <t>ЛДСП W1000 ST9 16*2800*2070 мм Белый Премиум Egger</t>
  </si>
  <si>
    <t>ЛДСП W1000 ST9 18*2800*2070 мм Белый Премиум Egger</t>
  </si>
  <si>
    <t>ЛДСП W1000 ST9 25*2800*2070 мм Белый Премиум Egger</t>
  </si>
  <si>
    <t>ЛДСП W1100 ST9 08*2800*2070 мм Белый Альпийский Egger</t>
  </si>
  <si>
    <t>ЛДСП W1100 ST9 16*2800*2070 мм Белый Альпийский Egger</t>
  </si>
  <si>
    <t>ЛДСП W1100 ST9 18*2800*2070 мм Белый Альпийский Egger</t>
  </si>
  <si>
    <t>ЛДСП W1100 ST9 25*2800*2070 мм Белый Альпийский Egger</t>
  </si>
  <si>
    <t>ЛДСП W1200 ST9 16*2800*2070 мм Фарфор белый Egger</t>
  </si>
  <si>
    <t>ЛДСП W908 SM 08*2800*2070 мм Белый Базовый Egger</t>
  </si>
  <si>
    <t>ЛДСП W908 SM 16*2800*2070 мм Белый Базовый Egger</t>
  </si>
  <si>
    <t>ЛДСП W908 SM 18*2800*2070 мм Белый Базовый Egger</t>
  </si>
  <si>
    <t>ЛДСП W908 SM 25*2800*2070 мм Белый Базовый Egger</t>
  </si>
  <si>
    <t>ЛДСП W908 ST2 08*2800*2070 мм Белый Базовый Egger</t>
  </si>
  <si>
    <t>ЛДСП W908 ST2 10*2800*2070 мм Белый Базовый Egger</t>
  </si>
  <si>
    <t>10</t>
  </si>
  <si>
    <t>ЛДСП W908 ST2 16*2800*2070 мм Белый Базовый Egger</t>
  </si>
  <si>
    <t>ЛДСП W908 ST2 18*2800*2070 мм Белый Базовый Egger</t>
  </si>
  <si>
    <t>ЛДСП W908 ST2 25*2800*2070 мм Белый Базовый Egger</t>
  </si>
  <si>
    <t>ЛДСП W980 SM 08*2800*2070 мм Белый платиновый Egger</t>
  </si>
  <si>
    <t>ЛДСП W980 SM 16*2800*2070 мм Белый платиновый Egger</t>
  </si>
  <si>
    <t>ЛДСП W980 SM 16*2800*2070 мм Белый платиновый влагостойкий Egger</t>
  </si>
  <si>
    <t>влагостойкий</t>
  </si>
  <si>
    <t>ЛДСП W980 SM 18*2800*2070 мм Белый платиновый Egger</t>
  </si>
  <si>
    <t>ЛДСП W980 SM 25*2800*2070 мм Белый платиновый Egger</t>
  </si>
  <si>
    <t>ЛДСП W980 ST2 08*2800*2070 мм Белый платиновый Egger</t>
  </si>
  <si>
    <t>ЛДСП W980 ST2 16*2800*2070 мм Белый платиновый Egger</t>
  </si>
  <si>
    <t>ЛДСП W980 ST2 18*2800*2070 мм Белый платиновый Egger</t>
  </si>
  <si>
    <t>ЛДСП W980 ST2 25*2800*2070 мм Белый платиновый Egger</t>
  </si>
  <si>
    <t>ЛДСП A1401 ST22 08*2800*2070 мм Сосна Касцина Egger</t>
  </si>
  <si>
    <t>A1401</t>
  </si>
  <si>
    <t>ЛДСП A1401 ST22 16*2800*2070 мм Сосна Касцина Egger</t>
  </si>
  <si>
    <t>ЛДСП A1401 ST22 18*2800*2070 мм Сосна Касцина Egger</t>
  </si>
  <si>
    <t>ЛДСП A1401 ST22 25*2800*2070 мм Сосна Касцина Egger</t>
  </si>
  <si>
    <t>ЛДСП A3012 ST22 08*2800*2070 мм Кокоболо натуральный Egger</t>
  </si>
  <si>
    <t>A3012</t>
  </si>
  <si>
    <t>ЛДСП A3012 ST22 16*2800*2070 мм Кокоболо натуральный Egger</t>
  </si>
  <si>
    <t>ЛДСП A3012 ST22 25*2800*2070 мм Кокоболо натуральный Egger</t>
  </si>
  <si>
    <t>ЛДСП A3700 ST10 08*2800*2070 мм Орех Пацифик натуральный Egger</t>
  </si>
  <si>
    <t>A3700</t>
  </si>
  <si>
    <t>ЛДСП A3700 ST10 16*2800*2070 мм Орех Пацифик натуральный Egger</t>
  </si>
  <si>
    <t>ЛДСП A3700 ST10 25*2800*2070 мм Орех Пацифик натуральный Egger</t>
  </si>
  <si>
    <t>ЛДСП A3702 ST10 08*2800*2070 мм Орех Пацифик табак Egger</t>
  </si>
  <si>
    <t>A3702</t>
  </si>
  <si>
    <t>ЛДСП A3702 ST10 16*2800*2070 мм Орех Пацифик табак Egger</t>
  </si>
  <si>
    <t>ЛДСП A3702 ST10 25*2800*2070 мм Орех Пацифик табак Egger</t>
  </si>
  <si>
    <t>ЛДСП H1113 ST10 08*2800*2070 мм Дуб Канзас коричневый Egger</t>
  </si>
  <si>
    <t>ЛДСП H1113 ST10 16*2800*2070 мм Дуб Канзас коричневый Egger</t>
  </si>
  <si>
    <t>ЛДСП H1113 ST10 18*2800*2070 мм Дуб Канзас коричневый Egger</t>
  </si>
  <si>
    <t>ЛДСП H1113 ST10 25*2800*2070 мм Дуб Канзас коричневый Egger</t>
  </si>
  <si>
    <t>ЛДСП H1115 ST12 08*2800*2070 мм Баменда серо-бежевый Egger</t>
  </si>
  <si>
    <t>ЛДСП H1115 ST12 16*2800*2070 мм Баменда серо-бежевый Egger</t>
  </si>
  <si>
    <t>ЛДСП H1115 ST12 25*2800*2070 мм Баменда серо-бежевый Egger</t>
  </si>
  <si>
    <t>ЛДСП H1122 ST22 08*2800*2070 мм Древесина белая Egger</t>
  </si>
  <si>
    <t>ЛДСП H1122 ST22 16*2800*2070 мм Древесина белая Egger</t>
  </si>
  <si>
    <t>ЛДСП H1122 ST22 18*2800*2070 мм Древесина белая Egger</t>
  </si>
  <si>
    <t>ЛДСП H1122 ST22 25*2800*2070 мм Древесина белая Egger</t>
  </si>
  <si>
    <t>ЛДСП H1123 ST22 08*2800*2070 мм Древесина графит Egger</t>
  </si>
  <si>
    <t>ЛДСП H1123 ST22 16*2800*2070 мм Древесина графит Egger</t>
  </si>
  <si>
    <t>ЛДСП H1123 ST22 18*2800*2070 мм Древесина графит Egger</t>
  </si>
  <si>
    <t>ЛДСП H1123 ST22 25*2800*2070 мм Древесина графит Egger</t>
  </si>
  <si>
    <t>ЛДСП H1137 ST12 08*2800*2070 мм Дуб Сорано черно-коричневый Egger</t>
  </si>
  <si>
    <t>ЛДСП H1137 ST12 16*2800*2070 мм Дуб Сорано черно-коричневый Egger</t>
  </si>
  <si>
    <t>ЛДСП H1137 ST12 18*2800*2070 мм Дуб Сорано черно-коричневый Egger</t>
  </si>
  <si>
    <t>ЛДСП H1137 ST12 25*2800*2070 мм Дуб Сорано черно-коричневый Egger</t>
  </si>
  <si>
    <t>ЛДСП H1145 ST10 08*2800*2070 мм Дуб Бардолино натуральный Egger</t>
  </si>
  <si>
    <t>ЛДСП H1145 ST10 16*2800*2070 мм Дуб Бардолино натуральный Egger</t>
  </si>
  <si>
    <t>ЛДСП H1145 ST10 18*2800*2070 мм Дуб Бардолино натуральный Egger</t>
  </si>
  <si>
    <t>ЛДСП H1145 ST10 25*2800*2070 мм Дуб Бардолино натуральный Egger</t>
  </si>
  <si>
    <t>ЛДСП H1146 ST10 08*2800*2070 мм Дуб Бардолино серый Egger</t>
  </si>
  <si>
    <t>ЛДСП H1146 ST10 16*2800*2070 мм Дуб Бардолино серый Egger</t>
  </si>
  <si>
    <t>ЛДСП H1146 ST10 18*2800*2070 мм Дуб Бардолино серый Egger</t>
  </si>
  <si>
    <t>ЛДСП H1146 ST10 25*2800*2070 мм Дуб Бардолино серый Egger</t>
  </si>
  <si>
    <t>ЛДСП H1151 ST10 16*2800*2070 мм Дуб Аризона коричневый Egger</t>
  </si>
  <si>
    <t>ЛДСП H1151 ST10 25*2800*2070 мм Дуб Аризона коричневый Egger</t>
  </si>
  <si>
    <t>ЛДСП H1176 ST37 08*2800*2070 мм Дуб Галифакс белый Egger</t>
  </si>
  <si>
    <t>ЛДСП H1176 ST37 16*2800*2070 мм Дуб Галифакс белый Egger</t>
  </si>
  <si>
    <t>ЛДСП H1176 ST37 18*2800*2070 мм Дуб Галифакс белый Egger</t>
  </si>
  <si>
    <t>ЛДСП H1176 ST37 25*2800*2070 мм Дуб Галифакс белый Egger</t>
  </si>
  <si>
    <t>ЛДСП H1180 ST37 08*2800*2070 мм Дуб Галифакс натуральный Egger</t>
  </si>
  <si>
    <t>ЛДСП H1180 ST37 16*2800*2070 мм Дуб Галифакс натуральный Egger</t>
  </si>
  <si>
    <t>ЛДСП H1180 ST37 18*2800*2070 мм Дуб Галифакс натуральный Egger</t>
  </si>
  <si>
    <t>ЛДСП H1180 ST37 25*2800*2070 мм Дуб Галифакс натуральный Egger</t>
  </si>
  <si>
    <t>ЛДСП H1181 ST37 08*2800*2070 мм Дуб Галифакс табак Egger</t>
  </si>
  <si>
    <t>ЛДСП H1181 ST37 16*2800*2070 мм Дуб Галифакс табак Egger</t>
  </si>
  <si>
    <t>ЛДСП H1181 ST37 18*2800*2070 мм Дуб Галифакс табак Egger</t>
  </si>
  <si>
    <t>ЛДСП H1181 ST37 25*2800*2070 мм Дуб Галифакс табак Egger</t>
  </si>
  <si>
    <t>ЛДСП H1199 ST12 08*2800*2070 мм Дуб термо черно-коричневый Egger</t>
  </si>
  <si>
    <t>ЛДСП H1199 ST12 16*2800*2070 мм Дуб термо черно-коричневый Egger</t>
  </si>
  <si>
    <t>ЛДСП H1199 ST12 25*2800*2070 мм Дуб термо черно-коричневый Egger</t>
  </si>
  <si>
    <t>ЛДСП H1250 ST36 08*2800*2070 мм Ясень Наварра Egger</t>
  </si>
  <si>
    <t>ЛДСП H1250 ST36 16*2800*2070 мм Ясень Наварра Egger</t>
  </si>
  <si>
    <t>ЛДСП H1250 ST36 18*2800*2070 мм Ясень Наварра Egger</t>
  </si>
  <si>
    <t>ЛДСП H1250 ST36 25*2800*2070 мм Ясень Наварра Egger</t>
  </si>
  <si>
    <t>ЛДСП H1251 ST19 08*2800*2070 мм Робиния Брэнсон натуральная коричневая Egger</t>
  </si>
  <si>
    <t>ЛДСП H1251 ST19 16*2800*2070 мм Робиния Брэнсон натуральная коричневая Egger</t>
  </si>
  <si>
    <t>ЛДСП H1251 ST19 18*2800*2070 мм Робиния Брэнсон натуральная коричневая Egger</t>
  </si>
  <si>
    <t>ЛДСП H1251 ST19 25*2800*2070 мм Робиния Брэнсон натуральная коричневая Egger</t>
  </si>
  <si>
    <t>ЛДСП H1253 ST19 08*2800*2070 мм Робиния Брэнсон трюфель коричневый Egger</t>
  </si>
  <si>
    <t>ЛДСП H1253 ST19 16*2800*2070 мм Робиния Брэнсон трюфель коричневый Egger</t>
  </si>
  <si>
    <t>ЛДСП H1253 ST19 18*2800*2070 мм Робиния Брэнсон трюфель коричневый Egger</t>
  </si>
  <si>
    <t>ЛДСП H1277 ST9 08*2800*2070 мм Акация Лэйклэнд светлая Egger</t>
  </si>
  <si>
    <t>ЛДСП H1277 ST9 16*2800*2070 мм Акация Лэйклэнд светлая Egger</t>
  </si>
  <si>
    <t>ЛДСП H1277 ST9 18*2800*2070 мм Акация Лэйклэнд светлая Egger</t>
  </si>
  <si>
    <t>ЛДСП H1277 ST9 25*2800*2070 мм Акация Лэйклэнд светлая Egger</t>
  </si>
  <si>
    <t>ЛДСП H1312 ST10 08*2800*2070 мм Дуб Уайт-Ривер песочно-бежевый Egger</t>
  </si>
  <si>
    <t>ЛДСП H1312 ST10 16*2800*2070 мм Дуб Уайт-Ривер песочно-бежевый Egger</t>
  </si>
  <si>
    <t>ЛДСП H1312 ST10 25*2800*2070 мм Дуб Уайт-Ривер песочно-бежевый Egger</t>
  </si>
  <si>
    <t>ЛДСП H1313 ST10 08*2800*2070 мм Дуб Уайт-Ривер серо-коричневый Egger</t>
  </si>
  <si>
    <t>ЛДСП H1313 ST10 16*2800*2070 мм Дуб Уайт-Ривер серо-коричневый Egger</t>
  </si>
  <si>
    <t>ЛДСП H1313 ST10 25*2800*2070 мм Дуб Уайт-Ривер серо-коричневый Egger</t>
  </si>
  <si>
    <t>ЛДСП H1318 ST10 08*2800*2070 мм Дикий дуб натуральный Egger</t>
  </si>
  <si>
    <t>ЛДСП H1318 ST10 16*2800*2070 мм Дикий дуб натуральный Egger</t>
  </si>
  <si>
    <t>ЛДСП H1318 ST10 25*2800*2070 мм Дикий дуб натуральный Egger</t>
  </si>
  <si>
    <t>ЛДСП H1330 ST10 08*2800*2070 мм Дуб Санта-Фе винтаж Egger</t>
  </si>
  <si>
    <t>ЛДСП H1330 ST10 16*2800*2070 мм Дуб Санта-Фе винтаж Egger</t>
  </si>
  <si>
    <t>ЛДСП H1330 ST10 25*2800*2070 мм Дуб Санта-Фе винтаж Egger</t>
  </si>
  <si>
    <t>ЛДСП H1334 ST9 08*2800*2070 мм Дуб Сорано натуральный светлый Egger</t>
  </si>
  <si>
    <t>ЛДСП H1334 ST9 16*2800*2070 мм Дуб Сорано натуральный светлый Egger</t>
  </si>
  <si>
    <t>ЛДСП H1334 ST9 18*2800*2070 мм Дуб Сорано натуральный светлый Egger</t>
  </si>
  <si>
    <t>ЛДСП H1334 ST9 25*2800*2070 мм Дуб Сорано натуральный светлый Egger</t>
  </si>
  <si>
    <t>ЛДСП H1344 ST32 08*2800*2070 мм Дуб Шерман коньяк коричневый Egger</t>
  </si>
  <si>
    <t>ЛДСП H1344 ST32 16*2800*2070 мм Дуб Шерман коньяк коричневый Egger</t>
  </si>
  <si>
    <t>ЛДСП H1344 ST32 18*2800*2070 мм Дуб Шерман коньяк коричневый Egger</t>
  </si>
  <si>
    <t>ЛДСП H1344 ST32 25*2800*2070 мм Дуб Шерман коньяк коричневый Egger</t>
  </si>
  <si>
    <t>ЛДСП H1345 ST32 08*2800*2070 мм Дуб Шерман серый Egger</t>
  </si>
  <si>
    <t>ЛДСП H1345 ST32 16*2800*2070 мм Дуб Шерман серый Egger</t>
  </si>
  <si>
    <t>ЛДСП H1345 ST32 25*2800*2070 мм Дуб Шерман серый Egger</t>
  </si>
  <si>
    <t>ЛДСП H1346 ST32 08*2800*2070 мм Дуб Шерман антрацит Egger</t>
  </si>
  <si>
    <t>ЛДСП H1346 ST32 16*2800*2070 мм Дуб Шерман антрацит Egger</t>
  </si>
  <si>
    <t>ЛДСП H1346 ST32 25*2800*2070 мм Дуб Шерман антрацит Egger</t>
  </si>
  <si>
    <t>ЛДСП H1387 ST10 08*2800*2070 мм Дуб Денвер графит Egger</t>
  </si>
  <si>
    <t>ЛДСП H1387 ST10 16*2800*2070 мм Дуб Денвер графит Egger</t>
  </si>
  <si>
    <t>ЛДСП H1387 ST10 25*2800*2070 мм Дуб Денвер графит Egger</t>
  </si>
  <si>
    <t>ЛДСП H1399 ST10 08*2800*2070 мм Дуб Денвер трюфель Egger</t>
  </si>
  <si>
    <t>ЛДСП H1399 ST10 16*2800*2070 мм Дуб Денвер трюфель Egger</t>
  </si>
  <si>
    <t>ЛДСП H1399 ST10 18*2800*2070 мм Дуб Денвер трюфель Egger</t>
  </si>
  <si>
    <t>ЛДСП H1399 ST10 25*2800*2070 мм Дуб Денвер трюфель Egger</t>
  </si>
  <si>
    <t>ЛДСП H1400 ST36 16*2800*2070 мм Древесина Аттик Egger</t>
  </si>
  <si>
    <t>ЛДСП H1424 ST22 08*2800*2070 мм Файнлайн крем Egger</t>
  </si>
  <si>
    <t>ЛДСП H1424 ST22 16*2800*2070 мм Файнлайн крем Egger</t>
  </si>
  <si>
    <t>ЛДСП H1424 ST22 18*2800*2070 мм Файнлайн крем Egger</t>
  </si>
  <si>
    <t>ЛДСП H1424 ST22 25*2800*2070 мм Файнлайн крем Egger</t>
  </si>
  <si>
    <t>ЛДСП H1486 ST36 08*2800*2070 мм Сосна Пасадена Egger</t>
  </si>
  <si>
    <t>ЛДСП H1486 ST36 16*2800*2070 мм Сосна Пасадена Egger</t>
  </si>
  <si>
    <t>ЛДСП H1486 ST36 18*2800*2070 мм Сосна Пасадена Egger</t>
  </si>
  <si>
    <t>ЛДСП H1486 ST36 25*2800*2070 мм Сосна Пасадена Egger</t>
  </si>
  <si>
    <t>ЛДСП H1487 ST22 08*2800*2070 мм Пихта Брамберг Egger</t>
  </si>
  <si>
    <t>ЛДСП H1487 ST22 16*2800*2070 мм Пихта Брамберг Egger</t>
  </si>
  <si>
    <t>ЛДСП H1487 ST22 25*2800*2070 мм Пихта Брамберг Egger</t>
  </si>
  <si>
    <t>ЛДСП H1582 ST15 08*2800*2070 мм Бук Эльмау Egger</t>
  </si>
  <si>
    <t>ЛДСП H1582 ST15 16*2800*2070 мм Бук Эльмау Egger</t>
  </si>
  <si>
    <t>ЛДСП H1582 ST15 25*2800*2070 мм Бук Эльмау Egger</t>
  </si>
  <si>
    <t>ЛДСП H1615 ST9 08*2800*2070 мм Вишня Верона Egger</t>
  </si>
  <si>
    <t>ЛДСП H1615 ST9 16*2800*2070 мм Вишня Верона Egger</t>
  </si>
  <si>
    <t>ЛДСП H1615 ST9 25*2800*2070 мм Вишня Верона Egger</t>
  </si>
  <si>
    <t>ЛДСП H1636 ST12 08*2800*2070 мм Вишня Локарно Egger</t>
  </si>
  <si>
    <t>ЛДСП H1636 ST12 16*2800*2070 мм Вишня Локарно Egger</t>
  </si>
  <si>
    <t>ЛДСП H1636 ST12 25*2800*2070 мм Вишня Локарно Egger</t>
  </si>
  <si>
    <t>ЛДСП H1710 ST10 08*2800*2070 мм Каштан Кентукки песочный Egger</t>
  </si>
  <si>
    <t>ЛДСП H1710 ST10 16*2800*2070 мм Каштан Кентукки песочный Egger</t>
  </si>
  <si>
    <t>ЛДСП H1710 ST10 25*2800*2070 мм Каштан Кентукки песочный Egger</t>
  </si>
  <si>
    <t>ЛДСП H1714 ST19 08*2800*2070 мм Орех Линкольн Egger</t>
  </si>
  <si>
    <t>ЛДСП H1714 ST19 16*2800*2070 мм Орех Линкольн Egger</t>
  </si>
  <si>
    <t>ЛДСП H1714 ST19 18*2800*2070 мм Орех Линкольн Egger</t>
  </si>
  <si>
    <t>ЛДСП H1714 ST19 25*2800*2070 мм Орех Линкольн Egger</t>
  </si>
  <si>
    <t>ЛДСП H1733 ST9 08*2800*2070 мм Береза Майнау Egger</t>
  </si>
  <si>
    <t>ЛДСП H1733 ST9 16*2800*2070 мм Береза Майнау Egger</t>
  </si>
  <si>
    <t>ЛДСП H1733 ST9 25*2800*2070 мм Береза Майнау Egger</t>
  </si>
  <si>
    <t>ЛДСП H3058 ST22 08*2800*2070 мм Венге Мали Egger</t>
  </si>
  <si>
    <t>ЛДСП H3058 ST22 16*2800*2070 мм Венге Мали Egger</t>
  </si>
  <si>
    <t>ЛДСП H3058 ST22 18*2800*2070 мм Венге Мали Egger</t>
  </si>
  <si>
    <t>ЛДСП H3058 ST22 25*2800*2070 мм Венге Мали Egger</t>
  </si>
  <si>
    <t>ЛДСП H3090 ST22 08*2800*2070 мм Древесина Шорвуд Egger</t>
  </si>
  <si>
    <t>ЛДСП H3090 ST22 16*2800*2070 мм Древесина Шорвуд Egger</t>
  </si>
  <si>
    <t>ЛДСП H3090 ST22 25*2800*2070 мм Древесина Шорвуд Egger</t>
  </si>
  <si>
    <t>ЛДСП H3131 ST12 08*2800*2070 мм Дуб Давос натуральный Egger</t>
  </si>
  <si>
    <t>ЛДСП H3131 ST12 16*2800*2070 мм Дуб Давос натуральный Egger</t>
  </si>
  <si>
    <t>ЛДСП H3131 ST12 25*2800*2070 мм Дуб Давос натуральный Egger</t>
  </si>
  <si>
    <t>ЛДСП H3133 ST12 08*2800*2070 мм Дуб Давос трюфель Egger</t>
  </si>
  <si>
    <t>ЛДСП H3133 ST12 16*2800*2070 мм Дуб Давос трюфель Egger</t>
  </si>
  <si>
    <t>ЛДСП H3133 ST12 18*2800*2070 мм Дуб Давос трюфель Egger</t>
  </si>
  <si>
    <t>ЛДСП H3133 ST12 25*2800*2070 мм Дуб Давос трюфель Egger</t>
  </si>
  <si>
    <t>ЛДСП H3146 ST19 08*2800*2070 мм Дуб Лоренцо бежево-серый Egger</t>
  </si>
  <si>
    <t>ЛДСП H3146 ST19 16*2800*2070 мм Дуб Лоренцо бежево-серый Egger</t>
  </si>
  <si>
    <t>ЛДСП H3146 ST19 18*2800*2070 мм Дуб Лоренцо бежево-серый Egger</t>
  </si>
  <si>
    <t>ЛДСП H3146 ST19 25*2800*2070 мм Дуб Лоренцо бежево-серый Egger</t>
  </si>
  <si>
    <t>ЛДСП H3154 ST36 08*2800*2070 мм Дуб Чарльстон темно-коричневый Egger</t>
  </si>
  <si>
    <t>ЛДСП H3154 ST36 16*2800*2070 мм Дуб Чарльстон темно-коричневый Egger</t>
  </si>
  <si>
    <t>ЛДСП H3154 ST36 18*2800*2070 мм Дуб Чарльстон темно-коричневый Egger</t>
  </si>
  <si>
    <t>ЛДСП H3154 ST36 25*2800*2070 мм Дуб Чарльстон темно-коричневый Egger</t>
  </si>
  <si>
    <t>ЛДСП H3156 ST12 08*2800*2070 мм Дуб Корбридж серый Egger</t>
  </si>
  <si>
    <t>ЛДСП H3156 ST12 16*2800*2070 мм Дуб Корбридж серый Egger</t>
  </si>
  <si>
    <t>ЛДСП H3156 ST12 18*2800*2070 мм Дуб Корбридж серый Egger</t>
  </si>
  <si>
    <t>ЛДСП H3156 ST12 25*2800*2070 мм Дуб Корбридж серый Egger</t>
  </si>
  <si>
    <t>ЛДСП H3157 ST12 08*2800*2070 мм Дуб Винченца Egger</t>
  </si>
  <si>
    <t>ЛДСП H3157 ST12 16*2800*2070 мм Дуб Винченца Egger</t>
  </si>
  <si>
    <t>ЛДСП H3157 ST12 18*2800*2070 мм Дуб Винченца Egger</t>
  </si>
  <si>
    <t>ЛДСП H3157 ST12 25*2800*2070 мм Дуб Винченца Egger</t>
  </si>
  <si>
    <t>ЛДСП H3170 ST12 08*2800*2070 мм Дуб Кендал натуральный Egger</t>
  </si>
  <si>
    <t>ЛДСП H3170 ST12 16*2800*2070 мм Дуб Кендал натуральный Egger</t>
  </si>
  <si>
    <t>ЛДСП H3170 ST12 18*2800*2070 мм Дуб Кендал натуральный Egger</t>
  </si>
  <si>
    <t>ЛДСП H3170 ST12 25*2800*2070 мм Дуб Кендал натуральный Egger</t>
  </si>
  <si>
    <t>ЛДСП H3176 ST37 08*2800*2070 мм Дуб Галифакс олово Egger</t>
  </si>
  <si>
    <t>ЛДСП H3176 ST37 16*2800*2070 мм Дуб Галифакс олово Egger</t>
  </si>
  <si>
    <t>ЛДСП H3176 ST37 25*2800*2070 мм Дуб Галифакс олово Egger</t>
  </si>
  <si>
    <t>ЛДСП H3190 ST19 08*2800*2070 мм Металлик Файнлайн антрацит Egger</t>
  </si>
  <si>
    <t>ЛДСП H3190 ST19 16*2800*2070 мм Металлик Файнлайн антрацит Egger</t>
  </si>
  <si>
    <t>ЛДСП H3190 ST19 18*2800*2070 мм Металлик Файнлайн антрацит Egger</t>
  </si>
  <si>
    <t>ЛДСП H3190 ST19 25*2800*2070 мм Металлик Файнлайн антрацит Egger</t>
  </si>
  <si>
    <t>ЛДСП H3192 ST19 08*2800*2070 мм Металлик Файнлайн коричневый Egger</t>
  </si>
  <si>
    <t>ЛДСП H3192 ST19 16*2800*2070 мм Металлик Файнлайн коричневый Egger</t>
  </si>
  <si>
    <t>ЛДСП H3192 ST19 18*2800*2070 мм Металлик Файнлайн коричневый Egger</t>
  </si>
  <si>
    <t>ЛДСП H3192 ST19 25*2800*2070 мм Металлик Файнлайн коричневый Egger</t>
  </si>
  <si>
    <t>ЛДСП H3303 ST10 08*2800*2070 мм Дуб Гамильтон натуральный Egger</t>
  </si>
  <si>
    <t>ЛДСП H3303 ST10 16*2800*2070 мм Дуб Гамильтон натуральный Egger</t>
  </si>
  <si>
    <t>ЛДСП H3303 ST10 18*2800*2070 мм Дуб Гамильтон натуральный Egger</t>
  </si>
  <si>
    <t>ЛДСП H3303 ST10 25*2800*2070 мм Дуб Гамильтон натуральный Egger</t>
  </si>
  <si>
    <t>ЛДСП H3309 ST28 08*2800*2070 мм Дуб Гладстоун песочный Egger</t>
  </si>
  <si>
    <t>ЛДСП H3309 ST28 16*2800*2070 мм Дуб Гладстоун песочный Egger</t>
  </si>
  <si>
    <t>ЛДСП H3309 ST28 18*2800*2070 мм Дуб Гладстоун песочный Egger</t>
  </si>
  <si>
    <t>ЛДСП H3309 ST28 25*2800*2070 мм Дуб Гладстоун песочный Egger</t>
  </si>
  <si>
    <t>ЛДСП H3325 ST28 08*2800*2070 мм Дуб Гладстоун табак Egger</t>
  </si>
  <si>
    <t>ЛДСП H3325 ST28 16*2800*2070 мм Дуб Гладстоун табак Egger</t>
  </si>
  <si>
    <t>ЛДСП H3325 ST28 18*2800*2070 мм Дуб Гладстоун табак Egger</t>
  </si>
  <si>
    <t>ЛДСП H3325 ST28 25*2800*2070 мм Дуб Гладстоун табак Egger</t>
  </si>
  <si>
    <t>ЛДСП H3326 ST28 08*2800*2070 мм Дуб Гладстоун серо-бежевый Egger</t>
  </si>
  <si>
    <t>ЛДСП H3326 ST28 16*2800*2070 мм Дуб Гладстоун серо-бежевый Egger</t>
  </si>
  <si>
    <t>ЛДСП H3326 ST28 25*2800*2070 мм Дуб Гладстоун серо-бежевый Egger</t>
  </si>
  <si>
    <t>ЛДСП H3330 ST36 08*2800*2070 мм Дуб Антор натуральный Egger</t>
  </si>
  <si>
    <t>ЛДСП H3330 ST36 16*2800*2070 мм Дуб Антор натуральный Egger</t>
  </si>
  <si>
    <t>ЛДСП H3330 ST36 18*2800*2070 мм Дуб Антор натуральный Egger</t>
  </si>
  <si>
    <t>ЛДСП H3330 ST36 25*2800*2070 мм Дуб Антор натуральный Egger</t>
  </si>
  <si>
    <t>ЛДСП H3331 ST10 08*2800*2070 мм Дуб Небраска натуральный Egger</t>
  </si>
  <si>
    <t>ЛДСП H3331 ST10 16*2800*2070 мм Дуб Небраска натуральный Egger</t>
  </si>
  <si>
    <t>ЛДСП H3331 ST10 18*2800*2070 мм Дуб Небраска натуральный Egger</t>
  </si>
  <si>
    <t>ЛДСП H3331 ST10 25*2800*2070 мм Дуб Небраска натуральный Egger</t>
  </si>
  <si>
    <t>ЛДСП H3342 ST28 08*2800*2070 мм Дуб Гладстоун сепия Egger</t>
  </si>
  <si>
    <t>ЛДСП H3395 ST12 08*2800*2070 мм Дуб Корбридж натуральный Egger</t>
  </si>
  <si>
    <t>ЛДСП H3395 ST12 16*2800*2070 мм Дуб Корбридж натуральный Egger</t>
  </si>
  <si>
    <t>ЛДСП H3395 ST12 18*2800*2070 мм Дуб Корбридж натуральный Egger</t>
  </si>
  <si>
    <t>ЛДСП H3395 ST12 25*2800*2070 мм Дуб Корбридж натуральный Egger</t>
  </si>
  <si>
    <t>ЛДСП H3398 ST12 08*2800*2070 мм Дуб Кендал коньяк Egger</t>
  </si>
  <si>
    <t>ЛДСП H3398 ST12 16*2800*2070 мм Дуб Кендал коньяк Egger</t>
  </si>
  <si>
    <t>ЛДСП H3398 ST12 18*2800*2070 мм Дуб Кендал коньяк Egger</t>
  </si>
  <si>
    <t>ЛДСП H3398 ST12 25*2800*2070 мм Дуб Кендал коньяк Egger</t>
  </si>
  <si>
    <t>ЛДСП H3406 ST38 08*2800*2070 мм Лиственница горная антрацит Egger</t>
  </si>
  <si>
    <t>ЛДСП H3406 ST38 16*2800*2070 мм Лиственница горная антрацит Egger</t>
  </si>
  <si>
    <t>ЛДСП H3406 ST38 25*2800*2070 мм Лиственница горная антрацит Egger</t>
  </si>
  <si>
    <t>ЛДСП H3408 ST38 08*2800*2070 мм Лиственница горная коричневая термо Egger</t>
  </si>
  <si>
    <t>ЛДСП H3408 ST38 16*2800*2070 мм Лиственница горная коричневая термо Egger</t>
  </si>
  <si>
    <t>ЛДСП H3408 ST38 18*2800*2070 мм Лиственница горная коричневая термо Egger</t>
  </si>
  <si>
    <t>ЛДСП H3408 ST38 25*2800*2070 мм Лиственница горная коричневая термо Egger</t>
  </si>
  <si>
    <t>ЛДСП H3430 ST22 08*2800*2070 мм Сосна Аланд белая Egger</t>
  </si>
  <si>
    <t>ЛДСП H3430 ST22 16*2800*2070 мм Сосна Аланд белая Egger</t>
  </si>
  <si>
    <t>ЛДСП H3430 ST22 18*2800*2070 мм Сосна Аланд белая Egger</t>
  </si>
  <si>
    <t>ЛДСП H3430 ST22 25*2800*2070 мм Сосна Аланд белая Egger</t>
  </si>
  <si>
    <t>ЛДСП H3433 ST22 08*2800*2070 мм Сосна Аланд полярная Egger</t>
  </si>
  <si>
    <t>ЛДСП H3433 ST22 16*2800*2070 мм Сосна Аланд полярная Egger</t>
  </si>
  <si>
    <t>ЛДСП H3433 ST22 18*2800*2070 мм Сосна Аланд полярная Egger</t>
  </si>
  <si>
    <t>ЛДСП H3433 ST22 25*2800*2070 мм Сосна Аланд полярная Egger</t>
  </si>
  <si>
    <t>ЛДСП H3450 ST22 08*2800*2070 мм Флитвуд белый Egger</t>
  </si>
  <si>
    <t>ЛДСП H3450 ST22 16*2800*2070 мм Флитвуд белый Egger</t>
  </si>
  <si>
    <t>ЛДСП H3450 ST22 18*2800*2070 мм Флитвуд белый Egger</t>
  </si>
  <si>
    <t>ЛДСП H3450 ST22 25*2800*2070 мм Флитвуд белый Egger</t>
  </si>
  <si>
    <t>ЛДСП H3451 ST22 08*2800*2070 мм Флитвуд шампань Egger</t>
  </si>
  <si>
    <t>ЛДСП H3451 ST22 16*2800*2070 мм Флитвуд шампань Egger</t>
  </si>
  <si>
    <t>ЛДСП H3451 ST22 18*2800*2070 мм Флитвуд шампань Egger</t>
  </si>
  <si>
    <t>ЛДСП H3451 ST22 25*2800*2070 мм Флитвуд шампань Egger</t>
  </si>
  <si>
    <t>ЛДСП H3453 ST22 08*2800*2070 мм Флитвуд серая лава Egger</t>
  </si>
  <si>
    <t>ЛДСП H3453 ST22 16*2800*2070 мм Флитвуд серая лава Egger</t>
  </si>
  <si>
    <t>ЛДСП H3453 ST22 18*2800*2070 мм Флитвуд серая лава Egger</t>
  </si>
  <si>
    <t>ЛДСП H3453 ST22 25*2800*2070 мм Флитвуд серая лава Egger</t>
  </si>
  <si>
    <t>ЛДСП H3704 ST15 16*2800*2070 мм Орех Аида табак Egger</t>
  </si>
  <si>
    <t>H3704</t>
  </si>
  <si>
    <t>Орех Аида табак</t>
  </si>
  <si>
    <t>ЛДСП H3710 ST12 08*2800*2070 мм Орех Карини натуральный Egger</t>
  </si>
  <si>
    <t>ЛДСП H3710 ST12 16*2800*2070 мм Орех Карини натуральный Egger</t>
  </si>
  <si>
    <t>ЛДСП H3710 ST12 18*2800*2070 мм Орех Карини натуральный Egger</t>
  </si>
  <si>
    <t>ЛДСП H3710 ST12 25*2800*2070 мм Орех Карини натуральный Egger</t>
  </si>
  <si>
    <t>ЛДСП H3730 ST10 08*2800*2070 мм Гикори натуральный Egger</t>
  </si>
  <si>
    <t>ЛДСП H3730 ST10 16*2800*2070 мм Гикори натуральный Egger</t>
  </si>
  <si>
    <t>ЛДСП H3730 ST10 18*2800*2070 мм Гикори натуральный Egger</t>
  </si>
  <si>
    <t>ЛДСП H3730 ST10 25*2800*2070 мм Гикори натуральный Egger</t>
  </si>
  <si>
    <t>ЛДСП H3734 ST9 08*2800*2070 мм Орех Дижон натуральный Egger</t>
  </si>
  <si>
    <t>ЛДСП H3734 ST9 16*2800*2070 мм Орех Дижон натуральный Egger</t>
  </si>
  <si>
    <t>ЛДСП H3734 ST9 18*2800*2070 мм Орех Дижон натуральный Egger</t>
  </si>
  <si>
    <t>ЛДСП H3734 ST9 25*2800*2070 мм Орех Дижон натуральный Egger</t>
  </si>
  <si>
    <t>ЛДСП H3773 ST9 16*2800*2070 мм Орех Карини беленый Egger</t>
  </si>
  <si>
    <t>H3773</t>
  </si>
  <si>
    <t>Орех Карини беленый</t>
  </si>
  <si>
    <t>ЛДСП H3840 ST9 08*2800*2070 мм Клен Мандал натуральный Egger</t>
  </si>
  <si>
    <t>ЛДСП H3840 ST9 16*2800*2070 мм Клен Мандал натуральный Egger</t>
  </si>
  <si>
    <t>ЛДСП H3840 ST9 25*2800*2070 мм Клен Мандал натуральный Egger</t>
  </si>
  <si>
    <t>ЛДСП H3860 ST9 08*2800*2070 мм Клен сахарный шампань Egger</t>
  </si>
  <si>
    <t>ЛДСП H3860 ST9 16*2800*2070 мм Клен сахарный шампань Egger</t>
  </si>
  <si>
    <t>ЛДСП H3860 ST9 25*2800*2070 мм Клен сахарный шампань Egger</t>
  </si>
  <si>
    <t>ЛДСП AU636 ST9 16*2800*2070 мм Фьерд зеленый Egger</t>
  </si>
  <si>
    <t>ЛДСП U104 ST9 08*2800*2070 мм Алебастр белый Egger</t>
  </si>
  <si>
    <t>ЛДСП U104 ST9 16*2800*2070 мм Алебастр белый Egger</t>
  </si>
  <si>
    <t>ЛДСП U104 ST9 18*2800*2070 мм Алебастр белый Egger</t>
  </si>
  <si>
    <t>ЛДСП U104 ST9 25*2800*2070 мм Алебастр белый Egger</t>
  </si>
  <si>
    <t>ЛДСП U108 ST9 08*2800*2070 мм Ванильный желтый Egger</t>
  </si>
  <si>
    <t>ЛДСП U108 ST9 16*2800*2070 мм Ванильный желтый Egger</t>
  </si>
  <si>
    <t>ЛДСП U108 ST9 18*2800*2070 мм Ванильный желтый Egger</t>
  </si>
  <si>
    <t>ЛДСП U108 ST9 25*2800*2070 мм Ванильный желтый Egger</t>
  </si>
  <si>
    <t>ЛДСП U113 ST9 08*2800*2070 мм Коттон бежевый Egger</t>
  </si>
  <si>
    <t>ЛДСП U113 ST9 16*2800*2070 мм Коттон бежевый Egger</t>
  </si>
  <si>
    <t>ЛДСП U113 ST9 18*2800*2070 мм Коттон бежевый Egger</t>
  </si>
  <si>
    <t>ЛДСП U113 ST9 25*2800*2070 мм Коттон бежевый Egger</t>
  </si>
  <si>
    <t>ЛДСП U114 ST9 16*2800*2070 мм Желтый бриллиант Egger</t>
  </si>
  <si>
    <t>ЛДСП U156 ST9 08*2800*2070 мм Бежевый песок Egger</t>
  </si>
  <si>
    <t>ЛДСП U156 ST9 16*2800*2070 мм Бежевый песок Egger</t>
  </si>
  <si>
    <t>ЛДСП U156 ST9 18*2800*2070 мм Бежевый песок Egger</t>
  </si>
  <si>
    <t>ЛДСП U156 ST9 25*2800*2070 мм Бежевый песок Egger</t>
  </si>
  <si>
    <t>ЛДСП U200 ST9 08*2800*2070 мм Бежевый Egger</t>
  </si>
  <si>
    <t>ЛДСП U200 ST9 16*2800*2070 мм Бежевый Egger</t>
  </si>
  <si>
    <t>ЛДСП U200 ST9 18*2800*2070 мм Бежевый Egger</t>
  </si>
  <si>
    <t>ЛДСП U200 ST9 25*2800*2070 мм Бежевый Egger</t>
  </si>
  <si>
    <t>ЛДСП U201 ST9 08*2800*2070 мм Серая галька Egger</t>
  </si>
  <si>
    <t>ЛДСП U201 ST9 16*2800*2070 мм Серая галька Egger</t>
  </si>
  <si>
    <t>ЛДСП U201 ST9 18*2800*2070 мм Серая галька Egger</t>
  </si>
  <si>
    <t>ЛДСП U201 ST9 25*2800*2070 мм Серая галька Egger</t>
  </si>
  <si>
    <t>ЛДСП U216 ST9 16*2800*2070 мм Камель бежевый Egger</t>
  </si>
  <si>
    <t>ЛДСП U216 ST9 18*2800*2070 мм Камель бежевый Egger</t>
  </si>
  <si>
    <t>ЛДСП U222 ST9 08*2800*2070 мм Крем бежевый Egger</t>
  </si>
  <si>
    <t>ЛДСП U222 ST9 16*2800*2070 мм Крем бежевый Egger</t>
  </si>
  <si>
    <t>ЛДСП U222 ST9 18*2800*2070 мм Крем бежевый Egger</t>
  </si>
  <si>
    <t>ЛДСП U222 ST9 25*2800*2070 мм Крем бежевый Egger</t>
  </si>
  <si>
    <t>ЛДСП U311 ST9 16*2800*2070 мм Бургундский красный Egger</t>
  </si>
  <si>
    <t>ЛДСП U321 ST9 08*2800*2070 мм Красный китайский Egger</t>
  </si>
  <si>
    <t>ЛДСП U321 ST9 16*2800*2070 мм Красный китайский Egger</t>
  </si>
  <si>
    <t>ЛДСП U321 ST9 25*2800*2070 мм Красный китайский Egger</t>
  </si>
  <si>
    <t>ЛДСП U332 ST9 16*2800*2070 мм Оранжевый Egger</t>
  </si>
  <si>
    <t>ЛДСП U337 ST9 16*2800*2070 мм Фуксия розовая Egger</t>
  </si>
  <si>
    <t>ЛДСП U504 ST9 16*2800*2070 мм Альпийское озеро Egger</t>
  </si>
  <si>
    <t>ЛДСП U525 ST9 08*2800*2070 мм Делфт голубой Egger</t>
  </si>
  <si>
    <t>ЛДСП U525 ST9 16*2800*2070 мм Делфт голубой Egger</t>
  </si>
  <si>
    <t>ЛДСП U525 ST9 25*2800*2070 мм Делфт голубой Egger</t>
  </si>
  <si>
    <t>ЛДСП U626 ST9 16*2800*2070 мм Зеленый киви Egger</t>
  </si>
  <si>
    <t>ЛДСП U702 ST9 08*2800*2070 мм Кашемир серый Egger</t>
  </si>
  <si>
    <t>ЛДСП U702 ST9 16*2800*2070 мм Кашемир серый Egger</t>
  </si>
  <si>
    <t>ЛДСП U702 ST9 18*2800*2070 мм Кашемир серый Egger</t>
  </si>
  <si>
    <t>ЛДСП U702 ST9 25*2800*2070 мм Кашемир серый Egger</t>
  </si>
  <si>
    <t>ЛДСП U707 ST9 08*2800*2070 мм Шелк серый Egger</t>
  </si>
  <si>
    <t>ЛДСП U707 ST9 16*2800*2070 мм Шелк серый Egger</t>
  </si>
  <si>
    <t>ЛДСП U707 ST9 25*2800*2070 мм Шелк серый Egger</t>
  </si>
  <si>
    <t>ЛДСП U708 ST9 08*2800*2070 мм Светло-серый Egger</t>
  </si>
  <si>
    <t>ЛДСП U708 ST9 16*2800*2070 мм Светло-серый Egger</t>
  </si>
  <si>
    <t>ЛДСП U708 ST9 16*2800*2070 мм Светло-серый влагостойкий Egger</t>
  </si>
  <si>
    <t>ЛДСП U708 ST9 18*2800*2070 мм Светло-серый Egger</t>
  </si>
  <si>
    <t>ЛДСП U708 ST9 25*2800*2070 мм Светло-серый Egger</t>
  </si>
  <si>
    <t>ЛДСП U727 ST9 16*2800*2070 мм Серый камень Egger</t>
  </si>
  <si>
    <t>ЛДСП U727 ST9 18*2800*2070 мм Серый камень Egger</t>
  </si>
  <si>
    <t>ЛДСП U727 ST9 25*2800*2070 мм Серый камень Egger</t>
  </si>
  <si>
    <t>ЛДСП U732 ST9 08*2800*2070 мм Серый пыльный Egger</t>
  </si>
  <si>
    <t>ЛДСП U732 ST9 16*2800*2070 мм Серый пыльный Egger</t>
  </si>
  <si>
    <t>ЛДСП U732 ST9 18*2800*2070 мм Серый пыльный Egger</t>
  </si>
  <si>
    <t>ЛДСП U732 ST9 25*2800*2070 мм Серый пыльный Egger</t>
  </si>
  <si>
    <t>ЛДСП U741 ST9 16*2800*2070 мм Лава серая Egger</t>
  </si>
  <si>
    <t>ЛДСП U748 ST9 08*2800*2070 мм Трюфель коричневый Egger</t>
  </si>
  <si>
    <t>ЛДСП U748 ST9 16*2800*2070 мм Трюфель коричневый Egger</t>
  </si>
  <si>
    <t>ЛДСП U748 ST9 18*2800*2070 мм Трюфель коричневый Egger</t>
  </si>
  <si>
    <t>ЛДСП U748 ST9 25*2800*2070 мм Трюфель коричневый Egger</t>
  </si>
  <si>
    <t>ЛДСП U750 ST9 16*2800*2070 мм Ярко-серый Egger</t>
  </si>
  <si>
    <t>ЛДСП U763 ST9 16*2800*2070 мм Серый перламутровый Egger</t>
  </si>
  <si>
    <t>ЛДСП U763 ST9 18*2800*2070 мм Серый перламутровый Egger</t>
  </si>
  <si>
    <t>ЛДСП U763 ST9 25*2800*2070 мм Серый перламутровый Egger</t>
  </si>
  <si>
    <t>ЛДСП U767 ST9 16*2800*2070 мм Кубанит серый Egger</t>
  </si>
  <si>
    <t>ЛДСП U775 ST9 16*2800*2070 мм Бело-серый Egger</t>
  </si>
  <si>
    <t>ЛДСП U780 ST9 16*2800*2070 мм Серый монументальный Egger</t>
  </si>
  <si>
    <t>ЛДСП U788 ST9 08*2800*2070 мм Арктика серый Egger</t>
  </si>
  <si>
    <t>ЛДСП U788 ST9 16*2800*2070 мм Арктика серый Egger</t>
  </si>
  <si>
    <t>ЛДСП U788 ST9 18*2800*2070 мм Арктика серый Egger</t>
  </si>
  <si>
    <t>ЛДСП U788 ST9 25*2800*2070 мм Арктика серый Egger</t>
  </si>
  <si>
    <t>ЛДСП U818 ST9 16*2800*2070 мм Темно-коричневый Egger</t>
  </si>
  <si>
    <t>ЛДСП U899 ST9 08*2800*2070 мм Нежный черный Egger</t>
  </si>
  <si>
    <t>ЛДСП U899 ST9 16*2800*2070 мм Нежный черный Egger</t>
  </si>
  <si>
    <t>ЛДСП U899 ST9 18*2800*2070 мм Нежный черный Egger</t>
  </si>
  <si>
    <t>ЛДСП U899 ST9 25*2800*2070 мм Нежный черный Egger</t>
  </si>
  <si>
    <t>ЛДСП U960 ST9 16*2800*2070 мм Оникс серый Egger</t>
  </si>
  <si>
    <t>ЛДСП U960 ST9 18*2800*2070 мм Оникс серый Egger</t>
  </si>
  <si>
    <t>ЛДСП U960 ST9 25*2800*2070 мм Оникс серый Egger</t>
  </si>
  <si>
    <t>ЛДСП U961 ST19 16*2800*2070 мм Черный графит Egger</t>
  </si>
  <si>
    <t>ЛДСП U961 ST2 08*2800*2070 мм Черный графит Egger</t>
  </si>
  <si>
    <t>ЛДСП U961 ST2 16*2800*2070 мм Черный графит Egger</t>
  </si>
  <si>
    <t>ЛДСП U961 ST2 18*2800*2070 мм Черный графит Egger</t>
  </si>
  <si>
    <t>ЛДСП U961 ST2 25*2800*2070 мм Черный графит Egger</t>
  </si>
  <si>
    <t>ЛДСП U963 ST9 08*2800*2070 мм Диамант серый Egger</t>
  </si>
  <si>
    <t>ЛДСП U963 ST9 16*2800*2070 мм Диамант серый Egger</t>
  </si>
  <si>
    <t>ЛДСП U963 ST9 18*2800*2070 мм Диамант серый Egger</t>
  </si>
  <si>
    <t>ЛДСП U963 ST9 25*2800*2070 мм Диамант серый Egger</t>
  </si>
  <si>
    <t>ЛДСП U968 ST9 08*2800*2070 мм Серый уголь Egger</t>
  </si>
  <si>
    <t>ЛДСП U968 ST9 16*2800*2070 мм Серый уголь Egger</t>
  </si>
  <si>
    <t>ЛДСП U968 ST9 18*2800*2070 мм Серый уголь Egger</t>
  </si>
  <si>
    <t>ЛДСП U968 ST9 25*2800*2070 мм Серый уголь Egger</t>
  </si>
  <si>
    <t>ЛДСП U998 ST38 08*2800*2070 мм Лес черный Egger</t>
  </si>
  <si>
    <t>ЛДСП U998 ST38 16*2800*2070 мм Лес черный Egger</t>
  </si>
  <si>
    <t>ЛДСП U998 ST38 18*2800*2070 мм Лес черный Egger</t>
  </si>
  <si>
    <t>ЛДСП U998 ST38 25*2800*2070 мм Лес черный Egger</t>
  </si>
  <si>
    <t>ЛДСП U999 ST19 16*2800*2070 мм Черный Egger</t>
  </si>
  <si>
    <t>ЛДСП U999 ST2 08*2800*2070 мм Черный Egger</t>
  </si>
  <si>
    <t>ЛДСП U999 ST2 16*2800*2070 мм Черный Egger</t>
  </si>
  <si>
    <t>ЛДСП U999 ST2 18*2800*2070 мм Черный Egger</t>
  </si>
  <si>
    <t>ЛДСП U999 ST2 25*2800*2070 мм Черный Egger</t>
  </si>
  <si>
    <t>ЛДСП AF416 ST10 08*2800*2070 мм Текстиль бежевый Egger</t>
  </si>
  <si>
    <t>AF416</t>
  </si>
  <si>
    <t>ЛДСП AF416 ST10 16*2800*2070 мм Текстиль бежевый Egger</t>
  </si>
  <si>
    <t>ЛДСП AF416 ST10 25*2800*2070 мм Текстиль бежевый Egger</t>
  </si>
  <si>
    <t>ЛДСП F186 ST9 08*2800*2070 мм Бетон Чикаго светло-серый Egger</t>
  </si>
  <si>
    <t>ЛДСП F186 ST9 16*2800*2070 мм Бетон Чикаго светло-серый Egger</t>
  </si>
  <si>
    <t>ЛДСП F186 ST9 18*2800*2070 мм Бетон Чикаго светло-серый Egger</t>
  </si>
  <si>
    <t>ЛДСП F186 ST9 25*2800*2070 мм Бетон Чикаго светло-серый Egger</t>
  </si>
  <si>
    <t>ЛДСП F187 ST9 08*2800*2070 мм Бетон Чикаго темно-серый Egger</t>
  </si>
  <si>
    <t>ЛДСП F187 ST9 16*2800*2070 мм Бетон Чикаго темно-серый Egger</t>
  </si>
  <si>
    <t>ЛДСП F187 ST9 18*2800*2070 мм Бетон Чикаго темно-серый Egger</t>
  </si>
  <si>
    <t>ЛДСП F187 ST9 25*2800*2070 мм Бетон Чикаго темно-серый Egger</t>
  </si>
  <si>
    <t>ЛДСП F204 ST9 16*2800*2070 мм Мрамор Каррара белый Egger</t>
  </si>
  <si>
    <t>ЛДСП F206 ST9 16*2800*2070 мм Камень Пьетра Гриджиа черный Egger</t>
  </si>
  <si>
    <t>ЛДСП F302 ST87 16*2800*2070 мм Ферро бронза Egger</t>
  </si>
  <si>
    <t>ЛДСП F433 ST10 16*2800*2070 мм Лен антрацит Egger</t>
  </si>
  <si>
    <t>ЛДСП F501 ST2 08*2800*2070 мм Алюминий матированный Egger</t>
  </si>
  <si>
    <t>ЛДСП F501 ST2 16*2800*2070 мм Алюминий матированный Egger</t>
  </si>
  <si>
    <t>ЛДСП F501 ST2 25*2800*2070 мм Алюминий матированный Egger</t>
  </si>
  <si>
    <t>ЛДСП F509 ST2 08*2800*2070 мм Алюминий Egger</t>
  </si>
  <si>
    <t>ЛДСП F509 ST2 16*2800*2070 мм Алюминий Egger</t>
  </si>
  <si>
    <t>ЛДСП F509 ST2 25*2800*2070 мм Алюминий Egger</t>
  </si>
  <si>
    <t>ЛДСП F637 ST16 16*2800*2070 мм Хромикс белый Egger</t>
  </si>
  <si>
    <t>ЛДСП F642 ST16 16*2800*2070 мм Хромикс бронза Egger</t>
  </si>
  <si>
    <t>ЛДСП F812 ST9 16*2800*2070 мм Мрамор Леванто белый Egger</t>
  </si>
  <si>
    <t>ЛДСП PS</t>
  </si>
  <si>
    <t>PS Feelwood und Texture ЛДСП</t>
  </si>
  <si>
    <t>TM37/ST37</t>
  </si>
  <si>
    <t>ЛМДФ</t>
  </si>
  <si>
    <t>ЛМДФ 8681 16*2800*2070 мм Белый бриллиант Ultra Gloss Кроношпан</t>
  </si>
  <si>
    <t>Ultra Gloss</t>
  </si>
  <si>
    <t>ЛМДФ W980 SM 06*2800*2070 мм Белый платиновый MB 1-сторонний Egger</t>
  </si>
  <si>
    <t>06</t>
  </si>
  <si>
    <t>MB 1-сторонний</t>
  </si>
  <si>
    <t>ЛМДФ W980 SM 10*2800*2070 мм Белый платиновый MB 2-сторонний Egger</t>
  </si>
  <si>
    <t>MB 2-сторонний</t>
  </si>
  <si>
    <t>ЛМДФ W980 SM 16*2800*2070 мм Белый платиновый MB 1-сторонний Egger</t>
  </si>
  <si>
    <t>ЛМДФ W980 SM 16*2800*2070 мм Белый платиновый MB 2-сторонний Egger</t>
  </si>
  <si>
    <t>ЛМДФ W980 SM 16*2800*2070 мм Белый платиновый ST 1-сторонний Egger</t>
  </si>
  <si>
    <t>ST 1-сторонний</t>
  </si>
  <si>
    <t>ЛМДФ W980 SM 16*2800*2070 мм Белый платиновый ST 2-сторонний Egger</t>
  </si>
  <si>
    <t>ST 2-сторонний</t>
  </si>
  <si>
    <t>ЛМДФ W980 SM 18*2800*2070 мм Белый платиновый MB 1-сторонний Egger</t>
  </si>
  <si>
    <t>ЛМДФ W980 SM 19*2800*2070 мм Белый платиновый MB 1-сторонний Egger</t>
  </si>
  <si>
    <t>ЛМДФ W980 SM 19*2800*2070 мм Белый платиновый MB 2-сторонний Egger</t>
  </si>
  <si>
    <t>ЛМДФ W980 SM 19*2800*2070 мм Белый платиновый ST 1-сторонний Egger</t>
  </si>
  <si>
    <t>ЛМДФ W980 SM 19*2800*2070 мм Белый платиновый ST 2-сторонний Egger</t>
  </si>
  <si>
    <t>ЛМДФ W980 SM 22*2800*2070 мм Белый платиновый MB 1-сторонний Egger</t>
  </si>
  <si>
    <t>22</t>
  </si>
  <si>
    <t>ЛМДФ W980 SM 22*2800*2070 мм Белый платиновый MB 2-сторонний Egger</t>
  </si>
  <si>
    <t>ЛМДФ W980 SM 22*2800*2070 мм Белый платиновый ST 1-сторонний Egger</t>
  </si>
  <si>
    <t>ЛМДФ W980 SM 25*2800*2070 мм Белый платиновый ST 1-сторонний Egger</t>
  </si>
  <si>
    <t>ЛМДФ W980 SM 25*2800*2070 мм Белый платиновый ST 2-сторонний Egger</t>
  </si>
  <si>
    <t>ЛМДФ PerfectSense</t>
  </si>
  <si>
    <t>PerfectSense</t>
  </si>
  <si>
    <t>PG/ST9</t>
  </si>
  <si>
    <t>PM/ST9</t>
  </si>
  <si>
    <t>F120</t>
  </si>
  <si>
    <t>Камень Металл светло серый</t>
  </si>
  <si>
    <t>ЛХДФ</t>
  </si>
  <si>
    <t>ЛХДФ 0191 PE 03*2800*2070 мм Холодный Серый 1-сторонний Кроношпан</t>
  </si>
  <si>
    <t>ХДФ крашеная, лакированная Кроношпан</t>
  </si>
  <si>
    <t>0191</t>
  </si>
  <si>
    <t>Холодный Серый</t>
  </si>
  <si>
    <t>PE</t>
  </si>
  <si>
    <t>03</t>
  </si>
  <si>
    <t>1-сторонний</t>
  </si>
  <si>
    <t>ЛХДФ 0522 PE 03*2800*2070 мм Бежевый 1-сторонний Кроношпан</t>
  </si>
  <si>
    <t>0522</t>
  </si>
  <si>
    <t>ЛХДФ 101 PE 03*2800*2070 мм Белый 1-сторонний Кроношпан</t>
  </si>
  <si>
    <t>101</t>
  </si>
  <si>
    <t>ЛХДФ 101 PE 03*2800*2070 мм Белый 2-сторонний Kronospan Польша</t>
  </si>
  <si>
    <t>2-сторонний</t>
  </si>
  <si>
    <t>ЛХДФ 164 PE 03*2800*2070 мм Антрацит (961) 1-сторонний Кроношпан</t>
  </si>
  <si>
    <t>164</t>
  </si>
  <si>
    <t>Kronospan</t>
  </si>
  <si>
    <t>3025</t>
  </si>
  <si>
    <t>Дуб Сонома Светлый</t>
  </si>
  <si>
    <t>ЛХДФ 375 PE 03*2800*2070 мм Клен 1-сторонний Кроношпан</t>
  </si>
  <si>
    <t>375</t>
  </si>
  <si>
    <t>Клен</t>
  </si>
  <si>
    <t>ЛХДФ 8197 PE 03*2800*2070 мм Дуб Винтаж Платина 1-сторонний Кроношпан</t>
  </si>
  <si>
    <t>8197</t>
  </si>
  <si>
    <t>Дуб Винтаж Платина</t>
  </si>
  <si>
    <t>ЛХДФ 9182 PE 03*2800*2070 мм Венге 1-сторонний Кроношпан</t>
  </si>
  <si>
    <t>9182</t>
  </si>
  <si>
    <t>Венге</t>
  </si>
  <si>
    <t>ЛХДФ K001/H1122/H3403/H3430/H3433/H3450 PE 03*2800*2070 мм Дуб Крафт Белый 1-сторонний Кроношпан</t>
  </si>
  <si>
    <t>K001</t>
  </si>
  <si>
    <t>Дуб Крафт Белый</t>
  </si>
  <si>
    <t>ЛХДФ K003/H1251/H1318/H1582/H1511/H3395/H3730 PE 03*2800*2070 мм Дуб Крафт Золотой 1-сторонний Кроношпан</t>
  </si>
  <si>
    <t>K003</t>
  </si>
  <si>
    <t>Дуб Крафт Золотой</t>
  </si>
  <si>
    <t>ЛХДФ K004/H3048/H3154/H3398/H1344/H3702/H3704/H3734/H1714 PE 03*2800*2070 мм Дуб Крафт Табачный 1-сторонний Кроношпан</t>
  </si>
  <si>
    <t>K004</t>
  </si>
  <si>
    <t>Дуб Крафт Табачный</t>
  </si>
  <si>
    <t>МДФ</t>
  </si>
  <si>
    <t>04</t>
  </si>
  <si>
    <t>МДФ 06*2800*2070 мм MB шлифованный Egger</t>
  </si>
  <si>
    <t>MB шлифованный</t>
  </si>
  <si>
    <t>МДФ 08*2800*2070 мм MB шлифованный Egger</t>
  </si>
  <si>
    <t>МДФ 10*2800*2070 мм MB шлифованный Egger</t>
  </si>
  <si>
    <t>МДФ 12*2800*2070 мм ST шлифованный Egger</t>
  </si>
  <si>
    <t>12</t>
  </si>
  <si>
    <t>ST шлифованный</t>
  </si>
  <si>
    <t>МДФ ОСОБЫЙ KRONOSPAN</t>
  </si>
  <si>
    <t>МДФ 16*2800*2070 мм MB шлифованный Egger</t>
  </si>
  <si>
    <t>МДФ 16*2800*2070 мм MR влагостойкий шлифованный Kronospan</t>
  </si>
  <si>
    <t>MR влагостойкий шлифованный</t>
  </si>
  <si>
    <t>МДФ 16*2800*2070 мм ST шлифованный Egger</t>
  </si>
  <si>
    <t>МДФ 18*2800*2070 мм MB шлифованный Egger</t>
  </si>
  <si>
    <t>МДФ 18*2800*2070 мм ST шлифованный Egger</t>
  </si>
  <si>
    <t>МДФ 19*2800*2070 мм MB шлифованный Egger</t>
  </si>
  <si>
    <t>МДФ 19*2800*2070 мм ST шлифованный Egger</t>
  </si>
  <si>
    <t>МДФ 22*2800*2070 мм MB шлифованный Egger</t>
  </si>
  <si>
    <t>МДФ 22*2800*2070 мм ST шлифованный Egger</t>
  </si>
  <si>
    <t>МДФ 25*2800*2070 мм ST шлифованный Egger</t>
  </si>
  <si>
    <t>МДФ 30*2800*2070 мм ST шлифованный Egger</t>
  </si>
  <si>
    <t>30</t>
  </si>
  <si>
    <t>МДФ SM 19*2800*2070 мм MB GFE 2-сторонний с грунтовочным покрытием Egger</t>
  </si>
  <si>
    <t>MB GFE 2-сторонний с грунтовочным покрытием</t>
  </si>
  <si>
    <t>ХДФ</t>
  </si>
  <si>
    <t>ХДФ 03*2800*2070 мм Кроношпан</t>
  </si>
  <si>
    <t>Кодировка цвета</t>
  </si>
  <si>
    <t>Расшифровка цвета</t>
  </si>
  <si>
    <t>Для заказа</t>
  </si>
  <si>
    <t>Вид</t>
  </si>
  <si>
    <t>Цветовая группа</t>
  </si>
  <si>
    <t>Номер в Заявке</t>
  </si>
  <si>
    <t>Базовая единица</t>
  </si>
  <si>
    <t>м</t>
  </si>
  <si>
    <t>Кромкооблицовка</t>
  </si>
  <si>
    <t>Кромление глянцевых материалов PerfectSense</t>
  </si>
  <si>
    <t>Кромление ПВХ 0,4 мм 16-18 мм</t>
  </si>
  <si>
    <t>Кромление ПВХ 0,4 мм 25 мм</t>
  </si>
  <si>
    <t>Кромление ПВХ 1 мм 16-18 мм</t>
  </si>
  <si>
    <t>Кромление ПВХ 1 мм 25 мм</t>
  </si>
  <si>
    <t>Кромление ПВХ 2,0 мм 16-18 мм</t>
  </si>
  <si>
    <t>Кромление ПВХ 2,0 мм 25 мм</t>
  </si>
  <si>
    <t>Кромление ПВХ 2,0 мм свыше 25 мм</t>
  </si>
  <si>
    <t>Услуга</t>
  </si>
  <si>
    <t>Цена плиты</t>
  </si>
  <si>
    <t>Цена 2,0 Кромки</t>
  </si>
  <si>
    <t>Кол-во 2,0 кромки (м)</t>
  </si>
  <si>
    <t>Цена 0,8 Кромки</t>
  </si>
  <si>
    <t>Цена 0,4 Кромки</t>
  </si>
  <si>
    <t>№</t>
  </si>
  <si>
    <r>
      <t xml:space="preserve">Кол-во кромки 
</t>
    </r>
    <r>
      <rPr>
        <b/>
        <sz val="7"/>
        <rFont val="Arial"/>
        <family val="2"/>
        <charset val="204"/>
      </rPr>
      <t>(в метрах)</t>
    </r>
    <r>
      <rPr>
        <b/>
        <sz val="10"/>
        <rFont val="Arial"/>
        <family val="2"/>
        <charset val="204"/>
      </rPr>
      <t xml:space="preserve"> </t>
    </r>
  </si>
  <si>
    <t>кв.м</t>
  </si>
  <si>
    <t>Ссылка на чертеж</t>
  </si>
  <si>
    <t>кр.L1</t>
  </si>
  <si>
    <t>кр.L2</t>
  </si>
  <si>
    <t>кр.W3</t>
  </si>
  <si>
    <t>кр.W4</t>
  </si>
  <si>
    <t>площ.</t>
  </si>
  <si>
    <t>Дата</t>
  </si>
  <si>
    <t>Заказ №</t>
  </si>
  <si>
    <t>(Название компании, ФИО, телефон, e-mail)</t>
  </si>
  <si>
    <t>При оформлении заказа в офисе +20% к стоимости услуг!</t>
  </si>
  <si>
    <t>Перейти к Расчету</t>
  </si>
  <si>
    <t>Перейти к Бланку Заказа</t>
  </si>
  <si>
    <t>Вернуться к выбору плиты</t>
  </si>
  <si>
    <t xml:space="preserve">недозаполнили предыдущую </t>
  </si>
  <si>
    <t>длина (по волокнам), мм в пересчете на ко-во</t>
  </si>
  <si>
    <t>ширина (поперек волокон), мм  в пересчете на ко-во</t>
  </si>
  <si>
    <r>
      <rPr>
        <sz val="10"/>
        <rFont val="Arial"/>
        <family val="2"/>
        <charset val="204"/>
      </rPr>
      <t>Толщина и цвет материал</t>
    </r>
    <r>
      <rPr>
        <b/>
        <sz val="8"/>
        <rFont val="BatangChe"/>
        <family val="3"/>
        <charset val="204"/>
      </rPr>
      <t xml:space="preserve">
</t>
    </r>
    <r>
      <rPr>
        <b/>
        <sz val="6"/>
        <color rgb="FFC00000"/>
        <rFont val="Britannic Bold"/>
        <family val="2"/>
      </rPr>
      <t>(выбрать из выпадающего списка)</t>
    </r>
  </si>
  <si>
    <r>
      <t xml:space="preserve">кромка 
</t>
    </r>
    <r>
      <rPr>
        <b/>
        <sz val="5"/>
        <color rgb="FFC00000"/>
        <rFont val="Britannic Bold"/>
        <family val="2"/>
      </rPr>
      <t>(выбрать из списка)</t>
    </r>
    <r>
      <rPr>
        <sz val="8"/>
        <rFont val="Arial"/>
        <family val="2"/>
        <charset val="204"/>
      </rPr>
      <t xml:space="preserve">
</t>
    </r>
  </si>
  <si>
    <r>
      <t xml:space="preserve">длина (по волокнам), мм
</t>
    </r>
    <r>
      <rPr>
        <sz val="6"/>
        <color rgb="FFC00000"/>
        <rFont val="Arial"/>
        <family val="2"/>
        <charset val="204"/>
      </rPr>
      <t>(Заполнить)</t>
    </r>
  </si>
  <si>
    <r>
      <t xml:space="preserve">ширина (поперек волокон), мм
</t>
    </r>
    <r>
      <rPr>
        <sz val="6"/>
        <color rgb="FFC00000"/>
        <rFont val="Arial"/>
        <family val="2"/>
        <charset val="204"/>
      </rPr>
      <t>(Заполнить)</t>
    </r>
  </si>
  <si>
    <r>
      <t xml:space="preserve">кол-во деталей
</t>
    </r>
    <r>
      <rPr>
        <sz val="6"/>
        <color rgb="FFC00000"/>
        <rFont val="Arial"/>
        <family val="2"/>
        <charset val="204"/>
      </rPr>
      <t>(Заполнить)</t>
    </r>
  </si>
  <si>
    <r>
      <t xml:space="preserve">Вращение
</t>
    </r>
    <r>
      <rPr>
        <sz val="6"/>
        <color rgb="FFC00000"/>
        <rFont val="Arial"/>
        <family val="2"/>
        <charset val="204"/>
      </rPr>
      <t>(выбрать из списка)</t>
    </r>
  </si>
  <si>
    <t>плиты</t>
  </si>
  <si>
    <t>Кромки к ним</t>
  </si>
  <si>
    <t>Цена Кромки 1,0 для лмдф ps</t>
  </si>
  <si>
    <t>Сумма  Кромка</t>
  </si>
  <si>
    <t>Сумма
Распил</t>
  </si>
  <si>
    <t>цена кромление 2,0</t>
  </si>
  <si>
    <t>кол-во кромление 2,0</t>
  </si>
  <si>
    <t>цена кромление 0,8</t>
  </si>
  <si>
    <t>кол-во кромление 0,8</t>
  </si>
  <si>
    <t>цена кромление 0,4</t>
  </si>
  <si>
    <t>кол-во кромление 0,4</t>
  </si>
  <si>
    <t>цена кромление 1,0</t>
  </si>
  <si>
    <t>кол-во кромление 1,0</t>
  </si>
  <si>
    <r>
      <t xml:space="preserve">Кол-во кромление
</t>
    </r>
    <r>
      <rPr>
        <b/>
        <sz val="7"/>
        <rFont val="Arial"/>
        <family val="2"/>
        <charset val="204"/>
      </rPr>
      <t xml:space="preserve">(в метрах) </t>
    </r>
  </si>
  <si>
    <t>Сумма
Кромление</t>
  </si>
  <si>
    <r>
      <t xml:space="preserve">В случае изменения исполнителем даты готовности заказа, менеджер ОБЯЗАН предупредить заказчика не менее чем за день до запланированной даты готовности. При не соблюдении данного условия, </t>
    </r>
    <r>
      <rPr>
        <sz val="9"/>
        <color indexed="10"/>
        <rFont val="Arial"/>
        <family val="2"/>
        <charset val="204"/>
      </rPr>
      <t>доставка заказа производится за счет компании</t>
    </r>
    <r>
      <rPr>
        <sz val="9"/>
        <rFont val="Arial"/>
        <family val="2"/>
        <charset val="204"/>
      </rPr>
      <t>.</t>
    </r>
  </si>
  <si>
    <r>
      <rPr>
        <b/>
        <sz val="12"/>
        <rFont val="Arial"/>
        <family val="2"/>
        <charset val="204"/>
      </rPr>
      <t>Менеджер</t>
    </r>
    <r>
      <rPr>
        <sz val="12"/>
        <rFont val="Arial"/>
        <family val="2"/>
        <charset val="204"/>
      </rPr>
      <t xml:space="preserve"> ________________________</t>
    </r>
  </si>
  <si>
    <t>Заказчик_________________________</t>
  </si>
  <si>
    <r>
      <rPr>
        <sz val="12"/>
        <color indexed="10"/>
        <rFont val="Arial"/>
        <family val="2"/>
        <charset val="204"/>
      </rPr>
      <t>Внимание</t>
    </r>
    <r>
      <rPr>
        <sz val="12"/>
        <rFont val="Arial"/>
        <family val="2"/>
        <charset val="204"/>
      </rPr>
      <t xml:space="preserve"> - хранение остатков материала составляет 50р за один рабочий день.</t>
    </r>
  </si>
  <si>
    <t xml:space="preserve">                                               хранение  оплачивается в день оформления заказа.</t>
  </si>
  <si>
    <r>
      <rPr>
        <sz val="12"/>
        <color indexed="10"/>
        <rFont val="Baskerville Old Face"/>
        <family val="1"/>
      </rPr>
      <t>Остатки</t>
    </r>
    <r>
      <rPr>
        <sz val="12"/>
        <color indexed="8"/>
        <rFont val="Baskerville Old Face"/>
        <family val="1"/>
      </rPr>
      <t xml:space="preserve"> от заказа упиливаются в размер 2770*750 и упаковываются вместе с заказом.                                                                                         </t>
    </r>
  </si>
  <si>
    <t>При отказе от остатков они утилизируются в день изготовления заказа</t>
  </si>
  <si>
    <t>ИТОГ:</t>
  </si>
  <si>
    <t>Предварительная Сумма Заказа:</t>
  </si>
  <si>
    <t>Вернуться к Бланку Заказа</t>
  </si>
  <si>
    <t>Наименование декора</t>
  </si>
  <si>
    <t>В заказ</t>
  </si>
  <si>
    <t>Кол-во 0,8 кромки (м)</t>
  </si>
  <si>
    <t>Кол-во 0,4 кромки (м)</t>
  </si>
  <si>
    <t>Кол-во 1,0 кромки PS (м)</t>
  </si>
  <si>
    <t>Упаковка деталей картон</t>
  </si>
  <si>
    <t>м2</t>
  </si>
  <si>
    <t xml:space="preserve">Упаковка </t>
  </si>
  <si>
    <t>Сумма
Упаковка</t>
  </si>
  <si>
    <t>Прайс Услуги</t>
  </si>
  <si>
    <t xml:space="preserve">Сумма </t>
  </si>
  <si>
    <r>
      <t>Упаковка (м</t>
    </r>
    <r>
      <rPr>
        <vertAlign val="superscript"/>
        <sz val="6"/>
        <rFont val="Arial"/>
        <family val="2"/>
        <charset val="204"/>
      </rPr>
      <t>2</t>
    </r>
    <r>
      <rPr>
        <sz val="8"/>
        <rFont val="Arial"/>
        <family val="2"/>
      </rPr>
      <t>)</t>
    </r>
  </si>
  <si>
    <t>Кромление (м)</t>
  </si>
  <si>
    <t xml:space="preserve">Длина </t>
  </si>
  <si>
    <t>Ширина</t>
  </si>
  <si>
    <r>
      <t>нужная площадь в кв.м +20% и +20%</t>
    </r>
    <r>
      <rPr>
        <sz val="5"/>
        <rFont val="Arial"/>
        <family val="2"/>
        <charset val="204"/>
      </rPr>
      <t>для плит меньше 15мм</t>
    </r>
  </si>
  <si>
    <r>
      <t xml:space="preserve">Фрезеровка
</t>
    </r>
    <r>
      <rPr>
        <sz val="6"/>
        <color rgb="FFC00000"/>
        <rFont val="Arial"/>
        <family val="2"/>
        <charset val="204"/>
      </rPr>
      <t>(ДА / НЕТ)</t>
    </r>
  </si>
  <si>
    <t>Максимальная Сумма Заказа:</t>
  </si>
  <si>
    <r>
      <t xml:space="preserve">Сверление
</t>
    </r>
    <r>
      <rPr>
        <sz val="6"/>
        <color rgb="FFC00000"/>
        <rFont val="Arial"/>
        <family val="2"/>
        <charset val="204"/>
      </rPr>
      <t>(ДА / НЕТ)</t>
    </r>
  </si>
  <si>
    <t>за кв.м детали</t>
  </si>
  <si>
    <t>но не менее за деталь</t>
  </si>
  <si>
    <t>Распил:</t>
  </si>
  <si>
    <t>Присадки:</t>
  </si>
  <si>
    <t xml:space="preserve">Расчет распил </t>
  </si>
  <si>
    <t>Расчет присадки</t>
  </si>
  <si>
    <t>205 за кв.м детали</t>
  </si>
  <si>
    <t>но не менее 60 за деталь</t>
  </si>
  <si>
    <t>615 за кв.м детали</t>
  </si>
  <si>
    <t>но не менее 135 за деталь</t>
  </si>
  <si>
    <t>Сумма
Присадки</t>
  </si>
  <si>
    <r>
      <t>Распил (м</t>
    </r>
    <r>
      <rPr>
        <vertAlign val="superscript"/>
        <sz val="6"/>
        <rFont val="Arial"/>
        <family val="2"/>
        <charset val="204"/>
      </rPr>
      <t>2</t>
    </r>
    <r>
      <rPr>
        <sz val="8"/>
        <rFont val="Arial"/>
        <family val="2"/>
      </rPr>
      <t>)</t>
    </r>
  </si>
  <si>
    <r>
      <t>Фрезеровка/Сверление (м</t>
    </r>
    <r>
      <rPr>
        <vertAlign val="superscript"/>
        <sz val="6"/>
        <rFont val="Arial"/>
        <family val="2"/>
        <charset val="204"/>
      </rPr>
      <t>2</t>
    </r>
    <r>
      <rPr>
        <sz val="8"/>
        <rFont val="Arial"/>
        <family val="2"/>
      </rPr>
      <t>)</t>
    </r>
  </si>
  <si>
    <r>
      <rPr>
        <b/>
        <sz val="11"/>
        <color indexed="21"/>
        <rFont val="Arial"/>
        <family val="2"/>
        <charset val="204"/>
      </rPr>
      <t>Распил</t>
    </r>
    <r>
      <rPr>
        <b/>
        <sz val="10"/>
        <color indexed="21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205р.</t>
    </r>
    <r>
      <rPr>
        <b/>
        <sz val="10"/>
        <color indexed="21"/>
        <rFont val="Arial"/>
        <family val="2"/>
        <charset val="204"/>
      </rPr>
      <t xml:space="preserve"> за квадратный метр, но не менее </t>
    </r>
    <r>
      <rPr>
        <b/>
        <sz val="10"/>
        <color rgb="FFFF0000"/>
        <rFont val="Arial"/>
        <family val="2"/>
        <charset val="204"/>
      </rPr>
      <t>60р.</t>
    </r>
    <r>
      <rPr>
        <b/>
        <sz val="10"/>
        <color indexed="21"/>
        <rFont val="Arial"/>
        <family val="2"/>
        <charset val="204"/>
      </rPr>
      <t xml:space="preserve"> за деталь</t>
    </r>
  </si>
  <si>
    <r>
      <t xml:space="preserve">Сверление отверстий </t>
    </r>
    <r>
      <rPr>
        <b/>
        <sz val="10"/>
        <color rgb="FFFF0000"/>
        <rFont val="Arial"/>
        <family val="2"/>
        <charset val="204"/>
      </rPr>
      <t>615р.</t>
    </r>
    <r>
      <rPr>
        <b/>
        <sz val="10"/>
        <color indexed="21"/>
        <rFont val="Arial"/>
        <family val="2"/>
        <charset val="204"/>
      </rPr>
      <t xml:space="preserve"> за квадратный метр, но не менее </t>
    </r>
    <r>
      <rPr>
        <b/>
        <sz val="10"/>
        <color rgb="FFFF0000"/>
        <rFont val="Arial"/>
        <family val="2"/>
        <charset val="204"/>
      </rPr>
      <t>135р.</t>
    </r>
    <r>
      <rPr>
        <b/>
        <sz val="10"/>
        <color indexed="21"/>
        <rFont val="Arial"/>
        <family val="2"/>
        <charset val="204"/>
      </rPr>
      <t xml:space="preserve"> за деталь</t>
    </r>
  </si>
  <si>
    <r>
      <t xml:space="preserve">Фрезеровка </t>
    </r>
    <r>
      <rPr>
        <b/>
        <sz val="10"/>
        <color rgb="FFFF0000"/>
        <rFont val="Arial"/>
        <family val="2"/>
        <charset val="204"/>
      </rPr>
      <t>615р.</t>
    </r>
    <r>
      <rPr>
        <b/>
        <sz val="10"/>
        <color indexed="21"/>
        <rFont val="Arial"/>
        <family val="2"/>
        <charset val="204"/>
      </rPr>
      <t xml:space="preserve"> за квадратный метр, но не менее </t>
    </r>
    <r>
      <rPr>
        <b/>
        <sz val="10"/>
        <color rgb="FFFF0000"/>
        <rFont val="Arial"/>
        <family val="2"/>
        <charset val="204"/>
      </rPr>
      <t>135р.</t>
    </r>
    <r>
      <rPr>
        <b/>
        <sz val="10"/>
        <color indexed="21"/>
        <rFont val="Arial"/>
        <family val="2"/>
        <charset val="204"/>
      </rPr>
      <t xml:space="preserve"> за деталь</t>
    </r>
  </si>
  <si>
    <t>ВЫБРАТЬ ТУТ 
(max 11)</t>
  </si>
  <si>
    <t>0,8мм</t>
  </si>
  <si>
    <t>0,4мм</t>
  </si>
  <si>
    <r>
      <rPr>
        <b/>
        <sz val="12"/>
        <rFont val="Arial"/>
        <family val="2"/>
        <charset val="204"/>
      </rPr>
      <t>Менеджер</t>
    </r>
    <r>
      <rPr>
        <sz val="12"/>
        <rFont val="Arial"/>
        <family val="2"/>
        <charset val="204"/>
      </rPr>
      <t xml:space="preserve"> ____________________</t>
    </r>
  </si>
  <si>
    <t xml:space="preserve">     хранение  оплачивается в день оформления заказа.</t>
  </si>
  <si>
    <r>
      <t xml:space="preserve">кромка, кол-во сторон
</t>
    </r>
    <r>
      <rPr>
        <b/>
        <sz val="5"/>
        <color rgb="FFC00000"/>
        <rFont val="Britannic Bold"/>
        <family val="2"/>
      </rPr>
      <t>(выбрать из списка)</t>
    </r>
    <r>
      <rPr>
        <sz val="8"/>
        <rFont val="Arial"/>
        <family val="2"/>
        <charset val="204"/>
      </rPr>
      <t xml:space="preserve">
</t>
    </r>
  </si>
  <si>
    <t>2,0мм</t>
  </si>
  <si>
    <t>2.0</t>
  </si>
  <si>
    <t>Бланк заказа NEW</t>
  </si>
  <si>
    <t>ДСП 25*2800*2070 мм ШЛИФОВАННОЕ без покрытия</t>
  </si>
  <si>
    <t>ЛДСП PS H1186 TM37/ST37 18*2800*2070 мм Дуб Гаронна темно-коричневый с защитной пленкой Egger</t>
  </si>
  <si>
    <t>с защитной пленкой</t>
  </si>
  <si>
    <t>ЛДСП PS H1760 TM28/ST28 18*2800*2070 мм Каштан благородный серый с защитной пленкой Egger</t>
  </si>
  <si>
    <t>TM28/ST28</t>
  </si>
  <si>
    <t>ЛДСП PS H3149 TM37/ST37 18*2800*2070 мм Дуб Рифьяно дымчатый с защитной пленкой Egger</t>
  </si>
  <si>
    <t>ЛДСП PS H3180 TM37/ST37 18*2800*2070 мм Дуб Галифакс коричневый с защитной пленкой Egger</t>
  </si>
  <si>
    <t>ЛДСП PS H3311 TM28/ST28 18*2800*2070 мм Дуб Кунео беленый с защитной пленкой Egger</t>
  </si>
  <si>
    <t>ЛДСП PS U999 TM28/ST28 18*2800*2070 мм Черный с защитной пленкой Egger</t>
  </si>
  <si>
    <t>ЛМДФ PerfectSense W1000 PG/ST9 18*2800*2070 мм Белый Премиум с защитной пленкой Egger</t>
  </si>
  <si>
    <t>ЛМДФ PerfectSense W1000 PM/ST9 18*2800*2070 мм Белый Премиум с защитной пленкой Egger</t>
  </si>
  <si>
    <t>ЛМДФ PerfectSense W1100 PG/ST9 18*2800*2070 мм Белый Альпийский с защитной пленкой Egger</t>
  </si>
  <si>
    <t>ЛМДФ PerfectSense W1100 PM/ST9 18*2800*2070 мм Белый Альпийский с защитной пленкой Egger</t>
  </si>
  <si>
    <t>ЛМДФ PerfectSense U599 PM/ST9 18*2800*2070 мм Индиго синий с защитной пленкой Egger</t>
  </si>
  <si>
    <t>ЛМДФ PerfectSense U702 PG/ST9 18*2800*2070 мм Кашемир серый с защитной пленкой Egger</t>
  </si>
  <si>
    <t>ЛМДФ PerfectSense U702 PM/ST9 18*2800*2070 мм Кашемир серый с защитной пленкой Egger</t>
  </si>
  <si>
    <t>ЛМДФ PerfectSense U708 PG/ST9 18*2800*2070 мм Светло-серый с защитной пленкой Egger</t>
  </si>
  <si>
    <t>ЛМДФ PerfectSense U708 PM/ST9 18*2800*2070 мм Светло-серый с защитной пленкой Egger</t>
  </si>
  <si>
    <t>ЛМДФ PerfectSense U727 PM/ST9 18*2800*2070 мм Серый камень с защитной пленкой Egger</t>
  </si>
  <si>
    <t>ЛМДФ PerfectSense U732 PG/ST9 18*2800*2070 мм Серый пыльный с защитной пленкой Egger</t>
  </si>
  <si>
    <t>ЛМДФ PerfectSense U732 PM/ST9 18*2800*2070 мм Серый пыльный с защитной пленкой Egger</t>
  </si>
  <si>
    <t>ЛМДФ PerfectSense U961 PM/ST9 18*2800*2070 мм Черный графит с защитной пленкой Egger</t>
  </si>
  <si>
    <t>ЛМДФ PerfectSense U999 PG/ST9 18*2800*2070 мм Черный с защитной пленкой Egger</t>
  </si>
  <si>
    <t>ЛМДФ PerfectSense U999 PM/ST9 18*2800*2070 мм Черный с защитной пленкой Egger</t>
  </si>
  <si>
    <t>ЛМДФ PerfectSense F120 PM/ST9 18*2800*2070 мм Камень Металл светло серый с защитной пленкой Egger</t>
  </si>
  <si>
    <t>ЛМДФ PerfectSense F206 PM/ST9 18*2800*2070 мм Камень Пьетра Гриджиа черный с защитной пленкой Egger</t>
  </si>
  <si>
    <t>ЛХДФ 0190 PE 03*2800*2070 мм Черный 1-сторонний Кроношпан</t>
  </si>
  <si>
    <t>ЛХДФ 3025 PE 03*2800*2070 мм Дуб Сонома Светлый 1-сторонний Кроношпан</t>
  </si>
  <si>
    <t>ХДФ 04*2800*2070 мм Кроношпан</t>
  </si>
  <si>
    <t>Кромка W1000 ST38 2,0*28 мм Белый Премиум (75 м бухта) Egger</t>
  </si>
  <si>
    <t>Кромка Q1176 RO 0,8*23 мм Дуб Галифакс белый (75 м бухта) Egger</t>
  </si>
  <si>
    <t>Акцентные и поперечные</t>
  </si>
  <si>
    <t>Q1176</t>
  </si>
  <si>
    <t>RO</t>
  </si>
  <si>
    <t>Кромка Q1180 RO 0,8*23 мм Дуб Галифакс натуральный (75 м бухта) Egger</t>
  </si>
  <si>
    <t>Q1180</t>
  </si>
  <si>
    <t>Кромка Q1181 RO 0,8*23 мм Дуб Галифакс табак (75 м бухта) Egger</t>
  </si>
  <si>
    <t>Q1181</t>
  </si>
  <si>
    <t>Кромка Q1344 RO 0,8*23 мм Дуб Шерман коньяк коричневый (75 м бухта) Egger</t>
  </si>
  <si>
    <t>Q1344</t>
  </si>
  <si>
    <t>Кромка Q1345 RO 0,8*23 мм Дуб Шерман серый (75 м бухта) Egger</t>
  </si>
  <si>
    <t>Q1345</t>
  </si>
  <si>
    <t>Кромка Q1346 RO 0,8*23 мм Дуб Шерман антрацит (75 м бухта) Egger</t>
  </si>
  <si>
    <t>Q1346</t>
  </si>
  <si>
    <t>Кромка Q1486 RO 0,8*23 мм Сосна Пасадена (75 м бухта) Egger</t>
  </si>
  <si>
    <t>Q1486</t>
  </si>
  <si>
    <t>Кромка Q3176 RO 0,8*23 мм Дуб Галифакс олово (75 м бухта) Egger</t>
  </si>
  <si>
    <t>Q3176</t>
  </si>
  <si>
    <t>Кромка Q3309 RO 0,8*23 мм Дуб Гладстоун песочный (75 м бухта) Egger</t>
  </si>
  <si>
    <t>Q3309</t>
  </si>
  <si>
    <t>Кромка Q3325 RO 0,8*23 мм Дуб Гладстоун табак (75 м бухта) Egger</t>
  </si>
  <si>
    <t>Q3325</t>
  </si>
  <si>
    <t>Кромка Q3326 RO 0,8*23 мм Дуб Гладстоун серо-бежевый (75 м бухта) Egger</t>
  </si>
  <si>
    <t>Q3326</t>
  </si>
  <si>
    <t>Кромка Q3408 RO 0,8*23 мм Лиственница горная коричневая термо (75 м бухта) Egger</t>
  </si>
  <si>
    <t>Q3408</t>
  </si>
  <si>
    <t>Бланк с кромкой 2.0</t>
  </si>
  <si>
    <t>Бланк с кромкой 0,8</t>
  </si>
  <si>
    <t>Оформить заказ в старом бланке. Кромка 0,8 - 0,4</t>
  </si>
  <si>
    <t xml:space="preserve">Оформить заказ в старом бланке. Кромка 2,0 - 0,4
</t>
  </si>
  <si>
    <t>Только ЛДСП или шлифованные МДФ ДСП, только РАСПИЛ И КРОМЛЕНИЕ !!!</t>
  </si>
  <si>
    <t>Размеры указываются С УЧЕТОМ толщины кромки! (готовый размер)</t>
  </si>
  <si>
    <r>
      <t xml:space="preserve">Имя Детали
</t>
    </r>
    <r>
      <rPr>
        <sz val="6"/>
        <color rgb="FFC00000"/>
        <rFont val="Arial"/>
        <family val="2"/>
        <charset val="204"/>
      </rPr>
      <t>(любые 7 символов)</t>
    </r>
  </si>
  <si>
    <t>Номенклатура2</t>
  </si>
  <si>
    <t>Номенклатура2 для старого бланка</t>
  </si>
  <si>
    <t>площ. кв.м</t>
  </si>
  <si>
    <t>Код материала</t>
  </si>
  <si>
    <t>КОД кр.L1</t>
  </si>
  <si>
    <t>КОД кр.L2</t>
  </si>
  <si>
    <t>КОД кр.W3</t>
  </si>
  <si>
    <t>КОД кр.W4</t>
  </si>
  <si>
    <t>Заказчик:</t>
  </si>
  <si>
    <t>Вращение</t>
  </si>
  <si>
    <t>Толщина и цвет материал</t>
  </si>
  <si>
    <t>кол-во Упаковка</t>
  </si>
  <si>
    <t>кол-во присадки</t>
  </si>
  <si>
    <t>в Бланках</t>
  </si>
  <si>
    <t xml:space="preserve">Кол-во </t>
  </si>
  <si>
    <t>AU325</t>
  </si>
  <si>
    <t xml:space="preserve"> (75 м бухта)</t>
  </si>
  <si>
    <t xml:space="preserve"> (200 м бухта)</t>
  </si>
  <si>
    <t xml:space="preserve"> (75 м бухта) </t>
  </si>
  <si>
    <t xml:space="preserve"> (25 м бухта)</t>
  </si>
  <si>
    <t>Прочие производители</t>
  </si>
  <si>
    <t xml:space="preserve">ШЛИФОВАННОЕ без покрытия </t>
  </si>
  <si>
    <t>ЛДСП AU325 ST9 16*2800*2070 мм Розовый антик Egger</t>
  </si>
  <si>
    <t xml:space="preserve">AU636 </t>
  </si>
  <si>
    <t xml:space="preserve">с защитной пленкой  </t>
  </si>
  <si>
    <t xml:space="preserve">Антрацит (961) </t>
  </si>
  <si>
    <t xml:space="preserve">Толщина </t>
  </si>
  <si>
    <t>Декор</t>
  </si>
  <si>
    <t>структура</t>
  </si>
  <si>
    <t>rotation</t>
  </si>
  <si>
    <t>program_R</t>
  </si>
  <si>
    <t>texture</t>
  </si>
  <si>
    <t>Направление рисунка</t>
  </si>
  <si>
    <t>description</t>
  </si>
  <si>
    <t>order</t>
  </si>
  <si>
    <t>Заказчик</t>
  </si>
  <si>
    <t>Номер Заказа</t>
  </si>
  <si>
    <t>СУММА</t>
  </si>
  <si>
    <t>клиент</t>
  </si>
  <si>
    <t>ЛДСП U216 ST9 25*2800*2070 мм Камель бежевый Egger</t>
  </si>
  <si>
    <t>ЛДСП U830 ST9 16*2800*2070 мм Карамель нюд Egger</t>
  </si>
  <si>
    <t>U830</t>
  </si>
  <si>
    <t>Карамель нюд</t>
  </si>
  <si>
    <t>Кромка U830 ST9 0,4*19 мм Карамель нюд (200 м бухта) Egger</t>
  </si>
  <si>
    <t>Кромка U830 ST9 0,8*19 мм Карамель нюд (75 м бухта) Egger</t>
  </si>
  <si>
    <t>Кромка U830 ST9 2,0*19 мм Карамель нюд (75 м бухта) Egger</t>
  </si>
  <si>
    <t>Компания оставляет за собой право рассчитать стоимость заказа исходя из необходимого количества листов плитного материала</t>
  </si>
  <si>
    <t>Если у плиты нет декора или выбранная кромка не подходит к выбранной плите "Уточните стоимость у менеджера"</t>
  </si>
  <si>
    <t>Кромка H3157 ST12 2,0*35 мм Дуб Винченца (75 м бухта) Egger</t>
  </si>
  <si>
    <t>Кромка H3710 ST12 2,0*35 мм Орех Карини натуральный (75 м бухта) Egger</t>
  </si>
  <si>
    <t>ДСП 10*2800*2070 мм ШЛИФОВАННОЕ без покрытия</t>
  </si>
  <si>
    <t>ЛМДФ Белый SM 16*2800*2070 мм F 1-сторонний KASTAMONU</t>
  </si>
  <si>
    <t>Кастамону</t>
  </si>
  <si>
    <t>F 1-сторонний</t>
  </si>
  <si>
    <t>KASTAMONU</t>
  </si>
  <si>
    <t>ЛМДФ Белый SM 16*2800*2070 мм F 2-сторонний KASTAMONU</t>
  </si>
  <si>
    <t>F 2-сторонний</t>
  </si>
  <si>
    <t>ЛМДФ Белый SM 19*2800*2070 мм F 1-сторонний KASTAMONU</t>
  </si>
  <si>
    <t>ЛМДФ Белый SM 19*2800*2070 мм F 2-сторонний KASTAMONU</t>
  </si>
  <si>
    <t>МДФ 16*2800*2070 мм F шлифованный KASTAMONU</t>
  </si>
  <si>
    <t>F шлифованный</t>
  </si>
  <si>
    <t>МДФ 16*2800*2070 мм MR Влагостойкий шлифованный KASTAMONU</t>
  </si>
  <si>
    <t>MR Влагостойкий шлифованный</t>
  </si>
  <si>
    <t>МДФ 16*2800*2070 мм ST шлифованный KASTAMONU</t>
  </si>
  <si>
    <t>МДФ 19*2800*2070 мм F шлифованный KASTAMONU</t>
  </si>
  <si>
    <t>МДФ 25*2800*2070 мм F шлифованный KASTAMONU</t>
  </si>
  <si>
    <t xml:space="preserve">Белый </t>
  </si>
  <si>
    <t>Кромка H1424 ST22 0,4*19 мм Файнлайн крем (200 м бухта) Egger</t>
  </si>
  <si>
    <t>Кромка H1424 ST22 0,8*19 мм Файнлайн крем (75 м бухта) Egger</t>
  </si>
  <si>
    <t>AU636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</si>
</sst>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0.0"/>
    <numFmt numFmtId="165" formatCode="0.000"/>
    <numFmt numFmtId="166" formatCode="_-* #,##0.000\ _₽_-;\-* #,##0.000\ _₽_-;_-* &quot;-&quot;???\ _₽_-;_-@_-"/>
  </numFmts>
  <fonts count="64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</font>
    <font>
      <b/>
      <sz val="10"/>
      <color indexed="21"/>
      <name val="Arial"/>
      <family val="2"/>
      <charset val="204"/>
    </font>
    <font>
      <sz val="8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sz val="9"/>
      <name val="Cambria"/>
      <family val="1"/>
      <charset val="204"/>
      <scheme val="major"/>
    </font>
    <font>
      <sz val="11"/>
      <color theme="1"/>
      <name val="Baskerville Old Face"/>
      <family val="1"/>
    </font>
    <font>
      <b/>
      <sz val="11"/>
      <color theme="1"/>
      <name val="Baskerville Old Face"/>
      <family val="1"/>
    </font>
    <font>
      <b/>
      <sz val="11"/>
      <color indexed="8"/>
      <name val="Baskerville Old Face"/>
      <family val="1"/>
    </font>
    <font>
      <sz val="10"/>
      <color theme="1"/>
      <name val="Baskerville Old Face"/>
      <family val="1"/>
    </font>
    <font>
      <b/>
      <sz val="16"/>
      <color rgb="FFCC0000"/>
      <name val="Baskerville Old Face"/>
      <family val="1"/>
    </font>
    <font>
      <sz val="12"/>
      <color theme="1"/>
      <name val="Baskerville Old Face"/>
      <family val="1"/>
    </font>
    <font>
      <sz val="12"/>
      <color indexed="8"/>
      <name val="Baskerville Old Face"/>
      <family val="1"/>
    </font>
    <font>
      <b/>
      <sz val="11"/>
      <color rgb="FFCC0000"/>
      <name val="Baskerville Old Face"/>
      <family val="1"/>
    </font>
    <font>
      <b/>
      <sz val="8"/>
      <name val="BatangChe"/>
      <family val="3"/>
      <charset val="204"/>
    </font>
    <font>
      <b/>
      <sz val="6"/>
      <color rgb="FFC00000"/>
      <name val="Britannic Bold"/>
      <family val="2"/>
    </font>
    <font>
      <sz val="6"/>
      <color rgb="FFC00000"/>
      <name val="Arial"/>
      <family val="2"/>
      <charset val="204"/>
    </font>
    <font>
      <b/>
      <sz val="5"/>
      <color rgb="FFC00000"/>
      <name val="Britannic Bold"/>
      <family val="2"/>
    </font>
    <font>
      <sz val="6"/>
      <name val="Arial"/>
      <family val="2"/>
      <charset val="204"/>
    </font>
    <font>
      <sz val="11"/>
      <color rgb="FFFF0000"/>
      <name val="Baskerville Old Face"/>
      <family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"/>
      <family val="2"/>
      <charset val="204"/>
    </font>
    <font>
      <sz val="9"/>
      <color indexed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color indexed="10"/>
      <name val="Baskerville Old Face"/>
      <family val="1"/>
    </font>
    <font>
      <b/>
      <sz val="14"/>
      <color theme="4" tint="-0.249977111117893"/>
      <name val="Baskerville Old Face"/>
      <family val="1"/>
    </font>
    <font>
      <b/>
      <sz val="16"/>
      <color theme="4" tint="-0.249977111117893"/>
      <name val="Baskerville Old Face"/>
      <family val="1"/>
    </font>
    <font>
      <sz val="5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8"/>
      <color rgb="FF00B050"/>
      <name val="Arial"/>
      <family val="2"/>
      <charset val="204"/>
    </font>
    <font>
      <vertAlign val="superscript"/>
      <sz val="6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indexed="21"/>
      <name val="Arial"/>
      <family val="2"/>
      <charset val="204"/>
    </font>
    <font>
      <b/>
      <sz val="12"/>
      <color rgb="FFCC0000"/>
      <name val="Baskerville Old Face"/>
      <family val="1"/>
    </font>
    <font>
      <b/>
      <sz val="14"/>
      <color rgb="FFFF0000"/>
      <name val="Baskerville Old Face"/>
      <family val="1"/>
    </font>
    <font>
      <u/>
      <sz val="8"/>
      <name val="Arial"/>
      <family val="2"/>
      <charset val="204"/>
    </font>
    <font>
      <sz val="8"/>
      <color theme="4" tint="-0.249977111117893"/>
      <name val="Arial"/>
      <family val="2"/>
      <charset val="204"/>
    </font>
    <font>
      <b/>
      <sz val="12"/>
      <color theme="4" tint="-0.249977111117893"/>
      <name val="Arial"/>
      <family val="2"/>
      <charset val="204"/>
    </font>
    <font>
      <sz val="10"/>
      <color theme="4" tint="-0.249977111117893"/>
      <name val="Arial"/>
      <family val="2"/>
      <charset val="204"/>
    </font>
    <font>
      <sz val="16"/>
      <color rgb="FFFF0000"/>
      <name val="Baskerville Old Face"/>
      <family val="1"/>
    </font>
    <font>
      <b/>
      <sz val="14"/>
      <color theme="5" tint="-0.249977111117893"/>
      <name val="Baskerville Old Face"/>
      <family val="1"/>
    </font>
    <font>
      <sz val="8"/>
      <color theme="5" tint="-0.249977111117893"/>
      <name val="Arial"/>
      <family val="2"/>
      <charset val="204"/>
    </font>
    <font>
      <b/>
      <sz val="12"/>
      <color theme="5" tint="-0.249977111117893"/>
      <name val="Arial"/>
      <family val="2"/>
      <charset val="204"/>
    </font>
    <font>
      <b/>
      <sz val="16"/>
      <color theme="5" tint="-0.249977111117893"/>
      <name val="Baskerville Old Face"/>
      <family val="1"/>
    </font>
    <font>
      <b/>
      <sz val="8"/>
      <color theme="5" tint="-0.249977111117893"/>
      <name val="Arial"/>
      <family val="2"/>
      <charset val="204"/>
    </font>
    <font>
      <b/>
      <sz val="16"/>
      <color theme="5" tint="-0.249977111117893"/>
      <name val="Arial"/>
      <family val="2"/>
      <charset val="204"/>
    </font>
    <font>
      <b/>
      <sz val="12"/>
      <name val="Baskerville Old Face"/>
      <family val="1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7"/>
      <color theme="1"/>
      <name val="Baskerville Old Face"/>
      <family val="1"/>
    </font>
    <font>
      <sz val="7"/>
      <name val="Times New Roman"/>
      <family val="1"/>
      <charset val="204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BD9D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9967A"/>
        <bgColor indexed="64"/>
      </patternFill>
    </fill>
    <fill>
      <patternFill patternType="solid">
        <fgColor rgb="FFE9967A"/>
      </patternFill>
    </fill>
    <fill>
      <patternFill patternType="solid">
        <fgColor rgb="FFFFDAB9"/>
      </patternFill>
    </fill>
  </fills>
  <borders count="45">
    <border>
      <left/>
      <right/>
      <top/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10000"/>
      </left>
      <right style="thin">
        <color rgb="FF010000"/>
      </right>
      <top style="thin">
        <color rgb="FF010000"/>
      </top>
      <bottom style="thin">
        <color rgb="FF010000"/>
      </bottom>
      <diagonal/>
    </border>
    <border>
      <left style="thin">
        <color rgb="FFE9967A"/>
      </left>
      <right style="thin">
        <color rgb="FFE9967A"/>
      </right>
      <top style="thin">
        <color rgb="FFE9967A"/>
      </top>
      <bottom style="thin">
        <color rgb="FFE9967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E9967A"/>
      </right>
      <top style="thin">
        <color rgb="FFE9967A"/>
      </top>
      <bottom style="thin">
        <color rgb="FFE9967A"/>
      </bottom>
      <diagonal/>
    </border>
    <border>
      <left style="thin">
        <color rgb="FFE9967A"/>
      </left>
      <right style="thin">
        <color rgb="FFE9967A"/>
      </right>
      <top/>
      <bottom style="thin">
        <color rgb="FFE9967A"/>
      </bottom>
      <diagonal/>
    </border>
    <border>
      <left/>
      <right style="thin">
        <color rgb="FFE9967A"/>
      </right>
      <top/>
      <bottom style="thin">
        <color rgb="FFE9967A"/>
      </bottom>
      <diagonal/>
    </border>
    <border>
      <left style="thin">
        <color rgb="FFE6E6E6"/>
      </left>
      <right/>
      <top style="thin">
        <color rgb="FFE6E6E6"/>
      </top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/>
      <diagonal/>
    </border>
    <border>
      <left/>
      <right/>
      <top style="thin">
        <color rgb="FFE6E6E6"/>
      </top>
      <bottom style="thin">
        <color rgb="FFE6E6E6"/>
      </bottom>
      <diagonal/>
    </border>
    <border>
      <left style="thin">
        <color rgb="FFE9967A"/>
      </left>
      <right/>
      <top style="thin">
        <color rgb="FFE9967A"/>
      </top>
      <bottom style="thin">
        <color rgb="FFE9967A"/>
      </bottom>
      <diagonal/>
    </border>
    <border>
      <left/>
      <right/>
      <top style="thin">
        <color rgb="FFE9967A"/>
      </top>
      <bottom style="thin">
        <color rgb="FFE9967A"/>
      </bottom>
      <diagonal/>
    </border>
    <border>
      <left style="thin">
        <color rgb="FFE9967A"/>
      </left>
      <right/>
      <top style="thin">
        <color theme="0"/>
      </top>
      <bottom style="thin">
        <color rgb="FFE9967A"/>
      </bottom>
      <diagonal/>
    </border>
    <border>
      <left/>
      <right style="thin">
        <color rgb="FFE9967A"/>
      </right>
      <top style="thin">
        <color theme="0"/>
      </top>
      <bottom style="thin">
        <color rgb="FFE9967A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</borders>
  <cellStyleXfs count="15">
    <xf numFmtId="0" fontId="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8" fillId="0" borderId="0" applyNumberForma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59" fillId="0" borderId="0"/>
    <xf numFmtId="0" fontId="60" fillId="0" borderId="0" applyNumberFormat="0" applyFill="0" applyBorder="0" applyAlignment="0" applyProtection="0"/>
    <xf numFmtId="0" fontId="2" fillId="0" borderId="0"/>
    <xf numFmtId="0" fontId="2" fillId="0" borderId="0"/>
  </cellStyleXfs>
  <cellXfs count="324">
    <xf numFmtId="0" fontId="0" fillId="0" borderId="0" xfId="0"/>
    <xf numFmtId="0" fontId="4" fillId="2" borderId="2" xfId="1" applyNumberFormat="1" applyFont="1" applyFill="1" applyBorder="1" applyAlignment="1" applyProtection="1">
      <alignment vertical="top"/>
      <protection hidden="1"/>
    </xf>
    <xf numFmtId="0" fontId="4" fillId="2" borderId="2" xfId="1" applyNumberFormat="1" applyFont="1" applyFill="1" applyBorder="1" applyAlignment="1" applyProtection="1">
      <alignment vertical="top" wrapText="1"/>
      <protection hidden="1"/>
    </xf>
    <xf numFmtId="0" fontId="6" fillId="0" borderId="2" xfId="1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9" fillId="2" borderId="2" xfId="1" applyNumberFormat="1" applyFont="1" applyFill="1" applyBorder="1" applyAlignment="1" applyProtection="1">
      <alignment vertical="top"/>
      <protection hidden="1"/>
    </xf>
    <xf numFmtId="0" fontId="5" fillId="5" borderId="6" xfId="3" applyNumberFormat="1" applyFont="1" applyFill="1" applyBorder="1" applyAlignment="1" applyProtection="1">
      <alignment horizontal="center" vertical="center" wrapText="1"/>
      <protection hidden="1"/>
    </xf>
    <xf numFmtId="0" fontId="4" fillId="8" borderId="2" xfId="1" applyNumberFormat="1" applyFont="1" applyFill="1" applyBorder="1" applyAlignment="1" applyProtection="1">
      <alignment vertical="top"/>
      <protection hidden="1"/>
    </xf>
    <xf numFmtId="0" fontId="3" fillId="6" borderId="7" xfId="0" applyFont="1" applyFill="1" applyBorder="1" applyAlignment="1" applyProtection="1">
      <alignment horizontal="center"/>
      <protection hidden="1"/>
    </xf>
    <xf numFmtId="0" fontId="3" fillId="6" borderId="20" xfId="0" applyFont="1" applyFill="1" applyBorder="1" applyAlignment="1" applyProtection="1">
      <alignment horizontal="center" vertical="center" wrapText="1"/>
      <protection hidden="1"/>
    </xf>
    <xf numFmtId="0" fontId="4" fillId="2" borderId="21" xfId="1" applyNumberFormat="1" applyFont="1" applyFill="1" applyBorder="1" applyAlignment="1" applyProtection="1">
      <alignment vertical="top"/>
      <protection hidden="1"/>
    </xf>
    <xf numFmtId="0" fontId="4" fillId="8" borderId="21" xfId="1" applyNumberFormat="1" applyFont="1" applyFill="1" applyBorder="1" applyAlignment="1" applyProtection="1">
      <alignment vertical="top"/>
      <protection hidden="1"/>
    </xf>
    <xf numFmtId="0" fontId="4" fillId="0" borderId="24" xfId="0" applyFont="1" applyBorder="1" applyAlignment="1" applyProtection="1">
      <alignment horizontal="center" vertical="center"/>
      <protection locked="0" hidden="1"/>
    </xf>
    <xf numFmtId="165" fontId="4" fillId="6" borderId="25" xfId="0" applyNumberFormat="1" applyFont="1" applyFill="1" applyBorder="1" applyAlignment="1" applyProtection="1">
      <alignment horizontal="right"/>
      <protection hidden="1"/>
    </xf>
    <xf numFmtId="0" fontId="4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left" vertical="top"/>
      <protection hidden="1"/>
    </xf>
    <xf numFmtId="0" fontId="8" fillId="0" borderId="0" xfId="0" applyFont="1" applyBorder="1" applyAlignment="1" applyProtection="1">
      <alignment horizontal="left" vertical="top"/>
      <protection hidden="1"/>
    </xf>
    <xf numFmtId="3" fontId="0" fillId="0" borderId="0" xfId="0" applyNumberFormat="1" applyBorder="1" applyAlignment="1" applyProtection="1">
      <alignment horizontal="right" vertical="top"/>
      <protection hidden="1"/>
    </xf>
    <xf numFmtId="0" fontId="4" fillId="8" borderId="2" xfId="1" applyNumberFormat="1" applyFont="1" applyFill="1" applyBorder="1" applyAlignment="1" applyProtection="1">
      <alignment vertical="top" wrapText="1"/>
      <protection hidden="1"/>
    </xf>
    <xf numFmtId="0" fontId="9" fillId="8" borderId="2" xfId="1" applyNumberFormat="1" applyFont="1" applyFill="1" applyBorder="1" applyAlignment="1" applyProtection="1">
      <alignment vertical="top" wrapText="1"/>
      <protection hidden="1"/>
    </xf>
    <xf numFmtId="0" fontId="6" fillId="0" borderId="2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hidden="1"/>
    </xf>
    <xf numFmtId="0" fontId="0" fillId="0" borderId="0" xfId="0" applyProtection="1">
      <protection hidden="1"/>
    </xf>
    <xf numFmtId="0" fontId="3" fillId="0" borderId="0" xfId="0" applyFont="1" applyAlignment="1" applyProtection="1">
      <protection hidden="1"/>
    </xf>
    <xf numFmtId="0" fontId="0" fillId="0" borderId="0" xfId="0" applyAlignment="1" applyProtection="1">
      <alignment vertical="top"/>
      <protection hidden="1"/>
    </xf>
    <xf numFmtId="0" fontId="13" fillId="0" borderId="0" xfId="0" applyFont="1" applyAlignment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Fill="1" applyBorder="1" applyAlignment="1" applyProtection="1">
      <protection hidden="1"/>
    </xf>
    <xf numFmtId="0" fontId="13" fillId="0" borderId="0" xfId="0" applyFont="1" applyFill="1" applyBorder="1" applyAlignment="1" applyProtection="1">
      <protection hidden="1"/>
    </xf>
    <xf numFmtId="164" fontId="10" fillId="0" borderId="0" xfId="0" applyNumberFormat="1" applyFont="1" applyFill="1" applyBorder="1" applyAlignment="1" applyProtection="1">
      <protection hidden="1"/>
    </xf>
    <xf numFmtId="164" fontId="10" fillId="0" borderId="23" xfId="0" applyNumberFormat="1" applyFont="1" applyFill="1" applyBorder="1" applyAlignment="1" applyProtection="1">
      <alignment horizontal="right"/>
      <protection hidden="1"/>
    </xf>
    <xf numFmtId="0" fontId="4" fillId="6" borderId="26" xfId="0" applyFont="1" applyFill="1" applyBorder="1" applyAlignment="1" applyProtection="1">
      <alignment horizontal="center" vertical="center"/>
      <protection hidden="1"/>
    </xf>
    <xf numFmtId="164" fontId="5" fillId="0" borderId="23" xfId="0" applyNumberFormat="1" applyFont="1" applyFill="1" applyBorder="1" applyAlignment="1" applyProtection="1">
      <alignment horizontal="center" vertical="center"/>
      <protection hidden="1"/>
    </xf>
    <xf numFmtId="164" fontId="10" fillId="0" borderId="23" xfId="0" applyNumberFormat="1" applyFont="1" applyFill="1" applyBorder="1" applyAlignment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Border="1" applyAlignment="1" applyProtection="1"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locked="0" hidden="1"/>
    </xf>
    <xf numFmtId="0" fontId="0" fillId="0" borderId="26" xfId="0" applyBorder="1" applyAlignment="1" applyProtection="1">
      <alignment horizontal="center" vertical="center"/>
      <protection locked="0" hidden="1"/>
    </xf>
    <xf numFmtId="4" fontId="5" fillId="5" borderId="6" xfId="3" applyNumberFormat="1" applyFont="1" applyFill="1" applyBorder="1" applyAlignment="1" applyProtection="1">
      <alignment horizontal="center" vertical="center" wrapText="1"/>
      <protection hidden="1"/>
    </xf>
    <xf numFmtId="4" fontId="5" fillId="5" borderId="6" xfId="3" applyNumberFormat="1" applyFont="1" applyFill="1" applyBorder="1" applyAlignment="1" applyProtection="1">
      <alignment horizontal="right" vertical="center"/>
      <protection hidden="1"/>
    </xf>
    <xf numFmtId="0" fontId="7" fillId="3" borderId="3" xfId="2" applyNumberFormat="1" applyFont="1" applyFill="1" applyBorder="1" applyAlignment="1" applyProtection="1">
      <alignment vertical="top"/>
      <protection hidden="1"/>
    </xf>
    <xf numFmtId="0" fontId="7" fillId="3" borderId="4" xfId="2" applyNumberFormat="1" applyFont="1" applyFill="1" applyBorder="1" applyAlignment="1" applyProtection="1">
      <alignment vertical="top"/>
      <protection hidden="1"/>
    </xf>
    <xf numFmtId="0" fontId="7" fillId="4" borderId="5" xfId="2" applyNumberFormat="1" applyFont="1" applyFill="1" applyBorder="1" applyAlignment="1" applyProtection="1">
      <alignment horizontal="centerContinuous" vertical="top"/>
      <protection hidden="1"/>
    </xf>
    <xf numFmtId="3" fontId="7" fillId="4" borderId="5" xfId="2" applyNumberFormat="1" applyFont="1" applyFill="1" applyBorder="1" applyAlignment="1" applyProtection="1">
      <alignment horizontal="centerContinuous" vertical="top"/>
      <protection hidden="1"/>
    </xf>
    <xf numFmtId="1" fontId="7" fillId="4" borderId="5" xfId="2" applyNumberFormat="1" applyFont="1" applyFill="1" applyBorder="1" applyAlignment="1" applyProtection="1">
      <alignment horizontal="centerContinuous" vertical="top"/>
      <protection hidden="1"/>
    </xf>
    <xf numFmtId="0" fontId="2" fillId="0" borderId="5" xfId="2" applyNumberFormat="1" applyFont="1" applyBorder="1" applyAlignment="1" applyProtection="1">
      <alignment vertical="top"/>
      <protection hidden="1"/>
    </xf>
    <xf numFmtId="1" fontId="2" fillId="0" borderId="5" xfId="2" applyNumberFormat="1" applyFont="1" applyBorder="1" applyAlignment="1" applyProtection="1">
      <alignment horizontal="right" vertical="top"/>
      <protection hidden="1"/>
    </xf>
    <xf numFmtId="0" fontId="2" fillId="0" borderId="5" xfId="5" applyNumberFormat="1" applyFont="1" applyBorder="1" applyAlignment="1">
      <alignment vertical="top" wrapText="1"/>
    </xf>
    <xf numFmtId="3" fontId="2" fillId="0" borderId="5" xfId="5" applyNumberFormat="1" applyFont="1" applyBorder="1" applyAlignment="1">
      <alignment horizontal="right" vertical="top" wrapText="1"/>
    </xf>
    <xf numFmtId="3" fontId="2" fillId="0" borderId="5" xfId="5" applyNumberFormat="1" applyFont="1" applyBorder="1" applyAlignment="1">
      <alignment horizontal="right" vertical="top"/>
    </xf>
    <xf numFmtId="1" fontId="2" fillId="0" borderId="5" xfId="5" applyNumberFormat="1" applyFont="1" applyBorder="1" applyAlignment="1">
      <alignment horizontal="right" vertical="top" wrapText="1"/>
    </xf>
    <xf numFmtId="1" fontId="2" fillId="0" borderId="5" xfId="5" applyNumberFormat="1" applyFont="1" applyBorder="1" applyAlignment="1">
      <alignment horizontal="right" vertical="top"/>
    </xf>
    <xf numFmtId="0" fontId="2" fillId="0" borderId="5" xfId="5" applyNumberFormat="1" applyFont="1" applyBorder="1" applyAlignment="1">
      <alignment vertical="top"/>
    </xf>
    <xf numFmtId="0" fontId="3" fillId="0" borderId="0" xfId="4" applyProtection="1">
      <protection hidden="1"/>
    </xf>
    <xf numFmtId="0" fontId="3" fillId="0" borderId="0" xfId="4" applyAlignment="1" applyProtection="1">
      <alignment horizontal="left"/>
      <protection hidden="1"/>
    </xf>
    <xf numFmtId="0" fontId="13" fillId="0" borderId="23" xfId="0" applyFont="1" applyBorder="1" applyProtection="1">
      <protection hidden="1"/>
    </xf>
    <xf numFmtId="0" fontId="13" fillId="0" borderId="23" xfId="0" applyFont="1" applyBorder="1" applyAlignment="1" applyProtection="1">
      <alignment horizontal="centerContinuous"/>
      <protection hidden="1"/>
    </xf>
    <xf numFmtId="0" fontId="26" fillId="0" borderId="23" xfId="0" applyFont="1" applyBorder="1" applyProtection="1">
      <protection hidden="1"/>
    </xf>
    <xf numFmtId="0" fontId="10" fillId="6" borderId="0" xfId="0" applyFont="1" applyFill="1" applyBorder="1" applyAlignment="1" applyProtection="1">
      <alignment horizontal="centerContinuous" vertical="center" wrapText="1"/>
      <protection hidden="1"/>
    </xf>
    <xf numFmtId="0" fontId="3" fillId="6" borderId="0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Protection="1">
      <protection hidden="1"/>
    </xf>
    <xf numFmtId="0" fontId="12" fillId="0" borderId="2" xfId="0" applyFont="1" applyBorder="1" applyAlignment="1" applyProtection="1">
      <alignment wrapText="1"/>
      <protection hidden="1"/>
    </xf>
    <xf numFmtId="0" fontId="0" fillId="0" borderId="2" xfId="0" applyBorder="1" applyProtection="1">
      <protection hidden="1"/>
    </xf>
    <xf numFmtId="3" fontId="12" fillId="0" borderId="2" xfId="0" applyNumberFormat="1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wrapText="1"/>
      <protection hidden="1"/>
    </xf>
    <xf numFmtId="0" fontId="2" fillId="0" borderId="5" xfId="6" applyNumberFormat="1" applyFont="1" applyBorder="1" applyAlignment="1">
      <alignment vertical="top" wrapText="1" indent="2"/>
    </xf>
    <xf numFmtId="0" fontId="2" fillId="0" borderId="5" xfId="6" applyNumberFormat="1" applyFont="1" applyBorder="1" applyAlignment="1">
      <alignment vertical="top" wrapText="1"/>
    </xf>
    <xf numFmtId="1" fontId="2" fillId="0" borderId="5" xfId="6" applyNumberFormat="1" applyFont="1" applyBorder="1" applyAlignment="1">
      <alignment horizontal="right" vertical="top"/>
    </xf>
    <xf numFmtId="0" fontId="0" fillId="0" borderId="0" xfId="0" applyFill="1" applyAlignment="1" applyProtection="1">
      <protection hidden="1"/>
    </xf>
    <xf numFmtId="0" fontId="6" fillId="2" borderId="0" xfId="1" applyNumberFormat="1" applyFont="1" applyFill="1" applyBorder="1" applyAlignment="1" applyProtection="1">
      <alignment horizontal="center" vertical="center"/>
      <protection hidden="1"/>
    </xf>
    <xf numFmtId="0" fontId="6" fillId="2" borderId="2" xfId="1" applyNumberFormat="1" applyFont="1" applyFill="1" applyBorder="1" applyAlignment="1" applyProtection="1">
      <alignment horizontal="center" vertical="center"/>
      <protection hidden="1"/>
    </xf>
    <xf numFmtId="0" fontId="2" fillId="2" borderId="0" xfId="5" applyNumberFormat="1" applyFont="1" applyFill="1" applyBorder="1" applyAlignment="1" applyProtection="1">
      <alignment vertical="top" wrapText="1"/>
      <protection hidden="1"/>
    </xf>
    <xf numFmtId="0" fontId="2" fillId="2" borderId="0" xfId="5" applyNumberFormat="1" applyFont="1" applyFill="1" applyBorder="1" applyAlignment="1" applyProtection="1">
      <alignment vertical="top"/>
      <protection hidden="1"/>
    </xf>
    <xf numFmtId="0" fontId="4" fillId="2" borderId="0" xfId="1" applyNumberFormat="1" applyFont="1" applyFill="1" applyBorder="1" applyAlignment="1" applyProtection="1">
      <alignment vertical="top"/>
      <protection hidden="1"/>
    </xf>
    <xf numFmtId="0" fontId="39" fillId="2" borderId="0" xfId="7" applyNumberFormat="1" applyFont="1" applyFill="1" applyBorder="1" applyAlignment="1" applyProtection="1">
      <alignment vertical="top"/>
      <protection hidden="1"/>
    </xf>
    <xf numFmtId="0" fontId="0" fillId="10" borderId="0" xfId="0" applyFill="1" applyProtection="1">
      <protection hidden="1"/>
    </xf>
    <xf numFmtId="0" fontId="42" fillId="0" borderId="0" xfId="0" applyFont="1" applyProtection="1">
      <protection hidden="1"/>
    </xf>
    <xf numFmtId="43" fontId="0" fillId="0" borderId="0" xfId="8" applyFont="1" applyProtection="1">
      <protection hidden="1"/>
    </xf>
    <xf numFmtId="0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3" fontId="8" fillId="0" borderId="2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0" fillId="0" borderId="11" xfId="0" applyBorder="1" applyAlignment="1" applyProtection="1">
      <protection hidden="1"/>
    </xf>
    <xf numFmtId="0" fontId="13" fillId="0" borderId="0" xfId="0" applyFont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/>
      <protection hidden="1"/>
    </xf>
    <xf numFmtId="0" fontId="6" fillId="11" borderId="0" xfId="1" applyNumberFormat="1" applyFont="1" applyFill="1" applyBorder="1" applyAlignment="1" applyProtection="1">
      <alignment horizontal="center" vertical="center"/>
      <protection locked="0" hidden="1"/>
    </xf>
    <xf numFmtId="0" fontId="6" fillId="11" borderId="2" xfId="1" applyNumberFormat="1" applyFont="1" applyFill="1" applyBorder="1" applyAlignment="1" applyProtection="1">
      <alignment horizontal="center" vertical="center"/>
      <protection hidden="1"/>
    </xf>
    <xf numFmtId="0" fontId="0" fillId="11" borderId="0" xfId="0" applyFill="1" applyBorder="1" applyAlignment="1" applyProtection="1">
      <alignment horizontal="left" vertical="top"/>
      <protection hidden="1"/>
    </xf>
    <xf numFmtId="0" fontId="2" fillId="11" borderId="0" xfId="5" applyNumberFormat="1" applyFont="1" applyFill="1" applyBorder="1" applyAlignment="1">
      <alignment vertical="top"/>
    </xf>
    <xf numFmtId="0" fontId="2" fillId="11" borderId="0" xfId="5" applyNumberFormat="1" applyFont="1" applyFill="1" applyBorder="1" applyAlignment="1">
      <alignment vertical="top" wrapText="1"/>
    </xf>
    <xf numFmtId="3" fontId="2" fillId="11" borderId="0" xfId="5" applyNumberFormat="1" applyFont="1" applyFill="1" applyBorder="1" applyAlignment="1">
      <alignment horizontal="right" vertical="top" wrapText="1"/>
    </xf>
    <xf numFmtId="1" fontId="2" fillId="11" borderId="0" xfId="5" applyNumberFormat="1" applyFont="1" applyFill="1" applyBorder="1" applyAlignment="1">
      <alignment horizontal="right" vertical="top"/>
    </xf>
    <xf numFmtId="0" fontId="0" fillId="11" borderId="0" xfId="0" applyFill="1" applyAlignment="1" applyProtection="1"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65" fontId="4" fillId="0" borderId="0" xfId="0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 applyProtection="1">
      <protection hidden="1"/>
    </xf>
    <xf numFmtId="165" fontId="4" fillId="6" borderId="23" xfId="0" applyNumberFormat="1" applyFont="1" applyFill="1" applyBorder="1" applyAlignment="1" applyProtection="1">
      <alignment horizontal="right"/>
      <protection hidden="1"/>
    </xf>
    <xf numFmtId="0" fontId="4" fillId="0" borderId="26" xfId="0" applyFont="1" applyFill="1" applyBorder="1" applyAlignment="1" applyProtection="1">
      <alignment horizontal="center" vertical="center"/>
      <protection locked="0" hidden="1"/>
    </xf>
    <xf numFmtId="0" fontId="0" fillId="0" borderId="23" xfId="0" applyBorder="1" applyAlignment="1" applyProtection="1">
      <alignment horizontal="center"/>
      <protection hidden="1"/>
    </xf>
    <xf numFmtId="0" fontId="0" fillId="0" borderId="11" xfId="0" applyBorder="1" applyAlignment="1" applyProtection="1">
      <protection hidden="1"/>
    </xf>
    <xf numFmtId="0" fontId="13" fillId="0" borderId="0" xfId="0" applyFont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3" fillId="7" borderId="20" xfId="0" applyFont="1" applyFill="1" applyBorder="1" applyAlignment="1" applyProtection="1">
      <alignment horizontal="left" vertical="center"/>
      <protection hidden="1"/>
    </xf>
    <xf numFmtId="0" fontId="3" fillId="7" borderId="20" xfId="0" applyFont="1" applyFill="1" applyBorder="1" applyAlignment="1" applyProtection="1">
      <alignment horizontal="left" vertical="center" wrapText="1"/>
      <protection hidden="1"/>
    </xf>
    <xf numFmtId="0" fontId="48" fillId="0" borderId="0" xfId="7" applyFont="1" applyAlignment="1" applyProtection="1">
      <alignment vertical="top"/>
      <protection hidden="1"/>
    </xf>
    <xf numFmtId="0" fontId="48" fillId="0" borderId="0" xfId="0" applyFont="1" applyAlignment="1" applyProtection="1">
      <alignment vertical="top"/>
      <protection hidden="1"/>
    </xf>
    <xf numFmtId="0" fontId="35" fillId="0" borderId="0" xfId="0" applyFont="1" applyBorder="1" applyAlignment="1" applyProtection="1">
      <alignment horizontal="center" vertical="top" wrapText="1"/>
      <protection hidden="1"/>
    </xf>
    <xf numFmtId="0" fontId="48" fillId="0" borderId="0" xfId="7" applyFont="1" applyBorder="1" applyAlignment="1" applyProtection="1">
      <alignment horizontal="center" vertical="top" wrapText="1"/>
      <protection hidden="1"/>
    </xf>
    <xf numFmtId="0" fontId="36" fillId="0" borderId="0" xfId="0" applyFont="1" applyBorder="1" applyAlignment="1" applyProtection="1">
      <alignment horizontal="center" vertical="top"/>
      <protection hidden="1"/>
    </xf>
    <xf numFmtId="0" fontId="47" fillId="0" borderId="0" xfId="0" applyFont="1" applyAlignment="1" applyProtection="1">
      <alignment wrapText="1"/>
      <protection hidden="1"/>
    </xf>
    <xf numFmtId="0" fontId="0" fillId="0" borderId="1" xfId="0" applyBorder="1" applyAlignment="1">
      <alignment horizontal="left" vertical="top" wrapText="1"/>
    </xf>
    <xf numFmtId="3" fontId="0" fillId="0" borderId="1" xfId="0" applyNumberFormat="1" applyBorder="1" applyAlignment="1">
      <alignment horizontal="right" vertical="top" wrapText="1"/>
    </xf>
    <xf numFmtId="3" fontId="0" fillId="0" borderId="1" xfId="0" applyNumberFormat="1" applyBorder="1" applyAlignment="1">
      <alignment horizontal="right" vertical="top"/>
    </xf>
    <xf numFmtId="1" fontId="0" fillId="0" borderId="1" xfId="0" applyNumberFormat="1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/>
    </xf>
    <xf numFmtId="0" fontId="50" fillId="0" borderId="0" xfId="7" applyFont="1" applyBorder="1" applyAlignment="1" applyProtection="1">
      <alignment horizontal="center" vertical="top" wrapText="1"/>
      <protection hidden="1"/>
    </xf>
    <xf numFmtId="0" fontId="51" fillId="0" borderId="0" xfId="0" applyFont="1" applyFill="1" applyBorder="1" applyAlignment="1" applyProtection="1">
      <protection hidden="1"/>
    </xf>
    <xf numFmtId="0" fontId="3" fillId="6" borderId="20" xfId="0" applyFont="1" applyFill="1" applyBorder="1" applyAlignment="1" applyProtection="1">
      <alignment vertical="center" wrapText="1"/>
      <protection hidden="1"/>
    </xf>
    <xf numFmtId="0" fontId="3" fillId="6" borderId="8" xfId="0" applyFont="1" applyFill="1" applyBorder="1" applyAlignment="1" applyProtection="1">
      <alignment vertical="distributed" wrapText="1"/>
      <protection hidden="1"/>
    </xf>
    <xf numFmtId="0" fontId="3" fillId="6" borderId="9" xfId="0" applyFont="1" applyFill="1" applyBorder="1" applyAlignment="1" applyProtection="1">
      <alignment vertical="distributed"/>
      <protection hidden="1"/>
    </xf>
    <xf numFmtId="0" fontId="3" fillId="6" borderId="20" xfId="0" applyFont="1" applyFill="1" applyBorder="1" applyAlignment="1" applyProtection="1">
      <alignment vertical="distributed"/>
      <protection hidden="1"/>
    </xf>
    <xf numFmtId="0" fontId="0" fillId="6" borderId="26" xfId="0" applyFill="1" applyBorder="1" applyProtection="1">
      <protection hidden="1"/>
    </xf>
    <xf numFmtId="0" fontId="3" fillId="0" borderId="26" xfId="0" applyFont="1" applyBorder="1" applyProtection="1">
      <protection hidden="1"/>
    </xf>
    <xf numFmtId="0" fontId="0" fillId="0" borderId="26" xfId="0" applyBorder="1" applyProtection="1">
      <protection hidden="1"/>
    </xf>
    <xf numFmtId="165" fontId="0" fillId="6" borderId="26" xfId="0" applyNumberFormat="1" applyFill="1" applyBorder="1" applyProtection="1">
      <protection hidden="1"/>
    </xf>
    <xf numFmtId="3" fontId="0" fillId="0" borderId="26" xfId="0" applyNumberFormat="1" applyBorder="1" applyProtection="1">
      <protection hidden="1"/>
    </xf>
    <xf numFmtId="3" fontId="0" fillId="0" borderId="23" xfId="0" applyNumberFormat="1" applyBorder="1" applyProtection="1">
      <protection hidden="1"/>
    </xf>
    <xf numFmtId="0" fontId="0" fillId="6" borderId="23" xfId="0" applyFill="1" applyBorder="1" applyProtection="1">
      <protection hidden="1"/>
    </xf>
    <xf numFmtId="0" fontId="3" fillId="0" borderId="23" xfId="0" applyFont="1" applyBorder="1" applyProtection="1">
      <protection hidden="1"/>
    </xf>
    <xf numFmtId="0" fontId="0" fillId="0" borderId="23" xfId="0" applyBorder="1" applyProtection="1">
      <protection hidden="1"/>
    </xf>
    <xf numFmtId="165" fontId="0" fillId="6" borderId="23" xfId="0" applyNumberFormat="1" applyFill="1" applyBorder="1" applyProtection="1">
      <protection hidden="1"/>
    </xf>
    <xf numFmtId="4" fontId="5" fillId="2" borderId="20" xfId="3" applyNumberFormat="1" applyFont="1" applyFill="1" applyBorder="1" applyAlignment="1" applyProtection="1">
      <alignment horizontal="center" vertical="center" wrapText="1"/>
      <protection hidden="1"/>
    </xf>
    <xf numFmtId="0" fontId="52" fillId="0" borderId="20" xfId="0" applyFont="1" applyBorder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vertical="center"/>
      <protection hidden="1"/>
    </xf>
    <xf numFmtId="0" fontId="53" fillId="0" borderId="0" xfId="7" applyFont="1" applyAlignment="1" applyProtection="1">
      <alignment vertical="center"/>
      <protection hidden="1"/>
    </xf>
    <xf numFmtId="0" fontId="55" fillId="0" borderId="20" xfId="0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3" fillId="0" borderId="0" xfId="0" applyFont="1" applyAlignme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5" fillId="0" borderId="0" xfId="0" applyFont="1" applyBorder="1" applyAlignment="1" applyProtection="1">
      <alignment horizontal="centerContinuous" vertical="center"/>
      <protection hidden="1"/>
    </xf>
    <xf numFmtId="0" fontId="58" fillId="0" borderId="0" xfId="0" applyFont="1" applyBorder="1" applyAlignment="1" applyProtection="1">
      <alignment horizontal="left" wrapText="1"/>
      <protection hidden="1"/>
    </xf>
    <xf numFmtId="0" fontId="52" fillId="0" borderId="20" xfId="0" applyFont="1" applyBorder="1" applyAlignment="1" applyProtection="1">
      <alignment horizontal="center" vertical="top" wrapText="1"/>
      <protection hidden="1"/>
    </xf>
    <xf numFmtId="0" fontId="53" fillId="0" borderId="0" xfId="0" applyFont="1" applyAlignment="1" applyProtection="1">
      <alignment vertical="top"/>
      <protection hidden="1"/>
    </xf>
    <xf numFmtId="0" fontId="53" fillId="0" borderId="0" xfId="0" applyFont="1" applyProtection="1">
      <protection hidden="1"/>
    </xf>
    <xf numFmtId="0" fontId="3" fillId="7" borderId="20" xfId="0" applyFont="1" applyFill="1" applyBorder="1" applyAlignment="1" applyProtection="1">
      <alignment horizontal="center" vertical="center"/>
      <protection locked="0" hidden="1"/>
    </xf>
    <xf numFmtId="14" fontId="0" fillId="7" borderId="20" xfId="0" applyNumberFormat="1" applyFill="1" applyBorder="1" applyAlignment="1" applyProtection="1">
      <alignment horizontal="center" vertical="center"/>
      <protection locked="0" hidden="1"/>
    </xf>
    <xf numFmtId="14" fontId="0" fillId="0" borderId="0" xfId="0" applyNumberFormat="1" applyProtection="1">
      <protection hidden="1"/>
    </xf>
    <xf numFmtId="0" fontId="3" fillId="6" borderId="20" xfId="0" applyFont="1" applyFill="1" applyBorder="1" applyAlignment="1" applyProtection="1">
      <alignment horizontal="left" vertical="center"/>
      <protection hidden="1"/>
    </xf>
    <xf numFmtId="0" fontId="3" fillId="6" borderId="20" xfId="0" applyFont="1" applyFill="1" applyBorder="1" applyAlignment="1" applyProtection="1">
      <alignment horizontal="left" vertical="center" wrapText="1"/>
      <protection hidden="1"/>
    </xf>
    <xf numFmtId="0" fontId="0" fillId="0" borderId="1" xfId="0" applyBorder="1" applyAlignment="1">
      <alignment horizontal="left" vertical="top"/>
    </xf>
    <xf numFmtId="4" fontId="0" fillId="0" borderId="0" xfId="0" applyNumberFormat="1" applyProtection="1">
      <protection hidden="1"/>
    </xf>
    <xf numFmtId="0" fontId="4" fillId="6" borderId="20" xfId="0" applyFont="1" applyFill="1" applyBorder="1" applyAlignment="1" applyProtection="1">
      <alignment vertical="center" wrapText="1"/>
      <protection hidden="1"/>
    </xf>
    <xf numFmtId="0" fontId="0" fillId="0" borderId="23" xfId="0" applyNumberFormat="1" applyBorder="1" applyProtection="1">
      <protection hidden="1"/>
    </xf>
    <xf numFmtId="0" fontId="0" fillId="0" borderId="26" xfId="0" applyNumberFormat="1" applyBorder="1" applyProtection="1">
      <protection hidden="1"/>
    </xf>
    <xf numFmtId="0" fontId="4" fillId="0" borderId="26" xfId="4" applyFont="1" applyFill="1" applyBorder="1" applyAlignment="1" applyProtection="1">
      <alignment horizontal="center" vertical="center"/>
      <protection locked="0" hidden="1"/>
    </xf>
    <xf numFmtId="0" fontId="3" fillId="0" borderId="28" xfId="4" applyFill="1" applyBorder="1" applyAlignment="1" applyProtection="1">
      <alignment horizontal="left" vertical="center"/>
      <protection locked="0"/>
    </xf>
    <xf numFmtId="0" fontId="3" fillId="0" borderId="28" xfId="4" applyFill="1" applyBorder="1" applyAlignment="1" applyProtection="1">
      <alignment horizontal="left"/>
      <protection locked="0"/>
    </xf>
    <xf numFmtId="0" fontId="3" fillId="0" borderId="28" xfId="4" applyFill="1" applyBorder="1" applyAlignment="1" applyProtection="1">
      <alignment horizontal="left" vertical="center"/>
      <protection locked="0"/>
    </xf>
    <xf numFmtId="0" fontId="3" fillId="0" borderId="28" xfId="4" applyFill="1" applyBorder="1" applyAlignment="1" applyProtection="1">
      <alignment horizontal="left"/>
      <protection locked="0"/>
    </xf>
    <xf numFmtId="0" fontId="4" fillId="0" borderId="26" xfId="4" applyFont="1" applyFill="1" applyBorder="1" applyAlignment="1" applyProtection="1">
      <alignment horizontal="center" vertical="center"/>
      <protection locked="0" hidden="1"/>
    </xf>
    <xf numFmtId="0" fontId="3" fillId="0" borderId="28" xfId="4" applyFill="1" applyBorder="1" applyAlignment="1" applyProtection="1">
      <alignment horizontal="left" vertical="center"/>
      <protection locked="0"/>
    </xf>
    <xf numFmtId="0" fontId="3" fillId="0" borderId="28" xfId="4" applyFill="1" applyBorder="1" applyAlignment="1" applyProtection="1">
      <alignment horizontal="left"/>
      <protection locked="0"/>
    </xf>
    <xf numFmtId="0" fontId="3" fillId="0" borderId="26" xfId="4" applyBorder="1" applyProtection="1">
      <protection locked="0" hidden="1"/>
    </xf>
    <xf numFmtId="0" fontId="3" fillId="0" borderId="26" xfId="4" applyFont="1" applyBorder="1" applyAlignment="1" applyProtection="1">
      <alignment wrapText="1"/>
      <protection locked="0" hidden="1"/>
    </xf>
    <xf numFmtId="0" fontId="12" fillId="0" borderId="2" xfId="0" applyNumberFormat="1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wrapText="1"/>
      <protection hidden="1"/>
    </xf>
    <xf numFmtId="2" fontId="0" fillId="0" borderId="0" xfId="0" applyNumberFormat="1" applyAlignment="1" applyProtection="1">
      <alignment wrapText="1"/>
      <protection hidden="1"/>
    </xf>
    <xf numFmtId="0" fontId="3" fillId="0" borderId="26" xfId="0" applyFont="1" applyBorder="1" applyAlignment="1" applyProtection="1">
      <alignment horizontal="center" vertical="center"/>
      <protection locked="0" hidden="1"/>
    </xf>
    <xf numFmtId="164" fontId="2" fillId="0" borderId="5" xfId="5" applyNumberFormat="1" applyFont="1" applyBorder="1" applyAlignment="1">
      <alignment horizontal="right" vertical="top"/>
    </xf>
    <xf numFmtId="0" fontId="3" fillId="6" borderId="26" xfId="4" applyFont="1" applyFill="1" applyBorder="1" applyAlignment="1" applyProtection="1">
      <alignment wrapText="1"/>
      <protection hidden="1"/>
    </xf>
    <xf numFmtId="0" fontId="3" fillId="6" borderId="28" xfId="4" applyFill="1" applyBorder="1" applyAlignment="1" applyProtection="1">
      <alignment horizontal="left" vertical="center"/>
      <protection hidden="1"/>
    </xf>
    <xf numFmtId="0" fontId="4" fillId="6" borderId="24" xfId="0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/>
      <protection hidden="1"/>
    </xf>
    <xf numFmtId="0" fontId="4" fillId="6" borderId="23" xfId="0" applyNumberFormat="1" applyFont="1" applyFill="1" applyBorder="1" applyAlignment="1" applyProtection="1">
      <alignment horizontal="center" vertical="center"/>
      <protection hidden="1"/>
    </xf>
    <xf numFmtId="0" fontId="0" fillId="6" borderId="26" xfId="0" applyFill="1" applyBorder="1" applyAlignment="1" applyProtection="1">
      <alignment horizontal="center" vertical="center"/>
      <protection hidden="1"/>
    </xf>
    <xf numFmtId="0" fontId="3" fillId="6" borderId="26" xfId="0" applyFont="1" applyFill="1" applyBorder="1" applyAlignment="1" applyProtection="1">
      <alignment horizontal="center" vertical="center"/>
      <protection hidden="1"/>
    </xf>
    <xf numFmtId="0" fontId="2" fillId="0" borderId="5" xfId="5" applyNumberFormat="1" applyFont="1" applyBorder="1" applyAlignment="1">
      <alignment horizontal="right" vertical="top" wrapText="1"/>
    </xf>
    <xf numFmtId="0" fontId="0" fillId="0" borderId="0" xfId="0" applyAlignment="1" applyProtection="1">
      <alignment horizontal="right"/>
      <protection hidden="1"/>
    </xf>
    <xf numFmtId="0" fontId="3" fillId="6" borderId="8" xfId="0" applyFont="1" applyFill="1" applyBorder="1" applyAlignment="1" applyProtection="1">
      <alignment horizontal="centerContinuous" vertical="distributed" wrapText="1"/>
      <protection hidden="1"/>
    </xf>
    <xf numFmtId="0" fontId="3" fillId="6" borderId="9" xfId="0" applyFont="1" applyFill="1" applyBorder="1" applyAlignment="1" applyProtection="1">
      <alignment horizontal="centerContinuous" vertical="distributed"/>
      <protection hidden="1"/>
    </xf>
    <xf numFmtId="0" fontId="63" fillId="12" borderId="29" xfId="13" applyNumberFormat="1" applyFont="1" applyFill="1" applyBorder="1" applyAlignment="1">
      <alignment vertical="top"/>
    </xf>
    <xf numFmtId="0" fontId="2" fillId="0" borderId="29" xfId="13" applyNumberFormat="1" applyFont="1" applyBorder="1" applyAlignment="1">
      <alignment vertical="top" wrapText="1" indent="2"/>
    </xf>
    <xf numFmtId="0" fontId="2" fillId="0" borderId="29" xfId="13" applyNumberFormat="1" applyFont="1" applyBorder="1" applyAlignment="1">
      <alignment vertical="top" wrapText="1"/>
    </xf>
    <xf numFmtId="3" fontId="63" fillId="0" borderId="29" xfId="13" applyNumberFormat="1" applyFont="1" applyBorder="1" applyAlignment="1">
      <alignment horizontal="right" vertical="top"/>
    </xf>
    <xf numFmtId="0" fontId="63" fillId="0" borderId="29" xfId="13" applyNumberFormat="1" applyFont="1" applyBorder="1" applyAlignment="1">
      <alignment vertical="top"/>
    </xf>
    <xf numFmtId="0" fontId="3" fillId="12" borderId="29" xfId="14" applyNumberFormat="1" applyFont="1" applyFill="1" applyBorder="1" applyAlignment="1">
      <alignment vertical="top"/>
    </xf>
    <xf numFmtId="0" fontId="2" fillId="0" borderId="29" xfId="14" applyNumberFormat="1" applyFont="1" applyBorder="1" applyAlignment="1">
      <alignment vertical="top" wrapText="1" indent="2"/>
    </xf>
    <xf numFmtId="0" fontId="2" fillId="0" borderId="29" xfId="14" applyNumberFormat="1" applyFont="1" applyBorder="1" applyAlignment="1">
      <alignment vertical="top" wrapText="1"/>
    </xf>
    <xf numFmtId="3" fontId="3" fillId="0" borderId="29" xfId="14" applyNumberFormat="1" applyFont="1" applyBorder="1" applyAlignment="1">
      <alignment horizontal="right" vertical="top"/>
    </xf>
    <xf numFmtId="0" fontId="3" fillId="0" borderId="29" xfId="14" applyNumberFormat="1" applyFont="1" applyBorder="1" applyAlignment="1">
      <alignment vertical="top"/>
    </xf>
    <xf numFmtId="164" fontId="3" fillId="0" borderId="29" xfId="14" applyNumberFormat="1" applyFont="1" applyBorder="1" applyAlignment="1">
      <alignment horizontal="right" vertical="top"/>
    </xf>
    <xf numFmtId="0" fontId="5" fillId="0" borderId="33" xfId="14" applyNumberFormat="1" applyFont="1" applyBorder="1" applyAlignment="1">
      <alignment vertical="top" textRotation="90"/>
    </xf>
    <xf numFmtId="0" fontId="5" fillId="0" borderId="32" xfId="14" applyNumberFormat="1" applyFont="1" applyBorder="1" applyAlignment="1">
      <alignment vertical="top" textRotation="90"/>
    </xf>
    <xf numFmtId="0" fontId="5" fillId="13" borderId="30" xfId="14" applyNumberFormat="1" applyFont="1" applyFill="1" applyBorder="1" applyAlignment="1">
      <alignment vertical="top" textRotation="90" wrapText="1"/>
    </xf>
    <xf numFmtId="0" fontId="5" fillId="13" borderId="30" xfId="14" applyNumberFormat="1" applyFont="1" applyFill="1" applyBorder="1" applyAlignment="1">
      <alignment vertical="top" textRotation="90"/>
    </xf>
    <xf numFmtId="0" fontId="5" fillId="14" borderId="34" xfId="4" applyFont="1" applyFill="1" applyBorder="1" applyAlignment="1">
      <alignment vertical="center" wrapText="1"/>
    </xf>
    <xf numFmtId="0" fontId="5" fillId="14" borderId="35" xfId="4" applyFont="1" applyFill="1" applyBorder="1" applyAlignment="1">
      <alignment horizontal="left" vertical="top" textRotation="90" wrapText="1"/>
    </xf>
    <xf numFmtId="0" fontId="5" fillId="14" borderId="36" xfId="4" applyFont="1" applyFill="1" applyBorder="1" applyAlignment="1">
      <alignment vertical="top" textRotation="90" wrapText="1"/>
    </xf>
    <xf numFmtId="0" fontId="5" fillId="14" borderId="37" xfId="4" applyFont="1" applyFill="1" applyBorder="1" applyAlignment="1">
      <alignment vertical="center" wrapText="1"/>
    </xf>
    <xf numFmtId="0" fontId="5" fillId="0" borderId="35" xfId="4" applyFont="1" applyBorder="1" applyAlignment="1">
      <alignment horizontal="left" vertical="top" textRotation="90"/>
    </xf>
    <xf numFmtId="0" fontId="5" fillId="0" borderId="36" xfId="4" applyFont="1" applyBorder="1" applyAlignment="1">
      <alignment vertical="top" textRotation="90"/>
    </xf>
    <xf numFmtId="0" fontId="5" fillId="0" borderId="38" xfId="4" applyFont="1" applyBorder="1" applyAlignment="1">
      <alignment vertical="top" textRotation="90"/>
    </xf>
    <xf numFmtId="0" fontId="5" fillId="0" borderId="34" xfId="4" applyFont="1" applyBorder="1" applyAlignment="1">
      <alignment vertical="top" textRotation="90"/>
    </xf>
    <xf numFmtId="0" fontId="3" fillId="15" borderId="36" xfId="4" applyFill="1" applyBorder="1" applyAlignment="1">
      <alignment vertical="top" wrapText="1"/>
    </xf>
    <xf numFmtId="0" fontId="3" fillId="15" borderId="39" xfId="4" applyFill="1" applyBorder="1" applyAlignment="1">
      <alignment vertical="top" wrapText="1"/>
    </xf>
    <xf numFmtId="0" fontId="3" fillId="15" borderId="35" xfId="4" applyFont="1" applyFill="1" applyBorder="1" applyAlignment="1">
      <alignment horizontal="left" vertical="top"/>
    </xf>
    <xf numFmtId="0" fontId="3" fillId="15" borderId="36" xfId="4" applyFont="1" applyFill="1" applyBorder="1" applyAlignment="1">
      <alignment horizontal="left" vertical="top"/>
    </xf>
    <xf numFmtId="1" fontId="3" fillId="0" borderId="44" xfId="4" applyNumberFormat="1" applyBorder="1" applyAlignment="1">
      <alignment vertical="top"/>
    </xf>
    <xf numFmtId="0" fontId="20" fillId="7" borderId="0" xfId="0" applyFont="1" applyFill="1" applyBorder="1" applyAlignment="1" applyProtection="1">
      <alignment horizontal="left" vertical="center" wrapText="1"/>
      <protection hidden="1"/>
    </xf>
    <xf numFmtId="0" fontId="20" fillId="7" borderId="22" xfId="0" applyFont="1" applyFill="1" applyBorder="1" applyAlignment="1" applyProtection="1">
      <alignment horizontal="left" vertical="center" wrapText="1"/>
      <protection hidden="1"/>
    </xf>
    <xf numFmtId="0" fontId="57" fillId="0" borderId="8" xfId="7" applyFont="1" applyBorder="1" applyAlignment="1" applyProtection="1">
      <alignment horizontal="center" vertical="center"/>
      <protection hidden="1"/>
    </xf>
    <xf numFmtId="0" fontId="57" fillId="0" borderId="27" xfId="7" applyFont="1" applyBorder="1" applyAlignment="1" applyProtection="1">
      <alignment horizontal="center" vertical="center"/>
      <protection hidden="1"/>
    </xf>
    <xf numFmtId="0" fontId="57" fillId="0" borderId="9" xfId="7" applyFont="1" applyBorder="1" applyAlignment="1" applyProtection="1">
      <alignment horizontal="center" vertical="center"/>
      <protection hidden="1"/>
    </xf>
    <xf numFmtId="0" fontId="54" fillId="0" borderId="8" xfId="7" applyFont="1" applyBorder="1" applyAlignment="1" applyProtection="1">
      <alignment horizontal="center" vertical="center" wrapText="1"/>
      <protection hidden="1"/>
    </xf>
    <xf numFmtId="0" fontId="54" fillId="0" borderId="27" xfId="7" applyFont="1" applyBorder="1" applyAlignment="1" applyProtection="1">
      <alignment horizontal="center" vertical="center" wrapText="1"/>
      <protection hidden="1"/>
    </xf>
    <xf numFmtId="0" fontId="54" fillId="0" borderId="9" xfId="7" applyFont="1" applyBorder="1" applyAlignment="1" applyProtection="1">
      <alignment horizontal="center" vertical="center" wrapText="1"/>
      <protection hidden="1"/>
    </xf>
    <xf numFmtId="0" fontId="3" fillId="9" borderId="7" xfId="0" applyFont="1" applyFill="1" applyBorder="1" applyAlignment="1" applyProtection="1">
      <alignment horizontal="center" vertical="center" wrapText="1"/>
      <protection hidden="1"/>
    </xf>
    <xf numFmtId="0" fontId="3" fillId="9" borderId="13" xfId="0" applyFont="1" applyFill="1" applyBorder="1" applyAlignment="1" applyProtection="1">
      <alignment horizontal="center" vertical="center" wrapText="1"/>
      <protection hidden="1"/>
    </xf>
    <xf numFmtId="0" fontId="3" fillId="9" borderId="16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3" fillId="7" borderId="7" xfId="0" applyFont="1" applyFill="1" applyBorder="1" applyAlignment="1" applyProtection="1">
      <alignment horizontal="center" vertical="center" wrapText="1"/>
      <protection hidden="1"/>
    </xf>
    <xf numFmtId="0" fontId="3" fillId="7" borderId="16" xfId="0" applyFont="1" applyFill="1" applyBorder="1" applyAlignment="1" applyProtection="1">
      <alignment horizontal="center" vertical="center" wrapText="1"/>
      <protection hidden="1"/>
    </xf>
    <xf numFmtId="0" fontId="3" fillId="7" borderId="7" xfId="0" applyFont="1" applyFill="1" applyBorder="1" applyAlignment="1" applyProtection="1">
      <alignment horizontal="center" vertical="center"/>
      <protection hidden="1"/>
    </xf>
    <xf numFmtId="0" fontId="3" fillId="7" borderId="16" xfId="0" applyFont="1" applyFill="1" applyBorder="1" applyAlignment="1" applyProtection="1">
      <alignment horizontal="center" vertical="center"/>
      <protection hidden="1"/>
    </xf>
    <xf numFmtId="0" fontId="61" fillId="0" borderId="18" xfId="0" applyFont="1" applyFill="1" applyBorder="1" applyAlignment="1" applyProtection="1">
      <alignment horizontal="center" vertical="top" wrapText="1"/>
      <protection hidden="1"/>
    </xf>
    <xf numFmtId="0" fontId="3" fillId="6" borderId="7" xfId="0" applyFont="1" applyFill="1" applyBorder="1" applyAlignment="1" applyProtection="1">
      <alignment horizontal="center" vertical="center" wrapText="1"/>
      <protection hidden="1"/>
    </xf>
    <xf numFmtId="0" fontId="3" fillId="6" borderId="16" xfId="0" applyFont="1" applyFill="1" applyBorder="1" applyAlignment="1" applyProtection="1">
      <alignment horizontal="center" vertical="center" wrapText="1"/>
      <protection hidden="1"/>
    </xf>
    <xf numFmtId="0" fontId="18" fillId="0" borderId="14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15" fillId="7" borderId="10" xfId="0" applyFont="1" applyFill="1" applyBorder="1" applyAlignment="1" applyProtection="1">
      <alignment horizontal="center" vertical="center" wrapText="1"/>
      <protection locked="0" hidden="1"/>
    </xf>
    <xf numFmtId="0" fontId="15" fillId="7" borderId="11" xfId="0" applyFont="1" applyFill="1" applyBorder="1" applyAlignment="1" applyProtection="1">
      <alignment horizontal="center" vertical="center" wrapText="1"/>
      <protection locked="0" hidden="1"/>
    </xf>
    <xf numFmtId="0" fontId="15" fillId="7" borderId="12" xfId="0" applyFont="1" applyFill="1" applyBorder="1" applyAlignment="1" applyProtection="1">
      <alignment horizontal="center" vertical="center" wrapText="1"/>
      <protection locked="0" hidden="1"/>
    </xf>
    <xf numFmtId="0" fontId="15" fillId="7" borderId="17" xfId="0" applyFont="1" applyFill="1" applyBorder="1" applyAlignment="1" applyProtection="1">
      <alignment horizontal="center" vertical="center" wrapText="1"/>
      <protection locked="0" hidden="1"/>
    </xf>
    <xf numFmtId="0" fontId="15" fillId="7" borderId="18" xfId="0" applyFont="1" applyFill="1" applyBorder="1" applyAlignment="1" applyProtection="1">
      <alignment horizontal="center" vertical="center" wrapText="1"/>
      <protection locked="0" hidden="1"/>
    </xf>
    <xf numFmtId="0" fontId="15" fillId="7" borderId="19" xfId="0" applyFont="1" applyFill="1" applyBorder="1" applyAlignment="1" applyProtection="1">
      <alignment horizontal="center" vertical="center" wrapText="1"/>
      <protection locked="0" hidden="1"/>
    </xf>
    <xf numFmtId="0" fontId="29" fillId="0" borderId="14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1" fillId="0" borderId="11" xfId="0" applyFont="1" applyFill="1" applyBorder="1" applyAlignment="1" applyProtection="1">
      <alignment wrapText="1"/>
      <protection hidden="1"/>
    </xf>
    <xf numFmtId="0" fontId="0" fillId="0" borderId="11" xfId="0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/>
      <protection hidden="1"/>
    </xf>
    <xf numFmtId="0" fontId="18" fillId="0" borderId="14" xfId="0" applyFont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/>
      <protection hidden="1"/>
    </xf>
    <xf numFmtId="0" fontId="3" fillId="6" borderId="7" xfId="0" applyFont="1" applyFill="1" applyBorder="1" applyAlignment="1" applyProtection="1">
      <alignment horizontal="center" vertical="distributed"/>
      <protection hidden="1"/>
    </xf>
    <xf numFmtId="0" fontId="3" fillId="6" borderId="16" xfId="0" applyFont="1" applyFill="1" applyBorder="1" applyAlignment="1" applyProtection="1">
      <alignment horizontal="center" vertical="distributed"/>
      <protection hidden="1"/>
    </xf>
    <xf numFmtId="0" fontId="3" fillId="9" borderId="12" xfId="0" applyFont="1" applyFill="1" applyBorder="1" applyAlignment="1" applyProtection="1">
      <alignment horizontal="center" vertical="center" wrapText="1"/>
      <protection hidden="1"/>
    </xf>
    <xf numFmtId="4" fontId="5" fillId="2" borderId="8" xfId="3" applyNumberFormat="1" applyFont="1" applyFill="1" applyBorder="1" applyAlignment="1" applyProtection="1">
      <alignment horizontal="center" vertical="center" wrapText="1"/>
      <protection hidden="1"/>
    </xf>
    <xf numFmtId="4" fontId="5" fillId="2" borderId="9" xfId="3" applyNumberFormat="1" applyFont="1" applyFill="1" applyBorder="1" applyAlignment="1" applyProtection="1">
      <alignment horizontal="center" vertical="center" wrapText="1"/>
      <protection hidden="1"/>
    </xf>
    <xf numFmtId="0" fontId="3" fillId="6" borderId="8" xfId="0" applyFont="1" applyFill="1" applyBorder="1" applyAlignment="1" applyProtection="1">
      <alignment horizontal="center" vertical="distributed" wrapText="1"/>
      <protection hidden="1"/>
    </xf>
    <xf numFmtId="0" fontId="3" fillId="6" borderId="9" xfId="0" applyFont="1" applyFill="1" applyBorder="1" applyAlignment="1" applyProtection="1">
      <alignment horizontal="center" vertical="distributed" wrapText="1"/>
      <protection hidden="1"/>
    </xf>
    <xf numFmtId="0" fontId="62" fillId="0" borderId="0" xfId="0" applyFont="1" applyAlignment="1" applyProtection="1">
      <alignment horizontal="right"/>
      <protection hidden="1"/>
    </xf>
    <xf numFmtId="0" fontId="46" fillId="0" borderId="0" xfId="0" applyFont="1" applyAlignment="1" applyProtection="1">
      <alignment horizontal="right"/>
      <protection hidden="1"/>
    </xf>
    <xf numFmtId="14" fontId="13" fillId="7" borderId="8" xfId="0" applyNumberFormat="1" applyFont="1" applyFill="1" applyBorder="1" applyAlignment="1" applyProtection="1">
      <alignment horizontal="center"/>
      <protection locked="0"/>
    </xf>
    <xf numFmtId="14" fontId="13" fillId="7" borderId="9" xfId="0" applyNumberFormat="1" applyFont="1" applyFill="1" applyBorder="1" applyAlignment="1" applyProtection="1">
      <alignment horizontal="center"/>
      <protection locked="0"/>
    </xf>
    <xf numFmtId="0" fontId="13" fillId="7" borderId="8" xfId="0" applyFont="1" applyFill="1" applyBorder="1" applyAlignment="1" applyProtection="1">
      <alignment horizontal="center"/>
      <protection locked="0"/>
    </xf>
    <xf numFmtId="0" fontId="13" fillId="7" borderId="9" xfId="0" applyFont="1" applyFill="1" applyBorder="1" applyAlignment="1" applyProtection="1">
      <alignment horizontal="center"/>
      <protection locked="0"/>
    </xf>
    <xf numFmtId="0" fontId="52" fillId="0" borderId="8" xfId="0" applyFont="1" applyBorder="1" applyAlignment="1" applyProtection="1">
      <alignment horizontal="center" vertical="center"/>
      <protection hidden="1"/>
    </xf>
    <xf numFmtId="0" fontId="52" fillId="0" borderId="27" xfId="0" applyFont="1" applyBorder="1" applyAlignment="1" applyProtection="1">
      <alignment horizontal="center" vertical="center"/>
      <protection hidden="1"/>
    </xf>
    <xf numFmtId="0" fontId="52" fillId="0" borderId="9" xfId="0" applyFont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center"/>
      <protection hidden="1"/>
    </xf>
    <xf numFmtId="0" fontId="16" fillId="0" borderId="18" xfId="0" applyFont="1" applyFill="1" applyBorder="1" applyAlignment="1" applyProtection="1">
      <alignment horizontal="center"/>
      <protection hidden="1"/>
    </xf>
    <xf numFmtId="0" fontId="31" fillId="0" borderId="11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Border="1" applyAlignment="1" applyProtection="1">
      <alignment horizontal="center" vertical="center"/>
      <protection hidden="1"/>
    </xf>
    <xf numFmtId="0" fontId="3" fillId="9" borderId="15" xfId="0" applyFont="1" applyFill="1" applyBorder="1" applyAlignment="1" applyProtection="1">
      <alignment horizontal="center" vertical="center" wrapText="1"/>
      <protection hidden="1"/>
    </xf>
    <xf numFmtId="0" fontId="3" fillId="9" borderId="19" xfId="0" applyFont="1" applyFill="1" applyBorder="1" applyAlignment="1" applyProtection="1">
      <alignment horizontal="center" vertical="center" wrapText="1"/>
      <protection hidden="1"/>
    </xf>
    <xf numFmtId="0" fontId="15" fillId="7" borderId="10" xfId="0" applyFont="1" applyFill="1" applyBorder="1" applyAlignment="1" applyProtection="1">
      <alignment horizontal="center" vertical="center" wrapText="1"/>
      <protection locked="0"/>
    </xf>
    <xf numFmtId="0" fontId="15" fillId="7" borderId="11" xfId="0" applyFont="1" applyFill="1" applyBorder="1" applyAlignment="1" applyProtection="1">
      <alignment horizontal="center" vertical="center" wrapText="1"/>
      <protection locked="0"/>
    </xf>
    <xf numFmtId="0" fontId="15" fillId="7" borderId="12" xfId="0" applyFont="1" applyFill="1" applyBorder="1" applyAlignment="1" applyProtection="1">
      <alignment horizontal="center" vertical="center" wrapText="1"/>
      <protection locked="0"/>
    </xf>
    <xf numFmtId="0" fontId="15" fillId="7" borderId="17" xfId="0" applyFont="1" applyFill="1" applyBorder="1" applyAlignment="1" applyProtection="1">
      <alignment horizontal="center" vertical="center" wrapText="1"/>
      <protection locked="0"/>
    </xf>
    <xf numFmtId="0" fontId="15" fillId="7" borderId="18" xfId="0" applyFont="1" applyFill="1" applyBorder="1" applyAlignment="1" applyProtection="1">
      <alignment horizontal="center" vertical="center" wrapText="1"/>
      <protection locked="0"/>
    </xf>
    <xf numFmtId="0" fontId="15" fillId="7" borderId="19" xfId="0" applyFont="1" applyFill="1" applyBorder="1" applyAlignment="1" applyProtection="1">
      <alignment horizontal="center" vertical="center" wrapText="1"/>
      <protection locked="0"/>
    </xf>
    <xf numFmtId="0" fontId="49" fillId="0" borderId="10" xfId="7" applyFont="1" applyBorder="1" applyAlignment="1" applyProtection="1">
      <alignment horizontal="center" vertical="center"/>
      <protection hidden="1"/>
    </xf>
    <xf numFmtId="0" fontId="49" fillId="0" borderId="11" xfId="7" applyFont="1" applyBorder="1" applyAlignment="1" applyProtection="1">
      <alignment horizontal="center" vertical="center"/>
      <protection hidden="1"/>
    </xf>
    <xf numFmtId="0" fontId="49" fillId="0" borderId="12" xfId="7" applyFont="1" applyBorder="1" applyAlignment="1" applyProtection="1">
      <alignment horizontal="center" vertical="center"/>
      <protection hidden="1"/>
    </xf>
    <xf numFmtId="0" fontId="49" fillId="0" borderId="14" xfId="7" applyFont="1" applyBorder="1" applyAlignment="1" applyProtection="1">
      <alignment horizontal="center" vertical="center"/>
      <protection hidden="1"/>
    </xf>
    <xf numFmtId="0" fontId="49" fillId="0" borderId="0" xfId="7" applyFont="1" applyBorder="1" applyAlignment="1" applyProtection="1">
      <alignment horizontal="center" vertical="center"/>
      <protection hidden="1"/>
    </xf>
    <xf numFmtId="0" fontId="49" fillId="0" borderId="15" xfId="7" applyFont="1" applyBorder="1" applyAlignment="1" applyProtection="1">
      <alignment horizontal="center" vertical="center"/>
      <protection hidden="1"/>
    </xf>
    <xf numFmtId="0" fontId="49" fillId="0" borderId="17" xfId="7" applyFont="1" applyBorder="1" applyAlignment="1" applyProtection="1">
      <alignment horizontal="center" vertical="center"/>
      <protection hidden="1"/>
    </xf>
    <xf numFmtId="0" fontId="49" fillId="0" borderId="18" xfId="7" applyFont="1" applyBorder="1" applyAlignment="1" applyProtection="1">
      <alignment horizontal="center" vertical="center"/>
      <protection hidden="1"/>
    </xf>
    <xf numFmtId="0" fontId="49" fillId="0" borderId="19" xfId="7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 wrapText="1"/>
      <protection hidden="1"/>
    </xf>
    <xf numFmtId="0" fontId="2" fillId="12" borderId="40" xfId="13" applyNumberFormat="1" applyFont="1" applyFill="1" applyBorder="1" applyAlignment="1">
      <alignment vertical="top" wrapText="1"/>
    </xf>
    <xf numFmtId="0" fontId="2" fillId="12" borderId="41" xfId="13" applyNumberFormat="1" applyFont="1" applyFill="1" applyBorder="1" applyAlignment="1">
      <alignment vertical="top" wrapText="1"/>
    </xf>
    <xf numFmtId="0" fontId="2" fillId="12" borderId="31" xfId="13" applyNumberFormat="1" applyFont="1" applyFill="1" applyBorder="1" applyAlignment="1">
      <alignment vertical="top" wrapText="1"/>
    </xf>
    <xf numFmtId="0" fontId="5" fillId="0" borderId="29" xfId="14" applyNumberFormat="1" applyFont="1" applyBorder="1" applyAlignment="1">
      <alignment vertical="top" textRotation="90"/>
    </xf>
    <xf numFmtId="0" fontId="2" fillId="12" borderId="42" xfId="14" applyNumberFormat="1" applyFont="1" applyFill="1" applyBorder="1" applyAlignment="1">
      <alignment vertical="top" wrapText="1"/>
    </xf>
    <xf numFmtId="0" fontId="2" fillId="12" borderId="43" xfId="14" applyNumberFormat="1" applyFont="1" applyFill="1" applyBorder="1" applyAlignment="1">
      <alignment vertical="top" wrapText="1"/>
    </xf>
    <xf numFmtId="0" fontId="2" fillId="12" borderId="40" xfId="14" applyNumberFormat="1" applyFont="1" applyFill="1" applyBorder="1" applyAlignment="1">
      <alignment vertical="top" wrapText="1"/>
    </xf>
    <xf numFmtId="0" fontId="2" fillId="12" borderId="31" xfId="14" applyNumberFormat="1" applyFont="1" applyFill="1" applyBorder="1" applyAlignment="1">
      <alignment vertical="top" wrapText="1"/>
    </xf>
    <xf numFmtId="0" fontId="5" fillId="13" borderId="30" xfId="14" applyNumberFormat="1" applyFont="1" applyFill="1" applyBorder="1" applyAlignment="1">
      <alignment horizontal="center" vertical="center" wrapText="1"/>
    </xf>
    <xf numFmtId="0" fontId="5" fillId="0" borderId="31" xfId="14" applyNumberFormat="1" applyFont="1" applyBorder="1" applyAlignment="1">
      <alignment vertical="top" textRotation="90"/>
    </xf>
  </cellXfs>
  <cellStyles count="15">
    <cellStyle name="Гиперссылка" xfId="7" builtinId="8"/>
    <cellStyle name="Гиперссылка 2" xfId="12"/>
    <cellStyle name="Обычный" xfId="0" builtinId="0"/>
    <cellStyle name="Обычный 2" xfId="4"/>
    <cellStyle name="Обычный 2 2" xfId="11"/>
    <cellStyle name="Обычный 3" xfId="10"/>
    <cellStyle name="Обычный_Лист1" xfId="2"/>
    <cellStyle name="Обычный_Лист2" xfId="1"/>
    <cellStyle name="Обычный_прайс кромка EGGER для ЛДСП" xfId="13"/>
    <cellStyle name="Обычный_прайс кромка для PS" xfId="14"/>
    <cellStyle name="Обычный_Прайс Производственные Услуги" xfId="6"/>
    <cellStyle name="Обычный_Счет" xfId="3"/>
    <cellStyle name="Обычный_Шаг1.Выбор плиты" xfId="5"/>
    <cellStyle name="Финансовый" xfId="8" builtinId="3"/>
    <cellStyle name="Финансовый 2" xfId="9"/>
  </cellStyles>
  <dxfs count="24"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color theme="0"/>
      </font>
    </dxf>
    <dxf>
      <font>
        <color theme="0"/>
      </font>
    </dxf>
    <dxf>
      <font>
        <b val="0"/>
        <i/>
        <strike val="0"/>
      </font>
      <fill>
        <patternFill>
          <bgColor theme="5" tint="0.79998168889431442"/>
        </patternFill>
      </fill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9967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</xdr:col>
      <xdr:colOff>947698</xdr:colOff>
      <xdr:row>6</xdr:row>
      <xdr:rowOff>70626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2785912" cy="944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219101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73118" cy="1238836"/>
        </a:xfrm>
        <a:prstGeom prst="rect">
          <a:avLst/>
        </a:prstGeom>
      </xdr:spPr>
    </xdr:pic>
    <xdr:clientData/>
  </xdr:twoCellAnchor>
  <xdr:oneCellAnchor>
    <xdr:from>
      <xdr:col>8</xdr:col>
      <xdr:colOff>535984</xdr:colOff>
      <xdr:row>9</xdr:row>
      <xdr:rowOff>163520</xdr:rowOff>
    </xdr:from>
    <xdr:ext cx="490647" cy="264560"/>
    <xdr:sp macro="" textlink="">
      <xdr:nvSpPr>
        <xdr:cNvPr id="5" name="TextBox 4"/>
        <xdr:cNvSpPr txBox="1"/>
      </xdr:nvSpPr>
      <xdr:spPr>
        <a:xfrm>
          <a:off x="6273396" y="2191785"/>
          <a:ext cx="4906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кр.</a:t>
          </a:r>
          <a:r>
            <a:rPr lang="en-US" sz="1100"/>
            <a:t>L1</a:t>
          </a:r>
          <a:endParaRPr lang="ru-RU" sz="1100"/>
        </a:p>
      </xdr:txBody>
    </xdr:sp>
    <xdr:clientData/>
  </xdr:oneCellAnchor>
  <xdr:oneCellAnchor>
    <xdr:from>
      <xdr:col>9</xdr:col>
      <xdr:colOff>96715</xdr:colOff>
      <xdr:row>12</xdr:row>
      <xdr:rowOff>282088</xdr:rowOff>
    </xdr:from>
    <xdr:ext cx="490647" cy="264560"/>
    <xdr:sp macro="" textlink="">
      <xdr:nvSpPr>
        <xdr:cNvPr id="6" name="TextBox 5"/>
        <xdr:cNvSpPr txBox="1"/>
      </xdr:nvSpPr>
      <xdr:spPr>
        <a:xfrm>
          <a:off x="5506915" y="2368063"/>
          <a:ext cx="4906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кр.</a:t>
          </a:r>
          <a:r>
            <a:rPr lang="en-US" sz="1100"/>
            <a:t>L2</a:t>
          </a:r>
          <a:endParaRPr lang="ru-RU" sz="1100"/>
        </a:p>
      </xdr:txBody>
    </xdr:sp>
    <xdr:clientData/>
  </xdr:oneCellAnchor>
  <xdr:oneCellAnchor>
    <xdr:from>
      <xdr:col>7</xdr:col>
      <xdr:colOff>4006</xdr:colOff>
      <xdr:row>10</xdr:row>
      <xdr:rowOff>136174</xdr:rowOff>
    </xdr:from>
    <xdr:ext cx="264560" cy="556819"/>
    <xdr:sp macro="" textlink="">
      <xdr:nvSpPr>
        <xdr:cNvPr id="7" name="TextBox 6"/>
        <xdr:cNvSpPr txBox="1"/>
      </xdr:nvSpPr>
      <xdr:spPr>
        <a:xfrm rot="16200000">
          <a:off x="4201276" y="1920604"/>
          <a:ext cx="5568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кр.</a:t>
          </a:r>
          <a:r>
            <a:rPr lang="en-US" sz="1100"/>
            <a:t>W3</a:t>
          </a:r>
          <a:endParaRPr lang="ru-RU" sz="1100"/>
        </a:p>
      </xdr:txBody>
    </xdr:sp>
    <xdr:clientData/>
  </xdr:oneCellAnchor>
  <xdr:oneCellAnchor>
    <xdr:from>
      <xdr:col>11</xdr:col>
      <xdr:colOff>345525</xdr:colOff>
      <xdr:row>11</xdr:row>
      <xdr:rowOff>19157</xdr:rowOff>
    </xdr:from>
    <xdr:ext cx="264560" cy="556819"/>
    <xdr:sp macro="" textlink="">
      <xdr:nvSpPr>
        <xdr:cNvPr id="8" name="TextBox 7"/>
        <xdr:cNvSpPr txBox="1"/>
      </xdr:nvSpPr>
      <xdr:spPr>
        <a:xfrm rot="16200000">
          <a:off x="6676395" y="1946462"/>
          <a:ext cx="5568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кр.</a:t>
          </a:r>
          <a:r>
            <a:rPr lang="en-US" sz="1100"/>
            <a:t>W4</a:t>
          </a:r>
          <a:endParaRPr lang="ru-RU" sz="1100"/>
        </a:p>
      </xdr:txBody>
    </xdr:sp>
    <xdr:clientData/>
  </xdr:oneCellAnchor>
  <xdr:twoCellAnchor>
    <xdr:from>
      <xdr:col>9</xdr:col>
      <xdr:colOff>14654</xdr:colOff>
      <xdr:row>11</xdr:row>
      <xdr:rowOff>247650</xdr:rowOff>
    </xdr:from>
    <xdr:to>
      <xdr:col>10</xdr:col>
      <xdr:colOff>36634</xdr:colOff>
      <xdr:row>12</xdr:row>
      <xdr:rowOff>57150</xdr:rowOff>
    </xdr:to>
    <xdr:sp macro="" textlink="">
      <xdr:nvSpPr>
        <xdr:cNvPr id="9" name="Полилиния 8"/>
        <xdr:cNvSpPr/>
      </xdr:nvSpPr>
      <xdr:spPr>
        <a:xfrm flipV="1">
          <a:off x="5424854" y="2028825"/>
          <a:ext cx="555380" cy="114300"/>
        </a:xfrm>
        <a:custGeom>
          <a:avLst/>
          <a:gdLst>
            <a:gd name="connsiteX0" fmla="*/ 0 w 432288"/>
            <a:gd name="connsiteY0" fmla="*/ 43961 h 51312"/>
            <a:gd name="connsiteX1" fmla="*/ 161192 w 432288"/>
            <a:gd name="connsiteY1" fmla="*/ 7326 h 51312"/>
            <a:gd name="connsiteX2" fmla="*/ 285750 w 432288"/>
            <a:gd name="connsiteY2" fmla="*/ 51288 h 51312"/>
            <a:gd name="connsiteX3" fmla="*/ 432288 w 432288"/>
            <a:gd name="connsiteY3" fmla="*/ 0 h 513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2288" h="51312">
              <a:moveTo>
                <a:pt x="0" y="43961"/>
              </a:moveTo>
              <a:cubicBezTo>
                <a:pt x="56783" y="25033"/>
                <a:pt x="113567" y="6105"/>
                <a:pt x="161192" y="7326"/>
              </a:cubicBezTo>
              <a:cubicBezTo>
                <a:pt x="208817" y="8547"/>
                <a:pt x="240567" y="52509"/>
                <a:pt x="285750" y="51288"/>
              </a:cubicBezTo>
              <a:cubicBezTo>
                <a:pt x="330933" y="50067"/>
                <a:pt x="383442" y="20760"/>
                <a:pt x="432288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20515</xdr:colOff>
      <xdr:row>12</xdr:row>
      <xdr:rowOff>11747</xdr:rowOff>
    </xdr:from>
    <xdr:to>
      <xdr:col>10</xdr:col>
      <xdr:colOff>42495</xdr:colOff>
      <xdr:row>12</xdr:row>
      <xdr:rowOff>123825</xdr:rowOff>
    </xdr:to>
    <xdr:sp macro="" textlink="">
      <xdr:nvSpPr>
        <xdr:cNvPr id="10" name="Полилиния 9"/>
        <xdr:cNvSpPr/>
      </xdr:nvSpPr>
      <xdr:spPr>
        <a:xfrm flipV="1">
          <a:off x="5430715" y="2097722"/>
          <a:ext cx="555380" cy="112078"/>
        </a:xfrm>
        <a:custGeom>
          <a:avLst/>
          <a:gdLst>
            <a:gd name="connsiteX0" fmla="*/ 0 w 432288"/>
            <a:gd name="connsiteY0" fmla="*/ 43961 h 51312"/>
            <a:gd name="connsiteX1" fmla="*/ 161192 w 432288"/>
            <a:gd name="connsiteY1" fmla="*/ 7326 h 51312"/>
            <a:gd name="connsiteX2" fmla="*/ 285750 w 432288"/>
            <a:gd name="connsiteY2" fmla="*/ 51288 h 51312"/>
            <a:gd name="connsiteX3" fmla="*/ 432288 w 432288"/>
            <a:gd name="connsiteY3" fmla="*/ 0 h 513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2288" h="51312">
              <a:moveTo>
                <a:pt x="0" y="43961"/>
              </a:moveTo>
              <a:cubicBezTo>
                <a:pt x="56783" y="25033"/>
                <a:pt x="113567" y="6105"/>
                <a:pt x="161192" y="7326"/>
              </a:cubicBezTo>
              <a:cubicBezTo>
                <a:pt x="208817" y="8547"/>
                <a:pt x="240567" y="52509"/>
                <a:pt x="285750" y="51288"/>
              </a:cubicBezTo>
              <a:cubicBezTo>
                <a:pt x="330933" y="50067"/>
                <a:pt x="383442" y="20760"/>
                <a:pt x="432288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22412</xdr:colOff>
      <xdr:row>5</xdr:row>
      <xdr:rowOff>56030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7088" cy="7844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22412</xdr:colOff>
      <xdr:row>5</xdr:row>
      <xdr:rowOff>56030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5237" cy="7704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16</xdr:col>
      <xdr:colOff>0</xdr:colOff>
      <xdr:row>4</xdr:row>
      <xdr:rowOff>98106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115174" cy="812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179415</xdr:colOff>
      <xdr:row>0</xdr:row>
      <xdr:rowOff>1832</xdr:rowOff>
    </xdr:from>
    <xdr:ext cx="537648" cy="311496"/>
    <xdr:sp macro="[0]!for_ifern_MSK" textlink="">
      <xdr:nvSpPr>
        <xdr:cNvPr id="4" name="Прямоугольник 3"/>
        <xdr:cNvSpPr/>
      </xdr:nvSpPr>
      <xdr:spPr>
        <a:xfrm>
          <a:off x="16338297" y="1832"/>
          <a:ext cx="537648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МСК</a:t>
          </a:r>
          <a:endParaRPr lang="ru-RU" sz="1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25</xdr:col>
      <xdr:colOff>684621</xdr:colOff>
      <xdr:row>0</xdr:row>
      <xdr:rowOff>0</xdr:rowOff>
    </xdr:from>
    <xdr:ext cx="513347" cy="311496"/>
    <xdr:sp macro="[0]!for_ifern_VRN" textlink="">
      <xdr:nvSpPr>
        <xdr:cNvPr id="6" name="Прямоугольник 5"/>
        <xdr:cNvSpPr/>
      </xdr:nvSpPr>
      <xdr:spPr>
        <a:xfrm>
          <a:off x="16843503" y="0"/>
          <a:ext cx="513347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400" b="1" cap="none" spc="50">
              <a:ln w="12700" cmpd="sng">
                <a:solidFill>
                  <a:schemeClr val="accent6">
                    <a:satMod val="120000"/>
                    <a:shade val="80000"/>
                  </a:schemeClr>
                </a:solidFill>
                <a:prstDash val="solid"/>
              </a:ln>
              <a:solidFill>
                <a:schemeClr val="accent6">
                  <a:tint val="1000"/>
                </a:schemeClr>
              </a:solidFill>
              <a:effectLst>
                <a:glow rad="53100">
                  <a:schemeClr val="accent6">
                    <a:satMod val="180000"/>
                    <a:alpha val="30000"/>
                  </a:schemeClr>
                </a:glow>
              </a:effectLst>
            </a:rPr>
            <a:t>ВРН</a:t>
          </a:r>
        </a:p>
      </xdr:txBody>
    </xdr:sp>
    <xdr:clientData/>
  </xdr:oneCellAnchor>
  <xdr:oneCellAnchor>
    <xdr:from>
      <xdr:col>25</xdr:col>
      <xdr:colOff>1249566</xdr:colOff>
      <xdr:row>0</xdr:row>
      <xdr:rowOff>0</xdr:rowOff>
    </xdr:from>
    <xdr:ext cx="548868" cy="327141"/>
    <xdr:sp macro="[0]!for_ВDany" textlink="">
      <xdr:nvSpPr>
        <xdr:cNvPr id="7" name="Прямоугольник 6"/>
        <xdr:cNvSpPr/>
      </xdr:nvSpPr>
      <xdr:spPr>
        <a:xfrm>
          <a:off x="17408448" y="0"/>
          <a:ext cx="548868" cy="327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n-US" sz="15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CSV</a:t>
          </a:r>
          <a:endParaRPr lang="ru-RU" sz="1500" b="1" cap="none" spc="150">
            <a:ln w="11430"/>
            <a:solidFill>
              <a:srgbClr val="F8F8F8"/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outlinePr summaryBelow="0" summaryRight="0"/>
    <pageSetUpPr autoPageBreaks="0" fitToPage="1"/>
  </sheetPr>
  <dimension ref="A7:S1615"/>
  <sheetViews>
    <sheetView tabSelected="1" zoomScale="70" zoomScaleNormal="70" workbookViewId="0">
      <pane ySplit="9" topLeftCell="A10" activePane="bottomLeft" state="frozen"/>
      <selection pane="bottomLeft" activeCell="N36" sqref="N36"/>
    </sheetView>
  </sheetViews>
  <sheetFormatPr defaultColWidth="10.5" defaultRowHeight="11.45" customHeight="1" x14ac:dyDescent="0.2"/>
  <cols>
    <col min="1" max="1" width="13.5" style="4" customWidth="1"/>
    <col min="2" max="2" width="10.5" style="4"/>
    <col min="3" max="3" width="39.33203125" style="5" hidden="1" customWidth="1"/>
    <col min="4" max="4" width="18.83203125" style="5" bestFit="1" customWidth="1"/>
    <col min="5" max="5" width="22.1640625" style="5" customWidth="1"/>
    <col min="6" max="6" width="95.83203125" style="7" customWidth="1"/>
    <col min="7" max="7" width="9.33203125" style="5" hidden="1" customWidth="1"/>
    <col min="8" max="8" width="19.33203125" style="5" hidden="1" customWidth="1"/>
    <col min="9" max="9" width="14.6640625" style="5" hidden="1" customWidth="1"/>
    <col min="10" max="10" width="19.83203125" style="5" customWidth="1"/>
    <col min="11" max="11" width="22.83203125" style="5" hidden="1" customWidth="1"/>
    <col min="12" max="12" width="13.6640625" style="5" customWidth="1"/>
    <col min="13" max="13" width="12.83203125" style="5" hidden="1" customWidth="1"/>
    <col min="14" max="14" width="12.33203125" style="5" customWidth="1"/>
    <col min="15" max="15" width="18.6640625" style="5" hidden="1" customWidth="1"/>
    <col min="16" max="16" width="21" style="5" hidden="1" customWidth="1"/>
    <col min="17" max="17" width="16.6640625" style="5" customWidth="1"/>
    <col min="18" max="19" width="10.5" style="4" hidden="1" customWidth="1"/>
    <col min="20" max="22" width="10.5" style="4" customWidth="1"/>
    <col min="23" max="16384" width="10.5" style="4"/>
  </cols>
  <sheetData>
    <row r="7" spans="1:19" ht="12" customHeight="1" thickBot="1" x14ac:dyDescent="0.25"/>
    <row r="8" spans="1:19" s="161" customFormat="1" ht="22.5" customHeight="1" thickBot="1" x14ac:dyDescent="0.25">
      <c r="A8" s="232" t="s">
        <v>2028</v>
      </c>
      <c r="C8" s="162"/>
      <c r="D8" s="162"/>
      <c r="E8" s="162"/>
      <c r="F8" s="163"/>
      <c r="G8" s="162"/>
      <c r="H8" s="162"/>
      <c r="I8" s="162"/>
      <c r="J8" s="234" t="s">
        <v>1957</v>
      </c>
      <c r="K8" s="235"/>
      <c r="L8" s="235"/>
      <c r="M8" s="235"/>
      <c r="N8" s="235"/>
      <c r="O8" s="235"/>
      <c r="P8" s="235"/>
      <c r="Q8" s="236"/>
    </row>
    <row r="9" spans="1:19" ht="37.5" customHeight="1" x14ac:dyDescent="0.2">
      <c r="A9" s="233"/>
      <c r="B9" s="2" t="s">
        <v>1925</v>
      </c>
      <c r="C9" s="10" t="s">
        <v>1922</v>
      </c>
      <c r="D9" s="1" t="s">
        <v>1923</v>
      </c>
      <c r="E9" s="1" t="s">
        <v>1924</v>
      </c>
      <c r="F9" s="8" t="s">
        <v>1</v>
      </c>
      <c r="G9" s="10" t="s">
        <v>2</v>
      </c>
      <c r="H9" s="10" t="s">
        <v>3</v>
      </c>
      <c r="I9" s="21" t="s">
        <v>2132</v>
      </c>
      <c r="J9" s="13" t="s">
        <v>1920</v>
      </c>
      <c r="K9" s="14" t="s">
        <v>1921</v>
      </c>
      <c r="L9" s="13" t="s">
        <v>4</v>
      </c>
      <c r="M9" s="14" t="s">
        <v>5</v>
      </c>
      <c r="N9" s="13" t="s">
        <v>6</v>
      </c>
      <c r="O9" s="14" t="s">
        <v>7</v>
      </c>
      <c r="P9" s="14" t="s">
        <v>8</v>
      </c>
      <c r="Q9" s="13" t="s">
        <v>0</v>
      </c>
      <c r="R9" s="14" t="s">
        <v>2006</v>
      </c>
      <c r="S9" s="14" t="s">
        <v>2007</v>
      </c>
    </row>
    <row r="10" spans="1:19" ht="17.100000000000001" customHeight="1" x14ac:dyDescent="0.2">
      <c r="A10" s="23"/>
      <c r="B10" s="3" t="str">
        <f ca="1">IF(A10="В заказ",MAX($B$9:OFFSET(B10,-1,0))+1,"")</f>
        <v/>
      </c>
      <c r="C10" s="6" t="str">
        <f t="shared" ref="C10:C73" si="0">D10&amp;" "&amp;N10&amp;" "&amp;IF(OR(D10="ДСП",D10="МДФ",D10="Фанера",D10="ХДФ"),M10,J10)&amp;" "&amp;IF(OR(D10="ДСП",D10="МДФ",D10="Фанера",D10="ХДФ"),O10,L10)&amp;" "&amp;IF(OR(D10="ДСП",D10="МДФ",D10="Фанера",D10="ХДФ"),"",IF(D10="БСП",M10,O10))&amp;"."</f>
        <v>ДСП 10 2800*2070 ШЛИФОВАННОЕ без покрытия .</v>
      </c>
      <c r="D10" s="67" t="s">
        <v>233</v>
      </c>
      <c r="E10" s="67"/>
      <c r="F10" s="67" t="s">
        <v>2150</v>
      </c>
      <c r="G10" s="68">
        <v>9856</v>
      </c>
      <c r="H10" s="67" t="s">
        <v>234</v>
      </c>
      <c r="I10" s="200"/>
      <c r="J10" s="67"/>
      <c r="K10" s="67"/>
      <c r="L10" s="67"/>
      <c r="M10" s="67" t="s">
        <v>238</v>
      </c>
      <c r="N10" s="67" t="s">
        <v>1407</v>
      </c>
      <c r="O10" s="67" t="s">
        <v>236</v>
      </c>
      <c r="P10" s="67" t="s">
        <v>2120</v>
      </c>
      <c r="Q10" s="69">
        <v>1000</v>
      </c>
      <c r="R10" s="4">
        <f>IFERROR(LEFT(M10,FIND("*",M10)-1)*1,"")</f>
        <v>2800</v>
      </c>
      <c r="S10" s="4">
        <f>IFERROR(RIGHT(M10,LEN(M10)-FIND("*",M10))*1,"")</f>
        <v>2070</v>
      </c>
    </row>
    <row r="11" spans="1:19" ht="17.100000000000001" customHeight="1" x14ac:dyDescent="0.2">
      <c r="A11" s="23"/>
      <c r="B11" s="3" t="str">
        <f ca="1">IF(A11="В заказ",MAX($B$9:OFFSET(B11,-1,0))+1,"")</f>
        <v/>
      </c>
      <c r="C11" s="6" t="str">
        <f t="shared" si="0"/>
        <v>ДСП 16 2800*2070 ШЛИФОВАННОЕ без покрытия .</v>
      </c>
      <c r="D11" s="67" t="s">
        <v>233</v>
      </c>
      <c r="E11" s="67"/>
      <c r="F11" s="67" t="s">
        <v>237</v>
      </c>
      <c r="G11" s="68">
        <v>11695</v>
      </c>
      <c r="H11" s="67" t="s">
        <v>234</v>
      </c>
      <c r="I11" s="200"/>
      <c r="J11" s="67"/>
      <c r="K11" s="67"/>
      <c r="L11" s="67"/>
      <c r="M11" s="67" t="s">
        <v>238</v>
      </c>
      <c r="N11" s="67" t="s">
        <v>235</v>
      </c>
      <c r="O11" s="67" t="s">
        <v>236</v>
      </c>
      <c r="P11" s="67" t="s">
        <v>2120</v>
      </c>
      <c r="Q11" s="69">
        <v>1350</v>
      </c>
      <c r="R11" s="4">
        <f t="shared" ref="R11:R74" si="1">IFERROR(LEFT(M11,FIND("*",M11)-1)*1,"")</f>
        <v>2800</v>
      </c>
      <c r="S11" s="4">
        <f t="shared" ref="S11:S74" si="2">IFERROR(RIGHT(M11,LEN(M11)-FIND("*",M11))*1,"")</f>
        <v>2070</v>
      </c>
    </row>
    <row r="12" spans="1:19" ht="17.100000000000001" customHeight="1" x14ac:dyDescent="0.2">
      <c r="A12" s="23"/>
      <c r="B12" s="3" t="str">
        <f ca="1">IF(A12="В заказ",MAX($B$9:OFFSET(B12,-1,0))+1,"")</f>
        <v/>
      </c>
      <c r="C12" s="6" t="str">
        <f t="shared" si="0"/>
        <v>ДСП 16 2800*2070 ШЛИФОВАННОЕ без покрытия P-1 .</v>
      </c>
      <c r="D12" s="67" t="s">
        <v>233</v>
      </c>
      <c r="E12" s="67"/>
      <c r="F12" s="67" t="s">
        <v>239</v>
      </c>
      <c r="G12" s="68">
        <v>14698</v>
      </c>
      <c r="H12" s="67" t="s">
        <v>234</v>
      </c>
      <c r="I12" s="200"/>
      <c r="J12" s="67"/>
      <c r="K12" s="67"/>
      <c r="L12" s="67"/>
      <c r="M12" s="67" t="s">
        <v>238</v>
      </c>
      <c r="N12" s="67" t="s">
        <v>235</v>
      </c>
      <c r="O12" s="67" t="s">
        <v>240</v>
      </c>
      <c r="P12" s="67" t="s">
        <v>2120</v>
      </c>
      <c r="Q12" s="69">
        <v>1350</v>
      </c>
      <c r="R12" s="4">
        <f t="shared" si="1"/>
        <v>2800</v>
      </c>
      <c r="S12" s="4">
        <f t="shared" si="2"/>
        <v>2070</v>
      </c>
    </row>
    <row r="13" spans="1:19" ht="17.100000000000001" customHeight="1" x14ac:dyDescent="0.2">
      <c r="A13" s="23"/>
      <c r="B13" s="3" t="str">
        <f ca="1">IF(A13="В заказ",MAX($B$9:OFFSET(B13,-1,0))+1,"")</f>
        <v/>
      </c>
      <c r="C13" s="6" t="str">
        <f t="shared" si="0"/>
        <v>ДСП 25 2800*2070 ШЛИФОВАННОЕ без покрытия  .</v>
      </c>
      <c r="D13" s="67" t="s">
        <v>233</v>
      </c>
      <c r="E13" s="67"/>
      <c r="F13" s="67" t="s">
        <v>2037</v>
      </c>
      <c r="G13" s="68">
        <v>9062</v>
      </c>
      <c r="H13" s="67" t="s">
        <v>234</v>
      </c>
      <c r="I13" s="200"/>
      <c r="J13" s="67"/>
      <c r="K13" s="67"/>
      <c r="L13" s="67"/>
      <c r="M13" s="67" t="s">
        <v>238</v>
      </c>
      <c r="N13" s="67" t="s">
        <v>1387</v>
      </c>
      <c r="O13" s="67" t="s">
        <v>2121</v>
      </c>
      <c r="P13" s="67" t="s">
        <v>2120</v>
      </c>
      <c r="Q13" s="69">
        <v>3050</v>
      </c>
      <c r="R13" s="4">
        <f t="shared" si="1"/>
        <v>2800</v>
      </c>
      <c r="S13" s="4">
        <f t="shared" si="2"/>
        <v>2070</v>
      </c>
    </row>
    <row r="14" spans="1:19" ht="17.100000000000001" customHeight="1" x14ac:dyDescent="0.2">
      <c r="A14" s="23"/>
      <c r="B14" s="3" t="str">
        <f ca="1">IF(A14="В заказ",MAX($B$9:OFFSET(B14,-1,0))+1,"")</f>
        <v/>
      </c>
      <c r="C14" s="6" t="str">
        <f t="shared" si="0"/>
        <v>ЛДСП 16 0190 GL/SM .</v>
      </c>
      <c r="D14" s="67" t="s">
        <v>1372</v>
      </c>
      <c r="E14" s="67"/>
      <c r="F14" s="67" t="s">
        <v>1373</v>
      </c>
      <c r="G14" s="68">
        <v>24746</v>
      </c>
      <c r="H14" s="67" t="s">
        <v>1374</v>
      </c>
      <c r="I14" s="200"/>
      <c r="J14" s="67" t="s">
        <v>1375</v>
      </c>
      <c r="K14" s="67" t="s">
        <v>220</v>
      </c>
      <c r="L14" s="67" t="s">
        <v>1376</v>
      </c>
      <c r="M14" s="67" t="s">
        <v>238</v>
      </c>
      <c r="N14" s="67" t="s">
        <v>235</v>
      </c>
      <c r="O14" s="67"/>
      <c r="P14" s="67" t="s">
        <v>1377</v>
      </c>
      <c r="Q14" s="69">
        <v>4945</v>
      </c>
      <c r="R14" s="4">
        <f t="shared" si="1"/>
        <v>2800</v>
      </c>
      <c r="S14" s="4">
        <f t="shared" si="2"/>
        <v>2070</v>
      </c>
    </row>
    <row r="15" spans="1:19" ht="17.100000000000001" customHeight="1" x14ac:dyDescent="0.2">
      <c r="A15" s="23"/>
      <c r="B15" s="3" t="str">
        <f ca="1">IF(A15="В заказ",MAX($B$9:OFFSET(B15,-1,0))+1,"")</f>
        <v/>
      </c>
      <c r="C15" s="6" t="str">
        <f t="shared" si="0"/>
        <v>ЛДСП 16 8681 GL/SM .</v>
      </c>
      <c r="D15" s="67" t="s">
        <v>1372</v>
      </c>
      <c r="E15" s="67"/>
      <c r="F15" s="67" t="s">
        <v>1378</v>
      </c>
      <c r="G15" s="68">
        <v>24142</v>
      </c>
      <c r="H15" s="67" t="s">
        <v>1374</v>
      </c>
      <c r="I15" s="200"/>
      <c r="J15" s="67" t="s">
        <v>1379</v>
      </c>
      <c r="K15" s="67" t="s">
        <v>1380</v>
      </c>
      <c r="L15" s="67" t="s">
        <v>1376</v>
      </c>
      <c r="M15" s="67" t="s">
        <v>238</v>
      </c>
      <c r="N15" s="67" t="s">
        <v>235</v>
      </c>
      <c r="O15" s="67"/>
      <c r="P15" s="67" t="s">
        <v>1377</v>
      </c>
      <c r="Q15" s="69">
        <v>4715</v>
      </c>
      <c r="R15" s="4">
        <f t="shared" si="1"/>
        <v>2800</v>
      </c>
      <c r="S15" s="4">
        <f t="shared" si="2"/>
        <v>2070</v>
      </c>
    </row>
    <row r="16" spans="1:19" ht="17.100000000000001" customHeight="1" x14ac:dyDescent="0.2">
      <c r="A16" s="23"/>
      <c r="B16" s="3" t="str">
        <f ca="1">IF(A16="В заказ",MAX($B$9:OFFSET(B16,-1,0))+1,"")</f>
        <v/>
      </c>
      <c r="C16" s="6" t="str">
        <f t="shared" si="0"/>
        <v>ЛДСП 08 W1000 ST19 .</v>
      </c>
      <c r="D16" s="67" t="s">
        <v>1372</v>
      </c>
      <c r="E16" s="67" t="s">
        <v>15</v>
      </c>
      <c r="F16" s="67" t="s">
        <v>1381</v>
      </c>
      <c r="G16" s="68">
        <v>22290</v>
      </c>
      <c r="H16" s="67" t="s">
        <v>20</v>
      </c>
      <c r="I16" s="70">
        <v>1</v>
      </c>
      <c r="J16" s="67" t="s">
        <v>16</v>
      </c>
      <c r="K16" s="67" t="s">
        <v>17</v>
      </c>
      <c r="L16" s="67" t="s">
        <v>251</v>
      </c>
      <c r="M16" s="67" t="s">
        <v>238</v>
      </c>
      <c r="N16" s="67" t="s">
        <v>1382</v>
      </c>
      <c r="O16" s="67"/>
      <c r="P16" s="67" t="s">
        <v>19</v>
      </c>
      <c r="Q16" s="69">
        <v>3945</v>
      </c>
      <c r="R16" s="4">
        <f t="shared" si="1"/>
        <v>2800</v>
      </c>
      <c r="S16" s="4">
        <f t="shared" si="2"/>
        <v>2070</v>
      </c>
    </row>
    <row r="17" spans="1:19" ht="17.100000000000001" customHeight="1" x14ac:dyDescent="0.2">
      <c r="A17" s="23"/>
      <c r="B17" s="3" t="str">
        <f ca="1">IF(A17="В заказ",MAX($B$9:OFFSET(B17,-1,0))+1,"")</f>
        <v/>
      </c>
      <c r="C17" s="6" t="str">
        <f t="shared" si="0"/>
        <v>ЛДСП 16 W1000 ST19 .</v>
      </c>
      <c r="D17" s="67" t="s">
        <v>1372</v>
      </c>
      <c r="E17" s="67" t="s">
        <v>15</v>
      </c>
      <c r="F17" s="67" t="s">
        <v>1383</v>
      </c>
      <c r="G17" s="68">
        <v>21584</v>
      </c>
      <c r="H17" s="67" t="s">
        <v>20</v>
      </c>
      <c r="I17" s="70">
        <v>1</v>
      </c>
      <c r="J17" s="67" t="s">
        <v>16</v>
      </c>
      <c r="K17" s="67" t="s">
        <v>17</v>
      </c>
      <c r="L17" s="67" t="s">
        <v>251</v>
      </c>
      <c r="M17" s="67" t="s">
        <v>238</v>
      </c>
      <c r="N17" s="67" t="s">
        <v>235</v>
      </c>
      <c r="O17" s="67"/>
      <c r="P17" s="67" t="s">
        <v>19</v>
      </c>
      <c r="Q17" s="69">
        <v>4020</v>
      </c>
      <c r="R17" s="4">
        <f t="shared" si="1"/>
        <v>2800</v>
      </c>
      <c r="S17" s="4">
        <f t="shared" si="2"/>
        <v>2070</v>
      </c>
    </row>
    <row r="18" spans="1:19" ht="17.100000000000001" customHeight="1" x14ac:dyDescent="0.2">
      <c r="A18" s="23"/>
      <c r="B18" s="3" t="str">
        <f ca="1">IF(A18="В заказ",MAX($B$9:OFFSET(B18,-1,0))+1,"")</f>
        <v/>
      </c>
      <c r="C18" s="6" t="str">
        <f t="shared" si="0"/>
        <v>ЛДСП 18 W1000 ST19 .</v>
      </c>
      <c r="D18" s="67" t="s">
        <v>1372</v>
      </c>
      <c r="E18" s="67" t="s">
        <v>15</v>
      </c>
      <c r="F18" s="67" t="s">
        <v>1384</v>
      </c>
      <c r="G18" s="68">
        <v>24477</v>
      </c>
      <c r="H18" s="67" t="s">
        <v>20</v>
      </c>
      <c r="I18" s="70">
        <v>1</v>
      </c>
      <c r="J18" s="67" t="s">
        <v>16</v>
      </c>
      <c r="K18" s="67" t="s">
        <v>17</v>
      </c>
      <c r="L18" s="67" t="s">
        <v>251</v>
      </c>
      <c r="M18" s="67" t="s">
        <v>238</v>
      </c>
      <c r="N18" s="67" t="s">
        <v>1385</v>
      </c>
      <c r="O18" s="67"/>
      <c r="P18" s="67" t="s">
        <v>19</v>
      </c>
      <c r="Q18" s="69">
        <v>4290</v>
      </c>
      <c r="R18" s="4">
        <f t="shared" si="1"/>
        <v>2800</v>
      </c>
      <c r="S18" s="4">
        <f t="shared" si="2"/>
        <v>2070</v>
      </c>
    </row>
    <row r="19" spans="1:19" ht="17.100000000000001" customHeight="1" x14ac:dyDescent="0.2">
      <c r="A19" s="23"/>
      <c r="B19" s="3" t="str">
        <f ca="1">IF(A19="В заказ",MAX($B$9:OFFSET(B19,-1,0))+1,"")</f>
        <v/>
      </c>
      <c r="C19" s="6" t="str">
        <f t="shared" si="0"/>
        <v>ЛДСП 25 W1000 ST19 .</v>
      </c>
      <c r="D19" s="67" t="s">
        <v>1372</v>
      </c>
      <c r="E19" s="67" t="s">
        <v>15</v>
      </c>
      <c r="F19" s="67" t="s">
        <v>1386</v>
      </c>
      <c r="G19" s="68">
        <v>22291</v>
      </c>
      <c r="H19" s="67" t="s">
        <v>20</v>
      </c>
      <c r="I19" s="70">
        <v>1</v>
      </c>
      <c r="J19" s="67" t="s">
        <v>16</v>
      </c>
      <c r="K19" s="67" t="s">
        <v>17</v>
      </c>
      <c r="L19" s="67" t="s">
        <v>251</v>
      </c>
      <c r="M19" s="67" t="s">
        <v>238</v>
      </c>
      <c r="N19" s="67" t="s">
        <v>1387</v>
      </c>
      <c r="O19" s="67"/>
      <c r="P19" s="67" t="s">
        <v>19</v>
      </c>
      <c r="Q19" s="69">
        <v>5505</v>
      </c>
      <c r="R19" s="4">
        <f t="shared" si="1"/>
        <v>2800</v>
      </c>
      <c r="S19" s="4">
        <f t="shared" si="2"/>
        <v>2070</v>
      </c>
    </row>
    <row r="20" spans="1:19" ht="17.100000000000001" customHeight="1" x14ac:dyDescent="0.2">
      <c r="A20" s="23"/>
      <c r="B20" s="3" t="str">
        <f ca="1">IF(A20="В заказ",MAX($B$9:OFFSET(B20,-1,0))+1,"")</f>
        <v/>
      </c>
      <c r="C20" s="6" t="str">
        <f t="shared" si="0"/>
        <v>ЛДСП 08 W1000 ST38 .</v>
      </c>
      <c r="D20" s="67" t="s">
        <v>1372</v>
      </c>
      <c r="E20" s="67" t="s">
        <v>15</v>
      </c>
      <c r="F20" s="67" t="s">
        <v>1388</v>
      </c>
      <c r="G20" s="68">
        <v>14134</v>
      </c>
      <c r="H20" s="67" t="s">
        <v>20</v>
      </c>
      <c r="I20" s="70">
        <v>1</v>
      </c>
      <c r="J20" s="67" t="s">
        <v>16</v>
      </c>
      <c r="K20" s="67" t="s">
        <v>17</v>
      </c>
      <c r="L20" s="67" t="s">
        <v>21</v>
      </c>
      <c r="M20" s="67" t="s">
        <v>238</v>
      </c>
      <c r="N20" s="67" t="s">
        <v>1382</v>
      </c>
      <c r="O20" s="67"/>
      <c r="P20" s="67" t="s">
        <v>19</v>
      </c>
      <c r="Q20" s="69">
        <v>5150</v>
      </c>
      <c r="R20" s="4">
        <f t="shared" si="1"/>
        <v>2800</v>
      </c>
      <c r="S20" s="4">
        <f t="shared" si="2"/>
        <v>2070</v>
      </c>
    </row>
    <row r="21" spans="1:19" ht="17.100000000000001" customHeight="1" x14ac:dyDescent="0.2">
      <c r="A21" s="23"/>
      <c r="B21" s="3" t="str">
        <f ca="1">IF(A21="В заказ",MAX($B$9:OFFSET(B21,-1,0))+1,"")</f>
        <v/>
      </c>
      <c r="C21" s="6" t="str">
        <f t="shared" si="0"/>
        <v>ЛДСП 16 W1000 ST38 .</v>
      </c>
      <c r="D21" s="67" t="s">
        <v>1372</v>
      </c>
      <c r="E21" s="67" t="s">
        <v>15</v>
      </c>
      <c r="F21" s="67" t="s">
        <v>1389</v>
      </c>
      <c r="G21" s="68">
        <v>13295</v>
      </c>
      <c r="H21" s="67" t="s">
        <v>20</v>
      </c>
      <c r="I21" s="70">
        <v>1</v>
      </c>
      <c r="J21" s="67" t="s">
        <v>16</v>
      </c>
      <c r="K21" s="67" t="s">
        <v>17</v>
      </c>
      <c r="L21" s="67" t="s">
        <v>21</v>
      </c>
      <c r="M21" s="67" t="s">
        <v>238</v>
      </c>
      <c r="N21" s="67" t="s">
        <v>235</v>
      </c>
      <c r="O21" s="67"/>
      <c r="P21" s="67" t="s">
        <v>19</v>
      </c>
      <c r="Q21" s="69">
        <v>5230</v>
      </c>
      <c r="R21" s="4">
        <f t="shared" si="1"/>
        <v>2800</v>
      </c>
      <c r="S21" s="4">
        <f t="shared" si="2"/>
        <v>2070</v>
      </c>
    </row>
    <row r="22" spans="1:19" ht="17.100000000000001" customHeight="1" x14ac:dyDescent="0.2">
      <c r="A22" s="23"/>
      <c r="B22" s="3" t="str">
        <f ca="1">IF(A22="В заказ",MAX($B$9:OFFSET(B22,-1,0))+1,"")</f>
        <v/>
      </c>
      <c r="C22" s="6" t="str">
        <f t="shared" si="0"/>
        <v>ЛДСП 18 W1000 ST38 .</v>
      </c>
      <c r="D22" s="67" t="s">
        <v>1372</v>
      </c>
      <c r="E22" s="67" t="s">
        <v>15</v>
      </c>
      <c r="F22" s="67" t="s">
        <v>1390</v>
      </c>
      <c r="G22" s="68">
        <v>23145</v>
      </c>
      <c r="H22" s="67" t="s">
        <v>20</v>
      </c>
      <c r="I22" s="70">
        <v>1</v>
      </c>
      <c r="J22" s="67" t="s">
        <v>16</v>
      </c>
      <c r="K22" s="67" t="s">
        <v>17</v>
      </c>
      <c r="L22" s="67" t="s">
        <v>21</v>
      </c>
      <c r="M22" s="67" t="s">
        <v>238</v>
      </c>
      <c r="N22" s="67" t="s">
        <v>1385</v>
      </c>
      <c r="O22" s="67"/>
      <c r="P22" s="67" t="s">
        <v>19</v>
      </c>
      <c r="Q22" s="69">
        <v>5505</v>
      </c>
      <c r="R22" s="4">
        <f t="shared" si="1"/>
        <v>2800</v>
      </c>
      <c r="S22" s="4">
        <f t="shared" si="2"/>
        <v>2070</v>
      </c>
    </row>
    <row r="23" spans="1:19" ht="17.100000000000001" customHeight="1" x14ac:dyDescent="0.2">
      <c r="A23" s="23"/>
      <c r="B23" s="3" t="str">
        <f ca="1">IF(A23="В заказ",MAX($B$9:OFFSET(B23,-1,0))+1,"")</f>
        <v/>
      </c>
      <c r="C23" s="6" t="str">
        <f t="shared" si="0"/>
        <v>ЛДСП 25 W1000 ST38 .</v>
      </c>
      <c r="D23" s="67" t="s">
        <v>1372</v>
      </c>
      <c r="E23" s="67" t="s">
        <v>15</v>
      </c>
      <c r="F23" s="67" t="s">
        <v>1391</v>
      </c>
      <c r="G23" s="68">
        <v>13297</v>
      </c>
      <c r="H23" s="67" t="s">
        <v>20</v>
      </c>
      <c r="I23" s="70">
        <v>1</v>
      </c>
      <c r="J23" s="67" t="s">
        <v>16</v>
      </c>
      <c r="K23" s="67" t="s">
        <v>17</v>
      </c>
      <c r="L23" s="67" t="s">
        <v>21</v>
      </c>
      <c r="M23" s="67" t="s">
        <v>238</v>
      </c>
      <c r="N23" s="67" t="s">
        <v>1387</v>
      </c>
      <c r="O23" s="67"/>
      <c r="P23" s="67" t="s">
        <v>19</v>
      </c>
      <c r="Q23" s="69">
        <v>6785</v>
      </c>
      <c r="R23" s="4">
        <f t="shared" si="1"/>
        <v>2800</v>
      </c>
      <c r="S23" s="4">
        <f t="shared" si="2"/>
        <v>2070</v>
      </c>
    </row>
    <row r="24" spans="1:19" ht="17.100000000000001" customHeight="1" x14ac:dyDescent="0.2">
      <c r="A24" s="23"/>
      <c r="B24" s="3" t="str">
        <f ca="1">IF(A24="В заказ",MAX($B$9:OFFSET(B24,-1,0))+1,"")</f>
        <v/>
      </c>
      <c r="C24" s="6" t="str">
        <f t="shared" si="0"/>
        <v>ЛДСП 08 W1000 ST9 .</v>
      </c>
      <c r="D24" s="67" t="s">
        <v>1372</v>
      </c>
      <c r="E24" s="67" t="s">
        <v>15</v>
      </c>
      <c r="F24" s="67" t="s">
        <v>1392</v>
      </c>
      <c r="G24" s="68">
        <v>6087</v>
      </c>
      <c r="H24" s="67" t="s">
        <v>20</v>
      </c>
      <c r="I24" s="200"/>
      <c r="J24" s="67" t="s">
        <v>16</v>
      </c>
      <c r="K24" s="67" t="s">
        <v>17</v>
      </c>
      <c r="L24" s="67" t="s">
        <v>22</v>
      </c>
      <c r="M24" s="67" t="s">
        <v>238</v>
      </c>
      <c r="N24" s="67" t="s">
        <v>1382</v>
      </c>
      <c r="O24" s="67"/>
      <c r="P24" s="67" t="s">
        <v>19</v>
      </c>
      <c r="Q24" s="69">
        <v>3445</v>
      </c>
      <c r="R24" s="4">
        <f t="shared" si="1"/>
        <v>2800</v>
      </c>
      <c r="S24" s="4">
        <f t="shared" si="2"/>
        <v>2070</v>
      </c>
    </row>
    <row r="25" spans="1:19" ht="17.100000000000001" customHeight="1" x14ac:dyDescent="0.2">
      <c r="A25" s="23"/>
      <c r="B25" s="3" t="str">
        <f ca="1">IF(A25="В заказ",MAX($B$9:OFFSET(B25,-1,0))+1,"")</f>
        <v/>
      </c>
      <c r="C25" s="6" t="str">
        <f t="shared" si="0"/>
        <v>ЛДСП 16 W1000 ST9 .</v>
      </c>
      <c r="D25" s="67" t="s">
        <v>1372</v>
      </c>
      <c r="E25" s="67" t="s">
        <v>15</v>
      </c>
      <c r="F25" s="67" t="s">
        <v>1393</v>
      </c>
      <c r="G25" s="68">
        <v>1102</v>
      </c>
      <c r="H25" s="67" t="s">
        <v>20</v>
      </c>
      <c r="I25" s="200"/>
      <c r="J25" s="67" t="s">
        <v>16</v>
      </c>
      <c r="K25" s="67" t="s">
        <v>17</v>
      </c>
      <c r="L25" s="67" t="s">
        <v>22</v>
      </c>
      <c r="M25" s="67" t="s">
        <v>238</v>
      </c>
      <c r="N25" s="67" t="s">
        <v>235</v>
      </c>
      <c r="O25" s="67"/>
      <c r="P25" s="67" t="s">
        <v>19</v>
      </c>
      <c r="Q25" s="69">
        <v>3520</v>
      </c>
      <c r="R25" s="4">
        <f t="shared" si="1"/>
        <v>2800</v>
      </c>
      <c r="S25" s="4">
        <f t="shared" si="2"/>
        <v>2070</v>
      </c>
    </row>
    <row r="26" spans="1:19" ht="17.100000000000001" customHeight="1" x14ac:dyDescent="0.2">
      <c r="A26" s="23"/>
      <c r="B26" s="3" t="str">
        <f ca="1">IF(A26="В заказ",MAX($B$9:OFFSET(B26,-1,0))+1,"")</f>
        <v/>
      </c>
      <c r="C26" s="6" t="str">
        <f t="shared" si="0"/>
        <v>ЛДСП 18 W1000 ST9 .</v>
      </c>
      <c r="D26" s="67" t="s">
        <v>1372</v>
      </c>
      <c r="E26" s="67" t="s">
        <v>15</v>
      </c>
      <c r="F26" s="67" t="s">
        <v>1394</v>
      </c>
      <c r="G26" s="68">
        <v>8599</v>
      </c>
      <c r="H26" s="67" t="s">
        <v>20</v>
      </c>
      <c r="I26" s="200"/>
      <c r="J26" s="67" t="s">
        <v>16</v>
      </c>
      <c r="K26" s="67" t="s">
        <v>17</v>
      </c>
      <c r="L26" s="67" t="s">
        <v>22</v>
      </c>
      <c r="M26" s="67" t="s">
        <v>238</v>
      </c>
      <c r="N26" s="67" t="s">
        <v>1385</v>
      </c>
      <c r="O26" s="67"/>
      <c r="P26" s="67" t="s">
        <v>19</v>
      </c>
      <c r="Q26" s="69">
        <v>3820</v>
      </c>
      <c r="R26" s="4">
        <f t="shared" si="1"/>
        <v>2800</v>
      </c>
      <c r="S26" s="4">
        <f t="shared" si="2"/>
        <v>2070</v>
      </c>
    </row>
    <row r="27" spans="1:19" ht="17.100000000000001" customHeight="1" x14ac:dyDescent="0.2">
      <c r="A27" s="23"/>
      <c r="B27" s="3" t="str">
        <f ca="1">IF(A27="В заказ",MAX($B$9:OFFSET(B27,-1,0))+1,"")</f>
        <v/>
      </c>
      <c r="C27" s="6" t="str">
        <f t="shared" si="0"/>
        <v>ЛДСП 25 W1000 ST9 .</v>
      </c>
      <c r="D27" s="67" t="s">
        <v>1372</v>
      </c>
      <c r="E27" s="67" t="s">
        <v>15</v>
      </c>
      <c r="F27" s="67" t="s">
        <v>1395</v>
      </c>
      <c r="G27" s="68">
        <v>6086</v>
      </c>
      <c r="H27" s="67" t="s">
        <v>20</v>
      </c>
      <c r="I27" s="200"/>
      <c r="J27" s="67" t="s">
        <v>16</v>
      </c>
      <c r="K27" s="67" t="s">
        <v>17</v>
      </c>
      <c r="L27" s="67" t="s">
        <v>22</v>
      </c>
      <c r="M27" s="67" t="s">
        <v>238</v>
      </c>
      <c r="N27" s="67" t="s">
        <v>1387</v>
      </c>
      <c r="O27" s="67"/>
      <c r="P27" s="67" t="s">
        <v>19</v>
      </c>
      <c r="Q27" s="69">
        <v>5075</v>
      </c>
      <c r="R27" s="4">
        <f t="shared" si="1"/>
        <v>2800</v>
      </c>
      <c r="S27" s="4">
        <f t="shared" si="2"/>
        <v>2070</v>
      </c>
    </row>
    <row r="28" spans="1:19" ht="17.100000000000001" customHeight="1" x14ac:dyDescent="0.2">
      <c r="A28" s="23"/>
      <c r="B28" s="3" t="str">
        <f ca="1">IF(A28="В заказ",MAX($B$9:OFFSET(B28,-1,0))+1,"")</f>
        <v/>
      </c>
      <c r="C28" s="6" t="str">
        <f t="shared" si="0"/>
        <v>ЛДСП 08 W1100 ST9 .</v>
      </c>
      <c r="D28" s="67" t="s">
        <v>1372</v>
      </c>
      <c r="E28" s="67" t="s">
        <v>15</v>
      </c>
      <c r="F28" s="67" t="s">
        <v>1396</v>
      </c>
      <c r="G28" s="68">
        <v>10088</v>
      </c>
      <c r="H28" s="67" t="s">
        <v>20</v>
      </c>
      <c r="I28" s="200"/>
      <c r="J28" s="67" t="s">
        <v>23</v>
      </c>
      <c r="K28" s="67" t="s">
        <v>24</v>
      </c>
      <c r="L28" s="67" t="s">
        <v>22</v>
      </c>
      <c r="M28" s="67" t="s">
        <v>238</v>
      </c>
      <c r="N28" s="67" t="s">
        <v>1382</v>
      </c>
      <c r="O28" s="67"/>
      <c r="P28" s="67" t="s">
        <v>19</v>
      </c>
      <c r="Q28" s="69">
        <v>3545</v>
      </c>
      <c r="R28" s="4">
        <f t="shared" si="1"/>
        <v>2800</v>
      </c>
      <c r="S28" s="4">
        <f t="shared" si="2"/>
        <v>2070</v>
      </c>
    </row>
    <row r="29" spans="1:19" ht="17.100000000000001" customHeight="1" x14ac:dyDescent="0.2">
      <c r="A29" s="23"/>
      <c r="B29" s="3" t="str">
        <f ca="1">IF(A29="В заказ",MAX($B$9:OFFSET(B29,-1,0))+1,"")</f>
        <v/>
      </c>
      <c r="C29" s="6" t="str">
        <f t="shared" si="0"/>
        <v>ЛДСП 16 W1100 ST9 .</v>
      </c>
      <c r="D29" s="67" t="s">
        <v>1372</v>
      </c>
      <c r="E29" s="67" t="s">
        <v>15</v>
      </c>
      <c r="F29" s="67" t="s">
        <v>1397</v>
      </c>
      <c r="G29" s="68">
        <v>9578</v>
      </c>
      <c r="H29" s="67" t="s">
        <v>20</v>
      </c>
      <c r="I29" s="200"/>
      <c r="J29" s="67" t="s">
        <v>23</v>
      </c>
      <c r="K29" s="67" t="s">
        <v>24</v>
      </c>
      <c r="L29" s="67" t="s">
        <v>22</v>
      </c>
      <c r="M29" s="67" t="s">
        <v>238</v>
      </c>
      <c r="N29" s="67" t="s">
        <v>235</v>
      </c>
      <c r="O29" s="67"/>
      <c r="P29" s="67" t="s">
        <v>19</v>
      </c>
      <c r="Q29" s="69">
        <v>3630</v>
      </c>
      <c r="R29" s="4">
        <f t="shared" si="1"/>
        <v>2800</v>
      </c>
      <c r="S29" s="4">
        <f t="shared" si="2"/>
        <v>2070</v>
      </c>
    </row>
    <row r="30" spans="1:19" ht="17.100000000000001" customHeight="1" x14ac:dyDescent="0.2">
      <c r="A30" s="23"/>
      <c r="B30" s="3" t="str">
        <f ca="1">IF(A30="В заказ",MAX($B$9:OFFSET(B30,-1,0))+1,"")</f>
        <v/>
      </c>
      <c r="C30" s="6" t="str">
        <f t="shared" si="0"/>
        <v>ЛДСП 18 W1100 ST9 .</v>
      </c>
      <c r="D30" s="67" t="s">
        <v>1372</v>
      </c>
      <c r="E30" s="67" t="s">
        <v>15</v>
      </c>
      <c r="F30" s="67" t="s">
        <v>1398</v>
      </c>
      <c r="G30" s="68">
        <v>17493</v>
      </c>
      <c r="H30" s="67" t="s">
        <v>20</v>
      </c>
      <c r="I30" s="200"/>
      <c r="J30" s="67" t="s">
        <v>23</v>
      </c>
      <c r="K30" s="67" t="s">
        <v>24</v>
      </c>
      <c r="L30" s="67" t="s">
        <v>22</v>
      </c>
      <c r="M30" s="67" t="s">
        <v>238</v>
      </c>
      <c r="N30" s="67" t="s">
        <v>1385</v>
      </c>
      <c r="O30" s="67"/>
      <c r="P30" s="67" t="s">
        <v>19</v>
      </c>
      <c r="Q30" s="69">
        <v>3910</v>
      </c>
      <c r="R30" s="4">
        <f t="shared" si="1"/>
        <v>2800</v>
      </c>
      <c r="S30" s="4">
        <f t="shared" si="2"/>
        <v>2070</v>
      </c>
    </row>
    <row r="31" spans="1:19" ht="17.100000000000001" customHeight="1" x14ac:dyDescent="0.2">
      <c r="A31" s="23"/>
      <c r="B31" s="3" t="str">
        <f ca="1">IF(A31="В заказ",MAX($B$9:OFFSET(B31,-1,0))+1,"")</f>
        <v/>
      </c>
      <c r="C31" s="6" t="str">
        <f t="shared" si="0"/>
        <v>ЛДСП 25 W1100 ST9 .</v>
      </c>
      <c r="D31" s="67" t="s">
        <v>1372</v>
      </c>
      <c r="E31" s="67" t="s">
        <v>15</v>
      </c>
      <c r="F31" s="67" t="s">
        <v>1399</v>
      </c>
      <c r="G31" s="68">
        <v>10086</v>
      </c>
      <c r="H31" s="67" t="s">
        <v>20</v>
      </c>
      <c r="I31" s="200"/>
      <c r="J31" s="67" t="s">
        <v>23</v>
      </c>
      <c r="K31" s="67" t="s">
        <v>24</v>
      </c>
      <c r="L31" s="67" t="s">
        <v>22</v>
      </c>
      <c r="M31" s="67" t="s">
        <v>238</v>
      </c>
      <c r="N31" s="67" t="s">
        <v>1387</v>
      </c>
      <c r="O31" s="67"/>
      <c r="P31" s="67" t="s">
        <v>19</v>
      </c>
      <c r="Q31" s="69">
        <v>5175</v>
      </c>
      <c r="R31" s="4">
        <f t="shared" si="1"/>
        <v>2800</v>
      </c>
      <c r="S31" s="4">
        <f t="shared" si="2"/>
        <v>2070</v>
      </c>
    </row>
    <row r="32" spans="1:19" ht="17.100000000000001" customHeight="1" x14ac:dyDescent="0.2">
      <c r="A32" s="23"/>
      <c r="B32" s="3" t="str">
        <f ca="1">IF(A32="В заказ",MAX($B$9:OFFSET(B32,-1,0))+1,"")</f>
        <v/>
      </c>
      <c r="C32" s="6" t="str">
        <f t="shared" si="0"/>
        <v>ЛДСП 16 W1200 ST9 .</v>
      </c>
      <c r="D32" s="67" t="s">
        <v>1372</v>
      </c>
      <c r="E32" s="67" t="s">
        <v>15</v>
      </c>
      <c r="F32" s="67" t="s">
        <v>1400</v>
      </c>
      <c r="G32" s="68">
        <v>5992</v>
      </c>
      <c r="H32" s="67" t="s">
        <v>20</v>
      </c>
      <c r="I32" s="200"/>
      <c r="J32" s="67" t="s">
        <v>26</v>
      </c>
      <c r="K32" s="67" t="s">
        <v>27</v>
      </c>
      <c r="L32" s="67" t="s">
        <v>22</v>
      </c>
      <c r="M32" s="67" t="s">
        <v>238</v>
      </c>
      <c r="N32" s="67" t="s">
        <v>235</v>
      </c>
      <c r="O32" s="67"/>
      <c r="P32" s="67" t="s">
        <v>19</v>
      </c>
      <c r="Q32" s="69">
        <v>3630</v>
      </c>
      <c r="R32" s="4">
        <f t="shared" si="1"/>
        <v>2800</v>
      </c>
      <c r="S32" s="4">
        <f t="shared" si="2"/>
        <v>2070</v>
      </c>
    </row>
    <row r="33" spans="1:19" ht="17.100000000000001" customHeight="1" x14ac:dyDescent="0.2">
      <c r="A33" s="23"/>
      <c r="B33" s="3" t="str">
        <f ca="1">IF(A33="В заказ",MAX($B$9:OFFSET(B33,-1,0))+1,"")</f>
        <v/>
      </c>
      <c r="C33" s="6" t="str">
        <f t="shared" si="0"/>
        <v>ЛДСП 08 W908 SM .</v>
      </c>
      <c r="D33" s="67" t="s">
        <v>1372</v>
      </c>
      <c r="E33" s="67" t="s">
        <v>15</v>
      </c>
      <c r="F33" s="67" t="s">
        <v>1401</v>
      </c>
      <c r="G33" s="70">
        <v>914</v>
      </c>
      <c r="H33" s="67" t="s">
        <v>20</v>
      </c>
      <c r="I33" s="200"/>
      <c r="J33" s="67" t="s">
        <v>28</v>
      </c>
      <c r="K33" s="67" t="s">
        <v>29</v>
      </c>
      <c r="L33" s="67" t="s">
        <v>30</v>
      </c>
      <c r="M33" s="67" t="s">
        <v>238</v>
      </c>
      <c r="N33" s="67" t="s">
        <v>1382</v>
      </c>
      <c r="O33" s="67"/>
      <c r="P33" s="67" t="s">
        <v>19</v>
      </c>
      <c r="Q33" s="69">
        <v>2900</v>
      </c>
      <c r="R33" s="4">
        <f t="shared" si="1"/>
        <v>2800</v>
      </c>
      <c r="S33" s="4">
        <f t="shared" si="2"/>
        <v>2070</v>
      </c>
    </row>
    <row r="34" spans="1:19" ht="17.100000000000001" customHeight="1" x14ac:dyDescent="0.2">
      <c r="A34" s="23"/>
      <c r="B34" s="3" t="str">
        <f ca="1">IF(A34="В заказ",MAX($B$9:OFFSET(B34,-1,0))+1,"")</f>
        <v/>
      </c>
      <c r="C34" s="6" t="str">
        <f t="shared" si="0"/>
        <v>ЛДСП 16 W908 SM .</v>
      </c>
      <c r="D34" s="67" t="s">
        <v>1372</v>
      </c>
      <c r="E34" s="67" t="s">
        <v>15</v>
      </c>
      <c r="F34" s="67" t="s">
        <v>1402</v>
      </c>
      <c r="G34" s="70">
        <v>236</v>
      </c>
      <c r="H34" s="67" t="s">
        <v>20</v>
      </c>
      <c r="I34" s="200"/>
      <c r="J34" s="67" t="s">
        <v>28</v>
      </c>
      <c r="K34" s="67" t="s">
        <v>29</v>
      </c>
      <c r="L34" s="67" t="s">
        <v>30</v>
      </c>
      <c r="M34" s="67" t="s">
        <v>238</v>
      </c>
      <c r="N34" s="67" t="s">
        <v>235</v>
      </c>
      <c r="O34" s="67"/>
      <c r="P34" s="67" t="s">
        <v>19</v>
      </c>
      <c r="Q34" s="69">
        <v>2980</v>
      </c>
      <c r="R34" s="4">
        <f t="shared" si="1"/>
        <v>2800</v>
      </c>
      <c r="S34" s="4">
        <f t="shared" si="2"/>
        <v>2070</v>
      </c>
    </row>
    <row r="35" spans="1:19" ht="17.100000000000001" customHeight="1" x14ac:dyDescent="0.2">
      <c r="A35" s="23"/>
      <c r="B35" s="3" t="str">
        <f ca="1">IF(A35="В заказ",MAX($B$9:OFFSET(B35,-1,0))+1,"")</f>
        <v/>
      </c>
      <c r="C35" s="6" t="str">
        <f t="shared" si="0"/>
        <v>ЛДСП 18 W908 SM .</v>
      </c>
      <c r="D35" s="67" t="s">
        <v>1372</v>
      </c>
      <c r="E35" s="67" t="s">
        <v>15</v>
      </c>
      <c r="F35" s="67" t="s">
        <v>1403</v>
      </c>
      <c r="G35" s="68">
        <v>22843</v>
      </c>
      <c r="H35" s="67" t="s">
        <v>20</v>
      </c>
      <c r="I35" s="200"/>
      <c r="J35" s="67" t="s">
        <v>28</v>
      </c>
      <c r="K35" s="67" t="s">
        <v>29</v>
      </c>
      <c r="L35" s="67" t="s">
        <v>30</v>
      </c>
      <c r="M35" s="67" t="s">
        <v>238</v>
      </c>
      <c r="N35" s="67" t="s">
        <v>1385</v>
      </c>
      <c r="O35" s="67"/>
      <c r="P35" s="67" t="s">
        <v>19</v>
      </c>
      <c r="Q35" s="69">
        <v>3270</v>
      </c>
      <c r="R35" s="4">
        <f t="shared" si="1"/>
        <v>2800</v>
      </c>
      <c r="S35" s="4">
        <f t="shared" si="2"/>
        <v>2070</v>
      </c>
    </row>
    <row r="36" spans="1:19" ht="17.100000000000001" customHeight="1" x14ac:dyDescent="0.2">
      <c r="A36" s="23"/>
      <c r="B36" s="3" t="str">
        <f ca="1">IF(A36="В заказ",MAX($B$9:OFFSET(B36,-1,0))+1,"")</f>
        <v/>
      </c>
      <c r="C36" s="6" t="str">
        <f t="shared" si="0"/>
        <v>ЛДСП 25 W908 SM .</v>
      </c>
      <c r="D36" s="67" t="s">
        <v>1372</v>
      </c>
      <c r="E36" s="67" t="s">
        <v>15</v>
      </c>
      <c r="F36" s="67" t="s">
        <v>1404</v>
      </c>
      <c r="G36" s="70">
        <v>242</v>
      </c>
      <c r="H36" s="67" t="s">
        <v>20</v>
      </c>
      <c r="I36" s="200"/>
      <c r="J36" s="67" t="s">
        <v>28</v>
      </c>
      <c r="K36" s="67" t="s">
        <v>29</v>
      </c>
      <c r="L36" s="67" t="s">
        <v>30</v>
      </c>
      <c r="M36" s="67" t="s">
        <v>238</v>
      </c>
      <c r="N36" s="67" t="s">
        <v>1387</v>
      </c>
      <c r="O36" s="67"/>
      <c r="P36" s="67" t="s">
        <v>19</v>
      </c>
      <c r="Q36" s="69">
        <v>4390</v>
      </c>
      <c r="R36" s="4">
        <f t="shared" si="1"/>
        <v>2800</v>
      </c>
      <c r="S36" s="4">
        <f t="shared" si="2"/>
        <v>2070</v>
      </c>
    </row>
    <row r="37" spans="1:19" ht="17.100000000000001" customHeight="1" x14ac:dyDescent="0.2">
      <c r="A37" s="23"/>
      <c r="B37" s="3" t="str">
        <f ca="1">IF(A37="В заказ",MAX($B$9:OFFSET(B37,-1,0))+1,"")</f>
        <v/>
      </c>
      <c r="C37" s="6" t="str">
        <f t="shared" si="0"/>
        <v>ЛДСП 08 W908 ST2 .</v>
      </c>
      <c r="D37" s="67" t="s">
        <v>1372</v>
      </c>
      <c r="E37" s="67" t="s">
        <v>15</v>
      </c>
      <c r="F37" s="67" t="s">
        <v>1405</v>
      </c>
      <c r="G37" s="70">
        <v>229</v>
      </c>
      <c r="H37" s="67" t="s">
        <v>20</v>
      </c>
      <c r="I37" s="200"/>
      <c r="J37" s="67" t="s">
        <v>28</v>
      </c>
      <c r="K37" s="67" t="s">
        <v>29</v>
      </c>
      <c r="L37" s="67" t="s">
        <v>31</v>
      </c>
      <c r="M37" s="67" t="s">
        <v>238</v>
      </c>
      <c r="N37" s="67" t="s">
        <v>1382</v>
      </c>
      <c r="O37" s="67"/>
      <c r="P37" s="67" t="s">
        <v>19</v>
      </c>
      <c r="Q37" s="69">
        <v>2900</v>
      </c>
      <c r="R37" s="4">
        <f t="shared" si="1"/>
        <v>2800</v>
      </c>
      <c r="S37" s="4">
        <f t="shared" si="2"/>
        <v>2070</v>
      </c>
    </row>
    <row r="38" spans="1:19" ht="17.100000000000001" customHeight="1" x14ac:dyDescent="0.2">
      <c r="A38" s="23"/>
      <c r="B38" s="3" t="str">
        <f ca="1">IF(A38="В заказ",MAX($B$9:OFFSET(B38,-1,0))+1,"")</f>
        <v/>
      </c>
      <c r="C38" s="6" t="str">
        <f t="shared" si="0"/>
        <v>ЛДСП 10 W908 ST2 .</v>
      </c>
      <c r="D38" s="67" t="s">
        <v>1372</v>
      </c>
      <c r="E38" s="67" t="s">
        <v>15</v>
      </c>
      <c r="F38" s="67" t="s">
        <v>1406</v>
      </c>
      <c r="G38" s="68">
        <v>7213</v>
      </c>
      <c r="H38" s="67" t="s">
        <v>20</v>
      </c>
      <c r="I38" s="200"/>
      <c r="J38" s="67" t="s">
        <v>28</v>
      </c>
      <c r="K38" s="67" t="s">
        <v>29</v>
      </c>
      <c r="L38" s="67" t="s">
        <v>31</v>
      </c>
      <c r="M38" s="67" t="s">
        <v>238</v>
      </c>
      <c r="N38" s="67" t="s">
        <v>1407</v>
      </c>
      <c r="O38" s="67"/>
      <c r="P38" s="67" t="s">
        <v>19</v>
      </c>
      <c r="Q38" s="69">
        <v>2930</v>
      </c>
      <c r="R38" s="4">
        <f t="shared" si="1"/>
        <v>2800</v>
      </c>
      <c r="S38" s="4">
        <f t="shared" si="2"/>
        <v>2070</v>
      </c>
    </row>
    <row r="39" spans="1:19" ht="17.100000000000001" customHeight="1" x14ac:dyDescent="0.2">
      <c r="A39" s="23"/>
      <c r="B39" s="3" t="str">
        <f ca="1">IF(A39="В заказ",MAX($B$9:OFFSET(B39,-1,0))+1,"")</f>
        <v/>
      </c>
      <c r="C39" s="6" t="str">
        <f t="shared" si="0"/>
        <v>ЛДСП 16 W908 ST2 .</v>
      </c>
      <c r="D39" s="67" t="s">
        <v>1372</v>
      </c>
      <c r="E39" s="67" t="s">
        <v>15</v>
      </c>
      <c r="F39" s="67" t="s">
        <v>1408</v>
      </c>
      <c r="G39" s="70">
        <v>25</v>
      </c>
      <c r="H39" s="67" t="s">
        <v>20</v>
      </c>
      <c r="I39" s="200"/>
      <c r="J39" s="67" t="s">
        <v>28</v>
      </c>
      <c r="K39" s="67" t="s">
        <v>29</v>
      </c>
      <c r="L39" s="67" t="s">
        <v>31</v>
      </c>
      <c r="M39" s="67" t="s">
        <v>238</v>
      </c>
      <c r="N39" s="67" t="s">
        <v>235</v>
      </c>
      <c r="O39" s="67"/>
      <c r="P39" s="67" t="s">
        <v>19</v>
      </c>
      <c r="Q39" s="69">
        <v>2980</v>
      </c>
      <c r="R39" s="4">
        <f t="shared" si="1"/>
        <v>2800</v>
      </c>
      <c r="S39" s="4">
        <f t="shared" si="2"/>
        <v>2070</v>
      </c>
    </row>
    <row r="40" spans="1:19" ht="17.100000000000001" customHeight="1" x14ac:dyDescent="0.2">
      <c r="A40" s="23"/>
      <c r="B40" s="3" t="str">
        <f ca="1">IF(A40="В заказ",MAX($B$9:OFFSET(B40,-1,0))+1,"")</f>
        <v/>
      </c>
      <c r="C40" s="6" t="str">
        <f t="shared" si="0"/>
        <v>ЛДСП 18 W908 ST2 .</v>
      </c>
      <c r="D40" s="67" t="s">
        <v>1372</v>
      </c>
      <c r="E40" s="67" t="s">
        <v>15</v>
      </c>
      <c r="F40" s="67" t="s">
        <v>1409</v>
      </c>
      <c r="G40" s="68">
        <v>1213</v>
      </c>
      <c r="H40" s="67" t="s">
        <v>20</v>
      </c>
      <c r="I40" s="200"/>
      <c r="J40" s="67" t="s">
        <v>28</v>
      </c>
      <c r="K40" s="67" t="s">
        <v>29</v>
      </c>
      <c r="L40" s="67" t="s">
        <v>31</v>
      </c>
      <c r="M40" s="67" t="s">
        <v>238</v>
      </c>
      <c r="N40" s="67" t="s">
        <v>1385</v>
      </c>
      <c r="O40" s="67"/>
      <c r="P40" s="67" t="s">
        <v>19</v>
      </c>
      <c r="Q40" s="69">
        <v>3270</v>
      </c>
      <c r="R40" s="4">
        <f t="shared" si="1"/>
        <v>2800</v>
      </c>
      <c r="S40" s="4">
        <f t="shared" si="2"/>
        <v>2070</v>
      </c>
    </row>
    <row r="41" spans="1:19" ht="17.100000000000001" customHeight="1" x14ac:dyDescent="0.2">
      <c r="A41" s="23"/>
      <c r="B41" s="3" t="str">
        <f ca="1">IF(A41="В заказ",MAX($B$9:OFFSET(B41,-1,0))+1,"")</f>
        <v/>
      </c>
      <c r="C41" s="6" t="str">
        <f t="shared" si="0"/>
        <v>ЛДСП 25 W908 ST2 .</v>
      </c>
      <c r="D41" s="67" t="s">
        <v>1372</v>
      </c>
      <c r="E41" s="67" t="s">
        <v>15</v>
      </c>
      <c r="F41" s="67" t="s">
        <v>1410</v>
      </c>
      <c r="G41" s="70">
        <v>233</v>
      </c>
      <c r="H41" s="67" t="s">
        <v>20</v>
      </c>
      <c r="I41" s="200"/>
      <c r="J41" s="67" t="s">
        <v>28</v>
      </c>
      <c r="K41" s="67" t="s">
        <v>29</v>
      </c>
      <c r="L41" s="67" t="s">
        <v>31</v>
      </c>
      <c r="M41" s="67" t="s">
        <v>238</v>
      </c>
      <c r="N41" s="67" t="s">
        <v>1387</v>
      </c>
      <c r="O41" s="67"/>
      <c r="P41" s="67" t="s">
        <v>19</v>
      </c>
      <c r="Q41" s="69">
        <v>4390</v>
      </c>
      <c r="R41" s="4">
        <f t="shared" si="1"/>
        <v>2800</v>
      </c>
      <c r="S41" s="4">
        <f t="shared" si="2"/>
        <v>2070</v>
      </c>
    </row>
    <row r="42" spans="1:19" ht="17.100000000000001" customHeight="1" x14ac:dyDescent="0.2">
      <c r="A42" s="23"/>
      <c r="B42" s="3" t="str">
        <f ca="1">IF(A42="В заказ",MAX($B$9:OFFSET(B42,-1,0))+1,"")</f>
        <v/>
      </c>
      <c r="C42" s="6" t="str">
        <f t="shared" si="0"/>
        <v>ЛДСП 08 W980 SM .</v>
      </c>
      <c r="D42" s="67" t="s">
        <v>1372</v>
      </c>
      <c r="E42" s="67" t="s">
        <v>15</v>
      </c>
      <c r="F42" s="67" t="s">
        <v>1411</v>
      </c>
      <c r="G42" s="68">
        <v>2608</v>
      </c>
      <c r="H42" s="67" t="s">
        <v>20</v>
      </c>
      <c r="I42" s="200"/>
      <c r="J42" s="67" t="s">
        <v>32</v>
      </c>
      <c r="K42" s="67" t="s">
        <v>33</v>
      </c>
      <c r="L42" s="67" t="s">
        <v>30</v>
      </c>
      <c r="M42" s="67" t="s">
        <v>238</v>
      </c>
      <c r="N42" s="67" t="s">
        <v>1382</v>
      </c>
      <c r="O42" s="67"/>
      <c r="P42" s="67" t="s">
        <v>19</v>
      </c>
      <c r="Q42" s="69">
        <v>3020</v>
      </c>
      <c r="R42" s="4">
        <f t="shared" si="1"/>
        <v>2800</v>
      </c>
      <c r="S42" s="4">
        <f t="shared" si="2"/>
        <v>2070</v>
      </c>
    </row>
    <row r="43" spans="1:19" ht="17.100000000000001" customHeight="1" x14ac:dyDescent="0.2">
      <c r="A43" s="23"/>
      <c r="B43" s="3" t="str">
        <f ca="1">IF(A43="В заказ",MAX($B$9:OFFSET(B43,-1,0))+1,"")</f>
        <v/>
      </c>
      <c r="C43" s="6" t="str">
        <f t="shared" si="0"/>
        <v>ЛДСП 16 W980 SM .</v>
      </c>
      <c r="D43" s="67" t="s">
        <v>1372</v>
      </c>
      <c r="E43" s="67" t="s">
        <v>15</v>
      </c>
      <c r="F43" s="67" t="s">
        <v>1412</v>
      </c>
      <c r="G43" s="70">
        <v>16</v>
      </c>
      <c r="H43" s="67" t="s">
        <v>20</v>
      </c>
      <c r="I43" s="200"/>
      <c r="J43" s="67" t="s">
        <v>32</v>
      </c>
      <c r="K43" s="67" t="s">
        <v>33</v>
      </c>
      <c r="L43" s="67" t="s">
        <v>30</v>
      </c>
      <c r="M43" s="67" t="s">
        <v>238</v>
      </c>
      <c r="N43" s="67" t="s">
        <v>235</v>
      </c>
      <c r="O43" s="67"/>
      <c r="P43" s="67" t="s">
        <v>19</v>
      </c>
      <c r="Q43" s="69">
        <v>3095</v>
      </c>
      <c r="R43" s="4">
        <f t="shared" si="1"/>
        <v>2800</v>
      </c>
      <c r="S43" s="4">
        <f t="shared" si="2"/>
        <v>2070</v>
      </c>
    </row>
    <row r="44" spans="1:19" ht="17.100000000000001" customHeight="1" x14ac:dyDescent="0.2">
      <c r="A44" s="23"/>
      <c r="B44" s="3" t="str">
        <f ca="1">IF(A44="В заказ",MAX($B$9:OFFSET(B44,-1,0))+1,"")</f>
        <v/>
      </c>
      <c r="C44" s="6" t="str">
        <f t="shared" si="0"/>
        <v>ЛДСП 16 W980 SM влагостойкий.</v>
      </c>
      <c r="D44" s="67" t="s">
        <v>1372</v>
      </c>
      <c r="E44" s="67" t="s">
        <v>15</v>
      </c>
      <c r="F44" s="67" t="s">
        <v>1413</v>
      </c>
      <c r="G44" s="70">
        <v>788</v>
      </c>
      <c r="H44" s="67" t="s">
        <v>1414</v>
      </c>
      <c r="I44" s="200"/>
      <c r="J44" s="67" t="s">
        <v>32</v>
      </c>
      <c r="K44" s="67" t="s">
        <v>33</v>
      </c>
      <c r="L44" s="67" t="s">
        <v>30</v>
      </c>
      <c r="M44" s="67" t="s">
        <v>238</v>
      </c>
      <c r="N44" s="67" t="s">
        <v>235</v>
      </c>
      <c r="O44" s="67" t="s">
        <v>1414</v>
      </c>
      <c r="P44" s="67" t="s">
        <v>19</v>
      </c>
      <c r="Q44" s="69">
        <v>3460</v>
      </c>
      <c r="R44" s="4">
        <f t="shared" si="1"/>
        <v>2800</v>
      </c>
      <c r="S44" s="4">
        <f t="shared" si="2"/>
        <v>2070</v>
      </c>
    </row>
    <row r="45" spans="1:19" ht="17.100000000000001" customHeight="1" x14ac:dyDescent="0.2">
      <c r="A45" s="23"/>
      <c r="B45" s="3" t="str">
        <f ca="1">IF(A45="В заказ",MAX($B$9:OFFSET(B45,-1,0))+1,"")</f>
        <v/>
      </c>
      <c r="C45" s="6" t="str">
        <f t="shared" si="0"/>
        <v>ЛДСП 18 W980 SM .</v>
      </c>
      <c r="D45" s="67" t="s">
        <v>1372</v>
      </c>
      <c r="E45" s="67" t="s">
        <v>15</v>
      </c>
      <c r="F45" s="67" t="s">
        <v>1415</v>
      </c>
      <c r="G45" s="68">
        <v>11922</v>
      </c>
      <c r="H45" s="67" t="s">
        <v>20</v>
      </c>
      <c r="I45" s="200"/>
      <c r="J45" s="67" t="s">
        <v>32</v>
      </c>
      <c r="K45" s="67" t="s">
        <v>33</v>
      </c>
      <c r="L45" s="67" t="s">
        <v>30</v>
      </c>
      <c r="M45" s="67" t="s">
        <v>238</v>
      </c>
      <c r="N45" s="67" t="s">
        <v>1385</v>
      </c>
      <c r="O45" s="67"/>
      <c r="P45" s="67" t="s">
        <v>19</v>
      </c>
      <c r="Q45" s="69">
        <v>3380</v>
      </c>
      <c r="R45" s="4">
        <f t="shared" si="1"/>
        <v>2800</v>
      </c>
      <c r="S45" s="4">
        <f t="shared" si="2"/>
        <v>2070</v>
      </c>
    </row>
    <row r="46" spans="1:19" ht="17.100000000000001" customHeight="1" x14ac:dyDescent="0.2">
      <c r="A46" s="23"/>
      <c r="B46" s="3" t="str">
        <f ca="1">IF(A46="В заказ",MAX($B$9:OFFSET(B46,-1,0))+1,"")</f>
        <v/>
      </c>
      <c r="C46" s="6" t="str">
        <f t="shared" si="0"/>
        <v>ЛДСП 25 W980 SM .</v>
      </c>
      <c r="D46" s="67" t="s">
        <v>1372</v>
      </c>
      <c r="E46" s="67" t="s">
        <v>15</v>
      </c>
      <c r="F46" s="67" t="s">
        <v>1416</v>
      </c>
      <c r="G46" s="68">
        <v>3329</v>
      </c>
      <c r="H46" s="67" t="s">
        <v>20</v>
      </c>
      <c r="I46" s="200"/>
      <c r="J46" s="67" t="s">
        <v>32</v>
      </c>
      <c r="K46" s="67" t="s">
        <v>33</v>
      </c>
      <c r="L46" s="67" t="s">
        <v>30</v>
      </c>
      <c r="M46" s="67" t="s">
        <v>238</v>
      </c>
      <c r="N46" s="67" t="s">
        <v>1387</v>
      </c>
      <c r="O46" s="67"/>
      <c r="P46" s="67" t="s">
        <v>19</v>
      </c>
      <c r="Q46" s="69">
        <v>4545</v>
      </c>
      <c r="R46" s="4">
        <f t="shared" si="1"/>
        <v>2800</v>
      </c>
      <c r="S46" s="4">
        <f t="shared" si="2"/>
        <v>2070</v>
      </c>
    </row>
    <row r="47" spans="1:19" ht="17.100000000000001" customHeight="1" x14ac:dyDescent="0.2">
      <c r="A47" s="23"/>
      <c r="B47" s="3" t="str">
        <f ca="1">IF(A47="В заказ",MAX($B$9:OFFSET(B47,-1,0))+1,"")</f>
        <v/>
      </c>
      <c r="C47" s="6" t="str">
        <f t="shared" si="0"/>
        <v>ЛДСП 08 W980 ST2 .</v>
      </c>
      <c r="D47" s="67" t="s">
        <v>1372</v>
      </c>
      <c r="E47" s="67" t="s">
        <v>15</v>
      </c>
      <c r="F47" s="67" t="s">
        <v>1417</v>
      </c>
      <c r="G47" s="70">
        <v>421</v>
      </c>
      <c r="H47" s="67" t="s">
        <v>20</v>
      </c>
      <c r="I47" s="200"/>
      <c r="J47" s="67" t="s">
        <v>32</v>
      </c>
      <c r="K47" s="67" t="s">
        <v>33</v>
      </c>
      <c r="L47" s="67" t="s">
        <v>31</v>
      </c>
      <c r="M47" s="67" t="s">
        <v>238</v>
      </c>
      <c r="N47" s="67" t="s">
        <v>1382</v>
      </c>
      <c r="O47" s="67"/>
      <c r="P47" s="67" t="s">
        <v>19</v>
      </c>
      <c r="Q47" s="69">
        <v>3020</v>
      </c>
      <c r="R47" s="4">
        <f t="shared" si="1"/>
        <v>2800</v>
      </c>
      <c r="S47" s="4">
        <f t="shared" si="2"/>
        <v>2070</v>
      </c>
    </row>
    <row r="48" spans="1:19" ht="17.100000000000001" customHeight="1" x14ac:dyDescent="0.2">
      <c r="A48" s="23"/>
      <c r="B48" s="3" t="str">
        <f ca="1">IF(A48="В заказ",MAX($B$9:OFFSET(B48,-1,0))+1,"")</f>
        <v/>
      </c>
      <c r="C48" s="6" t="str">
        <f t="shared" si="0"/>
        <v>ЛДСП 16 W980 ST2 .</v>
      </c>
      <c r="D48" s="67" t="s">
        <v>1372</v>
      </c>
      <c r="E48" s="67" t="s">
        <v>15</v>
      </c>
      <c r="F48" s="67" t="s">
        <v>1418</v>
      </c>
      <c r="G48" s="70">
        <v>544</v>
      </c>
      <c r="H48" s="67" t="s">
        <v>20</v>
      </c>
      <c r="I48" s="200"/>
      <c r="J48" s="67" t="s">
        <v>32</v>
      </c>
      <c r="K48" s="67" t="s">
        <v>33</v>
      </c>
      <c r="L48" s="67" t="s">
        <v>31</v>
      </c>
      <c r="M48" s="67" t="s">
        <v>238</v>
      </c>
      <c r="N48" s="67" t="s">
        <v>235</v>
      </c>
      <c r="O48" s="67"/>
      <c r="P48" s="67" t="s">
        <v>19</v>
      </c>
      <c r="Q48" s="69">
        <v>3095</v>
      </c>
      <c r="R48" s="4">
        <f t="shared" si="1"/>
        <v>2800</v>
      </c>
      <c r="S48" s="4">
        <f t="shared" si="2"/>
        <v>2070</v>
      </c>
    </row>
    <row r="49" spans="1:19" ht="17.100000000000001" customHeight="1" x14ac:dyDescent="0.2">
      <c r="A49" s="23"/>
      <c r="B49" s="3" t="str">
        <f ca="1">IF(A49="В заказ",MAX($B$9:OFFSET(B49,-1,0))+1,"")</f>
        <v/>
      </c>
      <c r="C49" s="6" t="str">
        <f t="shared" si="0"/>
        <v>ЛДСП 18 W980 ST2 .</v>
      </c>
      <c r="D49" s="67" t="s">
        <v>1372</v>
      </c>
      <c r="E49" s="67" t="s">
        <v>15</v>
      </c>
      <c r="F49" s="67" t="s">
        <v>1419</v>
      </c>
      <c r="G49" s="68">
        <v>2019</v>
      </c>
      <c r="H49" s="67" t="s">
        <v>20</v>
      </c>
      <c r="I49" s="200"/>
      <c r="J49" s="67" t="s">
        <v>32</v>
      </c>
      <c r="K49" s="67" t="s">
        <v>33</v>
      </c>
      <c r="L49" s="67" t="s">
        <v>31</v>
      </c>
      <c r="M49" s="67" t="s">
        <v>238</v>
      </c>
      <c r="N49" s="67" t="s">
        <v>1385</v>
      </c>
      <c r="O49" s="67"/>
      <c r="P49" s="67" t="s">
        <v>19</v>
      </c>
      <c r="Q49" s="69">
        <v>3380</v>
      </c>
      <c r="R49" s="4">
        <f t="shared" si="1"/>
        <v>2800</v>
      </c>
      <c r="S49" s="4">
        <f t="shared" si="2"/>
        <v>2070</v>
      </c>
    </row>
    <row r="50" spans="1:19" ht="17.100000000000001" customHeight="1" x14ac:dyDescent="0.2">
      <c r="A50" s="23"/>
      <c r="B50" s="3" t="str">
        <f ca="1">IF(A50="В заказ",MAX($B$9:OFFSET(B50,-1,0))+1,"")</f>
        <v/>
      </c>
      <c r="C50" s="6" t="str">
        <f t="shared" si="0"/>
        <v>ЛДСП 25 W980 ST2 .</v>
      </c>
      <c r="D50" s="67" t="s">
        <v>1372</v>
      </c>
      <c r="E50" s="67" t="s">
        <v>15</v>
      </c>
      <c r="F50" s="67" t="s">
        <v>1420</v>
      </c>
      <c r="G50" s="68">
        <v>1349</v>
      </c>
      <c r="H50" s="67" t="s">
        <v>20</v>
      </c>
      <c r="I50" s="200"/>
      <c r="J50" s="67" t="s">
        <v>32</v>
      </c>
      <c r="K50" s="67" t="s">
        <v>33</v>
      </c>
      <c r="L50" s="67" t="s">
        <v>31</v>
      </c>
      <c r="M50" s="67" t="s">
        <v>238</v>
      </c>
      <c r="N50" s="67" t="s">
        <v>1387</v>
      </c>
      <c r="O50" s="67"/>
      <c r="P50" s="67" t="s">
        <v>19</v>
      </c>
      <c r="Q50" s="69">
        <v>4545</v>
      </c>
      <c r="R50" s="4">
        <f t="shared" si="1"/>
        <v>2800</v>
      </c>
      <c r="S50" s="4">
        <f t="shared" si="2"/>
        <v>2070</v>
      </c>
    </row>
    <row r="51" spans="1:19" ht="17.100000000000001" customHeight="1" x14ac:dyDescent="0.2">
      <c r="A51" s="23"/>
      <c r="B51" s="3" t="str">
        <f ca="1">IF(A51="В заказ",MAX($B$9:OFFSET(B51,-1,0))+1,"")</f>
        <v/>
      </c>
      <c r="C51" s="6" t="str">
        <f t="shared" si="0"/>
        <v>ЛДСП 08 A1401 ST22 .</v>
      </c>
      <c r="D51" s="67" t="s">
        <v>1372</v>
      </c>
      <c r="E51" s="67" t="s">
        <v>34</v>
      </c>
      <c r="F51" s="67" t="s">
        <v>1421</v>
      </c>
      <c r="G51" s="68">
        <v>25226</v>
      </c>
      <c r="H51" s="67" t="s">
        <v>35</v>
      </c>
      <c r="I51" s="70">
        <v>1</v>
      </c>
      <c r="J51" s="67" t="s">
        <v>1422</v>
      </c>
      <c r="K51" s="67" t="s">
        <v>76</v>
      </c>
      <c r="L51" s="67" t="s">
        <v>44</v>
      </c>
      <c r="M51" s="67" t="s">
        <v>238</v>
      </c>
      <c r="N51" s="67" t="s">
        <v>1382</v>
      </c>
      <c r="O51" s="67"/>
      <c r="P51" s="67" t="s">
        <v>19</v>
      </c>
      <c r="Q51" s="69">
        <v>3745</v>
      </c>
      <c r="R51" s="4">
        <f t="shared" si="1"/>
        <v>2800</v>
      </c>
      <c r="S51" s="4">
        <f t="shared" si="2"/>
        <v>2070</v>
      </c>
    </row>
    <row r="52" spans="1:19" ht="17.100000000000001" customHeight="1" x14ac:dyDescent="0.2">
      <c r="A52" s="23"/>
      <c r="B52" s="3" t="str">
        <f ca="1">IF(A52="В заказ",MAX($B$9:OFFSET(B52,-1,0))+1,"")</f>
        <v/>
      </c>
      <c r="C52" s="6" t="str">
        <f t="shared" si="0"/>
        <v>ЛДСП 16 A1401 ST22 .</v>
      </c>
      <c r="D52" s="67" t="s">
        <v>1372</v>
      </c>
      <c r="E52" s="67" t="s">
        <v>34</v>
      </c>
      <c r="F52" s="67" t="s">
        <v>1423</v>
      </c>
      <c r="G52" s="68">
        <v>25225</v>
      </c>
      <c r="H52" s="67" t="s">
        <v>35</v>
      </c>
      <c r="I52" s="70">
        <v>1</v>
      </c>
      <c r="J52" s="67" t="s">
        <v>1422</v>
      </c>
      <c r="K52" s="67" t="s">
        <v>76</v>
      </c>
      <c r="L52" s="67" t="s">
        <v>44</v>
      </c>
      <c r="M52" s="67" t="s">
        <v>238</v>
      </c>
      <c r="N52" s="67" t="s">
        <v>235</v>
      </c>
      <c r="O52" s="67"/>
      <c r="P52" s="67" t="s">
        <v>19</v>
      </c>
      <c r="Q52" s="69">
        <v>3830</v>
      </c>
      <c r="R52" s="4">
        <f t="shared" si="1"/>
        <v>2800</v>
      </c>
      <c r="S52" s="4">
        <f t="shared" si="2"/>
        <v>2070</v>
      </c>
    </row>
    <row r="53" spans="1:19" ht="17.100000000000001" customHeight="1" x14ac:dyDescent="0.2">
      <c r="A53" s="23"/>
      <c r="B53" s="3" t="str">
        <f ca="1">IF(A53="В заказ",MAX($B$9:OFFSET(B53,-1,0))+1,"")</f>
        <v/>
      </c>
      <c r="C53" s="6" t="str">
        <f t="shared" si="0"/>
        <v>ЛДСП 18 A1401 ST22 .</v>
      </c>
      <c r="D53" s="67" t="s">
        <v>1372</v>
      </c>
      <c r="E53" s="67" t="s">
        <v>34</v>
      </c>
      <c r="F53" s="67" t="s">
        <v>1424</v>
      </c>
      <c r="G53" s="68">
        <v>25224</v>
      </c>
      <c r="H53" s="67" t="s">
        <v>35</v>
      </c>
      <c r="I53" s="70">
        <v>1</v>
      </c>
      <c r="J53" s="67" t="s">
        <v>1422</v>
      </c>
      <c r="K53" s="67" t="s">
        <v>76</v>
      </c>
      <c r="L53" s="67" t="s">
        <v>44</v>
      </c>
      <c r="M53" s="67" t="s">
        <v>238</v>
      </c>
      <c r="N53" s="67" t="s">
        <v>1385</v>
      </c>
      <c r="O53" s="67"/>
      <c r="P53" s="67" t="s">
        <v>19</v>
      </c>
      <c r="Q53" s="69">
        <v>4110</v>
      </c>
      <c r="R53" s="4">
        <f t="shared" si="1"/>
        <v>2800</v>
      </c>
      <c r="S53" s="4">
        <f t="shared" si="2"/>
        <v>2070</v>
      </c>
    </row>
    <row r="54" spans="1:19" ht="17.100000000000001" customHeight="1" x14ac:dyDescent="0.2">
      <c r="A54" s="23"/>
      <c r="B54" s="3" t="str">
        <f ca="1">IF(A54="В заказ",MAX($B$9:OFFSET(B54,-1,0))+1,"")</f>
        <v/>
      </c>
      <c r="C54" s="6" t="str">
        <f t="shared" si="0"/>
        <v>ЛДСП 25 A1401 ST22 .</v>
      </c>
      <c r="D54" s="67" t="s">
        <v>1372</v>
      </c>
      <c r="E54" s="67" t="s">
        <v>34</v>
      </c>
      <c r="F54" s="67" t="s">
        <v>1425</v>
      </c>
      <c r="G54" s="68">
        <v>25223</v>
      </c>
      <c r="H54" s="67" t="s">
        <v>35</v>
      </c>
      <c r="I54" s="70">
        <v>1</v>
      </c>
      <c r="J54" s="67" t="s">
        <v>1422</v>
      </c>
      <c r="K54" s="67" t="s">
        <v>76</v>
      </c>
      <c r="L54" s="67" t="s">
        <v>44</v>
      </c>
      <c r="M54" s="67" t="s">
        <v>238</v>
      </c>
      <c r="N54" s="67" t="s">
        <v>1387</v>
      </c>
      <c r="O54" s="67"/>
      <c r="P54" s="67" t="s">
        <v>19</v>
      </c>
      <c r="Q54" s="69">
        <v>5350</v>
      </c>
      <c r="R54" s="4">
        <f t="shared" si="1"/>
        <v>2800</v>
      </c>
      <c r="S54" s="4">
        <f t="shared" si="2"/>
        <v>2070</v>
      </c>
    </row>
    <row r="55" spans="1:19" ht="17.100000000000001" customHeight="1" x14ac:dyDescent="0.2">
      <c r="A55" s="23"/>
      <c r="B55" s="3" t="str">
        <f ca="1">IF(A55="В заказ",MAX($B$9:OFFSET(B55,-1,0))+1,"")</f>
        <v/>
      </c>
      <c r="C55" s="6" t="str">
        <f t="shared" si="0"/>
        <v>ЛДСП 08 A3012 ST22 .</v>
      </c>
      <c r="D55" s="67" t="s">
        <v>1372</v>
      </c>
      <c r="E55" s="67" t="s">
        <v>34</v>
      </c>
      <c r="F55" s="67" t="s">
        <v>1426</v>
      </c>
      <c r="G55" s="68">
        <v>25176</v>
      </c>
      <c r="H55" s="67" t="s">
        <v>35</v>
      </c>
      <c r="I55" s="70">
        <v>1</v>
      </c>
      <c r="J55" s="67" t="s">
        <v>1427</v>
      </c>
      <c r="K55" s="67" t="s">
        <v>95</v>
      </c>
      <c r="L55" s="67" t="s">
        <v>44</v>
      </c>
      <c r="M55" s="67" t="s">
        <v>238</v>
      </c>
      <c r="N55" s="67" t="s">
        <v>1382</v>
      </c>
      <c r="O55" s="67"/>
      <c r="P55" s="67" t="s">
        <v>19</v>
      </c>
      <c r="Q55" s="69">
        <v>3545</v>
      </c>
      <c r="R55" s="4">
        <f t="shared" si="1"/>
        <v>2800</v>
      </c>
      <c r="S55" s="4">
        <f t="shared" si="2"/>
        <v>2070</v>
      </c>
    </row>
    <row r="56" spans="1:19" ht="17.100000000000001" customHeight="1" x14ac:dyDescent="0.2">
      <c r="A56" s="23"/>
      <c r="B56" s="3" t="str">
        <f ca="1">IF(A56="В заказ",MAX($B$9:OFFSET(B56,-1,0))+1,"")</f>
        <v/>
      </c>
      <c r="C56" s="6" t="str">
        <f t="shared" si="0"/>
        <v>ЛДСП 16 A3012 ST22 .</v>
      </c>
      <c r="D56" s="67" t="s">
        <v>1372</v>
      </c>
      <c r="E56" s="67" t="s">
        <v>34</v>
      </c>
      <c r="F56" s="67" t="s">
        <v>1428</v>
      </c>
      <c r="G56" s="68">
        <v>25175</v>
      </c>
      <c r="H56" s="67" t="s">
        <v>35</v>
      </c>
      <c r="I56" s="70">
        <v>1</v>
      </c>
      <c r="J56" s="67" t="s">
        <v>1427</v>
      </c>
      <c r="K56" s="67" t="s">
        <v>95</v>
      </c>
      <c r="L56" s="67" t="s">
        <v>44</v>
      </c>
      <c r="M56" s="67" t="s">
        <v>238</v>
      </c>
      <c r="N56" s="67" t="s">
        <v>235</v>
      </c>
      <c r="O56" s="67"/>
      <c r="P56" s="67" t="s">
        <v>19</v>
      </c>
      <c r="Q56" s="69">
        <v>3630</v>
      </c>
      <c r="R56" s="4">
        <f t="shared" si="1"/>
        <v>2800</v>
      </c>
      <c r="S56" s="4">
        <f t="shared" si="2"/>
        <v>2070</v>
      </c>
    </row>
    <row r="57" spans="1:19" ht="17.100000000000001" customHeight="1" x14ac:dyDescent="0.2">
      <c r="A57" s="23"/>
      <c r="B57" s="3" t="str">
        <f ca="1">IF(A57="В заказ",MAX($B$9:OFFSET(B57,-1,0))+1,"")</f>
        <v/>
      </c>
      <c r="C57" s="6" t="str">
        <f t="shared" si="0"/>
        <v>ЛДСП 25 A3012 ST22 .</v>
      </c>
      <c r="D57" s="67" t="s">
        <v>1372</v>
      </c>
      <c r="E57" s="67" t="s">
        <v>34</v>
      </c>
      <c r="F57" s="67" t="s">
        <v>1429</v>
      </c>
      <c r="G57" s="68">
        <v>25174</v>
      </c>
      <c r="H57" s="67" t="s">
        <v>35</v>
      </c>
      <c r="I57" s="70">
        <v>1</v>
      </c>
      <c r="J57" s="67" t="s">
        <v>1427</v>
      </c>
      <c r="K57" s="67" t="s">
        <v>95</v>
      </c>
      <c r="L57" s="67" t="s">
        <v>44</v>
      </c>
      <c r="M57" s="67" t="s">
        <v>238</v>
      </c>
      <c r="N57" s="67" t="s">
        <v>1387</v>
      </c>
      <c r="O57" s="67"/>
      <c r="P57" s="67" t="s">
        <v>19</v>
      </c>
      <c r="Q57" s="69">
        <v>5175</v>
      </c>
      <c r="R57" s="4">
        <f t="shared" si="1"/>
        <v>2800</v>
      </c>
      <c r="S57" s="4">
        <f t="shared" si="2"/>
        <v>2070</v>
      </c>
    </row>
    <row r="58" spans="1:19" ht="17.100000000000001" customHeight="1" x14ac:dyDescent="0.2">
      <c r="A58" s="23"/>
      <c r="B58" s="3" t="str">
        <f ca="1">IF(A58="В заказ",MAX($B$9:OFFSET(B58,-1,0))+1,"")</f>
        <v/>
      </c>
      <c r="C58" s="6" t="str">
        <f t="shared" si="0"/>
        <v>ЛДСП 08 A3700 ST10 .</v>
      </c>
      <c r="D58" s="67" t="s">
        <v>1372</v>
      </c>
      <c r="E58" s="67" t="s">
        <v>34</v>
      </c>
      <c r="F58" s="67" t="s">
        <v>1430</v>
      </c>
      <c r="G58" s="68">
        <v>25172</v>
      </c>
      <c r="H58" s="67" t="s">
        <v>35</v>
      </c>
      <c r="I58" s="70">
        <v>1</v>
      </c>
      <c r="J58" s="67" t="s">
        <v>1431</v>
      </c>
      <c r="K58" s="67" t="s">
        <v>140</v>
      </c>
      <c r="L58" s="67" t="s">
        <v>38</v>
      </c>
      <c r="M58" s="67" t="s">
        <v>238</v>
      </c>
      <c r="N58" s="67" t="s">
        <v>1382</v>
      </c>
      <c r="O58" s="67"/>
      <c r="P58" s="67" t="s">
        <v>19</v>
      </c>
      <c r="Q58" s="69">
        <v>3745</v>
      </c>
      <c r="R58" s="4">
        <f t="shared" si="1"/>
        <v>2800</v>
      </c>
      <c r="S58" s="4">
        <f t="shared" si="2"/>
        <v>2070</v>
      </c>
    </row>
    <row r="59" spans="1:19" ht="17.100000000000001" customHeight="1" x14ac:dyDescent="0.2">
      <c r="A59" s="23"/>
      <c r="B59" s="3" t="str">
        <f ca="1">IF(A59="В заказ",MAX($B$9:OFFSET(B59,-1,0))+1,"")</f>
        <v/>
      </c>
      <c r="C59" s="6" t="str">
        <f t="shared" si="0"/>
        <v>ЛДСП 16 A3700 ST10 .</v>
      </c>
      <c r="D59" s="67" t="s">
        <v>1372</v>
      </c>
      <c r="E59" s="67" t="s">
        <v>34</v>
      </c>
      <c r="F59" s="67" t="s">
        <v>1432</v>
      </c>
      <c r="G59" s="68">
        <v>25171</v>
      </c>
      <c r="H59" s="67" t="s">
        <v>35</v>
      </c>
      <c r="I59" s="70">
        <v>1</v>
      </c>
      <c r="J59" s="67" t="s">
        <v>1431</v>
      </c>
      <c r="K59" s="67" t="s">
        <v>140</v>
      </c>
      <c r="L59" s="67" t="s">
        <v>38</v>
      </c>
      <c r="M59" s="67" t="s">
        <v>238</v>
      </c>
      <c r="N59" s="67" t="s">
        <v>235</v>
      </c>
      <c r="O59" s="67"/>
      <c r="P59" s="67" t="s">
        <v>19</v>
      </c>
      <c r="Q59" s="69">
        <v>3830</v>
      </c>
      <c r="R59" s="4">
        <f t="shared" si="1"/>
        <v>2800</v>
      </c>
      <c r="S59" s="4">
        <f t="shared" si="2"/>
        <v>2070</v>
      </c>
    </row>
    <row r="60" spans="1:19" ht="17.100000000000001" customHeight="1" x14ac:dyDescent="0.2">
      <c r="A60" s="23"/>
      <c r="B60" s="3" t="str">
        <f ca="1">IF(A60="В заказ",MAX($B$9:OFFSET(B60,-1,0))+1,"")</f>
        <v/>
      </c>
      <c r="C60" s="6" t="str">
        <f t="shared" si="0"/>
        <v>ЛДСП 25 A3700 ST10 .</v>
      </c>
      <c r="D60" s="67" t="s">
        <v>1372</v>
      </c>
      <c r="E60" s="67" t="s">
        <v>34</v>
      </c>
      <c r="F60" s="67" t="s">
        <v>1433</v>
      </c>
      <c r="G60" s="68">
        <v>25173</v>
      </c>
      <c r="H60" s="67" t="s">
        <v>35</v>
      </c>
      <c r="I60" s="70">
        <v>1</v>
      </c>
      <c r="J60" s="67" t="s">
        <v>1431</v>
      </c>
      <c r="K60" s="67" t="s">
        <v>140</v>
      </c>
      <c r="L60" s="67" t="s">
        <v>38</v>
      </c>
      <c r="M60" s="67" t="s">
        <v>238</v>
      </c>
      <c r="N60" s="67" t="s">
        <v>1387</v>
      </c>
      <c r="O60" s="67"/>
      <c r="P60" s="67" t="s">
        <v>19</v>
      </c>
      <c r="Q60" s="69">
        <v>5350</v>
      </c>
      <c r="R60" s="4">
        <f t="shared" si="1"/>
        <v>2800</v>
      </c>
      <c r="S60" s="4">
        <f t="shared" si="2"/>
        <v>2070</v>
      </c>
    </row>
    <row r="61" spans="1:19" ht="17.100000000000001" customHeight="1" x14ac:dyDescent="0.2">
      <c r="A61" s="23"/>
      <c r="B61" s="3" t="str">
        <f ca="1">IF(A61="В заказ",MAX($B$9:OFFSET(B61,-1,0))+1,"")</f>
        <v/>
      </c>
      <c r="C61" s="6" t="str">
        <f t="shared" si="0"/>
        <v>ЛДСП 08 A3702 ST10 .</v>
      </c>
      <c r="D61" s="67" t="s">
        <v>1372</v>
      </c>
      <c r="E61" s="67" t="s">
        <v>34</v>
      </c>
      <c r="F61" s="67" t="s">
        <v>1434</v>
      </c>
      <c r="G61" s="68">
        <v>25169</v>
      </c>
      <c r="H61" s="67" t="s">
        <v>35</v>
      </c>
      <c r="I61" s="70">
        <v>1</v>
      </c>
      <c r="J61" s="67" t="s">
        <v>1435</v>
      </c>
      <c r="K61" s="67" t="s">
        <v>142</v>
      </c>
      <c r="L61" s="67" t="s">
        <v>38</v>
      </c>
      <c r="M61" s="67" t="s">
        <v>238</v>
      </c>
      <c r="N61" s="67" t="s">
        <v>1382</v>
      </c>
      <c r="O61" s="67"/>
      <c r="P61" s="67" t="s">
        <v>19</v>
      </c>
      <c r="Q61" s="69">
        <v>3745</v>
      </c>
      <c r="R61" s="4">
        <f t="shared" si="1"/>
        <v>2800</v>
      </c>
      <c r="S61" s="4">
        <f t="shared" si="2"/>
        <v>2070</v>
      </c>
    </row>
    <row r="62" spans="1:19" ht="17.100000000000001" customHeight="1" x14ac:dyDescent="0.2">
      <c r="A62" s="23"/>
      <c r="B62" s="3" t="str">
        <f ca="1">IF(A62="В заказ",MAX($B$9:OFFSET(B62,-1,0))+1,"")</f>
        <v/>
      </c>
      <c r="C62" s="6" t="str">
        <f t="shared" si="0"/>
        <v>ЛДСП 16 A3702 ST10 .</v>
      </c>
      <c r="D62" s="67" t="s">
        <v>1372</v>
      </c>
      <c r="E62" s="67" t="s">
        <v>34</v>
      </c>
      <c r="F62" s="67" t="s">
        <v>1436</v>
      </c>
      <c r="G62" s="68">
        <v>25170</v>
      </c>
      <c r="H62" s="67" t="s">
        <v>35</v>
      </c>
      <c r="I62" s="70">
        <v>1</v>
      </c>
      <c r="J62" s="67" t="s">
        <v>1435</v>
      </c>
      <c r="K62" s="67" t="s">
        <v>142</v>
      </c>
      <c r="L62" s="67" t="s">
        <v>38</v>
      </c>
      <c r="M62" s="67" t="s">
        <v>238</v>
      </c>
      <c r="N62" s="67" t="s">
        <v>235</v>
      </c>
      <c r="O62" s="67"/>
      <c r="P62" s="67" t="s">
        <v>19</v>
      </c>
      <c r="Q62" s="69">
        <v>3830</v>
      </c>
      <c r="R62" s="4">
        <f t="shared" si="1"/>
        <v>2800</v>
      </c>
      <c r="S62" s="4">
        <f t="shared" si="2"/>
        <v>2070</v>
      </c>
    </row>
    <row r="63" spans="1:19" ht="17.100000000000001" customHeight="1" x14ac:dyDescent="0.2">
      <c r="A63" s="23"/>
      <c r="B63" s="3" t="str">
        <f ca="1">IF(A63="В заказ",MAX($B$9:OFFSET(B63,-1,0))+1,"")</f>
        <v/>
      </c>
      <c r="C63" s="6" t="str">
        <f t="shared" si="0"/>
        <v>ЛДСП 25 A3702 ST10 .</v>
      </c>
      <c r="D63" s="67" t="s">
        <v>1372</v>
      </c>
      <c r="E63" s="67" t="s">
        <v>34</v>
      </c>
      <c r="F63" s="67" t="s">
        <v>1437</v>
      </c>
      <c r="G63" s="68">
        <v>25166</v>
      </c>
      <c r="H63" s="67" t="s">
        <v>35</v>
      </c>
      <c r="I63" s="70">
        <v>1</v>
      </c>
      <c r="J63" s="67" t="s">
        <v>1435</v>
      </c>
      <c r="K63" s="67" t="s">
        <v>142</v>
      </c>
      <c r="L63" s="67" t="s">
        <v>38</v>
      </c>
      <c r="M63" s="67" t="s">
        <v>238</v>
      </c>
      <c r="N63" s="67" t="s">
        <v>1387</v>
      </c>
      <c r="O63" s="67"/>
      <c r="P63" s="67" t="s">
        <v>19</v>
      </c>
      <c r="Q63" s="69">
        <v>5350</v>
      </c>
      <c r="R63" s="4">
        <f t="shared" si="1"/>
        <v>2800</v>
      </c>
      <c r="S63" s="4">
        <f t="shared" si="2"/>
        <v>2070</v>
      </c>
    </row>
    <row r="64" spans="1:19" ht="17.100000000000001" customHeight="1" x14ac:dyDescent="0.2">
      <c r="A64" s="23"/>
      <c r="B64" s="3" t="str">
        <f ca="1">IF(A64="В заказ",MAX($B$9:OFFSET(B64,-1,0))+1,"")</f>
        <v/>
      </c>
      <c r="C64" s="6" t="str">
        <f t="shared" si="0"/>
        <v>ЛДСП 08 H1113 ST10 .</v>
      </c>
      <c r="D64" s="67" t="s">
        <v>1372</v>
      </c>
      <c r="E64" s="67" t="s">
        <v>34</v>
      </c>
      <c r="F64" s="67" t="s">
        <v>1438</v>
      </c>
      <c r="G64" s="68">
        <v>16635</v>
      </c>
      <c r="H64" s="67" t="s">
        <v>35</v>
      </c>
      <c r="I64" s="70">
        <v>1</v>
      </c>
      <c r="J64" s="67" t="s">
        <v>36</v>
      </c>
      <c r="K64" s="67" t="s">
        <v>37</v>
      </c>
      <c r="L64" s="67" t="s">
        <v>38</v>
      </c>
      <c r="M64" s="67" t="s">
        <v>238</v>
      </c>
      <c r="N64" s="67" t="s">
        <v>1382</v>
      </c>
      <c r="O64" s="67"/>
      <c r="P64" s="67" t="s">
        <v>19</v>
      </c>
      <c r="Q64" s="69">
        <v>3545</v>
      </c>
      <c r="R64" s="4">
        <f t="shared" si="1"/>
        <v>2800</v>
      </c>
      <c r="S64" s="4">
        <f t="shared" si="2"/>
        <v>2070</v>
      </c>
    </row>
    <row r="65" spans="1:19" ht="17.100000000000001" customHeight="1" x14ac:dyDescent="0.2">
      <c r="A65" s="23"/>
      <c r="B65" s="3" t="str">
        <f ca="1">IF(A65="В заказ",MAX($B$9:OFFSET(B65,-1,0))+1,"")</f>
        <v/>
      </c>
      <c r="C65" s="6" t="str">
        <f t="shared" si="0"/>
        <v>ЛДСП 16 H1113 ST10 .</v>
      </c>
      <c r="D65" s="67" t="s">
        <v>1372</v>
      </c>
      <c r="E65" s="67" t="s">
        <v>34</v>
      </c>
      <c r="F65" s="67" t="s">
        <v>1439</v>
      </c>
      <c r="G65" s="68">
        <v>13395</v>
      </c>
      <c r="H65" s="67" t="s">
        <v>35</v>
      </c>
      <c r="I65" s="70">
        <v>1</v>
      </c>
      <c r="J65" s="67" t="s">
        <v>36</v>
      </c>
      <c r="K65" s="67" t="s">
        <v>37</v>
      </c>
      <c r="L65" s="67" t="s">
        <v>38</v>
      </c>
      <c r="M65" s="67" t="s">
        <v>238</v>
      </c>
      <c r="N65" s="67" t="s">
        <v>235</v>
      </c>
      <c r="O65" s="67"/>
      <c r="P65" s="67" t="s">
        <v>19</v>
      </c>
      <c r="Q65" s="69">
        <v>3630</v>
      </c>
      <c r="R65" s="4">
        <f t="shared" si="1"/>
        <v>2800</v>
      </c>
      <c r="S65" s="4">
        <f t="shared" si="2"/>
        <v>2070</v>
      </c>
    </row>
    <row r="66" spans="1:19" ht="17.100000000000001" customHeight="1" x14ac:dyDescent="0.2">
      <c r="A66" s="23"/>
      <c r="B66" s="3" t="str">
        <f ca="1">IF(A66="В заказ",MAX($B$9:OFFSET(B66,-1,0))+1,"")</f>
        <v/>
      </c>
      <c r="C66" s="6" t="str">
        <f t="shared" si="0"/>
        <v>ЛДСП 18 H1113 ST10 .</v>
      </c>
      <c r="D66" s="67" t="s">
        <v>1372</v>
      </c>
      <c r="E66" s="67" t="s">
        <v>34</v>
      </c>
      <c r="F66" s="67" t="s">
        <v>1440</v>
      </c>
      <c r="G66" s="68">
        <v>24802</v>
      </c>
      <c r="H66" s="67" t="s">
        <v>35</v>
      </c>
      <c r="I66" s="70">
        <v>1</v>
      </c>
      <c r="J66" s="67" t="s">
        <v>36</v>
      </c>
      <c r="K66" s="67" t="s">
        <v>37</v>
      </c>
      <c r="L66" s="67" t="s">
        <v>38</v>
      </c>
      <c r="M66" s="67" t="s">
        <v>238</v>
      </c>
      <c r="N66" s="67" t="s">
        <v>1385</v>
      </c>
      <c r="O66" s="67"/>
      <c r="P66" s="67" t="s">
        <v>19</v>
      </c>
      <c r="Q66" s="69">
        <v>3910</v>
      </c>
      <c r="R66" s="4">
        <f t="shared" si="1"/>
        <v>2800</v>
      </c>
      <c r="S66" s="4">
        <f t="shared" si="2"/>
        <v>2070</v>
      </c>
    </row>
    <row r="67" spans="1:19" ht="17.100000000000001" customHeight="1" x14ac:dyDescent="0.2">
      <c r="A67" s="23"/>
      <c r="B67" s="3" t="str">
        <f ca="1">IF(A67="В заказ",MAX($B$9:OFFSET(B67,-1,0))+1,"")</f>
        <v/>
      </c>
      <c r="C67" s="6" t="str">
        <f t="shared" si="0"/>
        <v>ЛДСП 25 H1113 ST10 .</v>
      </c>
      <c r="D67" s="67" t="s">
        <v>1372</v>
      </c>
      <c r="E67" s="67" t="s">
        <v>34</v>
      </c>
      <c r="F67" s="67" t="s">
        <v>1441</v>
      </c>
      <c r="G67" s="68">
        <v>16636</v>
      </c>
      <c r="H67" s="67" t="s">
        <v>35</v>
      </c>
      <c r="I67" s="70">
        <v>1</v>
      </c>
      <c r="J67" s="67" t="s">
        <v>36</v>
      </c>
      <c r="K67" s="67" t="s">
        <v>37</v>
      </c>
      <c r="L67" s="67" t="s">
        <v>38</v>
      </c>
      <c r="M67" s="67" t="s">
        <v>238</v>
      </c>
      <c r="N67" s="67" t="s">
        <v>1387</v>
      </c>
      <c r="O67" s="67"/>
      <c r="P67" s="67" t="s">
        <v>19</v>
      </c>
      <c r="Q67" s="69">
        <v>5175</v>
      </c>
      <c r="R67" s="4">
        <f t="shared" si="1"/>
        <v>2800</v>
      </c>
      <c r="S67" s="4">
        <f t="shared" si="2"/>
        <v>2070</v>
      </c>
    </row>
    <row r="68" spans="1:19" ht="17.100000000000001" customHeight="1" x14ac:dyDescent="0.2">
      <c r="A68" s="23"/>
      <c r="B68" s="3" t="str">
        <f ca="1">IF(A68="В заказ",MAX($B$9:OFFSET(B68,-1,0))+1,"")</f>
        <v/>
      </c>
      <c r="C68" s="6" t="str">
        <f t="shared" si="0"/>
        <v>ЛДСП 08 H1115 ST12 .</v>
      </c>
      <c r="D68" s="67" t="s">
        <v>1372</v>
      </c>
      <c r="E68" s="67" t="s">
        <v>34</v>
      </c>
      <c r="F68" s="67" t="s">
        <v>1442</v>
      </c>
      <c r="G68" s="68">
        <v>16638</v>
      </c>
      <c r="H68" s="67" t="s">
        <v>35</v>
      </c>
      <c r="I68" s="70">
        <v>1</v>
      </c>
      <c r="J68" s="67" t="s">
        <v>39</v>
      </c>
      <c r="K68" s="67" t="s">
        <v>40</v>
      </c>
      <c r="L68" s="67" t="s">
        <v>41</v>
      </c>
      <c r="M68" s="67" t="s">
        <v>238</v>
      </c>
      <c r="N68" s="67" t="s">
        <v>1382</v>
      </c>
      <c r="O68" s="67"/>
      <c r="P68" s="67" t="s">
        <v>19</v>
      </c>
      <c r="Q68" s="69">
        <v>3745</v>
      </c>
      <c r="R68" s="4">
        <f t="shared" si="1"/>
        <v>2800</v>
      </c>
      <c r="S68" s="4">
        <f t="shared" si="2"/>
        <v>2070</v>
      </c>
    </row>
    <row r="69" spans="1:19" ht="17.100000000000001" customHeight="1" x14ac:dyDescent="0.2">
      <c r="A69" s="23"/>
      <c r="B69" s="3" t="str">
        <f ca="1">IF(A69="В заказ",MAX($B$9:OFFSET(B69,-1,0))+1,"")</f>
        <v/>
      </c>
      <c r="C69" s="6" t="str">
        <f t="shared" si="0"/>
        <v>ЛДСП 16 H1115 ST12 .</v>
      </c>
      <c r="D69" s="67" t="s">
        <v>1372</v>
      </c>
      <c r="E69" s="67" t="s">
        <v>34</v>
      </c>
      <c r="F69" s="67" t="s">
        <v>1443</v>
      </c>
      <c r="G69" s="68">
        <v>13971</v>
      </c>
      <c r="H69" s="67" t="s">
        <v>35</v>
      </c>
      <c r="I69" s="70">
        <v>1</v>
      </c>
      <c r="J69" s="67" t="s">
        <v>39</v>
      </c>
      <c r="K69" s="67" t="s">
        <v>40</v>
      </c>
      <c r="L69" s="67" t="s">
        <v>41</v>
      </c>
      <c r="M69" s="67" t="s">
        <v>238</v>
      </c>
      <c r="N69" s="67" t="s">
        <v>235</v>
      </c>
      <c r="O69" s="67"/>
      <c r="P69" s="67" t="s">
        <v>19</v>
      </c>
      <c r="Q69" s="69">
        <v>6255</v>
      </c>
      <c r="R69" s="4">
        <f t="shared" si="1"/>
        <v>2800</v>
      </c>
      <c r="S69" s="4">
        <f t="shared" si="2"/>
        <v>2070</v>
      </c>
    </row>
    <row r="70" spans="1:19" ht="17.100000000000001" customHeight="1" x14ac:dyDescent="0.2">
      <c r="A70" s="23"/>
      <c r="B70" s="3" t="str">
        <f ca="1">IF(A70="В заказ",MAX($B$9:OFFSET(B70,-1,0))+1,"")</f>
        <v/>
      </c>
      <c r="C70" s="6" t="str">
        <f t="shared" si="0"/>
        <v>ЛДСП 25 H1115 ST12 .</v>
      </c>
      <c r="D70" s="67" t="s">
        <v>1372</v>
      </c>
      <c r="E70" s="67" t="s">
        <v>34</v>
      </c>
      <c r="F70" s="67" t="s">
        <v>1444</v>
      </c>
      <c r="G70" s="68">
        <v>16639</v>
      </c>
      <c r="H70" s="67" t="s">
        <v>35</v>
      </c>
      <c r="I70" s="70">
        <v>1</v>
      </c>
      <c r="J70" s="67" t="s">
        <v>39</v>
      </c>
      <c r="K70" s="67" t="s">
        <v>40</v>
      </c>
      <c r="L70" s="67" t="s">
        <v>41</v>
      </c>
      <c r="M70" s="67" t="s">
        <v>238</v>
      </c>
      <c r="N70" s="67" t="s">
        <v>1387</v>
      </c>
      <c r="O70" s="67"/>
      <c r="P70" s="67" t="s">
        <v>19</v>
      </c>
      <c r="Q70" s="69">
        <v>8350</v>
      </c>
      <c r="R70" s="4">
        <f t="shared" si="1"/>
        <v>2800</v>
      </c>
      <c r="S70" s="4">
        <f t="shared" si="2"/>
        <v>2070</v>
      </c>
    </row>
    <row r="71" spans="1:19" ht="17.100000000000001" customHeight="1" x14ac:dyDescent="0.2">
      <c r="A71" s="23"/>
      <c r="B71" s="3" t="str">
        <f ca="1">IF(A71="В заказ",MAX($B$9:OFFSET(B71,-1,0))+1,"")</f>
        <v/>
      </c>
      <c r="C71" s="6" t="str">
        <f t="shared" si="0"/>
        <v>ЛДСП 08 H1122 ST22 .</v>
      </c>
      <c r="D71" s="67" t="s">
        <v>1372</v>
      </c>
      <c r="E71" s="67" t="s">
        <v>34</v>
      </c>
      <c r="F71" s="67" t="s">
        <v>1445</v>
      </c>
      <c r="G71" s="68">
        <v>13841</v>
      </c>
      <c r="H71" s="67" t="s">
        <v>35</v>
      </c>
      <c r="I71" s="70">
        <v>1</v>
      </c>
      <c r="J71" s="67" t="s">
        <v>42</v>
      </c>
      <c r="K71" s="67" t="s">
        <v>43</v>
      </c>
      <c r="L71" s="67" t="s">
        <v>44</v>
      </c>
      <c r="M71" s="67" t="s">
        <v>238</v>
      </c>
      <c r="N71" s="67" t="s">
        <v>1382</v>
      </c>
      <c r="O71" s="67"/>
      <c r="P71" s="67" t="s">
        <v>19</v>
      </c>
      <c r="Q71" s="69">
        <v>3545</v>
      </c>
      <c r="R71" s="4">
        <f t="shared" si="1"/>
        <v>2800</v>
      </c>
      <c r="S71" s="4">
        <f t="shared" si="2"/>
        <v>2070</v>
      </c>
    </row>
    <row r="72" spans="1:19" ht="17.100000000000001" customHeight="1" x14ac:dyDescent="0.2">
      <c r="A72" s="23"/>
      <c r="B72" s="3" t="str">
        <f ca="1">IF(A72="В заказ",MAX($B$9:OFFSET(B72,-1,0))+1,"")</f>
        <v/>
      </c>
      <c r="C72" s="6" t="str">
        <f t="shared" si="0"/>
        <v>ЛДСП 16 H1122 ST22 .</v>
      </c>
      <c r="D72" s="67" t="s">
        <v>1372</v>
      </c>
      <c r="E72" s="67" t="s">
        <v>34</v>
      </c>
      <c r="F72" s="67" t="s">
        <v>1446</v>
      </c>
      <c r="G72" s="68">
        <v>13109</v>
      </c>
      <c r="H72" s="67" t="s">
        <v>35</v>
      </c>
      <c r="I72" s="70">
        <v>1</v>
      </c>
      <c r="J72" s="67" t="s">
        <v>42</v>
      </c>
      <c r="K72" s="67" t="s">
        <v>43</v>
      </c>
      <c r="L72" s="67" t="s">
        <v>44</v>
      </c>
      <c r="M72" s="67" t="s">
        <v>238</v>
      </c>
      <c r="N72" s="67" t="s">
        <v>235</v>
      </c>
      <c r="O72" s="67"/>
      <c r="P72" s="67" t="s">
        <v>19</v>
      </c>
      <c r="Q72" s="69">
        <v>3630</v>
      </c>
      <c r="R72" s="4">
        <f t="shared" si="1"/>
        <v>2800</v>
      </c>
      <c r="S72" s="4">
        <f t="shared" si="2"/>
        <v>2070</v>
      </c>
    </row>
    <row r="73" spans="1:19" ht="17.100000000000001" customHeight="1" x14ac:dyDescent="0.2">
      <c r="A73" s="23"/>
      <c r="B73" s="3" t="str">
        <f ca="1">IF(A73="В заказ",MAX($B$9:OFFSET(B73,-1,0))+1,"")</f>
        <v/>
      </c>
      <c r="C73" s="6" t="str">
        <f t="shared" si="0"/>
        <v>ЛДСП 18 H1122 ST22 .</v>
      </c>
      <c r="D73" s="67" t="s">
        <v>1372</v>
      </c>
      <c r="E73" s="67" t="s">
        <v>34</v>
      </c>
      <c r="F73" s="67" t="s">
        <v>1447</v>
      </c>
      <c r="G73" s="68">
        <v>24479</v>
      </c>
      <c r="H73" s="67" t="s">
        <v>35</v>
      </c>
      <c r="I73" s="70">
        <v>1</v>
      </c>
      <c r="J73" s="67" t="s">
        <v>42</v>
      </c>
      <c r="K73" s="67" t="s">
        <v>43</v>
      </c>
      <c r="L73" s="67" t="s">
        <v>44</v>
      </c>
      <c r="M73" s="67" t="s">
        <v>238</v>
      </c>
      <c r="N73" s="67" t="s">
        <v>1385</v>
      </c>
      <c r="O73" s="67"/>
      <c r="P73" s="67" t="s">
        <v>19</v>
      </c>
      <c r="Q73" s="69">
        <v>3910</v>
      </c>
      <c r="R73" s="4">
        <f t="shared" si="1"/>
        <v>2800</v>
      </c>
      <c r="S73" s="4">
        <f t="shared" si="2"/>
        <v>2070</v>
      </c>
    </row>
    <row r="74" spans="1:19" ht="17.100000000000001" customHeight="1" x14ac:dyDescent="0.2">
      <c r="A74" s="23"/>
      <c r="B74" s="3" t="str">
        <f ca="1">IF(A74="В заказ",MAX($B$9:OFFSET(B74,-1,0))+1,"")</f>
        <v/>
      </c>
      <c r="C74" s="6" t="str">
        <f t="shared" ref="C74:C137" si="3">D74&amp;" "&amp;N74&amp;" "&amp;IF(OR(D74="ДСП",D74="МДФ",D74="Фанера",D74="ХДФ"),M74,J74)&amp;" "&amp;IF(OR(D74="ДСП",D74="МДФ",D74="Фанера",D74="ХДФ"),O74,L74)&amp;" "&amp;IF(OR(D74="ДСП",D74="МДФ",D74="Фанера",D74="ХДФ"),"",IF(D74="БСП",M74,O74))&amp;"."</f>
        <v>ЛДСП 25 H1122 ST22 .</v>
      </c>
      <c r="D74" s="67" t="s">
        <v>1372</v>
      </c>
      <c r="E74" s="67" t="s">
        <v>34</v>
      </c>
      <c r="F74" s="67" t="s">
        <v>1448</v>
      </c>
      <c r="G74" s="68">
        <v>13407</v>
      </c>
      <c r="H74" s="67" t="s">
        <v>35</v>
      </c>
      <c r="I74" s="70">
        <v>1</v>
      </c>
      <c r="J74" s="67" t="s">
        <v>42</v>
      </c>
      <c r="K74" s="67" t="s">
        <v>43</v>
      </c>
      <c r="L74" s="67" t="s">
        <v>44</v>
      </c>
      <c r="M74" s="67" t="s">
        <v>238</v>
      </c>
      <c r="N74" s="67" t="s">
        <v>1387</v>
      </c>
      <c r="O74" s="67"/>
      <c r="P74" s="67" t="s">
        <v>19</v>
      </c>
      <c r="Q74" s="69">
        <v>5175</v>
      </c>
      <c r="R74" s="4">
        <f t="shared" si="1"/>
        <v>2800</v>
      </c>
      <c r="S74" s="4">
        <f t="shared" si="2"/>
        <v>2070</v>
      </c>
    </row>
    <row r="75" spans="1:19" ht="17.100000000000001" customHeight="1" x14ac:dyDescent="0.2">
      <c r="A75" s="23"/>
      <c r="B75" s="3" t="str">
        <f ca="1">IF(A75="В заказ",MAX($B$9:OFFSET(B75,-1,0))+1,"")</f>
        <v/>
      </c>
      <c r="C75" s="6" t="str">
        <f t="shared" si="3"/>
        <v>ЛДСП 08 H1123 ST22 .</v>
      </c>
      <c r="D75" s="67" t="s">
        <v>1372</v>
      </c>
      <c r="E75" s="67" t="s">
        <v>34</v>
      </c>
      <c r="F75" s="67" t="s">
        <v>1449</v>
      </c>
      <c r="G75" s="68">
        <v>14107</v>
      </c>
      <c r="H75" s="67" t="s">
        <v>35</v>
      </c>
      <c r="I75" s="70">
        <v>1</v>
      </c>
      <c r="J75" s="67" t="s">
        <v>45</v>
      </c>
      <c r="K75" s="67" t="s">
        <v>46</v>
      </c>
      <c r="L75" s="67" t="s">
        <v>44</v>
      </c>
      <c r="M75" s="67" t="s">
        <v>238</v>
      </c>
      <c r="N75" s="67" t="s">
        <v>1382</v>
      </c>
      <c r="O75" s="67"/>
      <c r="P75" s="67" t="s">
        <v>19</v>
      </c>
      <c r="Q75" s="69">
        <v>3745</v>
      </c>
      <c r="R75" s="4">
        <f t="shared" ref="R75:R138" si="4">IFERROR(LEFT(M75,FIND("*",M75)-1)*1,"")</f>
        <v>2800</v>
      </c>
      <c r="S75" s="4">
        <f t="shared" ref="S75:S138" si="5">IFERROR(RIGHT(M75,LEN(M75)-FIND("*",M75))*1,"")</f>
        <v>2070</v>
      </c>
    </row>
    <row r="76" spans="1:19" ht="17.100000000000001" customHeight="1" x14ac:dyDescent="0.2">
      <c r="A76" s="23"/>
      <c r="B76" s="3" t="str">
        <f ca="1">IF(A76="В заказ",MAX($B$9:OFFSET(B76,-1,0))+1,"")</f>
        <v/>
      </c>
      <c r="C76" s="6" t="str">
        <f t="shared" si="3"/>
        <v>ЛДСП 16 H1123 ST22 .</v>
      </c>
      <c r="D76" s="67" t="s">
        <v>1372</v>
      </c>
      <c r="E76" s="67" t="s">
        <v>34</v>
      </c>
      <c r="F76" s="67" t="s">
        <v>1450</v>
      </c>
      <c r="G76" s="68">
        <v>13641</v>
      </c>
      <c r="H76" s="67" t="s">
        <v>35</v>
      </c>
      <c r="I76" s="70">
        <v>1</v>
      </c>
      <c r="J76" s="67" t="s">
        <v>45</v>
      </c>
      <c r="K76" s="67" t="s">
        <v>46</v>
      </c>
      <c r="L76" s="67" t="s">
        <v>44</v>
      </c>
      <c r="M76" s="67" t="s">
        <v>238</v>
      </c>
      <c r="N76" s="67" t="s">
        <v>235</v>
      </c>
      <c r="O76" s="67"/>
      <c r="P76" s="67" t="s">
        <v>19</v>
      </c>
      <c r="Q76" s="69">
        <v>3830</v>
      </c>
      <c r="R76" s="4">
        <f t="shared" si="4"/>
        <v>2800</v>
      </c>
      <c r="S76" s="4">
        <f t="shared" si="5"/>
        <v>2070</v>
      </c>
    </row>
    <row r="77" spans="1:19" ht="17.100000000000001" customHeight="1" x14ac:dyDescent="0.2">
      <c r="A77" s="23"/>
      <c r="B77" s="3" t="str">
        <f ca="1">IF(A77="В заказ",MAX($B$9:OFFSET(B77,-1,0))+1,"")</f>
        <v/>
      </c>
      <c r="C77" s="6" t="str">
        <f t="shared" si="3"/>
        <v>ЛДСП 18 H1123 ST22 .</v>
      </c>
      <c r="D77" s="67" t="s">
        <v>1372</v>
      </c>
      <c r="E77" s="67" t="s">
        <v>34</v>
      </c>
      <c r="F77" s="67" t="s">
        <v>1451</v>
      </c>
      <c r="G77" s="68">
        <v>24480</v>
      </c>
      <c r="H77" s="67" t="s">
        <v>35</v>
      </c>
      <c r="I77" s="70">
        <v>1</v>
      </c>
      <c r="J77" s="67" t="s">
        <v>45</v>
      </c>
      <c r="K77" s="67" t="s">
        <v>46</v>
      </c>
      <c r="L77" s="67" t="s">
        <v>44</v>
      </c>
      <c r="M77" s="67" t="s">
        <v>238</v>
      </c>
      <c r="N77" s="67" t="s">
        <v>1385</v>
      </c>
      <c r="O77" s="67"/>
      <c r="P77" s="67" t="s">
        <v>19</v>
      </c>
      <c r="Q77" s="69">
        <v>4110</v>
      </c>
      <c r="R77" s="4">
        <f t="shared" si="4"/>
        <v>2800</v>
      </c>
      <c r="S77" s="4">
        <f t="shared" si="5"/>
        <v>2070</v>
      </c>
    </row>
    <row r="78" spans="1:19" ht="17.100000000000001" customHeight="1" x14ac:dyDescent="0.2">
      <c r="A78" s="23"/>
      <c r="B78" s="3" t="str">
        <f ca="1">IF(A78="В заказ",MAX($B$9:OFFSET(B78,-1,0))+1,"")</f>
        <v/>
      </c>
      <c r="C78" s="6" t="str">
        <f t="shared" si="3"/>
        <v>ЛДСП 25 H1123 ST22 .</v>
      </c>
      <c r="D78" s="67" t="s">
        <v>1372</v>
      </c>
      <c r="E78" s="67" t="s">
        <v>34</v>
      </c>
      <c r="F78" s="67" t="s">
        <v>1452</v>
      </c>
      <c r="G78" s="68">
        <v>16572</v>
      </c>
      <c r="H78" s="67" t="s">
        <v>35</v>
      </c>
      <c r="I78" s="70">
        <v>1</v>
      </c>
      <c r="J78" s="67" t="s">
        <v>45</v>
      </c>
      <c r="K78" s="67" t="s">
        <v>46</v>
      </c>
      <c r="L78" s="67" t="s">
        <v>44</v>
      </c>
      <c r="M78" s="67" t="s">
        <v>238</v>
      </c>
      <c r="N78" s="67" t="s">
        <v>1387</v>
      </c>
      <c r="O78" s="67"/>
      <c r="P78" s="67" t="s">
        <v>19</v>
      </c>
      <c r="Q78" s="69">
        <v>5350</v>
      </c>
      <c r="R78" s="4">
        <f t="shared" si="4"/>
        <v>2800</v>
      </c>
      <c r="S78" s="4">
        <f t="shared" si="5"/>
        <v>2070</v>
      </c>
    </row>
    <row r="79" spans="1:19" ht="17.100000000000001" customHeight="1" x14ac:dyDescent="0.2">
      <c r="A79" s="23"/>
      <c r="B79" s="3" t="str">
        <f ca="1">IF(A79="В заказ",MAX($B$9:OFFSET(B79,-1,0))+1,"")</f>
        <v/>
      </c>
      <c r="C79" s="6" t="str">
        <f t="shared" si="3"/>
        <v>ЛДСП 08 H1137 ST12 .</v>
      </c>
      <c r="D79" s="67" t="s">
        <v>1372</v>
      </c>
      <c r="E79" s="67" t="s">
        <v>34</v>
      </c>
      <c r="F79" s="67" t="s">
        <v>1453</v>
      </c>
      <c r="G79" s="68">
        <v>15652</v>
      </c>
      <c r="H79" s="67" t="s">
        <v>35</v>
      </c>
      <c r="I79" s="70">
        <v>1</v>
      </c>
      <c r="J79" s="67" t="s">
        <v>47</v>
      </c>
      <c r="K79" s="67" t="s">
        <v>48</v>
      </c>
      <c r="L79" s="67" t="s">
        <v>41</v>
      </c>
      <c r="M79" s="67" t="s">
        <v>238</v>
      </c>
      <c r="N79" s="67" t="s">
        <v>1382</v>
      </c>
      <c r="O79" s="67"/>
      <c r="P79" s="67" t="s">
        <v>19</v>
      </c>
      <c r="Q79" s="69">
        <v>3350</v>
      </c>
      <c r="R79" s="4">
        <f t="shared" si="4"/>
        <v>2800</v>
      </c>
      <c r="S79" s="4">
        <f t="shared" si="5"/>
        <v>2070</v>
      </c>
    </row>
    <row r="80" spans="1:19" ht="17.100000000000001" customHeight="1" x14ac:dyDescent="0.2">
      <c r="A80" s="23"/>
      <c r="B80" s="3" t="str">
        <f ca="1">IF(A80="В заказ",MAX($B$9:OFFSET(B80,-1,0))+1,"")</f>
        <v/>
      </c>
      <c r="C80" s="6" t="str">
        <f t="shared" si="3"/>
        <v>ЛДСП 16 H1137 ST12 .</v>
      </c>
      <c r="D80" s="67" t="s">
        <v>1372</v>
      </c>
      <c r="E80" s="67" t="s">
        <v>34</v>
      </c>
      <c r="F80" s="67" t="s">
        <v>1454</v>
      </c>
      <c r="G80" s="68">
        <v>12621</v>
      </c>
      <c r="H80" s="67" t="s">
        <v>35</v>
      </c>
      <c r="I80" s="70">
        <v>1</v>
      </c>
      <c r="J80" s="67" t="s">
        <v>47</v>
      </c>
      <c r="K80" s="67" t="s">
        <v>48</v>
      </c>
      <c r="L80" s="67" t="s">
        <v>41</v>
      </c>
      <c r="M80" s="67" t="s">
        <v>238</v>
      </c>
      <c r="N80" s="67" t="s">
        <v>235</v>
      </c>
      <c r="O80" s="67"/>
      <c r="P80" s="67" t="s">
        <v>19</v>
      </c>
      <c r="Q80" s="69">
        <v>3425</v>
      </c>
      <c r="R80" s="4">
        <f t="shared" si="4"/>
        <v>2800</v>
      </c>
      <c r="S80" s="4">
        <f t="shared" si="5"/>
        <v>2070</v>
      </c>
    </row>
    <row r="81" spans="1:19" ht="17.100000000000001" customHeight="1" x14ac:dyDescent="0.2">
      <c r="A81" s="23"/>
      <c r="B81" s="3" t="str">
        <f ca="1">IF(A81="В заказ",MAX($B$9:OFFSET(B81,-1,0))+1,"")</f>
        <v/>
      </c>
      <c r="C81" s="6" t="str">
        <f t="shared" si="3"/>
        <v>ЛДСП 18 H1137 ST12 .</v>
      </c>
      <c r="D81" s="67" t="s">
        <v>1372</v>
      </c>
      <c r="E81" s="67" t="s">
        <v>34</v>
      </c>
      <c r="F81" s="67" t="s">
        <v>1455</v>
      </c>
      <c r="G81" s="68">
        <v>20214</v>
      </c>
      <c r="H81" s="67" t="s">
        <v>35</v>
      </c>
      <c r="I81" s="70">
        <v>1</v>
      </c>
      <c r="J81" s="67" t="s">
        <v>47</v>
      </c>
      <c r="K81" s="67" t="s">
        <v>48</v>
      </c>
      <c r="L81" s="67" t="s">
        <v>41</v>
      </c>
      <c r="M81" s="67" t="s">
        <v>238</v>
      </c>
      <c r="N81" s="67" t="s">
        <v>1385</v>
      </c>
      <c r="O81" s="67"/>
      <c r="P81" s="67" t="s">
        <v>19</v>
      </c>
      <c r="Q81" s="69">
        <v>3725</v>
      </c>
      <c r="R81" s="4">
        <f t="shared" si="4"/>
        <v>2800</v>
      </c>
      <c r="S81" s="4">
        <f t="shared" si="5"/>
        <v>2070</v>
      </c>
    </row>
    <row r="82" spans="1:19" ht="17.100000000000001" customHeight="1" x14ac:dyDescent="0.2">
      <c r="A82" s="23"/>
      <c r="B82" s="3" t="str">
        <f ca="1">IF(A82="В заказ",MAX($B$9:OFFSET(B82,-1,0))+1,"")</f>
        <v/>
      </c>
      <c r="C82" s="6" t="str">
        <f t="shared" si="3"/>
        <v>ЛДСП 25 H1137 ST12 .</v>
      </c>
      <c r="D82" s="67" t="s">
        <v>1372</v>
      </c>
      <c r="E82" s="67" t="s">
        <v>34</v>
      </c>
      <c r="F82" s="67" t="s">
        <v>1456</v>
      </c>
      <c r="G82" s="68">
        <v>12660</v>
      </c>
      <c r="H82" s="67" t="s">
        <v>35</v>
      </c>
      <c r="I82" s="70">
        <v>1</v>
      </c>
      <c r="J82" s="67" t="s">
        <v>47</v>
      </c>
      <c r="K82" s="67" t="s">
        <v>48</v>
      </c>
      <c r="L82" s="67" t="s">
        <v>41</v>
      </c>
      <c r="M82" s="67" t="s">
        <v>238</v>
      </c>
      <c r="N82" s="67" t="s">
        <v>1387</v>
      </c>
      <c r="O82" s="67"/>
      <c r="P82" s="67" t="s">
        <v>19</v>
      </c>
      <c r="Q82" s="69">
        <v>4990</v>
      </c>
      <c r="R82" s="4">
        <f t="shared" si="4"/>
        <v>2800</v>
      </c>
      <c r="S82" s="4">
        <f t="shared" si="5"/>
        <v>2070</v>
      </c>
    </row>
    <row r="83" spans="1:19" ht="17.100000000000001" customHeight="1" x14ac:dyDescent="0.2">
      <c r="A83" s="23"/>
      <c r="B83" s="3" t="str">
        <f ca="1">IF(A83="В заказ",MAX($B$9:OFFSET(B83,-1,0))+1,"")</f>
        <v/>
      </c>
      <c r="C83" s="6" t="str">
        <f t="shared" si="3"/>
        <v>ЛДСП 08 H1145 ST10 .</v>
      </c>
      <c r="D83" s="67" t="s">
        <v>1372</v>
      </c>
      <c r="E83" s="67" t="s">
        <v>34</v>
      </c>
      <c r="F83" s="67" t="s">
        <v>1457</v>
      </c>
      <c r="G83" s="68">
        <v>5626</v>
      </c>
      <c r="H83" s="67" t="s">
        <v>35</v>
      </c>
      <c r="I83" s="70">
        <v>1</v>
      </c>
      <c r="J83" s="67" t="s">
        <v>49</v>
      </c>
      <c r="K83" s="67" t="s">
        <v>50</v>
      </c>
      <c r="L83" s="67" t="s">
        <v>38</v>
      </c>
      <c r="M83" s="67" t="s">
        <v>238</v>
      </c>
      <c r="N83" s="67" t="s">
        <v>1382</v>
      </c>
      <c r="O83" s="67"/>
      <c r="P83" s="67" t="s">
        <v>19</v>
      </c>
      <c r="Q83" s="69">
        <v>3445</v>
      </c>
      <c r="R83" s="4">
        <f t="shared" si="4"/>
        <v>2800</v>
      </c>
      <c r="S83" s="4">
        <f t="shared" si="5"/>
        <v>2070</v>
      </c>
    </row>
    <row r="84" spans="1:19" ht="17.100000000000001" customHeight="1" x14ac:dyDescent="0.2">
      <c r="A84" s="23"/>
      <c r="B84" s="3" t="str">
        <f ca="1">IF(A84="В заказ",MAX($B$9:OFFSET(B84,-1,0))+1,"")</f>
        <v/>
      </c>
      <c r="C84" s="6" t="str">
        <f t="shared" si="3"/>
        <v>ЛДСП 16 H1145 ST10 .</v>
      </c>
      <c r="D84" s="67" t="s">
        <v>1372</v>
      </c>
      <c r="E84" s="67" t="s">
        <v>34</v>
      </c>
      <c r="F84" s="67" t="s">
        <v>1458</v>
      </c>
      <c r="G84" s="68">
        <v>2265</v>
      </c>
      <c r="H84" s="67" t="s">
        <v>35</v>
      </c>
      <c r="I84" s="70">
        <v>1</v>
      </c>
      <c r="J84" s="67" t="s">
        <v>49</v>
      </c>
      <c r="K84" s="67" t="s">
        <v>50</v>
      </c>
      <c r="L84" s="67" t="s">
        <v>38</v>
      </c>
      <c r="M84" s="67" t="s">
        <v>238</v>
      </c>
      <c r="N84" s="67" t="s">
        <v>235</v>
      </c>
      <c r="O84" s="67"/>
      <c r="P84" s="67" t="s">
        <v>19</v>
      </c>
      <c r="Q84" s="69">
        <v>3520</v>
      </c>
      <c r="R84" s="4">
        <f t="shared" si="4"/>
        <v>2800</v>
      </c>
      <c r="S84" s="4">
        <f t="shared" si="5"/>
        <v>2070</v>
      </c>
    </row>
    <row r="85" spans="1:19" ht="17.100000000000001" customHeight="1" x14ac:dyDescent="0.2">
      <c r="A85" s="23"/>
      <c r="B85" s="3" t="str">
        <f ca="1">IF(A85="В заказ",MAX($B$9:OFFSET(B85,-1,0))+1,"")</f>
        <v/>
      </c>
      <c r="C85" s="6" t="str">
        <f t="shared" si="3"/>
        <v>ЛДСП 18 H1145 ST10 .</v>
      </c>
      <c r="D85" s="67" t="s">
        <v>1372</v>
      </c>
      <c r="E85" s="67" t="s">
        <v>34</v>
      </c>
      <c r="F85" s="67" t="s">
        <v>1459</v>
      </c>
      <c r="G85" s="68">
        <v>12404</v>
      </c>
      <c r="H85" s="67" t="s">
        <v>35</v>
      </c>
      <c r="I85" s="70">
        <v>1</v>
      </c>
      <c r="J85" s="67" t="s">
        <v>49</v>
      </c>
      <c r="K85" s="67" t="s">
        <v>50</v>
      </c>
      <c r="L85" s="67" t="s">
        <v>38</v>
      </c>
      <c r="M85" s="67" t="s">
        <v>238</v>
      </c>
      <c r="N85" s="67" t="s">
        <v>1385</v>
      </c>
      <c r="O85" s="67"/>
      <c r="P85" s="67" t="s">
        <v>19</v>
      </c>
      <c r="Q85" s="69">
        <v>3820</v>
      </c>
      <c r="R85" s="4">
        <f t="shared" si="4"/>
        <v>2800</v>
      </c>
      <c r="S85" s="4">
        <f t="shared" si="5"/>
        <v>2070</v>
      </c>
    </row>
    <row r="86" spans="1:19" ht="17.100000000000001" customHeight="1" x14ac:dyDescent="0.2">
      <c r="A86" s="23"/>
      <c r="B86" s="3" t="str">
        <f ca="1">IF(A86="В заказ",MAX($B$9:OFFSET(B86,-1,0))+1,"")</f>
        <v/>
      </c>
      <c r="C86" s="6" t="str">
        <f t="shared" si="3"/>
        <v>ЛДСП 25 H1145 ST10 .</v>
      </c>
      <c r="D86" s="67" t="s">
        <v>1372</v>
      </c>
      <c r="E86" s="67" t="s">
        <v>34</v>
      </c>
      <c r="F86" s="67" t="s">
        <v>1460</v>
      </c>
      <c r="G86" s="68">
        <v>5359</v>
      </c>
      <c r="H86" s="67" t="s">
        <v>35</v>
      </c>
      <c r="I86" s="70">
        <v>1</v>
      </c>
      <c r="J86" s="67" t="s">
        <v>49</v>
      </c>
      <c r="K86" s="67" t="s">
        <v>50</v>
      </c>
      <c r="L86" s="67" t="s">
        <v>38</v>
      </c>
      <c r="M86" s="67" t="s">
        <v>238</v>
      </c>
      <c r="N86" s="67" t="s">
        <v>1387</v>
      </c>
      <c r="O86" s="67"/>
      <c r="P86" s="67" t="s">
        <v>19</v>
      </c>
      <c r="Q86" s="69">
        <v>5075</v>
      </c>
      <c r="R86" s="4">
        <f t="shared" si="4"/>
        <v>2800</v>
      </c>
      <c r="S86" s="4">
        <f t="shared" si="5"/>
        <v>2070</v>
      </c>
    </row>
    <row r="87" spans="1:19" ht="17.100000000000001" customHeight="1" x14ac:dyDescent="0.2">
      <c r="A87" s="23"/>
      <c r="B87" s="3" t="str">
        <f ca="1">IF(A87="В заказ",MAX($B$9:OFFSET(B87,-1,0))+1,"")</f>
        <v/>
      </c>
      <c r="C87" s="6" t="str">
        <f t="shared" si="3"/>
        <v>ЛДСП 08 H1146 ST10 .</v>
      </c>
      <c r="D87" s="67" t="s">
        <v>1372</v>
      </c>
      <c r="E87" s="67" t="s">
        <v>34</v>
      </c>
      <c r="F87" s="67" t="s">
        <v>1461</v>
      </c>
      <c r="G87" s="68">
        <v>9582</v>
      </c>
      <c r="H87" s="67" t="s">
        <v>35</v>
      </c>
      <c r="I87" s="70">
        <v>1</v>
      </c>
      <c r="J87" s="67" t="s">
        <v>51</v>
      </c>
      <c r="K87" s="67" t="s">
        <v>52</v>
      </c>
      <c r="L87" s="67" t="s">
        <v>38</v>
      </c>
      <c r="M87" s="67" t="s">
        <v>238</v>
      </c>
      <c r="N87" s="67" t="s">
        <v>1382</v>
      </c>
      <c r="O87" s="67"/>
      <c r="P87" s="67" t="s">
        <v>19</v>
      </c>
      <c r="Q87" s="69">
        <v>3445</v>
      </c>
      <c r="R87" s="4">
        <f t="shared" si="4"/>
        <v>2800</v>
      </c>
      <c r="S87" s="4">
        <f t="shared" si="5"/>
        <v>2070</v>
      </c>
    </row>
    <row r="88" spans="1:19" ht="17.100000000000001" customHeight="1" x14ac:dyDescent="0.2">
      <c r="A88" s="23"/>
      <c r="B88" s="3" t="str">
        <f ca="1">IF(A88="В заказ",MAX($B$9:OFFSET(B88,-1,0))+1,"")</f>
        <v/>
      </c>
      <c r="C88" s="6" t="str">
        <f t="shared" si="3"/>
        <v>ЛДСП 16 H1146 ST10 .</v>
      </c>
      <c r="D88" s="67" t="s">
        <v>1372</v>
      </c>
      <c r="E88" s="67" t="s">
        <v>34</v>
      </c>
      <c r="F88" s="67" t="s">
        <v>1462</v>
      </c>
      <c r="G88" s="68">
        <v>8528</v>
      </c>
      <c r="H88" s="67" t="s">
        <v>35</v>
      </c>
      <c r="I88" s="70">
        <v>1</v>
      </c>
      <c r="J88" s="67" t="s">
        <v>51</v>
      </c>
      <c r="K88" s="67" t="s">
        <v>52</v>
      </c>
      <c r="L88" s="67" t="s">
        <v>38</v>
      </c>
      <c r="M88" s="67" t="s">
        <v>238</v>
      </c>
      <c r="N88" s="67" t="s">
        <v>235</v>
      </c>
      <c r="O88" s="67"/>
      <c r="P88" s="67" t="s">
        <v>19</v>
      </c>
      <c r="Q88" s="69">
        <v>3520</v>
      </c>
      <c r="R88" s="4">
        <f t="shared" si="4"/>
        <v>2800</v>
      </c>
      <c r="S88" s="4">
        <f t="shared" si="5"/>
        <v>2070</v>
      </c>
    </row>
    <row r="89" spans="1:19" ht="17.100000000000001" customHeight="1" x14ac:dyDescent="0.2">
      <c r="A89" s="23"/>
      <c r="B89" s="3" t="str">
        <f ca="1">IF(A89="В заказ",MAX($B$9:OFFSET(B89,-1,0))+1,"")</f>
        <v/>
      </c>
      <c r="C89" s="6" t="str">
        <f t="shared" si="3"/>
        <v>ЛДСП 18 H1146 ST10 .</v>
      </c>
      <c r="D89" s="67" t="s">
        <v>1372</v>
      </c>
      <c r="E89" s="67" t="s">
        <v>34</v>
      </c>
      <c r="F89" s="67" t="s">
        <v>1463</v>
      </c>
      <c r="G89" s="68">
        <v>18758</v>
      </c>
      <c r="H89" s="67" t="s">
        <v>35</v>
      </c>
      <c r="I89" s="70">
        <v>1</v>
      </c>
      <c r="J89" s="67" t="s">
        <v>51</v>
      </c>
      <c r="K89" s="67" t="s">
        <v>52</v>
      </c>
      <c r="L89" s="67" t="s">
        <v>38</v>
      </c>
      <c r="M89" s="67" t="s">
        <v>238</v>
      </c>
      <c r="N89" s="67" t="s">
        <v>1385</v>
      </c>
      <c r="O89" s="67"/>
      <c r="P89" s="67" t="s">
        <v>19</v>
      </c>
      <c r="Q89" s="69">
        <v>3820</v>
      </c>
      <c r="R89" s="4">
        <f t="shared" si="4"/>
        <v>2800</v>
      </c>
      <c r="S89" s="4">
        <f t="shared" si="5"/>
        <v>2070</v>
      </c>
    </row>
    <row r="90" spans="1:19" ht="17.100000000000001" customHeight="1" x14ac:dyDescent="0.2">
      <c r="A90" s="23"/>
      <c r="B90" s="3" t="str">
        <f ca="1">IF(A90="В заказ",MAX($B$9:OFFSET(B90,-1,0))+1,"")</f>
        <v/>
      </c>
      <c r="C90" s="6" t="str">
        <f t="shared" si="3"/>
        <v>ЛДСП 25 H1146 ST10 .</v>
      </c>
      <c r="D90" s="67" t="s">
        <v>1372</v>
      </c>
      <c r="E90" s="67" t="s">
        <v>34</v>
      </c>
      <c r="F90" s="67" t="s">
        <v>1464</v>
      </c>
      <c r="G90" s="68">
        <v>12595</v>
      </c>
      <c r="H90" s="67" t="s">
        <v>35</v>
      </c>
      <c r="I90" s="70">
        <v>1</v>
      </c>
      <c r="J90" s="67" t="s">
        <v>51</v>
      </c>
      <c r="K90" s="67" t="s">
        <v>52</v>
      </c>
      <c r="L90" s="67" t="s">
        <v>38</v>
      </c>
      <c r="M90" s="67" t="s">
        <v>238</v>
      </c>
      <c r="N90" s="67" t="s">
        <v>1387</v>
      </c>
      <c r="O90" s="67"/>
      <c r="P90" s="67" t="s">
        <v>19</v>
      </c>
      <c r="Q90" s="69">
        <v>5075</v>
      </c>
      <c r="R90" s="4">
        <f t="shared" si="4"/>
        <v>2800</v>
      </c>
      <c r="S90" s="4">
        <f t="shared" si="5"/>
        <v>2070</v>
      </c>
    </row>
    <row r="91" spans="1:19" ht="17.100000000000001" customHeight="1" x14ac:dyDescent="0.2">
      <c r="A91" s="23"/>
      <c r="B91" s="3" t="str">
        <f ca="1">IF(A91="В заказ",MAX($B$9:OFFSET(B91,-1,0))+1,"")</f>
        <v/>
      </c>
      <c r="C91" s="6" t="str">
        <f t="shared" si="3"/>
        <v>ЛДСП 16 H1151 ST10 .</v>
      </c>
      <c r="D91" s="67" t="s">
        <v>1372</v>
      </c>
      <c r="E91" s="67" t="s">
        <v>34</v>
      </c>
      <c r="F91" s="67" t="s">
        <v>1465</v>
      </c>
      <c r="G91" s="70">
        <v>938</v>
      </c>
      <c r="H91" s="67" t="s">
        <v>35</v>
      </c>
      <c r="I91" s="70">
        <v>1</v>
      </c>
      <c r="J91" s="67" t="s">
        <v>396</v>
      </c>
      <c r="K91" s="67" t="s">
        <v>397</v>
      </c>
      <c r="L91" s="67" t="s">
        <v>38</v>
      </c>
      <c r="M91" s="67" t="s">
        <v>238</v>
      </c>
      <c r="N91" s="67" t="s">
        <v>235</v>
      </c>
      <c r="O91" s="67"/>
      <c r="P91" s="67" t="s">
        <v>19</v>
      </c>
      <c r="Q91" s="69">
        <v>6255</v>
      </c>
      <c r="R91" s="4">
        <f t="shared" si="4"/>
        <v>2800</v>
      </c>
      <c r="S91" s="4">
        <f t="shared" si="5"/>
        <v>2070</v>
      </c>
    </row>
    <row r="92" spans="1:19" ht="17.100000000000001" customHeight="1" x14ac:dyDescent="0.2">
      <c r="A92" s="23"/>
      <c r="B92" s="3" t="str">
        <f ca="1">IF(A92="В заказ",MAX($B$9:OFFSET(B92,-1,0))+1,"")</f>
        <v/>
      </c>
      <c r="C92" s="6" t="str">
        <f t="shared" si="3"/>
        <v>ЛДСП 25 H1151 ST10 .</v>
      </c>
      <c r="D92" s="67" t="s">
        <v>1372</v>
      </c>
      <c r="E92" s="67" t="s">
        <v>34</v>
      </c>
      <c r="F92" s="67" t="s">
        <v>1466</v>
      </c>
      <c r="G92" s="68">
        <v>3500</v>
      </c>
      <c r="H92" s="67" t="s">
        <v>35</v>
      </c>
      <c r="I92" s="70">
        <v>1</v>
      </c>
      <c r="J92" s="67" t="s">
        <v>396</v>
      </c>
      <c r="K92" s="67" t="s">
        <v>397</v>
      </c>
      <c r="L92" s="67" t="s">
        <v>38</v>
      </c>
      <c r="M92" s="67" t="s">
        <v>238</v>
      </c>
      <c r="N92" s="67" t="s">
        <v>1387</v>
      </c>
      <c r="O92" s="67"/>
      <c r="P92" s="67" t="s">
        <v>19</v>
      </c>
      <c r="Q92" s="69">
        <v>8350</v>
      </c>
      <c r="R92" s="4">
        <f t="shared" si="4"/>
        <v>2800</v>
      </c>
      <c r="S92" s="4">
        <f t="shared" si="5"/>
        <v>2070</v>
      </c>
    </row>
    <row r="93" spans="1:19" ht="17.100000000000001" customHeight="1" x14ac:dyDescent="0.2">
      <c r="A93" s="23"/>
      <c r="B93" s="3" t="str">
        <f ca="1">IF(A93="В заказ",MAX($B$9:OFFSET(B93,-1,0))+1,"")</f>
        <v/>
      </c>
      <c r="C93" s="6" t="str">
        <f t="shared" si="3"/>
        <v>ЛДСП 08 H1176 ST37 .</v>
      </c>
      <c r="D93" s="67" t="s">
        <v>1372</v>
      </c>
      <c r="E93" s="67" t="s">
        <v>34</v>
      </c>
      <c r="F93" s="67" t="s">
        <v>1467</v>
      </c>
      <c r="G93" s="68">
        <v>13938</v>
      </c>
      <c r="H93" s="67" t="s">
        <v>35</v>
      </c>
      <c r="I93" s="70">
        <v>1</v>
      </c>
      <c r="J93" s="67" t="s">
        <v>53</v>
      </c>
      <c r="K93" s="67" t="s">
        <v>54</v>
      </c>
      <c r="L93" s="67" t="s">
        <v>55</v>
      </c>
      <c r="M93" s="67" t="s">
        <v>238</v>
      </c>
      <c r="N93" s="67" t="s">
        <v>1382</v>
      </c>
      <c r="O93" s="67"/>
      <c r="P93" s="67" t="s">
        <v>19</v>
      </c>
      <c r="Q93" s="69">
        <v>5505</v>
      </c>
      <c r="R93" s="4">
        <f t="shared" si="4"/>
        <v>2800</v>
      </c>
      <c r="S93" s="4">
        <f t="shared" si="5"/>
        <v>2070</v>
      </c>
    </row>
    <row r="94" spans="1:19" ht="17.100000000000001" customHeight="1" x14ac:dyDescent="0.2">
      <c r="A94" s="23"/>
      <c r="B94" s="3" t="str">
        <f ca="1">IF(A94="В заказ",MAX($B$9:OFFSET(B94,-1,0))+1,"")</f>
        <v/>
      </c>
      <c r="C94" s="6" t="str">
        <f t="shared" si="3"/>
        <v>ЛДСП 16 H1176 ST37 .</v>
      </c>
      <c r="D94" s="67" t="s">
        <v>1372</v>
      </c>
      <c r="E94" s="67" t="s">
        <v>34</v>
      </c>
      <c r="F94" s="67" t="s">
        <v>1468</v>
      </c>
      <c r="G94" s="68">
        <v>13108</v>
      </c>
      <c r="H94" s="67" t="s">
        <v>35</v>
      </c>
      <c r="I94" s="70">
        <v>1</v>
      </c>
      <c r="J94" s="67" t="s">
        <v>53</v>
      </c>
      <c r="K94" s="67" t="s">
        <v>54</v>
      </c>
      <c r="L94" s="67" t="s">
        <v>55</v>
      </c>
      <c r="M94" s="67" t="s">
        <v>238</v>
      </c>
      <c r="N94" s="67" t="s">
        <v>235</v>
      </c>
      <c r="O94" s="67"/>
      <c r="P94" s="67" t="s">
        <v>19</v>
      </c>
      <c r="Q94" s="69">
        <v>5580</v>
      </c>
      <c r="R94" s="4">
        <f t="shared" si="4"/>
        <v>2800</v>
      </c>
      <c r="S94" s="4">
        <f t="shared" si="5"/>
        <v>2070</v>
      </c>
    </row>
    <row r="95" spans="1:19" ht="17.100000000000001" customHeight="1" x14ac:dyDescent="0.2">
      <c r="A95" s="23"/>
      <c r="B95" s="3" t="str">
        <f ca="1">IF(A95="В заказ",MAX($B$9:OFFSET(B95,-1,0))+1,"")</f>
        <v/>
      </c>
      <c r="C95" s="6" t="str">
        <f t="shared" si="3"/>
        <v>ЛДСП 18 H1176 ST37 .</v>
      </c>
      <c r="D95" s="67" t="s">
        <v>1372</v>
      </c>
      <c r="E95" s="67" t="s">
        <v>34</v>
      </c>
      <c r="F95" s="67" t="s">
        <v>1469</v>
      </c>
      <c r="G95" s="68">
        <v>22849</v>
      </c>
      <c r="H95" s="67" t="s">
        <v>35</v>
      </c>
      <c r="I95" s="70">
        <v>1</v>
      </c>
      <c r="J95" s="67" t="s">
        <v>53</v>
      </c>
      <c r="K95" s="67" t="s">
        <v>54</v>
      </c>
      <c r="L95" s="67" t="s">
        <v>55</v>
      </c>
      <c r="M95" s="67" t="s">
        <v>238</v>
      </c>
      <c r="N95" s="67" t="s">
        <v>1385</v>
      </c>
      <c r="O95" s="67"/>
      <c r="P95" s="67" t="s">
        <v>19</v>
      </c>
      <c r="Q95" s="69">
        <v>5860</v>
      </c>
      <c r="R95" s="4">
        <f t="shared" si="4"/>
        <v>2800</v>
      </c>
      <c r="S95" s="4">
        <f t="shared" si="5"/>
        <v>2070</v>
      </c>
    </row>
    <row r="96" spans="1:19" ht="17.100000000000001" customHeight="1" x14ac:dyDescent="0.2">
      <c r="A96" s="23"/>
      <c r="B96" s="3" t="str">
        <f ca="1">IF(A96="В заказ",MAX($B$9:OFFSET(B96,-1,0))+1,"")</f>
        <v/>
      </c>
      <c r="C96" s="6" t="str">
        <f t="shared" si="3"/>
        <v>ЛДСП 25 H1176 ST37 .</v>
      </c>
      <c r="D96" s="67" t="s">
        <v>1372</v>
      </c>
      <c r="E96" s="67" t="s">
        <v>34</v>
      </c>
      <c r="F96" s="67" t="s">
        <v>1470</v>
      </c>
      <c r="G96" s="68">
        <v>13939</v>
      </c>
      <c r="H96" s="67" t="s">
        <v>35</v>
      </c>
      <c r="I96" s="70">
        <v>1</v>
      </c>
      <c r="J96" s="67" t="s">
        <v>53</v>
      </c>
      <c r="K96" s="67" t="s">
        <v>54</v>
      </c>
      <c r="L96" s="67" t="s">
        <v>55</v>
      </c>
      <c r="M96" s="67" t="s">
        <v>238</v>
      </c>
      <c r="N96" s="67" t="s">
        <v>1387</v>
      </c>
      <c r="O96" s="67"/>
      <c r="P96" s="67" t="s">
        <v>19</v>
      </c>
      <c r="Q96" s="69">
        <v>7160</v>
      </c>
      <c r="R96" s="4">
        <f t="shared" si="4"/>
        <v>2800</v>
      </c>
      <c r="S96" s="4">
        <f t="shared" si="5"/>
        <v>2070</v>
      </c>
    </row>
    <row r="97" spans="1:19" ht="17.100000000000001" customHeight="1" x14ac:dyDescent="0.2">
      <c r="A97" s="23"/>
      <c r="B97" s="3" t="str">
        <f ca="1">IF(A97="В заказ",MAX($B$9:OFFSET(B97,-1,0))+1,"")</f>
        <v/>
      </c>
      <c r="C97" s="6" t="str">
        <f t="shared" si="3"/>
        <v>ЛДСП 08 H1180 ST37 .</v>
      </c>
      <c r="D97" s="67" t="s">
        <v>1372</v>
      </c>
      <c r="E97" s="67" t="s">
        <v>34</v>
      </c>
      <c r="F97" s="67" t="s">
        <v>1471</v>
      </c>
      <c r="G97" s="68">
        <v>13254</v>
      </c>
      <c r="H97" s="67" t="s">
        <v>35</v>
      </c>
      <c r="I97" s="70">
        <v>1</v>
      </c>
      <c r="J97" s="67" t="s">
        <v>56</v>
      </c>
      <c r="K97" s="67" t="s">
        <v>57</v>
      </c>
      <c r="L97" s="67" t="s">
        <v>55</v>
      </c>
      <c r="M97" s="67" t="s">
        <v>238</v>
      </c>
      <c r="N97" s="67" t="s">
        <v>1382</v>
      </c>
      <c r="O97" s="67"/>
      <c r="P97" s="67" t="s">
        <v>19</v>
      </c>
      <c r="Q97" s="69">
        <v>5505</v>
      </c>
      <c r="R97" s="4">
        <f t="shared" si="4"/>
        <v>2800</v>
      </c>
      <c r="S97" s="4">
        <f t="shared" si="5"/>
        <v>2070</v>
      </c>
    </row>
    <row r="98" spans="1:19" ht="17.100000000000001" customHeight="1" x14ac:dyDescent="0.2">
      <c r="A98" s="23"/>
      <c r="B98" s="3" t="str">
        <f ca="1">IF(A98="В заказ",MAX($B$9:OFFSET(B98,-1,0))+1,"")</f>
        <v/>
      </c>
      <c r="C98" s="6" t="str">
        <f t="shared" si="3"/>
        <v>ЛДСП 16 H1180 ST37 .</v>
      </c>
      <c r="D98" s="67" t="s">
        <v>1372</v>
      </c>
      <c r="E98" s="67" t="s">
        <v>34</v>
      </c>
      <c r="F98" s="67" t="s">
        <v>1472</v>
      </c>
      <c r="G98" s="68">
        <v>12487</v>
      </c>
      <c r="H98" s="67" t="s">
        <v>35</v>
      </c>
      <c r="I98" s="70">
        <v>1</v>
      </c>
      <c r="J98" s="67" t="s">
        <v>56</v>
      </c>
      <c r="K98" s="67" t="s">
        <v>57</v>
      </c>
      <c r="L98" s="67" t="s">
        <v>55</v>
      </c>
      <c r="M98" s="67" t="s">
        <v>238</v>
      </c>
      <c r="N98" s="67" t="s">
        <v>235</v>
      </c>
      <c r="O98" s="67"/>
      <c r="P98" s="67" t="s">
        <v>19</v>
      </c>
      <c r="Q98" s="69">
        <v>5580</v>
      </c>
      <c r="R98" s="4">
        <f t="shared" si="4"/>
        <v>2800</v>
      </c>
      <c r="S98" s="4">
        <f t="shared" si="5"/>
        <v>2070</v>
      </c>
    </row>
    <row r="99" spans="1:19" ht="17.100000000000001" customHeight="1" x14ac:dyDescent="0.2">
      <c r="A99" s="23"/>
      <c r="B99" s="3" t="str">
        <f ca="1">IF(A99="В заказ",MAX($B$9:OFFSET(B99,-1,0))+1,"")</f>
        <v/>
      </c>
      <c r="C99" s="6" t="str">
        <f t="shared" si="3"/>
        <v>ЛДСП 18 H1180 ST37 .</v>
      </c>
      <c r="D99" s="67" t="s">
        <v>1372</v>
      </c>
      <c r="E99" s="67" t="s">
        <v>34</v>
      </c>
      <c r="F99" s="67" t="s">
        <v>1473</v>
      </c>
      <c r="G99" s="68">
        <v>17394</v>
      </c>
      <c r="H99" s="67" t="s">
        <v>35</v>
      </c>
      <c r="I99" s="70">
        <v>1</v>
      </c>
      <c r="J99" s="67" t="s">
        <v>56</v>
      </c>
      <c r="K99" s="67" t="s">
        <v>57</v>
      </c>
      <c r="L99" s="67" t="s">
        <v>55</v>
      </c>
      <c r="M99" s="67" t="s">
        <v>238</v>
      </c>
      <c r="N99" s="67" t="s">
        <v>1385</v>
      </c>
      <c r="O99" s="67"/>
      <c r="P99" s="67" t="s">
        <v>19</v>
      </c>
      <c r="Q99" s="69">
        <v>5860</v>
      </c>
      <c r="R99" s="4">
        <f t="shared" si="4"/>
        <v>2800</v>
      </c>
      <c r="S99" s="4">
        <f t="shared" si="5"/>
        <v>2070</v>
      </c>
    </row>
    <row r="100" spans="1:19" ht="17.100000000000001" customHeight="1" x14ac:dyDescent="0.2">
      <c r="A100" s="23"/>
      <c r="B100" s="3" t="str">
        <f ca="1">IF(A100="В заказ",MAX($B$9:OFFSET(B100,-1,0))+1,"")</f>
        <v/>
      </c>
      <c r="C100" s="6" t="str">
        <f t="shared" si="3"/>
        <v>ЛДСП 25 H1180 ST37 .</v>
      </c>
      <c r="D100" s="67" t="s">
        <v>1372</v>
      </c>
      <c r="E100" s="67" t="s">
        <v>34</v>
      </c>
      <c r="F100" s="67" t="s">
        <v>1474</v>
      </c>
      <c r="G100" s="68">
        <v>13255</v>
      </c>
      <c r="H100" s="67" t="s">
        <v>35</v>
      </c>
      <c r="I100" s="70">
        <v>1</v>
      </c>
      <c r="J100" s="67" t="s">
        <v>56</v>
      </c>
      <c r="K100" s="67" t="s">
        <v>57</v>
      </c>
      <c r="L100" s="67" t="s">
        <v>55</v>
      </c>
      <c r="M100" s="67" t="s">
        <v>238</v>
      </c>
      <c r="N100" s="67" t="s">
        <v>1387</v>
      </c>
      <c r="O100" s="67"/>
      <c r="P100" s="67" t="s">
        <v>19</v>
      </c>
      <c r="Q100" s="69">
        <v>7160</v>
      </c>
      <c r="R100" s="4">
        <f t="shared" si="4"/>
        <v>2800</v>
      </c>
      <c r="S100" s="4">
        <f t="shared" si="5"/>
        <v>2070</v>
      </c>
    </row>
    <row r="101" spans="1:19" ht="17.100000000000001" customHeight="1" x14ac:dyDescent="0.2">
      <c r="A101" s="23"/>
      <c r="B101" s="3" t="str">
        <f ca="1">IF(A101="В заказ",MAX($B$9:OFFSET(B101,-1,0))+1,"")</f>
        <v/>
      </c>
      <c r="C101" s="6" t="str">
        <f t="shared" si="3"/>
        <v>ЛДСП 08 H1181 ST37 .</v>
      </c>
      <c r="D101" s="67" t="s">
        <v>1372</v>
      </c>
      <c r="E101" s="67" t="s">
        <v>34</v>
      </c>
      <c r="F101" s="67" t="s">
        <v>1475</v>
      </c>
      <c r="G101" s="68">
        <v>14108</v>
      </c>
      <c r="H101" s="67" t="s">
        <v>35</v>
      </c>
      <c r="I101" s="70">
        <v>1</v>
      </c>
      <c r="J101" s="67" t="s">
        <v>58</v>
      </c>
      <c r="K101" s="67" t="s">
        <v>59</v>
      </c>
      <c r="L101" s="67" t="s">
        <v>55</v>
      </c>
      <c r="M101" s="67" t="s">
        <v>238</v>
      </c>
      <c r="N101" s="67" t="s">
        <v>1382</v>
      </c>
      <c r="O101" s="67"/>
      <c r="P101" s="67" t="s">
        <v>19</v>
      </c>
      <c r="Q101" s="69">
        <v>5505</v>
      </c>
      <c r="R101" s="4">
        <f t="shared" si="4"/>
        <v>2800</v>
      </c>
      <c r="S101" s="4">
        <f t="shared" si="5"/>
        <v>2070</v>
      </c>
    </row>
    <row r="102" spans="1:19" ht="17.100000000000001" customHeight="1" x14ac:dyDescent="0.2">
      <c r="A102" s="23"/>
      <c r="B102" s="3" t="str">
        <f ca="1">IF(A102="В заказ",MAX($B$9:OFFSET(B102,-1,0))+1,"")</f>
        <v/>
      </c>
      <c r="C102" s="6" t="str">
        <f t="shared" si="3"/>
        <v>ЛДСП 16 H1181 ST37 .</v>
      </c>
      <c r="D102" s="67" t="s">
        <v>1372</v>
      </c>
      <c r="E102" s="67" t="s">
        <v>34</v>
      </c>
      <c r="F102" s="67" t="s">
        <v>1476</v>
      </c>
      <c r="G102" s="68">
        <v>13433</v>
      </c>
      <c r="H102" s="67" t="s">
        <v>35</v>
      </c>
      <c r="I102" s="70">
        <v>1</v>
      </c>
      <c r="J102" s="67" t="s">
        <v>58</v>
      </c>
      <c r="K102" s="67" t="s">
        <v>59</v>
      </c>
      <c r="L102" s="67" t="s">
        <v>55</v>
      </c>
      <c r="M102" s="67" t="s">
        <v>238</v>
      </c>
      <c r="N102" s="67" t="s">
        <v>235</v>
      </c>
      <c r="O102" s="67"/>
      <c r="P102" s="67" t="s">
        <v>19</v>
      </c>
      <c r="Q102" s="69">
        <v>5580</v>
      </c>
      <c r="R102" s="4">
        <f t="shared" si="4"/>
        <v>2800</v>
      </c>
      <c r="S102" s="4">
        <f t="shared" si="5"/>
        <v>2070</v>
      </c>
    </row>
    <row r="103" spans="1:19" ht="17.100000000000001" customHeight="1" x14ac:dyDescent="0.2">
      <c r="A103" s="23"/>
      <c r="B103" s="3" t="str">
        <f ca="1">IF(A103="В заказ",MAX($B$9:OFFSET(B103,-1,0))+1,"")</f>
        <v/>
      </c>
      <c r="C103" s="6" t="str">
        <f t="shared" si="3"/>
        <v>ЛДСП 18 H1181 ST37 .</v>
      </c>
      <c r="D103" s="67" t="s">
        <v>1372</v>
      </c>
      <c r="E103" s="67" t="s">
        <v>34</v>
      </c>
      <c r="F103" s="67" t="s">
        <v>1477</v>
      </c>
      <c r="G103" s="68">
        <v>21241</v>
      </c>
      <c r="H103" s="67" t="s">
        <v>35</v>
      </c>
      <c r="I103" s="70">
        <v>1</v>
      </c>
      <c r="J103" s="67" t="s">
        <v>58</v>
      </c>
      <c r="K103" s="67" t="s">
        <v>59</v>
      </c>
      <c r="L103" s="67" t="s">
        <v>55</v>
      </c>
      <c r="M103" s="67" t="s">
        <v>238</v>
      </c>
      <c r="N103" s="67" t="s">
        <v>1385</v>
      </c>
      <c r="O103" s="67"/>
      <c r="P103" s="67" t="s">
        <v>19</v>
      </c>
      <c r="Q103" s="69">
        <v>5860</v>
      </c>
      <c r="R103" s="4">
        <f t="shared" si="4"/>
        <v>2800</v>
      </c>
      <c r="S103" s="4">
        <f t="shared" si="5"/>
        <v>2070</v>
      </c>
    </row>
    <row r="104" spans="1:19" ht="17.100000000000001" customHeight="1" x14ac:dyDescent="0.2">
      <c r="A104" s="23"/>
      <c r="B104" s="3" t="str">
        <f ca="1">IF(A104="В заказ",MAX($B$9:OFFSET(B104,-1,0))+1,"")</f>
        <v/>
      </c>
      <c r="C104" s="6" t="str">
        <f t="shared" si="3"/>
        <v>ЛДСП 25 H1181 ST37 .</v>
      </c>
      <c r="D104" s="67" t="s">
        <v>1372</v>
      </c>
      <c r="E104" s="67" t="s">
        <v>34</v>
      </c>
      <c r="F104" s="67" t="s">
        <v>1478</v>
      </c>
      <c r="G104" s="68">
        <v>14109</v>
      </c>
      <c r="H104" s="67" t="s">
        <v>35</v>
      </c>
      <c r="I104" s="70">
        <v>1</v>
      </c>
      <c r="J104" s="67" t="s">
        <v>58</v>
      </c>
      <c r="K104" s="67" t="s">
        <v>59</v>
      </c>
      <c r="L104" s="67" t="s">
        <v>55</v>
      </c>
      <c r="M104" s="67" t="s">
        <v>238</v>
      </c>
      <c r="N104" s="67" t="s">
        <v>1387</v>
      </c>
      <c r="O104" s="67"/>
      <c r="P104" s="67" t="s">
        <v>19</v>
      </c>
      <c r="Q104" s="69">
        <v>7160</v>
      </c>
      <c r="R104" s="4">
        <f t="shared" si="4"/>
        <v>2800</v>
      </c>
      <c r="S104" s="4">
        <f t="shared" si="5"/>
        <v>2070</v>
      </c>
    </row>
    <row r="105" spans="1:19" ht="17.100000000000001" customHeight="1" x14ac:dyDescent="0.2">
      <c r="A105" s="23"/>
      <c r="B105" s="3" t="str">
        <f ca="1">IF(A105="В заказ",MAX($B$9:OFFSET(B105,-1,0))+1,"")</f>
        <v/>
      </c>
      <c r="C105" s="6" t="str">
        <f t="shared" si="3"/>
        <v>ЛДСП 08 H1199 ST12 .</v>
      </c>
      <c r="D105" s="67" t="s">
        <v>1372</v>
      </c>
      <c r="E105" s="67" t="s">
        <v>34</v>
      </c>
      <c r="F105" s="67" t="s">
        <v>1479</v>
      </c>
      <c r="G105" s="68">
        <v>13847</v>
      </c>
      <c r="H105" s="67" t="s">
        <v>35</v>
      </c>
      <c r="I105" s="70">
        <v>1</v>
      </c>
      <c r="J105" s="67" t="s">
        <v>60</v>
      </c>
      <c r="K105" s="67" t="s">
        <v>61</v>
      </c>
      <c r="L105" s="67" t="s">
        <v>41</v>
      </c>
      <c r="M105" s="67" t="s">
        <v>238</v>
      </c>
      <c r="N105" s="67" t="s">
        <v>1382</v>
      </c>
      <c r="O105" s="67"/>
      <c r="P105" s="67" t="s">
        <v>19</v>
      </c>
      <c r="Q105" s="69">
        <v>3745</v>
      </c>
      <c r="R105" s="4">
        <f t="shared" si="4"/>
        <v>2800</v>
      </c>
      <c r="S105" s="4">
        <f t="shared" si="5"/>
        <v>2070</v>
      </c>
    </row>
    <row r="106" spans="1:19" ht="17.100000000000001" customHeight="1" x14ac:dyDescent="0.2">
      <c r="A106" s="23"/>
      <c r="B106" s="3" t="str">
        <f ca="1">IF(A106="В заказ",MAX($B$9:OFFSET(B106,-1,0))+1,"")</f>
        <v/>
      </c>
      <c r="C106" s="6" t="str">
        <f t="shared" si="3"/>
        <v>ЛДСП 16 H1199 ST12 .</v>
      </c>
      <c r="D106" s="67" t="s">
        <v>1372</v>
      </c>
      <c r="E106" s="67" t="s">
        <v>34</v>
      </c>
      <c r="F106" s="67" t="s">
        <v>1480</v>
      </c>
      <c r="G106" s="68">
        <v>13536</v>
      </c>
      <c r="H106" s="67" t="s">
        <v>35</v>
      </c>
      <c r="I106" s="70">
        <v>1</v>
      </c>
      <c r="J106" s="67" t="s">
        <v>60</v>
      </c>
      <c r="K106" s="67" t="s">
        <v>61</v>
      </c>
      <c r="L106" s="67" t="s">
        <v>41</v>
      </c>
      <c r="M106" s="67" t="s">
        <v>238</v>
      </c>
      <c r="N106" s="67" t="s">
        <v>235</v>
      </c>
      <c r="O106" s="67"/>
      <c r="P106" s="67" t="s">
        <v>19</v>
      </c>
      <c r="Q106" s="69">
        <v>3830</v>
      </c>
      <c r="R106" s="4">
        <f t="shared" si="4"/>
        <v>2800</v>
      </c>
      <c r="S106" s="4">
        <f t="shared" si="5"/>
        <v>2070</v>
      </c>
    </row>
    <row r="107" spans="1:19" ht="17.100000000000001" customHeight="1" x14ac:dyDescent="0.2">
      <c r="A107" s="23"/>
      <c r="B107" s="3" t="str">
        <f ca="1">IF(A107="В заказ",MAX($B$9:OFFSET(B107,-1,0))+1,"")</f>
        <v/>
      </c>
      <c r="C107" s="6" t="str">
        <f t="shared" si="3"/>
        <v>ЛДСП 25 H1199 ST12 .</v>
      </c>
      <c r="D107" s="67" t="s">
        <v>1372</v>
      </c>
      <c r="E107" s="67" t="s">
        <v>34</v>
      </c>
      <c r="F107" s="67" t="s">
        <v>1481</v>
      </c>
      <c r="G107" s="68">
        <v>13848</v>
      </c>
      <c r="H107" s="67" t="s">
        <v>35</v>
      </c>
      <c r="I107" s="70">
        <v>1</v>
      </c>
      <c r="J107" s="67" t="s">
        <v>60</v>
      </c>
      <c r="K107" s="67" t="s">
        <v>61</v>
      </c>
      <c r="L107" s="67" t="s">
        <v>41</v>
      </c>
      <c r="M107" s="67" t="s">
        <v>238</v>
      </c>
      <c r="N107" s="67" t="s">
        <v>1387</v>
      </c>
      <c r="O107" s="67"/>
      <c r="P107" s="67" t="s">
        <v>19</v>
      </c>
      <c r="Q107" s="69">
        <v>5350</v>
      </c>
      <c r="R107" s="4">
        <f t="shared" si="4"/>
        <v>2800</v>
      </c>
      <c r="S107" s="4">
        <f t="shared" si="5"/>
        <v>2070</v>
      </c>
    </row>
    <row r="108" spans="1:19" ht="17.100000000000001" customHeight="1" x14ac:dyDescent="0.2">
      <c r="A108" s="23"/>
      <c r="B108" s="3" t="str">
        <f ca="1">IF(A108="В заказ",MAX($B$9:OFFSET(B108,-1,0))+1,"")</f>
        <v/>
      </c>
      <c r="C108" s="6" t="str">
        <f t="shared" si="3"/>
        <v>ЛДСП 08 H1250 ST36 .</v>
      </c>
      <c r="D108" s="67" t="s">
        <v>1372</v>
      </c>
      <c r="E108" s="67" t="s">
        <v>34</v>
      </c>
      <c r="F108" s="67" t="s">
        <v>1482</v>
      </c>
      <c r="G108" s="68">
        <v>9623</v>
      </c>
      <c r="H108" s="67" t="s">
        <v>35</v>
      </c>
      <c r="I108" s="70">
        <v>1</v>
      </c>
      <c r="J108" s="67" t="s">
        <v>62</v>
      </c>
      <c r="K108" s="67" t="s">
        <v>63</v>
      </c>
      <c r="L108" s="67" t="s">
        <v>64</v>
      </c>
      <c r="M108" s="67" t="s">
        <v>238</v>
      </c>
      <c r="N108" s="67" t="s">
        <v>1382</v>
      </c>
      <c r="O108" s="67"/>
      <c r="P108" s="67" t="s">
        <v>19</v>
      </c>
      <c r="Q108" s="69">
        <v>5150</v>
      </c>
      <c r="R108" s="4">
        <f t="shared" si="4"/>
        <v>2800</v>
      </c>
      <c r="S108" s="4">
        <f t="shared" si="5"/>
        <v>2070</v>
      </c>
    </row>
    <row r="109" spans="1:19" ht="17.100000000000001" customHeight="1" x14ac:dyDescent="0.2">
      <c r="A109" s="23"/>
      <c r="B109" s="3" t="str">
        <f ca="1">IF(A109="В заказ",MAX($B$9:OFFSET(B109,-1,0))+1,"")</f>
        <v/>
      </c>
      <c r="C109" s="6" t="str">
        <f t="shared" si="3"/>
        <v>ЛДСП 16 H1250 ST36 .</v>
      </c>
      <c r="D109" s="67" t="s">
        <v>1372</v>
      </c>
      <c r="E109" s="67" t="s">
        <v>34</v>
      </c>
      <c r="F109" s="67" t="s">
        <v>1483</v>
      </c>
      <c r="G109" s="68">
        <v>8801</v>
      </c>
      <c r="H109" s="67" t="s">
        <v>35</v>
      </c>
      <c r="I109" s="70">
        <v>1</v>
      </c>
      <c r="J109" s="67" t="s">
        <v>62</v>
      </c>
      <c r="K109" s="67" t="s">
        <v>63</v>
      </c>
      <c r="L109" s="67" t="s">
        <v>64</v>
      </c>
      <c r="M109" s="67" t="s">
        <v>238</v>
      </c>
      <c r="N109" s="67" t="s">
        <v>235</v>
      </c>
      <c r="O109" s="67"/>
      <c r="P109" s="67" t="s">
        <v>19</v>
      </c>
      <c r="Q109" s="69">
        <v>5230</v>
      </c>
      <c r="R109" s="4">
        <f t="shared" si="4"/>
        <v>2800</v>
      </c>
      <c r="S109" s="4">
        <f t="shared" si="5"/>
        <v>2070</v>
      </c>
    </row>
    <row r="110" spans="1:19" ht="17.100000000000001" customHeight="1" x14ac:dyDescent="0.2">
      <c r="A110" s="23"/>
      <c r="B110" s="3" t="str">
        <f ca="1">IF(A110="В заказ",MAX($B$9:OFFSET(B110,-1,0))+1,"")</f>
        <v/>
      </c>
      <c r="C110" s="6" t="str">
        <f t="shared" si="3"/>
        <v>ЛДСП 18 H1250 ST36 .</v>
      </c>
      <c r="D110" s="67" t="s">
        <v>1372</v>
      </c>
      <c r="E110" s="67" t="s">
        <v>34</v>
      </c>
      <c r="F110" s="67" t="s">
        <v>1484</v>
      </c>
      <c r="G110" s="68">
        <v>22898</v>
      </c>
      <c r="H110" s="67" t="s">
        <v>35</v>
      </c>
      <c r="I110" s="70">
        <v>1</v>
      </c>
      <c r="J110" s="67" t="s">
        <v>62</v>
      </c>
      <c r="K110" s="67" t="s">
        <v>63</v>
      </c>
      <c r="L110" s="67" t="s">
        <v>64</v>
      </c>
      <c r="M110" s="67" t="s">
        <v>238</v>
      </c>
      <c r="N110" s="67" t="s">
        <v>1385</v>
      </c>
      <c r="O110" s="67"/>
      <c r="P110" s="67" t="s">
        <v>19</v>
      </c>
      <c r="Q110" s="69">
        <v>5505</v>
      </c>
      <c r="R110" s="4">
        <f t="shared" si="4"/>
        <v>2800</v>
      </c>
      <c r="S110" s="4">
        <f t="shared" si="5"/>
        <v>2070</v>
      </c>
    </row>
    <row r="111" spans="1:19" ht="17.100000000000001" customHeight="1" x14ac:dyDescent="0.2">
      <c r="A111" s="23"/>
      <c r="B111" s="3" t="str">
        <f ca="1">IF(A111="В заказ",MAX($B$9:OFFSET(B111,-1,0))+1,"")</f>
        <v/>
      </c>
      <c r="C111" s="6" t="str">
        <f t="shared" si="3"/>
        <v>ЛДСП 25 H1250 ST36 .</v>
      </c>
      <c r="D111" s="67" t="s">
        <v>1372</v>
      </c>
      <c r="E111" s="67" t="s">
        <v>34</v>
      </c>
      <c r="F111" s="67" t="s">
        <v>1485</v>
      </c>
      <c r="G111" s="68">
        <v>12995</v>
      </c>
      <c r="H111" s="67" t="s">
        <v>35</v>
      </c>
      <c r="I111" s="70">
        <v>1</v>
      </c>
      <c r="J111" s="67" t="s">
        <v>62</v>
      </c>
      <c r="K111" s="67" t="s">
        <v>63</v>
      </c>
      <c r="L111" s="67" t="s">
        <v>64</v>
      </c>
      <c r="M111" s="67" t="s">
        <v>238</v>
      </c>
      <c r="N111" s="67" t="s">
        <v>1387</v>
      </c>
      <c r="O111" s="67"/>
      <c r="P111" s="67" t="s">
        <v>19</v>
      </c>
      <c r="Q111" s="69">
        <v>6785</v>
      </c>
      <c r="R111" s="4">
        <f t="shared" si="4"/>
        <v>2800</v>
      </c>
      <c r="S111" s="4">
        <f t="shared" si="5"/>
        <v>2070</v>
      </c>
    </row>
    <row r="112" spans="1:19" ht="17.100000000000001" customHeight="1" x14ac:dyDescent="0.2">
      <c r="A112" s="23"/>
      <c r="B112" s="3" t="str">
        <f ca="1">IF(A112="В заказ",MAX($B$9:OFFSET(B112,-1,0))+1,"")</f>
        <v/>
      </c>
      <c r="C112" s="6" t="str">
        <f t="shared" si="3"/>
        <v>ЛДСП 08 H1251 ST19 .</v>
      </c>
      <c r="D112" s="67" t="s">
        <v>1372</v>
      </c>
      <c r="E112" s="67" t="s">
        <v>34</v>
      </c>
      <c r="F112" s="67" t="s">
        <v>1486</v>
      </c>
      <c r="G112" s="68">
        <v>22308</v>
      </c>
      <c r="H112" s="67" t="s">
        <v>35</v>
      </c>
      <c r="I112" s="70">
        <v>1</v>
      </c>
      <c r="J112" s="67" t="s">
        <v>460</v>
      </c>
      <c r="K112" s="67" t="s">
        <v>461</v>
      </c>
      <c r="L112" s="67" t="s">
        <v>251</v>
      </c>
      <c r="M112" s="67" t="s">
        <v>238</v>
      </c>
      <c r="N112" s="67" t="s">
        <v>1382</v>
      </c>
      <c r="O112" s="67"/>
      <c r="P112" s="67" t="s">
        <v>19</v>
      </c>
      <c r="Q112" s="69">
        <v>4210</v>
      </c>
      <c r="R112" s="4">
        <f t="shared" si="4"/>
        <v>2800</v>
      </c>
      <c r="S112" s="4">
        <f t="shared" si="5"/>
        <v>2070</v>
      </c>
    </row>
    <row r="113" spans="1:19" ht="17.100000000000001" customHeight="1" x14ac:dyDescent="0.2">
      <c r="A113" s="23"/>
      <c r="B113" s="3" t="str">
        <f ca="1">IF(A113="В заказ",MAX($B$9:OFFSET(B113,-1,0))+1,"")</f>
        <v/>
      </c>
      <c r="C113" s="6" t="str">
        <f t="shared" si="3"/>
        <v>ЛДСП 16 H1251 ST19 .</v>
      </c>
      <c r="D113" s="67" t="s">
        <v>1372</v>
      </c>
      <c r="E113" s="67" t="s">
        <v>34</v>
      </c>
      <c r="F113" s="67" t="s">
        <v>1487</v>
      </c>
      <c r="G113" s="68">
        <v>21606</v>
      </c>
      <c r="H113" s="67" t="s">
        <v>35</v>
      </c>
      <c r="I113" s="70">
        <v>1</v>
      </c>
      <c r="J113" s="67" t="s">
        <v>460</v>
      </c>
      <c r="K113" s="67" t="s">
        <v>461</v>
      </c>
      <c r="L113" s="67" t="s">
        <v>251</v>
      </c>
      <c r="M113" s="67" t="s">
        <v>238</v>
      </c>
      <c r="N113" s="67" t="s">
        <v>235</v>
      </c>
      <c r="O113" s="67"/>
      <c r="P113" s="67" t="s">
        <v>19</v>
      </c>
      <c r="Q113" s="69">
        <v>4285</v>
      </c>
      <c r="R113" s="4">
        <f t="shared" si="4"/>
        <v>2800</v>
      </c>
      <c r="S113" s="4">
        <f t="shared" si="5"/>
        <v>2070</v>
      </c>
    </row>
    <row r="114" spans="1:19" ht="17.100000000000001" customHeight="1" x14ac:dyDescent="0.2">
      <c r="A114" s="23"/>
      <c r="B114" s="3" t="str">
        <f ca="1">IF(A114="В заказ",MAX($B$9:OFFSET(B114,-1,0))+1,"")</f>
        <v/>
      </c>
      <c r="C114" s="6" t="str">
        <f t="shared" si="3"/>
        <v>ЛДСП 18 H1251 ST19 .</v>
      </c>
      <c r="D114" s="67" t="s">
        <v>1372</v>
      </c>
      <c r="E114" s="67" t="s">
        <v>34</v>
      </c>
      <c r="F114" s="67" t="s">
        <v>1488</v>
      </c>
      <c r="G114" s="68">
        <v>22846</v>
      </c>
      <c r="H114" s="67" t="s">
        <v>35</v>
      </c>
      <c r="I114" s="70">
        <v>1</v>
      </c>
      <c r="J114" s="67" t="s">
        <v>460</v>
      </c>
      <c r="K114" s="67" t="s">
        <v>461</v>
      </c>
      <c r="L114" s="67" t="s">
        <v>251</v>
      </c>
      <c r="M114" s="67" t="s">
        <v>238</v>
      </c>
      <c r="N114" s="67" t="s">
        <v>1385</v>
      </c>
      <c r="O114" s="67"/>
      <c r="P114" s="67" t="s">
        <v>19</v>
      </c>
      <c r="Q114" s="69">
        <v>4550</v>
      </c>
      <c r="R114" s="4">
        <f t="shared" si="4"/>
        <v>2800</v>
      </c>
      <c r="S114" s="4">
        <f t="shared" si="5"/>
        <v>2070</v>
      </c>
    </row>
    <row r="115" spans="1:19" ht="17.100000000000001" customHeight="1" x14ac:dyDescent="0.2">
      <c r="A115" s="23"/>
      <c r="B115" s="3" t="str">
        <f ca="1">IF(A115="В заказ",MAX($B$9:OFFSET(B115,-1,0))+1,"")</f>
        <v/>
      </c>
      <c r="C115" s="6" t="str">
        <f t="shared" si="3"/>
        <v>ЛДСП 25 H1251 ST19 .</v>
      </c>
      <c r="D115" s="67" t="s">
        <v>1372</v>
      </c>
      <c r="E115" s="67" t="s">
        <v>34</v>
      </c>
      <c r="F115" s="67" t="s">
        <v>1489</v>
      </c>
      <c r="G115" s="68">
        <v>22307</v>
      </c>
      <c r="H115" s="67" t="s">
        <v>35</v>
      </c>
      <c r="I115" s="70">
        <v>1</v>
      </c>
      <c r="J115" s="67" t="s">
        <v>460</v>
      </c>
      <c r="K115" s="67" t="s">
        <v>461</v>
      </c>
      <c r="L115" s="67" t="s">
        <v>251</v>
      </c>
      <c r="M115" s="67" t="s">
        <v>238</v>
      </c>
      <c r="N115" s="67" t="s">
        <v>1387</v>
      </c>
      <c r="O115" s="67"/>
      <c r="P115" s="67" t="s">
        <v>19</v>
      </c>
      <c r="Q115" s="69">
        <v>5765</v>
      </c>
      <c r="R115" s="4">
        <f t="shared" si="4"/>
        <v>2800</v>
      </c>
      <c r="S115" s="4">
        <f t="shared" si="5"/>
        <v>2070</v>
      </c>
    </row>
    <row r="116" spans="1:19" ht="17.100000000000001" customHeight="1" x14ac:dyDescent="0.2">
      <c r="A116" s="23"/>
      <c r="B116" s="3" t="str">
        <f ca="1">IF(A116="В заказ",MAX($B$9:OFFSET(B116,-1,0))+1,"")</f>
        <v/>
      </c>
      <c r="C116" s="6" t="str">
        <f t="shared" si="3"/>
        <v>ЛДСП 08 H1253 ST19 .</v>
      </c>
      <c r="D116" s="67" t="s">
        <v>1372</v>
      </c>
      <c r="E116" s="67" t="s">
        <v>34</v>
      </c>
      <c r="F116" s="67" t="s">
        <v>1490</v>
      </c>
      <c r="G116" s="68">
        <v>22956</v>
      </c>
      <c r="H116" s="67" t="s">
        <v>35</v>
      </c>
      <c r="I116" s="70">
        <v>1</v>
      </c>
      <c r="J116" s="67" t="s">
        <v>471</v>
      </c>
      <c r="K116" s="67" t="s">
        <v>472</v>
      </c>
      <c r="L116" s="67" t="s">
        <v>251</v>
      </c>
      <c r="M116" s="67" t="s">
        <v>238</v>
      </c>
      <c r="N116" s="67" t="s">
        <v>1382</v>
      </c>
      <c r="O116" s="67"/>
      <c r="P116" s="67" t="s">
        <v>19</v>
      </c>
      <c r="Q116" s="69">
        <v>4210</v>
      </c>
      <c r="R116" s="4">
        <f t="shared" si="4"/>
        <v>2800</v>
      </c>
      <c r="S116" s="4">
        <f t="shared" si="5"/>
        <v>2070</v>
      </c>
    </row>
    <row r="117" spans="1:19" ht="17.100000000000001" customHeight="1" x14ac:dyDescent="0.2">
      <c r="A117" s="23"/>
      <c r="B117" s="3" t="str">
        <f ca="1">IF(A117="В заказ",MAX($B$9:OFFSET(B117,-1,0))+1,"")</f>
        <v/>
      </c>
      <c r="C117" s="6" t="str">
        <f t="shared" si="3"/>
        <v>ЛДСП 16 H1253 ST19 .</v>
      </c>
      <c r="D117" s="67" t="s">
        <v>1372</v>
      </c>
      <c r="E117" s="67" t="s">
        <v>34</v>
      </c>
      <c r="F117" s="67" t="s">
        <v>1491</v>
      </c>
      <c r="G117" s="68">
        <v>21608</v>
      </c>
      <c r="H117" s="67" t="s">
        <v>35</v>
      </c>
      <c r="I117" s="70">
        <v>1</v>
      </c>
      <c r="J117" s="67" t="s">
        <v>471</v>
      </c>
      <c r="K117" s="67" t="s">
        <v>472</v>
      </c>
      <c r="L117" s="67" t="s">
        <v>251</v>
      </c>
      <c r="M117" s="67" t="s">
        <v>238</v>
      </c>
      <c r="N117" s="67" t="s">
        <v>235</v>
      </c>
      <c r="O117" s="67"/>
      <c r="P117" s="67" t="s">
        <v>19</v>
      </c>
      <c r="Q117" s="69">
        <v>4285</v>
      </c>
      <c r="R117" s="4">
        <f t="shared" si="4"/>
        <v>2800</v>
      </c>
      <c r="S117" s="4">
        <f t="shared" si="5"/>
        <v>2070</v>
      </c>
    </row>
    <row r="118" spans="1:19" ht="17.100000000000001" customHeight="1" x14ac:dyDescent="0.2">
      <c r="A118" s="23"/>
      <c r="B118" s="3" t="str">
        <f ca="1">IF(A118="В заказ",MAX($B$9:OFFSET(B118,-1,0))+1,"")</f>
        <v/>
      </c>
      <c r="C118" s="6" t="str">
        <f t="shared" si="3"/>
        <v>ЛДСП 18 H1253 ST19 .</v>
      </c>
      <c r="D118" s="67" t="s">
        <v>1372</v>
      </c>
      <c r="E118" s="67" t="s">
        <v>34</v>
      </c>
      <c r="F118" s="67" t="s">
        <v>1492</v>
      </c>
      <c r="G118" s="68">
        <v>24481</v>
      </c>
      <c r="H118" s="67" t="s">
        <v>35</v>
      </c>
      <c r="I118" s="70">
        <v>1</v>
      </c>
      <c r="J118" s="67" t="s">
        <v>471</v>
      </c>
      <c r="K118" s="67" t="s">
        <v>472</v>
      </c>
      <c r="L118" s="67" t="s">
        <v>251</v>
      </c>
      <c r="M118" s="67" t="s">
        <v>238</v>
      </c>
      <c r="N118" s="67" t="s">
        <v>1385</v>
      </c>
      <c r="O118" s="67"/>
      <c r="P118" s="67" t="s">
        <v>19</v>
      </c>
      <c r="Q118" s="69">
        <v>4550</v>
      </c>
      <c r="R118" s="4">
        <f t="shared" si="4"/>
        <v>2800</v>
      </c>
      <c r="S118" s="4">
        <f t="shared" si="5"/>
        <v>2070</v>
      </c>
    </row>
    <row r="119" spans="1:19" ht="17.100000000000001" customHeight="1" x14ac:dyDescent="0.2">
      <c r="A119" s="23"/>
      <c r="B119" s="3" t="str">
        <f ca="1">IF(A119="В заказ",MAX($B$9:OFFSET(B119,-1,0))+1,"")</f>
        <v/>
      </c>
      <c r="C119" s="6" t="str">
        <f t="shared" si="3"/>
        <v>ЛДСП 08 H1277 ST9 .</v>
      </c>
      <c r="D119" s="67" t="s">
        <v>1372</v>
      </c>
      <c r="E119" s="67" t="s">
        <v>34</v>
      </c>
      <c r="F119" s="67" t="s">
        <v>1493</v>
      </c>
      <c r="G119" s="70">
        <v>941</v>
      </c>
      <c r="H119" s="67" t="s">
        <v>35</v>
      </c>
      <c r="I119" s="70">
        <v>1</v>
      </c>
      <c r="J119" s="67" t="s">
        <v>65</v>
      </c>
      <c r="K119" s="67" t="s">
        <v>66</v>
      </c>
      <c r="L119" s="67" t="s">
        <v>22</v>
      </c>
      <c r="M119" s="67" t="s">
        <v>238</v>
      </c>
      <c r="N119" s="67" t="s">
        <v>1382</v>
      </c>
      <c r="O119" s="67"/>
      <c r="P119" s="67" t="s">
        <v>19</v>
      </c>
      <c r="Q119" s="69">
        <v>3350</v>
      </c>
      <c r="R119" s="4">
        <f t="shared" si="4"/>
        <v>2800</v>
      </c>
      <c r="S119" s="4">
        <f t="shared" si="5"/>
        <v>2070</v>
      </c>
    </row>
    <row r="120" spans="1:19" ht="17.100000000000001" customHeight="1" x14ac:dyDescent="0.2">
      <c r="A120" s="23"/>
      <c r="B120" s="3" t="str">
        <f ca="1">IF(A120="В заказ",MAX($B$9:OFFSET(B120,-1,0))+1,"")</f>
        <v/>
      </c>
      <c r="C120" s="6" t="str">
        <f t="shared" si="3"/>
        <v>ЛДСП 16 H1277 ST9 .</v>
      </c>
      <c r="D120" s="67" t="s">
        <v>1372</v>
      </c>
      <c r="E120" s="67" t="s">
        <v>34</v>
      </c>
      <c r="F120" s="67" t="s">
        <v>1494</v>
      </c>
      <c r="G120" s="70">
        <v>351</v>
      </c>
      <c r="H120" s="67" t="s">
        <v>35</v>
      </c>
      <c r="I120" s="70">
        <v>1</v>
      </c>
      <c r="J120" s="67" t="s">
        <v>65</v>
      </c>
      <c r="K120" s="67" t="s">
        <v>66</v>
      </c>
      <c r="L120" s="67" t="s">
        <v>22</v>
      </c>
      <c r="M120" s="67" t="s">
        <v>238</v>
      </c>
      <c r="N120" s="67" t="s">
        <v>235</v>
      </c>
      <c r="O120" s="67"/>
      <c r="P120" s="67" t="s">
        <v>19</v>
      </c>
      <c r="Q120" s="69">
        <v>3425</v>
      </c>
      <c r="R120" s="4">
        <f t="shared" si="4"/>
        <v>2800</v>
      </c>
      <c r="S120" s="4">
        <f t="shared" si="5"/>
        <v>2070</v>
      </c>
    </row>
    <row r="121" spans="1:19" ht="17.100000000000001" customHeight="1" x14ac:dyDescent="0.2">
      <c r="A121" s="23"/>
      <c r="B121" s="3" t="str">
        <f ca="1">IF(A121="В заказ",MAX($B$9:OFFSET(B121,-1,0))+1,"")</f>
        <v/>
      </c>
      <c r="C121" s="6" t="str">
        <f t="shared" si="3"/>
        <v>ЛДСП 18 H1277 ST9 .</v>
      </c>
      <c r="D121" s="67" t="s">
        <v>1372</v>
      </c>
      <c r="E121" s="67" t="s">
        <v>34</v>
      </c>
      <c r="F121" s="67" t="s">
        <v>1495</v>
      </c>
      <c r="G121" s="68">
        <v>17517</v>
      </c>
      <c r="H121" s="67" t="s">
        <v>35</v>
      </c>
      <c r="I121" s="70">
        <v>1</v>
      </c>
      <c r="J121" s="67" t="s">
        <v>65</v>
      </c>
      <c r="K121" s="67" t="s">
        <v>66</v>
      </c>
      <c r="L121" s="67" t="s">
        <v>22</v>
      </c>
      <c r="M121" s="67" t="s">
        <v>238</v>
      </c>
      <c r="N121" s="67" t="s">
        <v>1385</v>
      </c>
      <c r="O121" s="67"/>
      <c r="P121" s="67" t="s">
        <v>19</v>
      </c>
      <c r="Q121" s="69">
        <v>3725</v>
      </c>
      <c r="R121" s="4">
        <f t="shared" si="4"/>
        <v>2800</v>
      </c>
      <c r="S121" s="4">
        <f t="shared" si="5"/>
        <v>2070</v>
      </c>
    </row>
    <row r="122" spans="1:19" ht="17.100000000000001" customHeight="1" x14ac:dyDescent="0.2">
      <c r="A122" s="23"/>
      <c r="B122" s="3" t="str">
        <f ca="1">IF(A122="В заказ",MAX($B$9:OFFSET(B122,-1,0))+1,"")</f>
        <v/>
      </c>
      <c r="C122" s="6" t="str">
        <f t="shared" si="3"/>
        <v>ЛДСП 25 H1277 ST9 .</v>
      </c>
      <c r="D122" s="67" t="s">
        <v>1372</v>
      </c>
      <c r="E122" s="67" t="s">
        <v>34</v>
      </c>
      <c r="F122" s="67" t="s">
        <v>1496</v>
      </c>
      <c r="G122" s="70">
        <v>270</v>
      </c>
      <c r="H122" s="67" t="s">
        <v>35</v>
      </c>
      <c r="I122" s="70">
        <v>1</v>
      </c>
      <c r="J122" s="67" t="s">
        <v>65</v>
      </c>
      <c r="K122" s="67" t="s">
        <v>66</v>
      </c>
      <c r="L122" s="67" t="s">
        <v>22</v>
      </c>
      <c r="M122" s="67" t="s">
        <v>238</v>
      </c>
      <c r="N122" s="67" t="s">
        <v>1387</v>
      </c>
      <c r="O122" s="67"/>
      <c r="P122" s="67" t="s">
        <v>19</v>
      </c>
      <c r="Q122" s="69">
        <v>4990</v>
      </c>
      <c r="R122" s="4">
        <f t="shared" si="4"/>
        <v>2800</v>
      </c>
      <c r="S122" s="4">
        <f t="shared" si="5"/>
        <v>2070</v>
      </c>
    </row>
    <row r="123" spans="1:19" ht="17.100000000000001" customHeight="1" x14ac:dyDescent="0.2">
      <c r="A123" s="23"/>
      <c r="B123" s="3" t="str">
        <f ca="1">IF(A123="В заказ",MAX($B$9:OFFSET(B123,-1,0))+1,"")</f>
        <v/>
      </c>
      <c r="C123" s="6" t="str">
        <f t="shared" si="3"/>
        <v>ЛДСП 08 H1312 ST10 .</v>
      </c>
      <c r="D123" s="67" t="s">
        <v>1372</v>
      </c>
      <c r="E123" s="67" t="s">
        <v>34</v>
      </c>
      <c r="F123" s="67" t="s">
        <v>1497</v>
      </c>
      <c r="G123" s="68">
        <v>22294</v>
      </c>
      <c r="H123" s="67" t="s">
        <v>35</v>
      </c>
      <c r="I123" s="70">
        <v>1</v>
      </c>
      <c r="J123" s="67" t="s">
        <v>491</v>
      </c>
      <c r="K123" s="67" t="s">
        <v>492</v>
      </c>
      <c r="L123" s="67" t="s">
        <v>38</v>
      </c>
      <c r="M123" s="67" t="s">
        <v>238</v>
      </c>
      <c r="N123" s="67" t="s">
        <v>1382</v>
      </c>
      <c r="O123" s="67"/>
      <c r="P123" s="67" t="s">
        <v>19</v>
      </c>
      <c r="Q123" s="69">
        <v>4210</v>
      </c>
      <c r="R123" s="4">
        <f t="shared" si="4"/>
        <v>2800</v>
      </c>
      <c r="S123" s="4">
        <f t="shared" si="5"/>
        <v>2070</v>
      </c>
    </row>
    <row r="124" spans="1:19" ht="17.100000000000001" customHeight="1" x14ac:dyDescent="0.2">
      <c r="A124" s="23"/>
      <c r="B124" s="3" t="str">
        <f ca="1">IF(A124="В заказ",MAX($B$9:OFFSET(B124,-1,0))+1,"")</f>
        <v/>
      </c>
      <c r="C124" s="6" t="str">
        <f t="shared" si="3"/>
        <v>ЛДСП 16 H1312 ST10 .</v>
      </c>
      <c r="D124" s="67" t="s">
        <v>1372</v>
      </c>
      <c r="E124" s="67" t="s">
        <v>34</v>
      </c>
      <c r="F124" s="67" t="s">
        <v>1498</v>
      </c>
      <c r="G124" s="68">
        <v>21609</v>
      </c>
      <c r="H124" s="67" t="s">
        <v>35</v>
      </c>
      <c r="I124" s="70">
        <v>1</v>
      </c>
      <c r="J124" s="67" t="s">
        <v>491</v>
      </c>
      <c r="K124" s="67" t="s">
        <v>492</v>
      </c>
      <c r="L124" s="67" t="s">
        <v>38</v>
      </c>
      <c r="M124" s="67" t="s">
        <v>238</v>
      </c>
      <c r="N124" s="67" t="s">
        <v>235</v>
      </c>
      <c r="O124" s="67"/>
      <c r="P124" s="67" t="s">
        <v>19</v>
      </c>
      <c r="Q124" s="69">
        <v>4285</v>
      </c>
      <c r="R124" s="4">
        <f t="shared" si="4"/>
        <v>2800</v>
      </c>
      <c r="S124" s="4">
        <f t="shared" si="5"/>
        <v>2070</v>
      </c>
    </row>
    <row r="125" spans="1:19" ht="17.100000000000001" customHeight="1" x14ac:dyDescent="0.2">
      <c r="A125" s="23"/>
      <c r="B125" s="3" t="str">
        <f ca="1">IF(A125="В заказ",MAX($B$9:OFFSET(B125,-1,0))+1,"")</f>
        <v/>
      </c>
      <c r="C125" s="6" t="str">
        <f t="shared" si="3"/>
        <v>ЛДСП 25 H1312 ST10 .</v>
      </c>
      <c r="D125" s="67" t="s">
        <v>1372</v>
      </c>
      <c r="E125" s="67" t="s">
        <v>34</v>
      </c>
      <c r="F125" s="67" t="s">
        <v>1499</v>
      </c>
      <c r="G125" s="68">
        <v>22167</v>
      </c>
      <c r="H125" s="67" t="s">
        <v>35</v>
      </c>
      <c r="I125" s="70">
        <v>1</v>
      </c>
      <c r="J125" s="67" t="s">
        <v>491</v>
      </c>
      <c r="K125" s="67" t="s">
        <v>492</v>
      </c>
      <c r="L125" s="67" t="s">
        <v>38</v>
      </c>
      <c r="M125" s="67" t="s">
        <v>238</v>
      </c>
      <c r="N125" s="67" t="s">
        <v>1387</v>
      </c>
      <c r="O125" s="67"/>
      <c r="P125" s="67" t="s">
        <v>19</v>
      </c>
      <c r="Q125" s="69">
        <v>5765</v>
      </c>
      <c r="R125" s="4">
        <f t="shared" si="4"/>
        <v>2800</v>
      </c>
      <c r="S125" s="4">
        <f t="shared" si="5"/>
        <v>2070</v>
      </c>
    </row>
    <row r="126" spans="1:19" ht="17.100000000000001" customHeight="1" x14ac:dyDescent="0.2">
      <c r="A126" s="23"/>
      <c r="B126" s="3" t="str">
        <f ca="1">IF(A126="В заказ",MAX($B$9:OFFSET(B126,-1,0))+1,"")</f>
        <v/>
      </c>
      <c r="C126" s="6" t="str">
        <f t="shared" si="3"/>
        <v>ЛДСП 08 H1313 ST10 .</v>
      </c>
      <c r="D126" s="67" t="s">
        <v>1372</v>
      </c>
      <c r="E126" s="67" t="s">
        <v>34</v>
      </c>
      <c r="F126" s="67" t="s">
        <v>1500</v>
      </c>
      <c r="G126" s="68">
        <v>22295</v>
      </c>
      <c r="H126" s="67" t="s">
        <v>35</v>
      </c>
      <c r="I126" s="70">
        <v>1</v>
      </c>
      <c r="J126" s="67" t="s">
        <v>499</v>
      </c>
      <c r="K126" s="67" t="s">
        <v>500</v>
      </c>
      <c r="L126" s="67" t="s">
        <v>38</v>
      </c>
      <c r="M126" s="67" t="s">
        <v>238</v>
      </c>
      <c r="N126" s="67" t="s">
        <v>1382</v>
      </c>
      <c r="O126" s="67"/>
      <c r="P126" s="67" t="s">
        <v>19</v>
      </c>
      <c r="Q126" s="69">
        <v>3945</v>
      </c>
      <c r="R126" s="4">
        <f t="shared" si="4"/>
        <v>2800</v>
      </c>
      <c r="S126" s="4">
        <f t="shared" si="5"/>
        <v>2070</v>
      </c>
    </row>
    <row r="127" spans="1:19" ht="17.100000000000001" customHeight="1" x14ac:dyDescent="0.2">
      <c r="A127" s="23"/>
      <c r="B127" s="3" t="str">
        <f ca="1">IF(A127="В заказ",MAX($B$9:OFFSET(B127,-1,0))+1,"")</f>
        <v/>
      </c>
      <c r="C127" s="6" t="str">
        <f t="shared" si="3"/>
        <v>ЛДСП 16 H1313 ST10 .</v>
      </c>
      <c r="D127" s="67" t="s">
        <v>1372</v>
      </c>
      <c r="E127" s="67" t="s">
        <v>34</v>
      </c>
      <c r="F127" s="67" t="s">
        <v>1501</v>
      </c>
      <c r="G127" s="68">
        <v>21610</v>
      </c>
      <c r="H127" s="67" t="s">
        <v>35</v>
      </c>
      <c r="I127" s="70">
        <v>1</v>
      </c>
      <c r="J127" s="67" t="s">
        <v>499</v>
      </c>
      <c r="K127" s="67" t="s">
        <v>500</v>
      </c>
      <c r="L127" s="67" t="s">
        <v>38</v>
      </c>
      <c r="M127" s="67" t="s">
        <v>238</v>
      </c>
      <c r="N127" s="67" t="s">
        <v>235</v>
      </c>
      <c r="O127" s="67"/>
      <c r="P127" s="67" t="s">
        <v>19</v>
      </c>
      <c r="Q127" s="69">
        <v>4020</v>
      </c>
      <c r="R127" s="4">
        <f t="shared" si="4"/>
        <v>2800</v>
      </c>
      <c r="S127" s="4">
        <f t="shared" si="5"/>
        <v>2070</v>
      </c>
    </row>
    <row r="128" spans="1:19" ht="17.100000000000001" customHeight="1" x14ac:dyDescent="0.2">
      <c r="A128" s="23"/>
      <c r="B128" s="3" t="str">
        <f ca="1">IF(A128="В заказ",MAX($B$9:OFFSET(B128,-1,0))+1,"")</f>
        <v/>
      </c>
      <c r="C128" s="6" t="str">
        <f t="shared" si="3"/>
        <v>ЛДСП 25 H1313 ST10 .</v>
      </c>
      <c r="D128" s="67" t="s">
        <v>1372</v>
      </c>
      <c r="E128" s="67" t="s">
        <v>34</v>
      </c>
      <c r="F128" s="67" t="s">
        <v>1502</v>
      </c>
      <c r="G128" s="68">
        <v>22296</v>
      </c>
      <c r="H128" s="67" t="s">
        <v>35</v>
      </c>
      <c r="I128" s="70">
        <v>1</v>
      </c>
      <c r="J128" s="67" t="s">
        <v>499</v>
      </c>
      <c r="K128" s="67" t="s">
        <v>500</v>
      </c>
      <c r="L128" s="67" t="s">
        <v>38</v>
      </c>
      <c r="M128" s="67" t="s">
        <v>238</v>
      </c>
      <c r="N128" s="67" t="s">
        <v>1387</v>
      </c>
      <c r="O128" s="67"/>
      <c r="P128" s="67" t="s">
        <v>19</v>
      </c>
      <c r="Q128" s="69">
        <v>5505</v>
      </c>
      <c r="R128" s="4">
        <f t="shared" si="4"/>
        <v>2800</v>
      </c>
      <c r="S128" s="4">
        <f t="shared" si="5"/>
        <v>2070</v>
      </c>
    </row>
    <row r="129" spans="1:19" ht="17.100000000000001" customHeight="1" x14ac:dyDescent="0.2">
      <c r="A129" s="23"/>
      <c r="B129" s="3" t="str">
        <f ca="1">IF(A129="В заказ",MAX($B$9:OFFSET(B129,-1,0))+1,"")</f>
        <v/>
      </c>
      <c r="C129" s="6" t="str">
        <f t="shared" si="3"/>
        <v>ЛДСП 08 H1318 ST10 .</v>
      </c>
      <c r="D129" s="67" t="s">
        <v>1372</v>
      </c>
      <c r="E129" s="67" t="s">
        <v>34</v>
      </c>
      <c r="F129" s="67" t="s">
        <v>1503</v>
      </c>
      <c r="G129" s="68">
        <v>22244</v>
      </c>
      <c r="H129" s="67" t="s">
        <v>35</v>
      </c>
      <c r="I129" s="70">
        <v>1</v>
      </c>
      <c r="J129" s="67" t="s">
        <v>507</v>
      </c>
      <c r="K129" s="67" t="s">
        <v>508</v>
      </c>
      <c r="L129" s="67" t="s">
        <v>38</v>
      </c>
      <c r="M129" s="67" t="s">
        <v>238</v>
      </c>
      <c r="N129" s="67" t="s">
        <v>1382</v>
      </c>
      <c r="O129" s="67"/>
      <c r="P129" s="67" t="s">
        <v>19</v>
      </c>
      <c r="Q129" s="69">
        <v>3945</v>
      </c>
      <c r="R129" s="4">
        <f t="shared" si="4"/>
        <v>2800</v>
      </c>
      <c r="S129" s="4">
        <f t="shared" si="5"/>
        <v>2070</v>
      </c>
    </row>
    <row r="130" spans="1:19" ht="17.100000000000001" customHeight="1" x14ac:dyDescent="0.2">
      <c r="A130" s="23"/>
      <c r="B130" s="3" t="str">
        <f ca="1">IF(A130="В заказ",MAX($B$9:OFFSET(B130,-1,0))+1,"")</f>
        <v/>
      </c>
      <c r="C130" s="6" t="str">
        <f t="shared" si="3"/>
        <v>ЛДСП 16 H1318 ST10 .</v>
      </c>
      <c r="D130" s="67" t="s">
        <v>1372</v>
      </c>
      <c r="E130" s="67" t="s">
        <v>34</v>
      </c>
      <c r="F130" s="67" t="s">
        <v>1504</v>
      </c>
      <c r="G130" s="68">
        <v>21611</v>
      </c>
      <c r="H130" s="67" t="s">
        <v>35</v>
      </c>
      <c r="I130" s="70">
        <v>1</v>
      </c>
      <c r="J130" s="67" t="s">
        <v>507</v>
      </c>
      <c r="K130" s="67" t="s">
        <v>508</v>
      </c>
      <c r="L130" s="67" t="s">
        <v>38</v>
      </c>
      <c r="M130" s="67" t="s">
        <v>238</v>
      </c>
      <c r="N130" s="67" t="s">
        <v>235</v>
      </c>
      <c r="O130" s="67"/>
      <c r="P130" s="67" t="s">
        <v>19</v>
      </c>
      <c r="Q130" s="69">
        <v>4020</v>
      </c>
      <c r="R130" s="4">
        <f t="shared" si="4"/>
        <v>2800</v>
      </c>
      <c r="S130" s="4">
        <f t="shared" si="5"/>
        <v>2070</v>
      </c>
    </row>
    <row r="131" spans="1:19" ht="17.100000000000001" customHeight="1" x14ac:dyDescent="0.2">
      <c r="A131" s="23"/>
      <c r="B131" s="3" t="str">
        <f ca="1">IF(A131="В заказ",MAX($B$9:OFFSET(B131,-1,0))+1,"")</f>
        <v/>
      </c>
      <c r="C131" s="6" t="str">
        <f t="shared" si="3"/>
        <v>ЛДСП 25 H1318 ST10 .</v>
      </c>
      <c r="D131" s="67" t="s">
        <v>1372</v>
      </c>
      <c r="E131" s="67" t="s">
        <v>34</v>
      </c>
      <c r="F131" s="67" t="s">
        <v>1505</v>
      </c>
      <c r="G131" s="68">
        <v>22245</v>
      </c>
      <c r="H131" s="67" t="s">
        <v>35</v>
      </c>
      <c r="I131" s="70">
        <v>1</v>
      </c>
      <c r="J131" s="67" t="s">
        <v>507</v>
      </c>
      <c r="K131" s="67" t="s">
        <v>508</v>
      </c>
      <c r="L131" s="67" t="s">
        <v>38</v>
      </c>
      <c r="M131" s="67" t="s">
        <v>238</v>
      </c>
      <c r="N131" s="67" t="s">
        <v>1387</v>
      </c>
      <c r="O131" s="67"/>
      <c r="P131" s="67" t="s">
        <v>19</v>
      </c>
      <c r="Q131" s="69">
        <v>5505</v>
      </c>
      <c r="R131" s="4">
        <f t="shared" si="4"/>
        <v>2800</v>
      </c>
      <c r="S131" s="4">
        <f t="shared" si="5"/>
        <v>2070</v>
      </c>
    </row>
    <row r="132" spans="1:19" ht="17.100000000000001" customHeight="1" x14ac:dyDescent="0.2">
      <c r="A132" s="23"/>
      <c r="B132" s="3" t="str">
        <f ca="1">IF(A132="В заказ",MAX($B$9:OFFSET(B132,-1,0))+1,"")</f>
        <v/>
      </c>
      <c r="C132" s="6" t="str">
        <f t="shared" si="3"/>
        <v>ЛДСП 08 H1330 ST10 .</v>
      </c>
      <c r="D132" s="67" t="s">
        <v>1372</v>
      </c>
      <c r="E132" s="67" t="s">
        <v>34</v>
      </c>
      <c r="F132" s="67" t="s">
        <v>1506</v>
      </c>
      <c r="G132" s="68">
        <v>21985</v>
      </c>
      <c r="H132" s="67" t="s">
        <v>35</v>
      </c>
      <c r="I132" s="70">
        <v>1</v>
      </c>
      <c r="J132" s="67" t="s">
        <v>515</v>
      </c>
      <c r="K132" s="67" t="s">
        <v>516</v>
      </c>
      <c r="L132" s="67" t="s">
        <v>38</v>
      </c>
      <c r="M132" s="67" t="s">
        <v>238</v>
      </c>
      <c r="N132" s="67" t="s">
        <v>1382</v>
      </c>
      <c r="O132" s="67"/>
      <c r="P132" s="67" t="s">
        <v>19</v>
      </c>
      <c r="Q132" s="69">
        <v>3945</v>
      </c>
      <c r="R132" s="4">
        <f t="shared" si="4"/>
        <v>2800</v>
      </c>
      <c r="S132" s="4">
        <f t="shared" si="5"/>
        <v>2070</v>
      </c>
    </row>
    <row r="133" spans="1:19" ht="17.100000000000001" customHeight="1" x14ac:dyDescent="0.2">
      <c r="A133" s="23"/>
      <c r="B133" s="3" t="str">
        <f ca="1">IF(A133="В заказ",MAX($B$9:OFFSET(B133,-1,0))+1,"")</f>
        <v/>
      </c>
      <c r="C133" s="6" t="str">
        <f t="shared" si="3"/>
        <v>ЛДСП 16 H1330 ST10 .</v>
      </c>
      <c r="D133" s="67" t="s">
        <v>1372</v>
      </c>
      <c r="E133" s="67" t="s">
        <v>34</v>
      </c>
      <c r="F133" s="67" t="s">
        <v>1507</v>
      </c>
      <c r="G133" s="68">
        <v>21614</v>
      </c>
      <c r="H133" s="67" t="s">
        <v>35</v>
      </c>
      <c r="I133" s="70">
        <v>1</v>
      </c>
      <c r="J133" s="67" t="s">
        <v>515</v>
      </c>
      <c r="K133" s="67" t="s">
        <v>516</v>
      </c>
      <c r="L133" s="67" t="s">
        <v>38</v>
      </c>
      <c r="M133" s="67" t="s">
        <v>238</v>
      </c>
      <c r="N133" s="67" t="s">
        <v>235</v>
      </c>
      <c r="O133" s="67"/>
      <c r="P133" s="67" t="s">
        <v>19</v>
      </c>
      <c r="Q133" s="69">
        <v>4020</v>
      </c>
      <c r="R133" s="4">
        <f t="shared" si="4"/>
        <v>2800</v>
      </c>
      <c r="S133" s="4">
        <f t="shared" si="5"/>
        <v>2070</v>
      </c>
    </row>
    <row r="134" spans="1:19" ht="17.100000000000001" customHeight="1" x14ac:dyDescent="0.2">
      <c r="A134" s="23"/>
      <c r="B134" s="3" t="str">
        <f ca="1">IF(A134="В заказ",MAX($B$9:OFFSET(B134,-1,0))+1,"")</f>
        <v/>
      </c>
      <c r="C134" s="6" t="str">
        <f t="shared" si="3"/>
        <v>ЛДСП 25 H1330 ST10 .</v>
      </c>
      <c r="D134" s="67" t="s">
        <v>1372</v>
      </c>
      <c r="E134" s="67" t="s">
        <v>34</v>
      </c>
      <c r="F134" s="67" t="s">
        <v>1508</v>
      </c>
      <c r="G134" s="68">
        <v>21981</v>
      </c>
      <c r="H134" s="67" t="s">
        <v>35</v>
      </c>
      <c r="I134" s="70">
        <v>1</v>
      </c>
      <c r="J134" s="67" t="s">
        <v>515</v>
      </c>
      <c r="K134" s="67" t="s">
        <v>516</v>
      </c>
      <c r="L134" s="67" t="s">
        <v>38</v>
      </c>
      <c r="M134" s="67" t="s">
        <v>238</v>
      </c>
      <c r="N134" s="67" t="s">
        <v>1387</v>
      </c>
      <c r="O134" s="67"/>
      <c r="P134" s="67" t="s">
        <v>19</v>
      </c>
      <c r="Q134" s="69">
        <v>5505</v>
      </c>
      <c r="R134" s="4">
        <f t="shared" si="4"/>
        <v>2800</v>
      </c>
      <c r="S134" s="4">
        <f t="shared" si="5"/>
        <v>2070</v>
      </c>
    </row>
    <row r="135" spans="1:19" ht="17.100000000000001" customHeight="1" x14ac:dyDescent="0.2">
      <c r="A135" s="23"/>
      <c r="B135" s="3" t="str">
        <f ca="1">IF(A135="В заказ",MAX($B$9:OFFSET(B135,-1,0))+1,"")</f>
        <v/>
      </c>
      <c r="C135" s="6" t="str">
        <f t="shared" si="3"/>
        <v>ЛДСП 08 H1334 ST9 .</v>
      </c>
      <c r="D135" s="67" t="s">
        <v>1372</v>
      </c>
      <c r="E135" s="67" t="s">
        <v>34</v>
      </c>
      <c r="F135" s="67" t="s">
        <v>1509</v>
      </c>
      <c r="G135" s="70">
        <v>279</v>
      </c>
      <c r="H135" s="67" t="s">
        <v>35</v>
      </c>
      <c r="I135" s="70">
        <v>1</v>
      </c>
      <c r="J135" s="67" t="s">
        <v>67</v>
      </c>
      <c r="K135" s="67" t="s">
        <v>68</v>
      </c>
      <c r="L135" s="67" t="s">
        <v>22</v>
      </c>
      <c r="M135" s="67" t="s">
        <v>238</v>
      </c>
      <c r="N135" s="67" t="s">
        <v>1382</v>
      </c>
      <c r="O135" s="67"/>
      <c r="P135" s="67" t="s">
        <v>19</v>
      </c>
      <c r="Q135" s="69">
        <v>3350</v>
      </c>
      <c r="R135" s="4">
        <f t="shared" si="4"/>
        <v>2800</v>
      </c>
      <c r="S135" s="4">
        <f t="shared" si="5"/>
        <v>2070</v>
      </c>
    </row>
    <row r="136" spans="1:19" ht="17.100000000000001" customHeight="1" x14ac:dyDescent="0.2">
      <c r="A136" s="23"/>
      <c r="B136" s="3" t="str">
        <f ca="1">IF(A136="В заказ",MAX($B$9:OFFSET(B136,-1,0))+1,"")</f>
        <v/>
      </c>
      <c r="C136" s="6" t="str">
        <f t="shared" si="3"/>
        <v>ЛДСП 16 H1334 ST9 .</v>
      </c>
      <c r="D136" s="67" t="s">
        <v>1372</v>
      </c>
      <c r="E136" s="67" t="s">
        <v>34</v>
      </c>
      <c r="F136" s="67" t="s">
        <v>1510</v>
      </c>
      <c r="G136" s="70">
        <v>494</v>
      </c>
      <c r="H136" s="67" t="s">
        <v>35</v>
      </c>
      <c r="I136" s="70">
        <v>1</v>
      </c>
      <c r="J136" s="67" t="s">
        <v>67</v>
      </c>
      <c r="K136" s="67" t="s">
        <v>68</v>
      </c>
      <c r="L136" s="67" t="s">
        <v>22</v>
      </c>
      <c r="M136" s="67" t="s">
        <v>238</v>
      </c>
      <c r="N136" s="67" t="s">
        <v>235</v>
      </c>
      <c r="O136" s="67"/>
      <c r="P136" s="67" t="s">
        <v>19</v>
      </c>
      <c r="Q136" s="69">
        <v>3425</v>
      </c>
      <c r="R136" s="4">
        <f t="shared" si="4"/>
        <v>2800</v>
      </c>
      <c r="S136" s="4">
        <f t="shared" si="5"/>
        <v>2070</v>
      </c>
    </row>
    <row r="137" spans="1:19" ht="17.100000000000001" customHeight="1" x14ac:dyDescent="0.2">
      <c r="A137" s="23"/>
      <c r="B137" s="3" t="str">
        <f ca="1">IF(A137="В заказ",MAX($B$9:OFFSET(B137,-1,0))+1,"")</f>
        <v/>
      </c>
      <c r="C137" s="6" t="str">
        <f t="shared" si="3"/>
        <v>ЛДСП 18 H1334 ST9 .</v>
      </c>
      <c r="D137" s="67" t="s">
        <v>1372</v>
      </c>
      <c r="E137" s="67" t="s">
        <v>34</v>
      </c>
      <c r="F137" s="67" t="s">
        <v>1511</v>
      </c>
      <c r="G137" s="68">
        <v>2022</v>
      </c>
      <c r="H137" s="67" t="s">
        <v>35</v>
      </c>
      <c r="I137" s="70">
        <v>1</v>
      </c>
      <c r="J137" s="67" t="s">
        <v>67</v>
      </c>
      <c r="K137" s="67" t="s">
        <v>68</v>
      </c>
      <c r="L137" s="67" t="s">
        <v>22</v>
      </c>
      <c r="M137" s="67" t="s">
        <v>238</v>
      </c>
      <c r="N137" s="67" t="s">
        <v>1385</v>
      </c>
      <c r="O137" s="67"/>
      <c r="P137" s="67" t="s">
        <v>19</v>
      </c>
      <c r="Q137" s="69">
        <v>3725</v>
      </c>
      <c r="R137" s="4">
        <f t="shared" si="4"/>
        <v>2800</v>
      </c>
      <c r="S137" s="4">
        <f t="shared" si="5"/>
        <v>2070</v>
      </c>
    </row>
    <row r="138" spans="1:19" ht="17.100000000000001" customHeight="1" x14ac:dyDescent="0.2">
      <c r="A138" s="23"/>
      <c r="B138" s="3" t="str">
        <f ca="1">IF(A138="В заказ",MAX($B$9:OFFSET(B138,-1,0))+1,"")</f>
        <v/>
      </c>
      <c r="C138" s="6" t="str">
        <f t="shared" ref="C138:C189" si="6">D138&amp;" "&amp;N138&amp;" "&amp;IF(OR(D138="ДСП",D138="МДФ",D138="Фанера",D138="ХДФ"),M138,J138)&amp;" "&amp;IF(OR(D138="ДСП",D138="МДФ",D138="Фанера",D138="ХДФ"),O138,L138)&amp;" "&amp;IF(OR(D138="ДСП",D138="МДФ",D138="Фанера",D138="ХДФ"),"",IF(D138="БСП",M138,O138))&amp;"."</f>
        <v>ЛДСП 25 H1334 ST9 .</v>
      </c>
      <c r="D138" s="67" t="s">
        <v>1372</v>
      </c>
      <c r="E138" s="67" t="s">
        <v>34</v>
      </c>
      <c r="F138" s="67" t="s">
        <v>1512</v>
      </c>
      <c r="G138" s="68">
        <v>1676</v>
      </c>
      <c r="H138" s="67" t="s">
        <v>35</v>
      </c>
      <c r="I138" s="70">
        <v>1</v>
      </c>
      <c r="J138" s="67" t="s">
        <v>67</v>
      </c>
      <c r="K138" s="67" t="s">
        <v>68</v>
      </c>
      <c r="L138" s="67" t="s">
        <v>22</v>
      </c>
      <c r="M138" s="67" t="s">
        <v>238</v>
      </c>
      <c r="N138" s="67" t="s">
        <v>1387</v>
      </c>
      <c r="O138" s="67"/>
      <c r="P138" s="67" t="s">
        <v>19</v>
      </c>
      <c r="Q138" s="69">
        <v>4990</v>
      </c>
      <c r="R138" s="4">
        <f t="shared" si="4"/>
        <v>2800</v>
      </c>
      <c r="S138" s="4">
        <f t="shared" si="5"/>
        <v>2070</v>
      </c>
    </row>
    <row r="139" spans="1:19" ht="17.100000000000001" customHeight="1" x14ac:dyDescent="0.2">
      <c r="A139" s="23"/>
      <c r="B139" s="3" t="str">
        <f ca="1">IF(A139="В заказ",MAX($B$9:OFFSET(B139,-1,0))+1,"")</f>
        <v/>
      </c>
      <c r="C139" s="6" t="str">
        <f t="shared" si="6"/>
        <v>ЛДСП 08 H1344 ST32 .</v>
      </c>
      <c r="D139" s="67" t="s">
        <v>1372</v>
      </c>
      <c r="E139" s="67" t="s">
        <v>34</v>
      </c>
      <c r="F139" s="67" t="s">
        <v>1513</v>
      </c>
      <c r="G139" s="68">
        <v>22297</v>
      </c>
      <c r="H139" s="67" t="s">
        <v>35</v>
      </c>
      <c r="I139" s="70">
        <v>1</v>
      </c>
      <c r="J139" s="67" t="s">
        <v>534</v>
      </c>
      <c r="K139" s="67" t="s">
        <v>535</v>
      </c>
      <c r="L139" s="67" t="s">
        <v>536</v>
      </c>
      <c r="M139" s="67" t="s">
        <v>238</v>
      </c>
      <c r="N139" s="67" t="s">
        <v>1382</v>
      </c>
      <c r="O139" s="67"/>
      <c r="P139" s="67" t="s">
        <v>19</v>
      </c>
      <c r="Q139" s="69">
        <v>5505</v>
      </c>
      <c r="R139" s="4">
        <f t="shared" ref="R139:R202" si="7">IFERROR(LEFT(M139,FIND("*",M139)-1)*1,"")</f>
        <v>2800</v>
      </c>
      <c r="S139" s="4">
        <f t="shared" ref="S139:S202" si="8">IFERROR(RIGHT(M139,LEN(M139)-FIND("*",M139))*1,"")</f>
        <v>2070</v>
      </c>
    </row>
    <row r="140" spans="1:19" ht="17.100000000000001" customHeight="1" x14ac:dyDescent="0.2">
      <c r="A140" s="23"/>
      <c r="B140" s="3" t="str">
        <f ca="1">IF(A140="В заказ",MAX($B$9:OFFSET(B140,-1,0))+1,"")</f>
        <v/>
      </c>
      <c r="C140" s="6" t="str">
        <f t="shared" si="6"/>
        <v>ЛДСП 16 H1344 ST32 .</v>
      </c>
      <c r="D140" s="67" t="s">
        <v>1372</v>
      </c>
      <c r="E140" s="67" t="s">
        <v>34</v>
      </c>
      <c r="F140" s="67" t="s">
        <v>1514</v>
      </c>
      <c r="G140" s="68">
        <v>21617</v>
      </c>
      <c r="H140" s="67" t="s">
        <v>35</v>
      </c>
      <c r="I140" s="70">
        <v>1</v>
      </c>
      <c r="J140" s="67" t="s">
        <v>534</v>
      </c>
      <c r="K140" s="67" t="s">
        <v>535</v>
      </c>
      <c r="L140" s="67" t="s">
        <v>536</v>
      </c>
      <c r="M140" s="67" t="s">
        <v>238</v>
      </c>
      <c r="N140" s="67" t="s">
        <v>235</v>
      </c>
      <c r="O140" s="67"/>
      <c r="P140" s="67" t="s">
        <v>19</v>
      </c>
      <c r="Q140" s="69">
        <v>5580</v>
      </c>
      <c r="R140" s="4">
        <f t="shared" si="7"/>
        <v>2800</v>
      </c>
      <c r="S140" s="4">
        <f t="shared" si="8"/>
        <v>2070</v>
      </c>
    </row>
    <row r="141" spans="1:19" ht="17.100000000000001" customHeight="1" x14ac:dyDescent="0.2">
      <c r="A141" s="23"/>
      <c r="B141" s="3" t="str">
        <f ca="1">IF(A141="В заказ",MAX($B$9:OFFSET(B141,-1,0))+1,"")</f>
        <v/>
      </c>
      <c r="C141" s="6" t="str">
        <f t="shared" si="6"/>
        <v>ЛДСП 18 H1344 ST32 .</v>
      </c>
      <c r="D141" s="67" t="s">
        <v>1372</v>
      </c>
      <c r="E141" s="67" t="s">
        <v>34</v>
      </c>
      <c r="F141" s="67" t="s">
        <v>1515</v>
      </c>
      <c r="G141" s="68">
        <v>24809</v>
      </c>
      <c r="H141" s="67" t="s">
        <v>35</v>
      </c>
      <c r="I141" s="70">
        <v>1</v>
      </c>
      <c r="J141" s="67" t="s">
        <v>534</v>
      </c>
      <c r="K141" s="67" t="s">
        <v>535</v>
      </c>
      <c r="L141" s="67" t="s">
        <v>536</v>
      </c>
      <c r="M141" s="67" t="s">
        <v>238</v>
      </c>
      <c r="N141" s="67" t="s">
        <v>1385</v>
      </c>
      <c r="O141" s="67"/>
      <c r="P141" s="67" t="s">
        <v>19</v>
      </c>
      <c r="Q141" s="69">
        <v>5860</v>
      </c>
      <c r="R141" s="4">
        <f t="shared" si="7"/>
        <v>2800</v>
      </c>
      <c r="S141" s="4">
        <f t="shared" si="8"/>
        <v>2070</v>
      </c>
    </row>
    <row r="142" spans="1:19" ht="17.100000000000001" customHeight="1" x14ac:dyDescent="0.2">
      <c r="A142" s="23"/>
      <c r="B142" s="3" t="str">
        <f ca="1">IF(A142="В заказ",MAX($B$9:OFFSET(B142,-1,0))+1,"")</f>
        <v/>
      </c>
      <c r="C142" s="6" t="str">
        <f t="shared" si="6"/>
        <v>ЛДСП 25 H1344 ST32 .</v>
      </c>
      <c r="D142" s="67" t="s">
        <v>1372</v>
      </c>
      <c r="E142" s="67" t="s">
        <v>34</v>
      </c>
      <c r="F142" s="67" t="s">
        <v>1516</v>
      </c>
      <c r="G142" s="68">
        <v>22171</v>
      </c>
      <c r="H142" s="67" t="s">
        <v>35</v>
      </c>
      <c r="I142" s="70">
        <v>1</v>
      </c>
      <c r="J142" s="67" t="s">
        <v>534</v>
      </c>
      <c r="K142" s="67" t="s">
        <v>535</v>
      </c>
      <c r="L142" s="67" t="s">
        <v>536</v>
      </c>
      <c r="M142" s="67" t="s">
        <v>238</v>
      </c>
      <c r="N142" s="67" t="s">
        <v>1387</v>
      </c>
      <c r="O142" s="67"/>
      <c r="P142" s="67" t="s">
        <v>19</v>
      </c>
      <c r="Q142" s="69">
        <v>7160</v>
      </c>
      <c r="R142" s="4">
        <f t="shared" si="7"/>
        <v>2800</v>
      </c>
      <c r="S142" s="4">
        <f t="shared" si="8"/>
        <v>2070</v>
      </c>
    </row>
    <row r="143" spans="1:19" ht="17.100000000000001" customHeight="1" x14ac:dyDescent="0.2">
      <c r="A143" s="23"/>
      <c r="B143" s="3" t="str">
        <f ca="1">IF(A143="В заказ",MAX($B$9:OFFSET(B143,-1,0))+1,"")</f>
        <v/>
      </c>
      <c r="C143" s="6" t="str">
        <f t="shared" si="6"/>
        <v>ЛДСП 08 H1345 ST32 .</v>
      </c>
      <c r="D143" s="67" t="s">
        <v>1372</v>
      </c>
      <c r="E143" s="67" t="s">
        <v>34</v>
      </c>
      <c r="F143" s="67" t="s">
        <v>1517</v>
      </c>
      <c r="G143" s="68">
        <v>22298</v>
      </c>
      <c r="H143" s="67" t="s">
        <v>35</v>
      </c>
      <c r="I143" s="70">
        <v>1</v>
      </c>
      <c r="J143" s="67" t="s">
        <v>546</v>
      </c>
      <c r="K143" s="67" t="s">
        <v>547</v>
      </c>
      <c r="L143" s="67" t="s">
        <v>536</v>
      </c>
      <c r="M143" s="67" t="s">
        <v>238</v>
      </c>
      <c r="N143" s="67" t="s">
        <v>1382</v>
      </c>
      <c r="O143" s="67"/>
      <c r="P143" s="67" t="s">
        <v>19</v>
      </c>
      <c r="Q143" s="69">
        <v>5505</v>
      </c>
      <c r="R143" s="4">
        <f t="shared" si="7"/>
        <v>2800</v>
      </c>
      <c r="S143" s="4">
        <f t="shared" si="8"/>
        <v>2070</v>
      </c>
    </row>
    <row r="144" spans="1:19" ht="17.100000000000001" customHeight="1" x14ac:dyDescent="0.2">
      <c r="A144" s="23"/>
      <c r="B144" s="3" t="str">
        <f ca="1">IF(A144="В заказ",MAX($B$9:OFFSET(B144,-1,0))+1,"")</f>
        <v/>
      </c>
      <c r="C144" s="6" t="str">
        <f t="shared" si="6"/>
        <v>ЛДСП 16 H1345 ST32 .</v>
      </c>
      <c r="D144" s="67" t="s">
        <v>1372</v>
      </c>
      <c r="E144" s="67" t="s">
        <v>34</v>
      </c>
      <c r="F144" s="67" t="s">
        <v>1518</v>
      </c>
      <c r="G144" s="68">
        <v>21573</v>
      </c>
      <c r="H144" s="67" t="s">
        <v>35</v>
      </c>
      <c r="I144" s="70">
        <v>1</v>
      </c>
      <c r="J144" s="67" t="s">
        <v>546</v>
      </c>
      <c r="K144" s="67" t="s">
        <v>547</v>
      </c>
      <c r="L144" s="67" t="s">
        <v>536</v>
      </c>
      <c r="M144" s="67" t="s">
        <v>238</v>
      </c>
      <c r="N144" s="67" t="s">
        <v>235</v>
      </c>
      <c r="O144" s="67"/>
      <c r="P144" s="67" t="s">
        <v>19</v>
      </c>
      <c r="Q144" s="69">
        <v>5580</v>
      </c>
      <c r="R144" s="4">
        <f t="shared" si="7"/>
        <v>2800</v>
      </c>
      <c r="S144" s="4">
        <f t="shared" si="8"/>
        <v>2070</v>
      </c>
    </row>
    <row r="145" spans="1:19" ht="17.100000000000001" customHeight="1" x14ac:dyDescent="0.2">
      <c r="A145" s="23"/>
      <c r="B145" s="3" t="str">
        <f ca="1">IF(A145="В заказ",MAX($B$9:OFFSET(B145,-1,0))+1,"")</f>
        <v/>
      </c>
      <c r="C145" s="6" t="str">
        <f t="shared" si="6"/>
        <v>ЛДСП 25 H1345 ST32 .</v>
      </c>
      <c r="D145" s="67" t="s">
        <v>1372</v>
      </c>
      <c r="E145" s="67" t="s">
        <v>34</v>
      </c>
      <c r="F145" s="67" t="s">
        <v>1519</v>
      </c>
      <c r="G145" s="68">
        <v>21574</v>
      </c>
      <c r="H145" s="67" t="s">
        <v>35</v>
      </c>
      <c r="I145" s="70">
        <v>1</v>
      </c>
      <c r="J145" s="67" t="s">
        <v>546</v>
      </c>
      <c r="K145" s="67" t="s">
        <v>547</v>
      </c>
      <c r="L145" s="67" t="s">
        <v>536</v>
      </c>
      <c r="M145" s="67" t="s">
        <v>238</v>
      </c>
      <c r="N145" s="67" t="s">
        <v>1387</v>
      </c>
      <c r="O145" s="67"/>
      <c r="P145" s="67" t="s">
        <v>19</v>
      </c>
      <c r="Q145" s="69">
        <v>7160</v>
      </c>
      <c r="R145" s="4">
        <f t="shared" si="7"/>
        <v>2800</v>
      </c>
      <c r="S145" s="4">
        <f t="shared" si="8"/>
        <v>2070</v>
      </c>
    </row>
    <row r="146" spans="1:19" ht="17.100000000000001" customHeight="1" x14ac:dyDescent="0.2">
      <c r="A146" s="23"/>
      <c r="B146" s="3" t="str">
        <f ca="1">IF(A146="В заказ",MAX($B$9:OFFSET(B146,-1,0))+1,"")</f>
        <v/>
      </c>
      <c r="C146" s="6" t="str">
        <f t="shared" si="6"/>
        <v>ЛДСП 08 H1346 ST32 .</v>
      </c>
      <c r="D146" s="67" t="s">
        <v>1372</v>
      </c>
      <c r="E146" s="67" t="s">
        <v>34</v>
      </c>
      <c r="F146" s="67" t="s">
        <v>1520</v>
      </c>
      <c r="G146" s="68">
        <v>22212</v>
      </c>
      <c r="H146" s="67" t="s">
        <v>35</v>
      </c>
      <c r="I146" s="70">
        <v>1</v>
      </c>
      <c r="J146" s="67" t="s">
        <v>555</v>
      </c>
      <c r="K146" s="67" t="s">
        <v>556</v>
      </c>
      <c r="L146" s="67" t="s">
        <v>536</v>
      </c>
      <c r="M146" s="67" t="s">
        <v>238</v>
      </c>
      <c r="N146" s="67" t="s">
        <v>1382</v>
      </c>
      <c r="O146" s="67"/>
      <c r="P146" s="67" t="s">
        <v>19</v>
      </c>
      <c r="Q146" s="69">
        <v>5505</v>
      </c>
      <c r="R146" s="4">
        <f t="shared" si="7"/>
        <v>2800</v>
      </c>
      <c r="S146" s="4">
        <f t="shared" si="8"/>
        <v>2070</v>
      </c>
    </row>
    <row r="147" spans="1:19" ht="17.100000000000001" customHeight="1" x14ac:dyDescent="0.2">
      <c r="A147" s="23"/>
      <c r="B147" s="3" t="str">
        <f ca="1">IF(A147="В заказ",MAX($B$9:OFFSET(B147,-1,0))+1,"")</f>
        <v/>
      </c>
      <c r="C147" s="6" t="str">
        <f t="shared" si="6"/>
        <v>ЛДСП 16 H1346 ST32 .</v>
      </c>
      <c r="D147" s="67" t="s">
        <v>1372</v>
      </c>
      <c r="E147" s="67" t="s">
        <v>34</v>
      </c>
      <c r="F147" s="67" t="s">
        <v>1521</v>
      </c>
      <c r="G147" s="68">
        <v>21620</v>
      </c>
      <c r="H147" s="67" t="s">
        <v>35</v>
      </c>
      <c r="I147" s="70">
        <v>1</v>
      </c>
      <c r="J147" s="67" t="s">
        <v>555</v>
      </c>
      <c r="K147" s="67" t="s">
        <v>556</v>
      </c>
      <c r="L147" s="67" t="s">
        <v>536</v>
      </c>
      <c r="M147" s="67" t="s">
        <v>238</v>
      </c>
      <c r="N147" s="67" t="s">
        <v>235</v>
      </c>
      <c r="O147" s="67"/>
      <c r="P147" s="67" t="s">
        <v>19</v>
      </c>
      <c r="Q147" s="69">
        <v>5580</v>
      </c>
      <c r="R147" s="4">
        <f t="shared" si="7"/>
        <v>2800</v>
      </c>
      <c r="S147" s="4">
        <f t="shared" si="8"/>
        <v>2070</v>
      </c>
    </row>
    <row r="148" spans="1:19" ht="17.100000000000001" customHeight="1" x14ac:dyDescent="0.2">
      <c r="A148" s="23"/>
      <c r="B148" s="3" t="str">
        <f ca="1">IF(A148="В заказ",MAX($B$9:OFFSET(B148,-1,0))+1,"")</f>
        <v/>
      </c>
      <c r="C148" s="6" t="str">
        <f t="shared" si="6"/>
        <v>ЛДСП 25 H1346 ST32 .</v>
      </c>
      <c r="D148" s="67" t="s">
        <v>1372</v>
      </c>
      <c r="E148" s="67" t="s">
        <v>34</v>
      </c>
      <c r="F148" s="67" t="s">
        <v>1522</v>
      </c>
      <c r="G148" s="68">
        <v>22213</v>
      </c>
      <c r="H148" s="67" t="s">
        <v>35</v>
      </c>
      <c r="I148" s="70">
        <v>1</v>
      </c>
      <c r="J148" s="67" t="s">
        <v>555</v>
      </c>
      <c r="K148" s="67" t="s">
        <v>556</v>
      </c>
      <c r="L148" s="67" t="s">
        <v>536</v>
      </c>
      <c r="M148" s="67" t="s">
        <v>238</v>
      </c>
      <c r="N148" s="67" t="s">
        <v>1387</v>
      </c>
      <c r="O148" s="67"/>
      <c r="P148" s="67" t="s">
        <v>19</v>
      </c>
      <c r="Q148" s="69">
        <v>7160</v>
      </c>
      <c r="R148" s="4">
        <f t="shared" si="7"/>
        <v>2800</v>
      </c>
      <c r="S148" s="4">
        <f t="shared" si="8"/>
        <v>2070</v>
      </c>
    </row>
    <row r="149" spans="1:19" ht="17.100000000000001" customHeight="1" x14ac:dyDescent="0.2">
      <c r="A149" s="23"/>
      <c r="B149" s="3" t="str">
        <f ca="1">IF(A149="В заказ",MAX($B$9:OFFSET(B149,-1,0))+1,"")</f>
        <v/>
      </c>
      <c r="C149" s="6" t="str">
        <f t="shared" si="6"/>
        <v>ЛДСП 08 H1387 ST10 .</v>
      </c>
      <c r="D149" s="67" t="s">
        <v>1372</v>
      </c>
      <c r="E149" s="67" t="s">
        <v>34</v>
      </c>
      <c r="F149" s="67" t="s">
        <v>1523</v>
      </c>
      <c r="G149" s="68">
        <v>16640</v>
      </c>
      <c r="H149" s="67" t="s">
        <v>35</v>
      </c>
      <c r="I149" s="70">
        <v>1</v>
      </c>
      <c r="J149" s="67" t="s">
        <v>69</v>
      </c>
      <c r="K149" s="67" t="s">
        <v>70</v>
      </c>
      <c r="L149" s="67" t="s">
        <v>38</v>
      </c>
      <c r="M149" s="67" t="s">
        <v>238</v>
      </c>
      <c r="N149" s="67" t="s">
        <v>1382</v>
      </c>
      <c r="O149" s="67"/>
      <c r="P149" s="67" t="s">
        <v>19</v>
      </c>
      <c r="Q149" s="69">
        <v>3745</v>
      </c>
      <c r="R149" s="4">
        <f t="shared" si="7"/>
        <v>2800</v>
      </c>
      <c r="S149" s="4">
        <f t="shared" si="8"/>
        <v>2070</v>
      </c>
    </row>
    <row r="150" spans="1:19" ht="17.100000000000001" customHeight="1" x14ac:dyDescent="0.2">
      <c r="A150" s="23"/>
      <c r="B150" s="3" t="str">
        <f ca="1">IF(A150="В заказ",MAX($B$9:OFFSET(B150,-1,0))+1,"")</f>
        <v/>
      </c>
      <c r="C150" s="6" t="str">
        <f t="shared" si="6"/>
        <v>ЛДСП 16 H1387 ST10 .</v>
      </c>
      <c r="D150" s="67" t="s">
        <v>1372</v>
      </c>
      <c r="E150" s="67" t="s">
        <v>34</v>
      </c>
      <c r="F150" s="67" t="s">
        <v>1524</v>
      </c>
      <c r="G150" s="68">
        <v>15341</v>
      </c>
      <c r="H150" s="67" t="s">
        <v>35</v>
      </c>
      <c r="I150" s="70">
        <v>1</v>
      </c>
      <c r="J150" s="67" t="s">
        <v>69</v>
      </c>
      <c r="K150" s="67" t="s">
        <v>70</v>
      </c>
      <c r="L150" s="67" t="s">
        <v>38</v>
      </c>
      <c r="M150" s="67" t="s">
        <v>238</v>
      </c>
      <c r="N150" s="67" t="s">
        <v>235</v>
      </c>
      <c r="O150" s="67"/>
      <c r="P150" s="67" t="s">
        <v>19</v>
      </c>
      <c r="Q150" s="69">
        <v>3830</v>
      </c>
      <c r="R150" s="4">
        <f t="shared" si="7"/>
        <v>2800</v>
      </c>
      <c r="S150" s="4">
        <f t="shared" si="8"/>
        <v>2070</v>
      </c>
    </row>
    <row r="151" spans="1:19" ht="17.100000000000001" customHeight="1" x14ac:dyDescent="0.2">
      <c r="A151" s="23"/>
      <c r="B151" s="3" t="str">
        <f ca="1">IF(A151="В заказ",MAX($B$9:OFFSET(B151,-1,0))+1,"")</f>
        <v/>
      </c>
      <c r="C151" s="6" t="str">
        <f t="shared" si="6"/>
        <v>ЛДСП 25 H1387 ST10 .</v>
      </c>
      <c r="D151" s="67" t="s">
        <v>1372</v>
      </c>
      <c r="E151" s="67" t="s">
        <v>34</v>
      </c>
      <c r="F151" s="67" t="s">
        <v>1525</v>
      </c>
      <c r="G151" s="68">
        <v>16177</v>
      </c>
      <c r="H151" s="67" t="s">
        <v>35</v>
      </c>
      <c r="I151" s="70">
        <v>1</v>
      </c>
      <c r="J151" s="67" t="s">
        <v>69</v>
      </c>
      <c r="K151" s="67" t="s">
        <v>70</v>
      </c>
      <c r="L151" s="67" t="s">
        <v>38</v>
      </c>
      <c r="M151" s="67" t="s">
        <v>238</v>
      </c>
      <c r="N151" s="67" t="s">
        <v>1387</v>
      </c>
      <c r="O151" s="67"/>
      <c r="P151" s="67" t="s">
        <v>19</v>
      </c>
      <c r="Q151" s="69">
        <v>5350</v>
      </c>
      <c r="R151" s="4">
        <f t="shared" si="7"/>
        <v>2800</v>
      </c>
      <c r="S151" s="4">
        <f t="shared" si="8"/>
        <v>2070</v>
      </c>
    </row>
    <row r="152" spans="1:19" ht="17.100000000000001" customHeight="1" x14ac:dyDescent="0.2">
      <c r="A152" s="23"/>
      <c r="B152" s="3" t="str">
        <f ca="1">IF(A152="В заказ",MAX($B$9:OFFSET(B152,-1,0))+1,"")</f>
        <v/>
      </c>
      <c r="C152" s="6" t="str">
        <f t="shared" si="6"/>
        <v>ЛДСП 08 H1399 ST10 .</v>
      </c>
      <c r="D152" s="67" t="s">
        <v>1372</v>
      </c>
      <c r="E152" s="67" t="s">
        <v>34</v>
      </c>
      <c r="F152" s="67" t="s">
        <v>1526</v>
      </c>
      <c r="G152" s="68">
        <v>16641</v>
      </c>
      <c r="H152" s="67" t="s">
        <v>35</v>
      </c>
      <c r="I152" s="70">
        <v>1</v>
      </c>
      <c r="J152" s="67" t="s">
        <v>71</v>
      </c>
      <c r="K152" s="67" t="s">
        <v>72</v>
      </c>
      <c r="L152" s="67" t="s">
        <v>38</v>
      </c>
      <c r="M152" s="67" t="s">
        <v>238</v>
      </c>
      <c r="N152" s="67" t="s">
        <v>1382</v>
      </c>
      <c r="O152" s="67"/>
      <c r="P152" s="67" t="s">
        <v>19</v>
      </c>
      <c r="Q152" s="69">
        <v>3545</v>
      </c>
      <c r="R152" s="4">
        <f t="shared" si="7"/>
        <v>2800</v>
      </c>
      <c r="S152" s="4">
        <f t="shared" si="8"/>
        <v>2070</v>
      </c>
    </row>
    <row r="153" spans="1:19" ht="17.100000000000001" customHeight="1" x14ac:dyDescent="0.2">
      <c r="A153" s="23"/>
      <c r="B153" s="3" t="str">
        <f ca="1">IF(A153="В заказ",MAX($B$9:OFFSET(B153,-1,0))+1,"")</f>
        <v/>
      </c>
      <c r="C153" s="6" t="str">
        <f t="shared" si="6"/>
        <v>ЛДСП 16 H1399 ST10 .</v>
      </c>
      <c r="D153" s="67" t="s">
        <v>1372</v>
      </c>
      <c r="E153" s="67" t="s">
        <v>34</v>
      </c>
      <c r="F153" s="67" t="s">
        <v>1527</v>
      </c>
      <c r="G153" s="68">
        <v>13473</v>
      </c>
      <c r="H153" s="67" t="s">
        <v>35</v>
      </c>
      <c r="I153" s="70">
        <v>1</v>
      </c>
      <c r="J153" s="67" t="s">
        <v>71</v>
      </c>
      <c r="K153" s="67" t="s">
        <v>72</v>
      </c>
      <c r="L153" s="67" t="s">
        <v>38</v>
      </c>
      <c r="M153" s="67" t="s">
        <v>238</v>
      </c>
      <c r="N153" s="67" t="s">
        <v>235</v>
      </c>
      <c r="O153" s="67"/>
      <c r="P153" s="67" t="s">
        <v>19</v>
      </c>
      <c r="Q153" s="69">
        <v>3630</v>
      </c>
      <c r="R153" s="4">
        <f t="shared" si="7"/>
        <v>2800</v>
      </c>
      <c r="S153" s="4">
        <f t="shared" si="8"/>
        <v>2070</v>
      </c>
    </row>
    <row r="154" spans="1:19" ht="17.100000000000001" customHeight="1" x14ac:dyDescent="0.2">
      <c r="A154" s="23"/>
      <c r="B154" s="3" t="str">
        <f ca="1">IF(A154="В заказ",MAX($B$9:OFFSET(B154,-1,0))+1,"")</f>
        <v/>
      </c>
      <c r="C154" s="6" t="str">
        <f t="shared" si="6"/>
        <v>ЛДСП 18 H1399 ST10 .</v>
      </c>
      <c r="D154" s="67" t="s">
        <v>1372</v>
      </c>
      <c r="E154" s="67" t="s">
        <v>34</v>
      </c>
      <c r="F154" s="67" t="s">
        <v>1528</v>
      </c>
      <c r="G154" s="68">
        <v>24807</v>
      </c>
      <c r="H154" s="67" t="s">
        <v>35</v>
      </c>
      <c r="I154" s="70">
        <v>1</v>
      </c>
      <c r="J154" s="67" t="s">
        <v>71</v>
      </c>
      <c r="K154" s="67" t="s">
        <v>72</v>
      </c>
      <c r="L154" s="67" t="s">
        <v>38</v>
      </c>
      <c r="M154" s="67" t="s">
        <v>238</v>
      </c>
      <c r="N154" s="67" t="s">
        <v>1385</v>
      </c>
      <c r="O154" s="67"/>
      <c r="P154" s="67" t="s">
        <v>19</v>
      </c>
      <c r="Q154" s="69">
        <v>3910</v>
      </c>
      <c r="R154" s="4">
        <f t="shared" si="7"/>
        <v>2800</v>
      </c>
      <c r="S154" s="4">
        <f t="shared" si="8"/>
        <v>2070</v>
      </c>
    </row>
    <row r="155" spans="1:19" ht="17.100000000000001" customHeight="1" x14ac:dyDescent="0.2">
      <c r="A155" s="23"/>
      <c r="B155" s="3" t="str">
        <f ca="1">IF(A155="В заказ",MAX($B$9:OFFSET(B155,-1,0))+1,"")</f>
        <v/>
      </c>
      <c r="C155" s="6" t="str">
        <f t="shared" si="6"/>
        <v>ЛДСП 25 H1399 ST10 .</v>
      </c>
      <c r="D155" s="67" t="s">
        <v>1372</v>
      </c>
      <c r="E155" s="67" t="s">
        <v>34</v>
      </c>
      <c r="F155" s="67" t="s">
        <v>1529</v>
      </c>
      <c r="G155" s="68">
        <v>16467</v>
      </c>
      <c r="H155" s="67" t="s">
        <v>35</v>
      </c>
      <c r="I155" s="70">
        <v>1</v>
      </c>
      <c r="J155" s="67" t="s">
        <v>71</v>
      </c>
      <c r="K155" s="67" t="s">
        <v>72</v>
      </c>
      <c r="L155" s="67" t="s">
        <v>38</v>
      </c>
      <c r="M155" s="67" t="s">
        <v>238</v>
      </c>
      <c r="N155" s="67" t="s">
        <v>1387</v>
      </c>
      <c r="O155" s="67"/>
      <c r="P155" s="67" t="s">
        <v>19</v>
      </c>
      <c r="Q155" s="69">
        <v>5175</v>
      </c>
      <c r="R155" s="4">
        <f t="shared" si="7"/>
        <v>2800</v>
      </c>
      <c r="S155" s="4">
        <f t="shared" si="8"/>
        <v>2070</v>
      </c>
    </row>
    <row r="156" spans="1:19" ht="17.100000000000001" customHeight="1" x14ac:dyDescent="0.2">
      <c r="A156" s="23"/>
      <c r="B156" s="3" t="str">
        <f ca="1">IF(A156="В заказ",MAX($B$9:OFFSET(B156,-1,0))+1,"")</f>
        <v/>
      </c>
      <c r="C156" s="6" t="str">
        <f t="shared" si="6"/>
        <v>ЛДСП 16 H1400 ST36 .</v>
      </c>
      <c r="D156" s="67" t="s">
        <v>1372</v>
      </c>
      <c r="E156" s="67" t="s">
        <v>34</v>
      </c>
      <c r="F156" s="67" t="s">
        <v>1530</v>
      </c>
      <c r="G156" s="68">
        <v>13649</v>
      </c>
      <c r="H156" s="67" t="s">
        <v>35</v>
      </c>
      <c r="I156" s="70">
        <v>1</v>
      </c>
      <c r="J156" s="67" t="s">
        <v>73</v>
      </c>
      <c r="K156" s="67" t="s">
        <v>74</v>
      </c>
      <c r="L156" s="67" t="s">
        <v>64</v>
      </c>
      <c r="M156" s="67" t="s">
        <v>238</v>
      </c>
      <c r="N156" s="67" t="s">
        <v>235</v>
      </c>
      <c r="O156" s="67"/>
      <c r="P156" s="67" t="s">
        <v>19</v>
      </c>
      <c r="Q156" s="69">
        <v>5230</v>
      </c>
      <c r="R156" s="4">
        <f t="shared" si="7"/>
        <v>2800</v>
      </c>
      <c r="S156" s="4">
        <f t="shared" si="8"/>
        <v>2070</v>
      </c>
    </row>
    <row r="157" spans="1:19" ht="17.100000000000001" customHeight="1" x14ac:dyDescent="0.2">
      <c r="A157" s="23"/>
      <c r="B157" s="3" t="str">
        <f ca="1">IF(A157="В заказ",MAX($B$9:OFFSET(B157,-1,0))+1,"")</f>
        <v/>
      </c>
      <c r="C157" s="6" t="str">
        <f t="shared" si="6"/>
        <v>ЛДСП 08 H1424 ST22 .</v>
      </c>
      <c r="D157" s="67" t="s">
        <v>1372</v>
      </c>
      <c r="E157" s="67" t="s">
        <v>34</v>
      </c>
      <c r="F157" s="67" t="s">
        <v>1531</v>
      </c>
      <c r="G157" s="70">
        <v>572</v>
      </c>
      <c r="H157" s="67" t="s">
        <v>35</v>
      </c>
      <c r="I157" s="70">
        <v>1</v>
      </c>
      <c r="J157" s="67" t="s">
        <v>77</v>
      </c>
      <c r="K157" s="67" t="s">
        <v>78</v>
      </c>
      <c r="L157" s="67" t="s">
        <v>44</v>
      </c>
      <c r="M157" s="67" t="s">
        <v>238</v>
      </c>
      <c r="N157" s="67" t="s">
        <v>1382</v>
      </c>
      <c r="O157" s="67"/>
      <c r="P157" s="67" t="s">
        <v>19</v>
      </c>
      <c r="Q157" s="69">
        <v>3445</v>
      </c>
      <c r="R157" s="4">
        <f t="shared" si="7"/>
        <v>2800</v>
      </c>
      <c r="S157" s="4">
        <f t="shared" si="8"/>
        <v>2070</v>
      </c>
    </row>
    <row r="158" spans="1:19" ht="17.100000000000001" customHeight="1" x14ac:dyDescent="0.2">
      <c r="A158" s="23"/>
      <c r="B158" s="3" t="str">
        <f ca="1">IF(A158="В заказ",MAX($B$9:OFFSET(B158,-1,0))+1,"")</f>
        <v/>
      </c>
      <c r="C158" s="6" t="str">
        <f t="shared" si="6"/>
        <v>ЛДСП 16 H1424 ST22 .</v>
      </c>
      <c r="D158" s="67" t="s">
        <v>1372</v>
      </c>
      <c r="E158" s="67" t="s">
        <v>34</v>
      </c>
      <c r="F158" s="67" t="s">
        <v>1532</v>
      </c>
      <c r="G158" s="70">
        <v>376</v>
      </c>
      <c r="H158" s="67" t="s">
        <v>35</v>
      </c>
      <c r="I158" s="70">
        <v>1</v>
      </c>
      <c r="J158" s="67" t="s">
        <v>77</v>
      </c>
      <c r="K158" s="67" t="s">
        <v>78</v>
      </c>
      <c r="L158" s="67" t="s">
        <v>44</v>
      </c>
      <c r="M158" s="67" t="s">
        <v>238</v>
      </c>
      <c r="N158" s="67" t="s">
        <v>235</v>
      </c>
      <c r="O158" s="67"/>
      <c r="P158" s="67" t="s">
        <v>19</v>
      </c>
      <c r="Q158" s="69">
        <v>3520</v>
      </c>
      <c r="R158" s="4">
        <f t="shared" si="7"/>
        <v>2800</v>
      </c>
      <c r="S158" s="4">
        <f t="shared" si="8"/>
        <v>2070</v>
      </c>
    </row>
    <row r="159" spans="1:19" ht="17.100000000000001" customHeight="1" x14ac:dyDescent="0.2">
      <c r="A159" s="23"/>
      <c r="B159" s="3" t="str">
        <f ca="1">IF(A159="В заказ",MAX($B$9:OFFSET(B159,-1,0))+1,"")</f>
        <v/>
      </c>
      <c r="C159" s="6" t="str">
        <f t="shared" si="6"/>
        <v>ЛДСП 18 H1424 ST22 .</v>
      </c>
      <c r="D159" s="67" t="s">
        <v>1372</v>
      </c>
      <c r="E159" s="67" t="s">
        <v>34</v>
      </c>
      <c r="F159" s="67" t="s">
        <v>1533</v>
      </c>
      <c r="G159" s="68">
        <v>24483</v>
      </c>
      <c r="H159" s="67" t="s">
        <v>35</v>
      </c>
      <c r="I159" s="70">
        <v>1</v>
      </c>
      <c r="J159" s="67" t="s">
        <v>77</v>
      </c>
      <c r="K159" s="67" t="s">
        <v>78</v>
      </c>
      <c r="L159" s="67" t="s">
        <v>44</v>
      </c>
      <c r="M159" s="67" t="s">
        <v>238</v>
      </c>
      <c r="N159" s="67" t="s">
        <v>1385</v>
      </c>
      <c r="O159" s="67"/>
      <c r="P159" s="67" t="s">
        <v>19</v>
      </c>
      <c r="Q159" s="69">
        <v>3820</v>
      </c>
      <c r="R159" s="4">
        <f t="shared" si="7"/>
        <v>2800</v>
      </c>
      <c r="S159" s="4">
        <f t="shared" si="8"/>
        <v>2070</v>
      </c>
    </row>
    <row r="160" spans="1:19" ht="17.100000000000001" customHeight="1" x14ac:dyDescent="0.2">
      <c r="A160" s="23"/>
      <c r="B160" s="3" t="str">
        <f ca="1">IF(A160="В заказ",MAX($B$9:OFFSET(B160,-1,0))+1,"")</f>
        <v/>
      </c>
      <c r="C160" s="6" t="str">
        <f t="shared" si="6"/>
        <v>ЛДСП 25 H1424 ST22 .</v>
      </c>
      <c r="D160" s="67" t="s">
        <v>1372</v>
      </c>
      <c r="E160" s="67" t="s">
        <v>34</v>
      </c>
      <c r="F160" s="67" t="s">
        <v>1534</v>
      </c>
      <c r="G160" s="70">
        <v>349</v>
      </c>
      <c r="H160" s="67" t="s">
        <v>35</v>
      </c>
      <c r="I160" s="70">
        <v>1</v>
      </c>
      <c r="J160" s="67" t="s">
        <v>77</v>
      </c>
      <c r="K160" s="67" t="s">
        <v>78</v>
      </c>
      <c r="L160" s="67" t="s">
        <v>44</v>
      </c>
      <c r="M160" s="67" t="s">
        <v>238</v>
      </c>
      <c r="N160" s="67" t="s">
        <v>1387</v>
      </c>
      <c r="O160" s="67"/>
      <c r="P160" s="67" t="s">
        <v>19</v>
      </c>
      <c r="Q160" s="69">
        <v>5075</v>
      </c>
      <c r="R160" s="4">
        <f t="shared" si="7"/>
        <v>2800</v>
      </c>
      <c r="S160" s="4">
        <f t="shared" si="8"/>
        <v>2070</v>
      </c>
    </row>
    <row r="161" spans="1:19" ht="17.100000000000001" customHeight="1" x14ac:dyDescent="0.2">
      <c r="A161" s="23"/>
      <c r="B161" s="3" t="str">
        <f ca="1">IF(A161="В заказ",MAX($B$9:OFFSET(B161,-1,0))+1,"")</f>
        <v/>
      </c>
      <c r="C161" s="6" t="str">
        <f t="shared" si="6"/>
        <v>ЛДСП 08 H1486 ST36 .</v>
      </c>
      <c r="D161" s="67" t="s">
        <v>1372</v>
      </c>
      <c r="E161" s="67" t="s">
        <v>34</v>
      </c>
      <c r="F161" s="67" t="s">
        <v>1535</v>
      </c>
      <c r="G161" s="68">
        <v>16644</v>
      </c>
      <c r="H161" s="67" t="s">
        <v>35</v>
      </c>
      <c r="I161" s="70">
        <v>1</v>
      </c>
      <c r="J161" s="67" t="s">
        <v>79</v>
      </c>
      <c r="K161" s="67" t="s">
        <v>80</v>
      </c>
      <c r="L161" s="67" t="s">
        <v>64</v>
      </c>
      <c r="M161" s="67" t="s">
        <v>238</v>
      </c>
      <c r="N161" s="67" t="s">
        <v>1382</v>
      </c>
      <c r="O161" s="67"/>
      <c r="P161" s="67" t="s">
        <v>19</v>
      </c>
      <c r="Q161" s="69">
        <v>5150</v>
      </c>
      <c r="R161" s="4">
        <f t="shared" si="7"/>
        <v>2800</v>
      </c>
      <c r="S161" s="4">
        <f t="shared" si="8"/>
        <v>2070</v>
      </c>
    </row>
    <row r="162" spans="1:19" ht="17.100000000000001" customHeight="1" x14ac:dyDescent="0.2">
      <c r="A162" s="23"/>
      <c r="B162" s="3" t="str">
        <f ca="1">IF(A162="В заказ",MAX($B$9:OFFSET(B162,-1,0))+1,"")</f>
        <v/>
      </c>
      <c r="C162" s="6" t="str">
        <f t="shared" si="6"/>
        <v>ЛДСП 16 H1486 ST36 .</v>
      </c>
      <c r="D162" s="67" t="s">
        <v>1372</v>
      </c>
      <c r="E162" s="67" t="s">
        <v>34</v>
      </c>
      <c r="F162" s="67" t="s">
        <v>1536</v>
      </c>
      <c r="G162" s="68">
        <v>8530</v>
      </c>
      <c r="H162" s="67" t="s">
        <v>35</v>
      </c>
      <c r="I162" s="70">
        <v>1</v>
      </c>
      <c r="J162" s="67" t="s">
        <v>79</v>
      </c>
      <c r="K162" s="67" t="s">
        <v>80</v>
      </c>
      <c r="L162" s="67" t="s">
        <v>64</v>
      </c>
      <c r="M162" s="67" t="s">
        <v>238</v>
      </c>
      <c r="N162" s="67" t="s">
        <v>235</v>
      </c>
      <c r="O162" s="67"/>
      <c r="P162" s="67" t="s">
        <v>19</v>
      </c>
      <c r="Q162" s="69">
        <v>5230</v>
      </c>
      <c r="R162" s="4">
        <f t="shared" si="7"/>
        <v>2800</v>
      </c>
      <c r="S162" s="4">
        <f t="shared" si="8"/>
        <v>2070</v>
      </c>
    </row>
    <row r="163" spans="1:19" ht="17.100000000000001" customHeight="1" x14ac:dyDescent="0.2">
      <c r="A163" s="23"/>
      <c r="B163" s="3" t="str">
        <f ca="1">IF(A163="В заказ",MAX($B$9:OFFSET(B163,-1,0))+1,"")</f>
        <v/>
      </c>
      <c r="C163" s="6" t="str">
        <f t="shared" si="6"/>
        <v>ЛДСП 18 H1486 ST36 .</v>
      </c>
      <c r="D163" s="67" t="s">
        <v>1372</v>
      </c>
      <c r="E163" s="67" t="s">
        <v>34</v>
      </c>
      <c r="F163" s="67" t="s">
        <v>1537</v>
      </c>
      <c r="G163" s="68">
        <v>16215</v>
      </c>
      <c r="H163" s="67" t="s">
        <v>35</v>
      </c>
      <c r="I163" s="70">
        <v>1</v>
      </c>
      <c r="J163" s="67" t="s">
        <v>79</v>
      </c>
      <c r="K163" s="67" t="s">
        <v>80</v>
      </c>
      <c r="L163" s="67" t="s">
        <v>64</v>
      </c>
      <c r="M163" s="67" t="s">
        <v>238</v>
      </c>
      <c r="N163" s="67" t="s">
        <v>1385</v>
      </c>
      <c r="O163" s="67"/>
      <c r="P163" s="67" t="s">
        <v>19</v>
      </c>
      <c r="Q163" s="69">
        <v>5505</v>
      </c>
      <c r="R163" s="4">
        <f t="shared" si="7"/>
        <v>2800</v>
      </c>
      <c r="S163" s="4">
        <f t="shared" si="8"/>
        <v>2070</v>
      </c>
    </row>
    <row r="164" spans="1:19" ht="17.100000000000001" customHeight="1" x14ac:dyDescent="0.2">
      <c r="A164" s="23"/>
      <c r="B164" s="3" t="str">
        <f ca="1">IF(A164="В заказ",MAX($B$9:OFFSET(B164,-1,0))+1,"")</f>
        <v/>
      </c>
      <c r="C164" s="6" t="str">
        <f t="shared" si="6"/>
        <v>ЛДСП 25 H1486 ST36 .</v>
      </c>
      <c r="D164" s="67" t="s">
        <v>1372</v>
      </c>
      <c r="E164" s="67" t="s">
        <v>34</v>
      </c>
      <c r="F164" s="67" t="s">
        <v>1538</v>
      </c>
      <c r="G164" s="68">
        <v>10554</v>
      </c>
      <c r="H164" s="67" t="s">
        <v>35</v>
      </c>
      <c r="I164" s="70">
        <v>1</v>
      </c>
      <c r="J164" s="67" t="s">
        <v>79</v>
      </c>
      <c r="K164" s="67" t="s">
        <v>80</v>
      </c>
      <c r="L164" s="67" t="s">
        <v>64</v>
      </c>
      <c r="M164" s="67" t="s">
        <v>238</v>
      </c>
      <c r="N164" s="67" t="s">
        <v>1387</v>
      </c>
      <c r="O164" s="67"/>
      <c r="P164" s="67" t="s">
        <v>19</v>
      </c>
      <c r="Q164" s="69">
        <v>6785</v>
      </c>
      <c r="R164" s="4">
        <f t="shared" si="7"/>
        <v>2800</v>
      </c>
      <c r="S164" s="4">
        <f t="shared" si="8"/>
        <v>2070</v>
      </c>
    </row>
    <row r="165" spans="1:19" ht="17.100000000000001" customHeight="1" x14ac:dyDescent="0.2">
      <c r="A165" s="23"/>
      <c r="B165" s="3" t="str">
        <f ca="1">IF(A165="В заказ",MAX($B$9:OFFSET(B165,-1,0))+1,"")</f>
        <v/>
      </c>
      <c r="C165" s="6" t="str">
        <f t="shared" si="6"/>
        <v>ЛДСП 08 H1487 ST22 .</v>
      </c>
      <c r="D165" s="67" t="s">
        <v>1372</v>
      </c>
      <c r="E165" s="67" t="s">
        <v>34</v>
      </c>
      <c r="F165" s="67" t="s">
        <v>1539</v>
      </c>
      <c r="G165" s="68">
        <v>5988</v>
      </c>
      <c r="H165" s="67" t="s">
        <v>35</v>
      </c>
      <c r="I165" s="70">
        <v>1</v>
      </c>
      <c r="J165" s="67" t="s">
        <v>81</v>
      </c>
      <c r="K165" s="67" t="s">
        <v>82</v>
      </c>
      <c r="L165" s="67" t="s">
        <v>44</v>
      </c>
      <c r="M165" s="67" t="s">
        <v>238</v>
      </c>
      <c r="N165" s="67" t="s">
        <v>1382</v>
      </c>
      <c r="O165" s="67"/>
      <c r="P165" s="67" t="s">
        <v>19</v>
      </c>
      <c r="Q165" s="69">
        <v>3545</v>
      </c>
      <c r="R165" s="4">
        <f t="shared" si="7"/>
        <v>2800</v>
      </c>
      <c r="S165" s="4">
        <f t="shared" si="8"/>
        <v>2070</v>
      </c>
    </row>
    <row r="166" spans="1:19" ht="17.100000000000001" customHeight="1" x14ac:dyDescent="0.2">
      <c r="A166" s="23"/>
      <c r="B166" s="3" t="str">
        <f ca="1">IF(A166="В заказ",MAX($B$9:OFFSET(B166,-1,0))+1,"")</f>
        <v/>
      </c>
      <c r="C166" s="6" t="str">
        <f t="shared" si="6"/>
        <v>ЛДСП 16 H1487 ST22 .</v>
      </c>
      <c r="D166" s="67" t="s">
        <v>1372</v>
      </c>
      <c r="E166" s="67" t="s">
        <v>34</v>
      </c>
      <c r="F166" s="67" t="s">
        <v>1540</v>
      </c>
      <c r="G166" s="68">
        <v>5986</v>
      </c>
      <c r="H166" s="67" t="s">
        <v>35</v>
      </c>
      <c r="I166" s="70">
        <v>1</v>
      </c>
      <c r="J166" s="67" t="s">
        <v>81</v>
      </c>
      <c r="K166" s="67" t="s">
        <v>82</v>
      </c>
      <c r="L166" s="67" t="s">
        <v>44</v>
      </c>
      <c r="M166" s="67" t="s">
        <v>238</v>
      </c>
      <c r="N166" s="67" t="s">
        <v>235</v>
      </c>
      <c r="O166" s="67"/>
      <c r="P166" s="67" t="s">
        <v>19</v>
      </c>
      <c r="Q166" s="69">
        <v>3630</v>
      </c>
      <c r="R166" s="4">
        <f t="shared" si="7"/>
        <v>2800</v>
      </c>
      <c r="S166" s="4">
        <f t="shared" si="8"/>
        <v>2070</v>
      </c>
    </row>
    <row r="167" spans="1:19" ht="17.100000000000001" customHeight="1" x14ac:dyDescent="0.2">
      <c r="A167" s="23"/>
      <c r="B167" s="3" t="str">
        <f ca="1">IF(A167="В заказ",MAX($B$9:OFFSET(B167,-1,0))+1,"")</f>
        <v/>
      </c>
      <c r="C167" s="6" t="str">
        <f t="shared" si="6"/>
        <v>ЛДСП 25 H1487 ST22 .</v>
      </c>
      <c r="D167" s="67" t="s">
        <v>1372</v>
      </c>
      <c r="E167" s="67" t="s">
        <v>34</v>
      </c>
      <c r="F167" s="67" t="s">
        <v>1541</v>
      </c>
      <c r="G167" s="68">
        <v>5987</v>
      </c>
      <c r="H167" s="67" t="s">
        <v>35</v>
      </c>
      <c r="I167" s="70">
        <v>1</v>
      </c>
      <c r="J167" s="67" t="s">
        <v>81</v>
      </c>
      <c r="K167" s="67" t="s">
        <v>82</v>
      </c>
      <c r="L167" s="67" t="s">
        <v>44</v>
      </c>
      <c r="M167" s="67" t="s">
        <v>238</v>
      </c>
      <c r="N167" s="67" t="s">
        <v>1387</v>
      </c>
      <c r="O167" s="67"/>
      <c r="P167" s="67" t="s">
        <v>19</v>
      </c>
      <c r="Q167" s="69">
        <v>5175</v>
      </c>
      <c r="R167" s="4">
        <f t="shared" si="7"/>
        <v>2800</v>
      </c>
      <c r="S167" s="4">
        <f t="shared" si="8"/>
        <v>2070</v>
      </c>
    </row>
    <row r="168" spans="1:19" ht="17.100000000000001" customHeight="1" x14ac:dyDescent="0.2">
      <c r="A168" s="23"/>
      <c r="B168" s="3" t="str">
        <f ca="1">IF(A168="В заказ",MAX($B$9:OFFSET(B168,-1,0))+1,"")</f>
        <v/>
      </c>
      <c r="C168" s="6" t="str">
        <f t="shared" si="6"/>
        <v>ЛДСП 08 H1582 ST15 .</v>
      </c>
      <c r="D168" s="67" t="s">
        <v>1372</v>
      </c>
      <c r="E168" s="67" t="s">
        <v>34</v>
      </c>
      <c r="F168" s="67" t="s">
        <v>1542</v>
      </c>
      <c r="G168" s="68">
        <v>1786</v>
      </c>
      <c r="H168" s="67" t="s">
        <v>35</v>
      </c>
      <c r="I168" s="70">
        <v>1</v>
      </c>
      <c r="J168" s="67" t="s">
        <v>86</v>
      </c>
      <c r="K168" s="67" t="s">
        <v>87</v>
      </c>
      <c r="L168" s="67" t="s">
        <v>85</v>
      </c>
      <c r="M168" s="67" t="s">
        <v>238</v>
      </c>
      <c r="N168" s="67" t="s">
        <v>1382</v>
      </c>
      <c r="O168" s="67"/>
      <c r="P168" s="67" t="s">
        <v>19</v>
      </c>
      <c r="Q168" s="69">
        <v>3350</v>
      </c>
      <c r="R168" s="4">
        <f t="shared" si="7"/>
        <v>2800</v>
      </c>
      <c r="S168" s="4">
        <f t="shared" si="8"/>
        <v>2070</v>
      </c>
    </row>
    <row r="169" spans="1:19" ht="17.100000000000001" customHeight="1" x14ac:dyDescent="0.2">
      <c r="A169" s="23"/>
      <c r="B169" s="3" t="str">
        <f ca="1">IF(A169="В заказ",MAX($B$9:OFFSET(B169,-1,0))+1,"")</f>
        <v/>
      </c>
      <c r="C169" s="6" t="str">
        <f t="shared" si="6"/>
        <v>ЛДСП 16 H1582 ST15 .</v>
      </c>
      <c r="D169" s="67" t="s">
        <v>1372</v>
      </c>
      <c r="E169" s="67" t="s">
        <v>34</v>
      </c>
      <c r="F169" s="67" t="s">
        <v>1543</v>
      </c>
      <c r="G169" s="70">
        <v>403</v>
      </c>
      <c r="H169" s="67" t="s">
        <v>35</v>
      </c>
      <c r="I169" s="70">
        <v>1</v>
      </c>
      <c r="J169" s="67" t="s">
        <v>86</v>
      </c>
      <c r="K169" s="67" t="s">
        <v>87</v>
      </c>
      <c r="L169" s="67" t="s">
        <v>85</v>
      </c>
      <c r="M169" s="67" t="s">
        <v>238</v>
      </c>
      <c r="N169" s="67" t="s">
        <v>235</v>
      </c>
      <c r="O169" s="67"/>
      <c r="P169" s="67" t="s">
        <v>19</v>
      </c>
      <c r="Q169" s="69">
        <v>3425</v>
      </c>
      <c r="R169" s="4">
        <f t="shared" si="7"/>
        <v>2800</v>
      </c>
      <c r="S169" s="4">
        <f t="shared" si="8"/>
        <v>2070</v>
      </c>
    </row>
    <row r="170" spans="1:19" ht="17.100000000000001" customHeight="1" x14ac:dyDescent="0.2">
      <c r="A170" s="23"/>
      <c r="B170" s="3" t="str">
        <f ca="1">IF(A170="В заказ",MAX($B$9:OFFSET(B170,-1,0))+1,"")</f>
        <v/>
      </c>
      <c r="C170" s="6" t="str">
        <f t="shared" si="6"/>
        <v>ЛДСП 25 H1582 ST15 .</v>
      </c>
      <c r="D170" s="67" t="s">
        <v>1372</v>
      </c>
      <c r="E170" s="67" t="s">
        <v>34</v>
      </c>
      <c r="F170" s="67" t="s">
        <v>1544</v>
      </c>
      <c r="G170" s="68">
        <v>16050</v>
      </c>
      <c r="H170" s="67" t="s">
        <v>35</v>
      </c>
      <c r="I170" s="70">
        <v>1</v>
      </c>
      <c r="J170" s="67" t="s">
        <v>86</v>
      </c>
      <c r="K170" s="67" t="s">
        <v>87</v>
      </c>
      <c r="L170" s="67" t="s">
        <v>85</v>
      </c>
      <c r="M170" s="67" t="s">
        <v>238</v>
      </c>
      <c r="N170" s="67" t="s">
        <v>1387</v>
      </c>
      <c r="O170" s="67"/>
      <c r="P170" s="67" t="s">
        <v>19</v>
      </c>
      <c r="Q170" s="69">
        <v>4990</v>
      </c>
      <c r="R170" s="4">
        <f t="shared" si="7"/>
        <v>2800</v>
      </c>
      <c r="S170" s="4">
        <f t="shared" si="8"/>
        <v>2070</v>
      </c>
    </row>
    <row r="171" spans="1:19" ht="17.100000000000001" customHeight="1" x14ac:dyDescent="0.2">
      <c r="A171" s="23"/>
      <c r="B171" s="3" t="str">
        <f ca="1">IF(A171="В заказ",MAX($B$9:OFFSET(B171,-1,0))+1,"")</f>
        <v/>
      </c>
      <c r="C171" s="6" t="str">
        <f t="shared" si="6"/>
        <v>ЛДСП 08 H1615 ST9 .</v>
      </c>
      <c r="D171" s="67" t="s">
        <v>1372</v>
      </c>
      <c r="E171" s="67" t="s">
        <v>34</v>
      </c>
      <c r="F171" s="67" t="s">
        <v>1545</v>
      </c>
      <c r="G171" s="68">
        <v>1399</v>
      </c>
      <c r="H171" s="67" t="s">
        <v>35</v>
      </c>
      <c r="I171" s="70">
        <v>1</v>
      </c>
      <c r="J171" s="67" t="s">
        <v>88</v>
      </c>
      <c r="K171" s="67" t="s">
        <v>89</v>
      </c>
      <c r="L171" s="67" t="s">
        <v>22</v>
      </c>
      <c r="M171" s="67" t="s">
        <v>238</v>
      </c>
      <c r="N171" s="67" t="s">
        <v>1382</v>
      </c>
      <c r="O171" s="67"/>
      <c r="P171" s="67" t="s">
        <v>19</v>
      </c>
      <c r="Q171" s="69">
        <v>3350</v>
      </c>
      <c r="R171" s="4">
        <f t="shared" si="7"/>
        <v>2800</v>
      </c>
      <c r="S171" s="4">
        <f t="shared" si="8"/>
        <v>2070</v>
      </c>
    </row>
    <row r="172" spans="1:19" ht="17.100000000000001" customHeight="1" x14ac:dyDescent="0.2">
      <c r="A172" s="23"/>
      <c r="B172" s="3" t="str">
        <f ca="1">IF(A172="В заказ",MAX($B$9:OFFSET(B172,-1,0))+1,"")</f>
        <v/>
      </c>
      <c r="C172" s="6" t="str">
        <f t="shared" si="6"/>
        <v>ЛДСП 16 H1615 ST9 .</v>
      </c>
      <c r="D172" s="67" t="s">
        <v>1372</v>
      </c>
      <c r="E172" s="67" t="s">
        <v>34</v>
      </c>
      <c r="F172" s="67" t="s">
        <v>1546</v>
      </c>
      <c r="G172" s="70">
        <v>603</v>
      </c>
      <c r="H172" s="67" t="s">
        <v>35</v>
      </c>
      <c r="I172" s="70">
        <v>1</v>
      </c>
      <c r="J172" s="67" t="s">
        <v>88</v>
      </c>
      <c r="K172" s="67" t="s">
        <v>89</v>
      </c>
      <c r="L172" s="67" t="s">
        <v>22</v>
      </c>
      <c r="M172" s="67" t="s">
        <v>238</v>
      </c>
      <c r="N172" s="67" t="s">
        <v>235</v>
      </c>
      <c r="O172" s="67"/>
      <c r="P172" s="67" t="s">
        <v>19</v>
      </c>
      <c r="Q172" s="69">
        <v>3425</v>
      </c>
      <c r="R172" s="4">
        <f t="shared" si="7"/>
        <v>2800</v>
      </c>
      <c r="S172" s="4">
        <f t="shared" si="8"/>
        <v>2070</v>
      </c>
    </row>
    <row r="173" spans="1:19" ht="17.100000000000001" customHeight="1" x14ac:dyDescent="0.2">
      <c r="A173" s="23"/>
      <c r="B173" s="3" t="str">
        <f ca="1">IF(A173="В заказ",MAX($B$9:OFFSET(B173,-1,0))+1,"")</f>
        <v/>
      </c>
      <c r="C173" s="6" t="str">
        <f t="shared" si="6"/>
        <v>ЛДСП 25 H1615 ST9 .</v>
      </c>
      <c r="D173" s="67" t="s">
        <v>1372</v>
      </c>
      <c r="E173" s="67" t="s">
        <v>34</v>
      </c>
      <c r="F173" s="67" t="s">
        <v>1547</v>
      </c>
      <c r="G173" s="68">
        <v>1483</v>
      </c>
      <c r="H173" s="67" t="s">
        <v>35</v>
      </c>
      <c r="I173" s="70">
        <v>1</v>
      </c>
      <c r="J173" s="67" t="s">
        <v>88</v>
      </c>
      <c r="K173" s="67" t="s">
        <v>89</v>
      </c>
      <c r="L173" s="67" t="s">
        <v>22</v>
      </c>
      <c r="M173" s="67" t="s">
        <v>238</v>
      </c>
      <c r="N173" s="67" t="s">
        <v>1387</v>
      </c>
      <c r="O173" s="67"/>
      <c r="P173" s="67" t="s">
        <v>19</v>
      </c>
      <c r="Q173" s="69">
        <v>4990</v>
      </c>
      <c r="R173" s="4">
        <f t="shared" si="7"/>
        <v>2800</v>
      </c>
      <c r="S173" s="4">
        <f t="shared" si="8"/>
        <v>2070</v>
      </c>
    </row>
    <row r="174" spans="1:19" ht="17.100000000000001" customHeight="1" x14ac:dyDescent="0.2">
      <c r="A174" s="23"/>
      <c r="B174" s="3" t="str">
        <f ca="1">IF(A174="В заказ",MAX($B$9:OFFSET(B174,-1,0))+1,"")</f>
        <v/>
      </c>
      <c r="C174" s="6" t="str">
        <f t="shared" si="6"/>
        <v>ЛДСП 08 H1636 ST12 .</v>
      </c>
      <c r="D174" s="67" t="s">
        <v>1372</v>
      </c>
      <c r="E174" s="67" t="s">
        <v>34</v>
      </c>
      <c r="F174" s="67" t="s">
        <v>1548</v>
      </c>
      <c r="G174" s="68">
        <v>15712</v>
      </c>
      <c r="H174" s="67" t="s">
        <v>35</v>
      </c>
      <c r="I174" s="70">
        <v>1</v>
      </c>
      <c r="J174" s="67" t="s">
        <v>90</v>
      </c>
      <c r="K174" s="67" t="s">
        <v>91</v>
      </c>
      <c r="L174" s="67" t="s">
        <v>41</v>
      </c>
      <c r="M174" s="67" t="s">
        <v>238</v>
      </c>
      <c r="N174" s="67" t="s">
        <v>1382</v>
      </c>
      <c r="O174" s="67"/>
      <c r="P174" s="67" t="s">
        <v>19</v>
      </c>
      <c r="Q174" s="69">
        <v>3545</v>
      </c>
      <c r="R174" s="4">
        <f t="shared" si="7"/>
        <v>2800</v>
      </c>
      <c r="S174" s="4">
        <f t="shared" si="8"/>
        <v>2070</v>
      </c>
    </row>
    <row r="175" spans="1:19" ht="17.100000000000001" customHeight="1" x14ac:dyDescent="0.2">
      <c r="A175" s="23"/>
      <c r="B175" s="3" t="str">
        <f ca="1">IF(A175="В заказ",MAX($B$9:OFFSET(B175,-1,0))+1,"")</f>
        <v/>
      </c>
      <c r="C175" s="6" t="str">
        <f t="shared" si="6"/>
        <v>ЛДСП 16 H1636 ST12 .</v>
      </c>
      <c r="D175" s="67" t="s">
        <v>1372</v>
      </c>
      <c r="E175" s="67" t="s">
        <v>34</v>
      </c>
      <c r="F175" s="67" t="s">
        <v>1549</v>
      </c>
      <c r="G175" s="68">
        <v>13356</v>
      </c>
      <c r="H175" s="67" t="s">
        <v>35</v>
      </c>
      <c r="I175" s="70">
        <v>1</v>
      </c>
      <c r="J175" s="67" t="s">
        <v>90</v>
      </c>
      <c r="K175" s="67" t="s">
        <v>91</v>
      </c>
      <c r="L175" s="67" t="s">
        <v>41</v>
      </c>
      <c r="M175" s="67" t="s">
        <v>238</v>
      </c>
      <c r="N175" s="67" t="s">
        <v>235</v>
      </c>
      <c r="O175" s="67"/>
      <c r="P175" s="67" t="s">
        <v>19</v>
      </c>
      <c r="Q175" s="69">
        <v>3630</v>
      </c>
      <c r="R175" s="4">
        <f t="shared" si="7"/>
        <v>2800</v>
      </c>
      <c r="S175" s="4">
        <f t="shared" si="8"/>
        <v>2070</v>
      </c>
    </row>
    <row r="176" spans="1:19" ht="17.100000000000001" customHeight="1" x14ac:dyDescent="0.2">
      <c r="A176" s="23"/>
      <c r="B176" s="3" t="str">
        <f ca="1">IF(A176="В заказ",MAX($B$9:OFFSET(B176,-1,0))+1,"")</f>
        <v/>
      </c>
      <c r="C176" s="6" t="str">
        <f t="shared" si="6"/>
        <v>ЛДСП 25 H1636 ST12 .</v>
      </c>
      <c r="D176" s="67" t="s">
        <v>1372</v>
      </c>
      <c r="E176" s="67" t="s">
        <v>34</v>
      </c>
      <c r="F176" s="67" t="s">
        <v>1550</v>
      </c>
      <c r="G176" s="68">
        <v>15771</v>
      </c>
      <c r="H176" s="67" t="s">
        <v>35</v>
      </c>
      <c r="I176" s="70">
        <v>1</v>
      </c>
      <c r="J176" s="67" t="s">
        <v>90</v>
      </c>
      <c r="K176" s="67" t="s">
        <v>91</v>
      </c>
      <c r="L176" s="67" t="s">
        <v>41</v>
      </c>
      <c r="M176" s="67" t="s">
        <v>238</v>
      </c>
      <c r="N176" s="67" t="s">
        <v>1387</v>
      </c>
      <c r="O176" s="67"/>
      <c r="P176" s="67" t="s">
        <v>19</v>
      </c>
      <c r="Q176" s="69">
        <v>5175</v>
      </c>
      <c r="R176" s="4">
        <f t="shared" si="7"/>
        <v>2800</v>
      </c>
      <c r="S176" s="4">
        <f t="shared" si="8"/>
        <v>2070</v>
      </c>
    </row>
    <row r="177" spans="1:19" ht="17.100000000000001" customHeight="1" x14ac:dyDescent="0.2">
      <c r="A177" s="23"/>
      <c r="B177" s="3" t="str">
        <f ca="1">IF(A177="В заказ",MAX($B$9:OFFSET(B177,-1,0))+1,"")</f>
        <v/>
      </c>
      <c r="C177" s="6" t="str">
        <f t="shared" si="6"/>
        <v>ЛДСП 08 H1710 ST10 .</v>
      </c>
      <c r="D177" s="67" t="s">
        <v>1372</v>
      </c>
      <c r="E177" s="67" t="s">
        <v>34</v>
      </c>
      <c r="F177" s="67" t="s">
        <v>1551</v>
      </c>
      <c r="G177" s="68">
        <v>22482</v>
      </c>
      <c r="H177" s="67" t="s">
        <v>35</v>
      </c>
      <c r="I177" s="70">
        <v>1</v>
      </c>
      <c r="J177" s="67" t="s">
        <v>628</v>
      </c>
      <c r="K177" s="67" t="s">
        <v>629</v>
      </c>
      <c r="L177" s="67" t="s">
        <v>38</v>
      </c>
      <c r="M177" s="67" t="s">
        <v>238</v>
      </c>
      <c r="N177" s="67" t="s">
        <v>1382</v>
      </c>
      <c r="O177" s="67"/>
      <c r="P177" s="67" t="s">
        <v>19</v>
      </c>
      <c r="Q177" s="69">
        <v>4210</v>
      </c>
      <c r="R177" s="4">
        <f t="shared" si="7"/>
        <v>2800</v>
      </c>
      <c r="S177" s="4">
        <f t="shared" si="8"/>
        <v>2070</v>
      </c>
    </row>
    <row r="178" spans="1:19" ht="17.100000000000001" customHeight="1" x14ac:dyDescent="0.2">
      <c r="A178" s="23"/>
      <c r="B178" s="3" t="str">
        <f ca="1">IF(A178="В заказ",MAX($B$9:OFFSET(B178,-1,0))+1,"")</f>
        <v/>
      </c>
      <c r="C178" s="6" t="str">
        <f t="shared" si="6"/>
        <v>ЛДСП 16 H1710 ST10 .</v>
      </c>
      <c r="D178" s="67" t="s">
        <v>1372</v>
      </c>
      <c r="E178" s="67" t="s">
        <v>34</v>
      </c>
      <c r="F178" s="67" t="s">
        <v>1552</v>
      </c>
      <c r="G178" s="68">
        <v>21569</v>
      </c>
      <c r="H178" s="67" t="s">
        <v>35</v>
      </c>
      <c r="I178" s="70">
        <v>1</v>
      </c>
      <c r="J178" s="67" t="s">
        <v>628</v>
      </c>
      <c r="K178" s="67" t="s">
        <v>629</v>
      </c>
      <c r="L178" s="67" t="s">
        <v>38</v>
      </c>
      <c r="M178" s="67" t="s">
        <v>238</v>
      </c>
      <c r="N178" s="67" t="s">
        <v>235</v>
      </c>
      <c r="O178" s="67"/>
      <c r="P178" s="67" t="s">
        <v>19</v>
      </c>
      <c r="Q178" s="69">
        <v>4285</v>
      </c>
      <c r="R178" s="4">
        <f t="shared" si="7"/>
        <v>2800</v>
      </c>
      <c r="S178" s="4">
        <f t="shared" si="8"/>
        <v>2070</v>
      </c>
    </row>
    <row r="179" spans="1:19" ht="17.100000000000001" customHeight="1" x14ac:dyDescent="0.2">
      <c r="A179" s="23"/>
      <c r="B179" s="3" t="str">
        <f ca="1">IF(A179="В заказ",MAX($B$9:OFFSET(B179,-1,0))+1,"")</f>
        <v/>
      </c>
      <c r="C179" s="6" t="str">
        <f t="shared" si="6"/>
        <v>ЛДСП 25 H1710 ST10 .</v>
      </c>
      <c r="D179" s="67" t="s">
        <v>1372</v>
      </c>
      <c r="E179" s="67" t="s">
        <v>34</v>
      </c>
      <c r="F179" s="67" t="s">
        <v>1553</v>
      </c>
      <c r="G179" s="68">
        <v>22483</v>
      </c>
      <c r="H179" s="67" t="s">
        <v>35</v>
      </c>
      <c r="I179" s="70">
        <v>1</v>
      </c>
      <c r="J179" s="67" t="s">
        <v>628</v>
      </c>
      <c r="K179" s="67" t="s">
        <v>629</v>
      </c>
      <c r="L179" s="67" t="s">
        <v>38</v>
      </c>
      <c r="M179" s="67" t="s">
        <v>238</v>
      </c>
      <c r="N179" s="67" t="s">
        <v>1387</v>
      </c>
      <c r="O179" s="67"/>
      <c r="P179" s="67" t="s">
        <v>19</v>
      </c>
      <c r="Q179" s="69">
        <v>5765</v>
      </c>
      <c r="R179" s="4">
        <f t="shared" si="7"/>
        <v>2800</v>
      </c>
      <c r="S179" s="4">
        <f t="shared" si="8"/>
        <v>2070</v>
      </c>
    </row>
    <row r="180" spans="1:19" ht="17.100000000000001" customHeight="1" x14ac:dyDescent="0.2">
      <c r="A180" s="23"/>
      <c r="B180" s="3" t="str">
        <f ca="1">IF(A180="В заказ",MAX($B$9:OFFSET(B180,-1,0))+1,"")</f>
        <v/>
      </c>
      <c r="C180" s="6" t="str">
        <f t="shared" si="6"/>
        <v>ЛДСП 08 H1714 ST19 .</v>
      </c>
      <c r="D180" s="67" t="s">
        <v>1372</v>
      </c>
      <c r="E180" s="67" t="s">
        <v>34</v>
      </c>
      <c r="F180" s="67" t="s">
        <v>1554</v>
      </c>
      <c r="G180" s="68">
        <v>22901</v>
      </c>
      <c r="H180" s="67" t="s">
        <v>35</v>
      </c>
      <c r="I180" s="70">
        <v>1</v>
      </c>
      <c r="J180" s="67" t="s">
        <v>636</v>
      </c>
      <c r="K180" s="67" t="s">
        <v>637</v>
      </c>
      <c r="L180" s="67" t="s">
        <v>251</v>
      </c>
      <c r="M180" s="67" t="s">
        <v>238</v>
      </c>
      <c r="N180" s="67" t="s">
        <v>1382</v>
      </c>
      <c r="O180" s="67"/>
      <c r="P180" s="67" t="s">
        <v>19</v>
      </c>
      <c r="Q180" s="69">
        <v>4210</v>
      </c>
      <c r="R180" s="4">
        <f t="shared" si="7"/>
        <v>2800</v>
      </c>
      <c r="S180" s="4">
        <f t="shared" si="8"/>
        <v>2070</v>
      </c>
    </row>
    <row r="181" spans="1:19" ht="17.100000000000001" customHeight="1" x14ac:dyDescent="0.2">
      <c r="A181" s="23"/>
      <c r="B181" s="3" t="str">
        <f ca="1">IF(A181="В заказ",MAX($B$9:OFFSET(B181,-1,0))+1,"")</f>
        <v/>
      </c>
      <c r="C181" s="6" t="str">
        <f t="shared" si="6"/>
        <v>ЛДСП 16 H1714 ST19 .</v>
      </c>
      <c r="D181" s="67" t="s">
        <v>1372</v>
      </c>
      <c r="E181" s="67" t="s">
        <v>34</v>
      </c>
      <c r="F181" s="67" t="s">
        <v>1555</v>
      </c>
      <c r="G181" s="68">
        <v>21624</v>
      </c>
      <c r="H181" s="67" t="s">
        <v>35</v>
      </c>
      <c r="I181" s="70">
        <v>1</v>
      </c>
      <c r="J181" s="67" t="s">
        <v>636</v>
      </c>
      <c r="K181" s="67" t="s">
        <v>637</v>
      </c>
      <c r="L181" s="67" t="s">
        <v>251</v>
      </c>
      <c r="M181" s="67" t="s">
        <v>238</v>
      </c>
      <c r="N181" s="67" t="s">
        <v>235</v>
      </c>
      <c r="O181" s="67"/>
      <c r="P181" s="67" t="s">
        <v>19</v>
      </c>
      <c r="Q181" s="69">
        <v>4285</v>
      </c>
      <c r="R181" s="4">
        <f t="shared" si="7"/>
        <v>2800</v>
      </c>
      <c r="S181" s="4">
        <f t="shared" si="8"/>
        <v>2070</v>
      </c>
    </row>
    <row r="182" spans="1:19" ht="17.100000000000001" customHeight="1" x14ac:dyDescent="0.2">
      <c r="A182" s="23"/>
      <c r="B182" s="3" t="str">
        <f ca="1">IF(A182="В заказ",MAX($B$9:OFFSET(B182,-1,0))+1,"")</f>
        <v/>
      </c>
      <c r="C182" s="6" t="str">
        <f t="shared" si="6"/>
        <v>ЛДСП 18 H1714 ST19 .</v>
      </c>
      <c r="D182" s="67" t="s">
        <v>1372</v>
      </c>
      <c r="E182" s="67" t="s">
        <v>34</v>
      </c>
      <c r="F182" s="67" t="s">
        <v>1556</v>
      </c>
      <c r="G182" s="68">
        <v>22560</v>
      </c>
      <c r="H182" s="67" t="s">
        <v>35</v>
      </c>
      <c r="I182" s="70">
        <v>1</v>
      </c>
      <c r="J182" s="67" t="s">
        <v>636</v>
      </c>
      <c r="K182" s="67" t="s">
        <v>637</v>
      </c>
      <c r="L182" s="67" t="s">
        <v>251</v>
      </c>
      <c r="M182" s="67" t="s">
        <v>238</v>
      </c>
      <c r="N182" s="67" t="s">
        <v>1385</v>
      </c>
      <c r="O182" s="67"/>
      <c r="P182" s="67" t="s">
        <v>19</v>
      </c>
      <c r="Q182" s="69">
        <v>4550</v>
      </c>
      <c r="R182" s="4">
        <f t="shared" si="7"/>
        <v>2800</v>
      </c>
      <c r="S182" s="4">
        <f t="shared" si="8"/>
        <v>2070</v>
      </c>
    </row>
    <row r="183" spans="1:19" ht="17.100000000000001" customHeight="1" x14ac:dyDescent="0.2">
      <c r="A183" s="23"/>
      <c r="B183" s="3" t="str">
        <f ca="1">IF(A183="В заказ",MAX($B$9:OFFSET(B183,-1,0))+1,"")</f>
        <v/>
      </c>
      <c r="C183" s="6" t="str">
        <f t="shared" si="6"/>
        <v>ЛДСП 25 H1714 ST19 .</v>
      </c>
      <c r="D183" s="67" t="s">
        <v>1372</v>
      </c>
      <c r="E183" s="67" t="s">
        <v>34</v>
      </c>
      <c r="F183" s="67" t="s">
        <v>1557</v>
      </c>
      <c r="G183" s="68">
        <v>22491</v>
      </c>
      <c r="H183" s="67" t="s">
        <v>35</v>
      </c>
      <c r="I183" s="70">
        <v>1</v>
      </c>
      <c r="J183" s="67" t="s">
        <v>636</v>
      </c>
      <c r="K183" s="67" t="s">
        <v>637</v>
      </c>
      <c r="L183" s="67" t="s">
        <v>251</v>
      </c>
      <c r="M183" s="67" t="s">
        <v>238</v>
      </c>
      <c r="N183" s="67" t="s">
        <v>1387</v>
      </c>
      <c r="O183" s="67"/>
      <c r="P183" s="67" t="s">
        <v>19</v>
      </c>
      <c r="Q183" s="69">
        <v>5765</v>
      </c>
      <c r="R183" s="4">
        <f t="shared" si="7"/>
        <v>2800</v>
      </c>
      <c r="S183" s="4">
        <f t="shared" si="8"/>
        <v>2070</v>
      </c>
    </row>
    <row r="184" spans="1:19" ht="17.100000000000001" customHeight="1" x14ac:dyDescent="0.2">
      <c r="A184" s="23"/>
      <c r="B184" s="3" t="str">
        <f ca="1">IF(A184="В заказ",MAX($B$9:OFFSET(B184,-1,0))+1,"")</f>
        <v/>
      </c>
      <c r="C184" s="6" t="str">
        <f t="shared" si="6"/>
        <v>ЛДСП 08 H1733 ST9 .</v>
      </c>
      <c r="D184" s="67" t="s">
        <v>1372</v>
      </c>
      <c r="E184" s="67" t="s">
        <v>34</v>
      </c>
      <c r="F184" s="67" t="s">
        <v>1558</v>
      </c>
      <c r="G184" s="68">
        <v>1009</v>
      </c>
      <c r="H184" s="67" t="s">
        <v>35</v>
      </c>
      <c r="I184" s="70">
        <v>1</v>
      </c>
      <c r="J184" s="67" t="s">
        <v>92</v>
      </c>
      <c r="K184" s="67" t="s">
        <v>93</v>
      </c>
      <c r="L184" s="67" t="s">
        <v>22</v>
      </c>
      <c r="M184" s="67" t="s">
        <v>238</v>
      </c>
      <c r="N184" s="67" t="s">
        <v>1382</v>
      </c>
      <c r="O184" s="67"/>
      <c r="P184" s="67" t="s">
        <v>19</v>
      </c>
      <c r="Q184" s="69">
        <v>3350</v>
      </c>
      <c r="R184" s="4">
        <f t="shared" si="7"/>
        <v>2800</v>
      </c>
      <c r="S184" s="4">
        <f t="shared" si="8"/>
        <v>2070</v>
      </c>
    </row>
    <row r="185" spans="1:19" ht="17.100000000000001" customHeight="1" x14ac:dyDescent="0.2">
      <c r="A185" s="23"/>
      <c r="B185" s="3" t="str">
        <f ca="1">IF(A185="В заказ",MAX($B$9:OFFSET(B185,-1,0))+1,"")</f>
        <v/>
      </c>
      <c r="C185" s="6" t="str">
        <f t="shared" si="6"/>
        <v>ЛДСП 16 H1733 ST9 .</v>
      </c>
      <c r="D185" s="67" t="s">
        <v>1372</v>
      </c>
      <c r="E185" s="67" t="s">
        <v>34</v>
      </c>
      <c r="F185" s="67" t="s">
        <v>1559</v>
      </c>
      <c r="G185" s="68">
        <v>1250</v>
      </c>
      <c r="H185" s="67" t="s">
        <v>35</v>
      </c>
      <c r="I185" s="70">
        <v>1</v>
      </c>
      <c r="J185" s="67" t="s">
        <v>92</v>
      </c>
      <c r="K185" s="67" t="s">
        <v>93</v>
      </c>
      <c r="L185" s="67" t="s">
        <v>22</v>
      </c>
      <c r="M185" s="67" t="s">
        <v>238</v>
      </c>
      <c r="N185" s="67" t="s">
        <v>235</v>
      </c>
      <c r="O185" s="67"/>
      <c r="P185" s="67" t="s">
        <v>19</v>
      </c>
      <c r="Q185" s="69">
        <v>3425</v>
      </c>
      <c r="R185" s="4">
        <f t="shared" si="7"/>
        <v>2800</v>
      </c>
      <c r="S185" s="4">
        <f t="shared" si="8"/>
        <v>2070</v>
      </c>
    </row>
    <row r="186" spans="1:19" ht="17.100000000000001" customHeight="1" x14ac:dyDescent="0.2">
      <c r="A186" s="23"/>
      <c r="B186" s="3" t="str">
        <f ca="1">IF(A186="В заказ",MAX($B$9:OFFSET(B186,-1,0))+1,"")</f>
        <v/>
      </c>
      <c r="C186" s="6" t="str">
        <f t="shared" si="6"/>
        <v>ЛДСП 25 H1733 ST9 .</v>
      </c>
      <c r="D186" s="67" t="s">
        <v>1372</v>
      </c>
      <c r="E186" s="67" t="s">
        <v>34</v>
      </c>
      <c r="F186" s="67" t="s">
        <v>1560</v>
      </c>
      <c r="G186" s="68">
        <v>1501</v>
      </c>
      <c r="H186" s="67" t="s">
        <v>35</v>
      </c>
      <c r="I186" s="70">
        <v>1</v>
      </c>
      <c r="J186" s="67" t="s">
        <v>92</v>
      </c>
      <c r="K186" s="67" t="s">
        <v>93</v>
      </c>
      <c r="L186" s="67" t="s">
        <v>22</v>
      </c>
      <c r="M186" s="67" t="s">
        <v>238</v>
      </c>
      <c r="N186" s="67" t="s">
        <v>1387</v>
      </c>
      <c r="O186" s="67"/>
      <c r="P186" s="67" t="s">
        <v>19</v>
      </c>
      <c r="Q186" s="69">
        <v>4990</v>
      </c>
      <c r="R186" s="4">
        <f t="shared" si="7"/>
        <v>2800</v>
      </c>
      <c r="S186" s="4">
        <f t="shared" si="8"/>
        <v>2070</v>
      </c>
    </row>
    <row r="187" spans="1:19" ht="17.100000000000001" customHeight="1" x14ac:dyDescent="0.2">
      <c r="A187" s="23"/>
      <c r="B187" s="3" t="str">
        <f ca="1">IF(A187="В заказ",MAX($B$9:OFFSET(B187,-1,0))+1,"")</f>
        <v/>
      </c>
      <c r="C187" s="6" t="str">
        <f t="shared" si="6"/>
        <v>ЛДСП 08 H3058 ST22 .</v>
      </c>
      <c r="D187" s="67" t="s">
        <v>1372</v>
      </c>
      <c r="E187" s="67" t="s">
        <v>34</v>
      </c>
      <c r="F187" s="67" t="s">
        <v>1561</v>
      </c>
      <c r="G187" s="70">
        <v>331</v>
      </c>
      <c r="H187" s="67" t="s">
        <v>35</v>
      </c>
      <c r="I187" s="70">
        <v>1</v>
      </c>
      <c r="J187" s="67" t="s">
        <v>96</v>
      </c>
      <c r="K187" s="67" t="s">
        <v>97</v>
      </c>
      <c r="L187" s="67" t="s">
        <v>44</v>
      </c>
      <c r="M187" s="67" t="s">
        <v>238</v>
      </c>
      <c r="N187" s="67" t="s">
        <v>1382</v>
      </c>
      <c r="O187" s="67"/>
      <c r="P187" s="67" t="s">
        <v>19</v>
      </c>
      <c r="Q187" s="69">
        <v>3745</v>
      </c>
      <c r="R187" s="4">
        <f t="shared" si="7"/>
        <v>2800</v>
      </c>
      <c r="S187" s="4">
        <f t="shared" si="8"/>
        <v>2070</v>
      </c>
    </row>
    <row r="188" spans="1:19" ht="17.100000000000001" customHeight="1" x14ac:dyDescent="0.2">
      <c r="A188" s="23"/>
      <c r="B188" s="3" t="str">
        <f ca="1">IF(A188="В заказ",MAX($B$9:OFFSET(B188,-1,0))+1,"")</f>
        <v/>
      </c>
      <c r="C188" s="6" t="str">
        <f t="shared" si="6"/>
        <v>ЛДСП 16 H3058 ST22 .</v>
      </c>
      <c r="D188" s="67" t="s">
        <v>1372</v>
      </c>
      <c r="E188" s="67" t="s">
        <v>34</v>
      </c>
      <c r="F188" s="67" t="s">
        <v>1562</v>
      </c>
      <c r="G188" s="70">
        <v>246</v>
      </c>
      <c r="H188" s="67" t="s">
        <v>35</v>
      </c>
      <c r="I188" s="70">
        <v>1</v>
      </c>
      <c r="J188" s="67" t="s">
        <v>96</v>
      </c>
      <c r="K188" s="67" t="s">
        <v>97</v>
      </c>
      <c r="L188" s="67" t="s">
        <v>44</v>
      </c>
      <c r="M188" s="67" t="s">
        <v>238</v>
      </c>
      <c r="N188" s="67" t="s">
        <v>235</v>
      </c>
      <c r="O188" s="67"/>
      <c r="P188" s="67" t="s">
        <v>19</v>
      </c>
      <c r="Q188" s="69">
        <v>3830</v>
      </c>
      <c r="R188" s="4">
        <f t="shared" si="7"/>
        <v>2800</v>
      </c>
      <c r="S188" s="4">
        <f t="shared" si="8"/>
        <v>2070</v>
      </c>
    </row>
    <row r="189" spans="1:19" ht="17.100000000000001" customHeight="1" x14ac:dyDescent="0.2">
      <c r="A189" s="23"/>
      <c r="B189" s="3" t="str">
        <f ca="1">IF(A189="В заказ",MAX($B$9:OFFSET(B189,-1,0))+1,"")</f>
        <v/>
      </c>
      <c r="C189" s="6" t="str">
        <f t="shared" si="6"/>
        <v>ЛДСП 18 H3058 ST22 .</v>
      </c>
      <c r="D189" s="67" t="s">
        <v>1372</v>
      </c>
      <c r="E189" s="67" t="s">
        <v>34</v>
      </c>
      <c r="F189" s="67" t="s">
        <v>1563</v>
      </c>
      <c r="G189" s="68">
        <v>24485</v>
      </c>
      <c r="H189" s="67" t="s">
        <v>35</v>
      </c>
      <c r="I189" s="70">
        <v>1</v>
      </c>
      <c r="J189" s="67" t="s">
        <v>96</v>
      </c>
      <c r="K189" s="67" t="s">
        <v>97</v>
      </c>
      <c r="L189" s="67" t="s">
        <v>44</v>
      </c>
      <c r="M189" s="67" t="s">
        <v>238</v>
      </c>
      <c r="N189" s="67" t="s">
        <v>1385</v>
      </c>
      <c r="O189" s="67"/>
      <c r="P189" s="67" t="s">
        <v>19</v>
      </c>
      <c r="Q189" s="69">
        <v>4110</v>
      </c>
      <c r="R189" s="4">
        <f t="shared" si="7"/>
        <v>2800</v>
      </c>
      <c r="S189" s="4">
        <f t="shared" si="8"/>
        <v>2070</v>
      </c>
    </row>
    <row r="190" spans="1:19" ht="17.100000000000001" customHeight="1" x14ac:dyDescent="0.2">
      <c r="A190" s="23"/>
      <c r="B190" s="3" t="str">
        <f ca="1">IF(A190="В заказ",MAX($B$9:OFFSET(B190,-1,0))+1,"")</f>
        <v/>
      </c>
      <c r="C190" s="6" t="str">
        <f>D190&amp;" "&amp;N190&amp;" "&amp;IF(OR(D190="ДСП",D190="МДФ",D190="Фанера",D190="ХДФ"),M190,J190)&amp;" "&amp;IF(OR(D190="ДСП",D190="МДФ",D190="Фанера",D190="ХДФ"),O190,L190)&amp;" "&amp;IF(OR(D190="ДСП",D190="МДФ",D190="Фанера",D190="ХДФ"),"",IF(D190="БСП",M190,O190))&amp;"."</f>
        <v>ЛДСП 25 H3058 ST22 .</v>
      </c>
      <c r="D190" s="67" t="s">
        <v>1372</v>
      </c>
      <c r="E190" s="67" t="s">
        <v>34</v>
      </c>
      <c r="F190" s="67" t="s">
        <v>1564</v>
      </c>
      <c r="G190" s="70">
        <v>330</v>
      </c>
      <c r="H190" s="67" t="s">
        <v>35</v>
      </c>
      <c r="I190" s="70">
        <v>1</v>
      </c>
      <c r="J190" s="67" t="s">
        <v>96</v>
      </c>
      <c r="K190" s="67" t="s">
        <v>97</v>
      </c>
      <c r="L190" s="67" t="s">
        <v>44</v>
      </c>
      <c r="M190" s="67" t="s">
        <v>238</v>
      </c>
      <c r="N190" s="67" t="s">
        <v>1387</v>
      </c>
      <c r="O190" s="67"/>
      <c r="P190" s="67" t="s">
        <v>19</v>
      </c>
      <c r="Q190" s="69">
        <v>5350</v>
      </c>
      <c r="R190" s="4">
        <f t="shared" si="7"/>
        <v>2800</v>
      </c>
      <c r="S190" s="4">
        <f t="shared" si="8"/>
        <v>2070</v>
      </c>
    </row>
    <row r="191" spans="1:19" ht="17.100000000000001" customHeight="1" x14ac:dyDescent="0.2">
      <c r="A191" s="23"/>
      <c r="B191" s="3" t="str">
        <f ca="1">IF(A191="В заказ",MAX($B$9:OFFSET(B191,-1,0))+1,"")</f>
        <v/>
      </c>
      <c r="C191" s="6" t="str">
        <f t="shared" ref="C191:C254" si="9">D191&amp;" "&amp;N191&amp;" "&amp;IF(OR(D191="ДСП",D191="МДФ",D191="Фанера",D191="ХДФ"),M191,J191)&amp;" "&amp;IF(OR(D191="ДСП",D191="МДФ",D191="Фанера",D191="ХДФ"),O191,L191)&amp;" "&amp;IF(OR(D191="ДСП",D191="МДФ",D191="Фанера",D191="ХДФ"),"",IF(D191="БСП",M191,O191))&amp;"."</f>
        <v>ЛДСП 08 H3090 ST22 .</v>
      </c>
      <c r="D191" s="67" t="s">
        <v>1372</v>
      </c>
      <c r="E191" s="67" t="s">
        <v>34</v>
      </c>
      <c r="F191" s="67" t="s">
        <v>1565</v>
      </c>
      <c r="G191" s="68">
        <v>10286</v>
      </c>
      <c r="H191" s="67" t="s">
        <v>35</v>
      </c>
      <c r="I191" s="70">
        <v>1</v>
      </c>
      <c r="J191" s="67" t="s">
        <v>98</v>
      </c>
      <c r="K191" s="67" t="s">
        <v>99</v>
      </c>
      <c r="L191" s="67" t="s">
        <v>44</v>
      </c>
      <c r="M191" s="67" t="s">
        <v>238</v>
      </c>
      <c r="N191" s="67" t="s">
        <v>1382</v>
      </c>
      <c r="O191" s="67"/>
      <c r="P191" s="67" t="s">
        <v>19</v>
      </c>
      <c r="Q191" s="69">
        <v>3545</v>
      </c>
      <c r="R191" s="4">
        <f t="shared" si="7"/>
        <v>2800</v>
      </c>
      <c r="S191" s="4">
        <f t="shared" si="8"/>
        <v>2070</v>
      </c>
    </row>
    <row r="192" spans="1:19" ht="17.100000000000001" customHeight="1" x14ac:dyDescent="0.2">
      <c r="A192" s="23"/>
      <c r="B192" s="3" t="str">
        <f ca="1">IF(A192="В заказ",MAX($B$9:OFFSET(B192,-1,0))+1,"")</f>
        <v/>
      </c>
      <c r="C192" s="6" t="str">
        <f t="shared" si="9"/>
        <v>ЛДСП 16 H3090 ST22 .</v>
      </c>
      <c r="D192" s="67" t="s">
        <v>1372</v>
      </c>
      <c r="E192" s="67" t="s">
        <v>34</v>
      </c>
      <c r="F192" s="67" t="s">
        <v>1566</v>
      </c>
      <c r="G192" s="68">
        <v>2357</v>
      </c>
      <c r="H192" s="67" t="s">
        <v>35</v>
      </c>
      <c r="I192" s="70">
        <v>1</v>
      </c>
      <c r="J192" s="67" t="s">
        <v>98</v>
      </c>
      <c r="K192" s="67" t="s">
        <v>99</v>
      </c>
      <c r="L192" s="67" t="s">
        <v>44</v>
      </c>
      <c r="M192" s="67" t="s">
        <v>238</v>
      </c>
      <c r="N192" s="67" t="s">
        <v>235</v>
      </c>
      <c r="O192" s="67"/>
      <c r="P192" s="67" t="s">
        <v>19</v>
      </c>
      <c r="Q192" s="69">
        <v>3630</v>
      </c>
      <c r="R192" s="4">
        <f t="shared" si="7"/>
        <v>2800</v>
      </c>
      <c r="S192" s="4">
        <f t="shared" si="8"/>
        <v>2070</v>
      </c>
    </row>
    <row r="193" spans="1:19" ht="17.100000000000001" customHeight="1" x14ac:dyDescent="0.2">
      <c r="A193" s="23"/>
      <c r="B193" s="3" t="str">
        <f ca="1">IF(A193="В заказ",MAX($B$9:OFFSET(B193,-1,0))+1,"")</f>
        <v/>
      </c>
      <c r="C193" s="6" t="str">
        <f t="shared" si="9"/>
        <v>ЛДСП 25 H3090 ST22 .</v>
      </c>
      <c r="D193" s="67" t="s">
        <v>1372</v>
      </c>
      <c r="E193" s="67" t="s">
        <v>34</v>
      </c>
      <c r="F193" s="67" t="s">
        <v>1567</v>
      </c>
      <c r="G193" s="68">
        <v>11239</v>
      </c>
      <c r="H193" s="67" t="s">
        <v>35</v>
      </c>
      <c r="I193" s="70">
        <v>1</v>
      </c>
      <c r="J193" s="67" t="s">
        <v>98</v>
      </c>
      <c r="K193" s="67" t="s">
        <v>99</v>
      </c>
      <c r="L193" s="67" t="s">
        <v>44</v>
      </c>
      <c r="M193" s="67" t="s">
        <v>238</v>
      </c>
      <c r="N193" s="67" t="s">
        <v>1387</v>
      </c>
      <c r="O193" s="67"/>
      <c r="P193" s="67" t="s">
        <v>19</v>
      </c>
      <c r="Q193" s="69">
        <v>5175</v>
      </c>
      <c r="R193" s="4">
        <f t="shared" si="7"/>
        <v>2800</v>
      </c>
      <c r="S193" s="4">
        <f t="shared" si="8"/>
        <v>2070</v>
      </c>
    </row>
    <row r="194" spans="1:19" ht="17.100000000000001" customHeight="1" x14ac:dyDescent="0.2">
      <c r="A194" s="23"/>
      <c r="B194" s="3" t="str">
        <f ca="1">IF(A194="В заказ",MAX($B$9:OFFSET(B194,-1,0))+1,"")</f>
        <v/>
      </c>
      <c r="C194" s="6" t="str">
        <f t="shared" si="9"/>
        <v>ЛДСП 08 H3131 ST12 .</v>
      </c>
      <c r="D194" s="67" t="s">
        <v>1372</v>
      </c>
      <c r="E194" s="67" t="s">
        <v>34</v>
      </c>
      <c r="F194" s="67" t="s">
        <v>1568</v>
      </c>
      <c r="G194" s="68">
        <v>16651</v>
      </c>
      <c r="H194" s="67" t="s">
        <v>35</v>
      </c>
      <c r="I194" s="70">
        <v>1</v>
      </c>
      <c r="J194" s="67" t="s">
        <v>100</v>
      </c>
      <c r="K194" s="67" t="s">
        <v>101</v>
      </c>
      <c r="L194" s="67" t="s">
        <v>41</v>
      </c>
      <c r="M194" s="67" t="s">
        <v>238</v>
      </c>
      <c r="N194" s="67" t="s">
        <v>1382</v>
      </c>
      <c r="O194" s="67"/>
      <c r="P194" s="67" t="s">
        <v>19</v>
      </c>
      <c r="Q194" s="69">
        <v>3745</v>
      </c>
      <c r="R194" s="4">
        <f t="shared" si="7"/>
        <v>2800</v>
      </c>
      <c r="S194" s="4">
        <f t="shared" si="8"/>
        <v>2070</v>
      </c>
    </row>
    <row r="195" spans="1:19" ht="17.100000000000001" customHeight="1" x14ac:dyDescent="0.2">
      <c r="A195" s="23"/>
      <c r="B195" s="3" t="str">
        <f ca="1">IF(A195="В заказ",MAX($B$9:OFFSET(B195,-1,0))+1,"")</f>
        <v/>
      </c>
      <c r="C195" s="6" t="str">
        <f t="shared" si="9"/>
        <v>ЛДСП 16 H3131 ST12 .</v>
      </c>
      <c r="D195" s="67" t="s">
        <v>1372</v>
      </c>
      <c r="E195" s="67" t="s">
        <v>34</v>
      </c>
      <c r="F195" s="67" t="s">
        <v>1569</v>
      </c>
      <c r="G195" s="68">
        <v>15116</v>
      </c>
      <c r="H195" s="67" t="s">
        <v>35</v>
      </c>
      <c r="I195" s="70">
        <v>1</v>
      </c>
      <c r="J195" s="67" t="s">
        <v>100</v>
      </c>
      <c r="K195" s="67" t="s">
        <v>101</v>
      </c>
      <c r="L195" s="67" t="s">
        <v>41</v>
      </c>
      <c r="M195" s="67" t="s">
        <v>238</v>
      </c>
      <c r="N195" s="67" t="s">
        <v>235</v>
      </c>
      <c r="O195" s="67"/>
      <c r="P195" s="67" t="s">
        <v>19</v>
      </c>
      <c r="Q195" s="69">
        <v>3830</v>
      </c>
      <c r="R195" s="4">
        <f t="shared" si="7"/>
        <v>2800</v>
      </c>
      <c r="S195" s="4">
        <f t="shared" si="8"/>
        <v>2070</v>
      </c>
    </row>
    <row r="196" spans="1:19" ht="17.100000000000001" customHeight="1" x14ac:dyDescent="0.2">
      <c r="A196" s="23"/>
      <c r="B196" s="3" t="str">
        <f ca="1">IF(A196="В заказ",MAX($B$9:OFFSET(B196,-1,0))+1,"")</f>
        <v/>
      </c>
      <c r="C196" s="6" t="str">
        <f t="shared" si="9"/>
        <v>ЛДСП 25 H3131 ST12 .</v>
      </c>
      <c r="D196" s="67" t="s">
        <v>1372</v>
      </c>
      <c r="E196" s="67" t="s">
        <v>34</v>
      </c>
      <c r="F196" s="67" t="s">
        <v>1570</v>
      </c>
      <c r="G196" s="68">
        <v>15255</v>
      </c>
      <c r="H196" s="67" t="s">
        <v>35</v>
      </c>
      <c r="I196" s="70">
        <v>1</v>
      </c>
      <c r="J196" s="67" t="s">
        <v>100</v>
      </c>
      <c r="K196" s="67" t="s">
        <v>101</v>
      </c>
      <c r="L196" s="67" t="s">
        <v>41</v>
      </c>
      <c r="M196" s="67" t="s">
        <v>238</v>
      </c>
      <c r="N196" s="67" t="s">
        <v>1387</v>
      </c>
      <c r="O196" s="67"/>
      <c r="P196" s="67" t="s">
        <v>19</v>
      </c>
      <c r="Q196" s="69">
        <v>5350</v>
      </c>
      <c r="R196" s="4">
        <f t="shared" si="7"/>
        <v>2800</v>
      </c>
      <c r="S196" s="4">
        <f t="shared" si="8"/>
        <v>2070</v>
      </c>
    </row>
    <row r="197" spans="1:19" ht="17.100000000000001" customHeight="1" x14ac:dyDescent="0.2">
      <c r="A197" s="23"/>
      <c r="B197" s="3" t="str">
        <f ca="1">IF(A197="В заказ",MAX($B$9:OFFSET(B197,-1,0))+1,"")</f>
        <v/>
      </c>
      <c r="C197" s="6" t="str">
        <f t="shared" si="9"/>
        <v>ЛДСП 08 H3133 ST12 .</v>
      </c>
      <c r="D197" s="67" t="s">
        <v>1372</v>
      </c>
      <c r="E197" s="67" t="s">
        <v>34</v>
      </c>
      <c r="F197" s="67" t="s">
        <v>1571</v>
      </c>
      <c r="G197" s="68">
        <v>15203</v>
      </c>
      <c r="H197" s="67" t="s">
        <v>35</v>
      </c>
      <c r="I197" s="70">
        <v>1</v>
      </c>
      <c r="J197" s="67" t="s">
        <v>102</v>
      </c>
      <c r="K197" s="67" t="s">
        <v>103</v>
      </c>
      <c r="L197" s="67" t="s">
        <v>41</v>
      </c>
      <c r="M197" s="67" t="s">
        <v>238</v>
      </c>
      <c r="N197" s="67" t="s">
        <v>1382</v>
      </c>
      <c r="O197" s="67"/>
      <c r="P197" s="67" t="s">
        <v>19</v>
      </c>
      <c r="Q197" s="69">
        <v>3745</v>
      </c>
      <c r="R197" s="4">
        <f t="shared" si="7"/>
        <v>2800</v>
      </c>
      <c r="S197" s="4">
        <f t="shared" si="8"/>
        <v>2070</v>
      </c>
    </row>
    <row r="198" spans="1:19" ht="17.100000000000001" customHeight="1" x14ac:dyDescent="0.2">
      <c r="A198" s="23"/>
      <c r="B198" s="3" t="str">
        <f ca="1">IF(A198="В заказ",MAX($B$9:OFFSET(B198,-1,0))+1,"")</f>
        <v/>
      </c>
      <c r="C198" s="6" t="str">
        <f t="shared" si="9"/>
        <v>ЛДСП 16 H3133 ST12 .</v>
      </c>
      <c r="D198" s="67" t="s">
        <v>1372</v>
      </c>
      <c r="E198" s="67" t="s">
        <v>34</v>
      </c>
      <c r="F198" s="67" t="s">
        <v>1572</v>
      </c>
      <c r="G198" s="68">
        <v>13205</v>
      </c>
      <c r="H198" s="67" t="s">
        <v>35</v>
      </c>
      <c r="I198" s="70">
        <v>1</v>
      </c>
      <c r="J198" s="67" t="s">
        <v>102</v>
      </c>
      <c r="K198" s="67" t="s">
        <v>103</v>
      </c>
      <c r="L198" s="67" t="s">
        <v>41</v>
      </c>
      <c r="M198" s="67" t="s">
        <v>238</v>
      </c>
      <c r="N198" s="67" t="s">
        <v>235</v>
      </c>
      <c r="O198" s="67"/>
      <c r="P198" s="67" t="s">
        <v>19</v>
      </c>
      <c r="Q198" s="69">
        <v>3830</v>
      </c>
      <c r="R198" s="4">
        <f t="shared" si="7"/>
        <v>2800</v>
      </c>
      <c r="S198" s="4">
        <f t="shared" si="8"/>
        <v>2070</v>
      </c>
    </row>
    <row r="199" spans="1:19" ht="17.100000000000001" customHeight="1" x14ac:dyDescent="0.2">
      <c r="A199" s="23"/>
      <c r="B199" s="3" t="str">
        <f ca="1">IF(A199="В заказ",MAX($B$9:OFFSET(B199,-1,0))+1,"")</f>
        <v/>
      </c>
      <c r="C199" s="6" t="str">
        <f t="shared" si="9"/>
        <v>ЛДСП 18 H3133 ST12 .</v>
      </c>
      <c r="D199" s="67" t="s">
        <v>1372</v>
      </c>
      <c r="E199" s="67" t="s">
        <v>34</v>
      </c>
      <c r="F199" s="67" t="s">
        <v>1573</v>
      </c>
      <c r="G199" s="68">
        <v>24810</v>
      </c>
      <c r="H199" s="67" t="s">
        <v>35</v>
      </c>
      <c r="I199" s="70">
        <v>1</v>
      </c>
      <c r="J199" s="67" t="s">
        <v>102</v>
      </c>
      <c r="K199" s="67" t="s">
        <v>103</v>
      </c>
      <c r="L199" s="67" t="s">
        <v>41</v>
      </c>
      <c r="M199" s="67" t="s">
        <v>238</v>
      </c>
      <c r="N199" s="67" t="s">
        <v>1385</v>
      </c>
      <c r="O199" s="67"/>
      <c r="P199" s="67" t="s">
        <v>19</v>
      </c>
      <c r="Q199" s="69">
        <v>4110</v>
      </c>
      <c r="R199" s="4">
        <f t="shared" si="7"/>
        <v>2800</v>
      </c>
      <c r="S199" s="4">
        <f t="shared" si="8"/>
        <v>2070</v>
      </c>
    </row>
    <row r="200" spans="1:19" ht="17.100000000000001" customHeight="1" x14ac:dyDescent="0.2">
      <c r="A200" s="23"/>
      <c r="B200" s="3" t="str">
        <f ca="1">IF(A200="В заказ",MAX($B$9:OFFSET(B200,-1,0))+1,"")</f>
        <v/>
      </c>
      <c r="C200" s="6" t="str">
        <f t="shared" si="9"/>
        <v>ЛДСП 25 H3133 ST12 .</v>
      </c>
      <c r="D200" s="67" t="s">
        <v>1372</v>
      </c>
      <c r="E200" s="67" t="s">
        <v>34</v>
      </c>
      <c r="F200" s="67" t="s">
        <v>1574</v>
      </c>
      <c r="G200" s="68">
        <v>16068</v>
      </c>
      <c r="H200" s="67" t="s">
        <v>35</v>
      </c>
      <c r="I200" s="70">
        <v>1</v>
      </c>
      <c r="J200" s="67" t="s">
        <v>102</v>
      </c>
      <c r="K200" s="67" t="s">
        <v>103</v>
      </c>
      <c r="L200" s="67" t="s">
        <v>41</v>
      </c>
      <c r="M200" s="67" t="s">
        <v>238</v>
      </c>
      <c r="N200" s="67" t="s">
        <v>1387</v>
      </c>
      <c r="O200" s="67"/>
      <c r="P200" s="67" t="s">
        <v>19</v>
      </c>
      <c r="Q200" s="69">
        <v>5350</v>
      </c>
      <c r="R200" s="4">
        <f t="shared" si="7"/>
        <v>2800</v>
      </c>
      <c r="S200" s="4">
        <f t="shared" si="8"/>
        <v>2070</v>
      </c>
    </row>
    <row r="201" spans="1:19" ht="17.100000000000001" customHeight="1" x14ac:dyDescent="0.2">
      <c r="A201" s="23"/>
      <c r="B201" s="3" t="str">
        <f ca="1">IF(A201="В заказ",MAX($B$9:OFFSET(B201,-1,0))+1,"")</f>
        <v/>
      </c>
      <c r="C201" s="6" t="str">
        <f t="shared" si="9"/>
        <v>ЛДСП 08 H3146 ST19 .</v>
      </c>
      <c r="D201" s="67" t="s">
        <v>1372</v>
      </c>
      <c r="E201" s="67" t="s">
        <v>34</v>
      </c>
      <c r="F201" s="67" t="s">
        <v>1575</v>
      </c>
      <c r="G201" s="68">
        <v>22300</v>
      </c>
      <c r="H201" s="67" t="s">
        <v>35</v>
      </c>
      <c r="I201" s="70">
        <v>1</v>
      </c>
      <c r="J201" s="67" t="s">
        <v>696</v>
      </c>
      <c r="K201" s="67" t="s">
        <v>697</v>
      </c>
      <c r="L201" s="67" t="s">
        <v>251</v>
      </c>
      <c r="M201" s="67" t="s">
        <v>238</v>
      </c>
      <c r="N201" s="67" t="s">
        <v>1382</v>
      </c>
      <c r="O201" s="67"/>
      <c r="P201" s="67" t="s">
        <v>19</v>
      </c>
      <c r="Q201" s="69">
        <v>4210</v>
      </c>
      <c r="R201" s="4">
        <f t="shared" si="7"/>
        <v>2800</v>
      </c>
      <c r="S201" s="4">
        <f t="shared" si="8"/>
        <v>2070</v>
      </c>
    </row>
    <row r="202" spans="1:19" ht="17.100000000000001" customHeight="1" x14ac:dyDescent="0.2">
      <c r="A202" s="23"/>
      <c r="B202" s="3" t="str">
        <f ca="1">IF(A202="В заказ",MAX($B$9:OFFSET(B202,-1,0))+1,"")</f>
        <v/>
      </c>
      <c r="C202" s="6" t="str">
        <f t="shared" si="9"/>
        <v>ЛДСП 16 H3146 ST19 .</v>
      </c>
      <c r="D202" s="67" t="s">
        <v>1372</v>
      </c>
      <c r="E202" s="67" t="s">
        <v>34</v>
      </c>
      <c r="F202" s="67" t="s">
        <v>1576</v>
      </c>
      <c r="G202" s="68">
        <v>21626</v>
      </c>
      <c r="H202" s="67" t="s">
        <v>35</v>
      </c>
      <c r="I202" s="70">
        <v>1</v>
      </c>
      <c r="J202" s="67" t="s">
        <v>696</v>
      </c>
      <c r="K202" s="67" t="s">
        <v>697</v>
      </c>
      <c r="L202" s="67" t="s">
        <v>251</v>
      </c>
      <c r="M202" s="67" t="s">
        <v>238</v>
      </c>
      <c r="N202" s="67" t="s">
        <v>235</v>
      </c>
      <c r="O202" s="67"/>
      <c r="P202" s="67" t="s">
        <v>19</v>
      </c>
      <c r="Q202" s="69">
        <v>4285</v>
      </c>
      <c r="R202" s="4">
        <f t="shared" si="7"/>
        <v>2800</v>
      </c>
      <c r="S202" s="4">
        <f t="shared" si="8"/>
        <v>2070</v>
      </c>
    </row>
    <row r="203" spans="1:19" ht="17.100000000000001" customHeight="1" x14ac:dyDescent="0.2">
      <c r="A203" s="23"/>
      <c r="B203" s="3" t="str">
        <f ca="1">IF(A203="В заказ",MAX($B$9:OFFSET(B203,-1,0))+1,"")</f>
        <v/>
      </c>
      <c r="C203" s="6" t="str">
        <f t="shared" si="9"/>
        <v>ЛДСП 18 H3146 ST19 .</v>
      </c>
      <c r="D203" s="67" t="s">
        <v>1372</v>
      </c>
      <c r="E203" s="67" t="s">
        <v>34</v>
      </c>
      <c r="F203" s="67" t="s">
        <v>1577</v>
      </c>
      <c r="G203" s="68">
        <v>22847</v>
      </c>
      <c r="H203" s="67" t="s">
        <v>35</v>
      </c>
      <c r="I203" s="70">
        <v>1</v>
      </c>
      <c r="J203" s="67" t="s">
        <v>696</v>
      </c>
      <c r="K203" s="67" t="s">
        <v>697</v>
      </c>
      <c r="L203" s="67" t="s">
        <v>251</v>
      </c>
      <c r="M203" s="67" t="s">
        <v>238</v>
      </c>
      <c r="N203" s="67" t="s">
        <v>1385</v>
      </c>
      <c r="O203" s="67"/>
      <c r="P203" s="67" t="s">
        <v>19</v>
      </c>
      <c r="Q203" s="69">
        <v>4550</v>
      </c>
      <c r="R203" s="4">
        <f t="shared" ref="R203:R266" si="10">IFERROR(LEFT(M203,FIND("*",M203)-1)*1,"")</f>
        <v>2800</v>
      </c>
      <c r="S203" s="4">
        <f t="shared" ref="S203:S266" si="11">IFERROR(RIGHT(M203,LEN(M203)-FIND("*",M203))*1,"")</f>
        <v>2070</v>
      </c>
    </row>
    <row r="204" spans="1:19" ht="17.100000000000001" customHeight="1" x14ac:dyDescent="0.2">
      <c r="A204" s="23"/>
      <c r="B204" s="3" t="str">
        <f ca="1">IF(A204="В заказ",MAX($B$9:OFFSET(B204,-1,0))+1,"")</f>
        <v/>
      </c>
      <c r="C204" s="6" t="str">
        <f t="shared" si="9"/>
        <v>ЛДСП 25 H3146 ST19 .</v>
      </c>
      <c r="D204" s="67" t="s">
        <v>1372</v>
      </c>
      <c r="E204" s="67" t="s">
        <v>34</v>
      </c>
      <c r="F204" s="67" t="s">
        <v>1578</v>
      </c>
      <c r="G204" s="68">
        <v>22149</v>
      </c>
      <c r="H204" s="67" t="s">
        <v>35</v>
      </c>
      <c r="I204" s="70">
        <v>1</v>
      </c>
      <c r="J204" s="67" t="s">
        <v>696</v>
      </c>
      <c r="K204" s="67" t="s">
        <v>697</v>
      </c>
      <c r="L204" s="67" t="s">
        <v>251</v>
      </c>
      <c r="M204" s="67" t="s">
        <v>238</v>
      </c>
      <c r="N204" s="67" t="s">
        <v>1387</v>
      </c>
      <c r="O204" s="67"/>
      <c r="P204" s="67" t="s">
        <v>19</v>
      </c>
      <c r="Q204" s="69">
        <v>5765</v>
      </c>
      <c r="R204" s="4">
        <f t="shared" si="10"/>
        <v>2800</v>
      </c>
      <c r="S204" s="4">
        <f t="shared" si="11"/>
        <v>2070</v>
      </c>
    </row>
    <row r="205" spans="1:19" ht="17.100000000000001" customHeight="1" x14ac:dyDescent="0.2">
      <c r="A205" s="23"/>
      <c r="B205" s="3" t="str">
        <f ca="1">IF(A205="В заказ",MAX($B$9:OFFSET(B205,-1,0))+1,"")</f>
        <v/>
      </c>
      <c r="C205" s="6" t="str">
        <f t="shared" si="9"/>
        <v>ЛДСП 08 H3154 ST36 .</v>
      </c>
      <c r="D205" s="67" t="s">
        <v>1372</v>
      </c>
      <c r="E205" s="67" t="s">
        <v>34</v>
      </c>
      <c r="F205" s="67" t="s">
        <v>1579</v>
      </c>
      <c r="G205" s="68">
        <v>16652</v>
      </c>
      <c r="H205" s="67" t="s">
        <v>35</v>
      </c>
      <c r="I205" s="70">
        <v>1</v>
      </c>
      <c r="J205" s="67" t="s">
        <v>104</v>
      </c>
      <c r="K205" s="67" t="s">
        <v>105</v>
      </c>
      <c r="L205" s="67" t="s">
        <v>64</v>
      </c>
      <c r="M205" s="67" t="s">
        <v>238</v>
      </c>
      <c r="N205" s="67" t="s">
        <v>1382</v>
      </c>
      <c r="O205" s="67"/>
      <c r="P205" s="67" t="s">
        <v>19</v>
      </c>
      <c r="Q205" s="69">
        <v>5150</v>
      </c>
      <c r="R205" s="4">
        <f t="shared" si="10"/>
        <v>2800</v>
      </c>
      <c r="S205" s="4">
        <f t="shared" si="11"/>
        <v>2070</v>
      </c>
    </row>
    <row r="206" spans="1:19" ht="17.100000000000001" customHeight="1" x14ac:dyDescent="0.2">
      <c r="A206" s="23"/>
      <c r="B206" s="3" t="str">
        <f ca="1">IF(A206="В заказ",MAX($B$9:OFFSET(B206,-1,0))+1,"")</f>
        <v/>
      </c>
      <c r="C206" s="6" t="str">
        <f t="shared" si="9"/>
        <v>ЛДСП 16 H3154 ST36 .</v>
      </c>
      <c r="D206" s="67" t="s">
        <v>1372</v>
      </c>
      <c r="E206" s="67" t="s">
        <v>34</v>
      </c>
      <c r="F206" s="67" t="s">
        <v>1580</v>
      </c>
      <c r="G206" s="68">
        <v>13391</v>
      </c>
      <c r="H206" s="67" t="s">
        <v>35</v>
      </c>
      <c r="I206" s="70">
        <v>1</v>
      </c>
      <c r="J206" s="67" t="s">
        <v>104</v>
      </c>
      <c r="K206" s="67" t="s">
        <v>105</v>
      </c>
      <c r="L206" s="67" t="s">
        <v>64</v>
      </c>
      <c r="M206" s="67" t="s">
        <v>238</v>
      </c>
      <c r="N206" s="67" t="s">
        <v>235</v>
      </c>
      <c r="O206" s="67"/>
      <c r="P206" s="67" t="s">
        <v>19</v>
      </c>
      <c r="Q206" s="69">
        <v>5230</v>
      </c>
      <c r="R206" s="4">
        <f t="shared" si="10"/>
        <v>2800</v>
      </c>
      <c r="S206" s="4">
        <f t="shared" si="11"/>
        <v>2070</v>
      </c>
    </row>
    <row r="207" spans="1:19" ht="17.100000000000001" customHeight="1" x14ac:dyDescent="0.2">
      <c r="A207" s="23"/>
      <c r="B207" s="3" t="str">
        <f ca="1">IF(A207="В заказ",MAX($B$9:OFFSET(B207,-1,0))+1,"")</f>
        <v/>
      </c>
      <c r="C207" s="6" t="str">
        <f t="shared" si="9"/>
        <v>ЛДСП 18 H3154 ST36 .</v>
      </c>
      <c r="D207" s="67" t="s">
        <v>1372</v>
      </c>
      <c r="E207" s="67" t="s">
        <v>34</v>
      </c>
      <c r="F207" s="67" t="s">
        <v>1581</v>
      </c>
      <c r="G207" s="68">
        <v>18675</v>
      </c>
      <c r="H207" s="67" t="s">
        <v>35</v>
      </c>
      <c r="I207" s="70">
        <v>1</v>
      </c>
      <c r="J207" s="67" t="s">
        <v>104</v>
      </c>
      <c r="K207" s="67" t="s">
        <v>105</v>
      </c>
      <c r="L207" s="67" t="s">
        <v>64</v>
      </c>
      <c r="M207" s="67" t="s">
        <v>238</v>
      </c>
      <c r="N207" s="67" t="s">
        <v>1385</v>
      </c>
      <c r="O207" s="67"/>
      <c r="P207" s="67" t="s">
        <v>19</v>
      </c>
      <c r="Q207" s="69">
        <v>5505</v>
      </c>
      <c r="R207" s="4">
        <f t="shared" si="10"/>
        <v>2800</v>
      </c>
      <c r="S207" s="4">
        <f t="shared" si="11"/>
        <v>2070</v>
      </c>
    </row>
    <row r="208" spans="1:19" ht="17.100000000000001" customHeight="1" x14ac:dyDescent="0.2">
      <c r="A208" s="23"/>
      <c r="B208" s="3" t="str">
        <f ca="1">IF(A208="В заказ",MAX($B$9:OFFSET(B208,-1,0))+1,"")</f>
        <v/>
      </c>
      <c r="C208" s="6" t="str">
        <f t="shared" si="9"/>
        <v>ЛДСП 25 H3154 ST36 .</v>
      </c>
      <c r="D208" s="67" t="s">
        <v>1372</v>
      </c>
      <c r="E208" s="67" t="s">
        <v>34</v>
      </c>
      <c r="F208" s="67" t="s">
        <v>1582</v>
      </c>
      <c r="G208" s="68">
        <v>16653</v>
      </c>
      <c r="H208" s="67" t="s">
        <v>35</v>
      </c>
      <c r="I208" s="70">
        <v>1</v>
      </c>
      <c r="J208" s="67" t="s">
        <v>104</v>
      </c>
      <c r="K208" s="67" t="s">
        <v>105</v>
      </c>
      <c r="L208" s="67" t="s">
        <v>64</v>
      </c>
      <c r="M208" s="67" t="s">
        <v>238</v>
      </c>
      <c r="N208" s="67" t="s">
        <v>1387</v>
      </c>
      <c r="O208" s="67"/>
      <c r="P208" s="67" t="s">
        <v>19</v>
      </c>
      <c r="Q208" s="69">
        <v>6785</v>
      </c>
      <c r="R208" s="4">
        <f t="shared" si="10"/>
        <v>2800</v>
      </c>
      <c r="S208" s="4">
        <f t="shared" si="11"/>
        <v>2070</v>
      </c>
    </row>
    <row r="209" spans="1:19" ht="17.100000000000001" customHeight="1" x14ac:dyDescent="0.2">
      <c r="A209" s="23"/>
      <c r="B209" s="3" t="str">
        <f ca="1">IF(A209="В заказ",MAX($B$9:OFFSET(B209,-1,0))+1,"")</f>
        <v/>
      </c>
      <c r="C209" s="6" t="str">
        <f t="shared" si="9"/>
        <v>ЛДСП 08 H3156 ST12 .</v>
      </c>
      <c r="D209" s="67" t="s">
        <v>1372</v>
      </c>
      <c r="E209" s="67" t="s">
        <v>34</v>
      </c>
      <c r="F209" s="67" t="s">
        <v>1583</v>
      </c>
      <c r="G209" s="68">
        <v>15102</v>
      </c>
      <c r="H209" s="67" t="s">
        <v>35</v>
      </c>
      <c r="I209" s="70">
        <v>1</v>
      </c>
      <c r="J209" s="67" t="s">
        <v>106</v>
      </c>
      <c r="K209" s="67" t="s">
        <v>107</v>
      </c>
      <c r="L209" s="67" t="s">
        <v>41</v>
      </c>
      <c r="M209" s="67" t="s">
        <v>238</v>
      </c>
      <c r="N209" s="67" t="s">
        <v>1382</v>
      </c>
      <c r="O209" s="67"/>
      <c r="P209" s="67" t="s">
        <v>19</v>
      </c>
      <c r="Q209" s="69">
        <v>3745</v>
      </c>
      <c r="R209" s="4">
        <f t="shared" si="10"/>
        <v>2800</v>
      </c>
      <c r="S209" s="4">
        <f t="shared" si="11"/>
        <v>2070</v>
      </c>
    </row>
    <row r="210" spans="1:19" ht="17.100000000000001" customHeight="1" x14ac:dyDescent="0.2">
      <c r="A210" s="23"/>
      <c r="B210" s="3" t="str">
        <f ca="1">IF(A210="В заказ",MAX($B$9:OFFSET(B210,-1,0))+1,"")</f>
        <v/>
      </c>
      <c r="C210" s="6" t="str">
        <f t="shared" si="9"/>
        <v>ЛДСП 16 H3156 ST12 .</v>
      </c>
      <c r="D210" s="67" t="s">
        <v>1372</v>
      </c>
      <c r="E210" s="67" t="s">
        <v>34</v>
      </c>
      <c r="F210" s="67" t="s">
        <v>1584</v>
      </c>
      <c r="G210" s="68">
        <v>14010</v>
      </c>
      <c r="H210" s="67" t="s">
        <v>35</v>
      </c>
      <c r="I210" s="70">
        <v>1</v>
      </c>
      <c r="J210" s="67" t="s">
        <v>106</v>
      </c>
      <c r="K210" s="67" t="s">
        <v>107</v>
      </c>
      <c r="L210" s="67" t="s">
        <v>41</v>
      </c>
      <c r="M210" s="67" t="s">
        <v>238</v>
      </c>
      <c r="N210" s="67" t="s">
        <v>235</v>
      </c>
      <c r="O210" s="67"/>
      <c r="P210" s="67" t="s">
        <v>19</v>
      </c>
      <c r="Q210" s="69">
        <v>3830</v>
      </c>
      <c r="R210" s="4">
        <f t="shared" si="10"/>
        <v>2800</v>
      </c>
      <c r="S210" s="4">
        <f t="shared" si="11"/>
        <v>2070</v>
      </c>
    </row>
    <row r="211" spans="1:19" ht="17.100000000000001" customHeight="1" x14ac:dyDescent="0.2">
      <c r="A211" s="23"/>
      <c r="B211" s="3" t="str">
        <f ca="1">IF(A211="В заказ",MAX($B$9:OFFSET(B211,-1,0))+1,"")</f>
        <v/>
      </c>
      <c r="C211" s="6" t="str">
        <f t="shared" si="9"/>
        <v>ЛДСП 18 H3156 ST12 .</v>
      </c>
      <c r="D211" s="67" t="s">
        <v>1372</v>
      </c>
      <c r="E211" s="67" t="s">
        <v>34</v>
      </c>
      <c r="F211" s="67" t="s">
        <v>1585</v>
      </c>
      <c r="G211" s="68">
        <v>24808</v>
      </c>
      <c r="H211" s="67" t="s">
        <v>35</v>
      </c>
      <c r="I211" s="70">
        <v>1</v>
      </c>
      <c r="J211" s="67" t="s">
        <v>106</v>
      </c>
      <c r="K211" s="67" t="s">
        <v>107</v>
      </c>
      <c r="L211" s="67" t="s">
        <v>41</v>
      </c>
      <c r="M211" s="67" t="s">
        <v>238</v>
      </c>
      <c r="N211" s="67" t="s">
        <v>1385</v>
      </c>
      <c r="O211" s="67"/>
      <c r="P211" s="67" t="s">
        <v>19</v>
      </c>
      <c r="Q211" s="69">
        <v>4110</v>
      </c>
      <c r="R211" s="4">
        <f t="shared" si="10"/>
        <v>2800</v>
      </c>
      <c r="S211" s="4">
        <f t="shared" si="11"/>
        <v>2070</v>
      </c>
    </row>
    <row r="212" spans="1:19" ht="17.100000000000001" customHeight="1" x14ac:dyDescent="0.2">
      <c r="A212" s="23"/>
      <c r="B212" s="3" t="str">
        <f ca="1">IF(A212="В заказ",MAX($B$9:OFFSET(B212,-1,0))+1,"")</f>
        <v/>
      </c>
      <c r="C212" s="6" t="str">
        <f t="shared" si="9"/>
        <v>ЛДСП 25 H3156 ST12 .</v>
      </c>
      <c r="D212" s="67" t="s">
        <v>1372</v>
      </c>
      <c r="E212" s="67" t="s">
        <v>34</v>
      </c>
      <c r="F212" s="67" t="s">
        <v>1586</v>
      </c>
      <c r="G212" s="68">
        <v>16549</v>
      </c>
      <c r="H212" s="67" t="s">
        <v>35</v>
      </c>
      <c r="I212" s="70">
        <v>1</v>
      </c>
      <c r="J212" s="67" t="s">
        <v>106</v>
      </c>
      <c r="K212" s="67" t="s">
        <v>107</v>
      </c>
      <c r="L212" s="67" t="s">
        <v>41</v>
      </c>
      <c r="M212" s="67" t="s">
        <v>238</v>
      </c>
      <c r="N212" s="67" t="s">
        <v>1387</v>
      </c>
      <c r="O212" s="67"/>
      <c r="P212" s="67" t="s">
        <v>19</v>
      </c>
      <c r="Q212" s="69">
        <v>5350</v>
      </c>
      <c r="R212" s="4">
        <f t="shared" si="10"/>
        <v>2800</v>
      </c>
      <c r="S212" s="4">
        <f t="shared" si="11"/>
        <v>2070</v>
      </c>
    </row>
    <row r="213" spans="1:19" ht="17.100000000000001" customHeight="1" x14ac:dyDescent="0.2">
      <c r="A213" s="23"/>
      <c r="B213" s="3" t="str">
        <f ca="1">IF(A213="В заказ",MAX($B$9:OFFSET(B213,-1,0))+1,"")</f>
        <v/>
      </c>
      <c r="C213" s="6" t="str">
        <f t="shared" si="9"/>
        <v>ЛДСП 08 H3157 ST12 .</v>
      </c>
      <c r="D213" s="67" t="s">
        <v>1372</v>
      </c>
      <c r="E213" s="67" t="s">
        <v>34</v>
      </c>
      <c r="F213" s="67" t="s">
        <v>1587</v>
      </c>
      <c r="G213" s="68">
        <v>19618</v>
      </c>
      <c r="H213" s="67" t="s">
        <v>35</v>
      </c>
      <c r="I213" s="70">
        <v>1</v>
      </c>
      <c r="J213" s="67" t="s">
        <v>108</v>
      </c>
      <c r="K213" s="67" t="s">
        <v>109</v>
      </c>
      <c r="L213" s="67" t="s">
        <v>41</v>
      </c>
      <c r="M213" s="67" t="s">
        <v>238</v>
      </c>
      <c r="N213" s="67" t="s">
        <v>1382</v>
      </c>
      <c r="O213" s="67"/>
      <c r="P213" s="67" t="s">
        <v>19</v>
      </c>
      <c r="Q213" s="69">
        <v>3745</v>
      </c>
      <c r="R213" s="4">
        <f t="shared" si="10"/>
        <v>2800</v>
      </c>
      <c r="S213" s="4">
        <f t="shared" si="11"/>
        <v>2070</v>
      </c>
    </row>
    <row r="214" spans="1:19" ht="17.100000000000001" customHeight="1" x14ac:dyDescent="0.2">
      <c r="A214" s="23"/>
      <c r="B214" s="3" t="str">
        <f ca="1">IF(A214="В заказ",MAX($B$9:OFFSET(B214,-1,0))+1,"")</f>
        <v/>
      </c>
      <c r="C214" s="6" t="str">
        <f t="shared" si="9"/>
        <v>ЛДСП 16 H3157 ST12 .</v>
      </c>
      <c r="D214" s="67" t="s">
        <v>1372</v>
      </c>
      <c r="E214" s="67" t="s">
        <v>34</v>
      </c>
      <c r="F214" s="67" t="s">
        <v>1588</v>
      </c>
      <c r="G214" s="68">
        <v>17240</v>
      </c>
      <c r="H214" s="67" t="s">
        <v>35</v>
      </c>
      <c r="I214" s="70">
        <v>1</v>
      </c>
      <c r="J214" s="67" t="s">
        <v>108</v>
      </c>
      <c r="K214" s="67" t="s">
        <v>109</v>
      </c>
      <c r="L214" s="67" t="s">
        <v>41</v>
      </c>
      <c r="M214" s="67" t="s">
        <v>238</v>
      </c>
      <c r="N214" s="67" t="s">
        <v>235</v>
      </c>
      <c r="O214" s="67"/>
      <c r="P214" s="67" t="s">
        <v>19</v>
      </c>
      <c r="Q214" s="69">
        <v>3830</v>
      </c>
      <c r="R214" s="4">
        <f t="shared" si="10"/>
        <v>2800</v>
      </c>
      <c r="S214" s="4">
        <f t="shared" si="11"/>
        <v>2070</v>
      </c>
    </row>
    <row r="215" spans="1:19" ht="17.100000000000001" customHeight="1" x14ac:dyDescent="0.2">
      <c r="A215" s="23"/>
      <c r="B215" s="3" t="str">
        <f ca="1">IF(A215="В заказ",MAX($B$9:OFFSET(B215,-1,0))+1,"")</f>
        <v/>
      </c>
      <c r="C215" s="6" t="str">
        <f t="shared" si="9"/>
        <v>ЛДСП 18 H3157 ST12 .</v>
      </c>
      <c r="D215" s="67" t="s">
        <v>1372</v>
      </c>
      <c r="E215" s="67" t="s">
        <v>34</v>
      </c>
      <c r="F215" s="67" t="s">
        <v>1589</v>
      </c>
      <c r="G215" s="68">
        <v>19578</v>
      </c>
      <c r="H215" s="67" t="s">
        <v>35</v>
      </c>
      <c r="I215" s="70">
        <v>1</v>
      </c>
      <c r="J215" s="67" t="s">
        <v>108</v>
      </c>
      <c r="K215" s="67" t="s">
        <v>109</v>
      </c>
      <c r="L215" s="67" t="s">
        <v>41</v>
      </c>
      <c r="M215" s="67" t="s">
        <v>238</v>
      </c>
      <c r="N215" s="67" t="s">
        <v>1385</v>
      </c>
      <c r="O215" s="67"/>
      <c r="P215" s="67" t="s">
        <v>19</v>
      </c>
      <c r="Q215" s="69">
        <v>4110</v>
      </c>
      <c r="R215" s="4">
        <f t="shared" si="10"/>
        <v>2800</v>
      </c>
      <c r="S215" s="4">
        <f t="shared" si="11"/>
        <v>2070</v>
      </c>
    </row>
    <row r="216" spans="1:19" ht="17.100000000000001" customHeight="1" x14ac:dyDescent="0.2">
      <c r="A216" s="23"/>
      <c r="B216" s="3" t="str">
        <f ca="1">IF(A216="В заказ",MAX($B$9:OFFSET(B216,-1,0))+1,"")</f>
        <v/>
      </c>
      <c r="C216" s="6" t="str">
        <f t="shared" si="9"/>
        <v>ЛДСП 25 H3157 ST12 .</v>
      </c>
      <c r="D216" s="67" t="s">
        <v>1372</v>
      </c>
      <c r="E216" s="67" t="s">
        <v>34</v>
      </c>
      <c r="F216" s="67" t="s">
        <v>1590</v>
      </c>
      <c r="G216" s="68">
        <v>17241</v>
      </c>
      <c r="H216" s="67" t="s">
        <v>35</v>
      </c>
      <c r="I216" s="70">
        <v>1</v>
      </c>
      <c r="J216" s="67" t="s">
        <v>108</v>
      </c>
      <c r="K216" s="67" t="s">
        <v>109</v>
      </c>
      <c r="L216" s="67" t="s">
        <v>41</v>
      </c>
      <c r="M216" s="67" t="s">
        <v>238</v>
      </c>
      <c r="N216" s="67" t="s">
        <v>1387</v>
      </c>
      <c r="O216" s="67"/>
      <c r="P216" s="67" t="s">
        <v>19</v>
      </c>
      <c r="Q216" s="69">
        <v>5350</v>
      </c>
      <c r="R216" s="4">
        <f t="shared" si="10"/>
        <v>2800</v>
      </c>
      <c r="S216" s="4">
        <f t="shared" si="11"/>
        <v>2070</v>
      </c>
    </row>
    <row r="217" spans="1:19" ht="17.100000000000001" customHeight="1" x14ac:dyDescent="0.2">
      <c r="A217" s="23"/>
      <c r="B217" s="3" t="str">
        <f ca="1">IF(A217="В заказ",MAX($B$9:OFFSET(B217,-1,0))+1,"")</f>
        <v/>
      </c>
      <c r="C217" s="6" t="str">
        <f t="shared" si="9"/>
        <v>ЛДСП 08 H3170 ST12 .</v>
      </c>
      <c r="D217" s="67" t="s">
        <v>1372</v>
      </c>
      <c r="E217" s="67" t="s">
        <v>34</v>
      </c>
      <c r="F217" s="67" t="s">
        <v>1591</v>
      </c>
      <c r="G217" s="68">
        <v>16654</v>
      </c>
      <c r="H217" s="67" t="s">
        <v>35</v>
      </c>
      <c r="I217" s="70">
        <v>1</v>
      </c>
      <c r="J217" s="67" t="s">
        <v>110</v>
      </c>
      <c r="K217" s="67" t="s">
        <v>111</v>
      </c>
      <c r="L217" s="67" t="s">
        <v>41</v>
      </c>
      <c r="M217" s="67" t="s">
        <v>238</v>
      </c>
      <c r="N217" s="67" t="s">
        <v>1382</v>
      </c>
      <c r="O217" s="67"/>
      <c r="P217" s="67" t="s">
        <v>19</v>
      </c>
      <c r="Q217" s="69">
        <v>3745</v>
      </c>
      <c r="R217" s="4">
        <f t="shared" si="10"/>
        <v>2800</v>
      </c>
      <c r="S217" s="4">
        <f t="shared" si="11"/>
        <v>2070</v>
      </c>
    </row>
    <row r="218" spans="1:19" ht="17.100000000000001" customHeight="1" x14ac:dyDescent="0.2">
      <c r="A218" s="23"/>
      <c r="B218" s="3" t="str">
        <f ca="1">IF(A218="В заказ",MAX($B$9:OFFSET(B218,-1,0))+1,"")</f>
        <v/>
      </c>
      <c r="C218" s="6" t="str">
        <f t="shared" si="9"/>
        <v>ЛДСП 16 H3170 ST12 .</v>
      </c>
      <c r="D218" s="67" t="s">
        <v>1372</v>
      </c>
      <c r="E218" s="67" t="s">
        <v>34</v>
      </c>
      <c r="F218" s="67" t="s">
        <v>1592</v>
      </c>
      <c r="G218" s="68">
        <v>13991</v>
      </c>
      <c r="H218" s="67" t="s">
        <v>35</v>
      </c>
      <c r="I218" s="70">
        <v>1</v>
      </c>
      <c r="J218" s="67" t="s">
        <v>110</v>
      </c>
      <c r="K218" s="67" t="s">
        <v>111</v>
      </c>
      <c r="L218" s="67" t="s">
        <v>41</v>
      </c>
      <c r="M218" s="67" t="s">
        <v>238</v>
      </c>
      <c r="N218" s="67" t="s">
        <v>235</v>
      </c>
      <c r="O218" s="67"/>
      <c r="P218" s="67" t="s">
        <v>19</v>
      </c>
      <c r="Q218" s="69">
        <v>3830</v>
      </c>
      <c r="R218" s="4">
        <f t="shared" si="10"/>
        <v>2800</v>
      </c>
      <c r="S218" s="4">
        <f t="shared" si="11"/>
        <v>2070</v>
      </c>
    </row>
    <row r="219" spans="1:19" ht="17.100000000000001" customHeight="1" x14ac:dyDescent="0.2">
      <c r="A219" s="23"/>
      <c r="B219" s="3" t="str">
        <f ca="1">IF(A219="В заказ",MAX($B$9:OFFSET(B219,-1,0))+1,"")</f>
        <v/>
      </c>
      <c r="C219" s="6" t="str">
        <f t="shared" si="9"/>
        <v>ЛДСП 18 H3170 ST12 .</v>
      </c>
      <c r="D219" s="67" t="s">
        <v>1372</v>
      </c>
      <c r="E219" s="67" t="s">
        <v>34</v>
      </c>
      <c r="F219" s="67" t="s">
        <v>1593</v>
      </c>
      <c r="G219" s="68">
        <v>24806</v>
      </c>
      <c r="H219" s="67" t="s">
        <v>35</v>
      </c>
      <c r="I219" s="70">
        <v>1</v>
      </c>
      <c r="J219" s="67" t="s">
        <v>110</v>
      </c>
      <c r="K219" s="67" t="s">
        <v>111</v>
      </c>
      <c r="L219" s="67" t="s">
        <v>41</v>
      </c>
      <c r="M219" s="67" t="s">
        <v>238</v>
      </c>
      <c r="N219" s="67" t="s">
        <v>1385</v>
      </c>
      <c r="O219" s="67"/>
      <c r="P219" s="67" t="s">
        <v>19</v>
      </c>
      <c r="Q219" s="69">
        <v>4110</v>
      </c>
      <c r="R219" s="4">
        <f t="shared" si="10"/>
        <v>2800</v>
      </c>
      <c r="S219" s="4">
        <f t="shared" si="11"/>
        <v>2070</v>
      </c>
    </row>
    <row r="220" spans="1:19" ht="17.100000000000001" customHeight="1" x14ac:dyDescent="0.2">
      <c r="A220" s="23"/>
      <c r="B220" s="3" t="str">
        <f ca="1">IF(A220="В заказ",MAX($B$9:OFFSET(B220,-1,0))+1,"")</f>
        <v/>
      </c>
      <c r="C220" s="6" t="str">
        <f t="shared" si="9"/>
        <v>ЛДСП 25 H3170 ST12 .</v>
      </c>
      <c r="D220" s="67" t="s">
        <v>1372</v>
      </c>
      <c r="E220" s="67" t="s">
        <v>34</v>
      </c>
      <c r="F220" s="67" t="s">
        <v>1594</v>
      </c>
      <c r="G220" s="68">
        <v>16241</v>
      </c>
      <c r="H220" s="67" t="s">
        <v>35</v>
      </c>
      <c r="I220" s="70">
        <v>1</v>
      </c>
      <c r="J220" s="67" t="s">
        <v>110</v>
      </c>
      <c r="K220" s="67" t="s">
        <v>111</v>
      </c>
      <c r="L220" s="67" t="s">
        <v>41</v>
      </c>
      <c r="M220" s="67" t="s">
        <v>238</v>
      </c>
      <c r="N220" s="67" t="s">
        <v>1387</v>
      </c>
      <c r="O220" s="67"/>
      <c r="P220" s="67" t="s">
        <v>19</v>
      </c>
      <c r="Q220" s="69">
        <v>5350</v>
      </c>
      <c r="R220" s="4">
        <f t="shared" si="10"/>
        <v>2800</v>
      </c>
      <c r="S220" s="4">
        <f t="shared" si="11"/>
        <v>2070</v>
      </c>
    </row>
    <row r="221" spans="1:19" ht="17.100000000000001" customHeight="1" x14ac:dyDescent="0.2">
      <c r="A221" s="23"/>
      <c r="B221" s="3" t="str">
        <f ca="1">IF(A221="В заказ",MAX($B$9:OFFSET(B221,-1,0))+1,"")</f>
        <v/>
      </c>
      <c r="C221" s="6" t="str">
        <f t="shared" si="9"/>
        <v>ЛДСП 08 H3176 ST37 .</v>
      </c>
      <c r="D221" s="67" t="s">
        <v>1372</v>
      </c>
      <c r="E221" s="67" t="s">
        <v>34</v>
      </c>
      <c r="F221" s="67" t="s">
        <v>1595</v>
      </c>
      <c r="G221" s="68">
        <v>21763</v>
      </c>
      <c r="H221" s="67" t="s">
        <v>35</v>
      </c>
      <c r="I221" s="70">
        <v>1</v>
      </c>
      <c r="J221" s="67" t="s">
        <v>747</v>
      </c>
      <c r="K221" s="67" t="s">
        <v>748</v>
      </c>
      <c r="L221" s="67" t="s">
        <v>55</v>
      </c>
      <c r="M221" s="67" t="s">
        <v>238</v>
      </c>
      <c r="N221" s="67" t="s">
        <v>1382</v>
      </c>
      <c r="O221" s="67"/>
      <c r="P221" s="67" t="s">
        <v>19</v>
      </c>
      <c r="Q221" s="69">
        <v>5505</v>
      </c>
      <c r="R221" s="4">
        <f t="shared" si="10"/>
        <v>2800</v>
      </c>
      <c r="S221" s="4">
        <f t="shared" si="11"/>
        <v>2070</v>
      </c>
    </row>
    <row r="222" spans="1:19" ht="17.100000000000001" customHeight="1" x14ac:dyDescent="0.2">
      <c r="A222" s="23"/>
      <c r="B222" s="3" t="str">
        <f ca="1">IF(A222="В заказ",MAX($B$9:OFFSET(B222,-1,0))+1,"")</f>
        <v/>
      </c>
      <c r="C222" s="6" t="str">
        <f t="shared" si="9"/>
        <v>ЛДСП 16 H3176 ST37 .</v>
      </c>
      <c r="D222" s="67" t="s">
        <v>1372</v>
      </c>
      <c r="E222" s="67" t="s">
        <v>34</v>
      </c>
      <c r="F222" s="67" t="s">
        <v>1596</v>
      </c>
      <c r="G222" s="68">
        <v>21627</v>
      </c>
      <c r="H222" s="67" t="s">
        <v>35</v>
      </c>
      <c r="I222" s="70">
        <v>1</v>
      </c>
      <c r="J222" s="67" t="s">
        <v>747</v>
      </c>
      <c r="K222" s="67" t="s">
        <v>748</v>
      </c>
      <c r="L222" s="67" t="s">
        <v>55</v>
      </c>
      <c r="M222" s="67" t="s">
        <v>238</v>
      </c>
      <c r="N222" s="67" t="s">
        <v>235</v>
      </c>
      <c r="O222" s="67"/>
      <c r="P222" s="67" t="s">
        <v>19</v>
      </c>
      <c r="Q222" s="69">
        <v>5580</v>
      </c>
      <c r="R222" s="4">
        <f t="shared" si="10"/>
        <v>2800</v>
      </c>
      <c r="S222" s="4">
        <f t="shared" si="11"/>
        <v>2070</v>
      </c>
    </row>
    <row r="223" spans="1:19" ht="17.100000000000001" customHeight="1" x14ac:dyDescent="0.2">
      <c r="A223" s="23"/>
      <c r="B223" s="3" t="str">
        <f ca="1">IF(A223="В заказ",MAX($B$9:OFFSET(B223,-1,0))+1,"")</f>
        <v/>
      </c>
      <c r="C223" s="6" t="str">
        <f t="shared" si="9"/>
        <v>ЛДСП 25 H3176 ST37 .</v>
      </c>
      <c r="D223" s="67" t="s">
        <v>1372</v>
      </c>
      <c r="E223" s="67" t="s">
        <v>34</v>
      </c>
      <c r="F223" s="67" t="s">
        <v>1597</v>
      </c>
      <c r="G223" s="68">
        <v>21764</v>
      </c>
      <c r="H223" s="67" t="s">
        <v>35</v>
      </c>
      <c r="I223" s="70">
        <v>1</v>
      </c>
      <c r="J223" s="67" t="s">
        <v>747</v>
      </c>
      <c r="K223" s="67" t="s">
        <v>748</v>
      </c>
      <c r="L223" s="67" t="s">
        <v>55</v>
      </c>
      <c r="M223" s="67" t="s">
        <v>238</v>
      </c>
      <c r="N223" s="67" t="s">
        <v>1387</v>
      </c>
      <c r="O223" s="67"/>
      <c r="P223" s="67" t="s">
        <v>19</v>
      </c>
      <c r="Q223" s="69">
        <v>7160</v>
      </c>
      <c r="R223" s="4">
        <f t="shared" si="10"/>
        <v>2800</v>
      </c>
      <c r="S223" s="4">
        <f t="shared" si="11"/>
        <v>2070</v>
      </c>
    </row>
    <row r="224" spans="1:19" ht="17.100000000000001" customHeight="1" x14ac:dyDescent="0.2">
      <c r="A224" s="23"/>
      <c r="B224" s="3" t="str">
        <f ca="1">IF(A224="В заказ",MAX($B$9:OFFSET(B224,-1,0))+1,"")</f>
        <v/>
      </c>
      <c r="C224" s="6" t="str">
        <f t="shared" si="9"/>
        <v>ЛДСП 08 H3190 ST19 .</v>
      </c>
      <c r="D224" s="67" t="s">
        <v>1372</v>
      </c>
      <c r="E224" s="67" t="s">
        <v>34</v>
      </c>
      <c r="F224" s="67" t="s">
        <v>1598</v>
      </c>
      <c r="G224" s="68">
        <v>22825</v>
      </c>
      <c r="H224" s="67" t="s">
        <v>35</v>
      </c>
      <c r="I224" s="70">
        <v>1</v>
      </c>
      <c r="J224" s="67" t="s">
        <v>758</v>
      </c>
      <c r="K224" s="67" t="s">
        <v>759</v>
      </c>
      <c r="L224" s="67" t="s">
        <v>251</v>
      </c>
      <c r="M224" s="67" t="s">
        <v>238</v>
      </c>
      <c r="N224" s="67" t="s">
        <v>1382</v>
      </c>
      <c r="O224" s="67"/>
      <c r="P224" s="67" t="s">
        <v>19</v>
      </c>
      <c r="Q224" s="69">
        <v>4210</v>
      </c>
      <c r="R224" s="4">
        <f t="shared" si="10"/>
        <v>2800</v>
      </c>
      <c r="S224" s="4">
        <f t="shared" si="11"/>
        <v>2070</v>
      </c>
    </row>
    <row r="225" spans="1:19" ht="17.100000000000001" customHeight="1" x14ac:dyDescent="0.2">
      <c r="A225" s="23"/>
      <c r="B225" s="3" t="str">
        <f ca="1">IF(A225="В заказ",MAX($B$9:OFFSET(B225,-1,0))+1,"")</f>
        <v/>
      </c>
      <c r="C225" s="6" t="str">
        <f t="shared" si="9"/>
        <v>ЛДСП 16 H3190 ST19 .</v>
      </c>
      <c r="D225" s="67" t="s">
        <v>1372</v>
      </c>
      <c r="E225" s="67" t="s">
        <v>34</v>
      </c>
      <c r="F225" s="67" t="s">
        <v>1599</v>
      </c>
      <c r="G225" s="68">
        <v>21629</v>
      </c>
      <c r="H225" s="67" t="s">
        <v>35</v>
      </c>
      <c r="I225" s="70">
        <v>1</v>
      </c>
      <c r="J225" s="67" t="s">
        <v>758</v>
      </c>
      <c r="K225" s="67" t="s">
        <v>759</v>
      </c>
      <c r="L225" s="67" t="s">
        <v>251</v>
      </c>
      <c r="M225" s="67" t="s">
        <v>238</v>
      </c>
      <c r="N225" s="67" t="s">
        <v>235</v>
      </c>
      <c r="O225" s="67"/>
      <c r="P225" s="67" t="s">
        <v>19</v>
      </c>
      <c r="Q225" s="69">
        <v>4285</v>
      </c>
      <c r="R225" s="4">
        <f t="shared" si="10"/>
        <v>2800</v>
      </c>
      <c r="S225" s="4">
        <f t="shared" si="11"/>
        <v>2070</v>
      </c>
    </row>
    <row r="226" spans="1:19" ht="17.100000000000001" customHeight="1" x14ac:dyDescent="0.2">
      <c r="A226" s="23"/>
      <c r="B226" s="3" t="str">
        <f ca="1">IF(A226="В заказ",MAX($B$9:OFFSET(B226,-1,0))+1,"")</f>
        <v/>
      </c>
      <c r="C226" s="6" t="str">
        <f t="shared" si="9"/>
        <v>ЛДСП 18 H3190 ST19 .</v>
      </c>
      <c r="D226" s="67" t="s">
        <v>1372</v>
      </c>
      <c r="E226" s="67" t="s">
        <v>34</v>
      </c>
      <c r="F226" s="67" t="s">
        <v>1600</v>
      </c>
      <c r="G226" s="68">
        <v>24486</v>
      </c>
      <c r="H226" s="67" t="s">
        <v>35</v>
      </c>
      <c r="I226" s="70">
        <v>1</v>
      </c>
      <c r="J226" s="67" t="s">
        <v>758</v>
      </c>
      <c r="K226" s="67" t="s">
        <v>759</v>
      </c>
      <c r="L226" s="67" t="s">
        <v>251</v>
      </c>
      <c r="M226" s="67" t="s">
        <v>238</v>
      </c>
      <c r="N226" s="67" t="s">
        <v>1385</v>
      </c>
      <c r="O226" s="67"/>
      <c r="P226" s="67" t="s">
        <v>19</v>
      </c>
      <c r="Q226" s="69">
        <v>4550</v>
      </c>
      <c r="R226" s="4">
        <f t="shared" si="10"/>
        <v>2800</v>
      </c>
      <c r="S226" s="4">
        <f t="shared" si="11"/>
        <v>2070</v>
      </c>
    </row>
    <row r="227" spans="1:19" ht="17.100000000000001" customHeight="1" x14ac:dyDescent="0.2">
      <c r="A227" s="23"/>
      <c r="B227" s="3" t="str">
        <f ca="1">IF(A227="В заказ",MAX($B$9:OFFSET(B227,-1,0))+1,"")</f>
        <v/>
      </c>
      <c r="C227" s="6" t="str">
        <f t="shared" si="9"/>
        <v>ЛДСП 25 H3190 ST19 .</v>
      </c>
      <c r="D227" s="67" t="s">
        <v>1372</v>
      </c>
      <c r="E227" s="67" t="s">
        <v>34</v>
      </c>
      <c r="F227" s="67" t="s">
        <v>1601</v>
      </c>
      <c r="G227" s="68">
        <v>22169</v>
      </c>
      <c r="H227" s="67" t="s">
        <v>35</v>
      </c>
      <c r="I227" s="70">
        <v>1</v>
      </c>
      <c r="J227" s="67" t="s">
        <v>758</v>
      </c>
      <c r="K227" s="67" t="s">
        <v>759</v>
      </c>
      <c r="L227" s="67" t="s">
        <v>251</v>
      </c>
      <c r="M227" s="67" t="s">
        <v>238</v>
      </c>
      <c r="N227" s="67" t="s">
        <v>1387</v>
      </c>
      <c r="O227" s="67"/>
      <c r="P227" s="67" t="s">
        <v>19</v>
      </c>
      <c r="Q227" s="69">
        <v>5765</v>
      </c>
      <c r="R227" s="4">
        <f t="shared" si="10"/>
        <v>2800</v>
      </c>
      <c r="S227" s="4">
        <f t="shared" si="11"/>
        <v>2070</v>
      </c>
    </row>
    <row r="228" spans="1:19" ht="17.100000000000001" customHeight="1" x14ac:dyDescent="0.2">
      <c r="A228" s="23"/>
      <c r="B228" s="3" t="str">
        <f ca="1">IF(A228="В заказ",MAX($B$9:OFFSET(B228,-1,0))+1,"")</f>
        <v/>
      </c>
      <c r="C228" s="6" t="str">
        <f t="shared" si="9"/>
        <v>ЛДСП 08 H3192 ST19 .</v>
      </c>
      <c r="D228" s="67" t="s">
        <v>1372</v>
      </c>
      <c r="E228" s="67" t="s">
        <v>34</v>
      </c>
      <c r="F228" s="67" t="s">
        <v>1602</v>
      </c>
      <c r="G228" s="68">
        <v>21912</v>
      </c>
      <c r="H228" s="67" t="s">
        <v>35</v>
      </c>
      <c r="I228" s="70">
        <v>1</v>
      </c>
      <c r="J228" s="67" t="s">
        <v>769</v>
      </c>
      <c r="K228" s="67" t="s">
        <v>770</v>
      </c>
      <c r="L228" s="67" t="s">
        <v>251</v>
      </c>
      <c r="M228" s="67" t="s">
        <v>238</v>
      </c>
      <c r="N228" s="67" t="s">
        <v>1382</v>
      </c>
      <c r="O228" s="67"/>
      <c r="P228" s="67" t="s">
        <v>19</v>
      </c>
      <c r="Q228" s="69">
        <v>4210</v>
      </c>
      <c r="R228" s="4">
        <f t="shared" si="10"/>
        <v>2800</v>
      </c>
      <c r="S228" s="4">
        <f t="shared" si="11"/>
        <v>2070</v>
      </c>
    </row>
    <row r="229" spans="1:19" ht="17.100000000000001" customHeight="1" x14ac:dyDescent="0.2">
      <c r="A229" s="23"/>
      <c r="B229" s="3" t="str">
        <f ca="1">IF(A229="В заказ",MAX($B$9:OFFSET(B229,-1,0))+1,"")</f>
        <v/>
      </c>
      <c r="C229" s="6" t="str">
        <f t="shared" si="9"/>
        <v>ЛДСП 16 H3192 ST19 .</v>
      </c>
      <c r="D229" s="67" t="s">
        <v>1372</v>
      </c>
      <c r="E229" s="67" t="s">
        <v>34</v>
      </c>
      <c r="F229" s="67" t="s">
        <v>1603</v>
      </c>
      <c r="G229" s="68">
        <v>21630</v>
      </c>
      <c r="H229" s="67" t="s">
        <v>35</v>
      </c>
      <c r="I229" s="70">
        <v>1</v>
      </c>
      <c r="J229" s="67" t="s">
        <v>769</v>
      </c>
      <c r="K229" s="67" t="s">
        <v>770</v>
      </c>
      <c r="L229" s="67" t="s">
        <v>251</v>
      </c>
      <c r="M229" s="67" t="s">
        <v>238</v>
      </c>
      <c r="N229" s="67" t="s">
        <v>235</v>
      </c>
      <c r="O229" s="67"/>
      <c r="P229" s="67" t="s">
        <v>19</v>
      </c>
      <c r="Q229" s="69">
        <v>4285</v>
      </c>
      <c r="R229" s="4">
        <f t="shared" si="10"/>
        <v>2800</v>
      </c>
      <c r="S229" s="4">
        <f t="shared" si="11"/>
        <v>2070</v>
      </c>
    </row>
    <row r="230" spans="1:19" ht="17.100000000000001" customHeight="1" x14ac:dyDescent="0.2">
      <c r="A230" s="23"/>
      <c r="B230" s="3" t="str">
        <f ca="1">IF(A230="В заказ",MAX($B$9:OFFSET(B230,-1,0))+1,"")</f>
        <v/>
      </c>
      <c r="C230" s="6" t="str">
        <f t="shared" si="9"/>
        <v>ЛДСП 18 H3192 ST19 .</v>
      </c>
      <c r="D230" s="67" t="s">
        <v>1372</v>
      </c>
      <c r="E230" s="67" t="s">
        <v>34</v>
      </c>
      <c r="F230" s="67" t="s">
        <v>1604</v>
      </c>
      <c r="G230" s="68">
        <v>24487</v>
      </c>
      <c r="H230" s="67" t="s">
        <v>35</v>
      </c>
      <c r="I230" s="70">
        <v>1</v>
      </c>
      <c r="J230" s="67" t="s">
        <v>769</v>
      </c>
      <c r="K230" s="67" t="s">
        <v>770</v>
      </c>
      <c r="L230" s="67" t="s">
        <v>251</v>
      </c>
      <c r="M230" s="67" t="s">
        <v>238</v>
      </c>
      <c r="N230" s="67" t="s">
        <v>1385</v>
      </c>
      <c r="O230" s="67"/>
      <c r="P230" s="67" t="s">
        <v>19</v>
      </c>
      <c r="Q230" s="69">
        <v>4550</v>
      </c>
      <c r="R230" s="4">
        <f t="shared" si="10"/>
        <v>2800</v>
      </c>
      <c r="S230" s="4">
        <f t="shared" si="11"/>
        <v>2070</v>
      </c>
    </row>
    <row r="231" spans="1:19" ht="17.100000000000001" customHeight="1" x14ac:dyDescent="0.2">
      <c r="A231" s="23"/>
      <c r="B231" s="3" t="str">
        <f ca="1">IF(A231="В заказ",MAX($B$9:OFFSET(B231,-1,0))+1,"")</f>
        <v/>
      </c>
      <c r="C231" s="6" t="str">
        <f t="shared" si="9"/>
        <v>ЛДСП 25 H3192 ST19 .</v>
      </c>
      <c r="D231" s="67" t="s">
        <v>1372</v>
      </c>
      <c r="E231" s="67" t="s">
        <v>34</v>
      </c>
      <c r="F231" s="67" t="s">
        <v>1605</v>
      </c>
      <c r="G231" s="68">
        <v>22451</v>
      </c>
      <c r="H231" s="67" t="s">
        <v>35</v>
      </c>
      <c r="I231" s="70">
        <v>1</v>
      </c>
      <c r="J231" s="67" t="s">
        <v>769</v>
      </c>
      <c r="K231" s="67" t="s">
        <v>770</v>
      </c>
      <c r="L231" s="67" t="s">
        <v>251</v>
      </c>
      <c r="M231" s="67" t="s">
        <v>238</v>
      </c>
      <c r="N231" s="67" t="s">
        <v>1387</v>
      </c>
      <c r="O231" s="67"/>
      <c r="P231" s="67" t="s">
        <v>19</v>
      </c>
      <c r="Q231" s="69">
        <v>5765</v>
      </c>
      <c r="R231" s="4">
        <f t="shared" si="10"/>
        <v>2800</v>
      </c>
      <c r="S231" s="4">
        <f t="shared" si="11"/>
        <v>2070</v>
      </c>
    </row>
    <row r="232" spans="1:19" ht="17.100000000000001" customHeight="1" x14ac:dyDescent="0.2">
      <c r="A232" s="23"/>
      <c r="B232" s="3" t="str">
        <f ca="1">IF(A232="В заказ",MAX($B$9:OFFSET(B232,-1,0))+1,"")</f>
        <v/>
      </c>
      <c r="C232" s="6" t="str">
        <f t="shared" si="9"/>
        <v>ЛДСП 08 H3303 ST10 .</v>
      </c>
      <c r="D232" s="67" t="s">
        <v>1372</v>
      </c>
      <c r="E232" s="67" t="s">
        <v>34</v>
      </c>
      <c r="F232" s="67" t="s">
        <v>1606</v>
      </c>
      <c r="G232" s="68">
        <v>16655</v>
      </c>
      <c r="H232" s="67" t="s">
        <v>35</v>
      </c>
      <c r="I232" s="70">
        <v>1</v>
      </c>
      <c r="J232" s="67" t="s">
        <v>112</v>
      </c>
      <c r="K232" s="67" t="s">
        <v>113</v>
      </c>
      <c r="L232" s="67" t="s">
        <v>38</v>
      </c>
      <c r="M232" s="67" t="s">
        <v>238</v>
      </c>
      <c r="N232" s="67" t="s">
        <v>1382</v>
      </c>
      <c r="O232" s="67"/>
      <c r="P232" s="67" t="s">
        <v>19</v>
      </c>
      <c r="Q232" s="69">
        <v>3545</v>
      </c>
      <c r="R232" s="4">
        <f t="shared" si="10"/>
        <v>2800</v>
      </c>
      <c r="S232" s="4">
        <f t="shared" si="11"/>
        <v>2070</v>
      </c>
    </row>
    <row r="233" spans="1:19" ht="17.100000000000001" customHeight="1" x14ac:dyDescent="0.2">
      <c r="A233" s="23"/>
      <c r="B233" s="3" t="str">
        <f ca="1">IF(A233="В заказ",MAX($B$9:OFFSET(B233,-1,0))+1,"")</f>
        <v/>
      </c>
      <c r="C233" s="6" t="str">
        <f t="shared" si="9"/>
        <v>ЛДСП 16 H3303 ST10 .</v>
      </c>
      <c r="D233" s="67" t="s">
        <v>1372</v>
      </c>
      <c r="E233" s="67" t="s">
        <v>34</v>
      </c>
      <c r="F233" s="67" t="s">
        <v>1607</v>
      </c>
      <c r="G233" s="68">
        <v>12628</v>
      </c>
      <c r="H233" s="67" t="s">
        <v>35</v>
      </c>
      <c r="I233" s="70">
        <v>1</v>
      </c>
      <c r="J233" s="67" t="s">
        <v>112</v>
      </c>
      <c r="K233" s="67" t="s">
        <v>113</v>
      </c>
      <c r="L233" s="67" t="s">
        <v>38</v>
      </c>
      <c r="M233" s="67" t="s">
        <v>238</v>
      </c>
      <c r="N233" s="67" t="s">
        <v>235</v>
      </c>
      <c r="O233" s="67"/>
      <c r="P233" s="67" t="s">
        <v>19</v>
      </c>
      <c r="Q233" s="69">
        <v>3630</v>
      </c>
      <c r="R233" s="4">
        <f t="shared" si="10"/>
        <v>2800</v>
      </c>
      <c r="S233" s="4">
        <f t="shared" si="11"/>
        <v>2070</v>
      </c>
    </row>
    <row r="234" spans="1:19" ht="17.100000000000001" customHeight="1" x14ac:dyDescent="0.2">
      <c r="A234" s="23"/>
      <c r="B234" s="3" t="str">
        <f ca="1">IF(A234="В заказ",MAX($B$9:OFFSET(B234,-1,0))+1,"")</f>
        <v/>
      </c>
      <c r="C234" s="6" t="str">
        <f t="shared" si="9"/>
        <v>ЛДСП 18 H3303 ST10 .</v>
      </c>
      <c r="D234" s="67" t="s">
        <v>1372</v>
      </c>
      <c r="E234" s="67" t="s">
        <v>34</v>
      </c>
      <c r="F234" s="67" t="s">
        <v>1608</v>
      </c>
      <c r="G234" s="68">
        <v>24488</v>
      </c>
      <c r="H234" s="67" t="s">
        <v>35</v>
      </c>
      <c r="I234" s="70">
        <v>1</v>
      </c>
      <c r="J234" s="67" t="s">
        <v>112</v>
      </c>
      <c r="K234" s="67" t="s">
        <v>113</v>
      </c>
      <c r="L234" s="67" t="s">
        <v>38</v>
      </c>
      <c r="M234" s="67" t="s">
        <v>238</v>
      </c>
      <c r="N234" s="67" t="s">
        <v>1385</v>
      </c>
      <c r="O234" s="67"/>
      <c r="P234" s="67" t="s">
        <v>19</v>
      </c>
      <c r="Q234" s="69">
        <v>3910</v>
      </c>
      <c r="R234" s="4">
        <f t="shared" si="10"/>
        <v>2800</v>
      </c>
      <c r="S234" s="4">
        <f t="shared" si="11"/>
        <v>2070</v>
      </c>
    </row>
    <row r="235" spans="1:19" ht="17.100000000000001" customHeight="1" x14ac:dyDescent="0.2">
      <c r="A235" s="23"/>
      <c r="B235" s="3" t="str">
        <f ca="1">IF(A235="В заказ",MAX($B$9:OFFSET(B235,-1,0))+1,"")</f>
        <v/>
      </c>
      <c r="C235" s="6" t="str">
        <f t="shared" si="9"/>
        <v>ЛДСП 25 H3303 ST10 .</v>
      </c>
      <c r="D235" s="67" t="s">
        <v>1372</v>
      </c>
      <c r="E235" s="67" t="s">
        <v>34</v>
      </c>
      <c r="F235" s="67" t="s">
        <v>1609</v>
      </c>
      <c r="G235" s="68">
        <v>15110</v>
      </c>
      <c r="H235" s="67" t="s">
        <v>35</v>
      </c>
      <c r="I235" s="70">
        <v>1</v>
      </c>
      <c r="J235" s="67" t="s">
        <v>112</v>
      </c>
      <c r="K235" s="67" t="s">
        <v>113</v>
      </c>
      <c r="L235" s="67" t="s">
        <v>38</v>
      </c>
      <c r="M235" s="67" t="s">
        <v>238</v>
      </c>
      <c r="N235" s="67" t="s">
        <v>1387</v>
      </c>
      <c r="O235" s="67"/>
      <c r="P235" s="67" t="s">
        <v>19</v>
      </c>
      <c r="Q235" s="69">
        <v>5175</v>
      </c>
      <c r="R235" s="4">
        <f t="shared" si="10"/>
        <v>2800</v>
      </c>
      <c r="S235" s="4">
        <f t="shared" si="11"/>
        <v>2070</v>
      </c>
    </row>
    <row r="236" spans="1:19" ht="17.100000000000001" customHeight="1" x14ac:dyDescent="0.2">
      <c r="A236" s="23"/>
      <c r="B236" s="3" t="str">
        <f ca="1">IF(A236="В заказ",MAX($B$9:OFFSET(B236,-1,0))+1,"")</f>
        <v/>
      </c>
      <c r="C236" s="6" t="str">
        <f t="shared" si="9"/>
        <v>ЛДСП 08 H3309 ST28 .</v>
      </c>
      <c r="D236" s="67" t="s">
        <v>1372</v>
      </c>
      <c r="E236" s="67" t="s">
        <v>34</v>
      </c>
      <c r="F236" s="67" t="s">
        <v>1610</v>
      </c>
      <c r="G236" s="68">
        <v>9944</v>
      </c>
      <c r="H236" s="67" t="s">
        <v>35</v>
      </c>
      <c r="I236" s="70">
        <v>1</v>
      </c>
      <c r="J236" s="67" t="s">
        <v>114</v>
      </c>
      <c r="K236" s="67" t="s">
        <v>115</v>
      </c>
      <c r="L236" s="67" t="s">
        <v>116</v>
      </c>
      <c r="M236" s="67" t="s">
        <v>238</v>
      </c>
      <c r="N236" s="67" t="s">
        <v>1382</v>
      </c>
      <c r="O236" s="67"/>
      <c r="P236" s="67" t="s">
        <v>19</v>
      </c>
      <c r="Q236" s="69">
        <v>5505</v>
      </c>
      <c r="R236" s="4">
        <f t="shared" si="10"/>
        <v>2800</v>
      </c>
      <c r="S236" s="4">
        <f t="shared" si="11"/>
        <v>2070</v>
      </c>
    </row>
    <row r="237" spans="1:19" ht="17.100000000000001" customHeight="1" x14ac:dyDescent="0.2">
      <c r="A237" s="23"/>
      <c r="B237" s="3" t="str">
        <f ca="1">IF(A237="В заказ",MAX($B$9:OFFSET(B237,-1,0))+1,"")</f>
        <v/>
      </c>
      <c r="C237" s="6" t="str">
        <f t="shared" si="9"/>
        <v>ЛДСП 16 H3309 ST28 .</v>
      </c>
      <c r="D237" s="67" t="s">
        <v>1372</v>
      </c>
      <c r="E237" s="67" t="s">
        <v>34</v>
      </c>
      <c r="F237" s="67" t="s">
        <v>1611</v>
      </c>
      <c r="G237" s="68">
        <v>9146</v>
      </c>
      <c r="H237" s="67" t="s">
        <v>35</v>
      </c>
      <c r="I237" s="70">
        <v>1</v>
      </c>
      <c r="J237" s="67" t="s">
        <v>114</v>
      </c>
      <c r="K237" s="67" t="s">
        <v>115</v>
      </c>
      <c r="L237" s="67" t="s">
        <v>116</v>
      </c>
      <c r="M237" s="67" t="s">
        <v>238</v>
      </c>
      <c r="N237" s="67" t="s">
        <v>235</v>
      </c>
      <c r="O237" s="67"/>
      <c r="P237" s="67" t="s">
        <v>19</v>
      </c>
      <c r="Q237" s="69">
        <v>5580</v>
      </c>
      <c r="R237" s="4">
        <f t="shared" si="10"/>
        <v>2800</v>
      </c>
      <c r="S237" s="4">
        <f t="shared" si="11"/>
        <v>2070</v>
      </c>
    </row>
    <row r="238" spans="1:19" ht="17.100000000000001" customHeight="1" x14ac:dyDescent="0.2">
      <c r="A238" s="23"/>
      <c r="B238" s="3" t="str">
        <f ca="1">IF(A238="В заказ",MAX($B$9:OFFSET(B238,-1,0))+1,"")</f>
        <v/>
      </c>
      <c r="C238" s="6" t="str">
        <f t="shared" si="9"/>
        <v>ЛДСП 18 H3309 ST28 .</v>
      </c>
      <c r="D238" s="67" t="s">
        <v>1372</v>
      </c>
      <c r="E238" s="67" t="s">
        <v>34</v>
      </c>
      <c r="F238" s="67" t="s">
        <v>1612</v>
      </c>
      <c r="G238" s="68">
        <v>20601</v>
      </c>
      <c r="H238" s="67" t="s">
        <v>35</v>
      </c>
      <c r="I238" s="70">
        <v>1</v>
      </c>
      <c r="J238" s="67" t="s">
        <v>114</v>
      </c>
      <c r="K238" s="67" t="s">
        <v>115</v>
      </c>
      <c r="L238" s="67" t="s">
        <v>116</v>
      </c>
      <c r="M238" s="67" t="s">
        <v>238</v>
      </c>
      <c r="N238" s="67" t="s">
        <v>1385</v>
      </c>
      <c r="O238" s="67"/>
      <c r="P238" s="67" t="s">
        <v>19</v>
      </c>
      <c r="Q238" s="69">
        <v>5860</v>
      </c>
      <c r="R238" s="4">
        <f t="shared" si="10"/>
        <v>2800</v>
      </c>
      <c r="S238" s="4">
        <f t="shared" si="11"/>
        <v>2070</v>
      </c>
    </row>
    <row r="239" spans="1:19" ht="17.100000000000001" customHeight="1" x14ac:dyDescent="0.2">
      <c r="A239" s="23"/>
      <c r="B239" s="3" t="str">
        <f ca="1">IF(A239="В заказ",MAX($B$9:OFFSET(B239,-1,0))+1,"")</f>
        <v/>
      </c>
      <c r="C239" s="6" t="str">
        <f t="shared" si="9"/>
        <v>ЛДСП 25 H3309 ST28 .</v>
      </c>
      <c r="D239" s="67" t="s">
        <v>1372</v>
      </c>
      <c r="E239" s="67" t="s">
        <v>34</v>
      </c>
      <c r="F239" s="67" t="s">
        <v>1613</v>
      </c>
      <c r="G239" s="68">
        <v>15338</v>
      </c>
      <c r="H239" s="67" t="s">
        <v>35</v>
      </c>
      <c r="I239" s="70">
        <v>1</v>
      </c>
      <c r="J239" s="67" t="s">
        <v>114</v>
      </c>
      <c r="K239" s="67" t="s">
        <v>115</v>
      </c>
      <c r="L239" s="67" t="s">
        <v>116</v>
      </c>
      <c r="M239" s="67" t="s">
        <v>238</v>
      </c>
      <c r="N239" s="67" t="s">
        <v>1387</v>
      </c>
      <c r="O239" s="67"/>
      <c r="P239" s="67" t="s">
        <v>19</v>
      </c>
      <c r="Q239" s="69">
        <v>7160</v>
      </c>
      <c r="R239" s="4">
        <f t="shared" si="10"/>
        <v>2800</v>
      </c>
      <c r="S239" s="4">
        <f t="shared" si="11"/>
        <v>2070</v>
      </c>
    </row>
    <row r="240" spans="1:19" ht="17.100000000000001" customHeight="1" x14ac:dyDescent="0.2">
      <c r="A240" s="23"/>
      <c r="B240" s="3" t="str">
        <f ca="1">IF(A240="В заказ",MAX($B$9:OFFSET(B240,-1,0))+1,"")</f>
        <v/>
      </c>
      <c r="C240" s="6" t="str">
        <f t="shared" si="9"/>
        <v>ЛДСП 08 H3325 ST28 .</v>
      </c>
      <c r="D240" s="67" t="s">
        <v>1372</v>
      </c>
      <c r="E240" s="67" t="s">
        <v>34</v>
      </c>
      <c r="F240" s="67" t="s">
        <v>1614</v>
      </c>
      <c r="G240" s="68">
        <v>14406</v>
      </c>
      <c r="H240" s="67" t="s">
        <v>35</v>
      </c>
      <c r="I240" s="70">
        <v>1</v>
      </c>
      <c r="J240" s="67" t="s">
        <v>117</v>
      </c>
      <c r="K240" s="67" t="s">
        <v>118</v>
      </c>
      <c r="L240" s="67" t="s">
        <v>116</v>
      </c>
      <c r="M240" s="67" t="s">
        <v>238</v>
      </c>
      <c r="N240" s="67" t="s">
        <v>1382</v>
      </c>
      <c r="O240" s="67"/>
      <c r="P240" s="67" t="s">
        <v>19</v>
      </c>
      <c r="Q240" s="69">
        <v>5505</v>
      </c>
      <c r="R240" s="4">
        <f t="shared" si="10"/>
        <v>2800</v>
      </c>
      <c r="S240" s="4">
        <f t="shared" si="11"/>
        <v>2070</v>
      </c>
    </row>
    <row r="241" spans="1:19" ht="17.100000000000001" customHeight="1" x14ac:dyDescent="0.2">
      <c r="A241" s="23"/>
      <c r="B241" s="3" t="str">
        <f ca="1">IF(A241="В заказ",MAX($B$9:OFFSET(B241,-1,0))+1,"")</f>
        <v/>
      </c>
      <c r="C241" s="6" t="str">
        <f t="shared" si="9"/>
        <v>ЛДСП 16 H3325 ST28 .</v>
      </c>
      <c r="D241" s="67" t="s">
        <v>1372</v>
      </c>
      <c r="E241" s="67" t="s">
        <v>34</v>
      </c>
      <c r="F241" s="67" t="s">
        <v>1615</v>
      </c>
      <c r="G241" s="68">
        <v>9194</v>
      </c>
      <c r="H241" s="67" t="s">
        <v>35</v>
      </c>
      <c r="I241" s="70">
        <v>1</v>
      </c>
      <c r="J241" s="67" t="s">
        <v>117</v>
      </c>
      <c r="K241" s="67" t="s">
        <v>118</v>
      </c>
      <c r="L241" s="67" t="s">
        <v>116</v>
      </c>
      <c r="M241" s="67" t="s">
        <v>238</v>
      </c>
      <c r="N241" s="67" t="s">
        <v>235</v>
      </c>
      <c r="O241" s="67"/>
      <c r="P241" s="67" t="s">
        <v>19</v>
      </c>
      <c r="Q241" s="69">
        <v>5580</v>
      </c>
      <c r="R241" s="4">
        <f t="shared" si="10"/>
        <v>2800</v>
      </c>
      <c r="S241" s="4">
        <f t="shared" si="11"/>
        <v>2070</v>
      </c>
    </row>
    <row r="242" spans="1:19" ht="17.100000000000001" customHeight="1" x14ac:dyDescent="0.2">
      <c r="A242" s="23"/>
      <c r="B242" s="3" t="str">
        <f ca="1">IF(A242="В заказ",MAX($B$9:OFFSET(B242,-1,0))+1,"")</f>
        <v/>
      </c>
      <c r="C242" s="6" t="str">
        <f t="shared" si="9"/>
        <v>ЛДСП 18 H3325 ST28 .</v>
      </c>
      <c r="D242" s="67" t="s">
        <v>1372</v>
      </c>
      <c r="E242" s="67" t="s">
        <v>34</v>
      </c>
      <c r="F242" s="67" t="s">
        <v>1616</v>
      </c>
      <c r="G242" s="68">
        <v>23147</v>
      </c>
      <c r="H242" s="67" t="s">
        <v>35</v>
      </c>
      <c r="I242" s="70">
        <v>1</v>
      </c>
      <c r="J242" s="67" t="s">
        <v>117</v>
      </c>
      <c r="K242" s="67" t="s">
        <v>118</v>
      </c>
      <c r="L242" s="67" t="s">
        <v>116</v>
      </c>
      <c r="M242" s="67" t="s">
        <v>238</v>
      </c>
      <c r="N242" s="67" t="s">
        <v>1385</v>
      </c>
      <c r="O242" s="67"/>
      <c r="P242" s="67" t="s">
        <v>19</v>
      </c>
      <c r="Q242" s="69">
        <v>5860</v>
      </c>
      <c r="R242" s="4">
        <f t="shared" si="10"/>
        <v>2800</v>
      </c>
      <c r="S242" s="4">
        <f t="shared" si="11"/>
        <v>2070</v>
      </c>
    </row>
    <row r="243" spans="1:19" ht="17.100000000000001" customHeight="1" x14ac:dyDescent="0.2">
      <c r="A243" s="23"/>
      <c r="B243" s="3" t="str">
        <f ca="1">IF(A243="В заказ",MAX($B$9:OFFSET(B243,-1,0))+1,"")</f>
        <v/>
      </c>
      <c r="C243" s="6" t="str">
        <f t="shared" si="9"/>
        <v>ЛДСП 25 H3325 ST28 .</v>
      </c>
      <c r="D243" s="67" t="s">
        <v>1372</v>
      </c>
      <c r="E243" s="67" t="s">
        <v>34</v>
      </c>
      <c r="F243" s="67" t="s">
        <v>1617</v>
      </c>
      <c r="G243" s="68">
        <v>14509</v>
      </c>
      <c r="H243" s="67" t="s">
        <v>35</v>
      </c>
      <c r="I243" s="70">
        <v>1</v>
      </c>
      <c r="J243" s="67" t="s">
        <v>117</v>
      </c>
      <c r="K243" s="67" t="s">
        <v>118</v>
      </c>
      <c r="L243" s="67" t="s">
        <v>116</v>
      </c>
      <c r="M243" s="67" t="s">
        <v>238</v>
      </c>
      <c r="N243" s="67" t="s">
        <v>1387</v>
      </c>
      <c r="O243" s="67"/>
      <c r="P243" s="67" t="s">
        <v>19</v>
      </c>
      <c r="Q243" s="69">
        <v>7160</v>
      </c>
      <c r="R243" s="4">
        <f t="shared" si="10"/>
        <v>2800</v>
      </c>
      <c r="S243" s="4">
        <f t="shared" si="11"/>
        <v>2070</v>
      </c>
    </row>
    <row r="244" spans="1:19" ht="17.100000000000001" customHeight="1" x14ac:dyDescent="0.2">
      <c r="A244" s="23"/>
      <c r="B244" s="3" t="str">
        <f ca="1">IF(A244="В заказ",MAX($B$9:OFFSET(B244,-1,0))+1,"")</f>
        <v/>
      </c>
      <c r="C244" s="6" t="str">
        <f t="shared" si="9"/>
        <v>ЛДСП 08 H3326 ST28 .</v>
      </c>
      <c r="D244" s="67" t="s">
        <v>1372</v>
      </c>
      <c r="E244" s="67" t="s">
        <v>34</v>
      </c>
      <c r="F244" s="67" t="s">
        <v>1618</v>
      </c>
      <c r="G244" s="68">
        <v>9208</v>
      </c>
      <c r="H244" s="67" t="s">
        <v>35</v>
      </c>
      <c r="I244" s="70">
        <v>1</v>
      </c>
      <c r="J244" s="67" t="s">
        <v>810</v>
      </c>
      <c r="K244" s="67" t="s">
        <v>811</v>
      </c>
      <c r="L244" s="67" t="s">
        <v>116</v>
      </c>
      <c r="M244" s="67" t="s">
        <v>238</v>
      </c>
      <c r="N244" s="67" t="s">
        <v>1382</v>
      </c>
      <c r="O244" s="67"/>
      <c r="P244" s="67" t="s">
        <v>19</v>
      </c>
      <c r="Q244" s="69">
        <v>5505</v>
      </c>
      <c r="R244" s="4">
        <f t="shared" si="10"/>
        <v>2800</v>
      </c>
      <c r="S244" s="4">
        <f t="shared" si="11"/>
        <v>2070</v>
      </c>
    </row>
    <row r="245" spans="1:19" ht="17.100000000000001" customHeight="1" x14ac:dyDescent="0.2">
      <c r="A245" s="23"/>
      <c r="B245" s="3" t="str">
        <f ca="1">IF(A245="В заказ",MAX($B$9:OFFSET(B245,-1,0))+1,"")</f>
        <v/>
      </c>
      <c r="C245" s="6" t="str">
        <f t="shared" si="9"/>
        <v>ЛДСП 16 H3326 ST28 .</v>
      </c>
      <c r="D245" s="67" t="s">
        <v>1372</v>
      </c>
      <c r="E245" s="67" t="s">
        <v>34</v>
      </c>
      <c r="F245" s="67" t="s">
        <v>1619</v>
      </c>
      <c r="G245" s="68">
        <v>8452</v>
      </c>
      <c r="H245" s="67" t="s">
        <v>35</v>
      </c>
      <c r="I245" s="70">
        <v>1</v>
      </c>
      <c r="J245" s="67" t="s">
        <v>810</v>
      </c>
      <c r="K245" s="67" t="s">
        <v>811</v>
      </c>
      <c r="L245" s="67" t="s">
        <v>116</v>
      </c>
      <c r="M245" s="67" t="s">
        <v>238</v>
      </c>
      <c r="N245" s="67" t="s">
        <v>235</v>
      </c>
      <c r="O245" s="67"/>
      <c r="P245" s="67" t="s">
        <v>19</v>
      </c>
      <c r="Q245" s="69">
        <v>5580</v>
      </c>
      <c r="R245" s="4">
        <f t="shared" si="10"/>
        <v>2800</v>
      </c>
      <c r="S245" s="4">
        <f t="shared" si="11"/>
        <v>2070</v>
      </c>
    </row>
    <row r="246" spans="1:19" ht="17.100000000000001" customHeight="1" x14ac:dyDescent="0.2">
      <c r="A246" s="23"/>
      <c r="B246" s="3" t="str">
        <f ca="1">IF(A246="В заказ",MAX($B$9:OFFSET(B246,-1,0))+1,"")</f>
        <v/>
      </c>
      <c r="C246" s="6" t="str">
        <f t="shared" si="9"/>
        <v>ЛДСП 25 H3326 ST28 .</v>
      </c>
      <c r="D246" s="67" t="s">
        <v>1372</v>
      </c>
      <c r="E246" s="67" t="s">
        <v>34</v>
      </c>
      <c r="F246" s="67" t="s">
        <v>1620</v>
      </c>
      <c r="G246" s="68">
        <v>16678</v>
      </c>
      <c r="H246" s="67" t="s">
        <v>35</v>
      </c>
      <c r="I246" s="70">
        <v>1</v>
      </c>
      <c r="J246" s="67" t="s">
        <v>810</v>
      </c>
      <c r="K246" s="67" t="s">
        <v>811</v>
      </c>
      <c r="L246" s="67" t="s">
        <v>116</v>
      </c>
      <c r="M246" s="67" t="s">
        <v>238</v>
      </c>
      <c r="N246" s="67" t="s">
        <v>1387</v>
      </c>
      <c r="O246" s="67"/>
      <c r="P246" s="67" t="s">
        <v>19</v>
      </c>
      <c r="Q246" s="69">
        <v>7160</v>
      </c>
      <c r="R246" s="4">
        <f t="shared" si="10"/>
        <v>2800</v>
      </c>
      <c r="S246" s="4">
        <f t="shared" si="11"/>
        <v>2070</v>
      </c>
    </row>
    <row r="247" spans="1:19" ht="17.100000000000001" customHeight="1" x14ac:dyDescent="0.2">
      <c r="A247" s="23"/>
      <c r="B247" s="3" t="str">
        <f ca="1">IF(A247="В заказ",MAX($B$9:OFFSET(B247,-1,0))+1,"")</f>
        <v/>
      </c>
      <c r="C247" s="6" t="str">
        <f t="shared" si="9"/>
        <v>ЛДСП 08 H3330 ST36 .</v>
      </c>
      <c r="D247" s="67" t="s">
        <v>1372</v>
      </c>
      <c r="E247" s="67" t="s">
        <v>34</v>
      </c>
      <c r="F247" s="67" t="s">
        <v>1621</v>
      </c>
      <c r="G247" s="68">
        <v>22987</v>
      </c>
      <c r="H247" s="67" t="s">
        <v>35</v>
      </c>
      <c r="I247" s="70">
        <v>1</v>
      </c>
      <c r="J247" s="67" t="s">
        <v>819</v>
      </c>
      <c r="K247" s="67" t="s">
        <v>820</v>
      </c>
      <c r="L247" s="67" t="s">
        <v>64</v>
      </c>
      <c r="M247" s="67" t="s">
        <v>238</v>
      </c>
      <c r="N247" s="67" t="s">
        <v>1382</v>
      </c>
      <c r="O247" s="67"/>
      <c r="P247" s="67" t="s">
        <v>19</v>
      </c>
      <c r="Q247" s="69">
        <v>5150</v>
      </c>
      <c r="R247" s="4">
        <f t="shared" si="10"/>
        <v>2800</v>
      </c>
      <c r="S247" s="4">
        <f t="shared" si="11"/>
        <v>2070</v>
      </c>
    </row>
    <row r="248" spans="1:19" ht="17.100000000000001" customHeight="1" x14ac:dyDescent="0.2">
      <c r="A248" s="23"/>
      <c r="B248" s="3" t="str">
        <f ca="1">IF(A248="В заказ",MAX($B$9:OFFSET(B248,-1,0))+1,"")</f>
        <v/>
      </c>
      <c r="C248" s="6" t="str">
        <f t="shared" si="9"/>
        <v>ЛДСП 16 H3330 ST36 .</v>
      </c>
      <c r="D248" s="67" t="s">
        <v>1372</v>
      </c>
      <c r="E248" s="67" t="s">
        <v>34</v>
      </c>
      <c r="F248" s="67" t="s">
        <v>1622</v>
      </c>
      <c r="G248" s="68">
        <v>21631</v>
      </c>
      <c r="H248" s="67" t="s">
        <v>35</v>
      </c>
      <c r="I248" s="70">
        <v>1</v>
      </c>
      <c r="J248" s="67" t="s">
        <v>819</v>
      </c>
      <c r="K248" s="67" t="s">
        <v>820</v>
      </c>
      <c r="L248" s="67" t="s">
        <v>64</v>
      </c>
      <c r="M248" s="67" t="s">
        <v>238</v>
      </c>
      <c r="N248" s="67" t="s">
        <v>235</v>
      </c>
      <c r="O248" s="67"/>
      <c r="P248" s="67" t="s">
        <v>19</v>
      </c>
      <c r="Q248" s="69">
        <v>5230</v>
      </c>
      <c r="R248" s="4">
        <f t="shared" si="10"/>
        <v>2800</v>
      </c>
      <c r="S248" s="4">
        <f t="shared" si="11"/>
        <v>2070</v>
      </c>
    </row>
    <row r="249" spans="1:19" ht="17.100000000000001" customHeight="1" x14ac:dyDescent="0.2">
      <c r="A249" s="23"/>
      <c r="B249" s="3" t="str">
        <f ca="1">IF(A249="В заказ",MAX($B$9:OFFSET(B249,-1,0))+1,"")</f>
        <v/>
      </c>
      <c r="C249" s="6" t="str">
        <f t="shared" si="9"/>
        <v>ЛДСП 18 H3330 ST36 .</v>
      </c>
      <c r="D249" s="67" t="s">
        <v>1372</v>
      </c>
      <c r="E249" s="67" t="s">
        <v>34</v>
      </c>
      <c r="F249" s="67" t="s">
        <v>1623</v>
      </c>
      <c r="G249" s="68">
        <v>24489</v>
      </c>
      <c r="H249" s="67" t="s">
        <v>35</v>
      </c>
      <c r="I249" s="70">
        <v>1</v>
      </c>
      <c r="J249" s="67" t="s">
        <v>819</v>
      </c>
      <c r="K249" s="67" t="s">
        <v>820</v>
      </c>
      <c r="L249" s="67" t="s">
        <v>64</v>
      </c>
      <c r="M249" s="67" t="s">
        <v>238</v>
      </c>
      <c r="N249" s="67" t="s">
        <v>1385</v>
      </c>
      <c r="O249" s="67"/>
      <c r="P249" s="67" t="s">
        <v>19</v>
      </c>
      <c r="Q249" s="69">
        <v>5505</v>
      </c>
      <c r="R249" s="4">
        <f t="shared" si="10"/>
        <v>2800</v>
      </c>
      <c r="S249" s="4">
        <f t="shared" si="11"/>
        <v>2070</v>
      </c>
    </row>
    <row r="250" spans="1:19" ht="17.100000000000001" customHeight="1" x14ac:dyDescent="0.2">
      <c r="A250" s="23"/>
      <c r="B250" s="3" t="str">
        <f ca="1">IF(A250="В заказ",MAX($B$9:OFFSET(B250,-1,0))+1,"")</f>
        <v/>
      </c>
      <c r="C250" s="6" t="str">
        <f t="shared" si="9"/>
        <v>ЛДСП 25 H3330 ST36 .</v>
      </c>
      <c r="D250" s="67" t="s">
        <v>1372</v>
      </c>
      <c r="E250" s="67" t="s">
        <v>34</v>
      </c>
      <c r="F250" s="67" t="s">
        <v>1624</v>
      </c>
      <c r="G250" s="68">
        <v>22165</v>
      </c>
      <c r="H250" s="67" t="s">
        <v>35</v>
      </c>
      <c r="I250" s="70">
        <v>1</v>
      </c>
      <c r="J250" s="67" t="s">
        <v>819</v>
      </c>
      <c r="K250" s="67" t="s">
        <v>820</v>
      </c>
      <c r="L250" s="67" t="s">
        <v>64</v>
      </c>
      <c r="M250" s="67" t="s">
        <v>238</v>
      </c>
      <c r="N250" s="67" t="s">
        <v>1387</v>
      </c>
      <c r="O250" s="67"/>
      <c r="P250" s="67" t="s">
        <v>19</v>
      </c>
      <c r="Q250" s="69">
        <v>6785</v>
      </c>
      <c r="R250" s="4">
        <f t="shared" si="10"/>
        <v>2800</v>
      </c>
      <c r="S250" s="4">
        <f t="shared" si="11"/>
        <v>2070</v>
      </c>
    </row>
    <row r="251" spans="1:19" ht="17.100000000000001" customHeight="1" x14ac:dyDescent="0.2">
      <c r="A251" s="23"/>
      <c r="B251" s="3" t="str">
        <f ca="1">IF(A251="В заказ",MAX($B$9:OFFSET(B251,-1,0))+1,"")</f>
        <v/>
      </c>
      <c r="C251" s="6" t="str">
        <f t="shared" si="9"/>
        <v>ЛДСП 08 H3331 ST10 .</v>
      </c>
      <c r="D251" s="67" t="s">
        <v>1372</v>
      </c>
      <c r="E251" s="67" t="s">
        <v>34</v>
      </c>
      <c r="F251" s="67" t="s">
        <v>1625</v>
      </c>
      <c r="G251" s="68">
        <v>1266</v>
      </c>
      <c r="H251" s="67" t="s">
        <v>35</v>
      </c>
      <c r="I251" s="70">
        <v>1</v>
      </c>
      <c r="J251" s="67" t="s">
        <v>119</v>
      </c>
      <c r="K251" s="67" t="s">
        <v>120</v>
      </c>
      <c r="L251" s="67" t="s">
        <v>38</v>
      </c>
      <c r="M251" s="67" t="s">
        <v>238</v>
      </c>
      <c r="N251" s="67" t="s">
        <v>1382</v>
      </c>
      <c r="O251" s="67"/>
      <c r="P251" s="67" t="s">
        <v>19</v>
      </c>
      <c r="Q251" s="69">
        <v>3745</v>
      </c>
      <c r="R251" s="4">
        <f t="shared" si="10"/>
        <v>2800</v>
      </c>
      <c r="S251" s="4">
        <f t="shared" si="11"/>
        <v>2070</v>
      </c>
    </row>
    <row r="252" spans="1:19" ht="17.100000000000001" customHeight="1" x14ac:dyDescent="0.2">
      <c r="A252" s="23"/>
      <c r="B252" s="3" t="str">
        <f ca="1">IF(A252="В заказ",MAX($B$9:OFFSET(B252,-1,0))+1,"")</f>
        <v/>
      </c>
      <c r="C252" s="6" t="str">
        <f t="shared" si="9"/>
        <v>ЛДСП 16 H3331 ST10 .</v>
      </c>
      <c r="D252" s="67" t="s">
        <v>1372</v>
      </c>
      <c r="E252" s="67" t="s">
        <v>34</v>
      </c>
      <c r="F252" s="67" t="s">
        <v>1626</v>
      </c>
      <c r="G252" s="68">
        <v>1265</v>
      </c>
      <c r="H252" s="67" t="s">
        <v>35</v>
      </c>
      <c r="I252" s="70">
        <v>1</v>
      </c>
      <c r="J252" s="67" t="s">
        <v>119</v>
      </c>
      <c r="K252" s="67" t="s">
        <v>120</v>
      </c>
      <c r="L252" s="67" t="s">
        <v>38</v>
      </c>
      <c r="M252" s="67" t="s">
        <v>238</v>
      </c>
      <c r="N252" s="67" t="s">
        <v>235</v>
      </c>
      <c r="O252" s="67"/>
      <c r="P252" s="67" t="s">
        <v>19</v>
      </c>
      <c r="Q252" s="69">
        <v>3830</v>
      </c>
      <c r="R252" s="4">
        <f t="shared" si="10"/>
        <v>2800</v>
      </c>
      <c r="S252" s="4">
        <f t="shared" si="11"/>
        <v>2070</v>
      </c>
    </row>
    <row r="253" spans="1:19" ht="17.100000000000001" customHeight="1" x14ac:dyDescent="0.2">
      <c r="A253" s="23"/>
      <c r="B253" s="3" t="str">
        <f ca="1">IF(A253="В заказ",MAX($B$9:OFFSET(B253,-1,0))+1,"")</f>
        <v/>
      </c>
      <c r="C253" s="6" t="str">
        <f t="shared" si="9"/>
        <v>ЛДСП 18 H3331 ST10 .</v>
      </c>
      <c r="D253" s="67" t="s">
        <v>1372</v>
      </c>
      <c r="E253" s="67" t="s">
        <v>34</v>
      </c>
      <c r="F253" s="67" t="s">
        <v>1627</v>
      </c>
      <c r="G253" s="68">
        <v>24490</v>
      </c>
      <c r="H253" s="67" t="s">
        <v>35</v>
      </c>
      <c r="I253" s="70">
        <v>1</v>
      </c>
      <c r="J253" s="67" t="s">
        <v>119</v>
      </c>
      <c r="K253" s="67" t="s">
        <v>120</v>
      </c>
      <c r="L253" s="67" t="s">
        <v>38</v>
      </c>
      <c r="M253" s="67" t="s">
        <v>238</v>
      </c>
      <c r="N253" s="67" t="s">
        <v>1385</v>
      </c>
      <c r="O253" s="67"/>
      <c r="P253" s="67" t="s">
        <v>19</v>
      </c>
      <c r="Q253" s="69">
        <v>4110</v>
      </c>
      <c r="R253" s="4">
        <f t="shared" si="10"/>
        <v>2800</v>
      </c>
      <c r="S253" s="4">
        <f t="shared" si="11"/>
        <v>2070</v>
      </c>
    </row>
    <row r="254" spans="1:19" ht="17.100000000000001" customHeight="1" x14ac:dyDescent="0.2">
      <c r="A254" s="23"/>
      <c r="B254" s="3" t="str">
        <f ca="1">IF(A254="В заказ",MAX($B$9:OFFSET(B254,-1,0))+1,"")</f>
        <v/>
      </c>
      <c r="C254" s="6" t="str">
        <f t="shared" si="9"/>
        <v>ЛДСП 25 H3331 ST10 .</v>
      </c>
      <c r="D254" s="67" t="s">
        <v>1372</v>
      </c>
      <c r="E254" s="67" t="s">
        <v>34</v>
      </c>
      <c r="F254" s="67" t="s">
        <v>1628</v>
      </c>
      <c r="G254" s="68">
        <v>1267</v>
      </c>
      <c r="H254" s="67" t="s">
        <v>35</v>
      </c>
      <c r="I254" s="70">
        <v>1</v>
      </c>
      <c r="J254" s="67" t="s">
        <v>119</v>
      </c>
      <c r="K254" s="67" t="s">
        <v>120</v>
      </c>
      <c r="L254" s="67" t="s">
        <v>38</v>
      </c>
      <c r="M254" s="67" t="s">
        <v>238</v>
      </c>
      <c r="N254" s="67" t="s">
        <v>1387</v>
      </c>
      <c r="O254" s="67"/>
      <c r="P254" s="67" t="s">
        <v>19</v>
      </c>
      <c r="Q254" s="69">
        <v>5350</v>
      </c>
      <c r="R254" s="4">
        <f t="shared" si="10"/>
        <v>2800</v>
      </c>
      <c r="S254" s="4">
        <f t="shared" si="11"/>
        <v>2070</v>
      </c>
    </row>
    <row r="255" spans="1:19" ht="17.100000000000001" customHeight="1" x14ac:dyDescent="0.2">
      <c r="A255" s="23"/>
      <c r="B255" s="3" t="str">
        <f ca="1">IF(A255="В заказ",MAX($B$9:OFFSET(B255,-1,0))+1,"")</f>
        <v/>
      </c>
      <c r="C255" s="6" t="str">
        <f t="shared" ref="C255:C318" si="12">D255&amp;" "&amp;N255&amp;" "&amp;IF(OR(D255="ДСП",D255="МДФ",D255="Фанера",D255="ХДФ"),M255,J255)&amp;" "&amp;IF(OR(D255="ДСП",D255="МДФ",D255="Фанера",D255="ХДФ"),O255,L255)&amp;" "&amp;IF(OR(D255="ДСП",D255="МДФ",D255="Фанера",D255="ХДФ"),"",IF(D255="БСП",M255,O255))&amp;"."</f>
        <v>ЛДСП 08 H3342 ST28 .</v>
      </c>
      <c r="D255" s="67" t="s">
        <v>1372</v>
      </c>
      <c r="E255" s="67" t="s">
        <v>34</v>
      </c>
      <c r="F255" s="67" t="s">
        <v>1629</v>
      </c>
      <c r="G255" s="68">
        <v>16656</v>
      </c>
      <c r="H255" s="67" t="s">
        <v>35</v>
      </c>
      <c r="I255" s="70">
        <v>1</v>
      </c>
      <c r="J255" s="67" t="s">
        <v>121</v>
      </c>
      <c r="K255" s="67" t="s">
        <v>122</v>
      </c>
      <c r="L255" s="67" t="s">
        <v>116</v>
      </c>
      <c r="M255" s="67" t="s">
        <v>238</v>
      </c>
      <c r="N255" s="67" t="s">
        <v>1382</v>
      </c>
      <c r="O255" s="67"/>
      <c r="P255" s="67" t="s">
        <v>19</v>
      </c>
      <c r="Q255" s="69">
        <v>5505</v>
      </c>
      <c r="R255" s="4">
        <f t="shared" si="10"/>
        <v>2800</v>
      </c>
      <c r="S255" s="4">
        <f t="shared" si="11"/>
        <v>2070</v>
      </c>
    </row>
    <row r="256" spans="1:19" ht="17.100000000000001" customHeight="1" x14ac:dyDescent="0.2">
      <c r="A256" s="23"/>
      <c r="B256" s="3" t="str">
        <f ca="1">IF(A256="В заказ",MAX($B$9:OFFSET(B256,-1,0))+1,"")</f>
        <v/>
      </c>
      <c r="C256" s="6" t="str">
        <f t="shared" si="12"/>
        <v>ЛДСП 08 H3395 ST12 .</v>
      </c>
      <c r="D256" s="67" t="s">
        <v>1372</v>
      </c>
      <c r="E256" s="67" t="s">
        <v>34</v>
      </c>
      <c r="F256" s="67" t="s">
        <v>1630</v>
      </c>
      <c r="G256" s="68">
        <v>12531</v>
      </c>
      <c r="H256" s="67" t="s">
        <v>35</v>
      </c>
      <c r="I256" s="70">
        <v>1</v>
      </c>
      <c r="J256" s="67" t="s">
        <v>123</v>
      </c>
      <c r="K256" s="67" t="s">
        <v>124</v>
      </c>
      <c r="L256" s="67" t="s">
        <v>41</v>
      </c>
      <c r="M256" s="67" t="s">
        <v>238</v>
      </c>
      <c r="N256" s="67" t="s">
        <v>1382</v>
      </c>
      <c r="O256" s="67"/>
      <c r="P256" s="67" t="s">
        <v>19</v>
      </c>
      <c r="Q256" s="69">
        <v>3445</v>
      </c>
      <c r="R256" s="4">
        <f t="shared" si="10"/>
        <v>2800</v>
      </c>
      <c r="S256" s="4">
        <f t="shared" si="11"/>
        <v>2070</v>
      </c>
    </row>
    <row r="257" spans="1:19" ht="17.100000000000001" customHeight="1" x14ac:dyDescent="0.2">
      <c r="A257" s="23"/>
      <c r="B257" s="3" t="str">
        <f ca="1">IF(A257="В заказ",MAX($B$9:OFFSET(B257,-1,0))+1,"")</f>
        <v/>
      </c>
      <c r="C257" s="6" t="str">
        <f t="shared" si="12"/>
        <v>ЛДСП 16 H3395 ST12 .</v>
      </c>
      <c r="D257" s="67" t="s">
        <v>1372</v>
      </c>
      <c r="E257" s="67" t="s">
        <v>34</v>
      </c>
      <c r="F257" s="67" t="s">
        <v>1631</v>
      </c>
      <c r="G257" s="68">
        <v>12529</v>
      </c>
      <c r="H257" s="67" t="s">
        <v>35</v>
      </c>
      <c r="I257" s="70">
        <v>1</v>
      </c>
      <c r="J257" s="67" t="s">
        <v>123</v>
      </c>
      <c r="K257" s="67" t="s">
        <v>124</v>
      </c>
      <c r="L257" s="67" t="s">
        <v>41</v>
      </c>
      <c r="M257" s="67" t="s">
        <v>238</v>
      </c>
      <c r="N257" s="67" t="s">
        <v>235</v>
      </c>
      <c r="O257" s="67"/>
      <c r="P257" s="67" t="s">
        <v>19</v>
      </c>
      <c r="Q257" s="69">
        <v>3520</v>
      </c>
      <c r="R257" s="4">
        <f t="shared" si="10"/>
        <v>2800</v>
      </c>
      <c r="S257" s="4">
        <f t="shared" si="11"/>
        <v>2070</v>
      </c>
    </row>
    <row r="258" spans="1:19" ht="17.100000000000001" customHeight="1" x14ac:dyDescent="0.2">
      <c r="A258" s="23"/>
      <c r="B258" s="3" t="str">
        <f ca="1">IF(A258="В заказ",MAX($B$9:OFFSET(B258,-1,0))+1,"")</f>
        <v/>
      </c>
      <c r="C258" s="6" t="str">
        <f t="shared" si="12"/>
        <v>ЛДСП 18 H3395 ST12 .</v>
      </c>
      <c r="D258" s="67" t="s">
        <v>1372</v>
      </c>
      <c r="E258" s="67" t="s">
        <v>34</v>
      </c>
      <c r="F258" s="67" t="s">
        <v>1632</v>
      </c>
      <c r="G258" s="68">
        <v>23800</v>
      </c>
      <c r="H258" s="67" t="s">
        <v>35</v>
      </c>
      <c r="I258" s="70">
        <v>1</v>
      </c>
      <c r="J258" s="67" t="s">
        <v>123</v>
      </c>
      <c r="K258" s="67" t="s">
        <v>124</v>
      </c>
      <c r="L258" s="67" t="s">
        <v>41</v>
      </c>
      <c r="M258" s="67" t="s">
        <v>238</v>
      </c>
      <c r="N258" s="67" t="s">
        <v>1385</v>
      </c>
      <c r="O258" s="67"/>
      <c r="P258" s="67" t="s">
        <v>19</v>
      </c>
      <c r="Q258" s="69">
        <v>3820</v>
      </c>
      <c r="R258" s="4">
        <f t="shared" si="10"/>
        <v>2800</v>
      </c>
      <c r="S258" s="4">
        <f t="shared" si="11"/>
        <v>2070</v>
      </c>
    </row>
    <row r="259" spans="1:19" ht="17.100000000000001" customHeight="1" x14ac:dyDescent="0.2">
      <c r="A259" s="23"/>
      <c r="B259" s="3" t="str">
        <f ca="1">IF(A259="В заказ",MAX($B$9:OFFSET(B259,-1,0))+1,"")</f>
        <v/>
      </c>
      <c r="C259" s="6" t="str">
        <f t="shared" si="12"/>
        <v>ЛДСП 25 H3395 ST12 .</v>
      </c>
      <c r="D259" s="67" t="s">
        <v>1372</v>
      </c>
      <c r="E259" s="67" t="s">
        <v>34</v>
      </c>
      <c r="F259" s="67" t="s">
        <v>1633</v>
      </c>
      <c r="G259" s="68">
        <v>12530</v>
      </c>
      <c r="H259" s="67" t="s">
        <v>35</v>
      </c>
      <c r="I259" s="70">
        <v>1</v>
      </c>
      <c r="J259" s="67" t="s">
        <v>123</v>
      </c>
      <c r="K259" s="67" t="s">
        <v>124</v>
      </c>
      <c r="L259" s="67" t="s">
        <v>41</v>
      </c>
      <c r="M259" s="67" t="s">
        <v>238</v>
      </c>
      <c r="N259" s="67" t="s">
        <v>1387</v>
      </c>
      <c r="O259" s="67"/>
      <c r="P259" s="67" t="s">
        <v>19</v>
      </c>
      <c r="Q259" s="69">
        <v>5075</v>
      </c>
      <c r="R259" s="4">
        <f t="shared" si="10"/>
        <v>2800</v>
      </c>
      <c r="S259" s="4">
        <f t="shared" si="11"/>
        <v>2070</v>
      </c>
    </row>
    <row r="260" spans="1:19" ht="17.100000000000001" customHeight="1" x14ac:dyDescent="0.2">
      <c r="A260" s="23"/>
      <c r="B260" s="3" t="str">
        <f ca="1">IF(A260="В заказ",MAX($B$9:OFFSET(B260,-1,0))+1,"")</f>
        <v/>
      </c>
      <c r="C260" s="6" t="str">
        <f t="shared" si="12"/>
        <v>ЛДСП 08 H3398 ST12 .</v>
      </c>
      <c r="D260" s="67" t="s">
        <v>1372</v>
      </c>
      <c r="E260" s="67" t="s">
        <v>34</v>
      </c>
      <c r="F260" s="67" t="s">
        <v>1634</v>
      </c>
      <c r="G260" s="68">
        <v>14113</v>
      </c>
      <c r="H260" s="67" t="s">
        <v>35</v>
      </c>
      <c r="I260" s="70">
        <v>1</v>
      </c>
      <c r="J260" s="67" t="s">
        <v>125</v>
      </c>
      <c r="K260" s="67" t="s">
        <v>126</v>
      </c>
      <c r="L260" s="67" t="s">
        <v>41</v>
      </c>
      <c r="M260" s="67" t="s">
        <v>238</v>
      </c>
      <c r="N260" s="67" t="s">
        <v>1382</v>
      </c>
      <c r="O260" s="67"/>
      <c r="P260" s="67" t="s">
        <v>19</v>
      </c>
      <c r="Q260" s="69">
        <v>3445</v>
      </c>
      <c r="R260" s="4">
        <f t="shared" si="10"/>
        <v>2800</v>
      </c>
      <c r="S260" s="4">
        <f t="shared" si="11"/>
        <v>2070</v>
      </c>
    </row>
    <row r="261" spans="1:19" ht="17.100000000000001" customHeight="1" x14ac:dyDescent="0.2">
      <c r="A261" s="23"/>
      <c r="B261" s="3" t="str">
        <f ca="1">IF(A261="В заказ",MAX($B$9:OFFSET(B261,-1,0))+1,"")</f>
        <v/>
      </c>
      <c r="C261" s="6" t="str">
        <f t="shared" si="12"/>
        <v>ЛДСП 16 H3398 ST12 .</v>
      </c>
      <c r="D261" s="67" t="s">
        <v>1372</v>
      </c>
      <c r="E261" s="67" t="s">
        <v>34</v>
      </c>
      <c r="F261" s="67" t="s">
        <v>1635</v>
      </c>
      <c r="G261" s="68">
        <v>13508</v>
      </c>
      <c r="H261" s="67" t="s">
        <v>35</v>
      </c>
      <c r="I261" s="70">
        <v>1</v>
      </c>
      <c r="J261" s="67" t="s">
        <v>125</v>
      </c>
      <c r="K261" s="67" t="s">
        <v>126</v>
      </c>
      <c r="L261" s="67" t="s">
        <v>41</v>
      </c>
      <c r="M261" s="67" t="s">
        <v>238</v>
      </c>
      <c r="N261" s="67" t="s">
        <v>235</v>
      </c>
      <c r="O261" s="67"/>
      <c r="P261" s="67" t="s">
        <v>19</v>
      </c>
      <c r="Q261" s="69">
        <v>3520</v>
      </c>
      <c r="R261" s="4">
        <f t="shared" si="10"/>
        <v>2800</v>
      </c>
      <c r="S261" s="4">
        <f t="shared" si="11"/>
        <v>2070</v>
      </c>
    </row>
    <row r="262" spans="1:19" ht="17.100000000000001" customHeight="1" x14ac:dyDescent="0.2">
      <c r="A262" s="23"/>
      <c r="B262" s="3" t="str">
        <f ca="1">IF(A262="В заказ",MAX($B$9:OFFSET(B262,-1,0))+1,"")</f>
        <v/>
      </c>
      <c r="C262" s="6" t="str">
        <f t="shared" si="12"/>
        <v>ЛДСП 18 H3398 ST12 .</v>
      </c>
      <c r="D262" s="67" t="s">
        <v>1372</v>
      </c>
      <c r="E262" s="67" t="s">
        <v>34</v>
      </c>
      <c r="F262" s="67" t="s">
        <v>1636</v>
      </c>
      <c r="G262" s="68">
        <v>22316</v>
      </c>
      <c r="H262" s="67" t="s">
        <v>35</v>
      </c>
      <c r="I262" s="70">
        <v>1</v>
      </c>
      <c r="J262" s="67" t="s">
        <v>125</v>
      </c>
      <c r="K262" s="67" t="s">
        <v>126</v>
      </c>
      <c r="L262" s="67" t="s">
        <v>41</v>
      </c>
      <c r="M262" s="67" t="s">
        <v>238</v>
      </c>
      <c r="N262" s="67" t="s">
        <v>1385</v>
      </c>
      <c r="O262" s="67"/>
      <c r="P262" s="67" t="s">
        <v>19</v>
      </c>
      <c r="Q262" s="69">
        <v>3820</v>
      </c>
      <c r="R262" s="4">
        <f t="shared" si="10"/>
        <v>2800</v>
      </c>
      <c r="S262" s="4">
        <f t="shared" si="11"/>
        <v>2070</v>
      </c>
    </row>
    <row r="263" spans="1:19" ht="17.100000000000001" customHeight="1" x14ac:dyDescent="0.2">
      <c r="A263" s="23"/>
      <c r="B263" s="3" t="str">
        <f ca="1">IF(A263="В заказ",MAX($B$9:OFFSET(B263,-1,0))+1,"")</f>
        <v/>
      </c>
      <c r="C263" s="6" t="str">
        <f t="shared" si="12"/>
        <v>ЛДСП 25 H3398 ST12 .</v>
      </c>
      <c r="D263" s="67" t="s">
        <v>1372</v>
      </c>
      <c r="E263" s="67" t="s">
        <v>34</v>
      </c>
      <c r="F263" s="67" t="s">
        <v>1637</v>
      </c>
      <c r="G263" s="68">
        <v>14114</v>
      </c>
      <c r="H263" s="67" t="s">
        <v>35</v>
      </c>
      <c r="I263" s="70">
        <v>1</v>
      </c>
      <c r="J263" s="67" t="s">
        <v>125</v>
      </c>
      <c r="K263" s="67" t="s">
        <v>126</v>
      </c>
      <c r="L263" s="67" t="s">
        <v>41</v>
      </c>
      <c r="M263" s="67" t="s">
        <v>238</v>
      </c>
      <c r="N263" s="67" t="s">
        <v>1387</v>
      </c>
      <c r="O263" s="67"/>
      <c r="P263" s="67" t="s">
        <v>19</v>
      </c>
      <c r="Q263" s="69">
        <v>5075</v>
      </c>
      <c r="R263" s="4">
        <f t="shared" si="10"/>
        <v>2800</v>
      </c>
      <c r="S263" s="4">
        <f t="shared" si="11"/>
        <v>2070</v>
      </c>
    </row>
    <row r="264" spans="1:19" ht="17.100000000000001" customHeight="1" x14ac:dyDescent="0.2">
      <c r="A264" s="23"/>
      <c r="B264" s="3" t="str">
        <f ca="1">IF(A264="В заказ",MAX($B$9:OFFSET(B264,-1,0))+1,"")</f>
        <v/>
      </c>
      <c r="C264" s="6" t="str">
        <f t="shared" si="12"/>
        <v>ЛДСП 08 H3406 ST38 .</v>
      </c>
      <c r="D264" s="67" t="s">
        <v>1372</v>
      </c>
      <c r="E264" s="67" t="s">
        <v>34</v>
      </c>
      <c r="F264" s="67" t="s">
        <v>1638</v>
      </c>
      <c r="G264" s="68">
        <v>24465</v>
      </c>
      <c r="H264" s="67" t="s">
        <v>35</v>
      </c>
      <c r="I264" s="70">
        <v>1</v>
      </c>
      <c r="J264" s="67" t="s">
        <v>127</v>
      </c>
      <c r="K264" s="67" t="s">
        <v>128</v>
      </c>
      <c r="L264" s="67" t="s">
        <v>21</v>
      </c>
      <c r="M264" s="67" t="s">
        <v>238</v>
      </c>
      <c r="N264" s="67" t="s">
        <v>1382</v>
      </c>
      <c r="O264" s="67"/>
      <c r="P264" s="67" t="s">
        <v>19</v>
      </c>
      <c r="Q264" s="69">
        <v>5505</v>
      </c>
      <c r="R264" s="4">
        <f t="shared" si="10"/>
        <v>2800</v>
      </c>
      <c r="S264" s="4">
        <f t="shared" si="11"/>
        <v>2070</v>
      </c>
    </row>
    <row r="265" spans="1:19" ht="17.100000000000001" customHeight="1" x14ac:dyDescent="0.2">
      <c r="A265" s="23"/>
      <c r="B265" s="3" t="str">
        <f ca="1">IF(A265="В заказ",MAX($B$9:OFFSET(B265,-1,0))+1,"")</f>
        <v/>
      </c>
      <c r="C265" s="6" t="str">
        <f t="shared" si="12"/>
        <v>ЛДСП 16 H3406 ST38 .</v>
      </c>
      <c r="D265" s="67" t="s">
        <v>1372</v>
      </c>
      <c r="E265" s="67" t="s">
        <v>34</v>
      </c>
      <c r="F265" s="67" t="s">
        <v>1639</v>
      </c>
      <c r="G265" s="68">
        <v>24467</v>
      </c>
      <c r="H265" s="67" t="s">
        <v>35</v>
      </c>
      <c r="I265" s="70">
        <v>1</v>
      </c>
      <c r="J265" s="67" t="s">
        <v>127</v>
      </c>
      <c r="K265" s="67" t="s">
        <v>128</v>
      </c>
      <c r="L265" s="67" t="s">
        <v>21</v>
      </c>
      <c r="M265" s="67" t="s">
        <v>238</v>
      </c>
      <c r="N265" s="67" t="s">
        <v>235</v>
      </c>
      <c r="O265" s="67"/>
      <c r="P265" s="67" t="s">
        <v>19</v>
      </c>
      <c r="Q265" s="69">
        <v>5580</v>
      </c>
      <c r="R265" s="4">
        <f t="shared" si="10"/>
        <v>2800</v>
      </c>
      <c r="S265" s="4">
        <f t="shared" si="11"/>
        <v>2070</v>
      </c>
    </row>
    <row r="266" spans="1:19" ht="17.100000000000001" customHeight="1" x14ac:dyDescent="0.2">
      <c r="A266" s="23"/>
      <c r="B266" s="3" t="str">
        <f ca="1">IF(A266="В заказ",MAX($B$9:OFFSET(B266,-1,0))+1,"")</f>
        <v/>
      </c>
      <c r="C266" s="6" t="str">
        <f t="shared" si="12"/>
        <v>ЛДСП 25 H3406 ST38 .</v>
      </c>
      <c r="D266" s="67" t="s">
        <v>1372</v>
      </c>
      <c r="E266" s="67" t="s">
        <v>34</v>
      </c>
      <c r="F266" s="67" t="s">
        <v>1640</v>
      </c>
      <c r="G266" s="68">
        <v>24466</v>
      </c>
      <c r="H266" s="67" t="s">
        <v>35</v>
      </c>
      <c r="I266" s="70">
        <v>1</v>
      </c>
      <c r="J266" s="67" t="s">
        <v>127</v>
      </c>
      <c r="K266" s="67" t="s">
        <v>128</v>
      </c>
      <c r="L266" s="67" t="s">
        <v>21</v>
      </c>
      <c r="M266" s="67" t="s">
        <v>238</v>
      </c>
      <c r="N266" s="67" t="s">
        <v>1387</v>
      </c>
      <c r="O266" s="67"/>
      <c r="P266" s="67" t="s">
        <v>19</v>
      </c>
      <c r="Q266" s="69">
        <v>7160</v>
      </c>
      <c r="R266" s="4">
        <f t="shared" si="10"/>
        <v>2800</v>
      </c>
      <c r="S266" s="4">
        <f t="shared" si="11"/>
        <v>2070</v>
      </c>
    </row>
    <row r="267" spans="1:19" ht="17.100000000000001" customHeight="1" x14ac:dyDescent="0.2">
      <c r="A267" s="23"/>
      <c r="B267" s="3" t="str">
        <f ca="1">IF(A267="В заказ",MAX($B$9:OFFSET(B267,-1,0))+1,"")</f>
        <v/>
      </c>
      <c r="C267" s="6" t="str">
        <f t="shared" si="12"/>
        <v>ЛДСП 08 H3408 ST38 .</v>
      </c>
      <c r="D267" s="67" t="s">
        <v>1372</v>
      </c>
      <c r="E267" s="67" t="s">
        <v>34</v>
      </c>
      <c r="F267" s="67" t="s">
        <v>1641</v>
      </c>
      <c r="G267" s="68">
        <v>22301</v>
      </c>
      <c r="H267" s="67" t="s">
        <v>35</v>
      </c>
      <c r="I267" s="70">
        <v>1</v>
      </c>
      <c r="J267" s="67" t="s">
        <v>860</v>
      </c>
      <c r="K267" s="67" t="s">
        <v>861</v>
      </c>
      <c r="L267" s="67" t="s">
        <v>21</v>
      </c>
      <c r="M267" s="67" t="s">
        <v>238</v>
      </c>
      <c r="N267" s="67" t="s">
        <v>1382</v>
      </c>
      <c r="O267" s="67"/>
      <c r="P267" s="67" t="s">
        <v>19</v>
      </c>
      <c r="Q267" s="69">
        <v>5505</v>
      </c>
      <c r="R267" s="4">
        <f t="shared" ref="R267:R330" si="13">IFERROR(LEFT(M267,FIND("*",M267)-1)*1,"")</f>
        <v>2800</v>
      </c>
      <c r="S267" s="4">
        <f t="shared" ref="S267:S330" si="14">IFERROR(RIGHT(M267,LEN(M267)-FIND("*",M267))*1,"")</f>
        <v>2070</v>
      </c>
    </row>
    <row r="268" spans="1:19" ht="17.100000000000001" customHeight="1" x14ac:dyDescent="0.2">
      <c r="A268" s="23"/>
      <c r="B268" s="3" t="str">
        <f ca="1">IF(A268="В заказ",MAX($B$9:OFFSET(B268,-1,0))+1,"")</f>
        <v/>
      </c>
      <c r="C268" s="6" t="str">
        <f t="shared" si="12"/>
        <v>ЛДСП 16 H3408 ST38 .</v>
      </c>
      <c r="D268" s="67" t="s">
        <v>1372</v>
      </c>
      <c r="E268" s="67" t="s">
        <v>34</v>
      </c>
      <c r="F268" s="67" t="s">
        <v>1642</v>
      </c>
      <c r="G268" s="68">
        <v>21632</v>
      </c>
      <c r="H268" s="67" t="s">
        <v>35</v>
      </c>
      <c r="I268" s="70">
        <v>1</v>
      </c>
      <c r="J268" s="67" t="s">
        <v>860</v>
      </c>
      <c r="K268" s="67" t="s">
        <v>861</v>
      </c>
      <c r="L268" s="67" t="s">
        <v>21</v>
      </c>
      <c r="M268" s="67" t="s">
        <v>238</v>
      </c>
      <c r="N268" s="67" t="s">
        <v>235</v>
      </c>
      <c r="O268" s="67"/>
      <c r="P268" s="67" t="s">
        <v>19</v>
      </c>
      <c r="Q268" s="69">
        <v>5580</v>
      </c>
      <c r="R268" s="4">
        <f t="shared" si="13"/>
        <v>2800</v>
      </c>
      <c r="S268" s="4">
        <f t="shared" si="14"/>
        <v>2070</v>
      </c>
    </row>
    <row r="269" spans="1:19" ht="17.100000000000001" customHeight="1" x14ac:dyDescent="0.2">
      <c r="A269" s="23"/>
      <c r="B269" s="3" t="str">
        <f ca="1">IF(A269="В заказ",MAX($B$9:OFFSET(B269,-1,0))+1,"")</f>
        <v/>
      </c>
      <c r="C269" s="6" t="str">
        <f t="shared" si="12"/>
        <v>ЛДСП 18 H3408 ST38 .</v>
      </c>
      <c r="D269" s="67" t="s">
        <v>1372</v>
      </c>
      <c r="E269" s="67" t="s">
        <v>34</v>
      </c>
      <c r="F269" s="67" t="s">
        <v>1643</v>
      </c>
      <c r="G269" s="68">
        <v>22797</v>
      </c>
      <c r="H269" s="67" t="s">
        <v>35</v>
      </c>
      <c r="I269" s="70">
        <v>1</v>
      </c>
      <c r="J269" s="67" t="s">
        <v>860</v>
      </c>
      <c r="K269" s="67" t="s">
        <v>861</v>
      </c>
      <c r="L269" s="67" t="s">
        <v>21</v>
      </c>
      <c r="M269" s="67" t="s">
        <v>238</v>
      </c>
      <c r="N269" s="67" t="s">
        <v>1385</v>
      </c>
      <c r="O269" s="67"/>
      <c r="P269" s="67" t="s">
        <v>19</v>
      </c>
      <c r="Q269" s="69">
        <v>5860</v>
      </c>
      <c r="R269" s="4">
        <f t="shared" si="13"/>
        <v>2800</v>
      </c>
      <c r="S269" s="4">
        <f t="shared" si="14"/>
        <v>2070</v>
      </c>
    </row>
    <row r="270" spans="1:19" ht="17.100000000000001" customHeight="1" x14ac:dyDescent="0.2">
      <c r="A270" s="23"/>
      <c r="B270" s="3" t="str">
        <f ca="1">IF(A270="В заказ",MAX($B$9:OFFSET(B270,-1,0))+1,"")</f>
        <v/>
      </c>
      <c r="C270" s="6" t="str">
        <f t="shared" si="12"/>
        <v>ЛДСП 25 H3408 ST38 .</v>
      </c>
      <c r="D270" s="67" t="s">
        <v>1372</v>
      </c>
      <c r="E270" s="67" t="s">
        <v>34</v>
      </c>
      <c r="F270" s="67" t="s">
        <v>1644</v>
      </c>
      <c r="G270" s="68">
        <v>22302</v>
      </c>
      <c r="H270" s="67" t="s">
        <v>35</v>
      </c>
      <c r="I270" s="70">
        <v>1</v>
      </c>
      <c r="J270" s="67" t="s">
        <v>860</v>
      </c>
      <c r="K270" s="67" t="s">
        <v>861</v>
      </c>
      <c r="L270" s="67" t="s">
        <v>21</v>
      </c>
      <c r="M270" s="67" t="s">
        <v>238</v>
      </c>
      <c r="N270" s="67" t="s">
        <v>1387</v>
      </c>
      <c r="O270" s="67"/>
      <c r="P270" s="67" t="s">
        <v>19</v>
      </c>
      <c r="Q270" s="69">
        <v>7160</v>
      </c>
      <c r="R270" s="4">
        <f t="shared" si="13"/>
        <v>2800</v>
      </c>
      <c r="S270" s="4">
        <f t="shared" si="14"/>
        <v>2070</v>
      </c>
    </row>
    <row r="271" spans="1:19" ht="17.100000000000001" customHeight="1" x14ac:dyDescent="0.2">
      <c r="A271" s="23"/>
      <c r="B271" s="3" t="str">
        <f ca="1">IF(A271="В заказ",MAX($B$9:OFFSET(B271,-1,0))+1,"")</f>
        <v/>
      </c>
      <c r="C271" s="6" t="str">
        <f t="shared" si="12"/>
        <v>ЛДСП 08 H3430 ST22 .</v>
      </c>
      <c r="D271" s="67" t="s">
        <v>1372</v>
      </c>
      <c r="E271" s="67" t="s">
        <v>34</v>
      </c>
      <c r="F271" s="67" t="s">
        <v>1645</v>
      </c>
      <c r="G271" s="68">
        <v>15744</v>
      </c>
      <c r="H271" s="67" t="s">
        <v>35</v>
      </c>
      <c r="I271" s="70">
        <v>1</v>
      </c>
      <c r="J271" s="67" t="s">
        <v>129</v>
      </c>
      <c r="K271" s="67" t="s">
        <v>130</v>
      </c>
      <c r="L271" s="67" t="s">
        <v>44</v>
      </c>
      <c r="M271" s="67" t="s">
        <v>238</v>
      </c>
      <c r="N271" s="67" t="s">
        <v>1382</v>
      </c>
      <c r="O271" s="67"/>
      <c r="P271" s="67" t="s">
        <v>19</v>
      </c>
      <c r="Q271" s="69">
        <v>3745</v>
      </c>
      <c r="R271" s="4">
        <f t="shared" si="13"/>
        <v>2800</v>
      </c>
      <c r="S271" s="4">
        <f t="shared" si="14"/>
        <v>2070</v>
      </c>
    </row>
    <row r="272" spans="1:19" ht="17.100000000000001" customHeight="1" x14ac:dyDescent="0.2">
      <c r="A272" s="23"/>
      <c r="B272" s="3" t="str">
        <f ca="1">IF(A272="В заказ",MAX($B$9:OFFSET(B272,-1,0))+1,"")</f>
        <v/>
      </c>
      <c r="C272" s="6" t="str">
        <f t="shared" si="12"/>
        <v>ЛДСП 16 H3430 ST22 .</v>
      </c>
      <c r="D272" s="67" t="s">
        <v>1372</v>
      </c>
      <c r="E272" s="67" t="s">
        <v>34</v>
      </c>
      <c r="F272" s="67" t="s">
        <v>1646</v>
      </c>
      <c r="G272" s="68">
        <v>13459</v>
      </c>
      <c r="H272" s="67" t="s">
        <v>35</v>
      </c>
      <c r="I272" s="70">
        <v>1</v>
      </c>
      <c r="J272" s="67" t="s">
        <v>129</v>
      </c>
      <c r="K272" s="67" t="s">
        <v>130</v>
      </c>
      <c r="L272" s="67" t="s">
        <v>44</v>
      </c>
      <c r="M272" s="67" t="s">
        <v>238</v>
      </c>
      <c r="N272" s="67" t="s">
        <v>235</v>
      </c>
      <c r="O272" s="67"/>
      <c r="P272" s="67" t="s">
        <v>19</v>
      </c>
      <c r="Q272" s="69">
        <v>3830</v>
      </c>
      <c r="R272" s="4">
        <f t="shared" si="13"/>
        <v>2800</v>
      </c>
      <c r="S272" s="4">
        <f t="shared" si="14"/>
        <v>2070</v>
      </c>
    </row>
    <row r="273" spans="1:19" ht="17.100000000000001" customHeight="1" x14ac:dyDescent="0.2">
      <c r="A273" s="23"/>
      <c r="B273" s="3" t="str">
        <f ca="1">IF(A273="В заказ",MAX($B$9:OFFSET(B273,-1,0))+1,"")</f>
        <v/>
      </c>
      <c r="C273" s="6" t="str">
        <f t="shared" si="12"/>
        <v>ЛДСП 18 H3430 ST22 .</v>
      </c>
      <c r="D273" s="67" t="s">
        <v>1372</v>
      </c>
      <c r="E273" s="67" t="s">
        <v>34</v>
      </c>
      <c r="F273" s="67" t="s">
        <v>1647</v>
      </c>
      <c r="G273" s="68">
        <v>24491</v>
      </c>
      <c r="H273" s="67" t="s">
        <v>35</v>
      </c>
      <c r="I273" s="70">
        <v>1</v>
      </c>
      <c r="J273" s="67" t="s">
        <v>129</v>
      </c>
      <c r="K273" s="67" t="s">
        <v>130</v>
      </c>
      <c r="L273" s="67" t="s">
        <v>44</v>
      </c>
      <c r="M273" s="67" t="s">
        <v>238</v>
      </c>
      <c r="N273" s="67" t="s">
        <v>1385</v>
      </c>
      <c r="O273" s="67"/>
      <c r="P273" s="67" t="s">
        <v>19</v>
      </c>
      <c r="Q273" s="69">
        <v>4110</v>
      </c>
      <c r="R273" s="4">
        <f t="shared" si="13"/>
        <v>2800</v>
      </c>
      <c r="S273" s="4">
        <f t="shared" si="14"/>
        <v>2070</v>
      </c>
    </row>
    <row r="274" spans="1:19" ht="17.100000000000001" customHeight="1" x14ac:dyDescent="0.2">
      <c r="A274" s="23"/>
      <c r="B274" s="3" t="str">
        <f ca="1">IF(A274="В заказ",MAX($B$9:OFFSET(B274,-1,0))+1,"")</f>
        <v/>
      </c>
      <c r="C274" s="6" t="str">
        <f t="shared" si="12"/>
        <v>ЛДСП 25 H3430 ST22 .</v>
      </c>
      <c r="D274" s="67" t="s">
        <v>1372</v>
      </c>
      <c r="E274" s="67" t="s">
        <v>34</v>
      </c>
      <c r="F274" s="67" t="s">
        <v>1648</v>
      </c>
      <c r="G274" s="68">
        <v>14796</v>
      </c>
      <c r="H274" s="67" t="s">
        <v>35</v>
      </c>
      <c r="I274" s="70">
        <v>1</v>
      </c>
      <c r="J274" s="67" t="s">
        <v>129</v>
      </c>
      <c r="K274" s="67" t="s">
        <v>130</v>
      </c>
      <c r="L274" s="67" t="s">
        <v>44</v>
      </c>
      <c r="M274" s="67" t="s">
        <v>238</v>
      </c>
      <c r="N274" s="67" t="s">
        <v>1387</v>
      </c>
      <c r="O274" s="67"/>
      <c r="P274" s="67" t="s">
        <v>19</v>
      </c>
      <c r="Q274" s="69">
        <v>5350</v>
      </c>
      <c r="R274" s="4">
        <f t="shared" si="13"/>
        <v>2800</v>
      </c>
      <c r="S274" s="4">
        <f t="shared" si="14"/>
        <v>2070</v>
      </c>
    </row>
    <row r="275" spans="1:19" ht="17.100000000000001" customHeight="1" x14ac:dyDescent="0.2">
      <c r="A275" s="23"/>
      <c r="B275" s="3" t="str">
        <f ca="1">IF(A275="В заказ",MAX($B$9:OFFSET(B275,-1,0))+1,"")</f>
        <v/>
      </c>
      <c r="C275" s="6" t="str">
        <f t="shared" si="12"/>
        <v>ЛДСП 08 H3433 ST22 .</v>
      </c>
      <c r="D275" s="67" t="s">
        <v>1372</v>
      </c>
      <c r="E275" s="67" t="s">
        <v>34</v>
      </c>
      <c r="F275" s="67" t="s">
        <v>1649</v>
      </c>
      <c r="G275" s="68">
        <v>16658</v>
      </c>
      <c r="H275" s="67" t="s">
        <v>35</v>
      </c>
      <c r="I275" s="70">
        <v>1</v>
      </c>
      <c r="J275" s="67" t="s">
        <v>131</v>
      </c>
      <c r="K275" s="67" t="s">
        <v>132</v>
      </c>
      <c r="L275" s="67" t="s">
        <v>44</v>
      </c>
      <c r="M275" s="67" t="s">
        <v>238</v>
      </c>
      <c r="N275" s="67" t="s">
        <v>1382</v>
      </c>
      <c r="O275" s="67"/>
      <c r="P275" s="67" t="s">
        <v>19</v>
      </c>
      <c r="Q275" s="69">
        <v>3745</v>
      </c>
      <c r="R275" s="4">
        <f t="shared" si="13"/>
        <v>2800</v>
      </c>
      <c r="S275" s="4">
        <f t="shared" si="14"/>
        <v>2070</v>
      </c>
    </row>
    <row r="276" spans="1:19" ht="17.100000000000001" customHeight="1" x14ac:dyDescent="0.2">
      <c r="A276" s="23"/>
      <c r="B276" s="3" t="str">
        <f ca="1">IF(A276="В заказ",MAX($B$9:OFFSET(B276,-1,0))+1,"")</f>
        <v/>
      </c>
      <c r="C276" s="6" t="str">
        <f t="shared" si="12"/>
        <v>ЛДСП 16 H3433 ST22 .</v>
      </c>
      <c r="D276" s="67" t="s">
        <v>1372</v>
      </c>
      <c r="E276" s="67" t="s">
        <v>34</v>
      </c>
      <c r="F276" s="67" t="s">
        <v>1650</v>
      </c>
      <c r="G276" s="68">
        <v>13916</v>
      </c>
      <c r="H276" s="67" t="s">
        <v>35</v>
      </c>
      <c r="I276" s="70">
        <v>1</v>
      </c>
      <c r="J276" s="67" t="s">
        <v>131</v>
      </c>
      <c r="K276" s="67" t="s">
        <v>132</v>
      </c>
      <c r="L276" s="67" t="s">
        <v>44</v>
      </c>
      <c r="M276" s="67" t="s">
        <v>238</v>
      </c>
      <c r="N276" s="67" t="s">
        <v>235</v>
      </c>
      <c r="O276" s="67"/>
      <c r="P276" s="67" t="s">
        <v>19</v>
      </c>
      <c r="Q276" s="69">
        <v>3830</v>
      </c>
      <c r="R276" s="4">
        <f t="shared" si="13"/>
        <v>2800</v>
      </c>
      <c r="S276" s="4">
        <f t="shared" si="14"/>
        <v>2070</v>
      </c>
    </row>
    <row r="277" spans="1:19" ht="17.100000000000001" customHeight="1" x14ac:dyDescent="0.2">
      <c r="A277" s="23"/>
      <c r="B277" s="3" t="str">
        <f ca="1">IF(A277="В заказ",MAX($B$9:OFFSET(B277,-1,0))+1,"")</f>
        <v/>
      </c>
      <c r="C277" s="6" t="str">
        <f t="shared" si="12"/>
        <v>ЛДСП 18 H3433 ST22 .</v>
      </c>
      <c r="D277" s="67" t="s">
        <v>1372</v>
      </c>
      <c r="E277" s="67" t="s">
        <v>34</v>
      </c>
      <c r="F277" s="67" t="s">
        <v>1651</v>
      </c>
      <c r="G277" s="68">
        <v>24492</v>
      </c>
      <c r="H277" s="67" t="s">
        <v>35</v>
      </c>
      <c r="I277" s="70">
        <v>1</v>
      </c>
      <c r="J277" s="67" t="s">
        <v>131</v>
      </c>
      <c r="K277" s="67" t="s">
        <v>132</v>
      </c>
      <c r="L277" s="67" t="s">
        <v>44</v>
      </c>
      <c r="M277" s="67" t="s">
        <v>238</v>
      </c>
      <c r="N277" s="67" t="s">
        <v>1385</v>
      </c>
      <c r="O277" s="67"/>
      <c r="P277" s="67" t="s">
        <v>19</v>
      </c>
      <c r="Q277" s="69">
        <v>4110</v>
      </c>
      <c r="R277" s="4">
        <f t="shared" si="13"/>
        <v>2800</v>
      </c>
      <c r="S277" s="4">
        <f t="shared" si="14"/>
        <v>2070</v>
      </c>
    </row>
    <row r="278" spans="1:19" ht="17.100000000000001" customHeight="1" x14ac:dyDescent="0.2">
      <c r="A278" s="23"/>
      <c r="B278" s="3" t="str">
        <f ca="1">IF(A278="В заказ",MAX($B$9:OFFSET(B278,-1,0))+1,"")</f>
        <v/>
      </c>
      <c r="C278" s="6" t="str">
        <f t="shared" si="12"/>
        <v>ЛДСП 25 H3433 ST22 .</v>
      </c>
      <c r="D278" s="67" t="s">
        <v>1372</v>
      </c>
      <c r="E278" s="67" t="s">
        <v>34</v>
      </c>
      <c r="F278" s="67" t="s">
        <v>1652</v>
      </c>
      <c r="G278" s="68">
        <v>16659</v>
      </c>
      <c r="H278" s="67" t="s">
        <v>35</v>
      </c>
      <c r="I278" s="70">
        <v>1</v>
      </c>
      <c r="J278" s="67" t="s">
        <v>131</v>
      </c>
      <c r="K278" s="67" t="s">
        <v>132</v>
      </c>
      <c r="L278" s="67" t="s">
        <v>44</v>
      </c>
      <c r="M278" s="67" t="s">
        <v>238</v>
      </c>
      <c r="N278" s="67" t="s">
        <v>1387</v>
      </c>
      <c r="O278" s="67"/>
      <c r="P278" s="67" t="s">
        <v>19</v>
      </c>
      <c r="Q278" s="69">
        <v>5350</v>
      </c>
      <c r="R278" s="4">
        <f t="shared" si="13"/>
        <v>2800</v>
      </c>
      <c r="S278" s="4">
        <f t="shared" si="14"/>
        <v>2070</v>
      </c>
    </row>
    <row r="279" spans="1:19" ht="17.100000000000001" customHeight="1" x14ac:dyDescent="0.2">
      <c r="A279" s="23"/>
      <c r="B279" s="3" t="str">
        <f ca="1">IF(A279="В заказ",MAX($B$9:OFFSET(B279,-1,0))+1,"")</f>
        <v/>
      </c>
      <c r="C279" s="6" t="str">
        <f t="shared" si="12"/>
        <v>ЛДСП 08 H3450 ST22 .</v>
      </c>
      <c r="D279" s="67" t="s">
        <v>1372</v>
      </c>
      <c r="E279" s="67" t="s">
        <v>34</v>
      </c>
      <c r="F279" s="67" t="s">
        <v>1653</v>
      </c>
      <c r="G279" s="68">
        <v>16660</v>
      </c>
      <c r="H279" s="67" t="s">
        <v>35</v>
      </c>
      <c r="I279" s="70">
        <v>1</v>
      </c>
      <c r="J279" s="67" t="s">
        <v>133</v>
      </c>
      <c r="K279" s="67" t="s">
        <v>134</v>
      </c>
      <c r="L279" s="67" t="s">
        <v>44</v>
      </c>
      <c r="M279" s="67" t="s">
        <v>238</v>
      </c>
      <c r="N279" s="67" t="s">
        <v>1382</v>
      </c>
      <c r="O279" s="67"/>
      <c r="P279" s="67" t="s">
        <v>19</v>
      </c>
      <c r="Q279" s="69">
        <v>3745</v>
      </c>
      <c r="R279" s="4">
        <f t="shared" si="13"/>
        <v>2800</v>
      </c>
      <c r="S279" s="4">
        <f t="shared" si="14"/>
        <v>2070</v>
      </c>
    </row>
    <row r="280" spans="1:19" ht="17.100000000000001" customHeight="1" x14ac:dyDescent="0.2">
      <c r="A280" s="23"/>
      <c r="B280" s="3" t="str">
        <f ca="1">IF(A280="В заказ",MAX($B$9:OFFSET(B280,-1,0))+1,"")</f>
        <v/>
      </c>
      <c r="C280" s="6" t="str">
        <f t="shared" si="12"/>
        <v>ЛДСП 16 H3450 ST22 .</v>
      </c>
      <c r="D280" s="67" t="s">
        <v>1372</v>
      </c>
      <c r="E280" s="67" t="s">
        <v>34</v>
      </c>
      <c r="F280" s="67" t="s">
        <v>1654</v>
      </c>
      <c r="G280" s="68">
        <v>14057</v>
      </c>
      <c r="H280" s="67" t="s">
        <v>35</v>
      </c>
      <c r="I280" s="70">
        <v>1</v>
      </c>
      <c r="J280" s="67" t="s">
        <v>133</v>
      </c>
      <c r="K280" s="67" t="s">
        <v>134</v>
      </c>
      <c r="L280" s="67" t="s">
        <v>44</v>
      </c>
      <c r="M280" s="67" t="s">
        <v>238</v>
      </c>
      <c r="N280" s="67" t="s">
        <v>235</v>
      </c>
      <c r="O280" s="67"/>
      <c r="P280" s="67" t="s">
        <v>19</v>
      </c>
      <c r="Q280" s="69">
        <v>3830</v>
      </c>
      <c r="R280" s="4">
        <f t="shared" si="13"/>
        <v>2800</v>
      </c>
      <c r="S280" s="4">
        <f t="shared" si="14"/>
        <v>2070</v>
      </c>
    </row>
    <row r="281" spans="1:19" ht="17.100000000000001" customHeight="1" x14ac:dyDescent="0.2">
      <c r="A281" s="23"/>
      <c r="B281" s="3" t="str">
        <f ca="1">IF(A281="В заказ",MAX($B$9:OFFSET(B281,-1,0))+1,"")</f>
        <v/>
      </c>
      <c r="C281" s="6" t="str">
        <f t="shared" si="12"/>
        <v>ЛДСП 18 H3450 ST22 .</v>
      </c>
      <c r="D281" s="67" t="s">
        <v>1372</v>
      </c>
      <c r="E281" s="67" t="s">
        <v>34</v>
      </c>
      <c r="F281" s="67" t="s">
        <v>1655</v>
      </c>
      <c r="G281" s="68">
        <v>23148</v>
      </c>
      <c r="H281" s="67" t="s">
        <v>35</v>
      </c>
      <c r="I281" s="70">
        <v>1</v>
      </c>
      <c r="J281" s="67" t="s">
        <v>133</v>
      </c>
      <c r="K281" s="67" t="s">
        <v>134</v>
      </c>
      <c r="L281" s="67" t="s">
        <v>44</v>
      </c>
      <c r="M281" s="67" t="s">
        <v>238</v>
      </c>
      <c r="N281" s="67" t="s">
        <v>1385</v>
      </c>
      <c r="O281" s="67"/>
      <c r="P281" s="67" t="s">
        <v>19</v>
      </c>
      <c r="Q281" s="69">
        <v>4110</v>
      </c>
      <c r="R281" s="4">
        <f t="shared" si="13"/>
        <v>2800</v>
      </c>
      <c r="S281" s="4">
        <f t="shared" si="14"/>
        <v>2070</v>
      </c>
    </row>
    <row r="282" spans="1:19" ht="17.100000000000001" customHeight="1" x14ac:dyDescent="0.2">
      <c r="A282" s="23"/>
      <c r="B282" s="3" t="str">
        <f ca="1">IF(A282="В заказ",MAX($B$9:OFFSET(B282,-1,0))+1,"")</f>
        <v/>
      </c>
      <c r="C282" s="6" t="str">
        <f t="shared" si="12"/>
        <v>ЛДСП 25 H3450 ST22 .</v>
      </c>
      <c r="D282" s="67" t="s">
        <v>1372</v>
      </c>
      <c r="E282" s="67" t="s">
        <v>34</v>
      </c>
      <c r="F282" s="67" t="s">
        <v>1656</v>
      </c>
      <c r="G282" s="68">
        <v>15707</v>
      </c>
      <c r="H282" s="67" t="s">
        <v>35</v>
      </c>
      <c r="I282" s="70">
        <v>1</v>
      </c>
      <c r="J282" s="67" t="s">
        <v>133</v>
      </c>
      <c r="K282" s="67" t="s">
        <v>134</v>
      </c>
      <c r="L282" s="67" t="s">
        <v>44</v>
      </c>
      <c r="M282" s="67" t="s">
        <v>238</v>
      </c>
      <c r="N282" s="67" t="s">
        <v>1387</v>
      </c>
      <c r="O282" s="67"/>
      <c r="P282" s="67" t="s">
        <v>19</v>
      </c>
      <c r="Q282" s="69">
        <v>5350</v>
      </c>
      <c r="R282" s="4">
        <f t="shared" si="13"/>
        <v>2800</v>
      </c>
      <c r="S282" s="4">
        <f t="shared" si="14"/>
        <v>2070</v>
      </c>
    </row>
    <row r="283" spans="1:19" ht="17.100000000000001" customHeight="1" x14ac:dyDescent="0.2">
      <c r="A283" s="23"/>
      <c r="B283" s="3" t="str">
        <f ca="1">IF(A283="В заказ",MAX($B$9:OFFSET(B283,-1,0))+1,"")</f>
        <v/>
      </c>
      <c r="C283" s="6" t="str">
        <f t="shared" si="12"/>
        <v>ЛДСП 08 H3451 ST22 .</v>
      </c>
      <c r="D283" s="67" t="s">
        <v>1372</v>
      </c>
      <c r="E283" s="67" t="s">
        <v>34</v>
      </c>
      <c r="F283" s="67" t="s">
        <v>1657</v>
      </c>
      <c r="G283" s="68">
        <v>16661</v>
      </c>
      <c r="H283" s="67" t="s">
        <v>35</v>
      </c>
      <c r="I283" s="70">
        <v>1</v>
      </c>
      <c r="J283" s="67" t="s">
        <v>135</v>
      </c>
      <c r="K283" s="67" t="s">
        <v>136</v>
      </c>
      <c r="L283" s="67" t="s">
        <v>44</v>
      </c>
      <c r="M283" s="67" t="s">
        <v>238</v>
      </c>
      <c r="N283" s="67" t="s">
        <v>1382</v>
      </c>
      <c r="O283" s="67"/>
      <c r="P283" s="67" t="s">
        <v>19</v>
      </c>
      <c r="Q283" s="69">
        <v>3745</v>
      </c>
      <c r="R283" s="4">
        <f t="shared" si="13"/>
        <v>2800</v>
      </c>
      <c r="S283" s="4">
        <f t="shared" si="14"/>
        <v>2070</v>
      </c>
    </row>
    <row r="284" spans="1:19" ht="17.100000000000001" customHeight="1" x14ac:dyDescent="0.2">
      <c r="A284" s="23"/>
      <c r="B284" s="3" t="str">
        <f ca="1">IF(A284="В заказ",MAX($B$9:OFFSET(B284,-1,0))+1,"")</f>
        <v/>
      </c>
      <c r="C284" s="6" t="str">
        <f t="shared" si="12"/>
        <v>ЛДСП 16 H3451 ST22 .</v>
      </c>
      <c r="D284" s="67" t="s">
        <v>1372</v>
      </c>
      <c r="E284" s="67" t="s">
        <v>34</v>
      </c>
      <c r="F284" s="67" t="s">
        <v>1658</v>
      </c>
      <c r="G284" s="68">
        <v>14150</v>
      </c>
      <c r="H284" s="67" t="s">
        <v>35</v>
      </c>
      <c r="I284" s="70">
        <v>1</v>
      </c>
      <c r="J284" s="67" t="s">
        <v>135</v>
      </c>
      <c r="K284" s="67" t="s">
        <v>136</v>
      </c>
      <c r="L284" s="67" t="s">
        <v>44</v>
      </c>
      <c r="M284" s="67" t="s">
        <v>238</v>
      </c>
      <c r="N284" s="67" t="s">
        <v>235</v>
      </c>
      <c r="O284" s="67"/>
      <c r="P284" s="67" t="s">
        <v>19</v>
      </c>
      <c r="Q284" s="69">
        <v>3830</v>
      </c>
      <c r="R284" s="4">
        <f t="shared" si="13"/>
        <v>2800</v>
      </c>
      <c r="S284" s="4">
        <f t="shared" si="14"/>
        <v>2070</v>
      </c>
    </row>
    <row r="285" spans="1:19" ht="17.100000000000001" customHeight="1" x14ac:dyDescent="0.2">
      <c r="A285" s="23"/>
      <c r="B285" s="3" t="str">
        <f ca="1">IF(A285="В заказ",MAX($B$9:OFFSET(B285,-1,0))+1,"")</f>
        <v/>
      </c>
      <c r="C285" s="6" t="str">
        <f t="shared" si="12"/>
        <v>ЛДСП 18 H3451 ST22 .</v>
      </c>
      <c r="D285" s="67" t="s">
        <v>1372</v>
      </c>
      <c r="E285" s="67" t="s">
        <v>34</v>
      </c>
      <c r="F285" s="67" t="s">
        <v>1659</v>
      </c>
      <c r="G285" s="68">
        <v>18923</v>
      </c>
      <c r="H285" s="67" t="s">
        <v>35</v>
      </c>
      <c r="I285" s="70">
        <v>1</v>
      </c>
      <c r="J285" s="67" t="s">
        <v>135</v>
      </c>
      <c r="K285" s="67" t="s">
        <v>136</v>
      </c>
      <c r="L285" s="67" t="s">
        <v>44</v>
      </c>
      <c r="M285" s="67" t="s">
        <v>238</v>
      </c>
      <c r="N285" s="67" t="s">
        <v>1385</v>
      </c>
      <c r="O285" s="67"/>
      <c r="P285" s="67" t="s">
        <v>19</v>
      </c>
      <c r="Q285" s="69">
        <v>4110</v>
      </c>
      <c r="R285" s="4">
        <f t="shared" si="13"/>
        <v>2800</v>
      </c>
      <c r="S285" s="4">
        <f t="shared" si="14"/>
        <v>2070</v>
      </c>
    </row>
    <row r="286" spans="1:19" ht="17.100000000000001" customHeight="1" x14ac:dyDescent="0.2">
      <c r="A286" s="23"/>
      <c r="B286" s="3" t="str">
        <f ca="1">IF(A286="В заказ",MAX($B$9:OFFSET(B286,-1,0))+1,"")</f>
        <v/>
      </c>
      <c r="C286" s="6" t="str">
        <f t="shared" si="12"/>
        <v>ЛДСП 25 H3451 ST22 .</v>
      </c>
      <c r="D286" s="67" t="s">
        <v>1372</v>
      </c>
      <c r="E286" s="67" t="s">
        <v>34</v>
      </c>
      <c r="F286" s="67" t="s">
        <v>1660</v>
      </c>
      <c r="G286" s="68">
        <v>14620</v>
      </c>
      <c r="H286" s="67" t="s">
        <v>35</v>
      </c>
      <c r="I286" s="70">
        <v>1</v>
      </c>
      <c r="J286" s="67" t="s">
        <v>135</v>
      </c>
      <c r="K286" s="67" t="s">
        <v>136</v>
      </c>
      <c r="L286" s="67" t="s">
        <v>44</v>
      </c>
      <c r="M286" s="67" t="s">
        <v>238</v>
      </c>
      <c r="N286" s="67" t="s">
        <v>1387</v>
      </c>
      <c r="O286" s="67"/>
      <c r="P286" s="67" t="s">
        <v>19</v>
      </c>
      <c r="Q286" s="69">
        <v>5350</v>
      </c>
      <c r="R286" s="4">
        <f t="shared" si="13"/>
        <v>2800</v>
      </c>
      <c r="S286" s="4">
        <f t="shared" si="14"/>
        <v>2070</v>
      </c>
    </row>
    <row r="287" spans="1:19" ht="17.100000000000001" customHeight="1" x14ac:dyDescent="0.2">
      <c r="A287" s="23"/>
      <c r="B287" s="3" t="str">
        <f ca="1">IF(A287="В заказ",MAX($B$9:OFFSET(B287,-1,0))+1,"")</f>
        <v/>
      </c>
      <c r="C287" s="6" t="str">
        <f t="shared" si="12"/>
        <v>ЛДСП 08 H3453 ST22 .</v>
      </c>
      <c r="D287" s="67" t="s">
        <v>1372</v>
      </c>
      <c r="E287" s="67" t="s">
        <v>34</v>
      </c>
      <c r="F287" s="67" t="s">
        <v>1661</v>
      </c>
      <c r="G287" s="68">
        <v>16662</v>
      </c>
      <c r="H287" s="67" t="s">
        <v>35</v>
      </c>
      <c r="I287" s="70">
        <v>1</v>
      </c>
      <c r="J287" s="67" t="s">
        <v>137</v>
      </c>
      <c r="K287" s="67" t="s">
        <v>138</v>
      </c>
      <c r="L287" s="67" t="s">
        <v>44</v>
      </c>
      <c r="M287" s="67" t="s">
        <v>238</v>
      </c>
      <c r="N287" s="67" t="s">
        <v>1382</v>
      </c>
      <c r="O287" s="67"/>
      <c r="P287" s="67" t="s">
        <v>19</v>
      </c>
      <c r="Q287" s="69">
        <v>3745</v>
      </c>
      <c r="R287" s="4">
        <f t="shared" si="13"/>
        <v>2800</v>
      </c>
      <c r="S287" s="4">
        <f t="shared" si="14"/>
        <v>2070</v>
      </c>
    </row>
    <row r="288" spans="1:19" ht="17.100000000000001" customHeight="1" x14ac:dyDescent="0.2">
      <c r="A288" s="23"/>
      <c r="B288" s="3" t="str">
        <f ca="1">IF(A288="В заказ",MAX($B$9:OFFSET(B288,-1,0))+1,"")</f>
        <v/>
      </c>
      <c r="C288" s="6" t="str">
        <f t="shared" si="12"/>
        <v>ЛДСП 16 H3453 ST22 .</v>
      </c>
      <c r="D288" s="67" t="s">
        <v>1372</v>
      </c>
      <c r="E288" s="67" t="s">
        <v>34</v>
      </c>
      <c r="F288" s="67" t="s">
        <v>1662</v>
      </c>
      <c r="G288" s="68">
        <v>14009</v>
      </c>
      <c r="H288" s="67" t="s">
        <v>35</v>
      </c>
      <c r="I288" s="70">
        <v>1</v>
      </c>
      <c r="J288" s="67" t="s">
        <v>137</v>
      </c>
      <c r="K288" s="67" t="s">
        <v>138</v>
      </c>
      <c r="L288" s="67" t="s">
        <v>44</v>
      </c>
      <c r="M288" s="67" t="s">
        <v>238</v>
      </c>
      <c r="N288" s="67" t="s">
        <v>235</v>
      </c>
      <c r="O288" s="67"/>
      <c r="P288" s="67" t="s">
        <v>19</v>
      </c>
      <c r="Q288" s="69">
        <v>3830</v>
      </c>
      <c r="R288" s="4">
        <f t="shared" si="13"/>
        <v>2800</v>
      </c>
      <c r="S288" s="4">
        <f t="shared" si="14"/>
        <v>2070</v>
      </c>
    </row>
    <row r="289" spans="1:19" ht="17.100000000000001" customHeight="1" x14ac:dyDescent="0.2">
      <c r="A289" s="23"/>
      <c r="B289" s="3" t="str">
        <f ca="1">IF(A289="В заказ",MAX($B$9:OFFSET(B289,-1,0))+1,"")</f>
        <v/>
      </c>
      <c r="C289" s="6" t="str">
        <f t="shared" si="12"/>
        <v>ЛДСП 18 H3453 ST22 .</v>
      </c>
      <c r="D289" s="67" t="s">
        <v>1372</v>
      </c>
      <c r="E289" s="67" t="s">
        <v>34</v>
      </c>
      <c r="F289" s="67" t="s">
        <v>1663</v>
      </c>
      <c r="G289" s="68">
        <v>23149</v>
      </c>
      <c r="H289" s="67" t="s">
        <v>35</v>
      </c>
      <c r="I289" s="70">
        <v>1</v>
      </c>
      <c r="J289" s="67" t="s">
        <v>137</v>
      </c>
      <c r="K289" s="67" t="s">
        <v>138</v>
      </c>
      <c r="L289" s="67" t="s">
        <v>44</v>
      </c>
      <c r="M289" s="67" t="s">
        <v>238</v>
      </c>
      <c r="N289" s="67" t="s">
        <v>1385</v>
      </c>
      <c r="O289" s="67"/>
      <c r="P289" s="67" t="s">
        <v>19</v>
      </c>
      <c r="Q289" s="69">
        <v>4110</v>
      </c>
      <c r="R289" s="4">
        <f t="shared" si="13"/>
        <v>2800</v>
      </c>
      <c r="S289" s="4">
        <f t="shared" si="14"/>
        <v>2070</v>
      </c>
    </row>
    <row r="290" spans="1:19" ht="17.100000000000001" customHeight="1" x14ac:dyDescent="0.2">
      <c r="A290" s="23"/>
      <c r="B290" s="3" t="str">
        <f ca="1">IF(A290="В заказ",MAX($B$9:OFFSET(B290,-1,0))+1,"")</f>
        <v/>
      </c>
      <c r="C290" s="6" t="str">
        <f t="shared" si="12"/>
        <v>ЛДСП 25 H3453 ST22 .</v>
      </c>
      <c r="D290" s="67" t="s">
        <v>1372</v>
      </c>
      <c r="E290" s="67" t="s">
        <v>34</v>
      </c>
      <c r="F290" s="67" t="s">
        <v>1664</v>
      </c>
      <c r="G290" s="68">
        <v>15770</v>
      </c>
      <c r="H290" s="67" t="s">
        <v>35</v>
      </c>
      <c r="I290" s="70">
        <v>1</v>
      </c>
      <c r="J290" s="67" t="s">
        <v>137</v>
      </c>
      <c r="K290" s="67" t="s">
        <v>138</v>
      </c>
      <c r="L290" s="67" t="s">
        <v>44</v>
      </c>
      <c r="M290" s="67" t="s">
        <v>238</v>
      </c>
      <c r="N290" s="67" t="s">
        <v>1387</v>
      </c>
      <c r="O290" s="67"/>
      <c r="P290" s="67" t="s">
        <v>19</v>
      </c>
      <c r="Q290" s="69">
        <v>5350</v>
      </c>
      <c r="R290" s="4">
        <f t="shared" si="13"/>
        <v>2800</v>
      </c>
      <c r="S290" s="4">
        <f t="shared" si="14"/>
        <v>2070</v>
      </c>
    </row>
    <row r="291" spans="1:19" ht="17.100000000000001" customHeight="1" x14ac:dyDescent="0.2">
      <c r="A291" s="23"/>
      <c r="B291" s="3" t="str">
        <f ca="1">IF(A291="В заказ",MAX($B$9:OFFSET(B291,-1,0))+1,"")</f>
        <v/>
      </c>
      <c r="C291" s="6" t="str">
        <f t="shared" si="12"/>
        <v>ЛДСП 16 H3704 ST15 .</v>
      </c>
      <c r="D291" s="67" t="s">
        <v>1372</v>
      </c>
      <c r="E291" s="67" t="s">
        <v>34</v>
      </c>
      <c r="F291" s="67" t="s">
        <v>1665</v>
      </c>
      <c r="G291" s="70">
        <v>929</v>
      </c>
      <c r="H291" s="67" t="s">
        <v>35</v>
      </c>
      <c r="I291" s="70">
        <v>1</v>
      </c>
      <c r="J291" s="67" t="s">
        <v>1666</v>
      </c>
      <c r="K291" s="67" t="s">
        <v>1667</v>
      </c>
      <c r="L291" s="67" t="s">
        <v>85</v>
      </c>
      <c r="M291" s="67" t="s">
        <v>238</v>
      </c>
      <c r="N291" s="67" t="s">
        <v>235</v>
      </c>
      <c r="O291" s="67"/>
      <c r="P291" s="67" t="s">
        <v>19</v>
      </c>
      <c r="Q291" s="69">
        <v>3425</v>
      </c>
      <c r="R291" s="4">
        <f t="shared" si="13"/>
        <v>2800</v>
      </c>
      <c r="S291" s="4">
        <f t="shared" si="14"/>
        <v>2070</v>
      </c>
    </row>
    <row r="292" spans="1:19" ht="17.100000000000001" customHeight="1" x14ac:dyDescent="0.2">
      <c r="A292" s="23"/>
      <c r="B292" s="3" t="str">
        <f ca="1">IF(A292="В заказ",MAX($B$9:OFFSET(B292,-1,0))+1,"")</f>
        <v/>
      </c>
      <c r="C292" s="6" t="str">
        <f t="shared" si="12"/>
        <v>ЛДСП 08 H3710 ST12 .</v>
      </c>
      <c r="D292" s="67" t="s">
        <v>1372</v>
      </c>
      <c r="E292" s="67" t="s">
        <v>34</v>
      </c>
      <c r="F292" s="67" t="s">
        <v>1668</v>
      </c>
      <c r="G292" s="68">
        <v>24067</v>
      </c>
      <c r="H292" s="67" t="s">
        <v>35</v>
      </c>
      <c r="I292" s="70">
        <v>1</v>
      </c>
      <c r="J292" s="67" t="s">
        <v>933</v>
      </c>
      <c r="K292" s="67" t="s">
        <v>934</v>
      </c>
      <c r="L292" s="67" t="s">
        <v>41</v>
      </c>
      <c r="M292" s="67" t="s">
        <v>238</v>
      </c>
      <c r="N292" s="67" t="s">
        <v>1382</v>
      </c>
      <c r="O292" s="67"/>
      <c r="P292" s="67" t="s">
        <v>19</v>
      </c>
      <c r="Q292" s="69">
        <v>3745</v>
      </c>
      <c r="R292" s="4">
        <f t="shared" si="13"/>
        <v>2800</v>
      </c>
      <c r="S292" s="4">
        <f t="shared" si="14"/>
        <v>2070</v>
      </c>
    </row>
    <row r="293" spans="1:19" ht="17.100000000000001" customHeight="1" x14ac:dyDescent="0.2">
      <c r="A293" s="23"/>
      <c r="B293" s="3" t="str">
        <f ca="1">IF(A293="В заказ",MAX($B$9:OFFSET(B293,-1,0))+1,"")</f>
        <v/>
      </c>
      <c r="C293" s="6" t="str">
        <f t="shared" si="12"/>
        <v>ЛДСП 16 H3710 ST12 .</v>
      </c>
      <c r="D293" s="67" t="s">
        <v>1372</v>
      </c>
      <c r="E293" s="67" t="s">
        <v>34</v>
      </c>
      <c r="F293" s="67" t="s">
        <v>1669</v>
      </c>
      <c r="G293" s="68">
        <v>21219</v>
      </c>
      <c r="H293" s="67" t="s">
        <v>35</v>
      </c>
      <c r="I293" s="70">
        <v>1</v>
      </c>
      <c r="J293" s="67" t="s">
        <v>933</v>
      </c>
      <c r="K293" s="67" t="s">
        <v>934</v>
      </c>
      <c r="L293" s="67" t="s">
        <v>41</v>
      </c>
      <c r="M293" s="67" t="s">
        <v>238</v>
      </c>
      <c r="N293" s="67" t="s">
        <v>235</v>
      </c>
      <c r="O293" s="67"/>
      <c r="P293" s="67" t="s">
        <v>19</v>
      </c>
      <c r="Q293" s="69">
        <v>3830</v>
      </c>
      <c r="R293" s="4">
        <f t="shared" si="13"/>
        <v>2800</v>
      </c>
      <c r="S293" s="4">
        <f t="shared" si="14"/>
        <v>2070</v>
      </c>
    </row>
    <row r="294" spans="1:19" ht="17.100000000000001" customHeight="1" x14ac:dyDescent="0.2">
      <c r="A294" s="23"/>
      <c r="B294" s="3" t="str">
        <f ca="1">IF(A294="В заказ",MAX($B$9:OFFSET(B294,-1,0))+1,"")</f>
        <v/>
      </c>
      <c r="C294" s="6" t="str">
        <f t="shared" si="12"/>
        <v>ЛДСП 18 H3710 ST12 .</v>
      </c>
      <c r="D294" s="67" t="s">
        <v>1372</v>
      </c>
      <c r="E294" s="67" t="s">
        <v>34</v>
      </c>
      <c r="F294" s="67" t="s">
        <v>1670</v>
      </c>
      <c r="G294" s="68">
        <v>24805</v>
      </c>
      <c r="H294" s="67" t="s">
        <v>35</v>
      </c>
      <c r="I294" s="70">
        <v>1</v>
      </c>
      <c r="J294" s="67" t="s">
        <v>933</v>
      </c>
      <c r="K294" s="67" t="s">
        <v>934</v>
      </c>
      <c r="L294" s="67" t="s">
        <v>41</v>
      </c>
      <c r="M294" s="67" t="s">
        <v>238</v>
      </c>
      <c r="N294" s="67" t="s">
        <v>1385</v>
      </c>
      <c r="O294" s="67"/>
      <c r="P294" s="67" t="s">
        <v>19</v>
      </c>
      <c r="Q294" s="69">
        <v>4110</v>
      </c>
      <c r="R294" s="4">
        <f t="shared" si="13"/>
        <v>2800</v>
      </c>
      <c r="S294" s="4">
        <f t="shared" si="14"/>
        <v>2070</v>
      </c>
    </row>
    <row r="295" spans="1:19" ht="17.100000000000001" customHeight="1" x14ac:dyDescent="0.2">
      <c r="A295" s="23"/>
      <c r="B295" s="3" t="str">
        <f ca="1">IF(A295="В заказ",MAX($B$9:OFFSET(B295,-1,0))+1,"")</f>
        <v/>
      </c>
      <c r="C295" s="6" t="str">
        <f t="shared" si="12"/>
        <v>ЛДСП 25 H3710 ST12 .</v>
      </c>
      <c r="D295" s="67" t="s">
        <v>1372</v>
      </c>
      <c r="E295" s="67" t="s">
        <v>34</v>
      </c>
      <c r="F295" s="67" t="s">
        <v>1671</v>
      </c>
      <c r="G295" s="68">
        <v>21220</v>
      </c>
      <c r="H295" s="67" t="s">
        <v>35</v>
      </c>
      <c r="I295" s="70">
        <v>1</v>
      </c>
      <c r="J295" s="67" t="s">
        <v>933</v>
      </c>
      <c r="K295" s="67" t="s">
        <v>934</v>
      </c>
      <c r="L295" s="67" t="s">
        <v>41</v>
      </c>
      <c r="M295" s="67" t="s">
        <v>238</v>
      </c>
      <c r="N295" s="67" t="s">
        <v>1387</v>
      </c>
      <c r="O295" s="67"/>
      <c r="P295" s="67" t="s">
        <v>19</v>
      </c>
      <c r="Q295" s="69">
        <v>5350</v>
      </c>
      <c r="R295" s="4">
        <f t="shared" si="13"/>
        <v>2800</v>
      </c>
      <c r="S295" s="4">
        <f t="shared" si="14"/>
        <v>2070</v>
      </c>
    </row>
    <row r="296" spans="1:19" ht="17.100000000000001" customHeight="1" x14ac:dyDescent="0.2">
      <c r="A296" s="23"/>
      <c r="B296" s="3" t="str">
        <f ca="1">IF(A296="В заказ",MAX($B$9:OFFSET(B296,-1,0))+1,"")</f>
        <v/>
      </c>
      <c r="C296" s="6" t="str">
        <f t="shared" si="12"/>
        <v>ЛДСП 08 H3730 ST10 .</v>
      </c>
      <c r="D296" s="67" t="s">
        <v>1372</v>
      </c>
      <c r="E296" s="67" t="s">
        <v>34</v>
      </c>
      <c r="F296" s="67" t="s">
        <v>1672</v>
      </c>
      <c r="G296" s="68">
        <v>15281</v>
      </c>
      <c r="H296" s="67" t="s">
        <v>35</v>
      </c>
      <c r="I296" s="70">
        <v>1</v>
      </c>
      <c r="J296" s="67" t="s">
        <v>143</v>
      </c>
      <c r="K296" s="67" t="s">
        <v>144</v>
      </c>
      <c r="L296" s="67" t="s">
        <v>38</v>
      </c>
      <c r="M296" s="67" t="s">
        <v>238</v>
      </c>
      <c r="N296" s="67" t="s">
        <v>1382</v>
      </c>
      <c r="O296" s="67"/>
      <c r="P296" s="67" t="s">
        <v>19</v>
      </c>
      <c r="Q296" s="69">
        <v>3545</v>
      </c>
      <c r="R296" s="4">
        <f t="shared" si="13"/>
        <v>2800</v>
      </c>
      <c r="S296" s="4">
        <f t="shared" si="14"/>
        <v>2070</v>
      </c>
    </row>
    <row r="297" spans="1:19" ht="17.100000000000001" customHeight="1" x14ac:dyDescent="0.2">
      <c r="A297" s="23"/>
      <c r="B297" s="3" t="str">
        <f ca="1">IF(A297="В заказ",MAX($B$9:OFFSET(B297,-1,0))+1,"")</f>
        <v/>
      </c>
      <c r="C297" s="6" t="str">
        <f t="shared" si="12"/>
        <v>ЛДСП 16 H3730 ST10 .</v>
      </c>
      <c r="D297" s="67" t="s">
        <v>1372</v>
      </c>
      <c r="E297" s="67" t="s">
        <v>34</v>
      </c>
      <c r="F297" s="67" t="s">
        <v>1673</v>
      </c>
      <c r="G297" s="68">
        <v>13659</v>
      </c>
      <c r="H297" s="67" t="s">
        <v>35</v>
      </c>
      <c r="I297" s="70">
        <v>1</v>
      </c>
      <c r="J297" s="67" t="s">
        <v>143</v>
      </c>
      <c r="K297" s="67" t="s">
        <v>144</v>
      </c>
      <c r="L297" s="67" t="s">
        <v>38</v>
      </c>
      <c r="M297" s="67" t="s">
        <v>238</v>
      </c>
      <c r="N297" s="67" t="s">
        <v>235</v>
      </c>
      <c r="O297" s="67"/>
      <c r="P297" s="67" t="s">
        <v>19</v>
      </c>
      <c r="Q297" s="69">
        <v>3630</v>
      </c>
      <c r="R297" s="4">
        <f t="shared" si="13"/>
        <v>2800</v>
      </c>
      <c r="S297" s="4">
        <f t="shared" si="14"/>
        <v>2070</v>
      </c>
    </row>
    <row r="298" spans="1:19" ht="17.100000000000001" customHeight="1" x14ac:dyDescent="0.2">
      <c r="A298" s="23"/>
      <c r="B298" s="3" t="str">
        <f ca="1">IF(A298="В заказ",MAX($B$9:OFFSET(B298,-1,0))+1,"")</f>
        <v/>
      </c>
      <c r="C298" s="6" t="str">
        <f t="shared" si="12"/>
        <v>ЛДСП 18 H3730 ST10 .</v>
      </c>
      <c r="D298" s="67" t="s">
        <v>1372</v>
      </c>
      <c r="E298" s="67" t="s">
        <v>34</v>
      </c>
      <c r="F298" s="67" t="s">
        <v>1674</v>
      </c>
      <c r="G298" s="68">
        <v>24803</v>
      </c>
      <c r="H298" s="67" t="s">
        <v>35</v>
      </c>
      <c r="I298" s="70">
        <v>1</v>
      </c>
      <c r="J298" s="67" t="s">
        <v>143</v>
      </c>
      <c r="K298" s="67" t="s">
        <v>144</v>
      </c>
      <c r="L298" s="67" t="s">
        <v>38</v>
      </c>
      <c r="M298" s="67" t="s">
        <v>238</v>
      </c>
      <c r="N298" s="67" t="s">
        <v>1385</v>
      </c>
      <c r="O298" s="67"/>
      <c r="P298" s="67" t="s">
        <v>19</v>
      </c>
      <c r="Q298" s="69">
        <v>3910</v>
      </c>
      <c r="R298" s="4">
        <f t="shared" si="13"/>
        <v>2800</v>
      </c>
      <c r="S298" s="4">
        <f t="shared" si="14"/>
        <v>2070</v>
      </c>
    </row>
    <row r="299" spans="1:19" ht="17.100000000000001" customHeight="1" x14ac:dyDescent="0.2">
      <c r="A299" s="23"/>
      <c r="B299" s="3" t="str">
        <f ca="1">IF(A299="В заказ",MAX($B$9:OFFSET(B299,-1,0))+1,"")</f>
        <v/>
      </c>
      <c r="C299" s="6" t="str">
        <f t="shared" si="12"/>
        <v>ЛДСП 25 H3730 ST10 .</v>
      </c>
      <c r="D299" s="67" t="s">
        <v>1372</v>
      </c>
      <c r="E299" s="67" t="s">
        <v>34</v>
      </c>
      <c r="F299" s="67" t="s">
        <v>1675</v>
      </c>
      <c r="G299" s="68">
        <v>14080</v>
      </c>
      <c r="H299" s="67" t="s">
        <v>35</v>
      </c>
      <c r="I299" s="70">
        <v>1</v>
      </c>
      <c r="J299" s="67" t="s">
        <v>143</v>
      </c>
      <c r="K299" s="67" t="s">
        <v>144</v>
      </c>
      <c r="L299" s="67" t="s">
        <v>38</v>
      </c>
      <c r="M299" s="67" t="s">
        <v>238</v>
      </c>
      <c r="N299" s="67" t="s">
        <v>1387</v>
      </c>
      <c r="O299" s="67"/>
      <c r="P299" s="67" t="s">
        <v>19</v>
      </c>
      <c r="Q299" s="69">
        <v>5175</v>
      </c>
      <c r="R299" s="4">
        <f t="shared" si="13"/>
        <v>2800</v>
      </c>
      <c r="S299" s="4">
        <f t="shared" si="14"/>
        <v>2070</v>
      </c>
    </row>
    <row r="300" spans="1:19" ht="17.100000000000001" customHeight="1" x14ac:dyDescent="0.2">
      <c r="A300" s="23"/>
      <c r="B300" s="3" t="str">
        <f ca="1">IF(A300="В заказ",MAX($B$9:OFFSET(B300,-1,0))+1,"")</f>
        <v/>
      </c>
      <c r="C300" s="6" t="str">
        <f t="shared" si="12"/>
        <v>ЛДСП 08 H3734 ST9 .</v>
      </c>
      <c r="D300" s="67" t="s">
        <v>1372</v>
      </c>
      <c r="E300" s="67" t="s">
        <v>34</v>
      </c>
      <c r="F300" s="67" t="s">
        <v>1676</v>
      </c>
      <c r="G300" s="68">
        <v>1320</v>
      </c>
      <c r="H300" s="67" t="s">
        <v>35</v>
      </c>
      <c r="I300" s="70">
        <v>1</v>
      </c>
      <c r="J300" s="67" t="s">
        <v>145</v>
      </c>
      <c r="K300" s="67" t="s">
        <v>146</v>
      </c>
      <c r="L300" s="67" t="s">
        <v>22</v>
      </c>
      <c r="M300" s="67" t="s">
        <v>238</v>
      </c>
      <c r="N300" s="67" t="s">
        <v>1382</v>
      </c>
      <c r="O300" s="67"/>
      <c r="P300" s="67" t="s">
        <v>19</v>
      </c>
      <c r="Q300" s="69">
        <v>3350</v>
      </c>
      <c r="R300" s="4">
        <f t="shared" si="13"/>
        <v>2800</v>
      </c>
      <c r="S300" s="4">
        <f t="shared" si="14"/>
        <v>2070</v>
      </c>
    </row>
    <row r="301" spans="1:19" ht="17.100000000000001" customHeight="1" x14ac:dyDescent="0.2">
      <c r="A301" s="23"/>
      <c r="B301" s="3" t="str">
        <f ca="1">IF(A301="В заказ",MAX($B$9:OFFSET(B301,-1,0))+1,"")</f>
        <v/>
      </c>
      <c r="C301" s="6" t="str">
        <f t="shared" si="12"/>
        <v>ЛДСП 16 H3734 ST9 .</v>
      </c>
      <c r="D301" s="67" t="s">
        <v>1372</v>
      </c>
      <c r="E301" s="67" t="s">
        <v>34</v>
      </c>
      <c r="F301" s="67" t="s">
        <v>1677</v>
      </c>
      <c r="G301" s="70">
        <v>21</v>
      </c>
      <c r="H301" s="67" t="s">
        <v>35</v>
      </c>
      <c r="I301" s="70">
        <v>1</v>
      </c>
      <c r="J301" s="67" t="s">
        <v>145</v>
      </c>
      <c r="K301" s="67" t="s">
        <v>146</v>
      </c>
      <c r="L301" s="67" t="s">
        <v>22</v>
      </c>
      <c r="M301" s="67" t="s">
        <v>238</v>
      </c>
      <c r="N301" s="67" t="s">
        <v>235</v>
      </c>
      <c r="O301" s="67"/>
      <c r="P301" s="67" t="s">
        <v>19</v>
      </c>
      <c r="Q301" s="69">
        <v>3425</v>
      </c>
      <c r="R301" s="4">
        <f t="shared" si="13"/>
        <v>2800</v>
      </c>
      <c r="S301" s="4">
        <f t="shared" si="14"/>
        <v>2070</v>
      </c>
    </row>
    <row r="302" spans="1:19" ht="17.100000000000001" customHeight="1" x14ac:dyDescent="0.2">
      <c r="A302" s="23"/>
      <c r="B302" s="3" t="str">
        <f ca="1">IF(A302="В заказ",MAX($B$9:OFFSET(B302,-1,0))+1,"")</f>
        <v/>
      </c>
      <c r="C302" s="6" t="str">
        <f t="shared" si="12"/>
        <v>ЛДСП 18 H3734 ST9 .</v>
      </c>
      <c r="D302" s="67" t="s">
        <v>1372</v>
      </c>
      <c r="E302" s="67" t="s">
        <v>34</v>
      </c>
      <c r="F302" s="67" t="s">
        <v>1678</v>
      </c>
      <c r="G302" s="68">
        <v>11453</v>
      </c>
      <c r="H302" s="67" t="s">
        <v>35</v>
      </c>
      <c r="I302" s="70">
        <v>1</v>
      </c>
      <c r="J302" s="67" t="s">
        <v>145</v>
      </c>
      <c r="K302" s="67" t="s">
        <v>146</v>
      </c>
      <c r="L302" s="67" t="s">
        <v>22</v>
      </c>
      <c r="M302" s="67" t="s">
        <v>238</v>
      </c>
      <c r="N302" s="67" t="s">
        <v>1385</v>
      </c>
      <c r="O302" s="67"/>
      <c r="P302" s="67" t="s">
        <v>19</v>
      </c>
      <c r="Q302" s="69">
        <v>3725</v>
      </c>
      <c r="R302" s="4">
        <f t="shared" si="13"/>
        <v>2800</v>
      </c>
      <c r="S302" s="4">
        <f t="shared" si="14"/>
        <v>2070</v>
      </c>
    </row>
    <row r="303" spans="1:19" ht="17.100000000000001" customHeight="1" x14ac:dyDescent="0.2">
      <c r="A303" s="23"/>
      <c r="B303" s="3" t="str">
        <f ca="1">IF(A303="В заказ",MAX($B$9:OFFSET(B303,-1,0))+1,"")</f>
        <v/>
      </c>
      <c r="C303" s="6" t="str">
        <f t="shared" si="12"/>
        <v>ЛДСП 25 H3734 ST9 .</v>
      </c>
      <c r="D303" s="67" t="s">
        <v>1372</v>
      </c>
      <c r="E303" s="67" t="s">
        <v>34</v>
      </c>
      <c r="F303" s="67" t="s">
        <v>1679</v>
      </c>
      <c r="G303" s="70">
        <v>401</v>
      </c>
      <c r="H303" s="67" t="s">
        <v>35</v>
      </c>
      <c r="I303" s="70">
        <v>1</v>
      </c>
      <c r="J303" s="67" t="s">
        <v>145</v>
      </c>
      <c r="K303" s="67" t="s">
        <v>146</v>
      </c>
      <c r="L303" s="67" t="s">
        <v>22</v>
      </c>
      <c r="M303" s="67" t="s">
        <v>238</v>
      </c>
      <c r="N303" s="67" t="s">
        <v>1387</v>
      </c>
      <c r="O303" s="67"/>
      <c r="P303" s="67" t="s">
        <v>19</v>
      </c>
      <c r="Q303" s="69">
        <v>4990</v>
      </c>
      <c r="R303" s="4">
        <f t="shared" si="13"/>
        <v>2800</v>
      </c>
      <c r="S303" s="4">
        <f t="shared" si="14"/>
        <v>2070</v>
      </c>
    </row>
    <row r="304" spans="1:19" ht="17.100000000000001" customHeight="1" x14ac:dyDescent="0.2">
      <c r="A304" s="23"/>
      <c r="B304" s="3" t="str">
        <f ca="1">IF(A304="В заказ",MAX($B$9:OFFSET(B304,-1,0))+1,"")</f>
        <v/>
      </c>
      <c r="C304" s="6" t="str">
        <f t="shared" si="12"/>
        <v>ЛДСП 16 H3773 ST9 .</v>
      </c>
      <c r="D304" s="67" t="s">
        <v>1372</v>
      </c>
      <c r="E304" s="67" t="s">
        <v>34</v>
      </c>
      <c r="F304" s="67" t="s">
        <v>1680</v>
      </c>
      <c r="G304" s="68">
        <v>12662</v>
      </c>
      <c r="H304" s="67" t="s">
        <v>35</v>
      </c>
      <c r="I304" s="70">
        <v>1</v>
      </c>
      <c r="J304" s="67" t="s">
        <v>1681</v>
      </c>
      <c r="K304" s="67" t="s">
        <v>1682</v>
      </c>
      <c r="L304" s="67" t="s">
        <v>22</v>
      </c>
      <c r="M304" s="67" t="s">
        <v>238</v>
      </c>
      <c r="N304" s="67" t="s">
        <v>235</v>
      </c>
      <c r="O304" s="67"/>
      <c r="P304" s="67" t="s">
        <v>19</v>
      </c>
      <c r="Q304" s="69">
        <v>6440</v>
      </c>
      <c r="R304" s="4">
        <f t="shared" si="13"/>
        <v>2800</v>
      </c>
      <c r="S304" s="4">
        <f t="shared" si="14"/>
        <v>2070</v>
      </c>
    </row>
    <row r="305" spans="1:19" ht="17.100000000000001" customHeight="1" x14ac:dyDescent="0.2">
      <c r="A305" s="23"/>
      <c r="B305" s="3" t="str">
        <f ca="1">IF(A305="В заказ",MAX($B$9:OFFSET(B305,-1,0))+1,"")</f>
        <v/>
      </c>
      <c r="C305" s="6" t="str">
        <f t="shared" si="12"/>
        <v>ЛДСП 08 H3840 ST9 .</v>
      </c>
      <c r="D305" s="67" t="s">
        <v>1372</v>
      </c>
      <c r="E305" s="67" t="s">
        <v>34</v>
      </c>
      <c r="F305" s="67" t="s">
        <v>1683</v>
      </c>
      <c r="G305" s="68">
        <v>16667</v>
      </c>
      <c r="H305" s="67" t="s">
        <v>35</v>
      </c>
      <c r="I305" s="70">
        <v>1</v>
      </c>
      <c r="J305" s="67" t="s">
        <v>147</v>
      </c>
      <c r="K305" s="67" t="s">
        <v>148</v>
      </c>
      <c r="L305" s="67" t="s">
        <v>22</v>
      </c>
      <c r="M305" s="67" t="s">
        <v>238</v>
      </c>
      <c r="N305" s="67" t="s">
        <v>1382</v>
      </c>
      <c r="O305" s="67"/>
      <c r="P305" s="67" t="s">
        <v>19</v>
      </c>
      <c r="Q305" s="69">
        <v>3350</v>
      </c>
      <c r="R305" s="4">
        <f t="shared" si="13"/>
        <v>2800</v>
      </c>
      <c r="S305" s="4">
        <f t="shared" si="14"/>
        <v>2070</v>
      </c>
    </row>
    <row r="306" spans="1:19" ht="17.100000000000001" customHeight="1" x14ac:dyDescent="0.2">
      <c r="A306" s="23"/>
      <c r="B306" s="3" t="str">
        <f ca="1">IF(A306="В заказ",MAX($B$9:OFFSET(B306,-1,0))+1,"")</f>
        <v/>
      </c>
      <c r="C306" s="6" t="str">
        <f t="shared" si="12"/>
        <v>ЛДСП 16 H3840 ST9 .</v>
      </c>
      <c r="D306" s="67" t="s">
        <v>1372</v>
      </c>
      <c r="E306" s="67" t="s">
        <v>34</v>
      </c>
      <c r="F306" s="67" t="s">
        <v>1684</v>
      </c>
      <c r="G306" s="68">
        <v>14096</v>
      </c>
      <c r="H306" s="67" t="s">
        <v>35</v>
      </c>
      <c r="I306" s="70">
        <v>1</v>
      </c>
      <c r="J306" s="67" t="s">
        <v>147</v>
      </c>
      <c r="K306" s="67" t="s">
        <v>148</v>
      </c>
      <c r="L306" s="67" t="s">
        <v>22</v>
      </c>
      <c r="M306" s="67" t="s">
        <v>238</v>
      </c>
      <c r="N306" s="67" t="s">
        <v>235</v>
      </c>
      <c r="O306" s="67"/>
      <c r="P306" s="67" t="s">
        <v>19</v>
      </c>
      <c r="Q306" s="69">
        <v>3425</v>
      </c>
      <c r="R306" s="4">
        <f t="shared" si="13"/>
        <v>2800</v>
      </c>
      <c r="S306" s="4">
        <f t="shared" si="14"/>
        <v>2070</v>
      </c>
    </row>
    <row r="307" spans="1:19" ht="17.100000000000001" customHeight="1" x14ac:dyDescent="0.2">
      <c r="A307" s="23"/>
      <c r="B307" s="3" t="str">
        <f ca="1">IF(A307="В заказ",MAX($B$9:OFFSET(B307,-1,0))+1,"")</f>
        <v/>
      </c>
      <c r="C307" s="6" t="str">
        <f t="shared" si="12"/>
        <v>ЛДСП 25 H3840 ST9 .</v>
      </c>
      <c r="D307" s="67" t="s">
        <v>1372</v>
      </c>
      <c r="E307" s="67" t="s">
        <v>34</v>
      </c>
      <c r="F307" s="67" t="s">
        <v>1685</v>
      </c>
      <c r="G307" s="68">
        <v>14636</v>
      </c>
      <c r="H307" s="67" t="s">
        <v>35</v>
      </c>
      <c r="I307" s="70">
        <v>1</v>
      </c>
      <c r="J307" s="67" t="s">
        <v>147</v>
      </c>
      <c r="K307" s="67" t="s">
        <v>148</v>
      </c>
      <c r="L307" s="67" t="s">
        <v>22</v>
      </c>
      <c r="M307" s="67" t="s">
        <v>238</v>
      </c>
      <c r="N307" s="67" t="s">
        <v>1387</v>
      </c>
      <c r="O307" s="67"/>
      <c r="P307" s="67" t="s">
        <v>19</v>
      </c>
      <c r="Q307" s="69">
        <v>4990</v>
      </c>
      <c r="R307" s="4">
        <f t="shared" si="13"/>
        <v>2800</v>
      </c>
      <c r="S307" s="4">
        <f t="shared" si="14"/>
        <v>2070</v>
      </c>
    </row>
    <row r="308" spans="1:19" ht="17.100000000000001" customHeight="1" x14ac:dyDescent="0.2">
      <c r="A308" s="23"/>
      <c r="B308" s="3" t="str">
        <f ca="1">IF(A308="В заказ",MAX($B$9:OFFSET(B308,-1,0))+1,"")</f>
        <v/>
      </c>
      <c r="C308" s="6" t="str">
        <f t="shared" si="12"/>
        <v>ЛДСП 08 H3860 ST9 .</v>
      </c>
      <c r="D308" s="67" t="s">
        <v>1372</v>
      </c>
      <c r="E308" s="67" t="s">
        <v>34</v>
      </c>
      <c r="F308" s="67" t="s">
        <v>1686</v>
      </c>
      <c r="G308" s="68">
        <v>14115</v>
      </c>
      <c r="H308" s="67" t="s">
        <v>35</v>
      </c>
      <c r="I308" s="70">
        <v>1</v>
      </c>
      <c r="J308" s="67" t="s">
        <v>149</v>
      </c>
      <c r="K308" s="67" t="s">
        <v>150</v>
      </c>
      <c r="L308" s="67" t="s">
        <v>22</v>
      </c>
      <c r="M308" s="67" t="s">
        <v>238</v>
      </c>
      <c r="N308" s="67" t="s">
        <v>1382</v>
      </c>
      <c r="O308" s="67"/>
      <c r="P308" s="67" t="s">
        <v>19</v>
      </c>
      <c r="Q308" s="69">
        <v>3545</v>
      </c>
      <c r="R308" s="4">
        <f t="shared" si="13"/>
        <v>2800</v>
      </c>
      <c r="S308" s="4">
        <f t="shared" si="14"/>
        <v>2070</v>
      </c>
    </row>
    <row r="309" spans="1:19" ht="17.100000000000001" customHeight="1" x14ac:dyDescent="0.2">
      <c r="A309" s="23"/>
      <c r="B309" s="3" t="str">
        <f ca="1">IF(A309="В заказ",MAX($B$9:OFFSET(B309,-1,0))+1,"")</f>
        <v/>
      </c>
      <c r="C309" s="6" t="str">
        <f t="shared" si="12"/>
        <v>ЛДСП 16 H3860 ST9 .</v>
      </c>
      <c r="D309" s="67" t="s">
        <v>1372</v>
      </c>
      <c r="E309" s="67" t="s">
        <v>34</v>
      </c>
      <c r="F309" s="67" t="s">
        <v>1687</v>
      </c>
      <c r="G309" s="68">
        <v>13085</v>
      </c>
      <c r="H309" s="67" t="s">
        <v>35</v>
      </c>
      <c r="I309" s="70">
        <v>1</v>
      </c>
      <c r="J309" s="67" t="s">
        <v>149</v>
      </c>
      <c r="K309" s="67" t="s">
        <v>150</v>
      </c>
      <c r="L309" s="67" t="s">
        <v>22</v>
      </c>
      <c r="M309" s="67" t="s">
        <v>238</v>
      </c>
      <c r="N309" s="67" t="s">
        <v>235</v>
      </c>
      <c r="O309" s="67"/>
      <c r="P309" s="67" t="s">
        <v>19</v>
      </c>
      <c r="Q309" s="69">
        <v>3630</v>
      </c>
      <c r="R309" s="4">
        <f t="shared" si="13"/>
        <v>2800</v>
      </c>
      <c r="S309" s="4">
        <f t="shared" si="14"/>
        <v>2070</v>
      </c>
    </row>
    <row r="310" spans="1:19" ht="17.100000000000001" customHeight="1" x14ac:dyDescent="0.2">
      <c r="A310" s="23"/>
      <c r="B310" s="3" t="str">
        <f ca="1">IF(A310="В заказ",MAX($B$9:OFFSET(B310,-1,0))+1,"")</f>
        <v/>
      </c>
      <c r="C310" s="6" t="str">
        <f t="shared" si="12"/>
        <v>ЛДСП 25 H3860 ST9 .</v>
      </c>
      <c r="D310" s="67" t="s">
        <v>1372</v>
      </c>
      <c r="E310" s="67" t="s">
        <v>34</v>
      </c>
      <c r="F310" s="67" t="s">
        <v>1688</v>
      </c>
      <c r="G310" s="68">
        <v>14116</v>
      </c>
      <c r="H310" s="67" t="s">
        <v>35</v>
      </c>
      <c r="I310" s="70">
        <v>1</v>
      </c>
      <c r="J310" s="67" t="s">
        <v>149</v>
      </c>
      <c r="K310" s="67" t="s">
        <v>150</v>
      </c>
      <c r="L310" s="67" t="s">
        <v>22</v>
      </c>
      <c r="M310" s="67" t="s">
        <v>238</v>
      </c>
      <c r="N310" s="67" t="s">
        <v>1387</v>
      </c>
      <c r="O310" s="67"/>
      <c r="P310" s="67" t="s">
        <v>19</v>
      </c>
      <c r="Q310" s="69">
        <v>5175</v>
      </c>
      <c r="R310" s="4">
        <f t="shared" si="13"/>
        <v>2800</v>
      </c>
      <c r="S310" s="4">
        <f t="shared" si="14"/>
        <v>2070</v>
      </c>
    </row>
    <row r="311" spans="1:19" ht="17.100000000000001" customHeight="1" x14ac:dyDescent="0.2">
      <c r="A311" s="23"/>
      <c r="B311" s="3" t="str">
        <f ca="1">IF(A311="В заказ",MAX($B$9:OFFSET(B311,-1,0))+1,"")</f>
        <v/>
      </c>
      <c r="C311" s="6" t="str">
        <f t="shared" si="12"/>
        <v>ЛДСП 16 AU325 ST9 .</v>
      </c>
      <c r="D311" s="67" t="s">
        <v>1372</v>
      </c>
      <c r="E311" s="67" t="s">
        <v>151</v>
      </c>
      <c r="F311" s="67" t="s">
        <v>2122</v>
      </c>
      <c r="G311" s="68">
        <v>25315</v>
      </c>
      <c r="H311" s="67" t="s">
        <v>152</v>
      </c>
      <c r="I311" s="200"/>
      <c r="J311" s="67" t="s">
        <v>2115</v>
      </c>
      <c r="K311" s="67" t="s">
        <v>1070</v>
      </c>
      <c r="L311" s="67" t="s">
        <v>22</v>
      </c>
      <c r="M311" s="67" t="s">
        <v>238</v>
      </c>
      <c r="N311" s="67" t="s">
        <v>235</v>
      </c>
      <c r="O311" s="67"/>
      <c r="P311" s="67" t="s">
        <v>19</v>
      </c>
      <c r="Q311" s="69">
        <v>4285</v>
      </c>
      <c r="R311" s="4">
        <f t="shared" si="13"/>
        <v>2800</v>
      </c>
      <c r="S311" s="4">
        <f t="shared" si="14"/>
        <v>2070</v>
      </c>
    </row>
    <row r="312" spans="1:19" ht="17.100000000000001" customHeight="1" x14ac:dyDescent="0.2">
      <c r="A312" s="23"/>
      <c r="B312" s="3" t="str">
        <f ca="1">IF(A312="В заказ",MAX($B$9:OFFSET(B312,-1,0))+1,"")</f>
        <v/>
      </c>
      <c r="C312" s="6" t="str">
        <f t="shared" si="12"/>
        <v>ЛДСП 16 AU636  ST9 .</v>
      </c>
      <c r="D312" s="67" t="s">
        <v>1372</v>
      </c>
      <c r="E312" s="67" t="s">
        <v>151</v>
      </c>
      <c r="F312" s="67" t="s">
        <v>1689</v>
      </c>
      <c r="G312" s="68">
        <v>25203</v>
      </c>
      <c r="H312" s="67" t="s">
        <v>152</v>
      </c>
      <c r="I312" s="200"/>
      <c r="J312" s="67" t="s">
        <v>2123</v>
      </c>
      <c r="K312" s="67" t="s">
        <v>184</v>
      </c>
      <c r="L312" s="67" t="s">
        <v>22</v>
      </c>
      <c r="M312" s="67" t="s">
        <v>238</v>
      </c>
      <c r="N312" s="67" t="s">
        <v>235</v>
      </c>
      <c r="O312" s="67"/>
      <c r="P312" s="67" t="s">
        <v>19</v>
      </c>
      <c r="Q312" s="69">
        <v>3830</v>
      </c>
      <c r="R312" s="4">
        <f t="shared" si="13"/>
        <v>2800</v>
      </c>
      <c r="S312" s="4">
        <f t="shared" si="14"/>
        <v>2070</v>
      </c>
    </row>
    <row r="313" spans="1:19" ht="17.100000000000001" customHeight="1" x14ac:dyDescent="0.2">
      <c r="A313" s="23"/>
      <c r="B313" s="3" t="str">
        <f ca="1">IF(A313="В заказ",MAX($B$9:OFFSET(B313,-1,0))+1,"")</f>
        <v/>
      </c>
      <c r="C313" s="6" t="str">
        <f t="shared" si="12"/>
        <v>ЛДСП 08 U104 ST9 .</v>
      </c>
      <c r="D313" s="67" t="s">
        <v>1372</v>
      </c>
      <c r="E313" s="67" t="s">
        <v>151</v>
      </c>
      <c r="F313" s="67" t="s">
        <v>1690</v>
      </c>
      <c r="G313" s="68">
        <v>14215</v>
      </c>
      <c r="H313" s="67" t="s">
        <v>152</v>
      </c>
      <c r="I313" s="200"/>
      <c r="J313" s="67" t="s">
        <v>153</v>
      </c>
      <c r="K313" s="67" t="s">
        <v>154</v>
      </c>
      <c r="L313" s="67" t="s">
        <v>22</v>
      </c>
      <c r="M313" s="67" t="s">
        <v>238</v>
      </c>
      <c r="N313" s="67" t="s">
        <v>1382</v>
      </c>
      <c r="O313" s="67"/>
      <c r="P313" s="67" t="s">
        <v>19</v>
      </c>
      <c r="Q313" s="69">
        <v>3270</v>
      </c>
      <c r="R313" s="4">
        <f t="shared" si="13"/>
        <v>2800</v>
      </c>
      <c r="S313" s="4">
        <f t="shared" si="14"/>
        <v>2070</v>
      </c>
    </row>
    <row r="314" spans="1:19" ht="17.100000000000001" customHeight="1" x14ac:dyDescent="0.2">
      <c r="A314" s="23"/>
      <c r="B314" s="3" t="str">
        <f ca="1">IF(A314="В заказ",MAX($B$9:OFFSET(B314,-1,0))+1,"")</f>
        <v/>
      </c>
      <c r="C314" s="6" t="str">
        <f t="shared" si="12"/>
        <v>ЛДСП 16 U104 ST9 .</v>
      </c>
      <c r="D314" s="67" t="s">
        <v>1372</v>
      </c>
      <c r="E314" s="67" t="s">
        <v>151</v>
      </c>
      <c r="F314" s="67" t="s">
        <v>1691</v>
      </c>
      <c r="G314" s="68">
        <v>9700</v>
      </c>
      <c r="H314" s="67" t="s">
        <v>152</v>
      </c>
      <c r="I314" s="200"/>
      <c r="J314" s="67" t="s">
        <v>153</v>
      </c>
      <c r="K314" s="67" t="s">
        <v>154</v>
      </c>
      <c r="L314" s="67" t="s">
        <v>22</v>
      </c>
      <c r="M314" s="67" t="s">
        <v>238</v>
      </c>
      <c r="N314" s="67" t="s">
        <v>235</v>
      </c>
      <c r="O314" s="67"/>
      <c r="P314" s="67" t="s">
        <v>19</v>
      </c>
      <c r="Q314" s="69">
        <v>3355</v>
      </c>
      <c r="R314" s="4">
        <f t="shared" si="13"/>
        <v>2800</v>
      </c>
      <c r="S314" s="4">
        <f t="shared" si="14"/>
        <v>2070</v>
      </c>
    </row>
    <row r="315" spans="1:19" ht="17.100000000000001" customHeight="1" x14ac:dyDescent="0.2">
      <c r="A315" s="23"/>
      <c r="B315" s="3" t="str">
        <f ca="1">IF(A315="В заказ",MAX($B$9:OFFSET(B315,-1,0))+1,"")</f>
        <v/>
      </c>
      <c r="C315" s="6" t="str">
        <f t="shared" si="12"/>
        <v>ЛДСП 18 U104 ST9 .</v>
      </c>
      <c r="D315" s="67" t="s">
        <v>1372</v>
      </c>
      <c r="E315" s="67" t="s">
        <v>151</v>
      </c>
      <c r="F315" s="67" t="s">
        <v>1692</v>
      </c>
      <c r="G315" s="68">
        <v>22844</v>
      </c>
      <c r="H315" s="67" t="s">
        <v>152</v>
      </c>
      <c r="I315" s="200"/>
      <c r="J315" s="67" t="s">
        <v>153</v>
      </c>
      <c r="K315" s="67" t="s">
        <v>154</v>
      </c>
      <c r="L315" s="67" t="s">
        <v>22</v>
      </c>
      <c r="M315" s="67" t="s">
        <v>238</v>
      </c>
      <c r="N315" s="67" t="s">
        <v>1385</v>
      </c>
      <c r="O315" s="67"/>
      <c r="P315" s="67" t="s">
        <v>19</v>
      </c>
      <c r="Q315" s="69">
        <v>3650</v>
      </c>
      <c r="R315" s="4">
        <f t="shared" si="13"/>
        <v>2800</v>
      </c>
      <c r="S315" s="4">
        <f t="shared" si="14"/>
        <v>2070</v>
      </c>
    </row>
    <row r="316" spans="1:19" ht="17.100000000000001" customHeight="1" x14ac:dyDescent="0.2">
      <c r="A316" s="23"/>
      <c r="B316" s="3" t="str">
        <f ca="1">IF(A316="В заказ",MAX($B$9:OFFSET(B316,-1,0))+1,"")</f>
        <v/>
      </c>
      <c r="C316" s="6" t="str">
        <f t="shared" si="12"/>
        <v>ЛДСП 25 U104 ST9 .</v>
      </c>
      <c r="D316" s="67" t="s">
        <v>1372</v>
      </c>
      <c r="E316" s="67" t="s">
        <v>151</v>
      </c>
      <c r="F316" s="67" t="s">
        <v>1693</v>
      </c>
      <c r="G316" s="68">
        <v>9701</v>
      </c>
      <c r="H316" s="67" t="s">
        <v>152</v>
      </c>
      <c r="I316" s="200"/>
      <c r="J316" s="67" t="s">
        <v>153</v>
      </c>
      <c r="K316" s="67" t="s">
        <v>154</v>
      </c>
      <c r="L316" s="67" t="s">
        <v>22</v>
      </c>
      <c r="M316" s="67" t="s">
        <v>238</v>
      </c>
      <c r="N316" s="67" t="s">
        <v>1387</v>
      </c>
      <c r="O316" s="67"/>
      <c r="P316" s="67" t="s">
        <v>19</v>
      </c>
      <c r="Q316" s="69">
        <v>4925</v>
      </c>
      <c r="R316" s="4">
        <f t="shared" si="13"/>
        <v>2800</v>
      </c>
      <c r="S316" s="4">
        <f t="shared" si="14"/>
        <v>2070</v>
      </c>
    </row>
    <row r="317" spans="1:19" ht="17.100000000000001" customHeight="1" x14ac:dyDescent="0.2">
      <c r="A317" s="23"/>
      <c r="B317" s="3" t="str">
        <f ca="1">IF(A317="В заказ",MAX($B$9:OFFSET(B317,-1,0))+1,"")</f>
        <v/>
      </c>
      <c r="C317" s="6" t="str">
        <f t="shared" si="12"/>
        <v>ЛДСП 08 U108 ST9 .</v>
      </c>
      <c r="D317" s="67" t="s">
        <v>1372</v>
      </c>
      <c r="E317" s="67" t="s">
        <v>151</v>
      </c>
      <c r="F317" s="67" t="s">
        <v>1694</v>
      </c>
      <c r="G317" s="68">
        <v>14216</v>
      </c>
      <c r="H317" s="67" t="s">
        <v>152</v>
      </c>
      <c r="I317" s="200"/>
      <c r="J317" s="67" t="s">
        <v>155</v>
      </c>
      <c r="K317" s="67" t="s">
        <v>156</v>
      </c>
      <c r="L317" s="67" t="s">
        <v>22</v>
      </c>
      <c r="M317" s="67" t="s">
        <v>238</v>
      </c>
      <c r="N317" s="67" t="s">
        <v>1382</v>
      </c>
      <c r="O317" s="67"/>
      <c r="P317" s="67" t="s">
        <v>19</v>
      </c>
      <c r="Q317" s="69">
        <v>3270</v>
      </c>
      <c r="R317" s="4">
        <f t="shared" si="13"/>
        <v>2800</v>
      </c>
      <c r="S317" s="4">
        <f t="shared" si="14"/>
        <v>2070</v>
      </c>
    </row>
    <row r="318" spans="1:19" ht="17.100000000000001" customHeight="1" x14ac:dyDescent="0.2">
      <c r="A318" s="23"/>
      <c r="B318" s="3" t="str">
        <f ca="1">IF(A318="В заказ",MAX($B$9:OFFSET(B318,-1,0))+1,"")</f>
        <v/>
      </c>
      <c r="C318" s="6" t="str">
        <f t="shared" si="12"/>
        <v>ЛДСП 16 U108 ST9 .</v>
      </c>
      <c r="D318" s="67" t="s">
        <v>1372</v>
      </c>
      <c r="E318" s="67" t="s">
        <v>151</v>
      </c>
      <c r="F318" s="67" t="s">
        <v>1695</v>
      </c>
      <c r="G318" s="68">
        <v>14217</v>
      </c>
      <c r="H318" s="67" t="s">
        <v>152</v>
      </c>
      <c r="I318" s="200"/>
      <c r="J318" s="67" t="s">
        <v>155</v>
      </c>
      <c r="K318" s="67" t="s">
        <v>156</v>
      </c>
      <c r="L318" s="67" t="s">
        <v>22</v>
      </c>
      <c r="M318" s="67" t="s">
        <v>238</v>
      </c>
      <c r="N318" s="67" t="s">
        <v>235</v>
      </c>
      <c r="O318" s="67"/>
      <c r="P318" s="67" t="s">
        <v>19</v>
      </c>
      <c r="Q318" s="69">
        <v>3355</v>
      </c>
      <c r="R318" s="4">
        <f t="shared" si="13"/>
        <v>2800</v>
      </c>
      <c r="S318" s="4">
        <f t="shared" si="14"/>
        <v>2070</v>
      </c>
    </row>
    <row r="319" spans="1:19" ht="17.100000000000001" customHeight="1" x14ac:dyDescent="0.2">
      <c r="A319" s="23"/>
      <c r="B319" s="3" t="str">
        <f ca="1">IF(A319="В заказ",MAX($B$9:OFFSET(B319,-1,0))+1,"")</f>
        <v/>
      </c>
      <c r="C319" s="6" t="str">
        <f t="shared" ref="C319:C382" si="15">D319&amp;" "&amp;N319&amp;" "&amp;IF(OR(D319="ДСП",D319="МДФ",D319="Фанера",D319="ХДФ"),M319,J319)&amp;" "&amp;IF(OR(D319="ДСП",D319="МДФ",D319="Фанера",D319="ХДФ"),O319,L319)&amp;" "&amp;IF(OR(D319="ДСП",D319="МДФ",D319="Фанера",D319="ХДФ"),"",IF(D319="БСП",M319,O319))&amp;"."</f>
        <v>ЛДСП 18 U108 ST9 .</v>
      </c>
      <c r="D319" s="67" t="s">
        <v>1372</v>
      </c>
      <c r="E319" s="67" t="s">
        <v>151</v>
      </c>
      <c r="F319" s="67" t="s">
        <v>1696</v>
      </c>
      <c r="G319" s="68">
        <v>16012</v>
      </c>
      <c r="H319" s="67" t="s">
        <v>152</v>
      </c>
      <c r="I319" s="200"/>
      <c r="J319" s="67" t="s">
        <v>155</v>
      </c>
      <c r="K319" s="67" t="s">
        <v>156</v>
      </c>
      <c r="L319" s="67" t="s">
        <v>22</v>
      </c>
      <c r="M319" s="67" t="s">
        <v>238</v>
      </c>
      <c r="N319" s="67" t="s">
        <v>1385</v>
      </c>
      <c r="O319" s="67"/>
      <c r="P319" s="67" t="s">
        <v>19</v>
      </c>
      <c r="Q319" s="69">
        <v>3650</v>
      </c>
      <c r="R319" s="4">
        <f t="shared" si="13"/>
        <v>2800</v>
      </c>
      <c r="S319" s="4">
        <f t="shared" si="14"/>
        <v>2070</v>
      </c>
    </row>
    <row r="320" spans="1:19" ht="17.100000000000001" customHeight="1" x14ac:dyDescent="0.2">
      <c r="A320" s="23"/>
      <c r="B320" s="3" t="str">
        <f ca="1">IF(A320="В заказ",MAX($B$9:OFFSET(B320,-1,0))+1,"")</f>
        <v/>
      </c>
      <c r="C320" s="6" t="str">
        <f t="shared" si="15"/>
        <v>ЛДСП 25 U108 ST9 .</v>
      </c>
      <c r="D320" s="67" t="s">
        <v>1372</v>
      </c>
      <c r="E320" s="67" t="s">
        <v>151</v>
      </c>
      <c r="F320" s="67" t="s">
        <v>1697</v>
      </c>
      <c r="G320" s="68">
        <v>14218</v>
      </c>
      <c r="H320" s="67" t="s">
        <v>152</v>
      </c>
      <c r="I320" s="200"/>
      <c r="J320" s="67" t="s">
        <v>155</v>
      </c>
      <c r="K320" s="67" t="s">
        <v>156</v>
      </c>
      <c r="L320" s="67" t="s">
        <v>22</v>
      </c>
      <c r="M320" s="67" t="s">
        <v>238</v>
      </c>
      <c r="N320" s="67" t="s">
        <v>1387</v>
      </c>
      <c r="O320" s="67"/>
      <c r="P320" s="67" t="s">
        <v>19</v>
      </c>
      <c r="Q320" s="69">
        <v>4925</v>
      </c>
      <c r="R320" s="4">
        <f t="shared" si="13"/>
        <v>2800</v>
      </c>
      <c r="S320" s="4">
        <f t="shared" si="14"/>
        <v>2070</v>
      </c>
    </row>
    <row r="321" spans="1:19" ht="17.100000000000001" customHeight="1" x14ac:dyDescent="0.2">
      <c r="A321" s="23"/>
      <c r="B321" s="3" t="str">
        <f ca="1">IF(A321="В заказ",MAX($B$9:OFFSET(B321,-1,0))+1,"")</f>
        <v/>
      </c>
      <c r="C321" s="6" t="str">
        <f t="shared" si="15"/>
        <v>ЛДСП 08 U113 ST9 .</v>
      </c>
      <c r="D321" s="67" t="s">
        <v>1372</v>
      </c>
      <c r="E321" s="67" t="s">
        <v>151</v>
      </c>
      <c r="F321" s="67" t="s">
        <v>1698</v>
      </c>
      <c r="G321" s="68">
        <v>22489</v>
      </c>
      <c r="H321" s="67" t="s">
        <v>152</v>
      </c>
      <c r="I321" s="200"/>
      <c r="J321" s="67" t="s">
        <v>157</v>
      </c>
      <c r="K321" s="67" t="s">
        <v>158</v>
      </c>
      <c r="L321" s="67" t="s">
        <v>22</v>
      </c>
      <c r="M321" s="67" t="s">
        <v>238</v>
      </c>
      <c r="N321" s="67" t="s">
        <v>1382</v>
      </c>
      <c r="O321" s="67"/>
      <c r="P321" s="67" t="s">
        <v>19</v>
      </c>
      <c r="Q321" s="69">
        <v>3350</v>
      </c>
      <c r="R321" s="4">
        <f t="shared" si="13"/>
        <v>2800</v>
      </c>
      <c r="S321" s="4">
        <f t="shared" si="14"/>
        <v>2070</v>
      </c>
    </row>
    <row r="322" spans="1:19" ht="17.100000000000001" customHeight="1" x14ac:dyDescent="0.2">
      <c r="A322" s="23"/>
      <c r="B322" s="3" t="str">
        <f ca="1">IF(A322="В заказ",MAX($B$9:OFFSET(B322,-1,0))+1,"")</f>
        <v/>
      </c>
      <c r="C322" s="6" t="str">
        <f t="shared" si="15"/>
        <v>ЛДСП 16 U113 ST9 .</v>
      </c>
      <c r="D322" s="67" t="s">
        <v>1372</v>
      </c>
      <c r="E322" s="67" t="s">
        <v>151</v>
      </c>
      <c r="F322" s="67" t="s">
        <v>1699</v>
      </c>
      <c r="G322" s="68">
        <v>13872</v>
      </c>
      <c r="H322" s="67" t="s">
        <v>152</v>
      </c>
      <c r="I322" s="200"/>
      <c r="J322" s="67" t="s">
        <v>157</v>
      </c>
      <c r="K322" s="67" t="s">
        <v>158</v>
      </c>
      <c r="L322" s="67" t="s">
        <v>22</v>
      </c>
      <c r="M322" s="67" t="s">
        <v>238</v>
      </c>
      <c r="N322" s="67" t="s">
        <v>235</v>
      </c>
      <c r="O322" s="67"/>
      <c r="P322" s="67" t="s">
        <v>19</v>
      </c>
      <c r="Q322" s="69">
        <v>3425</v>
      </c>
      <c r="R322" s="4">
        <f t="shared" si="13"/>
        <v>2800</v>
      </c>
      <c r="S322" s="4">
        <f t="shared" si="14"/>
        <v>2070</v>
      </c>
    </row>
    <row r="323" spans="1:19" ht="17.100000000000001" customHeight="1" x14ac:dyDescent="0.2">
      <c r="A323" s="23"/>
      <c r="B323" s="3" t="str">
        <f ca="1">IF(A323="В заказ",MAX($B$9:OFFSET(B323,-1,0))+1,"")</f>
        <v/>
      </c>
      <c r="C323" s="6" t="str">
        <f t="shared" si="15"/>
        <v>ЛДСП 18 U113 ST9 .</v>
      </c>
      <c r="D323" s="67" t="s">
        <v>1372</v>
      </c>
      <c r="E323" s="67" t="s">
        <v>151</v>
      </c>
      <c r="F323" s="67" t="s">
        <v>1700</v>
      </c>
      <c r="G323" s="68">
        <v>24475</v>
      </c>
      <c r="H323" s="67" t="s">
        <v>152</v>
      </c>
      <c r="I323" s="200"/>
      <c r="J323" s="67" t="s">
        <v>157</v>
      </c>
      <c r="K323" s="67" t="s">
        <v>158</v>
      </c>
      <c r="L323" s="67" t="s">
        <v>22</v>
      </c>
      <c r="M323" s="67" t="s">
        <v>238</v>
      </c>
      <c r="N323" s="67" t="s">
        <v>1385</v>
      </c>
      <c r="O323" s="67"/>
      <c r="P323" s="67" t="s">
        <v>19</v>
      </c>
      <c r="Q323" s="69">
        <v>3725</v>
      </c>
      <c r="R323" s="4">
        <f t="shared" si="13"/>
        <v>2800</v>
      </c>
      <c r="S323" s="4">
        <f t="shared" si="14"/>
        <v>2070</v>
      </c>
    </row>
    <row r="324" spans="1:19" ht="17.100000000000001" customHeight="1" x14ac:dyDescent="0.2">
      <c r="A324" s="23"/>
      <c r="B324" s="3" t="str">
        <f ca="1">IF(A324="В заказ",MAX($B$9:OFFSET(B324,-1,0))+1,"")</f>
        <v/>
      </c>
      <c r="C324" s="6" t="str">
        <f t="shared" si="15"/>
        <v>ЛДСП 25 U113 ST9 .</v>
      </c>
      <c r="D324" s="67" t="s">
        <v>1372</v>
      </c>
      <c r="E324" s="67" t="s">
        <v>151</v>
      </c>
      <c r="F324" s="67" t="s">
        <v>1701</v>
      </c>
      <c r="G324" s="68">
        <v>17337</v>
      </c>
      <c r="H324" s="67" t="s">
        <v>152</v>
      </c>
      <c r="I324" s="200"/>
      <c r="J324" s="67" t="s">
        <v>157</v>
      </c>
      <c r="K324" s="67" t="s">
        <v>158</v>
      </c>
      <c r="L324" s="67" t="s">
        <v>22</v>
      </c>
      <c r="M324" s="67" t="s">
        <v>238</v>
      </c>
      <c r="N324" s="67" t="s">
        <v>1387</v>
      </c>
      <c r="O324" s="67"/>
      <c r="P324" s="67" t="s">
        <v>19</v>
      </c>
      <c r="Q324" s="69">
        <v>4990</v>
      </c>
      <c r="R324" s="4">
        <f t="shared" si="13"/>
        <v>2800</v>
      </c>
      <c r="S324" s="4">
        <f t="shared" si="14"/>
        <v>2070</v>
      </c>
    </row>
    <row r="325" spans="1:19" ht="17.100000000000001" customHeight="1" x14ac:dyDescent="0.2">
      <c r="A325" s="23"/>
      <c r="B325" s="3" t="str">
        <f ca="1">IF(A325="В заказ",MAX($B$9:OFFSET(B325,-1,0))+1,"")</f>
        <v/>
      </c>
      <c r="C325" s="6" t="str">
        <f t="shared" si="15"/>
        <v>ЛДСП 16 U114 ST9 .</v>
      </c>
      <c r="D325" s="67" t="s">
        <v>1372</v>
      </c>
      <c r="E325" s="67" t="s">
        <v>151</v>
      </c>
      <c r="F325" s="67" t="s">
        <v>1702</v>
      </c>
      <c r="G325" s="68">
        <v>14219</v>
      </c>
      <c r="H325" s="67" t="s">
        <v>152</v>
      </c>
      <c r="I325" s="200"/>
      <c r="J325" s="67" t="s">
        <v>1006</v>
      </c>
      <c r="K325" s="67" t="s">
        <v>1007</v>
      </c>
      <c r="L325" s="67" t="s">
        <v>22</v>
      </c>
      <c r="M325" s="67" t="s">
        <v>238</v>
      </c>
      <c r="N325" s="67" t="s">
        <v>235</v>
      </c>
      <c r="O325" s="67"/>
      <c r="P325" s="67" t="s">
        <v>19</v>
      </c>
      <c r="Q325" s="69">
        <v>6050</v>
      </c>
      <c r="R325" s="4">
        <f t="shared" si="13"/>
        <v>2800</v>
      </c>
      <c r="S325" s="4">
        <f t="shared" si="14"/>
        <v>2070</v>
      </c>
    </row>
    <row r="326" spans="1:19" ht="17.100000000000001" customHeight="1" x14ac:dyDescent="0.2">
      <c r="A326" s="23"/>
      <c r="B326" s="3" t="str">
        <f ca="1">IF(A326="В заказ",MAX($B$9:OFFSET(B326,-1,0))+1,"")</f>
        <v/>
      </c>
      <c r="C326" s="6" t="str">
        <f t="shared" si="15"/>
        <v>ЛДСП 08 U156 ST9 .</v>
      </c>
      <c r="D326" s="67" t="s">
        <v>1372</v>
      </c>
      <c r="E326" s="67" t="s">
        <v>151</v>
      </c>
      <c r="F326" s="67" t="s">
        <v>1703</v>
      </c>
      <c r="G326" s="68">
        <v>1645</v>
      </c>
      <c r="H326" s="67" t="s">
        <v>152</v>
      </c>
      <c r="I326" s="200"/>
      <c r="J326" s="67" t="s">
        <v>159</v>
      </c>
      <c r="K326" s="67" t="s">
        <v>160</v>
      </c>
      <c r="L326" s="67" t="s">
        <v>22</v>
      </c>
      <c r="M326" s="67" t="s">
        <v>238</v>
      </c>
      <c r="N326" s="67" t="s">
        <v>1382</v>
      </c>
      <c r="O326" s="67"/>
      <c r="P326" s="67" t="s">
        <v>19</v>
      </c>
      <c r="Q326" s="69">
        <v>3270</v>
      </c>
      <c r="R326" s="4">
        <f t="shared" si="13"/>
        <v>2800</v>
      </c>
      <c r="S326" s="4">
        <f t="shared" si="14"/>
        <v>2070</v>
      </c>
    </row>
    <row r="327" spans="1:19" ht="17.100000000000001" customHeight="1" x14ac:dyDescent="0.2">
      <c r="A327" s="23"/>
      <c r="B327" s="3" t="str">
        <f ca="1">IF(A327="В заказ",MAX($B$9:OFFSET(B327,-1,0))+1,"")</f>
        <v/>
      </c>
      <c r="C327" s="6" t="str">
        <f t="shared" si="15"/>
        <v>ЛДСП 16 U156 ST9 .</v>
      </c>
      <c r="D327" s="67" t="s">
        <v>1372</v>
      </c>
      <c r="E327" s="67" t="s">
        <v>151</v>
      </c>
      <c r="F327" s="67" t="s">
        <v>1704</v>
      </c>
      <c r="G327" s="68">
        <v>1076</v>
      </c>
      <c r="H327" s="67" t="s">
        <v>152</v>
      </c>
      <c r="I327" s="200"/>
      <c r="J327" s="67" t="s">
        <v>159</v>
      </c>
      <c r="K327" s="67" t="s">
        <v>160</v>
      </c>
      <c r="L327" s="67" t="s">
        <v>22</v>
      </c>
      <c r="M327" s="67" t="s">
        <v>238</v>
      </c>
      <c r="N327" s="67" t="s">
        <v>235</v>
      </c>
      <c r="O327" s="67"/>
      <c r="P327" s="67" t="s">
        <v>19</v>
      </c>
      <c r="Q327" s="69">
        <v>3355</v>
      </c>
      <c r="R327" s="4">
        <f t="shared" si="13"/>
        <v>2800</v>
      </c>
      <c r="S327" s="4">
        <f t="shared" si="14"/>
        <v>2070</v>
      </c>
    </row>
    <row r="328" spans="1:19" ht="17.100000000000001" customHeight="1" x14ac:dyDescent="0.2">
      <c r="A328" s="23"/>
      <c r="B328" s="3" t="str">
        <f ca="1">IF(A328="В заказ",MAX($B$9:OFFSET(B328,-1,0))+1,"")</f>
        <v/>
      </c>
      <c r="C328" s="6" t="str">
        <f t="shared" si="15"/>
        <v>ЛДСП 18 U156 ST9 .</v>
      </c>
      <c r="D328" s="67" t="s">
        <v>1372</v>
      </c>
      <c r="E328" s="67" t="s">
        <v>151</v>
      </c>
      <c r="F328" s="67" t="s">
        <v>1705</v>
      </c>
      <c r="G328" s="68">
        <v>5657</v>
      </c>
      <c r="H328" s="67" t="s">
        <v>152</v>
      </c>
      <c r="I328" s="200"/>
      <c r="J328" s="67" t="s">
        <v>159</v>
      </c>
      <c r="K328" s="67" t="s">
        <v>160</v>
      </c>
      <c r="L328" s="67" t="s">
        <v>22</v>
      </c>
      <c r="M328" s="67" t="s">
        <v>238</v>
      </c>
      <c r="N328" s="67" t="s">
        <v>1385</v>
      </c>
      <c r="O328" s="67"/>
      <c r="P328" s="67" t="s">
        <v>19</v>
      </c>
      <c r="Q328" s="69">
        <v>3650</v>
      </c>
      <c r="R328" s="4">
        <f t="shared" si="13"/>
        <v>2800</v>
      </c>
      <c r="S328" s="4">
        <f t="shared" si="14"/>
        <v>2070</v>
      </c>
    </row>
    <row r="329" spans="1:19" ht="17.100000000000001" customHeight="1" x14ac:dyDescent="0.2">
      <c r="A329" s="23"/>
      <c r="B329" s="3" t="str">
        <f ca="1">IF(A329="В заказ",MAX($B$9:OFFSET(B329,-1,0))+1,"")</f>
        <v/>
      </c>
      <c r="C329" s="6" t="str">
        <f t="shared" si="15"/>
        <v>ЛДСП 25 U156 ST9 .</v>
      </c>
      <c r="D329" s="67" t="s">
        <v>1372</v>
      </c>
      <c r="E329" s="67" t="s">
        <v>151</v>
      </c>
      <c r="F329" s="67" t="s">
        <v>1706</v>
      </c>
      <c r="G329" s="68">
        <v>2546</v>
      </c>
      <c r="H329" s="67" t="s">
        <v>152</v>
      </c>
      <c r="I329" s="200"/>
      <c r="J329" s="67" t="s">
        <v>159</v>
      </c>
      <c r="K329" s="67" t="s">
        <v>160</v>
      </c>
      <c r="L329" s="67" t="s">
        <v>22</v>
      </c>
      <c r="M329" s="67" t="s">
        <v>238</v>
      </c>
      <c r="N329" s="67" t="s">
        <v>1387</v>
      </c>
      <c r="O329" s="67"/>
      <c r="P329" s="67" t="s">
        <v>19</v>
      </c>
      <c r="Q329" s="69">
        <v>4925</v>
      </c>
      <c r="R329" s="4">
        <f t="shared" si="13"/>
        <v>2800</v>
      </c>
      <c r="S329" s="4">
        <f t="shared" si="14"/>
        <v>2070</v>
      </c>
    </row>
    <row r="330" spans="1:19" ht="17.100000000000001" customHeight="1" x14ac:dyDescent="0.2">
      <c r="A330" s="23"/>
      <c r="B330" s="3" t="str">
        <f ca="1">IF(A330="В заказ",MAX($B$9:OFFSET(B330,-1,0))+1,"")</f>
        <v/>
      </c>
      <c r="C330" s="6" t="str">
        <f t="shared" si="15"/>
        <v>ЛДСП 08 U200 ST9 .</v>
      </c>
      <c r="D330" s="67" t="s">
        <v>1372</v>
      </c>
      <c r="E330" s="67" t="s">
        <v>151</v>
      </c>
      <c r="F330" s="67" t="s">
        <v>1707</v>
      </c>
      <c r="G330" s="68">
        <v>14120</v>
      </c>
      <c r="H330" s="67" t="s">
        <v>152</v>
      </c>
      <c r="I330" s="200"/>
      <c r="J330" s="67" t="s">
        <v>161</v>
      </c>
      <c r="K330" s="67" t="s">
        <v>162</v>
      </c>
      <c r="L330" s="67" t="s">
        <v>22</v>
      </c>
      <c r="M330" s="67" t="s">
        <v>238</v>
      </c>
      <c r="N330" s="67" t="s">
        <v>1382</v>
      </c>
      <c r="O330" s="67"/>
      <c r="P330" s="67" t="s">
        <v>19</v>
      </c>
      <c r="Q330" s="69">
        <v>3445</v>
      </c>
      <c r="R330" s="4">
        <f t="shared" si="13"/>
        <v>2800</v>
      </c>
      <c r="S330" s="4">
        <f t="shared" si="14"/>
        <v>2070</v>
      </c>
    </row>
    <row r="331" spans="1:19" ht="17.100000000000001" customHeight="1" x14ac:dyDescent="0.2">
      <c r="A331" s="23"/>
      <c r="B331" s="3" t="str">
        <f ca="1">IF(A331="В заказ",MAX($B$9:OFFSET(B331,-1,0))+1,"")</f>
        <v/>
      </c>
      <c r="C331" s="6" t="str">
        <f t="shared" si="15"/>
        <v>ЛДСП 16 U200 ST9 .</v>
      </c>
      <c r="D331" s="67" t="s">
        <v>1372</v>
      </c>
      <c r="E331" s="67" t="s">
        <v>151</v>
      </c>
      <c r="F331" s="67" t="s">
        <v>1708</v>
      </c>
      <c r="G331" s="68">
        <v>13632</v>
      </c>
      <c r="H331" s="67" t="s">
        <v>152</v>
      </c>
      <c r="I331" s="200"/>
      <c r="J331" s="67" t="s">
        <v>161</v>
      </c>
      <c r="K331" s="67" t="s">
        <v>162</v>
      </c>
      <c r="L331" s="67" t="s">
        <v>22</v>
      </c>
      <c r="M331" s="67" t="s">
        <v>238</v>
      </c>
      <c r="N331" s="67" t="s">
        <v>235</v>
      </c>
      <c r="O331" s="67"/>
      <c r="P331" s="67" t="s">
        <v>19</v>
      </c>
      <c r="Q331" s="69">
        <v>3520</v>
      </c>
      <c r="R331" s="4">
        <f t="shared" ref="R331:R394" si="16">IFERROR(LEFT(M331,FIND("*",M331)-1)*1,"")</f>
        <v>2800</v>
      </c>
      <c r="S331" s="4">
        <f t="shared" ref="S331:S394" si="17">IFERROR(RIGHT(M331,LEN(M331)-FIND("*",M331))*1,"")</f>
        <v>2070</v>
      </c>
    </row>
    <row r="332" spans="1:19" ht="17.100000000000001" customHeight="1" x14ac:dyDescent="0.2">
      <c r="A332" s="23"/>
      <c r="B332" s="3" t="str">
        <f ca="1">IF(A332="В заказ",MAX($B$9:OFFSET(B332,-1,0))+1,"")</f>
        <v/>
      </c>
      <c r="C332" s="6" t="str">
        <f t="shared" si="15"/>
        <v>ЛДСП 18 U200 ST9 .</v>
      </c>
      <c r="D332" s="67" t="s">
        <v>1372</v>
      </c>
      <c r="E332" s="67" t="s">
        <v>151</v>
      </c>
      <c r="F332" s="67" t="s">
        <v>1709</v>
      </c>
      <c r="G332" s="68">
        <v>24474</v>
      </c>
      <c r="H332" s="67" t="s">
        <v>152</v>
      </c>
      <c r="I332" s="200"/>
      <c r="J332" s="67" t="s">
        <v>161</v>
      </c>
      <c r="K332" s="67" t="s">
        <v>162</v>
      </c>
      <c r="L332" s="67" t="s">
        <v>22</v>
      </c>
      <c r="M332" s="67" t="s">
        <v>238</v>
      </c>
      <c r="N332" s="67" t="s">
        <v>1385</v>
      </c>
      <c r="O332" s="67"/>
      <c r="P332" s="67" t="s">
        <v>19</v>
      </c>
      <c r="Q332" s="69">
        <v>3820</v>
      </c>
      <c r="R332" s="4">
        <f t="shared" si="16"/>
        <v>2800</v>
      </c>
      <c r="S332" s="4">
        <f t="shared" si="17"/>
        <v>2070</v>
      </c>
    </row>
    <row r="333" spans="1:19" ht="17.100000000000001" customHeight="1" x14ac:dyDescent="0.2">
      <c r="A333" s="23"/>
      <c r="B333" s="3" t="str">
        <f ca="1">IF(A333="В заказ",MAX($B$9:OFFSET(B333,-1,0))+1,"")</f>
        <v/>
      </c>
      <c r="C333" s="6" t="str">
        <f t="shared" si="15"/>
        <v>ЛДСП 25 U200 ST9 .</v>
      </c>
      <c r="D333" s="67" t="s">
        <v>1372</v>
      </c>
      <c r="E333" s="67" t="s">
        <v>151</v>
      </c>
      <c r="F333" s="67" t="s">
        <v>1710</v>
      </c>
      <c r="G333" s="68">
        <v>14119</v>
      </c>
      <c r="H333" s="67" t="s">
        <v>152</v>
      </c>
      <c r="I333" s="200"/>
      <c r="J333" s="67" t="s">
        <v>161</v>
      </c>
      <c r="K333" s="67" t="s">
        <v>162</v>
      </c>
      <c r="L333" s="67" t="s">
        <v>22</v>
      </c>
      <c r="M333" s="67" t="s">
        <v>238</v>
      </c>
      <c r="N333" s="67" t="s">
        <v>1387</v>
      </c>
      <c r="O333" s="67"/>
      <c r="P333" s="67" t="s">
        <v>19</v>
      </c>
      <c r="Q333" s="69">
        <v>5075</v>
      </c>
      <c r="R333" s="4">
        <f t="shared" si="16"/>
        <v>2800</v>
      </c>
      <c r="S333" s="4">
        <f t="shared" si="17"/>
        <v>2070</v>
      </c>
    </row>
    <row r="334" spans="1:19" ht="17.100000000000001" customHeight="1" x14ac:dyDescent="0.2">
      <c r="A334" s="23"/>
      <c r="B334" s="3" t="str">
        <f ca="1">IF(A334="В заказ",MAX($B$9:OFFSET(B334,-1,0))+1,"")</f>
        <v/>
      </c>
      <c r="C334" s="6" t="str">
        <f t="shared" si="15"/>
        <v>ЛДСП 08 U201 ST9 .</v>
      </c>
      <c r="D334" s="67" t="s">
        <v>1372</v>
      </c>
      <c r="E334" s="67" t="s">
        <v>151</v>
      </c>
      <c r="F334" s="67" t="s">
        <v>1711</v>
      </c>
      <c r="G334" s="68">
        <v>15745</v>
      </c>
      <c r="H334" s="67" t="s">
        <v>152</v>
      </c>
      <c r="I334" s="200"/>
      <c r="J334" s="67" t="s">
        <v>163</v>
      </c>
      <c r="K334" s="67" t="s">
        <v>164</v>
      </c>
      <c r="L334" s="67" t="s">
        <v>22</v>
      </c>
      <c r="M334" s="67" t="s">
        <v>238</v>
      </c>
      <c r="N334" s="67" t="s">
        <v>1382</v>
      </c>
      <c r="O334" s="67"/>
      <c r="P334" s="67" t="s">
        <v>19</v>
      </c>
      <c r="Q334" s="69">
        <v>3445</v>
      </c>
      <c r="R334" s="4">
        <f t="shared" si="16"/>
        <v>2800</v>
      </c>
      <c r="S334" s="4">
        <f t="shared" si="17"/>
        <v>2070</v>
      </c>
    </row>
    <row r="335" spans="1:19" ht="17.100000000000001" customHeight="1" x14ac:dyDescent="0.2">
      <c r="A335" s="23"/>
      <c r="B335" s="3" t="str">
        <f ca="1">IF(A335="В заказ",MAX($B$9:OFFSET(B335,-1,0))+1,"")</f>
        <v/>
      </c>
      <c r="C335" s="6" t="str">
        <f t="shared" si="15"/>
        <v>ЛДСП 16 U201 ST9 .</v>
      </c>
      <c r="D335" s="67" t="s">
        <v>1372</v>
      </c>
      <c r="E335" s="67" t="s">
        <v>151</v>
      </c>
      <c r="F335" s="67" t="s">
        <v>1712</v>
      </c>
      <c r="G335" s="68">
        <v>15746</v>
      </c>
      <c r="H335" s="67" t="s">
        <v>152</v>
      </c>
      <c r="I335" s="200"/>
      <c r="J335" s="67" t="s">
        <v>163</v>
      </c>
      <c r="K335" s="67" t="s">
        <v>164</v>
      </c>
      <c r="L335" s="67" t="s">
        <v>22</v>
      </c>
      <c r="M335" s="67" t="s">
        <v>238</v>
      </c>
      <c r="N335" s="67" t="s">
        <v>235</v>
      </c>
      <c r="O335" s="67"/>
      <c r="P335" s="67" t="s">
        <v>19</v>
      </c>
      <c r="Q335" s="69">
        <v>3520</v>
      </c>
      <c r="R335" s="4">
        <f t="shared" si="16"/>
        <v>2800</v>
      </c>
      <c r="S335" s="4">
        <f t="shared" si="17"/>
        <v>2070</v>
      </c>
    </row>
    <row r="336" spans="1:19" ht="17.100000000000001" customHeight="1" x14ac:dyDescent="0.2">
      <c r="A336" s="23"/>
      <c r="B336" s="3" t="str">
        <f ca="1">IF(A336="В заказ",MAX($B$9:OFFSET(B336,-1,0))+1,"")</f>
        <v/>
      </c>
      <c r="C336" s="6" t="str">
        <f t="shared" si="15"/>
        <v>ЛДСП 18 U201 ST9 .</v>
      </c>
      <c r="D336" s="67" t="s">
        <v>1372</v>
      </c>
      <c r="E336" s="67" t="s">
        <v>151</v>
      </c>
      <c r="F336" s="67" t="s">
        <v>1713</v>
      </c>
      <c r="G336" s="68">
        <v>23441</v>
      </c>
      <c r="H336" s="67" t="s">
        <v>152</v>
      </c>
      <c r="I336" s="200"/>
      <c r="J336" s="67" t="s">
        <v>163</v>
      </c>
      <c r="K336" s="67" t="s">
        <v>164</v>
      </c>
      <c r="L336" s="67" t="s">
        <v>22</v>
      </c>
      <c r="M336" s="67" t="s">
        <v>238</v>
      </c>
      <c r="N336" s="67" t="s">
        <v>1385</v>
      </c>
      <c r="O336" s="67"/>
      <c r="P336" s="67" t="s">
        <v>19</v>
      </c>
      <c r="Q336" s="69">
        <v>3820</v>
      </c>
      <c r="R336" s="4">
        <f t="shared" si="16"/>
        <v>2800</v>
      </c>
      <c r="S336" s="4">
        <f t="shared" si="17"/>
        <v>2070</v>
      </c>
    </row>
    <row r="337" spans="1:19" ht="17.100000000000001" customHeight="1" x14ac:dyDescent="0.2">
      <c r="A337" s="23"/>
      <c r="B337" s="3" t="str">
        <f ca="1">IF(A337="В заказ",MAX($B$9:OFFSET(B337,-1,0))+1,"")</f>
        <v/>
      </c>
      <c r="C337" s="6" t="str">
        <f t="shared" si="15"/>
        <v>ЛДСП 25 U201 ST9 .</v>
      </c>
      <c r="D337" s="67" t="s">
        <v>1372</v>
      </c>
      <c r="E337" s="67" t="s">
        <v>151</v>
      </c>
      <c r="F337" s="67" t="s">
        <v>1714</v>
      </c>
      <c r="G337" s="68">
        <v>15747</v>
      </c>
      <c r="H337" s="67" t="s">
        <v>152</v>
      </c>
      <c r="I337" s="200"/>
      <c r="J337" s="67" t="s">
        <v>163</v>
      </c>
      <c r="K337" s="67" t="s">
        <v>164</v>
      </c>
      <c r="L337" s="67" t="s">
        <v>22</v>
      </c>
      <c r="M337" s="67" t="s">
        <v>238</v>
      </c>
      <c r="N337" s="67" t="s">
        <v>1387</v>
      </c>
      <c r="O337" s="67"/>
      <c r="P337" s="67" t="s">
        <v>19</v>
      </c>
      <c r="Q337" s="69">
        <v>5075</v>
      </c>
      <c r="R337" s="4">
        <f t="shared" si="16"/>
        <v>2800</v>
      </c>
      <c r="S337" s="4">
        <f t="shared" si="17"/>
        <v>2070</v>
      </c>
    </row>
    <row r="338" spans="1:19" ht="17.100000000000001" customHeight="1" x14ac:dyDescent="0.2">
      <c r="A338" s="23"/>
      <c r="B338" s="3" t="str">
        <f ca="1">IF(A338="В заказ",MAX($B$9:OFFSET(B338,-1,0))+1,"")</f>
        <v/>
      </c>
      <c r="C338" s="6" t="str">
        <f t="shared" si="15"/>
        <v>ЛДСП 16 U216 ST9 .</v>
      </c>
      <c r="D338" s="67" t="s">
        <v>1372</v>
      </c>
      <c r="E338" s="67" t="s">
        <v>151</v>
      </c>
      <c r="F338" s="67" t="s">
        <v>1715</v>
      </c>
      <c r="G338" s="68">
        <v>14092</v>
      </c>
      <c r="H338" s="67" t="s">
        <v>152</v>
      </c>
      <c r="I338" s="200"/>
      <c r="J338" s="67" t="s">
        <v>1040</v>
      </c>
      <c r="K338" s="67" t="s">
        <v>1041</v>
      </c>
      <c r="L338" s="67" t="s">
        <v>22</v>
      </c>
      <c r="M338" s="67" t="s">
        <v>238</v>
      </c>
      <c r="N338" s="67" t="s">
        <v>235</v>
      </c>
      <c r="O338" s="67"/>
      <c r="P338" s="67" t="s">
        <v>19</v>
      </c>
      <c r="Q338" s="69">
        <v>3425</v>
      </c>
      <c r="R338" s="4">
        <f t="shared" si="16"/>
        <v>2800</v>
      </c>
      <c r="S338" s="4">
        <f t="shared" si="17"/>
        <v>2070</v>
      </c>
    </row>
    <row r="339" spans="1:19" ht="17.100000000000001" customHeight="1" x14ac:dyDescent="0.2">
      <c r="A339" s="23"/>
      <c r="B339" s="3" t="str">
        <f ca="1">IF(A339="В заказ",MAX($B$9:OFFSET(B339,-1,0))+1,"")</f>
        <v/>
      </c>
      <c r="C339" s="6" t="str">
        <f t="shared" si="15"/>
        <v>ЛДСП 18 U216 ST9 .</v>
      </c>
      <c r="D339" s="67" t="s">
        <v>1372</v>
      </c>
      <c r="E339" s="67" t="s">
        <v>151</v>
      </c>
      <c r="F339" s="67" t="s">
        <v>1716</v>
      </c>
      <c r="G339" s="68">
        <v>24478</v>
      </c>
      <c r="H339" s="67" t="s">
        <v>152</v>
      </c>
      <c r="I339" s="200"/>
      <c r="J339" s="67" t="s">
        <v>1040</v>
      </c>
      <c r="K339" s="67" t="s">
        <v>1041</v>
      </c>
      <c r="L339" s="67" t="s">
        <v>22</v>
      </c>
      <c r="M339" s="67" t="s">
        <v>238</v>
      </c>
      <c r="N339" s="67" t="s">
        <v>1385</v>
      </c>
      <c r="O339" s="67"/>
      <c r="P339" s="67" t="s">
        <v>19</v>
      </c>
      <c r="Q339" s="69">
        <v>3725</v>
      </c>
      <c r="R339" s="4">
        <f t="shared" si="16"/>
        <v>2800</v>
      </c>
      <c r="S339" s="4">
        <f t="shared" si="17"/>
        <v>2070</v>
      </c>
    </row>
    <row r="340" spans="1:19" ht="17.100000000000001" customHeight="1" x14ac:dyDescent="0.2">
      <c r="A340" s="23"/>
      <c r="B340" s="3" t="str">
        <f ca="1">IF(A340="В заказ",MAX($B$9:OFFSET(B340,-1,0))+1,"")</f>
        <v/>
      </c>
      <c r="C340" s="6" t="str">
        <f t="shared" si="15"/>
        <v>ЛДСП 25 U216 ST9 .</v>
      </c>
      <c r="D340" s="67" t="s">
        <v>1372</v>
      </c>
      <c r="E340" s="67" t="s">
        <v>151</v>
      </c>
      <c r="F340" s="67" t="s">
        <v>2139</v>
      </c>
      <c r="G340" s="68">
        <v>13959</v>
      </c>
      <c r="H340" s="67" t="s">
        <v>152</v>
      </c>
      <c r="I340" s="200"/>
      <c r="J340" s="67" t="s">
        <v>1040</v>
      </c>
      <c r="K340" s="67" t="s">
        <v>1041</v>
      </c>
      <c r="L340" s="67" t="s">
        <v>22</v>
      </c>
      <c r="M340" s="67" t="s">
        <v>238</v>
      </c>
      <c r="N340" s="67" t="s">
        <v>1387</v>
      </c>
      <c r="O340" s="67"/>
      <c r="P340" s="67" t="s">
        <v>19</v>
      </c>
      <c r="Q340" s="69">
        <v>4990</v>
      </c>
      <c r="R340" s="4">
        <f t="shared" si="16"/>
        <v>2800</v>
      </c>
      <c r="S340" s="4">
        <f t="shared" si="17"/>
        <v>2070</v>
      </c>
    </row>
    <row r="341" spans="1:19" ht="17.100000000000001" customHeight="1" x14ac:dyDescent="0.2">
      <c r="A341" s="23"/>
      <c r="B341" s="3" t="str">
        <f ca="1">IF(A341="В заказ",MAX($B$9:OFFSET(B341,-1,0))+1,"")</f>
        <v/>
      </c>
      <c r="C341" s="6" t="str">
        <f t="shared" si="15"/>
        <v>ЛДСП 08 U222 ST9 .</v>
      </c>
      <c r="D341" s="67" t="s">
        <v>1372</v>
      </c>
      <c r="E341" s="67" t="s">
        <v>151</v>
      </c>
      <c r="F341" s="67" t="s">
        <v>1717</v>
      </c>
      <c r="G341" s="68">
        <v>14121</v>
      </c>
      <c r="H341" s="67" t="s">
        <v>152</v>
      </c>
      <c r="I341" s="200"/>
      <c r="J341" s="67" t="s">
        <v>165</v>
      </c>
      <c r="K341" s="67" t="s">
        <v>166</v>
      </c>
      <c r="L341" s="67" t="s">
        <v>22</v>
      </c>
      <c r="M341" s="67" t="s">
        <v>238</v>
      </c>
      <c r="N341" s="67" t="s">
        <v>1382</v>
      </c>
      <c r="O341" s="67"/>
      <c r="P341" s="67" t="s">
        <v>19</v>
      </c>
      <c r="Q341" s="69">
        <v>3350</v>
      </c>
      <c r="R341" s="4">
        <f t="shared" si="16"/>
        <v>2800</v>
      </c>
      <c r="S341" s="4">
        <f t="shared" si="17"/>
        <v>2070</v>
      </c>
    </row>
    <row r="342" spans="1:19" ht="17.100000000000001" customHeight="1" x14ac:dyDescent="0.2">
      <c r="A342" s="23"/>
      <c r="B342" s="3" t="str">
        <f ca="1">IF(A342="В заказ",MAX($B$9:OFFSET(B342,-1,0))+1,"")</f>
        <v/>
      </c>
      <c r="C342" s="6" t="str">
        <f t="shared" si="15"/>
        <v>ЛДСП 16 U222 ST9 .</v>
      </c>
      <c r="D342" s="67" t="s">
        <v>1372</v>
      </c>
      <c r="E342" s="67" t="s">
        <v>151</v>
      </c>
      <c r="F342" s="67" t="s">
        <v>1718</v>
      </c>
      <c r="G342" s="68">
        <v>13237</v>
      </c>
      <c r="H342" s="67" t="s">
        <v>152</v>
      </c>
      <c r="I342" s="200"/>
      <c r="J342" s="67" t="s">
        <v>165</v>
      </c>
      <c r="K342" s="67" t="s">
        <v>166</v>
      </c>
      <c r="L342" s="67" t="s">
        <v>22</v>
      </c>
      <c r="M342" s="67" t="s">
        <v>238</v>
      </c>
      <c r="N342" s="67" t="s">
        <v>235</v>
      </c>
      <c r="O342" s="67"/>
      <c r="P342" s="67" t="s">
        <v>19</v>
      </c>
      <c r="Q342" s="69">
        <v>3425</v>
      </c>
      <c r="R342" s="4">
        <f t="shared" si="16"/>
        <v>2800</v>
      </c>
      <c r="S342" s="4">
        <f t="shared" si="17"/>
        <v>2070</v>
      </c>
    </row>
    <row r="343" spans="1:19" ht="17.100000000000001" customHeight="1" x14ac:dyDescent="0.2">
      <c r="A343" s="23"/>
      <c r="B343" s="3" t="str">
        <f ca="1">IF(A343="В заказ",MAX($B$9:OFFSET(B343,-1,0))+1,"")</f>
        <v/>
      </c>
      <c r="C343" s="6" t="str">
        <f t="shared" si="15"/>
        <v>ЛДСП 18 U222 ST9 .</v>
      </c>
      <c r="D343" s="67" t="s">
        <v>1372</v>
      </c>
      <c r="E343" s="67" t="s">
        <v>151</v>
      </c>
      <c r="F343" s="67" t="s">
        <v>1719</v>
      </c>
      <c r="G343" s="68">
        <v>18757</v>
      </c>
      <c r="H343" s="67" t="s">
        <v>152</v>
      </c>
      <c r="I343" s="200"/>
      <c r="J343" s="67" t="s">
        <v>165</v>
      </c>
      <c r="K343" s="67" t="s">
        <v>166</v>
      </c>
      <c r="L343" s="67" t="s">
        <v>22</v>
      </c>
      <c r="M343" s="67" t="s">
        <v>238</v>
      </c>
      <c r="N343" s="67" t="s">
        <v>1385</v>
      </c>
      <c r="O343" s="67"/>
      <c r="P343" s="67" t="s">
        <v>19</v>
      </c>
      <c r="Q343" s="69">
        <v>3725</v>
      </c>
      <c r="R343" s="4">
        <f t="shared" si="16"/>
        <v>2800</v>
      </c>
      <c r="S343" s="4">
        <f t="shared" si="17"/>
        <v>2070</v>
      </c>
    </row>
    <row r="344" spans="1:19" ht="17.100000000000001" customHeight="1" x14ac:dyDescent="0.2">
      <c r="A344" s="23"/>
      <c r="B344" s="3" t="str">
        <f ca="1">IF(A344="В заказ",MAX($B$9:OFFSET(B344,-1,0))+1,"")</f>
        <v/>
      </c>
      <c r="C344" s="6" t="str">
        <f t="shared" si="15"/>
        <v>ЛДСП 25 U222 ST9 .</v>
      </c>
      <c r="D344" s="67" t="s">
        <v>1372</v>
      </c>
      <c r="E344" s="67" t="s">
        <v>151</v>
      </c>
      <c r="F344" s="67" t="s">
        <v>1720</v>
      </c>
      <c r="G344" s="68">
        <v>13310</v>
      </c>
      <c r="H344" s="67" t="s">
        <v>152</v>
      </c>
      <c r="I344" s="200"/>
      <c r="J344" s="67" t="s">
        <v>165</v>
      </c>
      <c r="K344" s="67" t="s">
        <v>166</v>
      </c>
      <c r="L344" s="67" t="s">
        <v>22</v>
      </c>
      <c r="M344" s="67" t="s">
        <v>238</v>
      </c>
      <c r="N344" s="67" t="s">
        <v>1387</v>
      </c>
      <c r="O344" s="67"/>
      <c r="P344" s="67" t="s">
        <v>19</v>
      </c>
      <c r="Q344" s="69">
        <v>4990</v>
      </c>
      <c r="R344" s="4">
        <f t="shared" si="16"/>
        <v>2800</v>
      </c>
      <c r="S344" s="4">
        <f t="shared" si="17"/>
        <v>2070</v>
      </c>
    </row>
    <row r="345" spans="1:19" ht="17.100000000000001" customHeight="1" x14ac:dyDescent="0.2">
      <c r="A345" s="23"/>
      <c r="B345" s="3" t="str">
        <f ca="1">IF(A345="В заказ",MAX($B$9:OFFSET(B345,-1,0))+1,"")</f>
        <v/>
      </c>
      <c r="C345" s="6" t="str">
        <f t="shared" si="15"/>
        <v>ЛДСП 16 U311 ST9 .</v>
      </c>
      <c r="D345" s="67" t="s">
        <v>1372</v>
      </c>
      <c r="E345" s="67" t="s">
        <v>151</v>
      </c>
      <c r="F345" s="67" t="s">
        <v>1721</v>
      </c>
      <c r="G345" s="68">
        <v>13492</v>
      </c>
      <c r="H345" s="67" t="s">
        <v>152</v>
      </c>
      <c r="I345" s="200"/>
      <c r="J345" s="67" t="s">
        <v>167</v>
      </c>
      <c r="K345" s="67" t="s">
        <v>168</v>
      </c>
      <c r="L345" s="67" t="s">
        <v>22</v>
      </c>
      <c r="M345" s="67" t="s">
        <v>238</v>
      </c>
      <c r="N345" s="67" t="s">
        <v>235</v>
      </c>
      <c r="O345" s="67"/>
      <c r="P345" s="67" t="s">
        <v>19</v>
      </c>
      <c r="Q345" s="69">
        <v>6440</v>
      </c>
      <c r="R345" s="4">
        <f t="shared" si="16"/>
        <v>2800</v>
      </c>
      <c r="S345" s="4">
        <f t="shared" si="17"/>
        <v>2070</v>
      </c>
    </row>
    <row r="346" spans="1:19" ht="17.100000000000001" customHeight="1" x14ac:dyDescent="0.2">
      <c r="A346" s="23"/>
      <c r="B346" s="3" t="str">
        <f ca="1">IF(A346="В заказ",MAX($B$9:OFFSET(B346,-1,0))+1,"")</f>
        <v/>
      </c>
      <c r="C346" s="6" t="str">
        <f t="shared" si="15"/>
        <v>ЛДСП 08 U321 ST9 .</v>
      </c>
      <c r="D346" s="67" t="s">
        <v>1372</v>
      </c>
      <c r="E346" s="67" t="s">
        <v>151</v>
      </c>
      <c r="F346" s="67" t="s">
        <v>1722</v>
      </c>
      <c r="G346" s="68">
        <v>14214</v>
      </c>
      <c r="H346" s="67" t="s">
        <v>152</v>
      </c>
      <c r="I346" s="200"/>
      <c r="J346" s="67" t="s">
        <v>169</v>
      </c>
      <c r="K346" s="67" t="s">
        <v>170</v>
      </c>
      <c r="L346" s="67" t="s">
        <v>22</v>
      </c>
      <c r="M346" s="67" t="s">
        <v>238</v>
      </c>
      <c r="N346" s="67" t="s">
        <v>1382</v>
      </c>
      <c r="O346" s="67"/>
      <c r="P346" s="67" t="s">
        <v>19</v>
      </c>
      <c r="Q346" s="69">
        <v>4210</v>
      </c>
      <c r="R346" s="4">
        <f t="shared" si="16"/>
        <v>2800</v>
      </c>
      <c r="S346" s="4">
        <f t="shared" si="17"/>
        <v>2070</v>
      </c>
    </row>
    <row r="347" spans="1:19" ht="17.100000000000001" customHeight="1" x14ac:dyDescent="0.2">
      <c r="A347" s="23"/>
      <c r="B347" s="3" t="str">
        <f ca="1">IF(A347="В заказ",MAX($B$9:OFFSET(B347,-1,0))+1,"")</f>
        <v/>
      </c>
      <c r="C347" s="6" t="str">
        <f t="shared" si="15"/>
        <v>ЛДСП 16 U321 ST9 .</v>
      </c>
      <c r="D347" s="67" t="s">
        <v>1372</v>
      </c>
      <c r="E347" s="67" t="s">
        <v>151</v>
      </c>
      <c r="F347" s="67" t="s">
        <v>1723</v>
      </c>
      <c r="G347" s="68">
        <v>13249</v>
      </c>
      <c r="H347" s="67" t="s">
        <v>152</v>
      </c>
      <c r="I347" s="200"/>
      <c r="J347" s="67" t="s">
        <v>169</v>
      </c>
      <c r="K347" s="67" t="s">
        <v>170</v>
      </c>
      <c r="L347" s="67" t="s">
        <v>22</v>
      </c>
      <c r="M347" s="67" t="s">
        <v>238</v>
      </c>
      <c r="N347" s="67" t="s">
        <v>235</v>
      </c>
      <c r="O347" s="67"/>
      <c r="P347" s="67" t="s">
        <v>19</v>
      </c>
      <c r="Q347" s="69">
        <v>4285</v>
      </c>
      <c r="R347" s="4">
        <f t="shared" si="16"/>
        <v>2800</v>
      </c>
      <c r="S347" s="4">
        <f t="shared" si="17"/>
        <v>2070</v>
      </c>
    </row>
    <row r="348" spans="1:19" ht="17.100000000000001" customHeight="1" x14ac:dyDescent="0.2">
      <c r="A348" s="23"/>
      <c r="B348" s="3" t="str">
        <f ca="1">IF(A348="В заказ",MAX($B$9:OFFSET(B348,-1,0))+1,"")</f>
        <v/>
      </c>
      <c r="C348" s="6" t="str">
        <f t="shared" si="15"/>
        <v>ЛДСП 25 U321 ST9 .</v>
      </c>
      <c r="D348" s="67" t="s">
        <v>1372</v>
      </c>
      <c r="E348" s="67" t="s">
        <v>151</v>
      </c>
      <c r="F348" s="67" t="s">
        <v>1724</v>
      </c>
      <c r="G348" s="68">
        <v>14213</v>
      </c>
      <c r="H348" s="67" t="s">
        <v>152</v>
      </c>
      <c r="I348" s="200"/>
      <c r="J348" s="67" t="s">
        <v>169</v>
      </c>
      <c r="K348" s="67" t="s">
        <v>170</v>
      </c>
      <c r="L348" s="67" t="s">
        <v>22</v>
      </c>
      <c r="M348" s="67" t="s">
        <v>238</v>
      </c>
      <c r="N348" s="67" t="s">
        <v>1387</v>
      </c>
      <c r="O348" s="67"/>
      <c r="P348" s="67" t="s">
        <v>19</v>
      </c>
      <c r="Q348" s="69">
        <v>5765</v>
      </c>
      <c r="R348" s="4">
        <f t="shared" si="16"/>
        <v>2800</v>
      </c>
      <c r="S348" s="4">
        <f t="shared" si="17"/>
        <v>2070</v>
      </c>
    </row>
    <row r="349" spans="1:19" ht="17.100000000000001" customHeight="1" x14ac:dyDescent="0.2">
      <c r="A349" s="23"/>
      <c r="B349" s="3" t="str">
        <f ca="1">IF(A349="В заказ",MAX($B$9:OFFSET(B349,-1,0))+1,"")</f>
        <v/>
      </c>
      <c r="C349" s="6" t="str">
        <f t="shared" si="15"/>
        <v>ЛДСП 16 U332 ST9 .</v>
      </c>
      <c r="D349" s="67" t="s">
        <v>1372</v>
      </c>
      <c r="E349" s="67" t="s">
        <v>151</v>
      </c>
      <c r="F349" s="67" t="s">
        <v>1725</v>
      </c>
      <c r="G349" s="68">
        <v>13349</v>
      </c>
      <c r="H349" s="67" t="s">
        <v>152</v>
      </c>
      <c r="I349" s="200"/>
      <c r="J349" s="67" t="s">
        <v>173</v>
      </c>
      <c r="K349" s="67" t="s">
        <v>174</v>
      </c>
      <c r="L349" s="67" t="s">
        <v>22</v>
      </c>
      <c r="M349" s="67" t="s">
        <v>238</v>
      </c>
      <c r="N349" s="67" t="s">
        <v>235</v>
      </c>
      <c r="O349" s="67"/>
      <c r="P349" s="67" t="s">
        <v>19</v>
      </c>
      <c r="Q349" s="69">
        <v>6705</v>
      </c>
      <c r="R349" s="4">
        <f t="shared" si="16"/>
        <v>2800</v>
      </c>
      <c r="S349" s="4">
        <f t="shared" si="17"/>
        <v>2070</v>
      </c>
    </row>
    <row r="350" spans="1:19" ht="17.100000000000001" customHeight="1" x14ac:dyDescent="0.2">
      <c r="A350" s="23"/>
      <c r="B350" s="3" t="str">
        <f ca="1">IF(A350="В заказ",MAX($B$9:OFFSET(B350,-1,0))+1,"")</f>
        <v/>
      </c>
      <c r="C350" s="6" t="str">
        <f t="shared" si="15"/>
        <v>ЛДСП 16 U337 ST9 .</v>
      </c>
      <c r="D350" s="67" t="s">
        <v>1372</v>
      </c>
      <c r="E350" s="67" t="s">
        <v>151</v>
      </c>
      <c r="F350" s="67" t="s">
        <v>1726</v>
      </c>
      <c r="G350" s="68">
        <v>6883</v>
      </c>
      <c r="H350" s="67" t="s">
        <v>152</v>
      </c>
      <c r="I350" s="200"/>
      <c r="J350" s="67" t="s">
        <v>175</v>
      </c>
      <c r="K350" s="67" t="s">
        <v>176</v>
      </c>
      <c r="L350" s="67" t="s">
        <v>22</v>
      </c>
      <c r="M350" s="67" t="s">
        <v>238</v>
      </c>
      <c r="N350" s="67" t="s">
        <v>235</v>
      </c>
      <c r="O350" s="67"/>
      <c r="P350" s="67" t="s">
        <v>19</v>
      </c>
      <c r="Q350" s="69">
        <v>3830</v>
      </c>
      <c r="R350" s="4">
        <f t="shared" si="16"/>
        <v>2800</v>
      </c>
      <c r="S350" s="4">
        <f t="shared" si="17"/>
        <v>2070</v>
      </c>
    </row>
    <row r="351" spans="1:19" ht="17.100000000000001" customHeight="1" x14ac:dyDescent="0.2">
      <c r="A351" s="23"/>
      <c r="B351" s="3" t="str">
        <f ca="1">IF(A351="В заказ",MAX($B$9:OFFSET(B351,-1,0))+1,"")</f>
        <v/>
      </c>
      <c r="C351" s="6" t="str">
        <f t="shared" si="15"/>
        <v>ЛДСП 16 U504 ST9 .</v>
      </c>
      <c r="D351" s="67" t="s">
        <v>1372</v>
      </c>
      <c r="E351" s="67" t="s">
        <v>151</v>
      </c>
      <c r="F351" s="67" t="s">
        <v>1727</v>
      </c>
      <c r="G351" s="68">
        <v>14647</v>
      </c>
      <c r="H351" s="67" t="s">
        <v>152</v>
      </c>
      <c r="I351" s="200"/>
      <c r="J351" s="67" t="s">
        <v>177</v>
      </c>
      <c r="K351" s="67" t="s">
        <v>178</v>
      </c>
      <c r="L351" s="67" t="s">
        <v>22</v>
      </c>
      <c r="M351" s="67" t="s">
        <v>238</v>
      </c>
      <c r="N351" s="67" t="s">
        <v>235</v>
      </c>
      <c r="O351" s="67"/>
      <c r="P351" s="67" t="s">
        <v>19</v>
      </c>
      <c r="Q351" s="69">
        <v>6255</v>
      </c>
      <c r="R351" s="4">
        <f t="shared" si="16"/>
        <v>2800</v>
      </c>
      <c r="S351" s="4">
        <f t="shared" si="17"/>
        <v>2070</v>
      </c>
    </row>
    <row r="352" spans="1:19" ht="17.100000000000001" customHeight="1" x14ac:dyDescent="0.2">
      <c r="A352" s="23"/>
      <c r="B352" s="3" t="str">
        <f ca="1">IF(A352="В заказ",MAX($B$9:OFFSET(B352,-1,0))+1,"")</f>
        <v/>
      </c>
      <c r="C352" s="6" t="str">
        <f t="shared" si="15"/>
        <v>ЛДСП 08 U525 ST9 .</v>
      </c>
      <c r="D352" s="67" t="s">
        <v>1372</v>
      </c>
      <c r="E352" s="67" t="s">
        <v>151</v>
      </c>
      <c r="F352" s="67" t="s">
        <v>1728</v>
      </c>
      <c r="G352" s="68">
        <v>14211</v>
      </c>
      <c r="H352" s="67" t="s">
        <v>152</v>
      </c>
      <c r="I352" s="200"/>
      <c r="J352" s="67" t="s">
        <v>179</v>
      </c>
      <c r="K352" s="67" t="s">
        <v>180</v>
      </c>
      <c r="L352" s="67" t="s">
        <v>22</v>
      </c>
      <c r="M352" s="67" t="s">
        <v>238</v>
      </c>
      <c r="N352" s="67" t="s">
        <v>1382</v>
      </c>
      <c r="O352" s="67"/>
      <c r="P352" s="67" t="s">
        <v>19</v>
      </c>
      <c r="Q352" s="69">
        <v>3745</v>
      </c>
      <c r="R352" s="4">
        <f t="shared" si="16"/>
        <v>2800</v>
      </c>
      <c r="S352" s="4">
        <f t="shared" si="17"/>
        <v>2070</v>
      </c>
    </row>
    <row r="353" spans="1:19" ht="17.100000000000001" customHeight="1" x14ac:dyDescent="0.2">
      <c r="A353" s="23"/>
      <c r="B353" s="3" t="str">
        <f ca="1">IF(A353="В заказ",MAX($B$9:OFFSET(B353,-1,0))+1,"")</f>
        <v/>
      </c>
      <c r="C353" s="6" t="str">
        <f t="shared" si="15"/>
        <v>ЛДСП 16 U525 ST9 .</v>
      </c>
      <c r="D353" s="67" t="s">
        <v>1372</v>
      </c>
      <c r="E353" s="67" t="s">
        <v>151</v>
      </c>
      <c r="F353" s="67" t="s">
        <v>1729</v>
      </c>
      <c r="G353" s="68">
        <v>5420</v>
      </c>
      <c r="H353" s="67" t="s">
        <v>152</v>
      </c>
      <c r="I353" s="200"/>
      <c r="J353" s="67" t="s">
        <v>179</v>
      </c>
      <c r="K353" s="67" t="s">
        <v>180</v>
      </c>
      <c r="L353" s="67" t="s">
        <v>22</v>
      </c>
      <c r="M353" s="67" t="s">
        <v>238</v>
      </c>
      <c r="N353" s="67" t="s">
        <v>235</v>
      </c>
      <c r="O353" s="67"/>
      <c r="P353" s="67" t="s">
        <v>19</v>
      </c>
      <c r="Q353" s="69">
        <v>6255</v>
      </c>
      <c r="R353" s="4">
        <f t="shared" si="16"/>
        <v>2800</v>
      </c>
      <c r="S353" s="4">
        <f t="shared" si="17"/>
        <v>2070</v>
      </c>
    </row>
    <row r="354" spans="1:19" ht="17.100000000000001" customHeight="1" x14ac:dyDescent="0.2">
      <c r="A354" s="23"/>
      <c r="B354" s="3" t="str">
        <f ca="1">IF(A354="В заказ",MAX($B$9:OFFSET(B354,-1,0))+1,"")</f>
        <v/>
      </c>
      <c r="C354" s="6" t="str">
        <f t="shared" si="15"/>
        <v>ЛДСП 25 U525 ST9 .</v>
      </c>
      <c r="D354" s="67" t="s">
        <v>1372</v>
      </c>
      <c r="E354" s="67" t="s">
        <v>151</v>
      </c>
      <c r="F354" s="67" t="s">
        <v>1730</v>
      </c>
      <c r="G354" s="68">
        <v>14381</v>
      </c>
      <c r="H354" s="67" t="s">
        <v>152</v>
      </c>
      <c r="I354" s="200"/>
      <c r="J354" s="67" t="s">
        <v>179</v>
      </c>
      <c r="K354" s="67" t="s">
        <v>180</v>
      </c>
      <c r="L354" s="67" t="s">
        <v>22</v>
      </c>
      <c r="M354" s="67" t="s">
        <v>238</v>
      </c>
      <c r="N354" s="67" t="s">
        <v>1387</v>
      </c>
      <c r="O354" s="67"/>
      <c r="P354" s="67" t="s">
        <v>19</v>
      </c>
      <c r="Q354" s="69">
        <v>8350</v>
      </c>
      <c r="R354" s="4">
        <f t="shared" si="16"/>
        <v>2800</v>
      </c>
      <c r="S354" s="4">
        <f t="shared" si="17"/>
        <v>2070</v>
      </c>
    </row>
    <row r="355" spans="1:19" ht="17.100000000000001" customHeight="1" x14ac:dyDescent="0.2">
      <c r="A355" s="23"/>
      <c r="B355" s="3" t="str">
        <f ca="1">IF(A355="В заказ",MAX($B$9:OFFSET(B355,-1,0))+1,"")</f>
        <v/>
      </c>
      <c r="C355" s="6" t="str">
        <f t="shared" si="15"/>
        <v>ЛДСП 16 U626 ST9 .</v>
      </c>
      <c r="D355" s="67" t="s">
        <v>1372</v>
      </c>
      <c r="E355" s="67" t="s">
        <v>151</v>
      </c>
      <c r="F355" s="67" t="s">
        <v>1731</v>
      </c>
      <c r="G355" s="68">
        <v>12928</v>
      </c>
      <c r="H355" s="67" t="s">
        <v>152</v>
      </c>
      <c r="I355" s="200"/>
      <c r="J355" s="67" t="s">
        <v>181</v>
      </c>
      <c r="K355" s="67" t="s">
        <v>182</v>
      </c>
      <c r="L355" s="67" t="s">
        <v>22</v>
      </c>
      <c r="M355" s="67" t="s">
        <v>238</v>
      </c>
      <c r="N355" s="67" t="s">
        <v>235</v>
      </c>
      <c r="O355" s="67"/>
      <c r="P355" s="67" t="s">
        <v>19</v>
      </c>
      <c r="Q355" s="69">
        <v>6255</v>
      </c>
      <c r="R355" s="4">
        <f t="shared" si="16"/>
        <v>2800</v>
      </c>
      <c r="S355" s="4">
        <f t="shared" si="17"/>
        <v>2070</v>
      </c>
    </row>
    <row r="356" spans="1:19" ht="17.100000000000001" customHeight="1" x14ac:dyDescent="0.2">
      <c r="A356" s="23"/>
      <c r="B356" s="3" t="str">
        <f ca="1">IF(A356="В заказ",MAX($B$9:OFFSET(B356,-1,0))+1,"")</f>
        <v/>
      </c>
      <c r="C356" s="6" t="str">
        <f t="shared" si="15"/>
        <v>ЛДСП 08 U702 ST9 .</v>
      </c>
      <c r="D356" s="67" t="s">
        <v>1372</v>
      </c>
      <c r="E356" s="67" t="s">
        <v>151</v>
      </c>
      <c r="F356" s="67" t="s">
        <v>1732</v>
      </c>
      <c r="G356" s="68">
        <v>10976</v>
      </c>
      <c r="H356" s="67" t="s">
        <v>152</v>
      </c>
      <c r="I356" s="200"/>
      <c r="J356" s="67" t="s">
        <v>185</v>
      </c>
      <c r="K356" s="67" t="s">
        <v>186</v>
      </c>
      <c r="L356" s="67" t="s">
        <v>22</v>
      </c>
      <c r="M356" s="67" t="s">
        <v>238</v>
      </c>
      <c r="N356" s="67" t="s">
        <v>1382</v>
      </c>
      <c r="O356" s="67"/>
      <c r="P356" s="67" t="s">
        <v>19</v>
      </c>
      <c r="Q356" s="69">
        <v>3445</v>
      </c>
      <c r="R356" s="4">
        <f t="shared" si="16"/>
        <v>2800</v>
      </c>
      <c r="S356" s="4">
        <f t="shared" si="17"/>
        <v>2070</v>
      </c>
    </row>
    <row r="357" spans="1:19" ht="17.100000000000001" customHeight="1" x14ac:dyDescent="0.2">
      <c r="A357" s="23"/>
      <c r="B357" s="3" t="str">
        <f ca="1">IF(A357="В заказ",MAX($B$9:OFFSET(B357,-1,0))+1,"")</f>
        <v/>
      </c>
      <c r="C357" s="6" t="str">
        <f t="shared" si="15"/>
        <v>ЛДСП 16 U702 ST9 .</v>
      </c>
      <c r="D357" s="67" t="s">
        <v>1372</v>
      </c>
      <c r="E357" s="67" t="s">
        <v>151</v>
      </c>
      <c r="F357" s="67" t="s">
        <v>1733</v>
      </c>
      <c r="G357" s="68">
        <v>9117</v>
      </c>
      <c r="H357" s="67" t="s">
        <v>152</v>
      </c>
      <c r="I357" s="200"/>
      <c r="J357" s="67" t="s">
        <v>185</v>
      </c>
      <c r="K357" s="67" t="s">
        <v>186</v>
      </c>
      <c r="L357" s="67" t="s">
        <v>22</v>
      </c>
      <c r="M357" s="67" t="s">
        <v>238</v>
      </c>
      <c r="N357" s="67" t="s">
        <v>235</v>
      </c>
      <c r="O357" s="67"/>
      <c r="P357" s="67" t="s">
        <v>19</v>
      </c>
      <c r="Q357" s="69">
        <v>3520</v>
      </c>
      <c r="R357" s="4">
        <f t="shared" si="16"/>
        <v>2800</v>
      </c>
      <c r="S357" s="4">
        <f t="shared" si="17"/>
        <v>2070</v>
      </c>
    </row>
    <row r="358" spans="1:19" ht="17.100000000000001" customHeight="1" x14ac:dyDescent="0.2">
      <c r="A358" s="23"/>
      <c r="B358" s="3" t="str">
        <f ca="1">IF(A358="В заказ",MAX($B$9:OFFSET(B358,-1,0))+1,"")</f>
        <v/>
      </c>
      <c r="C358" s="6" t="str">
        <f t="shared" si="15"/>
        <v>ЛДСП 18 U702 ST9 .</v>
      </c>
      <c r="D358" s="67" t="s">
        <v>1372</v>
      </c>
      <c r="E358" s="67" t="s">
        <v>151</v>
      </c>
      <c r="F358" s="67" t="s">
        <v>1734</v>
      </c>
      <c r="G358" s="68">
        <v>19408</v>
      </c>
      <c r="H358" s="67" t="s">
        <v>152</v>
      </c>
      <c r="I358" s="200"/>
      <c r="J358" s="67" t="s">
        <v>185</v>
      </c>
      <c r="K358" s="67" t="s">
        <v>186</v>
      </c>
      <c r="L358" s="67" t="s">
        <v>22</v>
      </c>
      <c r="M358" s="67" t="s">
        <v>238</v>
      </c>
      <c r="N358" s="67" t="s">
        <v>1385</v>
      </c>
      <c r="O358" s="67"/>
      <c r="P358" s="67" t="s">
        <v>19</v>
      </c>
      <c r="Q358" s="69">
        <v>3820</v>
      </c>
      <c r="R358" s="4">
        <f t="shared" si="16"/>
        <v>2800</v>
      </c>
      <c r="S358" s="4">
        <f t="shared" si="17"/>
        <v>2070</v>
      </c>
    </row>
    <row r="359" spans="1:19" ht="17.100000000000001" customHeight="1" x14ac:dyDescent="0.2">
      <c r="A359" s="23"/>
      <c r="B359" s="3" t="str">
        <f ca="1">IF(A359="В заказ",MAX($B$9:OFFSET(B359,-1,0))+1,"")</f>
        <v/>
      </c>
      <c r="C359" s="6" t="str">
        <f t="shared" si="15"/>
        <v>ЛДСП 25 U702 ST9 .</v>
      </c>
      <c r="D359" s="67" t="s">
        <v>1372</v>
      </c>
      <c r="E359" s="67" t="s">
        <v>151</v>
      </c>
      <c r="F359" s="67" t="s">
        <v>1735</v>
      </c>
      <c r="G359" s="68">
        <v>10512</v>
      </c>
      <c r="H359" s="67" t="s">
        <v>152</v>
      </c>
      <c r="I359" s="200"/>
      <c r="J359" s="67" t="s">
        <v>185</v>
      </c>
      <c r="K359" s="67" t="s">
        <v>186</v>
      </c>
      <c r="L359" s="67" t="s">
        <v>22</v>
      </c>
      <c r="M359" s="67" t="s">
        <v>238</v>
      </c>
      <c r="N359" s="67" t="s">
        <v>1387</v>
      </c>
      <c r="O359" s="67"/>
      <c r="P359" s="67" t="s">
        <v>19</v>
      </c>
      <c r="Q359" s="69">
        <v>5075</v>
      </c>
      <c r="R359" s="4">
        <f t="shared" si="16"/>
        <v>2800</v>
      </c>
      <c r="S359" s="4">
        <f t="shared" si="17"/>
        <v>2070</v>
      </c>
    </row>
    <row r="360" spans="1:19" ht="17.100000000000001" customHeight="1" x14ac:dyDescent="0.2">
      <c r="A360" s="23"/>
      <c r="B360" s="3" t="str">
        <f ca="1">IF(A360="В заказ",MAX($B$9:OFFSET(B360,-1,0))+1,"")</f>
        <v/>
      </c>
      <c r="C360" s="6" t="str">
        <f t="shared" si="15"/>
        <v>ЛДСП 08 U707 ST9 .</v>
      </c>
      <c r="D360" s="67" t="s">
        <v>1372</v>
      </c>
      <c r="E360" s="67" t="s">
        <v>151</v>
      </c>
      <c r="F360" s="67" t="s">
        <v>1736</v>
      </c>
      <c r="G360" s="68">
        <v>20228</v>
      </c>
      <c r="H360" s="67" t="s">
        <v>152</v>
      </c>
      <c r="I360" s="200"/>
      <c r="J360" s="67" t="s">
        <v>187</v>
      </c>
      <c r="K360" s="67" t="s">
        <v>188</v>
      </c>
      <c r="L360" s="67" t="s">
        <v>22</v>
      </c>
      <c r="M360" s="67" t="s">
        <v>238</v>
      </c>
      <c r="N360" s="67" t="s">
        <v>1382</v>
      </c>
      <c r="O360" s="67"/>
      <c r="P360" s="67" t="s">
        <v>19</v>
      </c>
      <c r="Q360" s="69">
        <v>3445</v>
      </c>
      <c r="R360" s="4">
        <f t="shared" si="16"/>
        <v>2800</v>
      </c>
      <c r="S360" s="4">
        <f t="shared" si="17"/>
        <v>2070</v>
      </c>
    </row>
    <row r="361" spans="1:19" ht="17.100000000000001" customHeight="1" x14ac:dyDescent="0.2">
      <c r="A361" s="23"/>
      <c r="B361" s="3" t="str">
        <f ca="1">IF(A361="В заказ",MAX($B$9:OFFSET(B361,-1,0))+1,"")</f>
        <v/>
      </c>
      <c r="C361" s="6" t="str">
        <f t="shared" si="15"/>
        <v>ЛДСП 16 U707 ST9 .</v>
      </c>
      <c r="D361" s="67" t="s">
        <v>1372</v>
      </c>
      <c r="E361" s="67" t="s">
        <v>151</v>
      </c>
      <c r="F361" s="67" t="s">
        <v>1737</v>
      </c>
      <c r="G361" s="68">
        <v>15861</v>
      </c>
      <c r="H361" s="67" t="s">
        <v>152</v>
      </c>
      <c r="I361" s="200"/>
      <c r="J361" s="67" t="s">
        <v>187</v>
      </c>
      <c r="K361" s="67" t="s">
        <v>188</v>
      </c>
      <c r="L361" s="67" t="s">
        <v>22</v>
      </c>
      <c r="M361" s="67" t="s">
        <v>238</v>
      </c>
      <c r="N361" s="67" t="s">
        <v>235</v>
      </c>
      <c r="O361" s="67"/>
      <c r="P361" s="67" t="s">
        <v>19</v>
      </c>
      <c r="Q361" s="69">
        <v>3520</v>
      </c>
      <c r="R361" s="4">
        <f t="shared" si="16"/>
        <v>2800</v>
      </c>
      <c r="S361" s="4">
        <f t="shared" si="17"/>
        <v>2070</v>
      </c>
    </row>
    <row r="362" spans="1:19" ht="17.100000000000001" customHeight="1" x14ac:dyDescent="0.2">
      <c r="A362" s="23"/>
      <c r="B362" s="3" t="str">
        <f ca="1">IF(A362="В заказ",MAX($B$9:OFFSET(B362,-1,0))+1,"")</f>
        <v/>
      </c>
      <c r="C362" s="6" t="str">
        <f t="shared" si="15"/>
        <v>ЛДСП 25 U707 ST9 .</v>
      </c>
      <c r="D362" s="67" t="s">
        <v>1372</v>
      </c>
      <c r="E362" s="67" t="s">
        <v>151</v>
      </c>
      <c r="F362" s="67" t="s">
        <v>1738</v>
      </c>
      <c r="G362" s="68">
        <v>18296</v>
      </c>
      <c r="H362" s="67" t="s">
        <v>152</v>
      </c>
      <c r="I362" s="200"/>
      <c r="J362" s="67" t="s">
        <v>187</v>
      </c>
      <c r="K362" s="67" t="s">
        <v>188</v>
      </c>
      <c r="L362" s="67" t="s">
        <v>22</v>
      </c>
      <c r="M362" s="67" t="s">
        <v>238</v>
      </c>
      <c r="N362" s="67" t="s">
        <v>1387</v>
      </c>
      <c r="O362" s="67"/>
      <c r="P362" s="67" t="s">
        <v>19</v>
      </c>
      <c r="Q362" s="69">
        <v>5075</v>
      </c>
      <c r="R362" s="4">
        <f t="shared" si="16"/>
        <v>2800</v>
      </c>
      <c r="S362" s="4">
        <f t="shared" si="17"/>
        <v>2070</v>
      </c>
    </row>
    <row r="363" spans="1:19" ht="17.100000000000001" customHeight="1" x14ac:dyDescent="0.2">
      <c r="A363" s="23"/>
      <c r="B363" s="3" t="str">
        <f ca="1">IF(A363="В заказ",MAX($B$9:OFFSET(B363,-1,0))+1,"")</f>
        <v/>
      </c>
      <c r="C363" s="6" t="str">
        <f t="shared" si="15"/>
        <v>ЛДСП 08 U708 ST9 .</v>
      </c>
      <c r="D363" s="67" t="s">
        <v>1372</v>
      </c>
      <c r="E363" s="67" t="s">
        <v>151</v>
      </c>
      <c r="F363" s="67" t="s">
        <v>1739</v>
      </c>
      <c r="G363" s="68">
        <v>14209</v>
      </c>
      <c r="H363" s="67" t="s">
        <v>152</v>
      </c>
      <c r="I363" s="200"/>
      <c r="J363" s="67" t="s">
        <v>189</v>
      </c>
      <c r="K363" s="67" t="s">
        <v>190</v>
      </c>
      <c r="L363" s="67" t="s">
        <v>22</v>
      </c>
      <c r="M363" s="67" t="s">
        <v>238</v>
      </c>
      <c r="N363" s="67" t="s">
        <v>1382</v>
      </c>
      <c r="O363" s="67"/>
      <c r="P363" s="67" t="s">
        <v>19</v>
      </c>
      <c r="Q363" s="69">
        <v>3270</v>
      </c>
      <c r="R363" s="4">
        <f t="shared" si="16"/>
        <v>2800</v>
      </c>
      <c r="S363" s="4">
        <f t="shared" si="17"/>
        <v>2070</v>
      </c>
    </row>
    <row r="364" spans="1:19" ht="17.100000000000001" customHeight="1" x14ac:dyDescent="0.2">
      <c r="A364" s="23"/>
      <c r="B364" s="3" t="str">
        <f ca="1">IF(A364="В заказ",MAX($B$9:OFFSET(B364,-1,0))+1,"")</f>
        <v/>
      </c>
      <c r="C364" s="6" t="str">
        <f t="shared" si="15"/>
        <v>ЛДСП 16 U708 ST9 .</v>
      </c>
      <c r="D364" s="67" t="s">
        <v>1372</v>
      </c>
      <c r="E364" s="67" t="s">
        <v>151</v>
      </c>
      <c r="F364" s="67" t="s">
        <v>1740</v>
      </c>
      <c r="G364" s="68">
        <v>14208</v>
      </c>
      <c r="H364" s="67" t="s">
        <v>152</v>
      </c>
      <c r="I364" s="200"/>
      <c r="J364" s="67" t="s">
        <v>189</v>
      </c>
      <c r="K364" s="67" t="s">
        <v>190</v>
      </c>
      <c r="L364" s="67" t="s">
        <v>22</v>
      </c>
      <c r="M364" s="67" t="s">
        <v>238</v>
      </c>
      <c r="N364" s="67" t="s">
        <v>235</v>
      </c>
      <c r="O364" s="67"/>
      <c r="P364" s="67" t="s">
        <v>19</v>
      </c>
      <c r="Q364" s="69">
        <v>3355</v>
      </c>
      <c r="R364" s="4">
        <f t="shared" si="16"/>
        <v>2800</v>
      </c>
      <c r="S364" s="4">
        <f t="shared" si="17"/>
        <v>2070</v>
      </c>
    </row>
    <row r="365" spans="1:19" ht="17.100000000000001" customHeight="1" x14ac:dyDescent="0.2">
      <c r="A365" s="23"/>
      <c r="B365" s="3" t="str">
        <f ca="1">IF(A365="В заказ",MAX($B$9:OFFSET(B365,-1,0))+1,"")</f>
        <v/>
      </c>
      <c r="C365" s="6" t="str">
        <f t="shared" si="15"/>
        <v>ЛДСП 16 U708 ST9 влагостойкий.</v>
      </c>
      <c r="D365" s="67" t="s">
        <v>1372</v>
      </c>
      <c r="E365" s="67" t="s">
        <v>151</v>
      </c>
      <c r="F365" s="67" t="s">
        <v>1741</v>
      </c>
      <c r="G365" s="68">
        <v>16129</v>
      </c>
      <c r="H365" s="67" t="s">
        <v>1414</v>
      </c>
      <c r="I365" s="200"/>
      <c r="J365" s="67" t="s">
        <v>189</v>
      </c>
      <c r="K365" s="67" t="s">
        <v>190</v>
      </c>
      <c r="L365" s="67" t="s">
        <v>22</v>
      </c>
      <c r="M365" s="67" t="s">
        <v>238</v>
      </c>
      <c r="N365" s="67" t="s">
        <v>235</v>
      </c>
      <c r="O365" s="67" t="s">
        <v>1414</v>
      </c>
      <c r="P365" s="67" t="s">
        <v>19</v>
      </c>
      <c r="Q365" s="69">
        <v>3705</v>
      </c>
      <c r="R365" s="4">
        <f t="shared" si="16"/>
        <v>2800</v>
      </c>
      <c r="S365" s="4">
        <f t="shared" si="17"/>
        <v>2070</v>
      </c>
    </row>
    <row r="366" spans="1:19" ht="17.100000000000001" customHeight="1" x14ac:dyDescent="0.2">
      <c r="A366" s="23"/>
      <c r="B366" s="3" t="str">
        <f ca="1">IF(A366="В заказ",MAX($B$9:OFFSET(B366,-1,0))+1,"")</f>
        <v/>
      </c>
      <c r="C366" s="6" t="str">
        <f t="shared" si="15"/>
        <v>ЛДСП 18 U708 ST9 .</v>
      </c>
      <c r="D366" s="67" t="s">
        <v>1372</v>
      </c>
      <c r="E366" s="67" t="s">
        <v>151</v>
      </c>
      <c r="F366" s="67" t="s">
        <v>1742</v>
      </c>
      <c r="G366" s="68">
        <v>14665</v>
      </c>
      <c r="H366" s="67" t="s">
        <v>152</v>
      </c>
      <c r="I366" s="200"/>
      <c r="J366" s="67" t="s">
        <v>189</v>
      </c>
      <c r="K366" s="67" t="s">
        <v>190</v>
      </c>
      <c r="L366" s="67" t="s">
        <v>22</v>
      </c>
      <c r="M366" s="67" t="s">
        <v>238</v>
      </c>
      <c r="N366" s="67" t="s">
        <v>1385</v>
      </c>
      <c r="O366" s="67"/>
      <c r="P366" s="67" t="s">
        <v>19</v>
      </c>
      <c r="Q366" s="69">
        <v>3650</v>
      </c>
      <c r="R366" s="4">
        <f t="shared" si="16"/>
        <v>2800</v>
      </c>
      <c r="S366" s="4">
        <f t="shared" si="17"/>
        <v>2070</v>
      </c>
    </row>
    <row r="367" spans="1:19" ht="17.100000000000001" customHeight="1" x14ac:dyDescent="0.2">
      <c r="A367" s="23"/>
      <c r="B367" s="3" t="str">
        <f ca="1">IF(A367="В заказ",MAX($B$9:OFFSET(B367,-1,0))+1,"")</f>
        <v/>
      </c>
      <c r="C367" s="6" t="str">
        <f t="shared" si="15"/>
        <v>ЛДСП 25 U708 ST9 .</v>
      </c>
      <c r="D367" s="67" t="s">
        <v>1372</v>
      </c>
      <c r="E367" s="67" t="s">
        <v>151</v>
      </c>
      <c r="F367" s="67" t="s">
        <v>1743</v>
      </c>
      <c r="G367" s="68">
        <v>14207</v>
      </c>
      <c r="H367" s="67" t="s">
        <v>152</v>
      </c>
      <c r="I367" s="200"/>
      <c r="J367" s="67" t="s">
        <v>189</v>
      </c>
      <c r="K367" s="67" t="s">
        <v>190</v>
      </c>
      <c r="L367" s="67" t="s">
        <v>22</v>
      </c>
      <c r="M367" s="67" t="s">
        <v>238</v>
      </c>
      <c r="N367" s="67" t="s">
        <v>1387</v>
      </c>
      <c r="O367" s="67"/>
      <c r="P367" s="67" t="s">
        <v>19</v>
      </c>
      <c r="Q367" s="69">
        <v>4925</v>
      </c>
      <c r="R367" s="4">
        <f t="shared" si="16"/>
        <v>2800</v>
      </c>
      <c r="S367" s="4">
        <f t="shared" si="17"/>
        <v>2070</v>
      </c>
    </row>
    <row r="368" spans="1:19" ht="17.100000000000001" customHeight="1" x14ac:dyDescent="0.2">
      <c r="A368" s="23"/>
      <c r="B368" s="3" t="str">
        <f ca="1">IF(A368="В заказ",MAX($B$9:OFFSET(B368,-1,0))+1,"")</f>
        <v/>
      </c>
      <c r="C368" s="6" t="str">
        <f t="shared" si="15"/>
        <v>ЛДСП 16 U727 ST9 .</v>
      </c>
      <c r="D368" s="67" t="s">
        <v>1372</v>
      </c>
      <c r="E368" s="67" t="s">
        <v>151</v>
      </c>
      <c r="F368" s="67" t="s">
        <v>1744</v>
      </c>
      <c r="G368" s="68">
        <v>7740</v>
      </c>
      <c r="H368" s="67" t="s">
        <v>152</v>
      </c>
      <c r="I368" s="200"/>
      <c r="J368" s="67" t="s">
        <v>191</v>
      </c>
      <c r="K368" s="67" t="s">
        <v>192</v>
      </c>
      <c r="L368" s="67" t="s">
        <v>22</v>
      </c>
      <c r="M368" s="67" t="s">
        <v>238</v>
      </c>
      <c r="N368" s="67" t="s">
        <v>235</v>
      </c>
      <c r="O368" s="67"/>
      <c r="P368" s="67" t="s">
        <v>19</v>
      </c>
      <c r="Q368" s="69">
        <v>3520</v>
      </c>
      <c r="R368" s="4">
        <f t="shared" si="16"/>
        <v>2800</v>
      </c>
      <c r="S368" s="4">
        <f t="shared" si="17"/>
        <v>2070</v>
      </c>
    </row>
    <row r="369" spans="1:19" ht="17.100000000000001" customHeight="1" x14ac:dyDescent="0.2">
      <c r="A369" s="23"/>
      <c r="B369" s="3" t="str">
        <f ca="1">IF(A369="В заказ",MAX($B$9:OFFSET(B369,-1,0))+1,"")</f>
        <v/>
      </c>
      <c r="C369" s="6" t="str">
        <f t="shared" si="15"/>
        <v>ЛДСП 18 U727 ST9 .</v>
      </c>
      <c r="D369" s="67" t="s">
        <v>1372</v>
      </c>
      <c r="E369" s="67" t="s">
        <v>151</v>
      </c>
      <c r="F369" s="67" t="s">
        <v>1745</v>
      </c>
      <c r="G369" s="68">
        <v>19173</v>
      </c>
      <c r="H369" s="67" t="s">
        <v>152</v>
      </c>
      <c r="I369" s="200"/>
      <c r="J369" s="67" t="s">
        <v>191</v>
      </c>
      <c r="K369" s="67" t="s">
        <v>192</v>
      </c>
      <c r="L369" s="67" t="s">
        <v>22</v>
      </c>
      <c r="M369" s="67" t="s">
        <v>238</v>
      </c>
      <c r="N369" s="67" t="s">
        <v>1385</v>
      </c>
      <c r="O369" s="67"/>
      <c r="P369" s="67" t="s">
        <v>19</v>
      </c>
      <c r="Q369" s="69">
        <v>3820</v>
      </c>
      <c r="R369" s="4">
        <f t="shared" si="16"/>
        <v>2800</v>
      </c>
      <c r="S369" s="4">
        <f t="shared" si="17"/>
        <v>2070</v>
      </c>
    </row>
    <row r="370" spans="1:19" ht="17.100000000000001" customHeight="1" x14ac:dyDescent="0.2">
      <c r="A370" s="23"/>
      <c r="B370" s="3" t="str">
        <f ca="1">IF(A370="В заказ",MAX($B$9:OFFSET(B370,-1,0))+1,"")</f>
        <v/>
      </c>
      <c r="C370" s="6" t="str">
        <f t="shared" si="15"/>
        <v>ЛДСП 25 U727 ST9 .</v>
      </c>
      <c r="D370" s="67" t="s">
        <v>1372</v>
      </c>
      <c r="E370" s="67" t="s">
        <v>151</v>
      </c>
      <c r="F370" s="67" t="s">
        <v>1746</v>
      </c>
      <c r="G370" s="68">
        <v>15366</v>
      </c>
      <c r="H370" s="67" t="s">
        <v>152</v>
      </c>
      <c r="I370" s="200"/>
      <c r="J370" s="67" t="s">
        <v>191</v>
      </c>
      <c r="K370" s="67" t="s">
        <v>192</v>
      </c>
      <c r="L370" s="67" t="s">
        <v>22</v>
      </c>
      <c r="M370" s="67" t="s">
        <v>238</v>
      </c>
      <c r="N370" s="67" t="s">
        <v>1387</v>
      </c>
      <c r="O370" s="67"/>
      <c r="P370" s="67" t="s">
        <v>19</v>
      </c>
      <c r="Q370" s="69">
        <v>5075</v>
      </c>
      <c r="R370" s="4">
        <f t="shared" si="16"/>
        <v>2800</v>
      </c>
      <c r="S370" s="4">
        <f t="shared" si="17"/>
        <v>2070</v>
      </c>
    </row>
    <row r="371" spans="1:19" ht="17.100000000000001" customHeight="1" x14ac:dyDescent="0.2">
      <c r="A371" s="23"/>
      <c r="B371" s="3" t="str">
        <f ca="1">IF(A371="В заказ",MAX($B$9:OFFSET(B371,-1,0))+1,"")</f>
        <v/>
      </c>
      <c r="C371" s="6" t="str">
        <f t="shared" si="15"/>
        <v>ЛДСП 08 U732 ST9 .</v>
      </c>
      <c r="D371" s="67" t="s">
        <v>1372</v>
      </c>
      <c r="E371" s="67" t="s">
        <v>151</v>
      </c>
      <c r="F371" s="67" t="s">
        <v>1747</v>
      </c>
      <c r="G371" s="68">
        <v>16670</v>
      </c>
      <c r="H371" s="67" t="s">
        <v>152</v>
      </c>
      <c r="I371" s="200"/>
      <c r="J371" s="67" t="s">
        <v>193</v>
      </c>
      <c r="K371" s="67" t="s">
        <v>194</v>
      </c>
      <c r="L371" s="67" t="s">
        <v>22</v>
      </c>
      <c r="M371" s="67" t="s">
        <v>238</v>
      </c>
      <c r="N371" s="67" t="s">
        <v>1382</v>
      </c>
      <c r="O371" s="67"/>
      <c r="P371" s="67" t="s">
        <v>19</v>
      </c>
      <c r="Q371" s="69">
        <v>3270</v>
      </c>
      <c r="R371" s="4">
        <f t="shared" si="16"/>
        <v>2800</v>
      </c>
      <c r="S371" s="4">
        <f t="shared" si="17"/>
        <v>2070</v>
      </c>
    </row>
    <row r="372" spans="1:19" ht="17.100000000000001" customHeight="1" x14ac:dyDescent="0.2">
      <c r="A372" s="23"/>
      <c r="B372" s="3" t="str">
        <f ca="1">IF(A372="В заказ",MAX($B$9:OFFSET(B372,-1,0))+1,"")</f>
        <v/>
      </c>
      <c r="C372" s="6" t="str">
        <f t="shared" si="15"/>
        <v>ЛДСП 16 U732 ST9 .</v>
      </c>
      <c r="D372" s="67" t="s">
        <v>1372</v>
      </c>
      <c r="E372" s="67" t="s">
        <v>151</v>
      </c>
      <c r="F372" s="67" t="s">
        <v>1748</v>
      </c>
      <c r="G372" s="68">
        <v>14206</v>
      </c>
      <c r="H372" s="67" t="s">
        <v>152</v>
      </c>
      <c r="I372" s="200"/>
      <c r="J372" s="67" t="s">
        <v>193</v>
      </c>
      <c r="K372" s="67" t="s">
        <v>194</v>
      </c>
      <c r="L372" s="67" t="s">
        <v>22</v>
      </c>
      <c r="M372" s="67" t="s">
        <v>238</v>
      </c>
      <c r="N372" s="67" t="s">
        <v>235</v>
      </c>
      <c r="O372" s="67"/>
      <c r="P372" s="67" t="s">
        <v>19</v>
      </c>
      <c r="Q372" s="69">
        <v>3355</v>
      </c>
      <c r="R372" s="4">
        <f t="shared" si="16"/>
        <v>2800</v>
      </c>
      <c r="S372" s="4">
        <f t="shared" si="17"/>
        <v>2070</v>
      </c>
    </row>
    <row r="373" spans="1:19" ht="17.100000000000001" customHeight="1" x14ac:dyDescent="0.2">
      <c r="A373" s="23"/>
      <c r="B373" s="3" t="str">
        <f ca="1">IF(A373="В заказ",MAX($B$9:OFFSET(B373,-1,0))+1,"")</f>
        <v/>
      </c>
      <c r="C373" s="6" t="str">
        <f t="shared" si="15"/>
        <v>ЛДСП 18 U732 ST9 .</v>
      </c>
      <c r="D373" s="67" t="s">
        <v>1372</v>
      </c>
      <c r="E373" s="67" t="s">
        <v>151</v>
      </c>
      <c r="F373" s="67" t="s">
        <v>1749</v>
      </c>
      <c r="G373" s="68">
        <v>21856</v>
      </c>
      <c r="H373" s="67" t="s">
        <v>152</v>
      </c>
      <c r="I373" s="200"/>
      <c r="J373" s="67" t="s">
        <v>193</v>
      </c>
      <c r="K373" s="67" t="s">
        <v>194</v>
      </c>
      <c r="L373" s="67" t="s">
        <v>22</v>
      </c>
      <c r="M373" s="67" t="s">
        <v>238</v>
      </c>
      <c r="N373" s="67" t="s">
        <v>1385</v>
      </c>
      <c r="O373" s="67"/>
      <c r="P373" s="67" t="s">
        <v>19</v>
      </c>
      <c r="Q373" s="69">
        <v>3650</v>
      </c>
      <c r="R373" s="4">
        <f t="shared" si="16"/>
        <v>2800</v>
      </c>
      <c r="S373" s="4">
        <f t="shared" si="17"/>
        <v>2070</v>
      </c>
    </row>
    <row r="374" spans="1:19" ht="17.100000000000001" customHeight="1" x14ac:dyDescent="0.2">
      <c r="A374" s="23"/>
      <c r="B374" s="3" t="str">
        <f ca="1">IF(A374="В заказ",MAX($B$9:OFFSET(B374,-1,0))+1,"")</f>
        <v/>
      </c>
      <c r="C374" s="6" t="str">
        <f t="shared" si="15"/>
        <v>ЛДСП 25 U732 ST9 .</v>
      </c>
      <c r="D374" s="67" t="s">
        <v>1372</v>
      </c>
      <c r="E374" s="67" t="s">
        <v>151</v>
      </c>
      <c r="F374" s="67" t="s">
        <v>1750</v>
      </c>
      <c r="G374" s="68">
        <v>15216</v>
      </c>
      <c r="H374" s="67" t="s">
        <v>152</v>
      </c>
      <c r="I374" s="200"/>
      <c r="J374" s="67" t="s">
        <v>193</v>
      </c>
      <c r="K374" s="67" t="s">
        <v>194</v>
      </c>
      <c r="L374" s="67" t="s">
        <v>22</v>
      </c>
      <c r="M374" s="67" t="s">
        <v>238</v>
      </c>
      <c r="N374" s="67" t="s">
        <v>1387</v>
      </c>
      <c r="O374" s="67"/>
      <c r="P374" s="67" t="s">
        <v>19</v>
      </c>
      <c r="Q374" s="69">
        <v>4925</v>
      </c>
      <c r="R374" s="4">
        <f t="shared" si="16"/>
        <v>2800</v>
      </c>
      <c r="S374" s="4">
        <f t="shared" si="17"/>
        <v>2070</v>
      </c>
    </row>
    <row r="375" spans="1:19" ht="17.100000000000001" customHeight="1" x14ac:dyDescent="0.2">
      <c r="A375" s="23"/>
      <c r="B375" s="3" t="str">
        <f ca="1">IF(A375="В заказ",MAX($B$9:OFFSET(B375,-1,0))+1,"")</f>
        <v/>
      </c>
      <c r="C375" s="6" t="str">
        <f t="shared" si="15"/>
        <v>ЛДСП 16 U741 ST9 .</v>
      </c>
      <c r="D375" s="67" t="s">
        <v>1372</v>
      </c>
      <c r="E375" s="67" t="s">
        <v>151</v>
      </c>
      <c r="F375" s="67" t="s">
        <v>1751</v>
      </c>
      <c r="G375" s="68">
        <v>5953</v>
      </c>
      <c r="H375" s="67" t="s">
        <v>152</v>
      </c>
      <c r="I375" s="200"/>
      <c r="J375" s="67" t="s">
        <v>195</v>
      </c>
      <c r="K375" s="67" t="s">
        <v>196</v>
      </c>
      <c r="L375" s="67" t="s">
        <v>22</v>
      </c>
      <c r="M375" s="67" t="s">
        <v>238</v>
      </c>
      <c r="N375" s="67" t="s">
        <v>235</v>
      </c>
      <c r="O375" s="67"/>
      <c r="P375" s="67" t="s">
        <v>19</v>
      </c>
      <c r="Q375" s="69">
        <v>3520</v>
      </c>
      <c r="R375" s="4">
        <f t="shared" si="16"/>
        <v>2800</v>
      </c>
      <c r="S375" s="4">
        <f t="shared" si="17"/>
        <v>2070</v>
      </c>
    </row>
    <row r="376" spans="1:19" ht="17.100000000000001" customHeight="1" x14ac:dyDescent="0.2">
      <c r="A376" s="23"/>
      <c r="B376" s="3" t="str">
        <f ca="1">IF(A376="В заказ",MAX($B$9:OFFSET(B376,-1,0))+1,"")</f>
        <v/>
      </c>
      <c r="C376" s="6" t="str">
        <f t="shared" si="15"/>
        <v>ЛДСП 08 U748 ST9 .</v>
      </c>
      <c r="D376" s="67" t="s">
        <v>1372</v>
      </c>
      <c r="E376" s="67" t="s">
        <v>151</v>
      </c>
      <c r="F376" s="67" t="s">
        <v>1752</v>
      </c>
      <c r="G376" s="68">
        <v>16116</v>
      </c>
      <c r="H376" s="67" t="s">
        <v>152</v>
      </c>
      <c r="I376" s="200"/>
      <c r="J376" s="67" t="s">
        <v>197</v>
      </c>
      <c r="K376" s="67" t="s">
        <v>198</v>
      </c>
      <c r="L376" s="67" t="s">
        <v>22</v>
      </c>
      <c r="M376" s="67" t="s">
        <v>238</v>
      </c>
      <c r="N376" s="67" t="s">
        <v>1382</v>
      </c>
      <c r="O376" s="67"/>
      <c r="P376" s="67" t="s">
        <v>19</v>
      </c>
      <c r="Q376" s="69">
        <v>3445</v>
      </c>
      <c r="R376" s="4">
        <f t="shared" si="16"/>
        <v>2800</v>
      </c>
      <c r="S376" s="4">
        <f t="shared" si="17"/>
        <v>2070</v>
      </c>
    </row>
    <row r="377" spans="1:19" ht="17.100000000000001" customHeight="1" x14ac:dyDescent="0.2">
      <c r="A377" s="23"/>
      <c r="B377" s="3" t="str">
        <f ca="1">IF(A377="В заказ",MAX($B$9:OFFSET(B377,-1,0))+1,"")</f>
        <v/>
      </c>
      <c r="C377" s="6" t="str">
        <f t="shared" si="15"/>
        <v>ЛДСП 16 U748 ST9 .</v>
      </c>
      <c r="D377" s="67" t="s">
        <v>1372</v>
      </c>
      <c r="E377" s="67" t="s">
        <v>151</v>
      </c>
      <c r="F377" s="67" t="s">
        <v>1753</v>
      </c>
      <c r="G377" s="68">
        <v>8713</v>
      </c>
      <c r="H377" s="67" t="s">
        <v>152</v>
      </c>
      <c r="I377" s="200"/>
      <c r="J377" s="67" t="s">
        <v>197</v>
      </c>
      <c r="K377" s="67" t="s">
        <v>198</v>
      </c>
      <c r="L377" s="67" t="s">
        <v>22</v>
      </c>
      <c r="M377" s="67" t="s">
        <v>238</v>
      </c>
      <c r="N377" s="67" t="s">
        <v>235</v>
      </c>
      <c r="O377" s="67"/>
      <c r="P377" s="67" t="s">
        <v>19</v>
      </c>
      <c r="Q377" s="69">
        <v>3520</v>
      </c>
      <c r="R377" s="4">
        <f t="shared" si="16"/>
        <v>2800</v>
      </c>
      <c r="S377" s="4">
        <f t="shared" si="17"/>
        <v>2070</v>
      </c>
    </row>
    <row r="378" spans="1:19" ht="17.100000000000001" customHeight="1" x14ac:dyDescent="0.2">
      <c r="A378" s="23"/>
      <c r="B378" s="3" t="str">
        <f ca="1">IF(A378="В заказ",MAX($B$9:OFFSET(B378,-1,0))+1,"")</f>
        <v/>
      </c>
      <c r="C378" s="6" t="str">
        <f t="shared" si="15"/>
        <v>ЛДСП 18 U748 ST9 .</v>
      </c>
      <c r="D378" s="67" t="s">
        <v>1372</v>
      </c>
      <c r="E378" s="67" t="s">
        <v>151</v>
      </c>
      <c r="F378" s="67" t="s">
        <v>1754</v>
      </c>
      <c r="G378" s="68">
        <v>18756</v>
      </c>
      <c r="H378" s="67" t="s">
        <v>152</v>
      </c>
      <c r="I378" s="200"/>
      <c r="J378" s="67" t="s">
        <v>197</v>
      </c>
      <c r="K378" s="67" t="s">
        <v>198</v>
      </c>
      <c r="L378" s="67" t="s">
        <v>22</v>
      </c>
      <c r="M378" s="67" t="s">
        <v>238</v>
      </c>
      <c r="N378" s="67" t="s">
        <v>1385</v>
      </c>
      <c r="O378" s="67"/>
      <c r="P378" s="67" t="s">
        <v>19</v>
      </c>
      <c r="Q378" s="69">
        <v>3820</v>
      </c>
      <c r="R378" s="4">
        <f t="shared" si="16"/>
        <v>2800</v>
      </c>
      <c r="S378" s="4">
        <f t="shared" si="17"/>
        <v>2070</v>
      </c>
    </row>
    <row r="379" spans="1:19" ht="17.100000000000001" customHeight="1" x14ac:dyDescent="0.2">
      <c r="A379" s="23"/>
      <c r="B379" s="3" t="str">
        <f ca="1">IF(A379="В заказ",MAX($B$9:OFFSET(B379,-1,0))+1,"")</f>
        <v/>
      </c>
      <c r="C379" s="6" t="str">
        <f t="shared" si="15"/>
        <v>ЛДСП 25 U748 ST9 .</v>
      </c>
      <c r="D379" s="67" t="s">
        <v>1372</v>
      </c>
      <c r="E379" s="67" t="s">
        <v>151</v>
      </c>
      <c r="F379" s="67" t="s">
        <v>1755</v>
      </c>
      <c r="G379" s="68">
        <v>10573</v>
      </c>
      <c r="H379" s="67" t="s">
        <v>152</v>
      </c>
      <c r="I379" s="200"/>
      <c r="J379" s="67" t="s">
        <v>197</v>
      </c>
      <c r="K379" s="67" t="s">
        <v>198</v>
      </c>
      <c r="L379" s="67" t="s">
        <v>22</v>
      </c>
      <c r="M379" s="67" t="s">
        <v>238</v>
      </c>
      <c r="N379" s="67" t="s">
        <v>1387</v>
      </c>
      <c r="O379" s="67"/>
      <c r="P379" s="67" t="s">
        <v>19</v>
      </c>
      <c r="Q379" s="69">
        <v>5075</v>
      </c>
      <c r="R379" s="4">
        <f t="shared" si="16"/>
        <v>2800</v>
      </c>
      <c r="S379" s="4">
        <f t="shared" si="17"/>
        <v>2070</v>
      </c>
    </row>
    <row r="380" spans="1:19" ht="17.100000000000001" customHeight="1" x14ac:dyDescent="0.2">
      <c r="A380" s="23"/>
      <c r="B380" s="3" t="str">
        <f ca="1">IF(A380="В заказ",MAX($B$9:OFFSET(B380,-1,0))+1,"")</f>
        <v/>
      </c>
      <c r="C380" s="6" t="str">
        <f t="shared" si="15"/>
        <v>ЛДСП 16 U750 ST9 .</v>
      </c>
      <c r="D380" s="67" t="s">
        <v>1372</v>
      </c>
      <c r="E380" s="67" t="s">
        <v>151</v>
      </c>
      <c r="F380" s="67" t="s">
        <v>1756</v>
      </c>
      <c r="G380" s="68">
        <v>13469</v>
      </c>
      <c r="H380" s="67" t="s">
        <v>152</v>
      </c>
      <c r="I380" s="200"/>
      <c r="J380" s="67" t="s">
        <v>199</v>
      </c>
      <c r="K380" s="67" t="s">
        <v>200</v>
      </c>
      <c r="L380" s="67" t="s">
        <v>22</v>
      </c>
      <c r="M380" s="67" t="s">
        <v>238</v>
      </c>
      <c r="N380" s="67" t="s">
        <v>235</v>
      </c>
      <c r="O380" s="67"/>
      <c r="P380" s="67" t="s">
        <v>19</v>
      </c>
      <c r="Q380" s="69">
        <v>3425</v>
      </c>
      <c r="R380" s="4">
        <f t="shared" si="16"/>
        <v>2800</v>
      </c>
      <c r="S380" s="4">
        <f t="shared" si="17"/>
        <v>2070</v>
      </c>
    </row>
    <row r="381" spans="1:19" ht="17.100000000000001" customHeight="1" x14ac:dyDescent="0.2">
      <c r="A381" s="23"/>
      <c r="B381" s="3" t="str">
        <f ca="1">IF(A381="В заказ",MAX($B$9:OFFSET(B381,-1,0))+1,"")</f>
        <v/>
      </c>
      <c r="C381" s="6" t="str">
        <f t="shared" si="15"/>
        <v>ЛДСП 16 U763 ST9 .</v>
      </c>
      <c r="D381" s="67" t="s">
        <v>1372</v>
      </c>
      <c r="E381" s="67" t="s">
        <v>151</v>
      </c>
      <c r="F381" s="67" t="s">
        <v>1757</v>
      </c>
      <c r="G381" s="68">
        <v>14094</v>
      </c>
      <c r="H381" s="67" t="s">
        <v>152</v>
      </c>
      <c r="I381" s="200"/>
      <c r="J381" s="67" t="s">
        <v>201</v>
      </c>
      <c r="K381" s="67" t="s">
        <v>202</v>
      </c>
      <c r="L381" s="67" t="s">
        <v>22</v>
      </c>
      <c r="M381" s="67" t="s">
        <v>238</v>
      </c>
      <c r="N381" s="67" t="s">
        <v>235</v>
      </c>
      <c r="O381" s="67"/>
      <c r="P381" s="67" t="s">
        <v>19</v>
      </c>
      <c r="Q381" s="69">
        <v>3425</v>
      </c>
      <c r="R381" s="4">
        <f t="shared" si="16"/>
        <v>2800</v>
      </c>
      <c r="S381" s="4">
        <f t="shared" si="17"/>
        <v>2070</v>
      </c>
    </row>
    <row r="382" spans="1:19" ht="17.100000000000001" customHeight="1" x14ac:dyDescent="0.2">
      <c r="A382" s="23"/>
      <c r="B382" s="3" t="str">
        <f ca="1">IF(A382="В заказ",MAX($B$9:OFFSET(B382,-1,0))+1,"")</f>
        <v/>
      </c>
      <c r="C382" s="6" t="str">
        <f t="shared" si="15"/>
        <v>ЛДСП 18 U763 ST9 .</v>
      </c>
      <c r="D382" s="67" t="s">
        <v>1372</v>
      </c>
      <c r="E382" s="67" t="s">
        <v>151</v>
      </c>
      <c r="F382" s="67" t="s">
        <v>1758</v>
      </c>
      <c r="G382" s="68">
        <v>24801</v>
      </c>
      <c r="H382" s="67" t="s">
        <v>152</v>
      </c>
      <c r="I382" s="200"/>
      <c r="J382" s="67" t="s">
        <v>201</v>
      </c>
      <c r="K382" s="67" t="s">
        <v>202</v>
      </c>
      <c r="L382" s="67" t="s">
        <v>22</v>
      </c>
      <c r="M382" s="67" t="s">
        <v>238</v>
      </c>
      <c r="N382" s="67" t="s">
        <v>1385</v>
      </c>
      <c r="O382" s="67"/>
      <c r="P382" s="67" t="s">
        <v>19</v>
      </c>
      <c r="Q382" s="69">
        <v>3725</v>
      </c>
      <c r="R382" s="4">
        <f t="shared" si="16"/>
        <v>2800</v>
      </c>
      <c r="S382" s="4">
        <f t="shared" si="17"/>
        <v>2070</v>
      </c>
    </row>
    <row r="383" spans="1:19" ht="17.100000000000001" customHeight="1" x14ac:dyDescent="0.2">
      <c r="A383" s="23"/>
      <c r="B383" s="3" t="str">
        <f ca="1">IF(A383="В заказ",MAX($B$9:OFFSET(B383,-1,0))+1,"")</f>
        <v/>
      </c>
      <c r="C383" s="6" t="str">
        <f t="shared" ref="C383:C446" si="18">D383&amp;" "&amp;N383&amp;" "&amp;IF(OR(D383="ДСП",D383="МДФ",D383="Фанера",D383="ХДФ"),M383,J383)&amp;" "&amp;IF(OR(D383="ДСП",D383="МДФ",D383="Фанера",D383="ХДФ"),O383,L383)&amp;" "&amp;IF(OR(D383="ДСП",D383="МДФ",D383="Фанера",D383="ХДФ"),"",IF(D383="БСП",M383,O383))&amp;"."</f>
        <v>ЛДСП 25 U763 ST9 .</v>
      </c>
      <c r="D383" s="67" t="s">
        <v>1372</v>
      </c>
      <c r="E383" s="67" t="s">
        <v>151</v>
      </c>
      <c r="F383" s="67" t="s">
        <v>1759</v>
      </c>
      <c r="G383" s="68">
        <v>15420</v>
      </c>
      <c r="H383" s="67" t="s">
        <v>152</v>
      </c>
      <c r="I383" s="200"/>
      <c r="J383" s="67" t="s">
        <v>201</v>
      </c>
      <c r="K383" s="67" t="s">
        <v>202</v>
      </c>
      <c r="L383" s="67" t="s">
        <v>22</v>
      </c>
      <c r="M383" s="67" t="s">
        <v>238</v>
      </c>
      <c r="N383" s="67" t="s">
        <v>1387</v>
      </c>
      <c r="O383" s="67"/>
      <c r="P383" s="67" t="s">
        <v>19</v>
      </c>
      <c r="Q383" s="69">
        <v>4990</v>
      </c>
      <c r="R383" s="4">
        <f t="shared" si="16"/>
        <v>2800</v>
      </c>
      <c r="S383" s="4">
        <f t="shared" si="17"/>
        <v>2070</v>
      </c>
    </row>
    <row r="384" spans="1:19" ht="17.100000000000001" customHeight="1" x14ac:dyDescent="0.2">
      <c r="A384" s="23"/>
      <c r="B384" s="3" t="str">
        <f ca="1">IF(A384="В заказ",MAX($B$9:OFFSET(B384,-1,0))+1,"")</f>
        <v/>
      </c>
      <c r="C384" s="6" t="str">
        <f t="shared" si="18"/>
        <v>ЛДСП 16 U767 ST9 .</v>
      </c>
      <c r="D384" s="67" t="s">
        <v>1372</v>
      </c>
      <c r="E384" s="67" t="s">
        <v>151</v>
      </c>
      <c r="F384" s="67" t="s">
        <v>1760</v>
      </c>
      <c r="G384" s="68">
        <v>15400</v>
      </c>
      <c r="H384" s="67" t="s">
        <v>152</v>
      </c>
      <c r="I384" s="200"/>
      <c r="J384" s="67" t="s">
        <v>203</v>
      </c>
      <c r="K384" s="67" t="s">
        <v>204</v>
      </c>
      <c r="L384" s="67" t="s">
        <v>22</v>
      </c>
      <c r="M384" s="67" t="s">
        <v>238</v>
      </c>
      <c r="N384" s="67" t="s">
        <v>235</v>
      </c>
      <c r="O384" s="67"/>
      <c r="P384" s="67" t="s">
        <v>19</v>
      </c>
      <c r="Q384" s="69">
        <v>3520</v>
      </c>
      <c r="R384" s="4">
        <f t="shared" si="16"/>
        <v>2800</v>
      </c>
      <c r="S384" s="4">
        <f t="shared" si="17"/>
        <v>2070</v>
      </c>
    </row>
    <row r="385" spans="1:19" ht="17.100000000000001" customHeight="1" x14ac:dyDescent="0.2">
      <c r="A385" s="23"/>
      <c r="B385" s="3" t="str">
        <f ca="1">IF(A385="В заказ",MAX($B$9:OFFSET(B385,-1,0))+1,"")</f>
        <v/>
      </c>
      <c r="C385" s="6" t="str">
        <f t="shared" si="18"/>
        <v>ЛДСП 16 U775 ST9 .</v>
      </c>
      <c r="D385" s="67" t="s">
        <v>1372</v>
      </c>
      <c r="E385" s="67" t="s">
        <v>151</v>
      </c>
      <c r="F385" s="67" t="s">
        <v>1761</v>
      </c>
      <c r="G385" s="68">
        <v>14489</v>
      </c>
      <c r="H385" s="67" t="s">
        <v>152</v>
      </c>
      <c r="I385" s="200"/>
      <c r="J385" s="67" t="s">
        <v>205</v>
      </c>
      <c r="K385" s="67" t="s">
        <v>206</v>
      </c>
      <c r="L385" s="67" t="s">
        <v>22</v>
      </c>
      <c r="M385" s="67" t="s">
        <v>238</v>
      </c>
      <c r="N385" s="67" t="s">
        <v>235</v>
      </c>
      <c r="O385" s="67"/>
      <c r="P385" s="67" t="s">
        <v>19</v>
      </c>
      <c r="Q385" s="69">
        <v>3355</v>
      </c>
      <c r="R385" s="4">
        <f t="shared" si="16"/>
        <v>2800</v>
      </c>
      <c r="S385" s="4">
        <f t="shared" si="17"/>
        <v>2070</v>
      </c>
    </row>
    <row r="386" spans="1:19" ht="17.100000000000001" customHeight="1" x14ac:dyDescent="0.2">
      <c r="A386" s="23"/>
      <c r="B386" s="3" t="str">
        <f ca="1">IF(A386="В заказ",MAX($B$9:OFFSET(B386,-1,0))+1,"")</f>
        <v/>
      </c>
      <c r="C386" s="6" t="str">
        <f t="shared" si="18"/>
        <v>ЛДСП 16 U780 ST9 .</v>
      </c>
      <c r="D386" s="67" t="s">
        <v>1372</v>
      </c>
      <c r="E386" s="67" t="s">
        <v>151</v>
      </c>
      <c r="F386" s="67" t="s">
        <v>1762</v>
      </c>
      <c r="G386" s="68">
        <v>21588</v>
      </c>
      <c r="H386" s="67" t="s">
        <v>152</v>
      </c>
      <c r="I386" s="200"/>
      <c r="J386" s="67" t="s">
        <v>1200</v>
      </c>
      <c r="K386" s="67" t="s">
        <v>1201</v>
      </c>
      <c r="L386" s="67" t="s">
        <v>22</v>
      </c>
      <c r="M386" s="67" t="s">
        <v>238</v>
      </c>
      <c r="N386" s="67" t="s">
        <v>235</v>
      </c>
      <c r="O386" s="67"/>
      <c r="P386" s="67" t="s">
        <v>19</v>
      </c>
      <c r="Q386" s="69">
        <v>6050</v>
      </c>
      <c r="R386" s="4">
        <f t="shared" si="16"/>
        <v>2800</v>
      </c>
      <c r="S386" s="4">
        <f t="shared" si="17"/>
        <v>2070</v>
      </c>
    </row>
    <row r="387" spans="1:19" ht="17.100000000000001" customHeight="1" x14ac:dyDescent="0.2">
      <c r="A387" s="23"/>
      <c r="B387" s="3" t="str">
        <f ca="1">IF(A387="В заказ",MAX($B$9:OFFSET(B387,-1,0))+1,"")</f>
        <v/>
      </c>
      <c r="C387" s="6" t="str">
        <f t="shared" si="18"/>
        <v>ЛДСП 08 U788 ST9 .</v>
      </c>
      <c r="D387" s="67" t="s">
        <v>1372</v>
      </c>
      <c r="E387" s="67" t="s">
        <v>151</v>
      </c>
      <c r="F387" s="67" t="s">
        <v>1763</v>
      </c>
      <c r="G387" s="68">
        <v>14126</v>
      </c>
      <c r="H387" s="67" t="s">
        <v>152</v>
      </c>
      <c r="I387" s="200"/>
      <c r="J387" s="67" t="s">
        <v>207</v>
      </c>
      <c r="K387" s="67" t="s">
        <v>208</v>
      </c>
      <c r="L387" s="67" t="s">
        <v>22</v>
      </c>
      <c r="M387" s="67" t="s">
        <v>238</v>
      </c>
      <c r="N387" s="67" t="s">
        <v>1382</v>
      </c>
      <c r="O387" s="67"/>
      <c r="P387" s="67" t="s">
        <v>19</v>
      </c>
      <c r="Q387" s="69">
        <v>3545</v>
      </c>
      <c r="R387" s="4">
        <f t="shared" si="16"/>
        <v>2800</v>
      </c>
      <c r="S387" s="4">
        <f t="shared" si="17"/>
        <v>2070</v>
      </c>
    </row>
    <row r="388" spans="1:19" ht="17.100000000000001" customHeight="1" x14ac:dyDescent="0.2">
      <c r="A388" s="23"/>
      <c r="B388" s="3" t="str">
        <f ca="1">IF(A388="В заказ",MAX($B$9:OFFSET(B388,-1,0))+1,"")</f>
        <v/>
      </c>
      <c r="C388" s="6" t="str">
        <f t="shared" si="18"/>
        <v>ЛДСП 16 U788 ST9 .</v>
      </c>
      <c r="D388" s="67" t="s">
        <v>1372</v>
      </c>
      <c r="E388" s="67" t="s">
        <v>151</v>
      </c>
      <c r="F388" s="67" t="s">
        <v>1764</v>
      </c>
      <c r="G388" s="68">
        <v>13879</v>
      </c>
      <c r="H388" s="67" t="s">
        <v>152</v>
      </c>
      <c r="I388" s="200"/>
      <c r="J388" s="67" t="s">
        <v>207</v>
      </c>
      <c r="K388" s="67" t="s">
        <v>208</v>
      </c>
      <c r="L388" s="67" t="s">
        <v>22</v>
      </c>
      <c r="M388" s="67" t="s">
        <v>238</v>
      </c>
      <c r="N388" s="67" t="s">
        <v>235</v>
      </c>
      <c r="O388" s="67"/>
      <c r="P388" s="67" t="s">
        <v>19</v>
      </c>
      <c r="Q388" s="69">
        <v>3630</v>
      </c>
      <c r="R388" s="4">
        <f t="shared" si="16"/>
        <v>2800</v>
      </c>
      <c r="S388" s="4">
        <f t="shared" si="17"/>
        <v>2070</v>
      </c>
    </row>
    <row r="389" spans="1:19" ht="17.100000000000001" customHeight="1" x14ac:dyDescent="0.2">
      <c r="A389" s="23"/>
      <c r="B389" s="3" t="str">
        <f ca="1">IF(A389="В заказ",MAX($B$9:OFFSET(B389,-1,0))+1,"")</f>
        <v/>
      </c>
      <c r="C389" s="6" t="str">
        <f t="shared" si="18"/>
        <v>ЛДСП 18 U788 ST9 .</v>
      </c>
      <c r="D389" s="67" t="s">
        <v>1372</v>
      </c>
      <c r="E389" s="67" t="s">
        <v>151</v>
      </c>
      <c r="F389" s="67" t="s">
        <v>1765</v>
      </c>
      <c r="G389" s="68">
        <v>24473</v>
      </c>
      <c r="H389" s="67" t="s">
        <v>152</v>
      </c>
      <c r="I389" s="200"/>
      <c r="J389" s="67" t="s">
        <v>207</v>
      </c>
      <c r="K389" s="67" t="s">
        <v>208</v>
      </c>
      <c r="L389" s="67" t="s">
        <v>22</v>
      </c>
      <c r="M389" s="67" t="s">
        <v>238</v>
      </c>
      <c r="N389" s="67" t="s">
        <v>1385</v>
      </c>
      <c r="O389" s="67"/>
      <c r="P389" s="67" t="s">
        <v>19</v>
      </c>
      <c r="Q389" s="69">
        <v>3910</v>
      </c>
      <c r="R389" s="4">
        <f t="shared" si="16"/>
        <v>2800</v>
      </c>
      <c r="S389" s="4">
        <f t="shared" si="17"/>
        <v>2070</v>
      </c>
    </row>
    <row r="390" spans="1:19" ht="17.100000000000001" customHeight="1" x14ac:dyDescent="0.2">
      <c r="A390" s="23"/>
      <c r="B390" s="3" t="str">
        <f ca="1">IF(A390="В заказ",MAX($B$9:OFFSET(B390,-1,0))+1,"")</f>
        <v/>
      </c>
      <c r="C390" s="6" t="str">
        <f t="shared" si="18"/>
        <v>ЛДСП 25 U788 ST9 .</v>
      </c>
      <c r="D390" s="67" t="s">
        <v>1372</v>
      </c>
      <c r="E390" s="67" t="s">
        <v>151</v>
      </c>
      <c r="F390" s="67" t="s">
        <v>1766</v>
      </c>
      <c r="G390" s="68">
        <v>14127</v>
      </c>
      <c r="H390" s="67" t="s">
        <v>152</v>
      </c>
      <c r="I390" s="200"/>
      <c r="J390" s="67" t="s">
        <v>207</v>
      </c>
      <c r="K390" s="67" t="s">
        <v>208</v>
      </c>
      <c r="L390" s="67" t="s">
        <v>22</v>
      </c>
      <c r="M390" s="67" t="s">
        <v>238</v>
      </c>
      <c r="N390" s="67" t="s">
        <v>1387</v>
      </c>
      <c r="O390" s="67"/>
      <c r="P390" s="67" t="s">
        <v>19</v>
      </c>
      <c r="Q390" s="69">
        <v>5175</v>
      </c>
      <c r="R390" s="4">
        <f t="shared" si="16"/>
        <v>2800</v>
      </c>
      <c r="S390" s="4">
        <f t="shared" si="17"/>
        <v>2070</v>
      </c>
    </row>
    <row r="391" spans="1:19" ht="17.100000000000001" customHeight="1" x14ac:dyDescent="0.2">
      <c r="A391" s="23"/>
      <c r="B391" s="3" t="str">
        <f ca="1">IF(A391="В заказ",MAX($B$9:OFFSET(B391,-1,0))+1,"")</f>
        <v/>
      </c>
      <c r="C391" s="6" t="str">
        <f t="shared" si="18"/>
        <v>ЛДСП 16 U818 ST9 .</v>
      </c>
      <c r="D391" s="67" t="s">
        <v>1372</v>
      </c>
      <c r="E391" s="67" t="s">
        <v>151</v>
      </c>
      <c r="F391" s="67" t="s">
        <v>1767</v>
      </c>
      <c r="G391" s="68">
        <v>13543</v>
      </c>
      <c r="H391" s="67" t="s">
        <v>152</v>
      </c>
      <c r="I391" s="200"/>
      <c r="J391" s="67" t="s">
        <v>209</v>
      </c>
      <c r="K391" s="67" t="s">
        <v>210</v>
      </c>
      <c r="L391" s="67" t="s">
        <v>22</v>
      </c>
      <c r="M391" s="67" t="s">
        <v>238</v>
      </c>
      <c r="N391" s="67" t="s">
        <v>235</v>
      </c>
      <c r="O391" s="67"/>
      <c r="P391" s="67" t="s">
        <v>19</v>
      </c>
      <c r="Q391" s="69">
        <v>3830</v>
      </c>
      <c r="R391" s="4">
        <f t="shared" si="16"/>
        <v>2800</v>
      </c>
      <c r="S391" s="4">
        <f t="shared" si="17"/>
        <v>2070</v>
      </c>
    </row>
    <row r="392" spans="1:19" ht="17.100000000000001" customHeight="1" x14ac:dyDescent="0.2">
      <c r="A392" s="23"/>
      <c r="B392" s="3" t="str">
        <f ca="1">IF(A392="В заказ",MAX($B$9:OFFSET(B392,-1,0))+1,"")</f>
        <v/>
      </c>
      <c r="C392" s="6" t="str">
        <f t="shared" si="18"/>
        <v>ЛДСП 16 U830 ST9 .</v>
      </c>
      <c r="D392" s="67" t="s">
        <v>1372</v>
      </c>
      <c r="E392" s="67" t="s">
        <v>151</v>
      </c>
      <c r="F392" s="67" t="s">
        <v>2140</v>
      </c>
      <c r="G392" s="68">
        <v>21590</v>
      </c>
      <c r="H392" s="67" t="s">
        <v>152</v>
      </c>
      <c r="I392" s="200"/>
      <c r="J392" s="67" t="s">
        <v>2141</v>
      </c>
      <c r="K392" s="67" t="s">
        <v>2142</v>
      </c>
      <c r="L392" s="67" t="s">
        <v>22</v>
      </c>
      <c r="M392" s="67" t="s">
        <v>238</v>
      </c>
      <c r="N392" s="67" t="s">
        <v>235</v>
      </c>
      <c r="O392" s="67"/>
      <c r="P392" s="67" t="s">
        <v>19</v>
      </c>
      <c r="Q392" s="69">
        <v>6255</v>
      </c>
      <c r="R392" s="4">
        <f t="shared" si="16"/>
        <v>2800</v>
      </c>
      <c r="S392" s="4">
        <f t="shared" si="17"/>
        <v>2070</v>
      </c>
    </row>
    <row r="393" spans="1:19" ht="17.100000000000001" customHeight="1" x14ac:dyDescent="0.2">
      <c r="A393" s="23"/>
      <c r="B393" s="3" t="str">
        <f ca="1">IF(A393="В заказ",MAX($B$9:OFFSET(B393,-1,0))+1,"")</f>
        <v/>
      </c>
      <c r="C393" s="6" t="str">
        <f t="shared" si="18"/>
        <v>ЛДСП 08 U899 ST9 .</v>
      </c>
      <c r="D393" s="67" t="s">
        <v>1372</v>
      </c>
      <c r="E393" s="67" t="s">
        <v>151</v>
      </c>
      <c r="F393" s="67" t="s">
        <v>1768</v>
      </c>
      <c r="G393" s="68">
        <v>14594</v>
      </c>
      <c r="H393" s="67" t="s">
        <v>152</v>
      </c>
      <c r="I393" s="200"/>
      <c r="J393" s="67" t="s">
        <v>211</v>
      </c>
      <c r="K393" s="67" t="s">
        <v>212</v>
      </c>
      <c r="L393" s="67" t="s">
        <v>22</v>
      </c>
      <c r="M393" s="67" t="s">
        <v>238</v>
      </c>
      <c r="N393" s="67" t="s">
        <v>1382</v>
      </c>
      <c r="O393" s="67"/>
      <c r="P393" s="67" t="s">
        <v>19</v>
      </c>
      <c r="Q393" s="69">
        <v>3545</v>
      </c>
      <c r="R393" s="4">
        <f t="shared" si="16"/>
        <v>2800</v>
      </c>
      <c r="S393" s="4">
        <f t="shared" si="17"/>
        <v>2070</v>
      </c>
    </row>
    <row r="394" spans="1:19" ht="17.100000000000001" customHeight="1" x14ac:dyDescent="0.2">
      <c r="A394" s="23"/>
      <c r="B394" s="3" t="str">
        <f ca="1">IF(A394="В заказ",MAX($B$9:OFFSET(B394,-1,0))+1,"")</f>
        <v/>
      </c>
      <c r="C394" s="6" t="str">
        <f t="shared" si="18"/>
        <v>ЛДСП 16 U899 ST9 .</v>
      </c>
      <c r="D394" s="67" t="s">
        <v>1372</v>
      </c>
      <c r="E394" s="67" t="s">
        <v>151</v>
      </c>
      <c r="F394" s="67" t="s">
        <v>1769</v>
      </c>
      <c r="G394" s="68">
        <v>14754</v>
      </c>
      <c r="H394" s="67" t="s">
        <v>152</v>
      </c>
      <c r="I394" s="200"/>
      <c r="J394" s="67" t="s">
        <v>211</v>
      </c>
      <c r="K394" s="67" t="s">
        <v>212</v>
      </c>
      <c r="L394" s="67" t="s">
        <v>22</v>
      </c>
      <c r="M394" s="67" t="s">
        <v>238</v>
      </c>
      <c r="N394" s="67" t="s">
        <v>235</v>
      </c>
      <c r="O394" s="67"/>
      <c r="P394" s="67" t="s">
        <v>19</v>
      </c>
      <c r="Q394" s="69">
        <v>3630</v>
      </c>
      <c r="R394" s="4">
        <f t="shared" si="16"/>
        <v>2800</v>
      </c>
      <c r="S394" s="4">
        <f t="shared" si="17"/>
        <v>2070</v>
      </c>
    </row>
    <row r="395" spans="1:19" ht="17.100000000000001" customHeight="1" x14ac:dyDescent="0.2">
      <c r="A395" s="23"/>
      <c r="B395" s="3" t="str">
        <f ca="1">IF(A395="В заказ",MAX($B$9:OFFSET(B395,-1,0))+1,"")</f>
        <v/>
      </c>
      <c r="C395" s="6" t="str">
        <f t="shared" si="18"/>
        <v>ЛДСП 18 U899 ST9 .</v>
      </c>
      <c r="D395" s="67" t="s">
        <v>1372</v>
      </c>
      <c r="E395" s="67" t="s">
        <v>151</v>
      </c>
      <c r="F395" s="67" t="s">
        <v>1770</v>
      </c>
      <c r="G395" s="68">
        <v>21950</v>
      </c>
      <c r="H395" s="67" t="s">
        <v>152</v>
      </c>
      <c r="I395" s="200"/>
      <c r="J395" s="67" t="s">
        <v>211</v>
      </c>
      <c r="K395" s="67" t="s">
        <v>212</v>
      </c>
      <c r="L395" s="67" t="s">
        <v>22</v>
      </c>
      <c r="M395" s="67" t="s">
        <v>238</v>
      </c>
      <c r="N395" s="67" t="s">
        <v>1385</v>
      </c>
      <c r="O395" s="67"/>
      <c r="P395" s="67" t="s">
        <v>19</v>
      </c>
      <c r="Q395" s="69">
        <v>3910</v>
      </c>
      <c r="R395" s="4">
        <f t="shared" ref="R395:R458" si="19">IFERROR(LEFT(M395,FIND("*",M395)-1)*1,"")</f>
        <v>2800</v>
      </c>
      <c r="S395" s="4">
        <f t="shared" ref="S395:S458" si="20">IFERROR(RIGHT(M395,LEN(M395)-FIND("*",M395))*1,"")</f>
        <v>2070</v>
      </c>
    </row>
    <row r="396" spans="1:19" ht="17.100000000000001" customHeight="1" x14ac:dyDescent="0.2">
      <c r="A396" s="23"/>
      <c r="B396" s="3" t="str">
        <f ca="1">IF(A396="В заказ",MAX($B$9:OFFSET(B396,-1,0))+1,"")</f>
        <v/>
      </c>
      <c r="C396" s="6" t="str">
        <f t="shared" si="18"/>
        <v>ЛДСП 25 U899 ST9 .</v>
      </c>
      <c r="D396" s="67" t="s">
        <v>1372</v>
      </c>
      <c r="E396" s="67" t="s">
        <v>151</v>
      </c>
      <c r="F396" s="67" t="s">
        <v>1771</v>
      </c>
      <c r="G396" s="68">
        <v>17200</v>
      </c>
      <c r="H396" s="67" t="s">
        <v>152</v>
      </c>
      <c r="I396" s="200"/>
      <c r="J396" s="67" t="s">
        <v>211</v>
      </c>
      <c r="K396" s="67" t="s">
        <v>212</v>
      </c>
      <c r="L396" s="67" t="s">
        <v>22</v>
      </c>
      <c r="M396" s="67" t="s">
        <v>238</v>
      </c>
      <c r="N396" s="67" t="s">
        <v>1387</v>
      </c>
      <c r="O396" s="67"/>
      <c r="P396" s="67" t="s">
        <v>19</v>
      </c>
      <c r="Q396" s="69">
        <v>5175</v>
      </c>
      <c r="R396" s="4">
        <f t="shared" si="19"/>
        <v>2800</v>
      </c>
      <c r="S396" s="4">
        <f t="shared" si="20"/>
        <v>2070</v>
      </c>
    </row>
    <row r="397" spans="1:19" ht="17.100000000000001" customHeight="1" x14ac:dyDescent="0.2">
      <c r="A397" s="23"/>
      <c r="B397" s="3" t="str">
        <f ca="1">IF(A397="В заказ",MAX($B$9:OFFSET(B397,-1,0))+1,"")</f>
        <v/>
      </c>
      <c r="C397" s="6" t="str">
        <f t="shared" si="18"/>
        <v>ЛДСП 16 U960 ST9 .</v>
      </c>
      <c r="D397" s="67" t="s">
        <v>1372</v>
      </c>
      <c r="E397" s="67" t="s">
        <v>151</v>
      </c>
      <c r="F397" s="67" t="s">
        <v>1772</v>
      </c>
      <c r="G397" s="68">
        <v>9580</v>
      </c>
      <c r="H397" s="67" t="s">
        <v>152</v>
      </c>
      <c r="I397" s="200"/>
      <c r="J397" s="67" t="s">
        <v>213</v>
      </c>
      <c r="K397" s="67" t="s">
        <v>214</v>
      </c>
      <c r="L397" s="67" t="s">
        <v>22</v>
      </c>
      <c r="M397" s="67" t="s">
        <v>238</v>
      </c>
      <c r="N397" s="67" t="s">
        <v>235</v>
      </c>
      <c r="O397" s="67"/>
      <c r="P397" s="67" t="s">
        <v>19</v>
      </c>
      <c r="Q397" s="69">
        <v>3520</v>
      </c>
      <c r="R397" s="4">
        <f t="shared" si="19"/>
        <v>2800</v>
      </c>
      <c r="S397" s="4">
        <f t="shared" si="20"/>
        <v>2070</v>
      </c>
    </row>
    <row r="398" spans="1:19" ht="17.100000000000001" customHeight="1" x14ac:dyDescent="0.2">
      <c r="A398" s="23"/>
      <c r="B398" s="3" t="str">
        <f ca="1">IF(A398="В заказ",MAX($B$9:OFFSET(B398,-1,0))+1,"")</f>
        <v/>
      </c>
      <c r="C398" s="6" t="str">
        <f t="shared" si="18"/>
        <v>ЛДСП 18 U960 ST9 .</v>
      </c>
      <c r="D398" s="67" t="s">
        <v>1372</v>
      </c>
      <c r="E398" s="67" t="s">
        <v>151</v>
      </c>
      <c r="F398" s="67" t="s">
        <v>1773</v>
      </c>
      <c r="G398" s="68">
        <v>19621</v>
      </c>
      <c r="H398" s="67" t="s">
        <v>152</v>
      </c>
      <c r="I398" s="200"/>
      <c r="J398" s="67" t="s">
        <v>213</v>
      </c>
      <c r="K398" s="67" t="s">
        <v>214</v>
      </c>
      <c r="L398" s="67" t="s">
        <v>22</v>
      </c>
      <c r="M398" s="67" t="s">
        <v>238</v>
      </c>
      <c r="N398" s="67" t="s">
        <v>1385</v>
      </c>
      <c r="O398" s="67"/>
      <c r="P398" s="67" t="s">
        <v>19</v>
      </c>
      <c r="Q398" s="69">
        <v>3820</v>
      </c>
      <c r="R398" s="4">
        <f t="shared" si="19"/>
        <v>2800</v>
      </c>
      <c r="S398" s="4">
        <f t="shared" si="20"/>
        <v>2070</v>
      </c>
    </row>
    <row r="399" spans="1:19" ht="17.100000000000001" customHeight="1" x14ac:dyDescent="0.2">
      <c r="A399" s="23"/>
      <c r="B399" s="3" t="str">
        <f ca="1">IF(A399="В заказ",MAX($B$9:OFFSET(B399,-1,0))+1,"")</f>
        <v/>
      </c>
      <c r="C399" s="6" t="str">
        <f t="shared" si="18"/>
        <v>ЛДСП 25 U960 ST9 .</v>
      </c>
      <c r="D399" s="67" t="s">
        <v>1372</v>
      </c>
      <c r="E399" s="67" t="s">
        <v>151</v>
      </c>
      <c r="F399" s="67" t="s">
        <v>1774</v>
      </c>
      <c r="G399" s="68">
        <v>16998</v>
      </c>
      <c r="H399" s="67" t="s">
        <v>152</v>
      </c>
      <c r="I399" s="200"/>
      <c r="J399" s="67" t="s">
        <v>213</v>
      </c>
      <c r="K399" s="67" t="s">
        <v>214</v>
      </c>
      <c r="L399" s="67" t="s">
        <v>22</v>
      </c>
      <c r="M399" s="67" t="s">
        <v>238</v>
      </c>
      <c r="N399" s="67" t="s">
        <v>1387</v>
      </c>
      <c r="O399" s="67"/>
      <c r="P399" s="67" t="s">
        <v>19</v>
      </c>
      <c r="Q399" s="69">
        <v>5075</v>
      </c>
      <c r="R399" s="4">
        <f t="shared" si="19"/>
        <v>2800</v>
      </c>
      <c r="S399" s="4">
        <f t="shared" si="20"/>
        <v>2070</v>
      </c>
    </row>
    <row r="400" spans="1:19" ht="17.100000000000001" customHeight="1" x14ac:dyDescent="0.2">
      <c r="A400" s="23"/>
      <c r="B400" s="3" t="str">
        <f ca="1">IF(A400="В заказ",MAX($B$9:OFFSET(B400,-1,0))+1,"")</f>
        <v/>
      </c>
      <c r="C400" s="6" t="str">
        <f t="shared" si="18"/>
        <v>ЛДСП 16 U961 ST19 .</v>
      </c>
      <c r="D400" s="67" t="s">
        <v>1372</v>
      </c>
      <c r="E400" s="67" t="s">
        <v>151</v>
      </c>
      <c r="F400" s="67" t="s">
        <v>1775</v>
      </c>
      <c r="G400" s="68">
        <v>21951</v>
      </c>
      <c r="H400" s="67" t="s">
        <v>152</v>
      </c>
      <c r="I400" s="70">
        <v>1</v>
      </c>
      <c r="J400" s="67" t="s">
        <v>215</v>
      </c>
      <c r="K400" s="67" t="s">
        <v>216</v>
      </c>
      <c r="L400" s="67" t="s">
        <v>251</v>
      </c>
      <c r="M400" s="67" t="s">
        <v>238</v>
      </c>
      <c r="N400" s="67" t="s">
        <v>235</v>
      </c>
      <c r="O400" s="67"/>
      <c r="P400" s="67" t="s">
        <v>19</v>
      </c>
      <c r="Q400" s="69">
        <v>4020</v>
      </c>
      <c r="R400" s="4">
        <f t="shared" si="19"/>
        <v>2800</v>
      </c>
      <c r="S400" s="4">
        <f t="shared" si="20"/>
        <v>2070</v>
      </c>
    </row>
    <row r="401" spans="1:19" ht="17.100000000000001" customHeight="1" x14ac:dyDescent="0.2">
      <c r="A401" s="23"/>
      <c r="B401" s="3" t="str">
        <f ca="1">IF(A401="В заказ",MAX($B$9:OFFSET(B401,-1,0))+1,"")</f>
        <v/>
      </c>
      <c r="C401" s="6" t="str">
        <f t="shared" si="18"/>
        <v>ЛДСП 08 U961 ST2 .</v>
      </c>
      <c r="D401" s="67" t="s">
        <v>1372</v>
      </c>
      <c r="E401" s="67" t="s">
        <v>151</v>
      </c>
      <c r="F401" s="67" t="s">
        <v>1776</v>
      </c>
      <c r="G401" s="68">
        <v>2580</v>
      </c>
      <c r="H401" s="67" t="s">
        <v>152</v>
      </c>
      <c r="I401" s="200"/>
      <c r="J401" s="67" t="s">
        <v>215</v>
      </c>
      <c r="K401" s="67" t="s">
        <v>216</v>
      </c>
      <c r="L401" s="67" t="s">
        <v>31</v>
      </c>
      <c r="M401" s="67" t="s">
        <v>238</v>
      </c>
      <c r="N401" s="67" t="s">
        <v>1382</v>
      </c>
      <c r="O401" s="67"/>
      <c r="P401" s="67" t="s">
        <v>19</v>
      </c>
      <c r="Q401" s="69">
        <v>3350</v>
      </c>
      <c r="R401" s="4">
        <f t="shared" si="19"/>
        <v>2800</v>
      </c>
      <c r="S401" s="4">
        <f t="shared" si="20"/>
        <v>2070</v>
      </c>
    </row>
    <row r="402" spans="1:19" ht="17.100000000000001" customHeight="1" x14ac:dyDescent="0.2">
      <c r="A402" s="23"/>
      <c r="B402" s="3" t="str">
        <f ca="1">IF(A402="В заказ",MAX($B$9:OFFSET(B402,-1,0))+1,"")</f>
        <v/>
      </c>
      <c r="C402" s="6" t="str">
        <f t="shared" si="18"/>
        <v>ЛДСП 16 U961 ST2 .</v>
      </c>
      <c r="D402" s="67" t="s">
        <v>1372</v>
      </c>
      <c r="E402" s="67" t="s">
        <v>151</v>
      </c>
      <c r="F402" s="67" t="s">
        <v>1777</v>
      </c>
      <c r="G402" s="68">
        <v>1345</v>
      </c>
      <c r="H402" s="67" t="s">
        <v>152</v>
      </c>
      <c r="I402" s="200"/>
      <c r="J402" s="67" t="s">
        <v>215</v>
      </c>
      <c r="K402" s="67" t="s">
        <v>216</v>
      </c>
      <c r="L402" s="67" t="s">
        <v>31</v>
      </c>
      <c r="M402" s="67" t="s">
        <v>238</v>
      </c>
      <c r="N402" s="67" t="s">
        <v>235</v>
      </c>
      <c r="O402" s="67"/>
      <c r="P402" s="67" t="s">
        <v>19</v>
      </c>
      <c r="Q402" s="69">
        <v>3425</v>
      </c>
      <c r="R402" s="4">
        <f t="shared" si="19"/>
        <v>2800</v>
      </c>
      <c r="S402" s="4">
        <f t="shared" si="20"/>
        <v>2070</v>
      </c>
    </row>
    <row r="403" spans="1:19" ht="17.100000000000001" customHeight="1" x14ac:dyDescent="0.2">
      <c r="A403" s="23"/>
      <c r="B403" s="3" t="str">
        <f ca="1">IF(A403="В заказ",MAX($B$9:OFFSET(B403,-1,0))+1,"")</f>
        <v/>
      </c>
      <c r="C403" s="6" t="str">
        <f t="shared" si="18"/>
        <v>ЛДСП 18 U961 ST2 .</v>
      </c>
      <c r="D403" s="67" t="s">
        <v>1372</v>
      </c>
      <c r="E403" s="67" t="s">
        <v>151</v>
      </c>
      <c r="F403" s="67" t="s">
        <v>1778</v>
      </c>
      <c r="G403" s="68">
        <v>1722</v>
      </c>
      <c r="H403" s="67" t="s">
        <v>152</v>
      </c>
      <c r="I403" s="200"/>
      <c r="J403" s="67" t="s">
        <v>215</v>
      </c>
      <c r="K403" s="67" t="s">
        <v>216</v>
      </c>
      <c r="L403" s="67" t="s">
        <v>31</v>
      </c>
      <c r="M403" s="67" t="s">
        <v>238</v>
      </c>
      <c r="N403" s="67" t="s">
        <v>1385</v>
      </c>
      <c r="O403" s="67"/>
      <c r="P403" s="67" t="s">
        <v>19</v>
      </c>
      <c r="Q403" s="69">
        <v>3725</v>
      </c>
      <c r="R403" s="4">
        <f t="shared" si="19"/>
        <v>2800</v>
      </c>
      <c r="S403" s="4">
        <f t="shared" si="20"/>
        <v>2070</v>
      </c>
    </row>
    <row r="404" spans="1:19" ht="17.100000000000001" customHeight="1" x14ac:dyDescent="0.2">
      <c r="A404" s="23"/>
      <c r="B404" s="3" t="str">
        <f ca="1">IF(A404="В заказ",MAX($B$9:OFFSET(B404,-1,0))+1,"")</f>
        <v/>
      </c>
      <c r="C404" s="6" t="str">
        <f t="shared" si="18"/>
        <v>ЛДСП 25 U961 ST2 .</v>
      </c>
      <c r="D404" s="67" t="s">
        <v>1372</v>
      </c>
      <c r="E404" s="67" t="s">
        <v>151</v>
      </c>
      <c r="F404" s="67" t="s">
        <v>1779</v>
      </c>
      <c r="G404" s="68">
        <v>1723</v>
      </c>
      <c r="H404" s="67" t="s">
        <v>152</v>
      </c>
      <c r="I404" s="200"/>
      <c r="J404" s="67" t="s">
        <v>215</v>
      </c>
      <c r="K404" s="67" t="s">
        <v>216</v>
      </c>
      <c r="L404" s="67" t="s">
        <v>31</v>
      </c>
      <c r="M404" s="67" t="s">
        <v>238</v>
      </c>
      <c r="N404" s="67" t="s">
        <v>1387</v>
      </c>
      <c r="O404" s="67"/>
      <c r="P404" s="67" t="s">
        <v>19</v>
      </c>
      <c r="Q404" s="69">
        <v>4990</v>
      </c>
      <c r="R404" s="4">
        <f t="shared" si="19"/>
        <v>2800</v>
      </c>
      <c r="S404" s="4">
        <f t="shared" si="20"/>
        <v>2070</v>
      </c>
    </row>
    <row r="405" spans="1:19" ht="17.100000000000001" customHeight="1" x14ac:dyDescent="0.2">
      <c r="A405" s="23"/>
      <c r="B405" s="3" t="str">
        <f ca="1">IF(A405="В заказ",MAX($B$9:OFFSET(B405,-1,0))+1,"")</f>
        <v/>
      </c>
      <c r="C405" s="6" t="str">
        <f t="shared" si="18"/>
        <v>ЛДСП 08 U963 ST9 .</v>
      </c>
      <c r="D405" s="67" t="s">
        <v>1372</v>
      </c>
      <c r="E405" s="67" t="s">
        <v>151</v>
      </c>
      <c r="F405" s="67" t="s">
        <v>1780</v>
      </c>
      <c r="G405" s="68">
        <v>16672</v>
      </c>
      <c r="H405" s="67" t="s">
        <v>152</v>
      </c>
      <c r="I405" s="200"/>
      <c r="J405" s="67" t="s">
        <v>217</v>
      </c>
      <c r="K405" s="67" t="s">
        <v>218</v>
      </c>
      <c r="L405" s="67" t="s">
        <v>22</v>
      </c>
      <c r="M405" s="67" t="s">
        <v>238</v>
      </c>
      <c r="N405" s="67" t="s">
        <v>1382</v>
      </c>
      <c r="O405" s="67"/>
      <c r="P405" s="67" t="s">
        <v>19</v>
      </c>
      <c r="Q405" s="69">
        <v>3350</v>
      </c>
      <c r="R405" s="4">
        <f t="shared" si="19"/>
        <v>2800</v>
      </c>
      <c r="S405" s="4">
        <f t="shared" si="20"/>
        <v>2070</v>
      </c>
    </row>
    <row r="406" spans="1:19" ht="17.100000000000001" customHeight="1" x14ac:dyDescent="0.2">
      <c r="A406" s="23"/>
      <c r="B406" s="3" t="str">
        <f ca="1">IF(A406="В заказ",MAX($B$9:OFFSET(B406,-1,0))+1,"")</f>
        <v/>
      </c>
      <c r="C406" s="6" t="str">
        <f t="shared" si="18"/>
        <v>ЛДСП 16 U963 ST9 .</v>
      </c>
      <c r="D406" s="67" t="s">
        <v>1372</v>
      </c>
      <c r="E406" s="67" t="s">
        <v>151</v>
      </c>
      <c r="F406" s="67" t="s">
        <v>1781</v>
      </c>
      <c r="G406" s="68">
        <v>13520</v>
      </c>
      <c r="H406" s="67" t="s">
        <v>152</v>
      </c>
      <c r="I406" s="200"/>
      <c r="J406" s="67" t="s">
        <v>217</v>
      </c>
      <c r="K406" s="67" t="s">
        <v>218</v>
      </c>
      <c r="L406" s="67" t="s">
        <v>22</v>
      </c>
      <c r="M406" s="67" t="s">
        <v>238</v>
      </c>
      <c r="N406" s="67" t="s">
        <v>235</v>
      </c>
      <c r="O406" s="67"/>
      <c r="P406" s="67" t="s">
        <v>19</v>
      </c>
      <c r="Q406" s="69">
        <v>3425</v>
      </c>
      <c r="R406" s="4">
        <f t="shared" si="19"/>
        <v>2800</v>
      </c>
      <c r="S406" s="4">
        <f t="shared" si="20"/>
        <v>2070</v>
      </c>
    </row>
    <row r="407" spans="1:19" ht="17.100000000000001" customHeight="1" x14ac:dyDescent="0.2">
      <c r="A407" s="23"/>
      <c r="B407" s="3" t="str">
        <f ca="1">IF(A407="В заказ",MAX($B$9:OFFSET(B407,-1,0))+1,"")</f>
        <v/>
      </c>
      <c r="C407" s="6" t="str">
        <f t="shared" si="18"/>
        <v>ЛДСП 18 U963 ST9 .</v>
      </c>
      <c r="D407" s="67" t="s">
        <v>1372</v>
      </c>
      <c r="E407" s="67" t="s">
        <v>151</v>
      </c>
      <c r="F407" s="67" t="s">
        <v>1782</v>
      </c>
      <c r="G407" s="68">
        <v>19886</v>
      </c>
      <c r="H407" s="67" t="s">
        <v>152</v>
      </c>
      <c r="I407" s="200"/>
      <c r="J407" s="67" t="s">
        <v>217</v>
      </c>
      <c r="K407" s="67" t="s">
        <v>218</v>
      </c>
      <c r="L407" s="67" t="s">
        <v>22</v>
      </c>
      <c r="M407" s="67" t="s">
        <v>238</v>
      </c>
      <c r="N407" s="67" t="s">
        <v>1385</v>
      </c>
      <c r="O407" s="67"/>
      <c r="P407" s="67" t="s">
        <v>19</v>
      </c>
      <c r="Q407" s="69">
        <v>3725</v>
      </c>
      <c r="R407" s="4">
        <f t="shared" si="19"/>
        <v>2800</v>
      </c>
      <c r="S407" s="4">
        <f t="shared" si="20"/>
        <v>2070</v>
      </c>
    </row>
    <row r="408" spans="1:19" ht="17.100000000000001" customHeight="1" x14ac:dyDescent="0.2">
      <c r="A408" s="23"/>
      <c r="B408" s="3" t="str">
        <f ca="1">IF(A408="В заказ",MAX($B$9:OFFSET(B408,-1,0))+1,"")</f>
        <v/>
      </c>
      <c r="C408" s="6" t="str">
        <f t="shared" si="18"/>
        <v>ЛДСП 25 U963 ST9 .</v>
      </c>
      <c r="D408" s="67" t="s">
        <v>1372</v>
      </c>
      <c r="E408" s="67" t="s">
        <v>151</v>
      </c>
      <c r="F408" s="67" t="s">
        <v>1783</v>
      </c>
      <c r="G408" s="68">
        <v>15215</v>
      </c>
      <c r="H408" s="67" t="s">
        <v>152</v>
      </c>
      <c r="I408" s="200"/>
      <c r="J408" s="67" t="s">
        <v>217</v>
      </c>
      <c r="K408" s="67" t="s">
        <v>218</v>
      </c>
      <c r="L408" s="67" t="s">
        <v>22</v>
      </c>
      <c r="M408" s="67" t="s">
        <v>238</v>
      </c>
      <c r="N408" s="67" t="s">
        <v>1387</v>
      </c>
      <c r="O408" s="67"/>
      <c r="P408" s="67" t="s">
        <v>19</v>
      </c>
      <c r="Q408" s="69">
        <v>4990</v>
      </c>
      <c r="R408" s="4">
        <f t="shared" si="19"/>
        <v>2800</v>
      </c>
      <c r="S408" s="4">
        <f t="shared" si="20"/>
        <v>2070</v>
      </c>
    </row>
    <row r="409" spans="1:19" ht="17.100000000000001" customHeight="1" x14ac:dyDescent="0.2">
      <c r="A409" s="23"/>
      <c r="B409" s="3" t="str">
        <f ca="1">IF(A409="В заказ",MAX($B$9:OFFSET(B409,-1,0))+1,"")</f>
        <v/>
      </c>
      <c r="C409" s="6" t="str">
        <f t="shared" si="18"/>
        <v>ЛДСП 08 U968 ST9 .</v>
      </c>
      <c r="D409" s="67" t="s">
        <v>1372</v>
      </c>
      <c r="E409" s="67" t="s">
        <v>151</v>
      </c>
      <c r="F409" s="67" t="s">
        <v>1784</v>
      </c>
      <c r="G409" s="68">
        <v>22292</v>
      </c>
      <c r="H409" s="67" t="s">
        <v>152</v>
      </c>
      <c r="I409" s="200"/>
      <c r="J409" s="67" t="s">
        <v>1262</v>
      </c>
      <c r="K409" s="67" t="s">
        <v>1263</v>
      </c>
      <c r="L409" s="67" t="s">
        <v>22</v>
      </c>
      <c r="M409" s="67" t="s">
        <v>238</v>
      </c>
      <c r="N409" s="67" t="s">
        <v>1382</v>
      </c>
      <c r="O409" s="67"/>
      <c r="P409" s="67" t="s">
        <v>19</v>
      </c>
      <c r="Q409" s="69">
        <v>3445</v>
      </c>
      <c r="R409" s="4">
        <f t="shared" si="19"/>
        <v>2800</v>
      </c>
      <c r="S409" s="4">
        <f t="shared" si="20"/>
        <v>2070</v>
      </c>
    </row>
    <row r="410" spans="1:19" ht="17.100000000000001" customHeight="1" x14ac:dyDescent="0.2">
      <c r="A410" s="23"/>
      <c r="B410" s="3" t="str">
        <f ca="1">IF(A410="В заказ",MAX($B$9:OFFSET(B410,-1,0))+1,"")</f>
        <v/>
      </c>
      <c r="C410" s="6" t="str">
        <f t="shared" si="18"/>
        <v>ЛДСП 16 U968 ST9 .</v>
      </c>
      <c r="D410" s="67" t="s">
        <v>1372</v>
      </c>
      <c r="E410" s="67" t="s">
        <v>151</v>
      </c>
      <c r="F410" s="67" t="s">
        <v>1785</v>
      </c>
      <c r="G410" s="68">
        <v>21596</v>
      </c>
      <c r="H410" s="67" t="s">
        <v>152</v>
      </c>
      <c r="I410" s="200"/>
      <c r="J410" s="67" t="s">
        <v>1262</v>
      </c>
      <c r="K410" s="67" t="s">
        <v>1263</v>
      </c>
      <c r="L410" s="67" t="s">
        <v>22</v>
      </c>
      <c r="M410" s="67" t="s">
        <v>238</v>
      </c>
      <c r="N410" s="67" t="s">
        <v>235</v>
      </c>
      <c r="O410" s="67"/>
      <c r="P410" s="67" t="s">
        <v>19</v>
      </c>
      <c r="Q410" s="69">
        <v>3520</v>
      </c>
      <c r="R410" s="4">
        <f t="shared" si="19"/>
        <v>2800</v>
      </c>
      <c r="S410" s="4">
        <f t="shared" si="20"/>
        <v>2070</v>
      </c>
    </row>
    <row r="411" spans="1:19" ht="17.100000000000001" customHeight="1" x14ac:dyDescent="0.2">
      <c r="A411" s="23"/>
      <c r="B411" s="3" t="str">
        <f ca="1">IF(A411="В заказ",MAX($B$9:OFFSET(B411,-1,0))+1,"")</f>
        <v/>
      </c>
      <c r="C411" s="6" t="str">
        <f t="shared" si="18"/>
        <v>ЛДСП 18 U968 ST9 .</v>
      </c>
      <c r="D411" s="67" t="s">
        <v>1372</v>
      </c>
      <c r="E411" s="67" t="s">
        <v>151</v>
      </c>
      <c r="F411" s="67" t="s">
        <v>1786</v>
      </c>
      <c r="G411" s="68">
        <v>24804</v>
      </c>
      <c r="H411" s="67" t="s">
        <v>152</v>
      </c>
      <c r="I411" s="200"/>
      <c r="J411" s="67" t="s">
        <v>1262</v>
      </c>
      <c r="K411" s="67" t="s">
        <v>1263</v>
      </c>
      <c r="L411" s="67" t="s">
        <v>22</v>
      </c>
      <c r="M411" s="67" t="s">
        <v>238</v>
      </c>
      <c r="N411" s="67" t="s">
        <v>1385</v>
      </c>
      <c r="O411" s="67"/>
      <c r="P411" s="67" t="s">
        <v>19</v>
      </c>
      <c r="Q411" s="69">
        <v>3820</v>
      </c>
      <c r="R411" s="4">
        <f t="shared" si="19"/>
        <v>2800</v>
      </c>
      <c r="S411" s="4">
        <f t="shared" si="20"/>
        <v>2070</v>
      </c>
    </row>
    <row r="412" spans="1:19" ht="17.100000000000001" customHeight="1" x14ac:dyDescent="0.2">
      <c r="A412" s="23"/>
      <c r="B412" s="3" t="str">
        <f ca="1">IF(A412="В заказ",MAX($B$9:OFFSET(B412,-1,0))+1,"")</f>
        <v/>
      </c>
      <c r="C412" s="6" t="str">
        <f t="shared" si="18"/>
        <v>ЛДСП 25 U968 ST9 .</v>
      </c>
      <c r="D412" s="67" t="s">
        <v>1372</v>
      </c>
      <c r="E412" s="67" t="s">
        <v>151</v>
      </c>
      <c r="F412" s="67" t="s">
        <v>1787</v>
      </c>
      <c r="G412" s="68">
        <v>22293</v>
      </c>
      <c r="H412" s="67" t="s">
        <v>152</v>
      </c>
      <c r="I412" s="200"/>
      <c r="J412" s="67" t="s">
        <v>1262</v>
      </c>
      <c r="K412" s="67" t="s">
        <v>1263</v>
      </c>
      <c r="L412" s="67" t="s">
        <v>22</v>
      </c>
      <c r="M412" s="67" t="s">
        <v>238</v>
      </c>
      <c r="N412" s="67" t="s">
        <v>1387</v>
      </c>
      <c r="O412" s="67"/>
      <c r="P412" s="67" t="s">
        <v>19</v>
      </c>
      <c r="Q412" s="69">
        <v>5075</v>
      </c>
      <c r="R412" s="4">
        <f t="shared" si="19"/>
        <v>2800</v>
      </c>
      <c r="S412" s="4">
        <f t="shared" si="20"/>
        <v>2070</v>
      </c>
    </row>
    <row r="413" spans="1:19" ht="17.100000000000001" customHeight="1" x14ac:dyDescent="0.2">
      <c r="A413" s="23"/>
      <c r="B413" s="3" t="str">
        <f ca="1">IF(A413="В заказ",MAX($B$9:OFFSET(B413,-1,0))+1,"")</f>
        <v/>
      </c>
      <c r="C413" s="6" t="str">
        <f t="shared" si="18"/>
        <v>ЛДСП 08 U998 ST38 .</v>
      </c>
      <c r="D413" s="67" t="s">
        <v>1372</v>
      </c>
      <c r="E413" s="67" t="s">
        <v>151</v>
      </c>
      <c r="F413" s="67" t="s">
        <v>1788</v>
      </c>
      <c r="G413" s="68">
        <v>22318</v>
      </c>
      <c r="H413" s="67" t="s">
        <v>152</v>
      </c>
      <c r="I413" s="70">
        <v>1</v>
      </c>
      <c r="J413" s="67" t="s">
        <v>1272</v>
      </c>
      <c r="K413" s="67" t="s">
        <v>1273</v>
      </c>
      <c r="L413" s="67" t="s">
        <v>21</v>
      </c>
      <c r="M413" s="67" t="s">
        <v>238</v>
      </c>
      <c r="N413" s="67" t="s">
        <v>1382</v>
      </c>
      <c r="O413" s="67"/>
      <c r="P413" s="67" t="s">
        <v>19</v>
      </c>
      <c r="Q413" s="69">
        <v>5150</v>
      </c>
      <c r="R413" s="4">
        <f t="shared" si="19"/>
        <v>2800</v>
      </c>
      <c r="S413" s="4">
        <f t="shared" si="20"/>
        <v>2070</v>
      </c>
    </row>
    <row r="414" spans="1:19" ht="17.100000000000001" customHeight="1" x14ac:dyDescent="0.2">
      <c r="A414" s="23"/>
      <c r="B414" s="3" t="str">
        <f ca="1">IF(A414="В заказ",MAX($B$9:OFFSET(B414,-1,0))+1,"")</f>
        <v/>
      </c>
      <c r="C414" s="6" t="str">
        <f t="shared" si="18"/>
        <v>ЛДСП 16 U998 ST38 .</v>
      </c>
      <c r="D414" s="67" t="s">
        <v>1372</v>
      </c>
      <c r="E414" s="67" t="s">
        <v>151</v>
      </c>
      <c r="F414" s="67" t="s">
        <v>1789</v>
      </c>
      <c r="G414" s="68">
        <v>21599</v>
      </c>
      <c r="H414" s="67" t="s">
        <v>152</v>
      </c>
      <c r="I414" s="70">
        <v>1</v>
      </c>
      <c r="J414" s="67" t="s">
        <v>1272</v>
      </c>
      <c r="K414" s="67" t="s">
        <v>1273</v>
      </c>
      <c r="L414" s="67" t="s">
        <v>21</v>
      </c>
      <c r="M414" s="67" t="s">
        <v>238</v>
      </c>
      <c r="N414" s="67" t="s">
        <v>235</v>
      </c>
      <c r="O414" s="67"/>
      <c r="P414" s="67" t="s">
        <v>19</v>
      </c>
      <c r="Q414" s="69">
        <v>5230</v>
      </c>
      <c r="R414" s="4">
        <f t="shared" si="19"/>
        <v>2800</v>
      </c>
      <c r="S414" s="4">
        <f t="shared" si="20"/>
        <v>2070</v>
      </c>
    </row>
    <row r="415" spans="1:19" ht="17.100000000000001" customHeight="1" x14ac:dyDescent="0.2">
      <c r="A415" s="23"/>
      <c r="B415" s="3" t="str">
        <f ca="1">IF(A415="В заказ",MAX($B$9:OFFSET(B415,-1,0))+1,"")</f>
        <v/>
      </c>
      <c r="C415" s="6" t="str">
        <f t="shared" si="18"/>
        <v>ЛДСП 18 U998 ST38 .</v>
      </c>
      <c r="D415" s="67" t="s">
        <v>1372</v>
      </c>
      <c r="E415" s="67" t="s">
        <v>151</v>
      </c>
      <c r="F415" s="67" t="s">
        <v>1790</v>
      </c>
      <c r="G415" s="68">
        <v>24476</v>
      </c>
      <c r="H415" s="67" t="s">
        <v>152</v>
      </c>
      <c r="I415" s="70">
        <v>1</v>
      </c>
      <c r="J415" s="67" t="s">
        <v>1272</v>
      </c>
      <c r="K415" s="67" t="s">
        <v>1273</v>
      </c>
      <c r="L415" s="67" t="s">
        <v>21</v>
      </c>
      <c r="M415" s="67" t="s">
        <v>238</v>
      </c>
      <c r="N415" s="67" t="s">
        <v>1385</v>
      </c>
      <c r="O415" s="67"/>
      <c r="P415" s="67" t="s">
        <v>19</v>
      </c>
      <c r="Q415" s="69">
        <v>5505</v>
      </c>
      <c r="R415" s="4">
        <f t="shared" si="19"/>
        <v>2800</v>
      </c>
      <c r="S415" s="4">
        <f t="shared" si="20"/>
        <v>2070</v>
      </c>
    </row>
    <row r="416" spans="1:19" ht="17.100000000000001" customHeight="1" x14ac:dyDescent="0.2">
      <c r="A416" s="23"/>
      <c r="B416" s="3" t="str">
        <f ca="1">IF(A416="В заказ",MAX($B$9:OFFSET(B416,-1,0))+1,"")</f>
        <v/>
      </c>
      <c r="C416" s="6" t="str">
        <f t="shared" si="18"/>
        <v>ЛДСП 25 U998 ST38 .</v>
      </c>
      <c r="D416" s="67" t="s">
        <v>1372</v>
      </c>
      <c r="E416" s="67" t="s">
        <v>151</v>
      </c>
      <c r="F416" s="67" t="s">
        <v>1791</v>
      </c>
      <c r="G416" s="68">
        <v>22317</v>
      </c>
      <c r="H416" s="67" t="s">
        <v>152</v>
      </c>
      <c r="I416" s="70">
        <v>1</v>
      </c>
      <c r="J416" s="67" t="s">
        <v>1272</v>
      </c>
      <c r="K416" s="67" t="s">
        <v>1273</v>
      </c>
      <c r="L416" s="67" t="s">
        <v>21</v>
      </c>
      <c r="M416" s="67" t="s">
        <v>238</v>
      </c>
      <c r="N416" s="67" t="s">
        <v>1387</v>
      </c>
      <c r="O416" s="67"/>
      <c r="P416" s="67" t="s">
        <v>19</v>
      </c>
      <c r="Q416" s="69">
        <v>6785</v>
      </c>
      <c r="R416" s="4">
        <f t="shared" si="19"/>
        <v>2800</v>
      </c>
      <c r="S416" s="4">
        <f t="shared" si="20"/>
        <v>2070</v>
      </c>
    </row>
    <row r="417" spans="1:19" ht="17.100000000000001" customHeight="1" x14ac:dyDescent="0.2">
      <c r="A417" s="23"/>
      <c r="B417" s="3" t="str">
        <f ca="1">IF(A417="В заказ",MAX($B$9:OFFSET(B417,-1,0))+1,"")</f>
        <v/>
      </c>
      <c r="C417" s="6" t="str">
        <f t="shared" si="18"/>
        <v>ЛДСП 16 U999 ST19 .</v>
      </c>
      <c r="D417" s="67" t="s">
        <v>1372</v>
      </c>
      <c r="E417" s="67" t="s">
        <v>151</v>
      </c>
      <c r="F417" s="67" t="s">
        <v>1792</v>
      </c>
      <c r="G417" s="68">
        <v>21962</v>
      </c>
      <c r="H417" s="67" t="s">
        <v>152</v>
      </c>
      <c r="I417" s="70">
        <v>1</v>
      </c>
      <c r="J417" s="67" t="s">
        <v>219</v>
      </c>
      <c r="K417" s="67" t="s">
        <v>220</v>
      </c>
      <c r="L417" s="67" t="s">
        <v>251</v>
      </c>
      <c r="M417" s="67" t="s">
        <v>238</v>
      </c>
      <c r="N417" s="67" t="s">
        <v>235</v>
      </c>
      <c r="O417" s="67"/>
      <c r="P417" s="67" t="s">
        <v>19</v>
      </c>
      <c r="Q417" s="69">
        <v>4020</v>
      </c>
      <c r="R417" s="4">
        <f t="shared" si="19"/>
        <v>2800</v>
      </c>
      <c r="S417" s="4">
        <f t="shared" si="20"/>
        <v>2070</v>
      </c>
    </row>
    <row r="418" spans="1:19" ht="17.100000000000001" customHeight="1" x14ac:dyDescent="0.2">
      <c r="A418" s="23"/>
      <c r="B418" s="3" t="str">
        <f ca="1">IF(A418="В заказ",MAX($B$9:OFFSET(B418,-1,0))+1,"")</f>
        <v/>
      </c>
      <c r="C418" s="6" t="str">
        <f t="shared" si="18"/>
        <v>ЛДСП 08 U999 ST2 .</v>
      </c>
      <c r="D418" s="67" t="s">
        <v>1372</v>
      </c>
      <c r="E418" s="67" t="s">
        <v>151</v>
      </c>
      <c r="F418" s="67" t="s">
        <v>1793</v>
      </c>
      <c r="G418" s="70">
        <v>244</v>
      </c>
      <c r="H418" s="67" t="s">
        <v>152</v>
      </c>
      <c r="I418" s="200"/>
      <c r="J418" s="67" t="s">
        <v>219</v>
      </c>
      <c r="K418" s="67" t="s">
        <v>220</v>
      </c>
      <c r="L418" s="67" t="s">
        <v>31</v>
      </c>
      <c r="M418" s="67" t="s">
        <v>238</v>
      </c>
      <c r="N418" s="67" t="s">
        <v>1382</v>
      </c>
      <c r="O418" s="67"/>
      <c r="P418" s="67" t="s">
        <v>19</v>
      </c>
      <c r="Q418" s="69">
        <v>3270</v>
      </c>
      <c r="R418" s="4">
        <f t="shared" si="19"/>
        <v>2800</v>
      </c>
      <c r="S418" s="4">
        <f t="shared" si="20"/>
        <v>2070</v>
      </c>
    </row>
    <row r="419" spans="1:19" ht="17.100000000000001" customHeight="1" x14ac:dyDescent="0.2">
      <c r="A419" s="23"/>
      <c r="B419" s="3" t="str">
        <f ca="1">IF(A419="В заказ",MAX($B$9:OFFSET(B419,-1,0))+1,"")</f>
        <v/>
      </c>
      <c r="C419" s="6" t="str">
        <f t="shared" si="18"/>
        <v>ЛДСП 16 U999 ST2 .</v>
      </c>
      <c r="D419" s="67" t="s">
        <v>1372</v>
      </c>
      <c r="E419" s="67" t="s">
        <v>151</v>
      </c>
      <c r="F419" s="67" t="s">
        <v>1794</v>
      </c>
      <c r="G419" s="70">
        <v>20</v>
      </c>
      <c r="H419" s="67" t="s">
        <v>152</v>
      </c>
      <c r="I419" s="200"/>
      <c r="J419" s="67" t="s">
        <v>219</v>
      </c>
      <c r="K419" s="67" t="s">
        <v>220</v>
      </c>
      <c r="L419" s="67" t="s">
        <v>31</v>
      </c>
      <c r="M419" s="67" t="s">
        <v>238</v>
      </c>
      <c r="N419" s="67" t="s">
        <v>235</v>
      </c>
      <c r="O419" s="67"/>
      <c r="P419" s="67" t="s">
        <v>19</v>
      </c>
      <c r="Q419" s="69">
        <v>3355</v>
      </c>
      <c r="R419" s="4">
        <f t="shared" si="19"/>
        <v>2800</v>
      </c>
      <c r="S419" s="4">
        <f t="shared" si="20"/>
        <v>2070</v>
      </c>
    </row>
    <row r="420" spans="1:19" ht="17.100000000000001" customHeight="1" x14ac:dyDescent="0.2">
      <c r="A420" s="23"/>
      <c r="B420" s="3" t="str">
        <f ca="1">IF(A420="В заказ",MAX($B$9:OFFSET(B420,-1,0))+1,"")</f>
        <v/>
      </c>
      <c r="C420" s="6" t="str">
        <f t="shared" si="18"/>
        <v>ЛДСП 18 U999 ST2 .</v>
      </c>
      <c r="D420" s="67" t="s">
        <v>1372</v>
      </c>
      <c r="E420" s="67" t="s">
        <v>151</v>
      </c>
      <c r="F420" s="67" t="s">
        <v>1795</v>
      </c>
      <c r="G420" s="68">
        <v>16449</v>
      </c>
      <c r="H420" s="67" t="s">
        <v>152</v>
      </c>
      <c r="I420" s="200"/>
      <c r="J420" s="67" t="s">
        <v>219</v>
      </c>
      <c r="K420" s="67" t="s">
        <v>220</v>
      </c>
      <c r="L420" s="67" t="s">
        <v>31</v>
      </c>
      <c r="M420" s="67" t="s">
        <v>238</v>
      </c>
      <c r="N420" s="67" t="s">
        <v>1385</v>
      </c>
      <c r="O420" s="67"/>
      <c r="P420" s="67" t="s">
        <v>19</v>
      </c>
      <c r="Q420" s="69">
        <v>3650</v>
      </c>
      <c r="R420" s="4">
        <f t="shared" si="19"/>
        <v>2800</v>
      </c>
      <c r="S420" s="4">
        <f t="shared" si="20"/>
        <v>2070</v>
      </c>
    </row>
    <row r="421" spans="1:19" ht="17.100000000000001" customHeight="1" x14ac:dyDescent="0.2">
      <c r="A421" s="23"/>
      <c r="B421" s="3" t="str">
        <f ca="1">IF(A421="В заказ",MAX($B$9:OFFSET(B421,-1,0))+1,"")</f>
        <v/>
      </c>
      <c r="C421" s="6" t="str">
        <f t="shared" si="18"/>
        <v>ЛДСП 25 U999 ST2 .</v>
      </c>
      <c r="D421" s="67" t="s">
        <v>1372</v>
      </c>
      <c r="E421" s="67" t="s">
        <v>151</v>
      </c>
      <c r="F421" s="67" t="s">
        <v>1796</v>
      </c>
      <c r="G421" s="70">
        <v>288</v>
      </c>
      <c r="H421" s="67" t="s">
        <v>152</v>
      </c>
      <c r="I421" s="200"/>
      <c r="J421" s="67" t="s">
        <v>219</v>
      </c>
      <c r="K421" s="67" t="s">
        <v>220</v>
      </c>
      <c r="L421" s="67" t="s">
        <v>31</v>
      </c>
      <c r="M421" s="67" t="s">
        <v>238</v>
      </c>
      <c r="N421" s="67" t="s">
        <v>1387</v>
      </c>
      <c r="O421" s="67"/>
      <c r="P421" s="67" t="s">
        <v>19</v>
      </c>
      <c r="Q421" s="69">
        <v>4925</v>
      </c>
      <c r="R421" s="4">
        <f t="shared" si="19"/>
        <v>2800</v>
      </c>
      <c r="S421" s="4">
        <f t="shared" si="20"/>
        <v>2070</v>
      </c>
    </row>
    <row r="422" spans="1:19" ht="17.100000000000001" customHeight="1" x14ac:dyDescent="0.2">
      <c r="A422" s="23"/>
      <c r="B422" s="3" t="str">
        <f ca="1">IF(A422="В заказ",MAX($B$9:OFFSET(B422,-1,0))+1,"")</f>
        <v/>
      </c>
      <c r="C422" s="6" t="str">
        <f t="shared" si="18"/>
        <v>ЛДСП 08 AF416 ST10 .</v>
      </c>
      <c r="D422" s="67" t="s">
        <v>1372</v>
      </c>
      <c r="E422" s="67" t="s">
        <v>221</v>
      </c>
      <c r="F422" s="67" t="s">
        <v>1797</v>
      </c>
      <c r="G422" s="68">
        <v>25167</v>
      </c>
      <c r="H422" s="67" t="s">
        <v>222</v>
      </c>
      <c r="I422" s="70">
        <v>1</v>
      </c>
      <c r="J422" s="67" t="s">
        <v>1798</v>
      </c>
      <c r="K422" s="67" t="s">
        <v>1329</v>
      </c>
      <c r="L422" s="67" t="s">
        <v>38</v>
      </c>
      <c r="M422" s="67" t="s">
        <v>238</v>
      </c>
      <c r="N422" s="67" t="s">
        <v>1382</v>
      </c>
      <c r="O422" s="67"/>
      <c r="P422" s="67" t="s">
        <v>19</v>
      </c>
      <c r="Q422" s="69">
        <v>3945</v>
      </c>
      <c r="R422" s="4">
        <f t="shared" si="19"/>
        <v>2800</v>
      </c>
      <c r="S422" s="4">
        <f t="shared" si="20"/>
        <v>2070</v>
      </c>
    </row>
    <row r="423" spans="1:19" ht="17.100000000000001" customHeight="1" x14ac:dyDescent="0.2">
      <c r="A423" s="23"/>
      <c r="B423" s="3" t="str">
        <f ca="1">IF(A423="В заказ",MAX($B$9:OFFSET(B423,-1,0))+1,"")</f>
        <v/>
      </c>
      <c r="C423" s="6" t="str">
        <f t="shared" si="18"/>
        <v>ЛДСП 16 AF416 ST10 .</v>
      </c>
      <c r="D423" s="67" t="s">
        <v>1372</v>
      </c>
      <c r="E423" s="67" t="s">
        <v>221</v>
      </c>
      <c r="F423" s="67" t="s">
        <v>1799</v>
      </c>
      <c r="G423" s="68">
        <v>25162</v>
      </c>
      <c r="H423" s="67" t="s">
        <v>222</v>
      </c>
      <c r="I423" s="70">
        <v>1</v>
      </c>
      <c r="J423" s="67" t="s">
        <v>1798</v>
      </c>
      <c r="K423" s="67" t="s">
        <v>1329</v>
      </c>
      <c r="L423" s="67" t="s">
        <v>38</v>
      </c>
      <c r="M423" s="67" t="s">
        <v>238</v>
      </c>
      <c r="N423" s="67" t="s">
        <v>235</v>
      </c>
      <c r="O423" s="67"/>
      <c r="P423" s="67" t="s">
        <v>19</v>
      </c>
      <c r="Q423" s="69">
        <v>4020</v>
      </c>
      <c r="R423" s="4">
        <f t="shared" si="19"/>
        <v>2800</v>
      </c>
      <c r="S423" s="4">
        <f t="shared" si="20"/>
        <v>2070</v>
      </c>
    </row>
    <row r="424" spans="1:19" ht="17.100000000000001" customHeight="1" x14ac:dyDescent="0.2">
      <c r="A424" s="23"/>
      <c r="B424" s="3" t="str">
        <f ca="1">IF(A424="В заказ",MAX($B$9:OFFSET(B424,-1,0))+1,"")</f>
        <v/>
      </c>
      <c r="C424" s="6" t="str">
        <f t="shared" si="18"/>
        <v>ЛДСП 25 AF416 ST10 .</v>
      </c>
      <c r="D424" s="67" t="s">
        <v>1372</v>
      </c>
      <c r="E424" s="67" t="s">
        <v>221</v>
      </c>
      <c r="F424" s="67" t="s">
        <v>1800</v>
      </c>
      <c r="G424" s="68">
        <v>25168</v>
      </c>
      <c r="H424" s="67" t="s">
        <v>222</v>
      </c>
      <c r="I424" s="70">
        <v>1</v>
      </c>
      <c r="J424" s="67" t="s">
        <v>1798</v>
      </c>
      <c r="K424" s="67" t="s">
        <v>1329</v>
      </c>
      <c r="L424" s="67" t="s">
        <v>38</v>
      </c>
      <c r="M424" s="67" t="s">
        <v>238</v>
      </c>
      <c r="N424" s="67" t="s">
        <v>1387</v>
      </c>
      <c r="O424" s="67"/>
      <c r="P424" s="67" t="s">
        <v>19</v>
      </c>
      <c r="Q424" s="69">
        <v>5505</v>
      </c>
      <c r="R424" s="4">
        <f t="shared" si="19"/>
        <v>2800</v>
      </c>
      <c r="S424" s="4">
        <f t="shared" si="20"/>
        <v>2070</v>
      </c>
    </row>
    <row r="425" spans="1:19" ht="17.100000000000001" customHeight="1" x14ac:dyDescent="0.2">
      <c r="A425" s="23"/>
      <c r="B425" s="3" t="str">
        <f ca="1">IF(A425="В заказ",MAX($B$9:OFFSET(B425,-1,0))+1,"")</f>
        <v/>
      </c>
      <c r="C425" s="6" t="str">
        <f t="shared" si="18"/>
        <v>ЛДСП 08 F186 ST9 .</v>
      </c>
      <c r="D425" s="67" t="s">
        <v>1372</v>
      </c>
      <c r="E425" s="67" t="s">
        <v>221</v>
      </c>
      <c r="F425" s="67" t="s">
        <v>1801</v>
      </c>
      <c r="G425" s="68">
        <v>13943</v>
      </c>
      <c r="H425" s="67" t="s">
        <v>222</v>
      </c>
      <c r="I425" s="70">
        <v>1</v>
      </c>
      <c r="J425" s="67" t="s">
        <v>223</v>
      </c>
      <c r="K425" s="67" t="s">
        <v>224</v>
      </c>
      <c r="L425" s="67" t="s">
        <v>22</v>
      </c>
      <c r="M425" s="67" t="s">
        <v>238</v>
      </c>
      <c r="N425" s="67" t="s">
        <v>1382</v>
      </c>
      <c r="O425" s="67"/>
      <c r="P425" s="67" t="s">
        <v>19</v>
      </c>
      <c r="Q425" s="69">
        <v>3945</v>
      </c>
      <c r="R425" s="4">
        <f t="shared" si="19"/>
        <v>2800</v>
      </c>
      <c r="S425" s="4">
        <f t="shared" si="20"/>
        <v>2070</v>
      </c>
    </row>
    <row r="426" spans="1:19" ht="17.100000000000001" customHeight="1" x14ac:dyDescent="0.2">
      <c r="A426" s="23"/>
      <c r="B426" s="3" t="str">
        <f ca="1">IF(A426="В заказ",MAX($B$9:OFFSET(B426,-1,0))+1,"")</f>
        <v/>
      </c>
      <c r="C426" s="6" t="str">
        <f t="shared" si="18"/>
        <v>ЛДСП 16 F186 ST9 .</v>
      </c>
      <c r="D426" s="67" t="s">
        <v>1372</v>
      </c>
      <c r="E426" s="67" t="s">
        <v>221</v>
      </c>
      <c r="F426" s="67" t="s">
        <v>1802</v>
      </c>
      <c r="G426" s="68">
        <v>12552</v>
      </c>
      <c r="H426" s="67" t="s">
        <v>222</v>
      </c>
      <c r="I426" s="70">
        <v>1</v>
      </c>
      <c r="J426" s="67" t="s">
        <v>223</v>
      </c>
      <c r="K426" s="67" t="s">
        <v>224</v>
      </c>
      <c r="L426" s="67" t="s">
        <v>22</v>
      </c>
      <c r="M426" s="67" t="s">
        <v>238</v>
      </c>
      <c r="N426" s="67" t="s">
        <v>235</v>
      </c>
      <c r="O426" s="67"/>
      <c r="P426" s="67" t="s">
        <v>19</v>
      </c>
      <c r="Q426" s="69">
        <v>4020</v>
      </c>
      <c r="R426" s="4">
        <f t="shared" si="19"/>
        <v>2800</v>
      </c>
      <c r="S426" s="4">
        <f t="shared" si="20"/>
        <v>2070</v>
      </c>
    </row>
    <row r="427" spans="1:19" ht="17.100000000000001" customHeight="1" x14ac:dyDescent="0.2">
      <c r="A427" s="23"/>
      <c r="B427" s="3" t="str">
        <f ca="1">IF(A427="В заказ",MAX($B$9:OFFSET(B427,-1,0))+1,"")</f>
        <v/>
      </c>
      <c r="C427" s="6" t="str">
        <f t="shared" si="18"/>
        <v>ЛДСП 18 F186 ST9 .</v>
      </c>
      <c r="D427" s="67" t="s">
        <v>1372</v>
      </c>
      <c r="E427" s="67" t="s">
        <v>221</v>
      </c>
      <c r="F427" s="67" t="s">
        <v>1803</v>
      </c>
      <c r="G427" s="68">
        <v>23146</v>
      </c>
      <c r="H427" s="67" t="s">
        <v>222</v>
      </c>
      <c r="I427" s="70">
        <v>1</v>
      </c>
      <c r="J427" s="67" t="s">
        <v>223</v>
      </c>
      <c r="K427" s="67" t="s">
        <v>224</v>
      </c>
      <c r="L427" s="67" t="s">
        <v>22</v>
      </c>
      <c r="M427" s="67" t="s">
        <v>238</v>
      </c>
      <c r="N427" s="67" t="s">
        <v>1385</v>
      </c>
      <c r="O427" s="67"/>
      <c r="P427" s="67" t="s">
        <v>19</v>
      </c>
      <c r="Q427" s="69">
        <v>4290</v>
      </c>
      <c r="R427" s="4">
        <f t="shared" si="19"/>
        <v>2800</v>
      </c>
      <c r="S427" s="4">
        <f t="shared" si="20"/>
        <v>2070</v>
      </c>
    </row>
    <row r="428" spans="1:19" ht="17.100000000000001" customHeight="1" x14ac:dyDescent="0.2">
      <c r="A428" s="23"/>
      <c r="B428" s="3" t="str">
        <f ca="1">IF(A428="В заказ",MAX($B$9:OFFSET(B428,-1,0))+1,"")</f>
        <v/>
      </c>
      <c r="C428" s="6" t="str">
        <f t="shared" si="18"/>
        <v>ЛДСП 25 F186 ST9 .</v>
      </c>
      <c r="D428" s="67" t="s">
        <v>1372</v>
      </c>
      <c r="E428" s="67" t="s">
        <v>221</v>
      </c>
      <c r="F428" s="67" t="s">
        <v>1804</v>
      </c>
      <c r="G428" s="68">
        <v>13944</v>
      </c>
      <c r="H428" s="67" t="s">
        <v>222</v>
      </c>
      <c r="I428" s="70">
        <v>1</v>
      </c>
      <c r="J428" s="67" t="s">
        <v>223</v>
      </c>
      <c r="K428" s="67" t="s">
        <v>224</v>
      </c>
      <c r="L428" s="67" t="s">
        <v>22</v>
      </c>
      <c r="M428" s="67" t="s">
        <v>238</v>
      </c>
      <c r="N428" s="67" t="s">
        <v>1387</v>
      </c>
      <c r="O428" s="67"/>
      <c r="P428" s="67" t="s">
        <v>19</v>
      </c>
      <c r="Q428" s="69">
        <v>5505</v>
      </c>
      <c r="R428" s="4">
        <f t="shared" si="19"/>
        <v>2800</v>
      </c>
      <c r="S428" s="4">
        <f t="shared" si="20"/>
        <v>2070</v>
      </c>
    </row>
    <row r="429" spans="1:19" ht="17.100000000000001" customHeight="1" x14ac:dyDescent="0.2">
      <c r="A429" s="23"/>
      <c r="B429" s="3" t="str">
        <f ca="1">IF(A429="В заказ",MAX($B$9:OFFSET(B429,-1,0))+1,"")</f>
        <v/>
      </c>
      <c r="C429" s="6" t="str">
        <f t="shared" si="18"/>
        <v>ЛДСП 08 F187 ST9 .</v>
      </c>
      <c r="D429" s="67" t="s">
        <v>1372</v>
      </c>
      <c r="E429" s="67" t="s">
        <v>221</v>
      </c>
      <c r="F429" s="67" t="s">
        <v>1805</v>
      </c>
      <c r="G429" s="68">
        <v>13945</v>
      </c>
      <c r="H429" s="67" t="s">
        <v>222</v>
      </c>
      <c r="I429" s="70">
        <v>1</v>
      </c>
      <c r="J429" s="67" t="s">
        <v>225</v>
      </c>
      <c r="K429" s="67" t="s">
        <v>226</v>
      </c>
      <c r="L429" s="67" t="s">
        <v>22</v>
      </c>
      <c r="M429" s="67" t="s">
        <v>238</v>
      </c>
      <c r="N429" s="67" t="s">
        <v>1382</v>
      </c>
      <c r="O429" s="67"/>
      <c r="P429" s="67" t="s">
        <v>19</v>
      </c>
      <c r="Q429" s="69">
        <v>3945</v>
      </c>
      <c r="R429" s="4">
        <f t="shared" si="19"/>
        <v>2800</v>
      </c>
      <c r="S429" s="4">
        <f t="shared" si="20"/>
        <v>2070</v>
      </c>
    </row>
    <row r="430" spans="1:19" ht="17.100000000000001" customHeight="1" x14ac:dyDescent="0.2">
      <c r="A430" s="23"/>
      <c r="B430" s="3" t="str">
        <f ca="1">IF(A430="В заказ",MAX($B$9:OFFSET(B430,-1,0))+1,"")</f>
        <v/>
      </c>
      <c r="C430" s="6" t="str">
        <f t="shared" si="18"/>
        <v>ЛДСП 16 F187 ST9 .</v>
      </c>
      <c r="D430" s="67" t="s">
        <v>1372</v>
      </c>
      <c r="E430" s="67" t="s">
        <v>221</v>
      </c>
      <c r="F430" s="67" t="s">
        <v>1806</v>
      </c>
      <c r="G430" s="68">
        <v>13110</v>
      </c>
      <c r="H430" s="67" t="s">
        <v>222</v>
      </c>
      <c r="I430" s="70">
        <v>1</v>
      </c>
      <c r="J430" s="67" t="s">
        <v>225</v>
      </c>
      <c r="K430" s="67" t="s">
        <v>226</v>
      </c>
      <c r="L430" s="67" t="s">
        <v>22</v>
      </c>
      <c r="M430" s="67" t="s">
        <v>238</v>
      </c>
      <c r="N430" s="67" t="s">
        <v>235</v>
      </c>
      <c r="O430" s="67"/>
      <c r="P430" s="67" t="s">
        <v>19</v>
      </c>
      <c r="Q430" s="69">
        <v>4020</v>
      </c>
      <c r="R430" s="4">
        <f t="shared" si="19"/>
        <v>2800</v>
      </c>
      <c r="S430" s="4">
        <f t="shared" si="20"/>
        <v>2070</v>
      </c>
    </row>
    <row r="431" spans="1:19" ht="17.100000000000001" customHeight="1" x14ac:dyDescent="0.2">
      <c r="A431" s="23"/>
      <c r="B431" s="3" t="str">
        <f ca="1">IF(A431="В заказ",MAX($B$9:OFFSET(B431,-1,0))+1,"")</f>
        <v/>
      </c>
      <c r="C431" s="6" t="str">
        <f t="shared" si="18"/>
        <v>ЛДСП 18 F187 ST9 .</v>
      </c>
      <c r="D431" s="67" t="s">
        <v>1372</v>
      </c>
      <c r="E431" s="67" t="s">
        <v>221</v>
      </c>
      <c r="F431" s="67" t="s">
        <v>1807</v>
      </c>
      <c r="G431" s="68">
        <v>23266</v>
      </c>
      <c r="H431" s="67" t="s">
        <v>222</v>
      </c>
      <c r="I431" s="70">
        <v>1</v>
      </c>
      <c r="J431" s="67" t="s">
        <v>225</v>
      </c>
      <c r="K431" s="67" t="s">
        <v>226</v>
      </c>
      <c r="L431" s="67" t="s">
        <v>22</v>
      </c>
      <c r="M431" s="67" t="s">
        <v>238</v>
      </c>
      <c r="N431" s="67" t="s">
        <v>1385</v>
      </c>
      <c r="O431" s="67"/>
      <c r="P431" s="67" t="s">
        <v>19</v>
      </c>
      <c r="Q431" s="69">
        <v>4290</v>
      </c>
      <c r="R431" s="4">
        <f t="shared" si="19"/>
        <v>2800</v>
      </c>
      <c r="S431" s="4">
        <f t="shared" si="20"/>
        <v>2070</v>
      </c>
    </row>
    <row r="432" spans="1:19" ht="17.100000000000001" customHeight="1" x14ac:dyDescent="0.2">
      <c r="A432" s="23"/>
      <c r="B432" s="3" t="str">
        <f ca="1">IF(A432="В заказ",MAX($B$9:OFFSET(B432,-1,0))+1,"")</f>
        <v/>
      </c>
      <c r="C432" s="6" t="str">
        <f t="shared" si="18"/>
        <v>ЛДСП 25 F187 ST9 .</v>
      </c>
      <c r="D432" s="67" t="s">
        <v>1372</v>
      </c>
      <c r="E432" s="67" t="s">
        <v>221</v>
      </c>
      <c r="F432" s="67" t="s">
        <v>1808</v>
      </c>
      <c r="G432" s="68">
        <v>13946</v>
      </c>
      <c r="H432" s="67" t="s">
        <v>222</v>
      </c>
      <c r="I432" s="70">
        <v>1</v>
      </c>
      <c r="J432" s="67" t="s">
        <v>225</v>
      </c>
      <c r="K432" s="67" t="s">
        <v>226</v>
      </c>
      <c r="L432" s="67" t="s">
        <v>22</v>
      </c>
      <c r="M432" s="67" t="s">
        <v>238</v>
      </c>
      <c r="N432" s="67" t="s">
        <v>1387</v>
      </c>
      <c r="O432" s="67"/>
      <c r="P432" s="67" t="s">
        <v>19</v>
      </c>
      <c r="Q432" s="69">
        <v>5505</v>
      </c>
      <c r="R432" s="4">
        <f t="shared" si="19"/>
        <v>2800</v>
      </c>
      <c r="S432" s="4">
        <f t="shared" si="20"/>
        <v>2070</v>
      </c>
    </row>
    <row r="433" spans="1:19" ht="17.100000000000001" customHeight="1" x14ac:dyDescent="0.2">
      <c r="A433" s="23"/>
      <c r="B433" s="3" t="str">
        <f ca="1">IF(A433="В заказ",MAX($B$9:OFFSET(B433,-1,0))+1,"")</f>
        <v/>
      </c>
      <c r="C433" s="6" t="str">
        <f t="shared" si="18"/>
        <v>ЛДСП 16 F204 ST9 .</v>
      </c>
      <c r="D433" s="67" t="s">
        <v>1372</v>
      </c>
      <c r="E433" s="67" t="s">
        <v>221</v>
      </c>
      <c r="F433" s="67" t="s">
        <v>1809</v>
      </c>
      <c r="G433" s="68">
        <v>21633</v>
      </c>
      <c r="H433" s="67" t="s">
        <v>222</v>
      </c>
      <c r="I433" s="70">
        <v>1</v>
      </c>
      <c r="J433" s="67" t="s">
        <v>1317</v>
      </c>
      <c r="K433" s="67" t="s">
        <v>1318</v>
      </c>
      <c r="L433" s="67" t="s">
        <v>22</v>
      </c>
      <c r="M433" s="67" t="s">
        <v>238</v>
      </c>
      <c r="N433" s="67" t="s">
        <v>235</v>
      </c>
      <c r="O433" s="67"/>
      <c r="P433" s="67" t="s">
        <v>19</v>
      </c>
      <c r="Q433" s="69">
        <v>4285</v>
      </c>
      <c r="R433" s="4">
        <f t="shared" si="19"/>
        <v>2800</v>
      </c>
      <c r="S433" s="4">
        <f t="shared" si="20"/>
        <v>2070</v>
      </c>
    </row>
    <row r="434" spans="1:19" ht="17.100000000000001" customHeight="1" x14ac:dyDescent="0.2">
      <c r="A434" s="23"/>
      <c r="B434" s="3" t="str">
        <f ca="1">IF(A434="В заказ",MAX($B$9:OFFSET(B434,-1,0))+1,"")</f>
        <v/>
      </c>
      <c r="C434" s="6" t="str">
        <f t="shared" si="18"/>
        <v>ЛДСП 16 F206 ST9 .</v>
      </c>
      <c r="D434" s="67" t="s">
        <v>1372</v>
      </c>
      <c r="E434" s="67" t="s">
        <v>221</v>
      </c>
      <c r="F434" s="67" t="s">
        <v>1810</v>
      </c>
      <c r="G434" s="68">
        <v>21634</v>
      </c>
      <c r="H434" s="67" t="s">
        <v>222</v>
      </c>
      <c r="I434" s="70">
        <v>1</v>
      </c>
      <c r="J434" s="67" t="s">
        <v>1322</v>
      </c>
      <c r="K434" s="67" t="s">
        <v>1323</v>
      </c>
      <c r="L434" s="67" t="s">
        <v>22</v>
      </c>
      <c r="M434" s="67" t="s">
        <v>238</v>
      </c>
      <c r="N434" s="67" t="s">
        <v>235</v>
      </c>
      <c r="O434" s="67"/>
      <c r="P434" s="67" t="s">
        <v>19</v>
      </c>
      <c r="Q434" s="69">
        <v>4285</v>
      </c>
      <c r="R434" s="4">
        <f t="shared" si="19"/>
        <v>2800</v>
      </c>
      <c r="S434" s="4">
        <f t="shared" si="20"/>
        <v>2070</v>
      </c>
    </row>
    <row r="435" spans="1:19" ht="17.100000000000001" customHeight="1" x14ac:dyDescent="0.2">
      <c r="A435" s="23"/>
      <c r="B435" s="3" t="str">
        <f ca="1">IF(A435="В заказ",MAX($B$9:OFFSET(B435,-1,0))+1,"")</f>
        <v/>
      </c>
      <c r="C435" s="6" t="str">
        <f t="shared" si="18"/>
        <v>ЛДСП 16 F302 ST87 .</v>
      </c>
      <c r="D435" s="67" t="s">
        <v>1372</v>
      </c>
      <c r="E435" s="67" t="s">
        <v>221</v>
      </c>
      <c r="F435" s="67" t="s">
        <v>1811</v>
      </c>
      <c r="G435" s="68">
        <v>13750</v>
      </c>
      <c r="H435" s="67" t="s">
        <v>222</v>
      </c>
      <c r="I435" s="70">
        <v>1</v>
      </c>
      <c r="J435" s="67" t="s">
        <v>227</v>
      </c>
      <c r="K435" s="67" t="s">
        <v>228</v>
      </c>
      <c r="L435" s="67" t="s">
        <v>229</v>
      </c>
      <c r="M435" s="67" t="s">
        <v>238</v>
      </c>
      <c r="N435" s="67" t="s">
        <v>235</v>
      </c>
      <c r="O435" s="67"/>
      <c r="P435" s="67" t="s">
        <v>19</v>
      </c>
      <c r="Q435" s="69">
        <v>11155</v>
      </c>
      <c r="R435" s="4">
        <f t="shared" si="19"/>
        <v>2800</v>
      </c>
      <c r="S435" s="4">
        <f t="shared" si="20"/>
        <v>2070</v>
      </c>
    </row>
    <row r="436" spans="1:19" ht="17.100000000000001" customHeight="1" x14ac:dyDescent="0.2">
      <c r="A436" s="23"/>
      <c r="B436" s="3" t="str">
        <f ca="1">IF(A436="В заказ",MAX($B$9:OFFSET(B436,-1,0))+1,"")</f>
        <v/>
      </c>
      <c r="C436" s="6" t="str">
        <f t="shared" si="18"/>
        <v>ЛДСП 16 F433 ST10 .</v>
      </c>
      <c r="D436" s="67" t="s">
        <v>1372</v>
      </c>
      <c r="E436" s="67" t="s">
        <v>221</v>
      </c>
      <c r="F436" s="67" t="s">
        <v>1812</v>
      </c>
      <c r="G436" s="68">
        <v>13269</v>
      </c>
      <c r="H436" s="67" t="s">
        <v>222</v>
      </c>
      <c r="I436" s="70">
        <v>1</v>
      </c>
      <c r="J436" s="67" t="s">
        <v>1336</v>
      </c>
      <c r="K436" s="67" t="s">
        <v>1337</v>
      </c>
      <c r="L436" s="67" t="s">
        <v>38</v>
      </c>
      <c r="M436" s="67" t="s">
        <v>238</v>
      </c>
      <c r="N436" s="67" t="s">
        <v>235</v>
      </c>
      <c r="O436" s="67"/>
      <c r="P436" s="67" t="s">
        <v>19</v>
      </c>
      <c r="Q436" s="69">
        <v>4020</v>
      </c>
      <c r="R436" s="4">
        <f t="shared" si="19"/>
        <v>2800</v>
      </c>
      <c r="S436" s="4">
        <f t="shared" si="20"/>
        <v>2070</v>
      </c>
    </row>
    <row r="437" spans="1:19" ht="17.100000000000001" customHeight="1" x14ac:dyDescent="0.2">
      <c r="A437" s="23"/>
      <c r="B437" s="3" t="str">
        <f ca="1">IF(A437="В заказ",MAX($B$9:OFFSET(B437,-1,0))+1,"")</f>
        <v/>
      </c>
      <c r="C437" s="6" t="str">
        <f t="shared" si="18"/>
        <v>ЛДСП 08 F501 ST2 .</v>
      </c>
      <c r="D437" s="67" t="s">
        <v>1372</v>
      </c>
      <c r="E437" s="67" t="s">
        <v>221</v>
      </c>
      <c r="F437" s="67" t="s">
        <v>1813</v>
      </c>
      <c r="G437" s="70">
        <v>334</v>
      </c>
      <c r="H437" s="67" t="s">
        <v>222</v>
      </c>
      <c r="I437" s="70">
        <v>1</v>
      </c>
      <c r="J437" s="67" t="s">
        <v>230</v>
      </c>
      <c r="K437" s="67" t="s">
        <v>231</v>
      </c>
      <c r="L437" s="67" t="s">
        <v>31</v>
      </c>
      <c r="M437" s="67" t="s">
        <v>238</v>
      </c>
      <c r="N437" s="67" t="s">
        <v>1382</v>
      </c>
      <c r="O437" s="67"/>
      <c r="P437" s="67" t="s">
        <v>19</v>
      </c>
      <c r="Q437" s="69">
        <v>3745</v>
      </c>
      <c r="R437" s="4">
        <f t="shared" si="19"/>
        <v>2800</v>
      </c>
      <c r="S437" s="4">
        <f t="shared" si="20"/>
        <v>2070</v>
      </c>
    </row>
    <row r="438" spans="1:19" ht="17.100000000000001" customHeight="1" x14ac:dyDescent="0.2">
      <c r="A438" s="23"/>
      <c r="B438" s="3" t="str">
        <f ca="1">IF(A438="В заказ",MAX($B$9:OFFSET(B438,-1,0))+1,"")</f>
        <v/>
      </c>
      <c r="C438" s="6" t="str">
        <f t="shared" si="18"/>
        <v>ЛДСП 16 F501 ST2 .</v>
      </c>
      <c r="D438" s="67" t="s">
        <v>1372</v>
      </c>
      <c r="E438" s="67" t="s">
        <v>221</v>
      </c>
      <c r="F438" s="67" t="s">
        <v>1814</v>
      </c>
      <c r="G438" s="70">
        <v>14</v>
      </c>
      <c r="H438" s="67" t="s">
        <v>222</v>
      </c>
      <c r="I438" s="70">
        <v>1</v>
      </c>
      <c r="J438" s="67" t="s">
        <v>230</v>
      </c>
      <c r="K438" s="67" t="s">
        <v>231</v>
      </c>
      <c r="L438" s="67" t="s">
        <v>31</v>
      </c>
      <c r="M438" s="67" t="s">
        <v>238</v>
      </c>
      <c r="N438" s="67" t="s">
        <v>235</v>
      </c>
      <c r="O438" s="67"/>
      <c r="P438" s="67" t="s">
        <v>19</v>
      </c>
      <c r="Q438" s="69">
        <v>3830</v>
      </c>
      <c r="R438" s="4">
        <f t="shared" si="19"/>
        <v>2800</v>
      </c>
      <c r="S438" s="4">
        <f t="shared" si="20"/>
        <v>2070</v>
      </c>
    </row>
    <row r="439" spans="1:19" ht="17.100000000000001" customHeight="1" x14ac:dyDescent="0.2">
      <c r="A439" s="23"/>
      <c r="B439" s="3" t="str">
        <f ca="1">IF(A439="В заказ",MAX($B$9:OFFSET(B439,-1,0))+1,"")</f>
        <v/>
      </c>
      <c r="C439" s="6" t="str">
        <f t="shared" si="18"/>
        <v>ЛДСП 25 F501 ST2 .</v>
      </c>
      <c r="D439" s="67" t="s">
        <v>1372</v>
      </c>
      <c r="E439" s="67" t="s">
        <v>221</v>
      </c>
      <c r="F439" s="67" t="s">
        <v>1815</v>
      </c>
      <c r="G439" s="70">
        <v>624</v>
      </c>
      <c r="H439" s="67" t="s">
        <v>222</v>
      </c>
      <c r="I439" s="70">
        <v>1</v>
      </c>
      <c r="J439" s="67" t="s">
        <v>230</v>
      </c>
      <c r="K439" s="67" t="s">
        <v>231</v>
      </c>
      <c r="L439" s="67" t="s">
        <v>31</v>
      </c>
      <c r="M439" s="67" t="s">
        <v>238</v>
      </c>
      <c r="N439" s="67" t="s">
        <v>1387</v>
      </c>
      <c r="O439" s="67"/>
      <c r="P439" s="67" t="s">
        <v>19</v>
      </c>
      <c r="Q439" s="69">
        <v>5350</v>
      </c>
      <c r="R439" s="4">
        <f t="shared" si="19"/>
        <v>2800</v>
      </c>
      <c r="S439" s="4">
        <f t="shared" si="20"/>
        <v>2070</v>
      </c>
    </row>
    <row r="440" spans="1:19" ht="17.100000000000001" customHeight="1" x14ac:dyDescent="0.2">
      <c r="A440" s="23"/>
      <c r="B440" s="3" t="str">
        <f ca="1">IF(A440="В заказ",MAX($B$9:OFFSET(B440,-1,0))+1,"")</f>
        <v/>
      </c>
      <c r="C440" s="6" t="str">
        <f t="shared" si="18"/>
        <v>ЛДСП 08 F509 ST2 .</v>
      </c>
      <c r="D440" s="67" t="s">
        <v>1372</v>
      </c>
      <c r="E440" s="67" t="s">
        <v>221</v>
      </c>
      <c r="F440" s="67" t="s">
        <v>1816</v>
      </c>
      <c r="G440" s="70">
        <v>545</v>
      </c>
      <c r="H440" s="67" t="s">
        <v>222</v>
      </c>
      <c r="I440" s="200"/>
      <c r="J440" s="67" t="s">
        <v>232</v>
      </c>
      <c r="K440" s="67" t="s">
        <v>11</v>
      </c>
      <c r="L440" s="67" t="s">
        <v>31</v>
      </c>
      <c r="M440" s="67" t="s">
        <v>238</v>
      </c>
      <c r="N440" s="67" t="s">
        <v>1382</v>
      </c>
      <c r="O440" s="67"/>
      <c r="P440" s="67" t="s">
        <v>19</v>
      </c>
      <c r="Q440" s="69">
        <v>3745</v>
      </c>
      <c r="R440" s="4">
        <f t="shared" si="19"/>
        <v>2800</v>
      </c>
      <c r="S440" s="4">
        <f t="shared" si="20"/>
        <v>2070</v>
      </c>
    </row>
    <row r="441" spans="1:19" ht="17.100000000000001" customHeight="1" x14ac:dyDescent="0.2">
      <c r="A441" s="23"/>
      <c r="B441" s="3" t="str">
        <f ca="1">IF(A441="В заказ",MAX($B$9:OFFSET(B441,-1,0))+1,"")</f>
        <v/>
      </c>
      <c r="C441" s="6" t="str">
        <f t="shared" si="18"/>
        <v>ЛДСП 16 F509 ST2 .</v>
      </c>
      <c r="D441" s="67" t="s">
        <v>1372</v>
      </c>
      <c r="E441" s="67" t="s">
        <v>221</v>
      </c>
      <c r="F441" s="67" t="s">
        <v>1817</v>
      </c>
      <c r="G441" s="70">
        <v>18</v>
      </c>
      <c r="H441" s="67" t="s">
        <v>222</v>
      </c>
      <c r="I441" s="200"/>
      <c r="J441" s="67" t="s">
        <v>232</v>
      </c>
      <c r="K441" s="67" t="s">
        <v>11</v>
      </c>
      <c r="L441" s="67" t="s">
        <v>31</v>
      </c>
      <c r="M441" s="67" t="s">
        <v>238</v>
      </c>
      <c r="N441" s="67" t="s">
        <v>235</v>
      </c>
      <c r="O441" s="67"/>
      <c r="P441" s="67" t="s">
        <v>19</v>
      </c>
      <c r="Q441" s="69">
        <v>3830</v>
      </c>
      <c r="R441" s="4">
        <f t="shared" si="19"/>
        <v>2800</v>
      </c>
      <c r="S441" s="4">
        <f t="shared" si="20"/>
        <v>2070</v>
      </c>
    </row>
    <row r="442" spans="1:19" ht="17.100000000000001" customHeight="1" x14ac:dyDescent="0.2">
      <c r="A442" s="23"/>
      <c r="B442" s="3" t="str">
        <f ca="1">IF(A442="В заказ",MAX($B$9:OFFSET(B442,-1,0))+1,"")</f>
        <v/>
      </c>
      <c r="C442" s="6" t="str">
        <f t="shared" si="18"/>
        <v>ЛДСП 25 F509 ST2 .</v>
      </c>
      <c r="D442" s="67" t="s">
        <v>1372</v>
      </c>
      <c r="E442" s="67" t="s">
        <v>221</v>
      </c>
      <c r="F442" s="67" t="s">
        <v>1818</v>
      </c>
      <c r="G442" s="70">
        <v>570</v>
      </c>
      <c r="H442" s="67" t="s">
        <v>222</v>
      </c>
      <c r="I442" s="200"/>
      <c r="J442" s="67" t="s">
        <v>232</v>
      </c>
      <c r="K442" s="67" t="s">
        <v>11</v>
      </c>
      <c r="L442" s="67" t="s">
        <v>31</v>
      </c>
      <c r="M442" s="67" t="s">
        <v>238</v>
      </c>
      <c r="N442" s="67" t="s">
        <v>1387</v>
      </c>
      <c r="O442" s="67"/>
      <c r="P442" s="67" t="s">
        <v>19</v>
      </c>
      <c r="Q442" s="69">
        <v>5350</v>
      </c>
      <c r="R442" s="4">
        <f t="shared" si="19"/>
        <v>2800</v>
      </c>
      <c r="S442" s="4">
        <f t="shared" si="20"/>
        <v>2070</v>
      </c>
    </row>
    <row r="443" spans="1:19" ht="17.100000000000001" customHeight="1" x14ac:dyDescent="0.2">
      <c r="A443" s="23"/>
      <c r="B443" s="3" t="str">
        <f ca="1">IF(A443="В заказ",MAX($B$9:OFFSET(B443,-1,0))+1,"")</f>
        <v/>
      </c>
      <c r="C443" s="6" t="str">
        <f t="shared" si="18"/>
        <v>ЛДСП 16 F637 ST16 .</v>
      </c>
      <c r="D443" s="67" t="s">
        <v>1372</v>
      </c>
      <c r="E443" s="67" t="s">
        <v>221</v>
      </c>
      <c r="F443" s="67" t="s">
        <v>1819</v>
      </c>
      <c r="G443" s="68">
        <v>22065</v>
      </c>
      <c r="H443" s="67" t="s">
        <v>222</v>
      </c>
      <c r="I443" s="70">
        <v>1</v>
      </c>
      <c r="J443" s="67" t="s">
        <v>1357</v>
      </c>
      <c r="K443" s="67" t="s">
        <v>1358</v>
      </c>
      <c r="L443" s="67" t="s">
        <v>1205</v>
      </c>
      <c r="M443" s="67" t="s">
        <v>238</v>
      </c>
      <c r="N443" s="67" t="s">
        <v>235</v>
      </c>
      <c r="O443" s="67"/>
      <c r="P443" s="67" t="s">
        <v>19</v>
      </c>
      <c r="Q443" s="69">
        <v>4020</v>
      </c>
      <c r="R443" s="4">
        <f t="shared" si="19"/>
        <v>2800</v>
      </c>
      <c r="S443" s="4">
        <f t="shared" si="20"/>
        <v>2070</v>
      </c>
    </row>
    <row r="444" spans="1:19" ht="17.100000000000001" customHeight="1" x14ac:dyDescent="0.2">
      <c r="A444" s="23"/>
      <c r="B444" s="3" t="str">
        <f ca="1">IF(A444="В заказ",MAX($B$9:OFFSET(B444,-1,0))+1,"")</f>
        <v/>
      </c>
      <c r="C444" s="6" t="str">
        <f t="shared" si="18"/>
        <v>ЛДСП 16 F642 ST16 .</v>
      </c>
      <c r="D444" s="67" t="s">
        <v>1372</v>
      </c>
      <c r="E444" s="67" t="s">
        <v>221</v>
      </c>
      <c r="F444" s="67" t="s">
        <v>1820</v>
      </c>
      <c r="G444" s="68">
        <v>21921</v>
      </c>
      <c r="H444" s="67" t="s">
        <v>222</v>
      </c>
      <c r="I444" s="70">
        <v>1</v>
      </c>
      <c r="J444" s="67" t="s">
        <v>1362</v>
      </c>
      <c r="K444" s="67" t="s">
        <v>1363</v>
      </c>
      <c r="L444" s="67" t="s">
        <v>1205</v>
      </c>
      <c r="M444" s="67" t="s">
        <v>238</v>
      </c>
      <c r="N444" s="67" t="s">
        <v>235</v>
      </c>
      <c r="O444" s="67"/>
      <c r="P444" s="67" t="s">
        <v>19</v>
      </c>
      <c r="Q444" s="69">
        <v>4020</v>
      </c>
      <c r="R444" s="4">
        <f t="shared" si="19"/>
        <v>2800</v>
      </c>
      <c r="S444" s="4">
        <f t="shared" si="20"/>
        <v>2070</v>
      </c>
    </row>
    <row r="445" spans="1:19" ht="17.100000000000001" customHeight="1" x14ac:dyDescent="0.2">
      <c r="A445" s="23"/>
      <c r="B445" s="3" t="str">
        <f ca="1">IF(A445="В заказ",MAX($B$9:OFFSET(B445,-1,0))+1,"")</f>
        <v/>
      </c>
      <c r="C445" s="6" t="str">
        <f t="shared" si="18"/>
        <v>ЛДСП 16 F812 ST9 .</v>
      </c>
      <c r="D445" s="67" t="s">
        <v>1372</v>
      </c>
      <c r="E445" s="67" t="s">
        <v>221</v>
      </c>
      <c r="F445" s="67" t="s">
        <v>1821</v>
      </c>
      <c r="G445" s="68">
        <v>21956</v>
      </c>
      <c r="H445" s="67" t="s">
        <v>222</v>
      </c>
      <c r="I445" s="70">
        <v>1</v>
      </c>
      <c r="J445" s="67" t="s">
        <v>1367</v>
      </c>
      <c r="K445" s="67" t="s">
        <v>1368</v>
      </c>
      <c r="L445" s="67" t="s">
        <v>22</v>
      </c>
      <c r="M445" s="67" t="s">
        <v>238</v>
      </c>
      <c r="N445" s="67" t="s">
        <v>235</v>
      </c>
      <c r="O445" s="67"/>
      <c r="P445" s="67" t="s">
        <v>19</v>
      </c>
      <c r="Q445" s="69">
        <v>4020</v>
      </c>
      <c r="R445" s="4">
        <f t="shared" si="19"/>
        <v>2800</v>
      </c>
      <c r="S445" s="4">
        <f t="shared" si="20"/>
        <v>2070</v>
      </c>
    </row>
    <row r="446" spans="1:19" ht="17.100000000000001" customHeight="1" x14ac:dyDescent="0.2">
      <c r="A446" s="23"/>
      <c r="B446" s="3" t="str">
        <f ca="1">IF(A446="В заказ",MAX($B$9:OFFSET(B446,-1,0))+1,"")</f>
        <v/>
      </c>
      <c r="C446" s="6" t="str">
        <f t="shared" si="18"/>
        <v>ЛДСП PS 18 H1186 TM37/ST37 с защитной пленкой.</v>
      </c>
      <c r="D446" s="67" t="s">
        <v>1822</v>
      </c>
      <c r="E446" s="67" t="s">
        <v>34</v>
      </c>
      <c r="F446" s="67" t="s">
        <v>2038</v>
      </c>
      <c r="G446" s="68">
        <v>24412</v>
      </c>
      <c r="H446" s="67" t="s">
        <v>1823</v>
      </c>
      <c r="I446" s="70">
        <v>1</v>
      </c>
      <c r="J446" s="67" t="s">
        <v>439</v>
      </c>
      <c r="K446" s="67" t="s">
        <v>440</v>
      </c>
      <c r="L446" s="67" t="s">
        <v>1824</v>
      </c>
      <c r="M446" s="67" t="s">
        <v>238</v>
      </c>
      <c r="N446" s="67" t="s">
        <v>1385</v>
      </c>
      <c r="O446" s="67" t="s">
        <v>2039</v>
      </c>
      <c r="P446" s="67" t="s">
        <v>19</v>
      </c>
      <c r="Q446" s="69">
        <v>18590</v>
      </c>
      <c r="R446" s="4">
        <f t="shared" si="19"/>
        <v>2800</v>
      </c>
      <c r="S446" s="4">
        <f t="shared" si="20"/>
        <v>2070</v>
      </c>
    </row>
    <row r="447" spans="1:19" ht="17.100000000000001" customHeight="1" x14ac:dyDescent="0.2">
      <c r="A447" s="23"/>
      <c r="B447" s="3" t="str">
        <f ca="1">IF(A447="В заказ",MAX($B$9:OFFSET(B447,-1,0))+1,"")</f>
        <v/>
      </c>
      <c r="C447" s="6" t="str">
        <f t="shared" ref="C447:C510" si="21">D447&amp;" "&amp;N447&amp;" "&amp;IF(OR(D447="ДСП",D447="МДФ",D447="Фанера",D447="ХДФ"),M447,J447)&amp;" "&amp;IF(OR(D447="ДСП",D447="МДФ",D447="Фанера",D447="ХДФ"),O447,L447)&amp;" "&amp;IF(OR(D447="ДСП",D447="МДФ",D447="Фанера",D447="ХДФ"),"",IF(D447="БСП",M447,O447))&amp;"."</f>
        <v>ЛДСП PS 18 H1760 TM28/ST28 с защитной пленкой.</v>
      </c>
      <c r="D447" s="67" t="s">
        <v>1822</v>
      </c>
      <c r="E447" s="67" t="s">
        <v>34</v>
      </c>
      <c r="F447" s="67" t="s">
        <v>2040</v>
      </c>
      <c r="G447" s="68">
        <v>24411</v>
      </c>
      <c r="H447" s="67" t="s">
        <v>1823</v>
      </c>
      <c r="I447" s="70">
        <v>1</v>
      </c>
      <c r="J447" s="67" t="s">
        <v>654</v>
      </c>
      <c r="K447" s="67" t="s">
        <v>655</v>
      </c>
      <c r="L447" s="67" t="s">
        <v>2041</v>
      </c>
      <c r="M447" s="67" t="s">
        <v>238</v>
      </c>
      <c r="N447" s="67" t="s">
        <v>1385</v>
      </c>
      <c r="O447" s="67" t="s">
        <v>2039</v>
      </c>
      <c r="P447" s="67" t="s">
        <v>19</v>
      </c>
      <c r="Q447" s="69">
        <v>18590</v>
      </c>
      <c r="R447" s="4">
        <f t="shared" si="19"/>
        <v>2800</v>
      </c>
      <c r="S447" s="4">
        <f t="shared" si="20"/>
        <v>2070</v>
      </c>
    </row>
    <row r="448" spans="1:19" ht="17.100000000000001" customHeight="1" x14ac:dyDescent="0.2">
      <c r="A448" s="23"/>
      <c r="B448" s="3" t="str">
        <f ca="1">IF(A448="В заказ",MAX($B$9:OFFSET(B448,-1,0))+1,"")</f>
        <v/>
      </c>
      <c r="C448" s="6" t="str">
        <f t="shared" si="21"/>
        <v>ЛДСП PS 18 H3149 TM37/ST37 с защитной пленкой.</v>
      </c>
      <c r="D448" s="67" t="s">
        <v>1822</v>
      </c>
      <c r="E448" s="67" t="s">
        <v>34</v>
      </c>
      <c r="F448" s="67" t="s">
        <v>2042</v>
      </c>
      <c r="G448" s="68">
        <v>24413</v>
      </c>
      <c r="H448" s="67" t="s">
        <v>1823</v>
      </c>
      <c r="I448" s="70">
        <v>1</v>
      </c>
      <c r="J448" s="67" t="s">
        <v>707</v>
      </c>
      <c r="K448" s="67" t="s">
        <v>708</v>
      </c>
      <c r="L448" s="67" t="s">
        <v>1824</v>
      </c>
      <c r="M448" s="67" t="s">
        <v>238</v>
      </c>
      <c r="N448" s="67" t="s">
        <v>1385</v>
      </c>
      <c r="O448" s="67" t="s">
        <v>2039</v>
      </c>
      <c r="P448" s="67" t="s">
        <v>19</v>
      </c>
      <c r="Q448" s="69">
        <v>18590</v>
      </c>
      <c r="R448" s="4">
        <f t="shared" si="19"/>
        <v>2800</v>
      </c>
      <c r="S448" s="4">
        <f t="shared" si="20"/>
        <v>2070</v>
      </c>
    </row>
    <row r="449" spans="1:19" ht="17.100000000000001" customHeight="1" x14ac:dyDescent="0.2">
      <c r="A449" s="23"/>
      <c r="B449" s="3" t="str">
        <f ca="1">IF(A449="В заказ",MAX($B$9:OFFSET(B449,-1,0))+1,"")</f>
        <v/>
      </c>
      <c r="C449" s="6" t="str">
        <f t="shared" si="21"/>
        <v>ЛДСП PS 18 H3180 TM37/ST37 с защитной пленкой.</v>
      </c>
      <c r="D449" s="67" t="s">
        <v>1822</v>
      </c>
      <c r="E449" s="67" t="s">
        <v>34</v>
      </c>
      <c r="F449" s="67" t="s">
        <v>2043</v>
      </c>
      <c r="G449" s="68">
        <v>24414</v>
      </c>
      <c r="H449" s="67" t="s">
        <v>1823</v>
      </c>
      <c r="I449" s="70">
        <v>1</v>
      </c>
      <c r="J449" s="67" t="s">
        <v>755</v>
      </c>
      <c r="K449" s="67" t="s">
        <v>756</v>
      </c>
      <c r="L449" s="67" t="s">
        <v>1824</v>
      </c>
      <c r="M449" s="67" t="s">
        <v>238</v>
      </c>
      <c r="N449" s="67" t="s">
        <v>1385</v>
      </c>
      <c r="O449" s="67" t="s">
        <v>2039</v>
      </c>
      <c r="P449" s="67" t="s">
        <v>19</v>
      </c>
      <c r="Q449" s="69">
        <v>18590</v>
      </c>
      <c r="R449" s="4">
        <f t="shared" si="19"/>
        <v>2800</v>
      </c>
      <c r="S449" s="4">
        <f t="shared" si="20"/>
        <v>2070</v>
      </c>
    </row>
    <row r="450" spans="1:19" ht="17.100000000000001" customHeight="1" x14ac:dyDescent="0.2">
      <c r="A450" s="23"/>
      <c r="B450" s="3" t="str">
        <f ca="1">IF(A450="В заказ",MAX($B$9:OFFSET(B450,-1,0))+1,"")</f>
        <v/>
      </c>
      <c r="C450" s="6" t="str">
        <f t="shared" si="21"/>
        <v>ЛДСП PS 18 H3311 TM28/ST28 с защитной пленкой.</v>
      </c>
      <c r="D450" s="67" t="s">
        <v>1822</v>
      </c>
      <c r="E450" s="67" t="s">
        <v>34</v>
      </c>
      <c r="F450" s="67" t="s">
        <v>2044</v>
      </c>
      <c r="G450" s="68">
        <v>24409</v>
      </c>
      <c r="H450" s="67" t="s">
        <v>1823</v>
      </c>
      <c r="I450" s="70">
        <v>1</v>
      </c>
      <c r="J450" s="67" t="s">
        <v>799</v>
      </c>
      <c r="K450" s="67" t="s">
        <v>800</v>
      </c>
      <c r="L450" s="67" t="s">
        <v>2041</v>
      </c>
      <c r="M450" s="67" t="s">
        <v>238</v>
      </c>
      <c r="N450" s="67" t="s">
        <v>1385</v>
      </c>
      <c r="O450" s="67" t="s">
        <v>2039</v>
      </c>
      <c r="P450" s="67" t="s">
        <v>19</v>
      </c>
      <c r="Q450" s="69">
        <v>18590</v>
      </c>
      <c r="R450" s="4">
        <f t="shared" si="19"/>
        <v>2800</v>
      </c>
      <c r="S450" s="4">
        <f t="shared" si="20"/>
        <v>2070</v>
      </c>
    </row>
    <row r="451" spans="1:19" ht="17.100000000000001" customHeight="1" x14ac:dyDescent="0.2">
      <c r="A451" s="23"/>
      <c r="B451" s="3" t="str">
        <f ca="1">IF(A451="В заказ",MAX($B$9:OFFSET(B451,-1,0))+1,"")</f>
        <v/>
      </c>
      <c r="C451" s="6" t="str">
        <f t="shared" si="21"/>
        <v>ЛДСП PS 18 U999 TM28/ST28 с защитной пленкой.</v>
      </c>
      <c r="D451" s="67" t="s">
        <v>1822</v>
      </c>
      <c r="E451" s="67" t="s">
        <v>151</v>
      </c>
      <c r="F451" s="67" t="s">
        <v>2045</v>
      </c>
      <c r="G451" s="68">
        <v>24410</v>
      </c>
      <c r="H451" s="67" t="s">
        <v>1823</v>
      </c>
      <c r="I451" s="70">
        <v>1</v>
      </c>
      <c r="J451" s="67" t="s">
        <v>219</v>
      </c>
      <c r="K451" s="67" t="s">
        <v>220</v>
      </c>
      <c r="L451" s="67" t="s">
        <v>2041</v>
      </c>
      <c r="M451" s="67" t="s">
        <v>238</v>
      </c>
      <c r="N451" s="67" t="s">
        <v>1385</v>
      </c>
      <c r="O451" s="67" t="s">
        <v>2039</v>
      </c>
      <c r="P451" s="67" t="s">
        <v>19</v>
      </c>
      <c r="Q451" s="69">
        <v>18590</v>
      </c>
      <c r="R451" s="4">
        <f t="shared" si="19"/>
        <v>2800</v>
      </c>
      <c r="S451" s="4">
        <f t="shared" si="20"/>
        <v>2070</v>
      </c>
    </row>
    <row r="452" spans="1:19" ht="17.100000000000001" customHeight="1" x14ac:dyDescent="0.2">
      <c r="A452" s="23"/>
      <c r="B452" s="3" t="str">
        <f ca="1">IF(A452="В заказ",MAX($B$9:OFFSET(B452,-1,0))+1,"")</f>
        <v/>
      </c>
      <c r="C452" s="6" t="str">
        <f t="shared" si="21"/>
        <v>ЛМДФ 16 8681  Ultra Gloss.</v>
      </c>
      <c r="D452" s="67" t="s">
        <v>1825</v>
      </c>
      <c r="E452" s="67"/>
      <c r="F452" s="67" t="s">
        <v>1826</v>
      </c>
      <c r="G452" s="68">
        <v>19616</v>
      </c>
      <c r="H452" s="67" t="s">
        <v>1377</v>
      </c>
      <c r="I452" s="200"/>
      <c r="J452" s="67" t="s">
        <v>1379</v>
      </c>
      <c r="K452" s="67" t="s">
        <v>1380</v>
      </c>
      <c r="L452" s="67"/>
      <c r="M452" s="67" t="s">
        <v>238</v>
      </c>
      <c r="N452" s="67" t="s">
        <v>235</v>
      </c>
      <c r="O452" s="67" t="s">
        <v>1827</v>
      </c>
      <c r="P452" s="67" t="s">
        <v>1377</v>
      </c>
      <c r="Q452" s="69">
        <v>14780</v>
      </c>
      <c r="R452" s="4">
        <f t="shared" si="19"/>
        <v>2800</v>
      </c>
      <c r="S452" s="4">
        <f t="shared" si="20"/>
        <v>2070</v>
      </c>
    </row>
    <row r="453" spans="1:19" ht="17.100000000000001" customHeight="1" x14ac:dyDescent="0.2">
      <c r="A453" s="23"/>
      <c r="B453" s="3" t="str">
        <f ca="1">IF(A453="В заказ",MAX($B$9:OFFSET(B453,-1,0))+1,"")</f>
        <v/>
      </c>
      <c r="C453" s="6" t="str">
        <f t="shared" si="21"/>
        <v>ЛМДФ 16 Белый  SM F 1-сторонний.</v>
      </c>
      <c r="D453" s="67" t="s">
        <v>1825</v>
      </c>
      <c r="E453" s="67"/>
      <c r="F453" s="67" t="s">
        <v>2151</v>
      </c>
      <c r="G453" s="68">
        <v>7703</v>
      </c>
      <c r="H453" s="67" t="s">
        <v>2152</v>
      </c>
      <c r="I453" s="200"/>
      <c r="J453" s="67" t="s">
        <v>2166</v>
      </c>
      <c r="K453" s="67"/>
      <c r="L453" s="67" t="s">
        <v>30</v>
      </c>
      <c r="M453" s="67" t="s">
        <v>238</v>
      </c>
      <c r="N453" s="67" t="s">
        <v>235</v>
      </c>
      <c r="O453" s="67" t="s">
        <v>2153</v>
      </c>
      <c r="P453" s="67" t="s">
        <v>2154</v>
      </c>
      <c r="Q453" s="69">
        <v>3125</v>
      </c>
      <c r="R453" s="4">
        <f t="shared" si="19"/>
        <v>2800</v>
      </c>
      <c r="S453" s="4">
        <f t="shared" si="20"/>
        <v>2070</v>
      </c>
    </row>
    <row r="454" spans="1:19" ht="17.100000000000001" customHeight="1" x14ac:dyDescent="0.2">
      <c r="A454" s="23"/>
      <c r="B454" s="3" t="str">
        <f ca="1">IF(A454="В заказ",MAX($B$9:OFFSET(B454,-1,0))+1,"")</f>
        <v/>
      </c>
      <c r="C454" s="6" t="str">
        <f t="shared" si="21"/>
        <v>ЛМДФ 16 Белый  SM F 2-сторонний.</v>
      </c>
      <c r="D454" s="67" t="s">
        <v>1825</v>
      </c>
      <c r="E454" s="67"/>
      <c r="F454" s="67" t="s">
        <v>2155</v>
      </c>
      <c r="G454" s="68">
        <v>8221</v>
      </c>
      <c r="H454" s="67" t="s">
        <v>2152</v>
      </c>
      <c r="I454" s="200"/>
      <c r="J454" s="67" t="s">
        <v>2166</v>
      </c>
      <c r="K454" s="67"/>
      <c r="L454" s="67" t="s">
        <v>30</v>
      </c>
      <c r="M454" s="67" t="s">
        <v>238</v>
      </c>
      <c r="N454" s="67" t="s">
        <v>235</v>
      </c>
      <c r="O454" s="67" t="s">
        <v>2156</v>
      </c>
      <c r="P454" s="67" t="s">
        <v>2154</v>
      </c>
      <c r="Q454" s="69">
        <v>3635</v>
      </c>
      <c r="R454" s="4">
        <f t="shared" si="19"/>
        <v>2800</v>
      </c>
      <c r="S454" s="4">
        <f t="shared" si="20"/>
        <v>2070</v>
      </c>
    </row>
    <row r="455" spans="1:19" ht="17.100000000000001" customHeight="1" x14ac:dyDescent="0.2">
      <c r="A455" s="23"/>
      <c r="B455" s="3" t="str">
        <f ca="1">IF(A455="В заказ",MAX($B$9:OFFSET(B455,-1,0))+1,"")</f>
        <v/>
      </c>
      <c r="C455" s="6" t="str">
        <f t="shared" si="21"/>
        <v>ЛМДФ 19 Белый  SM F 1-сторонний.</v>
      </c>
      <c r="D455" s="67" t="s">
        <v>1825</v>
      </c>
      <c r="E455" s="67"/>
      <c r="F455" s="67" t="s">
        <v>2157</v>
      </c>
      <c r="G455" s="68">
        <v>7787</v>
      </c>
      <c r="H455" s="67" t="s">
        <v>2152</v>
      </c>
      <c r="I455" s="200"/>
      <c r="J455" s="67" t="s">
        <v>2166</v>
      </c>
      <c r="K455" s="67"/>
      <c r="L455" s="67" t="s">
        <v>30</v>
      </c>
      <c r="M455" s="67" t="s">
        <v>238</v>
      </c>
      <c r="N455" s="67" t="s">
        <v>252</v>
      </c>
      <c r="O455" s="67" t="s">
        <v>2153</v>
      </c>
      <c r="P455" s="67" t="s">
        <v>2154</v>
      </c>
      <c r="Q455" s="69">
        <v>3635</v>
      </c>
      <c r="R455" s="4">
        <f t="shared" si="19"/>
        <v>2800</v>
      </c>
      <c r="S455" s="4">
        <f t="shared" si="20"/>
        <v>2070</v>
      </c>
    </row>
    <row r="456" spans="1:19" ht="17.100000000000001" customHeight="1" x14ac:dyDescent="0.2">
      <c r="A456" s="23"/>
      <c r="B456" s="3" t="str">
        <f ca="1">IF(A456="В заказ",MAX($B$9:OFFSET(B456,-1,0))+1,"")</f>
        <v/>
      </c>
      <c r="C456" s="6" t="str">
        <f t="shared" si="21"/>
        <v>ЛМДФ 19 Белый  SM F 2-сторонний.</v>
      </c>
      <c r="D456" s="67" t="s">
        <v>1825</v>
      </c>
      <c r="E456" s="67"/>
      <c r="F456" s="67" t="s">
        <v>2158</v>
      </c>
      <c r="G456" s="68">
        <v>8222</v>
      </c>
      <c r="H456" s="67" t="s">
        <v>2152</v>
      </c>
      <c r="I456" s="200"/>
      <c r="J456" s="67" t="s">
        <v>2166</v>
      </c>
      <c r="K456" s="67"/>
      <c r="L456" s="67" t="s">
        <v>30</v>
      </c>
      <c r="M456" s="67" t="s">
        <v>238</v>
      </c>
      <c r="N456" s="67" t="s">
        <v>252</v>
      </c>
      <c r="O456" s="67" t="s">
        <v>2156</v>
      </c>
      <c r="P456" s="67" t="s">
        <v>2154</v>
      </c>
      <c r="Q456" s="69">
        <v>4125</v>
      </c>
      <c r="R456" s="4">
        <f t="shared" si="19"/>
        <v>2800</v>
      </c>
      <c r="S456" s="4">
        <f t="shared" si="20"/>
        <v>2070</v>
      </c>
    </row>
    <row r="457" spans="1:19" ht="17.100000000000001" customHeight="1" x14ac:dyDescent="0.2">
      <c r="A457" s="23"/>
      <c r="B457" s="3" t="str">
        <f ca="1">IF(A457="В заказ",MAX($B$9:OFFSET(B457,-1,0))+1,"")</f>
        <v/>
      </c>
      <c r="C457" s="6" t="str">
        <f t="shared" si="21"/>
        <v>ЛМДФ 06 W980 SM MB 1-сторонний.</v>
      </c>
      <c r="D457" s="67" t="s">
        <v>1825</v>
      </c>
      <c r="E457" s="67" t="s">
        <v>15</v>
      </c>
      <c r="F457" s="67" t="s">
        <v>1828</v>
      </c>
      <c r="G457" s="68">
        <v>14510</v>
      </c>
      <c r="H457" s="67" t="s">
        <v>19</v>
      </c>
      <c r="I457" s="200"/>
      <c r="J457" s="67" t="s">
        <v>32</v>
      </c>
      <c r="K457" s="67" t="s">
        <v>33</v>
      </c>
      <c r="L457" s="67" t="s">
        <v>30</v>
      </c>
      <c r="M457" s="67" t="s">
        <v>238</v>
      </c>
      <c r="N457" s="67" t="s">
        <v>1829</v>
      </c>
      <c r="O457" s="67" t="s">
        <v>1830</v>
      </c>
      <c r="P457" s="67" t="s">
        <v>19</v>
      </c>
      <c r="Q457" s="69">
        <v>1700</v>
      </c>
      <c r="R457" s="4">
        <f t="shared" si="19"/>
        <v>2800</v>
      </c>
      <c r="S457" s="4">
        <f t="shared" si="20"/>
        <v>2070</v>
      </c>
    </row>
    <row r="458" spans="1:19" ht="17.100000000000001" customHeight="1" x14ac:dyDescent="0.2">
      <c r="A458" s="23"/>
      <c r="B458" s="3" t="str">
        <f ca="1">IF(A458="В заказ",MAX($B$9:OFFSET(B458,-1,0))+1,"")</f>
        <v/>
      </c>
      <c r="C458" s="6" t="str">
        <f t="shared" si="21"/>
        <v>ЛМДФ 10 W980 SM MB 2-сторонний.</v>
      </c>
      <c r="D458" s="67" t="s">
        <v>1825</v>
      </c>
      <c r="E458" s="67" t="s">
        <v>15</v>
      </c>
      <c r="F458" s="67" t="s">
        <v>1831</v>
      </c>
      <c r="G458" s="68">
        <v>11246</v>
      </c>
      <c r="H458" s="67" t="s">
        <v>19</v>
      </c>
      <c r="I458" s="200"/>
      <c r="J458" s="67" t="s">
        <v>32</v>
      </c>
      <c r="K458" s="67" t="s">
        <v>33</v>
      </c>
      <c r="L458" s="67" t="s">
        <v>30</v>
      </c>
      <c r="M458" s="67" t="s">
        <v>238</v>
      </c>
      <c r="N458" s="67" t="s">
        <v>1407</v>
      </c>
      <c r="O458" s="67" t="s">
        <v>1832</v>
      </c>
      <c r="P458" s="67" t="s">
        <v>19</v>
      </c>
      <c r="Q458" s="69">
        <v>2565</v>
      </c>
      <c r="R458" s="4">
        <f t="shared" si="19"/>
        <v>2800</v>
      </c>
      <c r="S458" s="4">
        <f t="shared" si="20"/>
        <v>2070</v>
      </c>
    </row>
    <row r="459" spans="1:19" ht="17.100000000000001" customHeight="1" x14ac:dyDescent="0.2">
      <c r="A459" s="23"/>
      <c r="B459" s="3" t="str">
        <f ca="1">IF(A459="В заказ",MAX($B$9:OFFSET(B459,-1,0))+1,"")</f>
        <v/>
      </c>
      <c r="C459" s="6" t="str">
        <f t="shared" si="21"/>
        <v>ЛМДФ 16 W980 SM MB 1-сторонний.</v>
      </c>
      <c r="D459" s="67" t="s">
        <v>1825</v>
      </c>
      <c r="E459" s="67" t="s">
        <v>15</v>
      </c>
      <c r="F459" s="67" t="s">
        <v>1833</v>
      </c>
      <c r="G459" s="68">
        <v>11241</v>
      </c>
      <c r="H459" s="67" t="s">
        <v>19</v>
      </c>
      <c r="I459" s="200"/>
      <c r="J459" s="67" t="s">
        <v>32</v>
      </c>
      <c r="K459" s="67" t="s">
        <v>33</v>
      </c>
      <c r="L459" s="67" t="s">
        <v>30</v>
      </c>
      <c r="M459" s="67" t="s">
        <v>238</v>
      </c>
      <c r="N459" s="67" t="s">
        <v>235</v>
      </c>
      <c r="O459" s="67" t="s">
        <v>1830</v>
      </c>
      <c r="P459" s="67" t="s">
        <v>19</v>
      </c>
      <c r="Q459" s="69">
        <v>3095</v>
      </c>
      <c r="R459" s="4">
        <f t="shared" ref="R459:R522" si="22">IFERROR(LEFT(M459,FIND("*",M459)-1)*1,"")</f>
        <v>2800</v>
      </c>
      <c r="S459" s="4">
        <f t="shared" ref="S459:S522" si="23">IFERROR(RIGHT(M459,LEN(M459)-FIND("*",M459))*1,"")</f>
        <v>2070</v>
      </c>
    </row>
    <row r="460" spans="1:19" ht="17.100000000000001" customHeight="1" x14ac:dyDescent="0.2">
      <c r="A460" s="23"/>
      <c r="B460" s="3" t="str">
        <f ca="1">IF(A460="В заказ",MAX($B$9:OFFSET(B460,-1,0))+1,"")</f>
        <v/>
      </c>
      <c r="C460" s="6" t="str">
        <f t="shared" si="21"/>
        <v>ЛМДФ 16 W980 SM MB 2-сторонний.</v>
      </c>
      <c r="D460" s="67" t="s">
        <v>1825</v>
      </c>
      <c r="E460" s="67" t="s">
        <v>15</v>
      </c>
      <c r="F460" s="67" t="s">
        <v>1834</v>
      </c>
      <c r="G460" s="68">
        <v>13016</v>
      </c>
      <c r="H460" s="67" t="s">
        <v>19</v>
      </c>
      <c r="I460" s="200"/>
      <c r="J460" s="67" t="s">
        <v>32</v>
      </c>
      <c r="K460" s="67" t="s">
        <v>33</v>
      </c>
      <c r="L460" s="67" t="s">
        <v>30</v>
      </c>
      <c r="M460" s="67" t="s">
        <v>238</v>
      </c>
      <c r="N460" s="67" t="s">
        <v>235</v>
      </c>
      <c r="O460" s="67" t="s">
        <v>1832</v>
      </c>
      <c r="P460" s="67" t="s">
        <v>19</v>
      </c>
      <c r="Q460" s="69">
        <v>3480</v>
      </c>
      <c r="R460" s="4">
        <f t="shared" si="22"/>
        <v>2800</v>
      </c>
      <c r="S460" s="4">
        <f t="shared" si="23"/>
        <v>2070</v>
      </c>
    </row>
    <row r="461" spans="1:19" ht="17.100000000000001" customHeight="1" x14ac:dyDescent="0.2">
      <c r="A461" s="23"/>
      <c r="B461" s="3" t="str">
        <f ca="1">IF(A461="В заказ",MAX($B$9:OFFSET(B461,-1,0))+1,"")</f>
        <v/>
      </c>
      <c r="C461" s="6" t="str">
        <f t="shared" si="21"/>
        <v>ЛМДФ 16 W980 SM ST 1-сторонний.</v>
      </c>
      <c r="D461" s="67" t="s">
        <v>1825</v>
      </c>
      <c r="E461" s="67" t="s">
        <v>15</v>
      </c>
      <c r="F461" s="67" t="s">
        <v>1835</v>
      </c>
      <c r="G461" s="68">
        <v>10730</v>
      </c>
      <c r="H461" s="67" t="s">
        <v>19</v>
      </c>
      <c r="I461" s="200"/>
      <c r="J461" s="67" t="s">
        <v>32</v>
      </c>
      <c r="K461" s="67" t="s">
        <v>33</v>
      </c>
      <c r="L461" s="67" t="s">
        <v>30</v>
      </c>
      <c r="M461" s="67" t="s">
        <v>238</v>
      </c>
      <c r="N461" s="67" t="s">
        <v>235</v>
      </c>
      <c r="O461" s="67" t="s">
        <v>1836</v>
      </c>
      <c r="P461" s="67" t="s">
        <v>19</v>
      </c>
      <c r="Q461" s="69">
        <v>3035</v>
      </c>
      <c r="R461" s="4">
        <f t="shared" si="22"/>
        <v>2800</v>
      </c>
      <c r="S461" s="4">
        <f t="shared" si="23"/>
        <v>2070</v>
      </c>
    </row>
    <row r="462" spans="1:19" ht="17.100000000000001" customHeight="1" x14ac:dyDescent="0.2">
      <c r="A462" s="23"/>
      <c r="B462" s="3" t="str">
        <f ca="1">IF(A462="В заказ",MAX($B$9:OFFSET(B462,-1,0))+1,"")</f>
        <v/>
      </c>
      <c r="C462" s="6" t="str">
        <f t="shared" si="21"/>
        <v>ЛМДФ 16 W980 SM ST 2-сторонний.</v>
      </c>
      <c r="D462" s="67" t="s">
        <v>1825</v>
      </c>
      <c r="E462" s="67" t="s">
        <v>15</v>
      </c>
      <c r="F462" s="67" t="s">
        <v>1837</v>
      </c>
      <c r="G462" s="68">
        <v>10731</v>
      </c>
      <c r="H462" s="67" t="s">
        <v>19</v>
      </c>
      <c r="I462" s="200"/>
      <c r="J462" s="67" t="s">
        <v>32</v>
      </c>
      <c r="K462" s="67" t="s">
        <v>33</v>
      </c>
      <c r="L462" s="67" t="s">
        <v>30</v>
      </c>
      <c r="M462" s="67" t="s">
        <v>238</v>
      </c>
      <c r="N462" s="67" t="s">
        <v>235</v>
      </c>
      <c r="O462" s="67" t="s">
        <v>1838</v>
      </c>
      <c r="P462" s="67" t="s">
        <v>19</v>
      </c>
      <c r="Q462" s="69">
        <v>3275</v>
      </c>
      <c r="R462" s="4">
        <f t="shared" si="22"/>
        <v>2800</v>
      </c>
      <c r="S462" s="4">
        <f t="shared" si="23"/>
        <v>2070</v>
      </c>
    </row>
    <row r="463" spans="1:19" ht="17.100000000000001" customHeight="1" x14ac:dyDescent="0.2">
      <c r="A463" s="23"/>
      <c r="B463" s="3" t="str">
        <f ca="1">IF(A463="В заказ",MAX($B$9:OFFSET(B463,-1,0))+1,"")</f>
        <v/>
      </c>
      <c r="C463" s="6" t="str">
        <f t="shared" si="21"/>
        <v>ЛМДФ 18 W980 SM MB 1-сторонний.</v>
      </c>
      <c r="D463" s="67" t="s">
        <v>1825</v>
      </c>
      <c r="E463" s="67" t="s">
        <v>15</v>
      </c>
      <c r="F463" s="67" t="s">
        <v>1839</v>
      </c>
      <c r="G463" s="68">
        <v>13443</v>
      </c>
      <c r="H463" s="67" t="s">
        <v>19</v>
      </c>
      <c r="I463" s="200"/>
      <c r="J463" s="67" t="s">
        <v>32</v>
      </c>
      <c r="K463" s="67" t="s">
        <v>33</v>
      </c>
      <c r="L463" s="67" t="s">
        <v>30</v>
      </c>
      <c r="M463" s="67" t="s">
        <v>238</v>
      </c>
      <c r="N463" s="67" t="s">
        <v>1385</v>
      </c>
      <c r="O463" s="67" t="s">
        <v>1830</v>
      </c>
      <c r="P463" s="67" t="s">
        <v>19</v>
      </c>
      <c r="Q463" s="69">
        <v>3520</v>
      </c>
      <c r="R463" s="4">
        <f t="shared" si="22"/>
        <v>2800</v>
      </c>
      <c r="S463" s="4">
        <f t="shared" si="23"/>
        <v>2070</v>
      </c>
    </row>
    <row r="464" spans="1:19" ht="17.100000000000001" customHeight="1" x14ac:dyDescent="0.2">
      <c r="A464" s="23"/>
      <c r="B464" s="3" t="str">
        <f ca="1">IF(A464="В заказ",MAX($B$9:OFFSET(B464,-1,0))+1,"")</f>
        <v/>
      </c>
      <c r="C464" s="6" t="str">
        <f t="shared" si="21"/>
        <v>ЛМДФ 19 W980 SM MB 1-сторонний.</v>
      </c>
      <c r="D464" s="67" t="s">
        <v>1825</v>
      </c>
      <c r="E464" s="67" t="s">
        <v>15</v>
      </c>
      <c r="F464" s="67" t="s">
        <v>1840</v>
      </c>
      <c r="G464" s="68">
        <v>11778</v>
      </c>
      <c r="H464" s="67" t="s">
        <v>19</v>
      </c>
      <c r="I464" s="200"/>
      <c r="J464" s="67" t="s">
        <v>32</v>
      </c>
      <c r="K464" s="67" t="s">
        <v>33</v>
      </c>
      <c r="L464" s="67" t="s">
        <v>30</v>
      </c>
      <c r="M464" s="67" t="s">
        <v>238</v>
      </c>
      <c r="N464" s="67" t="s">
        <v>252</v>
      </c>
      <c r="O464" s="67" t="s">
        <v>1830</v>
      </c>
      <c r="P464" s="67" t="s">
        <v>19</v>
      </c>
      <c r="Q464" s="69">
        <v>3635</v>
      </c>
      <c r="R464" s="4">
        <f t="shared" si="22"/>
        <v>2800</v>
      </c>
      <c r="S464" s="4">
        <f t="shared" si="23"/>
        <v>2070</v>
      </c>
    </row>
    <row r="465" spans="1:19" ht="17.100000000000001" customHeight="1" x14ac:dyDescent="0.2">
      <c r="A465" s="23"/>
      <c r="B465" s="3" t="str">
        <f ca="1">IF(A465="В заказ",MAX($B$9:OFFSET(B465,-1,0))+1,"")</f>
        <v/>
      </c>
      <c r="C465" s="6" t="str">
        <f t="shared" si="21"/>
        <v>ЛМДФ 19 W980 SM MB 2-сторонний.</v>
      </c>
      <c r="D465" s="67" t="s">
        <v>1825</v>
      </c>
      <c r="E465" s="67" t="s">
        <v>15</v>
      </c>
      <c r="F465" s="67" t="s">
        <v>1841</v>
      </c>
      <c r="G465" s="68">
        <v>12625</v>
      </c>
      <c r="H465" s="67" t="s">
        <v>19</v>
      </c>
      <c r="I465" s="200"/>
      <c r="J465" s="67" t="s">
        <v>32</v>
      </c>
      <c r="K465" s="67" t="s">
        <v>33</v>
      </c>
      <c r="L465" s="67" t="s">
        <v>30</v>
      </c>
      <c r="M465" s="67" t="s">
        <v>238</v>
      </c>
      <c r="N465" s="67" t="s">
        <v>252</v>
      </c>
      <c r="O465" s="67" t="s">
        <v>1832</v>
      </c>
      <c r="P465" s="67" t="s">
        <v>19</v>
      </c>
      <c r="Q465" s="69">
        <v>4125</v>
      </c>
      <c r="R465" s="4">
        <f t="shared" si="22"/>
        <v>2800</v>
      </c>
      <c r="S465" s="4">
        <f t="shared" si="23"/>
        <v>2070</v>
      </c>
    </row>
    <row r="466" spans="1:19" ht="17.100000000000001" customHeight="1" x14ac:dyDescent="0.2">
      <c r="A466" s="23"/>
      <c r="B466" s="3" t="str">
        <f ca="1">IF(A466="В заказ",MAX($B$9:OFFSET(B466,-1,0))+1,"")</f>
        <v/>
      </c>
      <c r="C466" s="6" t="str">
        <f t="shared" si="21"/>
        <v>ЛМДФ 19 W980 SM ST 1-сторонний.</v>
      </c>
      <c r="D466" s="67" t="s">
        <v>1825</v>
      </c>
      <c r="E466" s="67" t="s">
        <v>15</v>
      </c>
      <c r="F466" s="67" t="s">
        <v>1842</v>
      </c>
      <c r="G466" s="68">
        <v>10827</v>
      </c>
      <c r="H466" s="67" t="s">
        <v>19</v>
      </c>
      <c r="I466" s="200"/>
      <c r="J466" s="67" t="s">
        <v>32</v>
      </c>
      <c r="K466" s="67" t="s">
        <v>33</v>
      </c>
      <c r="L466" s="67" t="s">
        <v>30</v>
      </c>
      <c r="M466" s="67" t="s">
        <v>238</v>
      </c>
      <c r="N466" s="67" t="s">
        <v>252</v>
      </c>
      <c r="O466" s="67" t="s">
        <v>1836</v>
      </c>
      <c r="P466" s="67" t="s">
        <v>19</v>
      </c>
      <c r="Q466" s="69">
        <v>3465</v>
      </c>
      <c r="R466" s="4">
        <f t="shared" si="22"/>
        <v>2800</v>
      </c>
      <c r="S466" s="4">
        <f t="shared" si="23"/>
        <v>2070</v>
      </c>
    </row>
    <row r="467" spans="1:19" ht="17.100000000000001" customHeight="1" x14ac:dyDescent="0.2">
      <c r="A467" s="23"/>
      <c r="B467" s="3" t="str">
        <f ca="1">IF(A467="В заказ",MAX($B$9:OFFSET(B467,-1,0))+1,"")</f>
        <v/>
      </c>
      <c r="C467" s="6" t="str">
        <f t="shared" si="21"/>
        <v>ЛМДФ 19 W980 SM ST 2-сторонний.</v>
      </c>
      <c r="D467" s="67" t="s">
        <v>1825</v>
      </c>
      <c r="E467" s="67" t="s">
        <v>15</v>
      </c>
      <c r="F467" s="67" t="s">
        <v>1843</v>
      </c>
      <c r="G467" s="68">
        <v>10828</v>
      </c>
      <c r="H467" s="67" t="s">
        <v>19</v>
      </c>
      <c r="I467" s="200"/>
      <c r="J467" s="67" t="s">
        <v>32</v>
      </c>
      <c r="K467" s="67" t="s">
        <v>33</v>
      </c>
      <c r="L467" s="67" t="s">
        <v>30</v>
      </c>
      <c r="M467" s="67" t="s">
        <v>238</v>
      </c>
      <c r="N467" s="67" t="s">
        <v>252</v>
      </c>
      <c r="O467" s="67" t="s">
        <v>1838</v>
      </c>
      <c r="P467" s="67" t="s">
        <v>19</v>
      </c>
      <c r="Q467" s="69">
        <v>3895</v>
      </c>
      <c r="R467" s="4">
        <f t="shared" si="22"/>
        <v>2800</v>
      </c>
      <c r="S467" s="4">
        <f t="shared" si="23"/>
        <v>2070</v>
      </c>
    </row>
    <row r="468" spans="1:19" ht="17.100000000000001" customHeight="1" x14ac:dyDescent="0.2">
      <c r="A468" s="23"/>
      <c r="B468" s="3" t="str">
        <f ca="1">IF(A468="В заказ",MAX($B$9:OFFSET(B468,-1,0))+1,"")</f>
        <v/>
      </c>
      <c r="C468" s="6" t="str">
        <f t="shared" si="21"/>
        <v>ЛМДФ 22 W980 SM MB 1-сторонний.</v>
      </c>
      <c r="D468" s="67" t="s">
        <v>1825</v>
      </c>
      <c r="E468" s="67" t="s">
        <v>15</v>
      </c>
      <c r="F468" s="67" t="s">
        <v>1844</v>
      </c>
      <c r="G468" s="68">
        <v>13479</v>
      </c>
      <c r="H468" s="67" t="s">
        <v>19</v>
      </c>
      <c r="I468" s="200"/>
      <c r="J468" s="67" t="s">
        <v>32</v>
      </c>
      <c r="K468" s="67" t="s">
        <v>33</v>
      </c>
      <c r="L468" s="67" t="s">
        <v>30</v>
      </c>
      <c r="M468" s="67" t="s">
        <v>238</v>
      </c>
      <c r="N468" s="67" t="s">
        <v>1845</v>
      </c>
      <c r="O468" s="67" t="s">
        <v>1830</v>
      </c>
      <c r="P468" s="67" t="s">
        <v>19</v>
      </c>
      <c r="Q468" s="69">
        <v>4480</v>
      </c>
      <c r="R468" s="4">
        <f t="shared" si="22"/>
        <v>2800</v>
      </c>
      <c r="S468" s="4">
        <f t="shared" si="23"/>
        <v>2070</v>
      </c>
    </row>
    <row r="469" spans="1:19" ht="17.100000000000001" customHeight="1" x14ac:dyDescent="0.2">
      <c r="A469" s="23"/>
      <c r="B469" s="3" t="str">
        <f ca="1">IF(A469="В заказ",MAX($B$9:OFFSET(B469,-1,0))+1,"")</f>
        <v/>
      </c>
      <c r="C469" s="6" t="str">
        <f t="shared" si="21"/>
        <v>ЛМДФ 22 W980 SM MB 2-сторонний.</v>
      </c>
      <c r="D469" s="67" t="s">
        <v>1825</v>
      </c>
      <c r="E469" s="67" t="s">
        <v>15</v>
      </c>
      <c r="F469" s="67" t="s">
        <v>1846</v>
      </c>
      <c r="G469" s="68">
        <v>14348</v>
      </c>
      <c r="H469" s="67" t="s">
        <v>19</v>
      </c>
      <c r="I469" s="200"/>
      <c r="J469" s="67" t="s">
        <v>32</v>
      </c>
      <c r="K469" s="67" t="s">
        <v>33</v>
      </c>
      <c r="L469" s="67" t="s">
        <v>30</v>
      </c>
      <c r="M469" s="67" t="s">
        <v>238</v>
      </c>
      <c r="N469" s="67" t="s">
        <v>1845</v>
      </c>
      <c r="O469" s="67" t="s">
        <v>1832</v>
      </c>
      <c r="P469" s="67" t="s">
        <v>19</v>
      </c>
      <c r="Q469" s="69">
        <v>4655</v>
      </c>
      <c r="R469" s="4">
        <f t="shared" si="22"/>
        <v>2800</v>
      </c>
      <c r="S469" s="4">
        <f t="shared" si="23"/>
        <v>2070</v>
      </c>
    </row>
    <row r="470" spans="1:19" ht="17.100000000000001" customHeight="1" x14ac:dyDescent="0.2">
      <c r="A470" s="23"/>
      <c r="B470" s="3" t="str">
        <f ca="1">IF(A470="В заказ",MAX($B$9:OFFSET(B470,-1,0))+1,"")</f>
        <v/>
      </c>
      <c r="C470" s="6" t="str">
        <f t="shared" si="21"/>
        <v>ЛМДФ 22 W980 SM ST 1-сторонний.</v>
      </c>
      <c r="D470" s="67" t="s">
        <v>1825</v>
      </c>
      <c r="E470" s="67" t="s">
        <v>15</v>
      </c>
      <c r="F470" s="67" t="s">
        <v>1847</v>
      </c>
      <c r="G470" s="68">
        <v>10877</v>
      </c>
      <c r="H470" s="67" t="s">
        <v>19</v>
      </c>
      <c r="I470" s="200"/>
      <c r="J470" s="67" t="s">
        <v>32</v>
      </c>
      <c r="K470" s="67" t="s">
        <v>33</v>
      </c>
      <c r="L470" s="67" t="s">
        <v>30</v>
      </c>
      <c r="M470" s="67" t="s">
        <v>238</v>
      </c>
      <c r="N470" s="67" t="s">
        <v>1845</v>
      </c>
      <c r="O470" s="67" t="s">
        <v>1836</v>
      </c>
      <c r="P470" s="67" t="s">
        <v>19</v>
      </c>
      <c r="Q470" s="69">
        <v>4160</v>
      </c>
      <c r="R470" s="4">
        <f t="shared" si="22"/>
        <v>2800</v>
      </c>
      <c r="S470" s="4">
        <f t="shared" si="23"/>
        <v>2070</v>
      </c>
    </row>
    <row r="471" spans="1:19" ht="17.100000000000001" customHeight="1" x14ac:dyDescent="0.2">
      <c r="A471" s="23"/>
      <c r="B471" s="3" t="str">
        <f ca="1">IF(A471="В заказ",MAX($B$9:OFFSET(B471,-1,0))+1,"")</f>
        <v/>
      </c>
      <c r="C471" s="6" t="str">
        <f t="shared" si="21"/>
        <v>ЛМДФ 25 W980 SM ST 1-сторонний.</v>
      </c>
      <c r="D471" s="67" t="s">
        <v>1825</v>
      </c>
      <c r="E471" s="67" t="s">
        <v>15</v>
      </c>
      <c r="F471" s="67" t="s">
        <v>1848</v>
      </c>
      <c r="G471" s="68">
        <v>10936</v>
      </c>
      <c r="H471" s="67" t="s">
        <v>19</v>
      </c>
      <c r="I471" s="200"/>
      <c r="J471" s="67" t="s">
        <v>32</v>
      </c>
      <c r="K471" s="67" t="s">
        <v>33</v>
      </c>
      <c r="L471" s="67" t="s">
        <v>30</v>
      </c>
      <c r="M471" s="67" t="s">
        <v>238</v>
      </c>
      <c r="N471" s="67" t="s">
        <v>1387</v>
      </c>
      <c r="O471" s="67" t="s">
        <v>1836</v>
      </c>
      <c r="P471" s="67" t="s">
        <v>19</v>
      </c>
      <c r="Q471" s="69">
        <v>4475</v>
      </c>
      <c r="R471" s="4">
        <f t="shared" si="22"/>
        <v>2800</v>
      </c>
      <c r="S471" s="4">
        <f t="shared" si="23"/>
        <v>2070</v>
      </c>
    </row>
    <row r="472" spans="1:19" ht="17.100000000000001" customHeight="1" x14ac:dyDescent="0.2">
      <c r="A472" s="23"/>
      <c r="B472" s="3" t="str">
        <f ca="1">IF(A472="В заказ",MAX($B$9:OFFSET(B472,-1,0))+1,"")</f>
        <v/>
      </c>
      <c r="C472" s="6" t="str">
        <f t="shared" si="21"/>
        <v>ЛМДФ 25 W980 SM ST 2-сторонний.</v>
      </c>
      <c r="D472" s="67" t="s">
        <v>1825</v>
      </c>
      <c r="E472" s="67" t="s">
        <v>15</v>
      </c>
      <c r="F472" s="67" t="s">
        <v>1849</v>
      </c>
      <c r="G472" s="68">
        <v>13149</v>
      </c>
      <c r="H472" s="67" t="s">
        <v>19</v>
      </c>
      <c r="I472" s="200"/>
      <c r="J472" s="67" t="s">
        <v>32</v>
      </c>
      <c r="K472" s="67" t="s">
        <v>33</v>
      </c>
      <c r="L472" s="67" t="s">
        <v>30</v>
      </c>
      <c r="M472" s="67" t="s">
        <v>238</v>
      </c>
      <c r="N472" s="67" t="s">
        <v>1387</v>
      </c>
      <c r="O472" s="67" t="s">
        <v>1838</v>
      </c>
      <c r="P472" s="67" t="s">
        <v>19</v>
      </c>
      <c r="Q472" s="69">
        <v>4650</v>
      </c>
      <c r="R472" s="4">
        <f t="shared" si="22"/>
        <v>2800</v>
      </c>
      <c r="S472" s="4">
        <f t="shared" si="23"/>
        <v>2070</v>
      </c>
    </row>
    <row r="473" spans="1:19" ht="17.100000000000001" customHeight="1" x14ac:dyDescent="0.2">
      <c r="A473" s="23"/>
      <c r="B473" s="3" t="str">
        <f ca="1">IF(A473="В заказ",MAX($B$9:OFFSET(B473,-1,0))+1,"")</f>
        <v/>
      </c>
      <c r="C473" s="6" t="str">
        <f t="shared" si="21"/>
        <v>ЛМДФ PerfectSense 18 W1000 PG/ST9 с защитной пленкой.</v>
      </c>
      <c r="D473" s="67" t="s">
        <v>1850</v>
      </c>
      <c r="E473" s="67" t="s">
        <v>15</v>
      </c>
      <c r="F473" s="67" t="s">
        <v>2046</v>
      </c>
      <c r="G473" s="68">
        <v>22071</v>
      </c>
      <c r="H473" s="67" t="s">
        <v>1851</v>
      </c>
      <c r="I473" s="200"/>
      <c r="J473" s="67" t="s">
        <v>16</v>
      </c>
      <c r="K473" s="67" t="s">
        <v>17</v>
      </c>
      <c r="L473" s="67" t="s">
        <v>1852</v>
      </c>
      <c r="M473" s="67" t="s">
        <v>238</v>
      </c>
      <c r="N473" s="67" t="s">
        <v>1385</v>
      </c>
      <c r="O473" s="67" t="s">
        <v>2039</v>
      </c>
      <c r="P473" s="67" t="s">
        <v>19</v>
      </c>
      <c r="Q473" s="69">
        <v>21960</v>
      </c>
      <c r="R473" s="4">
        <f t="shared" si="22"/>
        <v>2800</v>
      </c>
      <c r="S473" s="4">
        <f t="shared" si="23"/>
        <v>2070</v>
      </c>
    </row>
    <row r="474" spans="1:19" ht="17.100000000000001" customHeight="1" x14ac:dyDescent="0.2">
      <c r="A474" s="23"/>
      <c r="B474" s="3" t="str">
        <f ca="1">IF(A474="В заказ",MAX($B$9:OFFSET(B474,-1,0))+1,"")</f>
        <v/>
      </c>
      <c r="C474" s="6" t="str">
        <f t="shared" si="21"/>
        <v>ЛМДФ PerfectSense 18 W1000 PM/ST9 с защитной пленкой.</v>
      </c>
      <c r="D474" s="67" t="s">
        <v>1850</v>
      </c>
      <c r="E474" s="67" t="s">
        <v>15</v>
      </c>
      <c r="F474" s="67" t="s">
        <v>2047</v>
      </c>
      <c r="G474" s="68">
        <v>22348</v>
      </c>
      <c r="H474" s="67" t="s">
        <v>1851</v>
      </c>
      <c r="I474" s="200"/>
      <c r="J474" s="67" t="s">
        <v>16</v>
      </c>
      <c r="K474" s="67" t="s">
        <v>17</v>
      </c>
      <c r="L474" s="67" t="s">
        <v>1853</v>
      </c>
      <c r="M474" s="67" t="s">
        <v>238</v>
      </c>
      <c r="N474" s="67" t="s">
        <v>1385</v>
      </c>
      <c r="O474" s="67" t="s">
        <v>2039</v>
      </c>
      <c r="P474" s="67" t="s">
        <v>19</v>
      </c>
      <c r="Q474" s="69">
        <v>24395</v>
      </c>
      <c r="R474" s="4">
        <f t="shared" si="22"/>
        <v>2800</v>
      </c>
      <c r="S474" s="4">
        <f t="shared" si="23"/>
        <v>2070</v>
      </c>
    </row>
    <row r="475" spans="1:19" ht="17.100000000000001" customHeight="1" x14ac:dyDescent="0.2">
      <c r="A475" s="23"/>
      <c r="B475" s="3" t="str">
        <f ca="1">IF(A475="В заказ",MAX($B$9:OFFSET(B475,-1,0))+1,"")</f>
        <v/>
      </c>
      <c r="C475" s="6" t="str">
        <f t="shared" si="21"/>
        <v>ЛМДФ PerfectSense 18 W1100 PG/ST9 с защитной пленкой.</v>
      </c>
      <c r="D475" s="67" t="s">
        <v>1850</v>
      </c>
      <c r="E475" s="67" t="s">
        <v>15</v>
      </c>
      <c r="F475" s="67" t="s">
        <v>2048</v>
      </c>
      <c r="G475" s="68">
        <v>21996</v>
      </c>
      <c r="H475" s="67" t="s">
        <v>1851</v>
      </c>
      <c r="I475" s="200"/>
      <c r="J475" s="67" t="s">
        <v>23</v>
      </c>
      <c r="K475" s="67" t="s">
        <v>24</v>
      </c>
      <c r="L475" s="67" t="s">
        <v>1852</v>
      </c>
      <c r="M475" s="67" t="s">
        <v>238</v>
      </c>
      <c r="N475" s="67" t="s">
        <v>1385</v>
      </c>
      <c r="O475" s="67" t="s">
        <v>2039</v>
      </c>
      <c r="P475" s="67" t="s">
        <v>19</v>
      </c>
      <c r="Q475" s="69">
        <v>21960</v>
      </c>
      <c r="R475" s="4">
        <f t="shared" si="22"/>
        <v>2800</v>
      </c>
      <c r="S475" s="4">
        <f t="shared" si="23"/>
        <v>2070</v>
      </c>
    </row>
    <row r="476" spans="1:19" ht="17.100000000000001" customHeight="1" x14ac:dyDescent="0.2">
      <c r="A476" s="23"/>
      <c r="B476" s="3" t="str">
        <f ca="1">IF(A476="В заказ",MAX($B$9:OFFSET(B476,-1,0))+1,"")</f>
        <v/>
      </c>
      <c r="C476" s="6" t="str">
        <f t="shared" si="21"/>
        <v>ЛМДФ PerfectSense 18 W1100 PM/ST9 с защитной пленкой.</v>
      </c>
      <c r="D476" s="67" t="s">
        <v>1850</v>
      </c>
      <c r="E476" s="67" t="s">
        <v>15</v>
      </c>
      <c r="F476" s="67" t="s">
        <v>2049</v>
      </c>
      <c r="G476" s="68">
        <v>22350</v>
      </c>
      <c r="H476" s="67" t="s">
        <v>1851</v>
      </c>
      <c r="I476" s="200"/>
      <c r="J476" s="67" t="s">
        <v>23</v>
      </c>
      <c r="K476" s="67" t="s">
        <v>24</v>
      </c>
      <c r="L476" s="67" t="s">
        <v>1853</v>
      </c>
      <c r="M476" s="67" t="s">
        <v>238</v>
      </c>
      <c r="N476" s="67" t="s">
        <v>1385</v>
      </c>
      <c r="O476" s="67" t="s">
        <v>2039</v>
      </c>
      <c r="P476" s="67" t="s">
        <v>19</v>
      </c>
      <c r="Q476" s="69">
        <v>24395</v>
      </c>
      <c r="R476" s="4">
        <f t="shared" si="22"/>
        <v>2800</v>
      </c>
      <c r="S476" s="4">
        <f t="shared" si="23"/>
        <v>2070</v>
      </c>
    </row>
    <row r="477" spans="1:19" ht="17.100000000000001" customHeight="1" x14ac:dyDescent="0.2">
      <c r="A477" s="23"/>
      <c r="B477" s="3" t="str">
        <f ca="1">IF(A477="В заказ",MAX($B$9:OFFSET(B477,-1,0))+1,"")</f>
        <v/>
      </c>
      <c r="C477" s="6" t="str">
        <f t="shared" si="21"/>
        <v>ЛМДФ PerfectSense 18 U599 PM/ST9 с защитной пленкой.</v>
      </c>
      <c r="D477" s="67" t="s">
        <v>1850</v>
      </c>
      <c r="E477" s="67" t="s">
        <v>151</v>
      </c>
      <c r="F477" s="67" t="s">
        <v>2050</v>
      </c>
      <c r="G477" s="68">
        <v>22257</v>
      </c>
      <c r="H477" s="67" t="s">
        <v>1851</v>
      </c>
      <c r="I477" s="200"/>
      <c r="J477" s="67" t="s">
        <v>1097</v>
      </c>
      <c r="K477" s="67" t="s">
        <v>1098</v>
      </c>
      <c r="L477" s="67" t="s">
        <v>1853</v>
      </c>
      <c r="M477" s="67" t="s">
        <v>238</v>
      </c>
      <c r="N477" s="67" t="s">
        <v>1385</v>
      </c>
      <c r="O477" s="67" t="s">
        <v>2039</v>
      </c>
      <c r="P477" s="67" t="s">
        <v>19</v>
      </c>
      <c r="Q477" s="69">
        <v>24395</v>
      </c>
      <c r="R477" s="4">
        <f t="shared" si="22"/>
        <v>2800</v>
      </c>
      <c r="S477" s="4">
        <f t="shared" si="23"/>
        <v>2070</v>
      </c>
    </row>
    <row r="478" spans="1:19" ht="17.100000000000001" customHeight="1" x14ac:dyDescent="0.2">
      <c r="A478" s="23"/>
      <c r="B478" s="3" t="str">
        <f ca="1">IF(A478="В заказ",MAX($B$9:OFFSET(B478,-1,0))+1,"")</f>
        <v/>
      </c>
      <c r="C478" s="6" t="str">
        <f t="shared" si="21"/>
        <v>ЛМДФ PerfectSense 18 U702 PG/ST9 с защитной пленкой  .</v>
      </c>
      <c r="D478" s="67" t="s">
        <v>1850</v>
      </c>
      <c r="E478" s="67" t="s">
        <v>151</v>
      </c>
      <c r="F478" s="67" t="s">
        <v>2051</v>
      </c>
      <c r="G478" s="68">
        <v>21920</v>
      </c>
      <c r="H478" s="67" t="s">
        <v>1851</v>
      </c>
      <c r="I478" s="200"/>
      <c r="J478" s="67" t="s">
        <v>185</v>
      </c>
      <c r="K478" s="67" t="s">
        <v>186</v>
      </c>
      <c r="L478" s="67" t="s">
        <v>1852</v>
      </c>
      <c r="M478" s="67" t="s">
        <v>238</v>
      </c>
      <c r="N478" s="67" t="s">
        <v>1385</v>
      </c>
      <c r="O478" s="67" t="s">
        <v>2124</v>
      </c>
      <c r="P478" s="67" t="s">
        <v>19</v>
      </c>
      <c r="Q478" s="69">
        <v>21960</v>
      </c>
      <c r="R478" s="4">
        <f t="shared" si="22"/>
        <v>2800</v>
      </c>
      <c r="S478" s="4">
        <f t="shared" si="23"/>
        <v>2070</v>
      </c>
    </row>
    <row r="479" spans="1:19" ht="17.100000000000001" customHeight="1" x14ac:dyDescent="0.2">
      <c r="A479" s="23"/>
      <c r="B479" s="3" t="str">
        <f ca="1">IF(A479="В заказ",MAX($B$9:OFFSET(B479,-1,0))+1,"")</f>
        <v/>
      </c>
      <c r="C479" s="6" t="str">
        <f t="shared" si="21"/>
        <v>ЛМДФ PerfectSense 18 U702 PM/ST9 с защитной пленкой.</v>
      </c>
      <c r="D479" s="67" t="s">
        <v>1850</v>
      </c>
      <c r="E479" s="67" t="s">
        <v>151</v>
      </c>
      <c r="F479" s="67" t="s">
        <v>2052</v>
      </c>
      <c r="G479" s="68">
        <v>22072</v>
      </c>
      <c r="H479" s="67" t="s">
        <v>1851</v>
      </c>
      <c r="I479" s="200"/>
      <c r="J479" s="67" t="s">
        <v>185</v>
      </c>
      <c r="K479" s="67" t="s">
        <v>186</v>
      </c>
      <c r="L479" s="67" t="s">
        <v>1853</v>
      </c>
      <c r="M479" s="67" t="s">
        <v>238</v>
      </c>
      <c r="N479" s="67" t="s">
        <v>1385</v>
      </c>
      <c r="O479" s="67" t="s">
        <v>2039</v>
      </c>
      <c r="P479" s="67" t="s">
        <v>19</v>
      </c>
      <c r="Q479" s="69">
        <v>24395</v>
      </c>
      <c r="R479" s="4">
        <f t="shared" si="22"/>
        <v>2800</v>
      </c>
      <c r="S479" s="4">
        <f t="shared" si="23"/>
        <v>2070</v>
      </c>
    </row>
    <row r="480" spans="1:19" ht="17.100000000000001" customHeight="1" x14ac:dyDescent="0.2">
      <c r="A480" s="23"/>
      <c r="B480" s="3" t="str">
        <f ca="1">IF(A480="В заказ",MAX($B$9:OFFSET(B480,-1,0))+1,"")</f>
        <v/>
      </c>
      <c r="C480" s="6" t="str">
        <f t="shared" si="21"/>
        <v>ЛМДФ PerfectSense 18 U708 PG/ST9 с защитной пленкой  .</v>
      </c>
      <c r="D480" s="67" t="s">
        <v>1850</v>
      </c>
      <c r="E480" s="67" t="s">
        <v>151</v>
      </c>
      <c r="F480" s="67" t="s">
        <v>2053</v>
      </c>
      <c r="G480" s="68">
        <v>21769</v>
      </c>
      <c r="H480" s="67" t="s">
        <v>1851</v>
      </c>
      <c r="I480" s="200"/>
      <c r="J480" s="67" t="s">
        <v>189</v>
      </c>
      <c r="K480" s="67" t="s">
        <v>190</v>
      </c>
      <c r="L480" s="67" t="s">
        <v>1852</v>
      </c>
      <c r="M480" s="67" t="s">
        <v>238</v>
      </c>
      <c r="N480" s="67" t="s">
        <v>1385</v>
      </c>
      <c r="O480" s="67" t="s">
        <v>2124</v>
      </c>
      <c r="P480" s="67" t="s">
        <v>19</v>
      </c>
      <c r="Q480" s="69">
        <v>21960</v>
      </c>
      <c r="R480" s="4">
        <f t="shared" si="22"/>
        <v>2800</v>
      </c>
      <c r="S480" s="4">
        <f t="shared" si="23"/>
        <v>2070</v>
      </c>
    </row>
    <row r="481" spans="1:19" ht="17.100000000000001" customHeight="1" x14ac:dyDescent="0.2">
      <c r="A481" s="23"/>
      <c r="B481" s="3" t="str">
        <f ca="1">IF(A481="В заказ",MAX($B$9:OFFSET(B481,-1,0))+1,"")</f>
        <v/>
      </c>
      <c r="C481" s="6" t="str">
        <f t="shared" si="21"/>
        <v>ЛМДФ PerfectSense 18 U708 PM/ST9 с защитной пленкой.</v>
      </c>
      <c r="D481" s="67" t="s">
        <v>1850</v>
      </c>
      <c r="E481" s="67" t="s">
        <v>151</v>
      </c>
      <c r="F481" s="67" t="s">
        <v>2054</v>
      </c>
      <c r="G481" s="68">
        <v>22595</v>
      </c>
      <c r="H481" s="67" t="s">
        <v>1851</v>
      </c>
      <c r="I481" s="200"/>
      <c r="J481" s="67" t="s">
        <v>189</v>
      </c>
      <c r="K481" s="67" t="s">
        <v>190</v>
      </c>
      <c r="L481" s="67" t="s">
        <v>1853</v>
      </c>
      <c r="M481" s="67" t="s">
        <v>238</v>
      </c>
      <c r="N481" s="67" t="s">
        <v>1385</v>
      </c>
      <c r="O481" s="67" t="s">
        <v>2039</v>
      </c>
      <c r="P481" s="67" t="s">
        <v>19</v>
      </c>
      <c r="Q481" s="69">
        <v>24395</v>
      </c>
      <c r="R481" s="4">
        <f t="shared" si="22"/>
        <v>2800</v>
      </c>
      <c r="S481" s="4">
        <f t="shared" si="23"/>
        <v>2070</v>
      </c>
    </row>
    <row r="482" spans="1:19" ht="17.100000000000001" customHeight="1" x14ac:dyDescent="0.2">
      <c r="A482" s="23"/>
      <c r="B482" s="3" t="str">
        <f ca="1">IF(A482="В заказ",MAX($B$9:OFFSET(B482,-1,0))+1,"")</f>
        <v/>
      </c>
      <c r="C482" s="6" t="str">
        <f t="shared" si="21"/>
        <v>ЛМДФ PerfectSense 18 U727 PM/ST9 с защитной пленкой.</v>
      </c>
      <c r="D482" s="67" t="s">
        <v>1850</v>
      </c>
      <c r="E482" s="67" t="s">
        <v>151</v>
      </c>
      <c r="F482" s="67" t="s">
        <v>2055</v>
      </c>
      <c r="G482" s="68">
        <v>22073</v>
      </c>
      <c r="H482" s="67" t="s">
        <v>1851</v>
      </c>
      <c r="I482" s="200"/>
      <c r="J482" s="67" t="s">
        <v>191</v>
      </c>
      <c r="K482" s="67" t="s">
        <v>192</v>
      </c>
      <c r="L482" s="67" t="s">
        <v>1853</v>
      </c>
      <c r="M482" s="67" t="s">
        <v>238</v>
      </c>
      <c r="N482" s="67" t="s">
        <v>1385</v>
      </c>
      <c r="O482" s="67" t="s">
        <v>2039</v>
      </c>
      <c r="P482" s="67" t="s">
        <v>19</v>
      </c>
      <c r="Q482" s="69">
        <v>24395</v>
      </c>
      <c r="R482" s="4">
        <f t="shared" si="22"/>
        <v>2800</v>
      </c>
      <c r="S482" s="4">
        <f t="shared" si="23"/>
        <v>2070</v>
      </c>
    </row>
    <row r="483" spans="1:19" ht="17.100000000000001" customHeight="1" x14ac:dyDescent="0.2">
      <c r="A483" s="23"/>
      <c r="B483" s="3" t="str">
        <f ca="1">IF(A483="В заказ",MAX($B$9:OFFSET(B483,-1,0))+1,"")</f>
        <v/>
      </c>
      <c r="C483" s="6" t="str">
        <f t="shared" si="21"/>
        <v>ЛМДФ PerfectSense 18 U732 PG/ST9 с защитной пленкой.</v>
      </c>
      <c r="D483" s="67" t="s">
        <v>1850</v>
      </c>
      <c r="E483" s="67" t="s">
        <v>151</v>
      </c>
      <c r="F483" s="67" t="s">
        <v>2056</v>
      </c>
      <c r="G483" s="68">
        <v>22312</v>
      </c>
      <c r="H483" s="67" t="s">
        <v>1851</v>
      </c>
      <c r="I483" s="200"/>
      <c r="J483" s="67" t="s">
        <v>193</v>
      </c>
      <c r="K483" s="67" t="s">
        <v>194</v>
      </c>
      <c r="L483" s="67" t="s">
        <v>1852</v>
      </c>
      <c r="M483" s="67" t="s">
        <v>238</v>
      </c>
      <c r="N483" s="67" t="s">
        <v>1385</v>
      </c>
      <c r="O483" s="67" t="s">
        <v>2039</v>
      </c>
      <c r="P483" s="67" t="s">
        <v>19</v>
      </c>
      <c r="Q483" s="69">
        <v>21960</v>
      </c>
      <c r="R483" s="4">
        <f t="shared" si="22"/>
        <v>2800</v>
      </c>
      <c r="S483" s="4">
        <f t="shared" si="23"/>
        <v>2070</v>
      </c>
    </row>
    <row r="484" spans="1:19" ht="17.100000000000001" customHeight="1" x14ac:dyDescent="0.2">
      <c r="A484" s="23"/>
      <c r="B484" s="3" t="str">
        <f ca="1">IF(A484="В заказ",MAX($B$9:OFFSET(B484,-1,0))+1,"")</f>
        <v/>
      </c>
      <c r="C484" s="6" t="str">
        <f t="shared" si="21"/>
        <v>ЛМДФ PerfectSense 18 U732 PM/ST9 с защитной пленкой.</v>
      </c>
      <c r="D484" s="67" t="s">
        <v>1850</v>
      </c>
      <c r="E484" s="67" t="s">
        <v>151</v>
      </c>
      <c r="F484" s="67" t="s">
        <v>2057</v>
      </c>
      <c r="G484" s="68">
        <v>21894</v>
      </c>
      <c r="H484" s="67" t="s">
        <v>1851</v>
      </c>
      <c r="I484" s="200"/>
      <c r="J484" s="67" t="s">
        <v>193</v>
      </c>
      <c r="K484" s="67" t="s">
        <v>194</v>
      </c>
      <c r="L484" s="67" t="s">
        <v>1853</v>
      </c>
      <c r="M484" s="67" t="s">
        <v>238</v>
      </c>
      <c r="N484" s="67" t="s">
        <v>1385</v>
      </c>
      <c r="O484" s="67" t="s">
        <v>2039</v>
      </c>
      <c r="P484" s="67" t="s">
        <v>19</v>
      </c>
      <c r="Q484" s="69">
        <v>24395</v>
      </c>
      <c r="R484" s="4">
        <f t="shared" si="22"/>
        <v>2800</v>
      </c>
      <c r="S484" s="4">
        <f t="shared" si="23"/>
        <v>2070</v>
      </c>
    </row>
    <row r="485" spans="1:19" ht="17.100000000000001" customHeight="1" x14ac:dyDescent="0.2">
      <c r="A485" s="23"/>
      <c r="B485" s="3" t="str">
        <f ca="1">IF(A485="В заказ",MAX($B$9:OFFSET(B485,-1,0))+1,"")</f>
        <v/>
      </c>
      <c r="C485" s="6" t="str">
        <f t="shared" si="21"/>
        <v>ЛМДФ PerfectSense 18 U961 PM/ST9 с защитной пленкой.</v>
      </c>
      <c r="D485" s="67" t="s">
        <v>1850</v>
      </c>
      <c r="E485" s="67" t="s">
        <v>151</v>
      </c>
      <c r="F485" s="67" t="s">
        <v>2058</v>
      </c>
      <c r="G485" s="68">
        <v>21961</v>
      </c>
      <c r="H485" s="67" t="s">
        <v>1851</v>
      </c>
      <c r="I485" s="200"/>
      <c r="J485" s="67" t="s">
        <v>215</v>
      </c>
      <c r="K485" s="67" t="s">
        <v>216</v>
      </c>
      <c r="L485" s="67" t="s">
        <v>1853</v>
      </c>
      <c r="M485" s="67" t="s">
        <v>238</v>
      </c>
      <c r="N485" s="67" t="s">
        <v>1385</v>
      </c>
      <c r="O485" s="67" t="s">
        <v>2039</v>
      </c>
      <c r="P485" s="67" t="s">
        <v>19</v>
      </c>
      <c r="Q485" s="69">
        <v>24395</v>
      </c>
      <c r="R485" s="4">
        <f t="shared" si="22"/>
        <v>2800</v>
      </c>
      <c r="S485" s="4">
        <f t="shared" si="23"/>
        <v>2070</v>
      </c>
    </row>
    <row r="486" spans="1:19" ht="17.100000000000001" customHeight="1" x14ac:dyDescent="0.2">
      <c r="A486" s="23"/>
      <c r="B486" s="3" t="str">
        <f ca="1">IF(A486="В заказ",MAX($B$9:OFFSET(B486,-1,0))+1,"")</f>
        <v/>
      </c>
      <c r="C486" s="6" t="str">
        <f t="shared" si="21"/>
        <v>ЛМДФ PerfectSense 18 U999 PG/ST9 с защитной пленкой  .</v>
      </c>
      <c r="D486" s="67" t="s">
        <v>1850</v>
      </c>
      <c r="E486" s="67" t="s">
        <v>151</v>
      </c>
      <c r="F486" s="67" t="s">
        <v>2059</v>
      </c>
      <c r="G486" s="68">
        <v>23028</v>
      </c>
      <c r="H486" s="67" t="s">
        <v>1851</v>
      </c>
      <c r="I486" s="200"/>
      <c r="J486" s="67" t="s">
        <v>219</v>
      </c>
      <c r="K486" s="67" t="s">
        <v>220</v>
      </c>
      <c r="L486" s="67" t="s">
        <v>1852</v>
      </c>
      <c r="M486" s="67" t="s">
        <v>238</v>
      </c>
      <c r="N486" s="67" t="s">
        <v>1385</v>
      </c>
      <c r="O486" s="67" t="s">
        <v>2124</v>
      </c>
      <c r="P486" s="67" t="s">
        <v>19</v>
      </c>
      <c r="Q486" s="69">
        <v>21960</v>
      </c>
      <c r="R486" s="4">
        <f t="shared" si="22"/>
        <v>2800</v>
      </c>
      <c r="S486" s="4">
        <f t="shared" si="23"/>
        <v>2070</v>
      </c>
    </row>
    <row r="487" spans="1:19" ht="17.100000000000001" customHeight="1" x14ac:dyDescent="0.2">
      <c r="A487" s="23"/>
      <c r="B487" s="3" t="str">
        <f ca="1">IF(A487="В заказ",MAX($B$9:OFFSET(B487,-1,0))+1,"")</f>
        <v/>
      </c>
      <c r="C487" s="6" t="str">
        <f t="shared" si="21"/>
        <v>ЛМДФ PerfectSense 18 U999 PM/ST9 с защитной пленкой.</v>
      </c>
      <c r="D487" s="67" t="s">
        <v>1850</v>
      </c>
      <c r="E487" s="67" t="s">
        <v>151</v>
      </c>
      <c r="F487" s="67" t="s">
        <v>2060</v>
      </c>
      <c r="G487" s="68">
        <v>22563</v>
      </c>
      <c r="H487" s="67" t="s">
        <v>1851</v>
      </c>
      <c r="I487" s="200"/>
      <c r="J487" s="67" t="s">
        <v>219</v>
      </c>
      <c r="K487" s="67" t="s">
        <v>220</v>
      </c>
      <c r="L487" s="67" t="s">
        <v>1853</v>
      </c>
      <c r="M487" s="67" t="s">
        <v>238</v>
      </c>
      <c r="N487" s="67" t="s">
        <v>1385</v>
      </c>
      <c r="O487" s="67" t="s">
        <v>2039</v>
      </c>
      <c r="P487" s="67" t="s">
        <v>19</v>
      </c>
      <c r="Q487" s="69">
        <v>24395</v>
      </c>
      <c r="R487" s="4">
        <f t="shared" si="22"/>
        <v>2800</v>
      </c>
      <c r="S487" s="4">
        <f t="shared" si="23"/>
        <v>2070</v>
      </c>
    </row>
    <row r="488" spans="1:19" ht="17.100000000000001" customHeight="1" x14ac:dyDescent="0.2">
      <c r="A488" s="23"/>
      <c r="B488" s="3" t="str">
        <f ca="1">IF(A488="В заказ",MAX($B$9:OFFSET(B488,-1,0))+1,"")</f>
        <v/>
      </c>
      <c r="C488" s="6" t="str">
        <f t="shared" si="21"/>
        <v>ЛМДФ PerfectSense 18 F120 PM/ST9 с защитной пленкой.</v>
      </c>
      <c r="D488" s="67" t="s">
        <v>1850</v>
      </c>
      <c r="E488" s="67" t="s">
        <v>221</v>
      </c>
      <c r="F488" s="67" t="s">
        <v>2061</v>
      </c>
      <c r="G488" s="68">
        <v>22867</v>
      </c>
      <c r="H488" s="67" t="s">
        <v>1851</v>
      </c>
      <c r="I488" s="70">
        <v>1</v>
      </c>
      <c r="J488" s="67" t="s">
        <v>1854</v>
      </c>
      <c r="K488" s="67" t="s">
        <v>1855</v>
      </c>
      <c r="L488" s="67" t="s">
        <v>1853</v>
      </c>
      <c r="M488" s="67" t="s">
        <v>238</v>
      </c>
      <c r="N488" s="67" t="s">
        <v>1385</v>
      </c>
      <c r="O488" s="67" t="s">
        <v>2039</v>
      </c>
      <c r="P488" s="67" t="s">
        <v>19</v>
      </c>
      <c r="Q488" s="69">
        <v>24395</v>
      </c>
      <c r="R488" s="4">
        <f t="shared" si="22"/>
        <v>2800</v>
      </c>
      <c r="S488" s="4">
        <f t="shared" si="23"/>
        <v>2070</v>
      </c>
    </row>
    <row r="489" spans="1:19" ht="17.100000000000001" customHeight="1" x14ac:dyDescent="0.2">
      <c r="A489" s="23"/>
      <c r="B489" s="3" t="str">
        <f ca="1">IF(A489="В заказ",MAX($B$9:OFFSET(B489,-1,0))+1,"")</f>
        <v/>
      </c>
      <c r="C489" s="6" t="str">
        <f t="shared" si="21"/>
        <v>ЛМДФ PerfectSense 18 F206 PM/ST9 с защитной пленкой.</v>
      </c>
      <c r="D489" s="67" t="s">
        <v>1850</v>
      </c>
      <c r="E489" s="67" t="s">
        <v>221</v>
      </c>
      <c r="F489" s="67" t="s">
        <v>2062</v>
      </c>
      <c r="G489" s="68">
        <v>22869</v>
      </c>
      <c r="H489" s="67" t="s">
        <v>1851</v>
      </c>
      <c r="I489" s="70">
        <v>1</v>
      </c>
      <c r="J489" s="67" t="s">
        <v>1322</v>
      </c>
      <c r="K489" s="67" t="s">
        <v>1323</v>
      </c>
      <c r="L489" s="67" t="s">
        <v>1853</v>
      </c>
      <c r="M489" s="67" t="s">
        <v>238</v>
      </c>
      <c r="N489" s="67" t="s">
        <v>1385</v>
      </c>
      <c r="O489" s="67" t="s">
        <v>2039</v>
      </c>
      <c r="P489" s="67" t="s">
        <v>19</v>
      </c>
      <c r="Q489" s="69">
        <v>24395</v>
      </c>
      <c r="R489" s="4">
        <f t="shared" si="22"/>
        <v>2800</v>
      </c>
      <c r="S489" s="4">
        <f t="shared" si="23"/>
        <v>2070</v>
      </c>
    </row>
    <row r="490" spans="1:19" ht="17.100000000000001" customHeight="1" x14ac:dyDescent="0.2">
      <c r="A490" s="23"/>
      <c r="B490" s="3" t="str">
        <f ca="1">IF(A490="В заказ",MAX($B$9:OFFSET(B490,-1,0))+1,"")</f>
        <v/>
      </c>
      <c r="C490" s="6" t="str">
        <f t="shared" si="21"/>
        <v>ЛХДФ 03 0190 PE 1-сторонний.</v>
      </c>
      <c r="D490" s="67" t="s">
        <v>1856</v>
      </c>
      <c r="E490" s="67"/>
      <c r="F490" s="67" t="s">
        <v>2063</v>
      </c>
      <c r="G490" s="68">
        <v>19604</v>
      </c>
      <c r="H490" s="67" t="s">
        <v>1858</v>
      </c>
      <c r="I490" s="200"/>
      <c r="J490" s="67" t="s">
        <v>1375</v>
      </c>
      <c r="K490" s="67" t="s">
        <v>220</v>
      </c>
      <c r="L490" s="67" t="s">
        <v>1861</v>
      </c>
      <c r="M490" s="67" t="s">
        <v>238</v>
      </c>
      <c r="N490" s="67" t="s">
        <v>1862</v>
      </c>
      <c r="O490" s="67" t="s">
        <v>1863</v>
      </c>
      <c r="P490" s="67" t="s">
        <v>1377</v>
      </c>
      <c r="Q490" s="69">
        <v>1265</v>
      </c>
      <c r="R490" s="4">
        <f t="shared" si="22"/>
        <v>2800</v>
      </c>
      <c r="S490" s="4">
        <f t="shared" si="23"/>
        <v>2070</v>
      </c>
    </row>
    <row r="491" spans="1:19" ht="17.100000000000001" customHeight="1" x14ac:dyDescent="0.2">
      <c r="A491" s="23"/>
      <c r="B491" s="3" t="str">
        <f ca="1">IF(A491="В заказ",MAX($B$9:OFFSET(B491,-1,0))+1,"")</f>
        <v/>
      </c>
      <c r="C491" s="6" t="str">
        <f t="shared" si="21"/>
        <v>ЛХДФ 03 0191 PE 1-сторонний.</v>
      </c>
      <c r="D491" s="67" t="s">
        <v>1856</v>
      </c>
      <c r="E491" s="67"/>
      <c r="F491" s="67" t="s">
        <v>1857</v>
      </c>
      <c r="G491" s="68">
        <v>22785</v>
      </c>
      <c r="H491" s="67" t="s">
        <v>1858</v>
      </c>
      <c r="I491" s="200"/>
      <c r="J491" s="67" t="s">
        <v>1859</v>
      </c>
      <c r="K491" s="67" t="s">
        <v>1860</v>
      </c>
      <c r="L491" s="67" t="s">
        <v>1861</v>
      </c>
      <c r="M491" s="67" t="s">
        <v>238</v>
      </c>
      <c r="N491" s="67" t="s">
        <v>1862</v>
      </c>
      <c r="O491" s="67" t="s">
        <v>1863</v>
      </c>
      <c r="P491" s="67" t="s">
        <v>1377</v>
      </c>
      <c r="Q491" s="69">
        <v>1265</v>
      </c>
      <c r="R491" s="4">
        <f t="shared" si="22"/>
        <v>2800</v>
      </c>
      <c r="S491" s="4">
        <f t="shared" si="23"/>
        <v>2070</v>
      </c>
    </row>
    <row r="492" spans="1:19" ht="17.100000000000001" customHeight="1" x14ac:dyDescent="0.2">
      <c r="A492" s="23"/>
      <c r="B492" s="3" t="str">
        <f ca="1">IF(A492="В заказ",MAX($B$9:OFFSET(B492,-1,0))+1,"")</f>
        <v/>
      </c>
      <c r="C492" s="6" t="str">
        <f t="shared" si="21"/>
        <v>ЛХДФ 03 0522 PE 1-сторонний.</v>
      </c>
      <c r="D492" s="67" t="s">
        <v>1856</v>
      </c>
      <c r="E492" s="67"/>
      <c r="F492" s="67" t="s">
        <v>1864</v>
      </c>
      <c r="G492" s="70">
        <v>534</v>
      </c>
      <c r="H492" s="67" t="s">
        <v>1858</v>
      </c>
      <c r="I492" s="200"/>
      <c r="J492" s="67" t="s">
        <v>1865</v>
      </c>
      <c r="K492" s="67" t="s">
        <v>162</v>
      </c>
      <c r="L492" s="67" t="s">
        <v>1861</v>
      </c>
      <c r="M492" s="67" t="s">
        <v>238</v>
      </c>
      <c r="N492" s="67" t="s">
        <v>1862</v>
      </c>
      <c r="O492" s="67" t="s">
        <v>1863</v>
      </c>
      <c r="P492" s="67" t="s">
        <v>1377</v>
      </c>
      <c r="Q492" s="69">
        <v>1265</v>
      </c>
      <c r="R492" s="4">
        <f t="shared" si="22"/>
        <v>2800</v>
      </c>
      <c r="S492" s="4">
        <f t="shared" si="23"/>
        <v>2070</v>
      </c>
    </row>
    <row r="493" spans="1:19" ht="17.100000000000001" customHeight="1" x14ac:dyDescent="0.2">
      <c r="A493" s="23"/>
      <c r="B493" s="3" t="str">
        <f ca="1">IF(A493="В заказ",MAX($B$9:OFFSET(B493,-1,0))+1,"")</f>
        <v/>
      </c>
      <c r="C493" s="6" t="str">
        <f t="shared" si="21"/>
        <v>ЛХДФ 03 101 PE 1-сторонний.</v>
      </c>
      <c r="D493" s="67" t="s">
        <v>1856</v>
      </c>
      <c r="E493" s="67"/>
      <c r="F493" s="67" t="s">
        <v>1866</v>
      </c>
      <c r="G493" s="70">
        <v>402</v>
      </c>
      <c r="H493" s="67" t="s">
        <v>1858</v>
      </c>
      <c r="I493" s="200"/>
      <c r="J493" s="67" t="s">
        <v>1867</v>
      </c>
      <c r="K493" s="67" t="s">
        <v>14</v>
      </c>
      <c r="L493" s="67" t="s">
        <v>1861</v>
      </c>
      <c r="M493" s="67" t="s">
        <v>238</v>
      </c>
      <c r="N493" s="67" t="s">
        <v>1862</v>
      </c>
      <c r="O493" s="67" t="s">
        <v>1863</v>
      </c>
      <c r="P493" s="67" t="s">
        <v>1377</v>
      </c>
      <c r="Q493" s="69">
        <v>1191</v>
      </c>
      <c r="R493" s="4">
        <f t="shared" si="22"/>
        <v>2800</v>
      </c>
      <c r="S493" s="4">
        <f t="shared" si="23"/>
        <v>2070</v>
      </c>
    </row>
    <row r="494" spans="1:19" ht="17.100000000000001" customHeight="1" x14ac:dyDescent="0.2">
      <c r="A494" s="23"/>
      <c r="B494" s="3" t="str">
        <f ca="1">IF(A494="В заказ",MAX($B$9:OFFSET(B494,-1,0))+1,"")</f>
        <v/>
      </c>
      <c r="C494" s="6" t="str">
        <f t="shared" si="21"/>
        <v>ЛХДФ 03 101 PE 2-сторонний.</v>
      </c>
      <c r="D494" s="67" t="s">
        <v>1856</v>
      </c>
      <c r="E494" s="67"/>
      <c r="F494" s="67" t="s">
        <v>1868</v>
      </c>
      <c r="G494" s="68">
        <v>8202</v>
      </c>
      <c r="H494" s="67" t="s">
        <v>1858</v>
      </c>
      <c r="I494" s="200"/>
      <c r="J494" s="67" t="s">
        <v>1867</v>
      </c>
      <c r="K494" s="67" t="s">
        <v>14</v>
      </c>
      <c r="L494" s="67" t="s">
        <v>1861</v>
      </c>
      <c r="M494" s="67" t="s">
        <v>238</v>
      </c>
      <c r="N494" s="67" t="s">
        <v>1862</v>
      </c>
      <c r="O494" s="67" t="s">
        <v>1869</v>
      </c>
      <c r="P494" s="67" t="s">
        <v>13</v>
      </c>
      <c r="Q494" s="69">
        <v>3270</v>
      </c>
      <c r="R494" s="4">
        <f t="shared" si="22"/>
        <v>2800</v>
      </c>
      <c r="S494" s="4">
        <f t="shared" si="23"/>
        <v>2070</v>
      </c>
    </row>
    <row r="495" spans="1:19" ht="17.100000000000001" customHeight="1" x14ac:dyDescent="0.2">
      <c r="A495" s="23"/>
      <c r="B495" s="3" t="str">
        <f ca="1">IF(A495="В заказ",MAX($B$9:OFFSET(B495,-1,0))+1,"")</f>
        <v/>
      </c>
      <c r="C495" s="6" t="str">
        <f t="shared" si="21"/>
        <v>ЛХДФ 03 164 PE 1-сторонний.</v>
      </c>
      <c r="D495" s="67" t="s">
        <v>1856</v>
      </c>
      <c r="E495" s="67"/>
      <c r="F495" s="67" t="s">
        <v>1870</v>
      </c>
      <c r="G495" s="68">
        <v>24133</v>
      </c>
      <c r="H495" s="67" t="s">
        <v>1858</v>
      </c>
      <c r="I495" s="200"/>
      <c r="J495" s="67" t="s">
        <v>1871</v>
      </c>
      <c r="K495" s="67" t="s">
        <v>2125</v>
      </c>
      <c r="L495" s="67" t="s">
        <v>1861</v>
      </c>
      <c r="M495" s="67" t="s">
        <v>238</v>
      </c>
      <c r="N495" s="67" t="s">
        <v>1862</v>
      </c>
      <c r="O495" s="67" t="s">
        <v>1863</v>
      </c>
      <c r="P495" s="67" t="s">
        <v>1377</v>
      </c>
      <c r="Q495" s="69">
        <v>1265</v>
      </c>
      <c r="R495" s="4">
        <f t="shared" si="22"/>
        <v>2800</v>
      </c>
      <c r="S495" s="4">
        <f t="shared" si="23"/>
        <v>2070</v>
      </c>
    </row>
    <row r="496" spans="1:19" ht="17.100000000000001" customHeight="1" x14ac:dyDescent="0.2">
      <c r="A496" s="23"/>
      <c r="B496" s="3" t="str">
        <f ca="1">IF(A496="В заказ",MAX($B$9:OFFSET(B496,-1,0))+1,"")</f>
        <v/>
      </c>
      <c r="C496" s="6" t="str">
        <f t="shared" si="21"/>
        <v>ЛХДФ 03 3025 PE 1-сторонний.</v>
      </c>
      <c r="D496" s="67" t="s">
        <v>1856</v>
      </c>
      <c r="E496" s="67"/>
      <c r="F496" s="67" t="s">
        <v>2064</v>
      </c>
      <c r="G496" s="68">
        <v>19625</v>
      </c>
      <c r="H496" s="67" t="s">
        <v>1858</v>
      </c>
      <c r="I496" s="70">
        <v>1</v>
      </c>
      <c r="J496" s="67" t="s">
        <v>1873</v>
      </c>
      <c r="K496" s="67" t="s">
        <v>1874</v>
      </c>
      <c r="L496" s="67" t="s">
        <v>1861</v>
      </c>
      <c r="M496" s="67" t="s">
        <v>238</v>
      </c>
      <c r="N496" s="67" t="s">
        <v>1862</v>
      </c>
      <c r="O496" s="67" t="s">
        <v>1863</v>
      </c>
      <c r="P496" s="67" t="s">
        <v>1377</v>
      </c>
      <c r="Q496" s="69">
        <v>1216</v>
      </c>
      <c r="R496" s="4">
        <f t="shared" si="22"/>
        <v>2800</v>
      </c>
      <c r="S496" s="4">
        <f t="shared" si="23"/>
        <v>2070</v>
      </c>
    </row>
    <row r="497" spans="1:19" ht="17.100000000000001" customHeight="1" x14ac:dyDescent="0.2">
      <c r="A497" s="23"/>
      <c r="B497" s="3" t="str">
        <f ca="1">IF(A497="В заказ",MAX($B$9:OFFSET(B497,-1,0))+1,"")</f>
        <v/>
      </c>
      <c r="C497" s="6" t="str">
        <f t="shared" si="21"/>
        <v>ЛХДФ 03 375 PE 1-сторонний.</v>
      </c>
      <c r="D497" s="67" t="s">
        <v>1856</v>
      </c>
      <c r="E497" s="67"/>
      <c r="F497" s="67" t="s">
        <v>1875</v>
      </c>
      <c r="G497" s="70">
        <v>612</v>
      </c>
      <c r="H497" s="67" t="s">
        <v>1858</v>
      </c>
      <c r="I497" s="70">
        <v>1</v>
      </c>
      <c r="J497" s="67" t="s">
        <v>1876</v>
      </c>
      <c r="K497" s="67" t="s">
        <v>1877</v>
      </c>
      <c r="L497" s="67" t="s">
        <v>1861</v>
      </c>
      <c r="M497" s="67" t="s">
        <v>238</v>
      </c>
      <c r="N497" s="67" t="s">
        <v>1862</v>
      </c>
      <c r="O497" s="67" t="s">
        <v>1863</v>
      </c>
      <c r="P497" s="67" t="s">
        <v>1377</v>
      </c>
      <c r="Q497" s="69">
        <v>1265</v>
      </c>
      <c r="R497" s="4">
        <f t="shared" si="22"/>
        <v>2800</v>
      </c>
      <c r="S497" s="4">
        <f t="shared" si="23"/>
        <v>2070</v>
      </c>
    </row>
    <row r="498" spans="1:19" ht="17.100000000000001" customHeight="1" x14ac:dyDescent="0.2">
      <c r="A498" s="23"/>
      <c r="B498" s="3" t="str">
        <f ca="1">IF(A498="В заказ",MAX($B$9:OFFSET(B498,-1,0))+1,"")</f>
        <v/>
      </c>
      <c r="C498" s="6" t="str">
        <f t="shared" si="21"/>
        <v>ЛХДФ 03 8197 PE 1-сторонний.</v>
      </c>
      <c r="D498" s="67" t="s">
        <v>1856</v>
      </c>
      <c r="E498" s="67"/>
      <c r="F498" s="67" t="s">
        <v>1878</v>
      </c>
      <c r="G498" s="68">
        <v>11989</v>
      </c>
      <c r="H498" s="67" t="s">
        <v>1858</v>
      </c>
      <c r="I498" s="70">
        <v>1</v>
      </c>
      <c r="J498" s="67" t="s">
        <v>1879</v>
      </c>
      <c r="K498" s="67" t="s">
        <v>1880</v>
      </c>
      <c r="L498" s="67" t="s">
        <v>1861</v>
      </c>
      <c r="M498" s="67" t="s">
        <v>238</v>
      </c>
      <c r="N498" s="67" t="s">
        <v>1862</v>
      </c>
      <c r="O498" s="67" t="s">
        <v>1863</v>
      </c>
      <c r="P498" s="67" t="s">
        <v>1377</v>
      </c>
      <c r="Q498" s="69">
        <v>1265</v>
      </c>
      <c r="R498" s="4">
        <f t="shared" si="22"/>
        <v>2800</v>
      </c>
      <c r="S498" s="4">
        <f t="shared" si="23"/>
        <v>2070</v>
      </c>
    </row>
    <row r="499" spans="1:19" ht="17.100000000000001" customHeight="1" x14ac:dyDescent="0.2">
      <c r="A499" s="23"/>
      <c r="B499" s="3" t="str">
        <f ca="1">IF(A499="В заказ",MAX($B$9:OFFSET(B499,-1,0))+1,"")</f>
        <v/>
      </c>
      <c r="C499" s="6" t="str">
        <f t="shared" si="21"/>
        <v>ЛХДФ 03 9182 PE 1-сторонний.</v>
      </c>
      <c r="D499" s="67" t="s">
        <v>1856</v>
      </c>
      <c r="E499" s="67"/>
      <c r="F499" s="67" t="s">
        <v>1881</v>
      </c>
      <c r="G499" s="70">
        <v>508</v>
      </c>
      <c r="H499" s="67" t="s">
        <v>1858</v>
      </c>
      <c r="I499" s="70">
        <v>1</v>
      </c>
      <c r="J499" s="67" t="s">
        <v>1882</v>
      </c>
      <c r="K499" s="67" t="s">
        <v>1883</v>
      </c>
      <c r="L499" s="67" t="s">
        <v>1861</v>
      </c>
      <c r="M499" s="67" t="s">
        <v>238</v>
      </c>
      <c r="N499" s="67" t="s">
        <v>1862</v>
      </c>
      <c r="O499" s="67" t="s">
        <v>1863</v>
      </c>
      <c r="P499" s="67" t="s">
        <v>1377</v>
      </c>
      <c r="Q499" s="69">
        <v>1265</v>
      </c>
      <c r="R499" s="4">
        <f t="shared" si="22"/>
        <v>2800</v>
      </c>
      <c r="S499" s="4">
        <f t="shared" si="23"/>
        <v>2070</v>
      </c>
    </row>
    <row r="500" spans="1:19" ht="17.100000000000001" customHeight="1" x14ac:dyDescent="0.2">
      <c r="A500" s="23"/>
      <c r="B500" s="3" t="str">
        <f ca="1">IF(A500="В заказ",MAX($B$9:OFFSET(B500,-1,0))+1,"")</f>
        <v/>
      </c>
      <c r="C500" s="6" t="str">
        <f t="shared" si="21"/>
        <v>ЛХДФ 03 K001 PE 1-сторонний.</v>
      </c>
      <c r="D500" s="67" t="s">
        <v>1856</v>
      </c>
      <c r="E500" s="67"/>
      <c r="F500" s="67" t="s">
        <v>1884</v>
      </c>
      <c r="G500" s="68">
        <v>24386</v>
      </c>
      <c r="H500" s="67" t="s">
        <v>1858</v>
      </c>
      <c r="I500" s="70">
        <v>1</v>
      </c>
      <c r="J500" s="67" t="s">
        <v>1885</v>
      </c>
      <c r="K500" s="67" t="s">
        <v>1886</v>
      </c>
      <c r="L500" s="67" t="s">
        <v>1861</v>
      </c>
      <c r="M500" s="67" t="s">
        <v>238</v>
      </c>
      <c r="N500" s="67" t="s">
        <v>1862</v>
      </c>
      <c r="O500" s="67" t="s">
        <v>1863</v>
      </c>
      <c r="P500" s="67" t="s">
        <v>1377</v>
      </c>
      <c r="Q500" s="69">
        <v>1265</v>
      </c>
      <c r="R500" s="4">
        <f t="shared" si="22"/>
        <v>2800</v>
      </c>
      <c r="S500" s="4">
        <f t="shared" si="23"/>
        <v>2070</v>
      </c>
    </row>
    <row r="501" spans="1:19" ht="17.100000000000001" customHeight="1" x14ac:dyDescent="0.2">
      <c r="A501" s="23"/>
      <c r="B501" s="3" t="str">
        <f ca="1">IF(A501="В заказ",MAX($B$9:OFFSET(B501,-1,0))+1,"")</f>
        <v/>
      </c>
      <c r="C501" s="6" t="str">
        <f t="shared" si="21"/>
        <v>ЛХДФ 03 K003 PE 1-сторонний.</v>
      </c>
      <c r="D501" s="67" t="s">
        <v>1856</v>
      </c>
      <c r="E501" s="67"/>
      <c r="F501" s="67" t="s">
        <v>1887</v>
      </c>
      <c r="G501" s="68">
        <v>24627</v>
      </c>
      <c r="H501" s="67" t="s">
        <v>1858</v>
      </c>
      <c r="I501" s="70">
        <v>1</v>
      </c>
      <c r="J501" s="67" t="s">
        <v>1888</v>
      </c>
      <c r="K501" s="67" t="s">
        <v>1889</v>
      </c>
      <c r="L501" s="67" t="s">
        <v>1861</v>
      </c>
      <c r="M501" s="67" t="s">
        <v>238</v>
      </c>
      <c r="N501" s="67" t="s">
        <v>1862</v>
      </c>
      <c r="O501" s="67" t="s">
        <v>1863</v>
      </c>
      <c r="P501" s="67" t="s">
        <v>1377</v>
      </c>
      <c r="Q501" s="69">
        <v>1265</v>
      </c>
      <c r="R501" s="4">
        <f t="shared" si="22"/>
        <v>2800</v>
      </c>
      <c r="S501" s="4">
        <f t="shared" si="23"/>
        <v>2070</v>
      </c>
    </row>
    <row r="502" spans="1:19" ht="17.100000000000001" customHeight="1" x14ac:dyDescent="0.2">
      <c r="A502" s="23"/>
      <c r="B502" s="3" t="str">
        <f ca="1">IF(A502="В заказ",MAX($B$9:OFFSET(B502,-1,0))+1,"")</f>
        <v/>
      </c>
      <c r="C502" s="6" t="str">
        <f t="shared" si="21"/>
        <v>ЛХДФ 03 K004 PE 1-сторонний.</v>
      </c>
      <c r="D502" s="67" t="s">
        <v>1856</v>
      </c>
      <c r="E502" s="67"/>
      <c r="F502" s="67" t="s">
        <v>1890</v>
      </c>
      <c r="G502" s="68">
        <v>24588</v>
      </c>
      <c r="H502" s="67" t="s">
        <v>1858</v>
      </c>
      <c r="I502" s="70">
        <v>1</v>
      </c>
      <c r="J502" s="67" t="s">
        <v>1891</v>
      </c>
      <c r="K502" s="67" t="s">
        <v>1892</v>
      </c>
      <c r="L502" s="67" t="s">
        <v>1861</v>
      </c>
      <c r="M502" s="67" t="s">
        <v>238</v>
      </c>
      <c r="N502" s="67" t="s">
        <v>1862</v>
      </c>
      <c r="O502" s="67" t="s">
        <v>1863</v>
      </c>
      <c r="P502" s="67" t="s">
        <v>1377</v>
      </c>
      <c r="Q502" s="69">
        <v>1265</v>
      </c>
      <c r="R502" s="4">
        <f t="shared" si="22"/>
        <v>2800</v>
      </c>
      <c r="S502" s="4">
        <f t="shared" si="23"/>
        <v>2070</v>
      </c>
    </row>
    <row r="503" spans="1:19" ht="17.100000000000001" customHeight="1" x14ac:dyDescent="0.2">
      <c r="A503" s="23"/>
      <c r="B503" s="3" t="str">
        <f ca="1">IF(A503="В заказ",MAX($B$9:OFFSET(B503,-1,0))+1,"")</f>
        <v/>
      </c>
      <c r="C503" s="6" t="str">
        <f t="shared" si="21"/>
        <v>МДФ 06 2800*2070 MB шлифованный .</v>
      </c>
      <c r="D503" s="67" t="s">
        <v>1893</v>
      </c>
      <c r="E503" s="67"/>
      <c r="F503" s="67" t="s">
        <v>1895</v>
      </c>
      <c r="G503" s="68">
        <v>11025</v>
      </c>
      <c r="H503" s="67" t="s">
        <v>19</v>
      </c>
      <c r="I503" s="200"/>
      <c r="J503" s="67"/>
      <c r="K503" s="67"/>
      <c r="L503" s="67"/>
      <c r="M503" s="67" t="s">
        <v>238</v>
      </c>
      <c r="N503" s="67" t="s">
        <v>1829</v>
      </c>
      <c r="O503" s="67" t="s">
        <v>1896</v>
      </c>
      <c r="P503" s="67" t="s">
        <v>19</v>
      </c>
      <c r="Q503" s="71">
        <v>955</v>
      </c>
      <c r="R503" s="4">
        <f t="shared" si="22"/>
        <v>2800</v>
      </c>
      <c r="S503" s="4">
        <f t="shared" si="23"/>
        <v>2070</v>
      </c>
    </row>
    <row r="504" spans="1:19" ht="17.100000000000001" customHeight="1" x14ac:dyDescent="0.2">
      <c r="A504" s="23"/>
      <c r="B504" s="3" t="str">
        <f ca="1">IF(A504="В заказ",MAX($B$9:OFFSET(B504,-1,0))+1,"")</f>
        <v/>
      </c>
      <c r="C504" s="6" t="str">
        <f t="shared" si="21"/>
        <v>МДФ 08 2800*2070 MB шлифованный .</v>
      </c>
      <c r="D504" s="67" t="s">
        <v>1893</v>
      </c>
      <c r="E504" s="67"/>
      <c r="F504" s="67" t="s">
        <v>1897</v>
      </c>
      <c r="G504" s="68">
        <v>11103</v>
      </c>
      <c r="H504" s="67" t="s">
        <v>19</v>
      </c>
      <c r="I504" s="200"/>
      <c r="J504" s="67"/>
      <c r="K504" s="67"/>
      <c r="L504" s="67"/>
      <c r="M504" s="67" t="s">
        <v>238</v>
      </c>
      <c r="N504" s="67" t="s">
        <v>1382</v>
      </c>
      <c r="O504" s="67" t="s">
        <v>1896</v>
      </c>
      <c r="P504" s="67" t="s">
        <v>19</v>
      </c>
      <c r="Q504" s="69">
        <v>1225</v>
      </c>
      <c r="R504" s="4">
        <f t="shared" si="22"/>
        <v>2800</v>
      </c>
      <c r="S504" s="4">
        <f t="shared" si="23"/>
        <v>2070</v>
      </c>
    </row>
    <row r="505" spans="1:19" ht="17.100000000000001" customHeight="1" x14ac:dyDescent="0.2">
      <c r="A505" s="23"/>
      <c r="B505" s="3" t="str">
        <f ca="1">IF(A505="В заказ",MAX($B$9:OFFSET(B505,-1,0))+1,"")</f>
        <v/>
      </c>
      <c r="C505" s="6" t="str">
        <f t="shared" si="21"/>
        <v>МДФ 10 2800*2070 MB шлифованный .</v>
      </c>
      <c r="D505" s="67" t="s">
        <v>1893</v>
      </c>
      <c r="E505" s="67"/>
      <c r="F505" s="67" t="s">
        <v>1898</v>
      </c>
      <c r="G505" s="68">
        <v>11014</v>
      </c>
      <c r="H505" s="67" t="s">
        <v>19</v>
      </c>
      <c r="I505" s="200"/>
      <c r="J505" s="67"/>
      <c r="K505" s="67"/>
      <c r="L505" s="67"/>
      <c r="M505" s="67" t="s">
        <v>238</v>
      </c>
      <c r="N505" s="67" t="s">
        <v>1407</v>
      </c>
      <c r="O505" s="67" t="s">
        <v>1896</v>
      </c>
      <c r="P505" s="67" t="s">
        <v>19</v>
      </c>
      <c r="Q505" s="69">
        <v>1505</v>
      </c>
      <c r="R505" s="4">
        <f t="shared" si="22"/>
        <v>2800</v>
      </c>
      <c r="S505" s="4">
        <f t="shared" si="23"/>
        <v>2070</v>
      </c>
    </row>
    <row r="506" spans="1:19" ht="17.100000000000001" customHeight="1" x14ac:dyDescent="0.2">
      <c r="A506" s="23"/>
      <c r="B506" s="3" t="str">
        <f ca="1">IF(A506="В заказ",MAX($B$9:OFFSET(B506,-1,0))+1,"")</f>
        <v/>
      </c>
      <c r="C506" s="6" t="str">
        <f t="shared" si="21"/>
        <v>МДФ 12 2800*2070 ST шлифованный .</v>
      </c>
      <c r="D506" s="67" t="s">
        <v>1893</v>
      </c>
      <c r="E506" s="67"/>
      <c r="F506" s="67" t="s">
        <v>1899</v>
      </c>
      <c r="G506" s="68">
        <v>10700</v>
      </c>
      <c r="H506" s="67" t="s">
        <v>19</v>
      </c>
      <c r="I506" s="200"/>
      <c r="J506" s="67"/>
      <c r="K506" s="67"/>
      <c r="L506" s="67"/>
      <c r="M506" s="67" t="s">
        <v>238</v>
      </c>
      <c r="N506" s="67" t="s">
        <v>1900</v>
      </c>
      <c r="O506" s="67" t="s">
        <v>1901</v>
      </c>
      <c r="P506" s="67" t="s">
        <v>19</v>
      </c>
      <c r="Q506" s="69">
        <v>1760</v>
      </c>
      <c r="R506" s="4">
        <f t="shared" si="22"/>
        <v>2800</v>
      </c>
      <c r="S506" s="4">
        <f t="shared" si="23"/>
        <v>2070</v>
      </c>
    </row>
    <row r="507" spans="1:19" ht="17.100000000000001" customHeight="1" x14ac:dyDescent="0.2">
      <c r="A507" s="23"/>
      <c r="B507" s="3" t="str">
        <f ca="1">IF(A507="В заказ",MAX($B$9:OFFSET(B507,-1,0))+1,"")</f>
        <v/>
      </c>
      <c r="C507" s="6" t="str">
        <f t="shared" si="21"/>
        <v>МДФ 16 2800*2070 F шлифованный .</v>
      </c>
      <c r="D507" s="67" t="s">
        <v>1893</v>
      </c>
      <c r="E507" s="67"/>
      <c r="F507" s="67" t="s">
        <v>2159</v>
      </c>
      <c r="G507" s="68">
        <v>7659</v>
      </c>
      <c r="H507" s="67" t="s">
        <v>2152</v>
      </c>
      <c r="I507" s="200"/>
      <c r="J507" s="67"/>
      <c r="K507" s="67"/>
      <c r="L507" s="67"/>
      <c r="M507" s="67" t="s">
        <v>238</v>
      </c>
      <c r="N507" s="67" t="s">
        <v>235</v>
      </c>
      <c r="O507" s="67" t="s">
        <v>2160</v>
      </c>
      <c r="P507" s="67" t="s">
        <v>2154</v>
      </c>
      <c r="Q507" s="69">
        <v>2530</v>
      </c>
      <c r="R507" s="4">
        <f t="shared" si="22"/>
        <v>2800</v>
      </c>
      <c r="S507" s="4">
        <f t="shared" si="23"/>
        <v>2070</v>
      </c>
    </row>
    <row r="508" spans="1:19" ht="17.100000000000001" customHeight="1" x14ac:dyDescent="0.2">
      <c r="A508" s="23"/>
      <c r="B508" s="3" t="str">
        <f ca="1">IF(A508="В заказ",MAX($B$9:OFFSET(B508,-1,0))+1,"")</f>
        <v/>
      </c>
      <c r="C508" s="6" t="str">
        <f t="shared" si="21"/>
        <v>МДФ 16 2800*2070 MB шлифованный .</v>
      </c>
      <c r="D508" s="67" t="s">
        <v>1893</v>
      </c>
      <c r="E508" s="67"/>
      <c r="F508" s="67" t="s">
        <v>1903</v>
      </c>
      <c r="G508" s="68">
        <v>11482</v>
      </c>
      <c r="H508" s="67" t="s">
        <v>19</v>
      </c>
      <c r="I508" s="200"/>
      <c r="J508" s="67"/>
      <c r="K508" s="67"/>
      <c r="L508" s="67"/>
      <c r="M508" s="67" t="s">
        <v>238</v>
      </c>
      <c r="N508" s="67" t="s">
        <v>235</v>
      </c>
      <c r="O508" s="67" t="s">
        <v>1896</v>
      </c>
      <c r="P508" s="67" t="s">
        <v>19</v>
      </c>
      <c r="Q508" s="69">
        <v>2530</v>
      </c>
      <c r="R508" s="4">
        <f t="shared" si="22"/>
        <v>2800</v>
      </c>
      <c r="S508" s="4">
        <f t="shared" si="23"/>
        <v>2070</v>
      </c>
    </row>
    <row r="509" spans="1:19" ht="17.100000000000001" customHeight="1" x14ac:dyDescent="0.2">
      <c r="A509" s="23"/>
      <c r="B509" s="3" t="str">
        <f ca="1">IF(A509="В заказ",MAX($B$9:OFFSET(B509,-1,0))+1,"")</f>
        <v/>
      </c>
      <c r="C509" s="6" t="str">
        <f t="shared" si="21"/>
        <v>МДФ 16 2800*2070 MR Влагостойкий шлифованный .</v>
      </c>
      <c r="D509" s="67" t="s">
        <v>1893</v>
      </c>
      <c r="E509" s="67"/>
      <c r="F509" s="67" t="s">
        <v>2161</v>
      </c>
      <c r="G509" s="68">
        <v>19784</v>
      </c>
      <c r="H509" s="67" t="s">
        <v>2152</v>
      </c>
      <c r="I509" s="200"/>
      <c r="J509" s="67"/>
      <c r="K509" s="67"/>
      <c r="L509" s="67"/>
      <c r="M509" s="67" t="s">
        <v>238</v>
      </c>
      <c r="N509" s="67" t="s">
        <v>235</v>
      </c>
      <c r="O509" s="67" t="s">
        <v>2162</v>
      </c>
      <c r="P509" s="67" t="s">
        <v>2154</v>
      </c>
      <c r="Q509" s="69">
        <v>6765</v>
      </c>
      <c r="R509" s="4">
        <f t="shared" si="22"/>
        <v>2800</v>
      </c>
      <c r="S509" s="4">
        <f t="shared" si="23"/>
        <v>2070</v>
      </c>
    </row>
    <row r="510" spans="1:19" ht="17.100000000000001" customHeight="1" x14ac:dyDescent="0.2">
      <c r="A510" s="23"/>
      <c r="B510" s="3" t="str">
        <f ca="1">IF(A510="В заказ",MAX($B$9:OFFSET(B510,-1,0))+1,"")</f>
        <v/>
      </c>
      <c r="C510" s="6" t="str">
        <f t="shared" si="21"/>
        <v>МДФ 16 2800*2070 MR влагостойкий шлифованный .</v>
      </c>
      <c r="D510" s="67" t="s">
        <v>1893</v>
      </c>
      <c r="E510" s="67"/>
      <c r="F510" s="67" t="s">
        <v>1904</v>
      </c>
      <c r="G510" s="68">
        <v>15121</v>
      </c>
      <c r="H510" s="67" t="s">
        <v>1902</v>
      </c>
      <c r="I510" s="200"/>
      <c r="J510" s="67"/>
      <c r="K510" s="67"/>
      <c r="L510" s="67"/>
      <c r="M510" s="67" t="s">
        <v>238</v>
      </c>
      <c r="N510" s="67" t="s">
        <v>235</v>
      </c>
      <c r="O510" s="67" t="s">
        <v>1905</v>
      </c>
      <c r="P510" s="67" t="s">
        <v>1872</v>
      </c>
      <c r="Q510" s="69">
        <v>10820</v>
      </c>
      <c r="R510" s="4">
        <f t="shared" si="22"/>
        <v>2800</v>
      </c>
      <c r="S510" s="4">
        <f t="shared" si="23"/>
        <v>2070</v>
      </c>
    </row>
    <row r="511" spans="1:19" ht="17.100000000000001" customHeight="1" x14ac:dyDescent="0.2">
      <c r="A511" s="23"/>
      <c r="B511" s="3" t="str">
        <f ca="1">IF(A511="В заказ",MAX($B$9:OFFSET(B511,-1,0))+1,"")</f>
        <v/>
      </c>
      <c r="C511" s="6" t="str">
        <f t="shared" ref="C511:C558" si="24">D511&amp;" "&amp;N511&amp;" "&amp;IF(OR(D511="ДСП",D511="МДФ",D511="Фанера",D511="ХДФ"),M511,J511)&amp;" "&amp;IF(OR(D511="ДСП",D511="МДФ",D511="Фанера",D511="ХДФ"),O511,L511)&amp;" "&amp;IF(OR(D511="ДСП",D511="МДФ",D511="Фанера",D511="ХДФ"),"",IF(D511="БСП",M511,O511))&amp;"."</f>
        <v>МДФ 16 2800*2070 ST шлифованный .</v>
      </c>
      <c r="D511" s="67" t="s">
        <v>1893</v>
      </c>
      <c r="E511" s="67"/>
      <c r="F511" s="67" t="s">
        <v>1906</v>
      </c>
      <c r="G511" s="68">
        <v>10026</v>
      </c>
      <c r="H511" s="67" t="s">
        <v>19</v>
      </c>
      <c r="I511" s="200"/>
      <c r="J511" s="67"/>
      <c r="K511" s="67"/>
      <c r="L511" s="67"/>
      <c r="M511" s="67" t="s">
        <v>238</v>
      </c>
      <c r="N511" s="67" t="s">
        <v>235</v>
      </c>
      <c r="O511" s="67" t="s">
        <v>1901</v>
      </c>
      <c r="P511" s="67" t="s">
        <v>19</v>
      </c>
      <c r="Q511" s="69">
        <v>2310</v>
      </c>
      <c r="R511" s="4">
        <f t="shared" si="22"/>
        <v>2800</v>
      </c>
      <c r="S511" s="4">
        <f t="shared" si="23"/>
        <v>2070</v>
      </c>
    </row>
    <row r="512" spans="1:19" ht="17.100000000000001" customHeight="1" x14ac:dyDescent="0.2">
      <c r="A512" s="23"/>
      <c r="B512" s="3" t="str">
        <f ca="1">IF(A512="В заказ",MAX($B$9:OFFSET(B512,-1,0))+1,"")</f>
        <v/>
      </c>
      <c r="C512" s="6" t="str">
        <f t="shared" si="24"/>
        <v>МДФ 16 2800*2070 ST шлифованный .</v>
      </c>
      <c r="D512" s="67" t="s">
        <v>1893</v>
      </c>
      <c r="E512" s="67"/>
      <c r="F512" s="67" t="s">
        <v>2163</v>
      </c>
      <c r="G512" s="68">
        <v>18102</v>
      </c>
      <c r="H512" s="67" t="s">
        <v>2152</v>
      </c>
      <c r="I512" s="200"/>
      <c r="J512" s="67"/>
      <c r="K512" s="67"/>
      <c r="L512" s="67"/>
      <c r="M512" s="67" t="s">
        <v>238</v>
      </c>
      <c r="N512" s="67" t="s">
        <v>235</v>
      </c>
      <c r="O512" s="67" t="s">
        <v>1901</v>
      </c>
      <c r="P512" s="67" t="s">
        <v>2154</v>
      </c>
      <c r="Q512" s="69">
        <v>2360</v>
      </c>
      <c r="R512" s="4">
        <f t="shared" si="22"/>
        <v>2800</v>
      </c>
      <c r="S512" s="4">
        <f t="shared" si="23"/>
        <v>2070</v>
      </c>
    </row>
    <row r="513" spans="1:19" ht="17.100000000000001" customHeight="1" x14ac:dyDescent="0.2">
      <c r="A513" s="23"/>
      <c r="B513" s="3" t="str">
        <f ca="1">IF(A513="В заказ",MAX($B$9:OFFSET(B513,-1,0))+1,"")</f>
        <v/>
      </c>
      <c r="C513" s="6" t="str">
        <f t="shared" si="24"/>
        <v>МДФ 18 2800*2070 MB шлифованный .</v>
      </c>
      <c r="D513" s="67" t="s">
        <v>1893</v>
      </c>
      <c r="E513" s="67"/>
      <c r="F513" s="67" t="s">
        <v>1907</v>
      </c>
      <c r="G513" s="68">
        <v>12134</v>
      </c>
      <c r="H513" s="67" t="s">
        <v>19</v>
      </c>
      <c r="I513" s="200"/>
      <c r="J513" s="67"/>
      <c r="K513" s="67"/>
      <c r="L513" s="67"/>
      <c r="M513" s="67" t="s">
        <v>238</v>
      </c>
      <c r="N513" s="67" t="s">
        <v>1385</v>
      </c>
      <c r="O513" s="67" t="s">
        <v>1896</v>
      </c>
      <c r="P513" s="67" t="s">
        <v>19</v>
      </c>
      <c r="Q513" s="69">
        <v>2835</v>
      </c>
      <c r="R513" s="4">
        <f t="shared" si="22"/>
        <v>2800</v>
      </c>
      <c r="S513" s="4">
        <f t="shared" si="23"/>
        <v>2070</v>
      </c>
    </row>
    <row r="514" spans="1:19" ht="17.100000000000001" customHeight="1" x14ac:dyDescent="0.2">
      <c r="A514" s="23"/>
      <c r="B514" s="3" t="str">
        <f ca="1">IF(A514="В заказ",MAX($B$9:OFFSET(B514,-1,0))+1,"")</f>
        <v/>
      </c>
      <c r="C514" s="6" t="str">
        <f t="shared" si="24"/>
        <v>МДФ 18 2800*2070 ST шлифованный .</v>
      </c>
      <c r="D514" s="67" t="s">
        <v>1893</v>
      </c>
      <c r="E514" s="67"/>
      <c r="F514" s="67" t="s">
        <v>1908</v>
      </c>
      <c r="G514" s="68">
        <v>10701</v>
      </c>
      <c r="H514" s="67" t="s">
        <v>19</v>
      </c>
      <c r="I514" s="200"/>
      <c r="J514" s="67"/>
      <c r="K514" s="67"/>
      <c r="L514" s="67"/>
      <c r="M514" s="67" t="s">
        <v>238</v>
      </c>
      <c r="N514" s="67" t="s">
        <v>1385</v>
      </c>
      <c r="O514" s="67" t="s">
        <v>1901</v>
      </c>
      <c r="P514" s="67" t="s">
        <v>19</v>
      </c>
      <c r="Q514" s="69">
        <v>2595</v>
      </c>
      <c r="R514" s="4">
        <f t="shared" si="22"/>
        <v>2800</v>
      </c>
      <c r="S514" s="4">
        <f t="shared" si="23"/>
        <v>2070</v>
      </c>
    </row>
    <row r="515" spans="1:19" ht="17.100000000000001" customHeight="1" x14ac:dyDescent="0.2">
      <c r="A515" s="23"/>
      <c r="B515" s="3" t="str">
        <f ca="1">IF(A515="В заказ",MAX($B$9:OFFSET(B515,-1,0))+1,"")</f>
        <v/>
      </c>
      <c r="C515" s="6" t="str">
        <f t="shared" si="24"/>
        <v>МДФ 19 2800*2070 F шлифованный .</v>
      </c>
      <c r="D515" s="67" t="s">
        <v>1893</v>
      </c>
      <c r="E515" s="67"/>
      <c r="F515" s="67" t="s">
        <v>2164</v>
      </c>
      <c r="G515" s="68">
        <v>17823</v>
      </c>
      <c r="H515" s="67" t="s">
        <v>2152</v>
      </c>
      <c r="I515" s="200"/>
      <c r="J515" s="67"/>
      <c r="K515" s="67"/>
      <c r="L515" s="67"/>
      <c r="M515" s="67" t="s">
        <v>238</v>
      </c>
      <c r="N515" s="67" t="s">
        <v>252</v>
      </c>
      <c r="O515" s="67" t="s">
        <v>2160</v>
      </c>
      <c r="P515" s="67" t="s">
        <v>2154</v>
      </c>
      <c r="Q515" s="69">
        <v>2970</v>
      </c>
      <c r="R515" s="4">
        <f t="shared" si="22"/>
        <v>2800</v>
      </c>
      <c r="S515" s="4">
        <f t="shared" si="23"/>
        <v>2070</v>
      </c>
    </row>
    <row r="516" spans="1:19" ht="17.100000000000001" customHeight="1" x14ac:dyDescent="0.2">
      <c r="A516" s="23"/>
      <c r="B516" s="3" t="str">
        <f ca="1">IF(A516="В заказ",MAX($B$9:OFFSET(B516,-1,0))+1,"")</f>
        <v/>
      </c>
      <c r="C516" s="6" t="str">
        <f t="shared" si="24"/>
        <v>МДФ 19 2800*2070 MB шлифованный .</v>
      </c>
      <c r="D516" s="67" t="s">
        <v>1893</v>
      </c>
      <c r="E516" s="67"/>
      <c r="F516" s="67" t="s">
        <v>1909</v>
      </c>
      <c r="G516" s="68">
        <v>16397</v>
      </c>
      <c r="H516" s="67" t="s">
        <v>19</v>
      </c>
      <c r="I516" s="200"/>
      <c r="J516" s="67"/>
      <c r="K516" s="67"/>
      <c r="L516" s="67"/>
      <c r="M516" s="67" t="s">
        <v>238</v>
      </c>
      <c r="N516" s="67" t="s">
        <v>252</v>
      </c>
      <c r="O516" s="67" t="s">
        <v>1896</v>
      </c>
      <c r="P516" s="67" t="s">
        <v>19</v>
      </c>
      <c r="Q516" s="69">
        <v>2970</v>
      </c>
      <c r="R516" s="4">
        <f t="shared" si="22"/>
        <v>2800</v>
      </c>
      <c r="S516" s="4">
        <f t="shared" si="23"/>
        <v>2070</v>
      </c>
    </row>
    <row r="517" spans="1:19" ht="17.100000000000001" customHeight="1" x14ac:dyDescent="0.2">
      <c r="A517" s="23"/>
      <c r="B517" s="3" t="str">
        <f ca="1">IF(A517="В заказ",MAX($B$9:OFFSET(B517,-1,0))+1,"")</f>
        <v/>
      </c>
      <c r="C517" s="6" t="str">
        <f t="shared" si="24"/>
        <v>МДФ 19 2800*2070 ST шлифованный .</v>
      </c>
      <c r="D517" s="67" t="s">
        <v>1893</v>
      </c>
      <c r="E517" s="67"/>
      <c r="F517" s="67" t="s">
        <v>1910</v>
      </c>
      <c r="G517" s="68">
        <v>10740</v>
      </c>
      <c r="H517" s="67" t="s">
        <v>19</v>
      </c>
      <c r="I517" s="200"/>
      <c r="J517" s="67"/>
      <c r="K517" s="67"/>
      <c r="L517" s="67"/>
      <c r="M517" s="67" t="s">
        <v>238</v>
      </c>
      <c r="N517" s="67" t="s">
        <v>252</v>
      </c>
      <c r="O517" s="67" t="s">
        <v>1901</v>
      </c>
      <c r="P517" s="67" t="s">
        <v>19</v>
      </c>
      <c r="Q517" s="69">
        <v>2775</v>
      </c>
      <c r="R517" s="4">
        <f t="shared" si="22"/>
        <v>2800</v>
      </c>
      <c r="S517" s="4">
        <f t="shared" si="23"/>
        <v>2070</v>
      </c>
    </row>
    <row r="518" spans="1:19" ht="17.100000000000001" customHeight="1" x14ac:dyDescent="0.2">
      <c r="A518" s="23"/>
      <c r="B518" s="3" t="str">
        <f ca="1">IF(A518="В заказ",MAX($B$9:OFFSET(B518,-1,0))+1,"")</f>
        <v/>
      </c>
      <c r="C518" s="6" t="str">
        <f t="shared" si="24"/>
        <v>МДФ 22 2800*2070 MB шлифованный .</v>
      </c>
      <c r="D518" s="67" t="s">
        <v>1893</v>
      </c>
      <c r="E518" s="67"/>
      <c r="F518" s="67" t="s">
        <v>1911</v>
      </c>
      <c r="G518" s="68">
        <v>13270</v>
      </c>
      <c r="H518" s="67" t="s">
        <v>19</v>
      </c>
      <c r="I518" s="200"/>
      <c r="J518" s="67"/>
      <c r="K518" s="67"/>
      <c r="L518" s="67"/>
      <c r="M518" s="67" t="s">
        <v>238</v>
      </c>
      <c r="N518" s="67" t="s">
        <v>1845</v>
      </c>
      <c r="O518" s="67" t="s">
        <v>1896</v>
      </c>
      <c r="P518" s="67" t="s">
        <v>19</v>
      </c>
      <c r="Q518" s="69">
        <v>3590</v>
      </c>
      <c r="R518" s="4">
        <f t="shared" si="22"/>
        <v>2800</v>
      </c>
      <c r="S518" s="4">
        <f t="shared" si="23"/>
        <v>2070</v>
      </c>
    </row>
    <row r="519" spans="1:19" ht="17.100000000000001" customHeight="1" x14ac:dyDescent="0.2">
      <c r="A519" s="23"/>
      <c r="B519" s="3" t="str">
        <f ca="1">IF(A519="В заказ",MAX($B$9:OFFSET(B519,-1,0))+1,"")</f>
        <v/>
      </c>
      <c r="C519" s="6" t="str">
        <f t="shared" si="24"/>
        <v>МДФ 22 2800*2070 ST шлифованный .</v>
      </c>
      <c r="D519" s="67" t="s">
        <v>1893</v>
      </c>
      <c r="E519" s="67"/>
      <c r="F519" s="67" t="s">
        <v>1912</v>
      </c>
      <c r="G519" s="68">
        <v>10672</v>
      </c>
      <c r="H519" s="67" t="s">
        <v>19</v>
      </c>
      <c r="I519" s="200"/>
      <c r="J519" s="67"/>
      <c r="K519" s="67"/>
      <c r="L519" s="67"/>
      <c r="M519" s="67" t="s">
        <v>238</v>
      </c>
      <c r="N519" s="67" t="s">
        <v>1845</v>
      </c>
      <c r="O519" s="67" t="s">
        <v>1901</v>
      </c>
      <c r="P519" s="67" t="s">
        <v>19</v>
      </c>
      <c r="Q519" s="69">
        <v>3380</v>
      </c>
      <c r="R519" s="4">
        <f t="shared" si="22"/>
        <v>2800</v>
      </c>
      <c r="S519" s="4">
        <f t="shared" si="23"/>
        <v>2070</v>
      </c>
    </row>
    <row r="520" spans="1:19" ht="17.100000000000001" customHeight="1" x14ac:dyDescent="0.2">
      <c r="A520" s="23"/>
      <c r="B520" s="3" t="str">
        <f ca="1">IF(A520="В заказ",MAX($B$9:OFFSET(B520,-1,0))+1,"")</f>
        <v/>
      </c>
      <c r="C520" s="6" t="str">
        <f t="shared" si="24"/>
        <v>МДФ 25 2800*2070 F шлифованный .</v>
      </c>
      <c r="D520" s="67" t="s">
        <v>1893</v>
      </c>
      <c r="E520" s="67"/>
      <c r="F520" s="67" t="s">
        <v>2165</v>
      </c>
      <c r="G520" s="68">
        <v>7735</v>
      </c>
      <c r="H520" s="67" t="s">
        <v>2152</v>
      </c>
      <c r="I520" s="200"/>
      <c r="J520" s="67"/>
      <c r="K520" s="67"/>
      <c r="L520" s="67"/>
      <c r="M520" s="67" t="s">
        <v>238</v>
      </c>
      <c r="N520" s="67" t="s">
        <v>1387</v>
      </c>
      <c r="O520" s="67" t="s">
        <v>2160</v>
      </c>
      <c r="P520" s="67" t="s">
        <v>2154</v>
      </c>
      <c r="Q520" s="69">
        <v>4255</v>
      </c>
      <c r="R520" s="4">
        <f t="shared" si="22"/>
        <v>2800</v>
      </c>
      <c r="S520" s="4">
        <f t="shared" si="23"/>
        <v>2070</v>
      </c>
    </row>
    <row r="521" spans="1:19" ht="17.100000000000001" customHeight="1" x14ac:dyDescent="0.2">
      <c r="A521" s="23"/>
      <c r="B521" s="3" t="str">
        <f ca="1">IF(A521="В заказ",MAX($B$9:OFFSET(B521,-1,0))+1,"")</f>
        <v/>
      </c>
      <c r="C521" s="6" t="str">
        <f t="shared" si="24"/>
        <v>МДФ 25 2800*2070 ST шлифованный .</v>
      </c>
      <c r="D521" s="67" t="s">
        <v>1893</v>
      </c>
      <c r="E521" s="67"/>
      <c r="F521" s="67" t="s">
        <v>1913</v>
      </c>
      <c r="G521" s="68">
        <v>10671</v>
      </c>
      <c r="H521" s="67" t="s">
        <v>19</v>
      </c>
      <c r="I521" s="200"/>
      <c r="J521" s="67"/>
      <c r="K521" s="67"/>
      <c r="L521" s="67"/>
      <c r="M521" s="67" t="s">
        <v>238</v>
      </c>
      <c r="N521" s="67" t="s">
        <v>1387</v>
      </c>
      <c r="O521" s="67" t="s">
        <v>1901</v>
      </c>
      <c r="P521" s="67" t="s">
        <v>19</v>
      </c>
      <c r="Q521" s="69">
        <v>3820</v>
      </c>
      <c r="R521" s="4">
        <f t="shared" si="22"/>
        <v>2800</v>
      </c>
      <c r="S521" s="4">
        <f t="shared" si="23"/>
        <v>2070</v>
      </c>
    </row>
    <row r="522" spans="1:19" ht="17.100000000000001" customHeight="1" x14ac:dyDescent="0.2">
      <c r="A522" s="23"/>
      <c r="B522" s="3" t="str">
        <f ca="1">IF(A522="В заказ",MAX($B$9:OFFSET(B522,-1,0))+1,"")</f>
        <v/>
      </c>
      <c r="C522" s="6" t="str">
        <f t="shared" si="24"/>
        <v>МДФ 30 2800*2070 ST шлифованный .</v>
      </c>
      <c r="D522" s="67" t="s">
        <v>1893</v>
      </c>
      <c r="E522" s="67"/>
      <c r="F522" s="67" t="s">
        <v>1914</v>
      </c>
      <c r="G522" s="68">
        <v>16338</v>
      </c>
      <c r="H522" s="67" t="s">
        <v>19</v>
      </c>
      <c r="I522" s="200"/>
      <c r="J522" s="67"/>
      <c r="K522" s="67"/>
      <c r="L522" s="67"/>
      <c r="M522" s="67" t="s">
        <v>238</v>
      </c>
      <c r="N522" s="67" t="s">
        <v>1915</v>
      </c>
      <c r="O522" s="67" t="s">
        <v>1901</v>
      </c>
      <c r="P522" s="67" t="s">
        <v>19</v>
      </c>
      <c r="Q522" s="69">
        <v>5185</v>
      </c>
      <c r="R522" s="4">
        <f t="shared" si="22"/>
        <v>2800</v>
      </c>
      <c r="S522" s="4">
        <f t="shared" si="23"/>
        <v>2070</v>
      </c>
    </row>
    <row r="523" spans="1:19" ht="17.100000000000001" customHeight="1" x14ac:dyDescent="0.2">
      <c r="A523" s="23"/>
      <c r="B523" s="3" t="str">
        <f ca="1">IF(A523="В заказ",MAX($B$9:OFFSET(B523,-1,0))+1,"")</f>
        <v/>
      </c>
      <c r="C523" s="6" t="str">
        <f t="shared" si="24"/>
        <v>МДФ 19 2800*2070 MB GFE 2-сторонний с грунтовочным покрытием .</v>
      </c>
      <c r="D523" s="67" t="s">
        <v>1893</v>
      </c>
      <c r="E523" s="67"/>
      <c r="F523" s="67" t="s">
        <v>1916</v>
      </c>
      <c r="G523" s="68">
        <v>12111</v>
      </c>
      <c r="H523" s="67" t="s">
        <v>19</v>
      </c>
      <c r="I523" s="200"/>
      <c r="J523" s="67"/>
      <c r="K523" s="67"/>
      <c r="L523" s="67" t="s">
        <v>30</v>
      </c>
      <c r="M523" s="67" t="s">
        <v>238</v>
      </c>
      <c r="N523" s="67" t="s">
        <v>252</v>
      </c>
      <c r="O523" s="67" t="s">
        <v>1917</v>
      </c>
      <c r="P523" s="67" t="s">
        <v>19</v>
      </c>
      <c r="Q523" s="69">
        <v>4115</v>
      </c>
      <c r="R523" s="4">
        <f t="shared" ref="R523:R558" si="25">IFERROR(LEFT(M523,FIND("*",M523)-1)*1,"")</f>
        <v>2800</v>
      </c>
      <c r="S523" s="4">
        <f t="shared" ref="S523:S558" si="26">IFERROR(RIGHT(M523,LEN(M523)-FIND("*",M523))*1,"")</f>
        <v>2070</v>
      </c>
    </row>
    <row r="524" spans="1:19" ht="17.100000000000001" customHeight="1" x14ac:dyDescent="0.2">
      <c r="A524" s="23"/>
      <c r="B524" s="3" t="str">
        <f ca="1">IF(A524="В заказ",MAX($B$9:OFFSET(B524,-1,0))+1,"")</f>
        <v/>
      </c>
      <c r="C524" s="6" t="str">
        <f t="shared" si="24"/>
        <v>ХДФ 03 2800*2070  .</v>
      </c>
      <c r="D524" s="67" t="s">
        <v>1918</v>
      </c>
      <c r="E524" s="67"/>
      <c r="F524" s="67" t="s">
        <v>1919</v>
      </c>
      <c r="G524" s="68">
        <v>1319</v>
      </c>
      <c r="H524" s="67" t="s">
        <v>1858</v>
      </c>
      <c r="I524" s="200"/>
      <c r="J524" s="67"/>
      <c r="K524" s="67"/>
      <c r="L524" s="67"/>
      <c r="M524" s="67" t="s">
        <v>238</v>
      </c>
      <c r="N524" s="67" t="s">
        <v>1862</v>
      </c>
      <c r="O524" s="67"/>
      <c r="P524" s="67" t="s">
        <v>1377</v>
      </c>
      <c r="Q524" s="69">
        <v>1067</v>
      </c>
      <c r="R524" s="4">
        <f t="shared" si="25"/>
        <v>2800</v>
      </c>
      <c r="S524" s="4">
        <f t="shared" si="26"/>
        <v>2070</v>
      </c>
    </row>
    <row r="525" spans="1:19" ht="17.100000000000001" customHeight="1" x14ac:dyDescent="0.2">
      <c r="A525" s="23"/>
      <c r="B525" s="3"/>
      <c r="C525" s="6" t="str">
        <f t="shared" si="24"/>
        <v>ХДФ 04 2800*2070  .</v>
      </c>
      <c r="D525" s="67" t="s">
        <v>1918</v>
      </c>
      <c r="E525" s="67"/>
      <c r="F525" s="67" t="s">
        <v>2065</v>
      </c>
      <c r="G525" s="70">
        <v>206</v>
      </c>
      <c r="H525" s="67" t="s">
        <v>1858</v>
      </c>
      <c r="I525" s="200"/>
      <c r="J525" s="67"/>
      <c r="K525" s="67"/>
      <c r="L525" s="67"/>
      <c r="M525" s="67" t="s">
        <v>238</v>
      </c>
      <c r="N525" s="67" t="s">
        <v>1894</v>
      </c>
      <c r="O525" s="67"/>
      <c r="P525" s="67" t="s">
        <v>1377</v>
      </c>
      <c r="Q525" s="69">
        <v>1391</v>
      </c>
      <c r="R525" s="4">
        <f t="shared" si="25"/>
        <v>2800</v>
      </c>
      <c r="S525" s="4">
        <f t="shared" si="26"/>
        <v>2070</v>
      </c>
    </row>
    <row r="526" spans="1:19" ht="17.100000000000001" customHeight="1" x14ac:dyDescent="0.2">
      <c r="A526" s="23"/>
      <c r="B526" s="3"/>
      <c r="C526" s="6" t="str">
        <f t="shared" si="24"/>
        <v xml:space="preserve">    .</v>
      </c>
      <c r="D526" s="67"/>
      <c r="E526" s="67"/>
      <c r="F526" s="67"/>
      <c r="G526" s="68"/>
      <c r="H526" s="67"/>
      <c r="I526" s="200"/>
      <c r="J526" s="67"/>
      <c r="K526" s="67"/>
      <c r="L526" s="67"/>
      <c r="M526" s="67"/>
      <c r="N526" s="67"/>
      <c r="O526" s="67"/>
      <c r="P526" s="67"/>
      <c r="Q526" s="69"/>
      <c r="R526" s="4" t="str">
        <f t="shared" si="25"/>
        <v/>
      </c>
      <c r="S526" s="4" t="str">
        <f t="shared" si="26"/>
        <v/>
      </c>
    </row>
    <row r="527" spans="1:19" ht="17.100000000000001" hidden="1" customHeight="1" x14ac:dyDescent="0.2">
      <c r="A527" s="23"/>
      <c r="B527" s="3"/>
      <c r="C527" s="6" t="str">
        <f t="shared" si="24"/>
        <v xml:space="preserve">    .</v>
      </c>
      <c r="D527" s="67"/>
      <c r="E527" s="67"/>
      <c r="F527" s="67"/>
      <c r="G527" s="68"/>
      <c r="H527" s="67"/>
      <c r="I527" s="200"/>
      <c r="J527" s="67"/>
      <c r="K527" s="67"/>
      <c r="L527" s="67"/>
      <c r="M527" s="67"/>
      <c r="N527" s="67"/>
      <c r="O527" s="67"/>
      <c r="P527" s="67"/>
      <c r="Q527" s="69"/>
      <c r="R527" s="4" t="str">
        <f t="shared" si="25"/>
        <v/>
      </c>
      <c r="S527" s="4" t="str">
        <f t="shared" si="26"/>
        <v/>
      </c>
    </row>
    <row r="528" spans="1:19" ht="17.100000000000001" hidden="1" customHeight="1" x14ac:dyDescent="0.2">
      <c r="A528" s="23"/>
      <c r="B528" s="3"/>
      <c r="C528" s="6" t="str">
        <f t="shared" si="24"/>
        <v xml:space="preserve">    .</v>
      </c>
      <c r="D528" s="67"/>
      <c r="E528" s="67"/>
      <c r="F528" s="67"/>
      <c r="G528" s="68"/>
      <c r="H528" s="67"/>
      <c r="I528" s="200"/>
      <c r="J528" s="67"/>
      <c r="K528" s="67"/>
      <c r="L528" s="67"/>
      <c r="M528" s="67"/>
      <c r="N528" s="67"/>
      <c r="O528" s="67"/>
      <c r="P528" s="67"/>
      <c r="Q528" s="69"/>
      <c r="R528" s="4" t="str">
        <f t="shared" si="25"/>
        <v/>
      </c>
      <c r="S528" s="4" t="str">
        <f t="shared" si="26"/>
        <v/>
      </c>
    </row>
    <row r="529" spans="1:19" ht="17.100000000000001" hidden="1" customHeight="1" x14ac:dyDescent="0.2">
      <c r="A529" s="23"/>
      <c r="B529" s="3"/>
      <c r="C529" s="6" t="str">
        <f t="shared" si="24"/>
        <v xml:space="preserve">    .</v>
      </c>
      <c r="D529" s="67"/>
      <c r="E529" s="67"/>
      <c r="F529" s="67"/>
      <c r="G529" s="68"/>
      <c r="H529" s="67"/>
      <c r="I529" s="200"/>
      <c r="J529" s="67"/>
      <c r="K529" s="67"/>
      <c r="L529" s="67"/>
      <c r="M529" s="67"/>
      <c r="N529" s="67"/>
      <c r="O529" s="67"/>
      <c r="P529" s="67"/>
      <c r="Q529" s="69"/>
      <c r="R529" s="4" t="str">
        <f t="shared" si="25"/>
        <v/>
      </c>
      <c r="S529" s="4" t="str">
        <f t="shared" si="26"/>
        <v/>
      </c>
    </row>
    <row r="530" spans="1:19" ht="17.100000000000001" hidden="1" customHeight="1" x14ac:dyDescent="0.2">
      <c r="A530" s="23"/>
      <c r="B530" s="3"/>
      <c r="C530" s="6" t="str">
        <f t="shared" si="24"/>
        <v xml:space="preserve">    .</v>
      </c>
      <c r="D530" s="67"/>
      <c r="E530" s="67"/>
      <c r="F530" s="67"/>
      <c r="G530" s="68"/>
      <c r="H530" s="67"/>
      <c r="I530" s="200"/>
      <c r="J530" s="67"/>
      <c r="K530" s="67"/>
      <c r="L530" s="67"/>
      <c r="M530" s="67"/>
      <c r="N530" s="67"/>
      <c r="O530" s="67"/>
      <c r="P530" s="67"/>
      <c r="Q530" s="71"/>
      <c r="R530" s="4" t="str">
        <f t="shared" si="25"/>
        <v/>
      </c>
      <c r="S530" s="4" t="str">
        <f t="shared" si="26"/>
        <v/>
      </c>
    </row>
    <row r="531" spans="1:19" ht="17.100000000000001" hidden="1" customHeight="1" x14ac:dyDescent="0.2">
      <c r="A531" s="23"/>
      <c r="B531" s="3"/>
      <c r="C531" s="6" t="str">
        <f t="shared" si="24"/>
        <v xml:space="preserve">    .</v>
      </c>
      <c r="D531" s="67"/>
      <c r="E531" s="67"/>
      <c r="F531" s="67"/>
      <c r="G531" s="70"/>
      <c r="H531" s="67"/>
      <c r="I531" s="200"/>
      <c r="J531" s="67"/>
      <c r="K531" s="67"/>
      <c r="L531" s="67"/>
      <c r="M531" s="67"/>
      <c r="N531" s="67"/>
      <c r="O531" s="67"/>
      <c r="P531" s="67"/>
      <c r="Q531" s="69"/>
      <c r="R531" s="4" t="str">
        <f t="shared" si="25"/>
        <v/>
      </c>
      <c r="S531" s="4" t="str">
        <f t="shared" si="26"/>
        <v/>
      </c>
    </row>
    <row r="532" spans="1:19" ht="17.100000000000001" hidden="1" customHeight="1" x14ac:dyDescent="0.2">
      <c r="A532" s="23"/>
      <c r="B532" s="3"/>
      <c r="C532" s="6" t="str">
        <f t="shared" si="24"/>
        <v xml:space="preserve">    .</v>
      </c>
      <c r="D532" s="173"/>
      <c r="E532" s="134"/>
      <c r="F532" s="134"/>
      <c r="G532" s="137"/>
      <c r="H532" s="134"/>
      <c r="I532" s="134"/>
      <c r="J532" s="134"/>
      <c r="K532" s="134"/>
      <c r="L532" s="134"/>
      <c r="M532" s="134"/>
      <c r="N532" s="134"/>
      <c r="O532" s="134"/>
      <c r="P532" s="134"/>
      <c r="Q532" s="136"/>
      <c r="R532" s="4" t="str">
        <f t="shared" si="25"/>
        <v/>
      </c>
      <c r="S532" s="4" t="str">
        <f t="shared" si="26"/>
        <v/>
      </c>
    </row>
    <row r="533" spans="1:19" ht="17.100000000000001" hidden="1" customHeight="1" x14ac:dyDescent="0.2">
      <c r="A533" s="23"/>
      <c r="B533" s="3"/>
      <c r="C533" s="6" t="str">
        <f t="shared" si="24"/>
        <v xml:space="preserve">    .</v>
      </c>
      <c r="D533" s="173"/>
      <c r="E533" s="134"/>
      <c r="F533" s="134"/>
      <c r="G533" s="135"/>
      <c r="H533" s="134"/>
      <c r="I533" s="134"/>
      <c r="J533" s="134"/>
      <c r="K533" s="134"/>
      <c r="L533" s="134"/>
      <c r="M533" s="134"/>
      <c r="N533" s="134"/>
      <c r="O533" s="134"/>
      <c r="P533" s="134"/>
      <c r="Q533" s="136"/>
      <c r="R533" s="4" t="str">
        <f t="shared" si="25"/>
        <v/>
      </c>
      <c r="S533" s="4" t="str">
        <f t="shared" si="26"/>
        <v/>
      </c>
    </row>
    <row r="534" spans="1:19" ht="17.100000000000001" hidden="1" customHeight="1" x14ac:dyDescent="0.2">
      <c r="A534" s="23"/>
      <c r="B534" s="3"/>
      <c r="C534" s="6" t="str">
        <f t="shared" si="24"/>
        <v xml:space="preserve">    .</v>
      </c>
      <c r="D534" s="173"/>
      <c r="E534" s="134"/>
      <c r="F534" s="134"/>
      <c r="G534" s="135"/>
      <c r="H534" s="134"/>
      <c r="I534" s="134"/>
      <c r="J534" s="134"/>
      <c r="K534" s="134"/>
      <c r="L534" s="134"/>
      <c r="M534" s="134"/>
      <c r="N534" s="134"/>
      <c r="O534" s="134"/>
      <c r="P534" s="134"/>
      <c r="Q534" s="136"/>
      <c r="R534" s="4" t="str">
        <f t="shared" si="25"/>
        <v/>
      </c>
      <c r="S534" s="4" t="str">
        <f t="shared" si="26"/>
        <v/>
      </c>
    </row>
    <row r="535" spans="1:19" ht="17.100000000000001" hidden="1" customHeight="1" x14ac:dyDescent="0.2">
      <c r="A535" s="23"/>
      <c r="B535" s="3"/>
      <c r="C535" s="6" t="str">
        <f t="shared" si="24"/>
        <v xml:space="preserve">    .</v>
      </c>
      <c r="D535" s="173"/>
      <c r="E535" s="134"/>
      <c r="F535" s="134"/>
      <c r="G535" s="135"/>
      <c r="H535" s="134"/>
      <c r="I535" s="134"/>
      <c r="J535" s="134"/>
      <c r="K535" s="134"/>
      <c r="L535" s="134"/>
      <c r="M535" s="134"/>
      <c r="N535" s="134"/>
      <c r="O535" s="134"/>
      <c r="P535" s="134"/>
      <c r="Q535" s="138"/>
      <c r="R535" s="4" t="str">
        <f t="shared" si="25"/>
        <v/>
      </c>
      <c r="S535" s="4" t="str">
        <f t="shared" si="26"/>
        <v/>
      </c>
    </row>
    <row r="536" spans="1:19" ht="17.100000000000001" hidden="1" customHeight="1" x14ac:dyDescent="0.2">
      <c r="A536" s="23"/>
      <c r="B536" s="3"/>
      <c r="C536" s="6" t="str">
        <f t="shared" si="24"/>
        <v xml:space="preserve">    .</v>
      </c>
      <c r="D536" s="173"/>
      <c r="E536" s="134"/>
      <c r="F536" s="134"/>
      <c r="G536" s="137"/>
      <c r="H536" s="134"/>
      <c r="I536" s="134"/>
      <c r="J536" s="134"/>
      <c r="K536" s="134"/>
      <c r="L536" s="134"/>
      <c r="M536" s="134"/>
      <c r="N536" s="134"/>
      <c r="O536" s="134"/>
      <c r="P536" s="134"/>
      <c r="Q536" s="136"/>
      <c r="R536" s="4" t="str">
        <f t="shared" si="25"/>
        <v/>
      </c>
      <c r="S536" s="4" t="str">
        <f t="shared" si="26"/>
        <v/>
      </c>
    </row>
    <row r="537" spans="1:19" ht="17.100000000000001" hidden="1" customHeight="1" x14ac:dyDescent="0.2">
      <c r="A537" s="23"/>
      <c r="B537" s="3"/>
      <c r="C537" s="6" t="str">
        <f t="shared" si="24"/>
        <v xml:space="preserve">    .</v>
      </c>
      <c r="D537" s="72"/>
      <c r="E537" s="67"/>
      <c r="F537" s="67"/>
      <c r="G537" s="68"/>
      <c r="H537" s="67"/>
      <c r="I537" s="67"/>
      <c r="J537" s="67"/>
      <c r="K537" s="67"/>
      <c r="L537" s="67"/>
      <c r="M537" s="67"/>
      <c r="N537" s="67"/>
      <c r="O537" s="67"/>
      <c r="P537" s="67"/>
      <c r="Q537" s="69"/>
      <c r="R537" s="4" t="str">
        <f t="shared" si="25"/>
        <v/>
      </c>
      <c r="S537" s="4" t="str">
        <f t="shared" si="26"/>
        <v/>
      </c>
    </row>
    <row r="538" spans="1:19" ht="17.100000000000001" hidden="1" customHeight="1" x14ac:dyDescent="0.2">
      <c r="A538" s="23"/>
      <c r="B538" s="3"/>
      <c r="C538" s="6" t="str">
        <f t="shared" si="24"/>
        <v xml:space="preserve">    .</v>
      </c>
      <c r="D538" s="72"/>
      <c r="E538" s="67"/>
      <c r="F538" s="67"/>
      <c r="G538" s="68"/>
      <c r="H538" s="67"/>
      <c r="I538" s="67"/>
      <c r="J538" s="67"/>
      <c r="K538" s="67"/>
      <c r="L538" s="67"/>
      <c r="M538" s="67"/>
      <c r="N538" s="67"/>
      <c r="O538" s="67"/>
      <c r="P538" s="67"/>
      <c r="Q538" s="71"/>
      <c r="R538" s="4" t="str">
        <f t="shared" si="25"/>
        <v/>
      </c>
      <c r="S538" s="4" t="str">
        <f t="shared" si="26"/>
        <v/>
      </c>
    </row>
    <row r="539" spans="1:19" ht="17.100000000000001" hidden="1" customHeight="1" x14ac:dyDescent="0.2">
      <c r="A539" s="23"/>
      <c r="B539" s="3"/>
      <c r="C539" s="6" t="str">
        <f t="shared" si="24"/>
        <v xml:space="preserve">    .</v>
      </c>
      <c r="D539" s="72"/>
      <c r="E539" s="67"/>
      <c r="F539" s="67"/>
      <c r="G539" s="68"/>
      <c r="H539" s="67"/>
      <c r="I539" s="67"/>
      <c r="J539" s="67"/>
      <c r="K539" s="67"/>
      <c r="L539" s="67"/>
      <c r="M539" s="67"/>
      <c r="N539" s="67"/>
      <c r="O539" s="67"/>
      <c r="P539" s="67"/>
      <c r="Q539" s="69"/>
      <c r="R539" s="4" t="str">
        <f t="shared" si="25"/>
        <v/>
      </c>
      <c r="S539" s="4" t="str">
        <f t="shared" si="26"/>
        <v/>
      </c>
    </row>
    <row r="540" spans="1:19" ht="17.100000000000001" hidden="1" customHeight="1" x14ac:dyDescent="0.2">
      <c r="A540" s="23"/>
      <c r="B540" s="3"/>
      <c r="C540" s="6" t="str">
        <f t="shared" si="24"/>
        <v xml:space="preserve">    .</v>
      </c>
      <c r="D540" s="72"/>
      <c r="E540" s="67"/>
      <c r="F540" s="67"/>
      <c r="G540" s="68"/>
      <c r="H540" s="67"/>
      <c r="I540" s="67"/>
      <c r="J540" s="67"/>
      <c r="K540" s="67"/>
      <c r="L540" s="67"/>
      <c r="M540" s="67"/>
      <c r="N540" s="67"/>
      <c r="O540" s="67"/>
      <c r="P540" s="67"/>
      <c r="Q540" s="69"/>
      <c r="R540" s="4" t="str">
        <f t="shared" si="25"/>
        <v/>
      </c>
      <c r="S540" s="4" t="str">
        <f t="shared" si="26"/>
        <v/>
      </c>
    </row>
    <row r="541" spans="1:19" ht="17.100000000000001" hidden="1" customHeight="1" x14ac:dyDescent="0.2">
      <c r="A541" s="23"/>
      <c r="B541" s="3"/>
      <c r="C541" s="6" t="str">
        <f t="shared" si="24"/>
        <v xml:space="preserve">    .</v>
      </c>
      <c r="D541" s="72"/>
      <c r="E541" s="67"/>
      <c r="F541" s="67"/>
      <c r="G541" s="68"/>
      <c r="H541" s="67"/>
      <c r="I541" s="67"/>
      <c r="J541" s="67"/>
      <c r="K541" s="67"/>
      <c r="L541" s="67"/>
      <c r="M541" s="67"/>
      <c r="N541" s="67"/>
      <c r="O541" s="67"/>
      <c r="P541" s="67"/>
      <c r="Q541" s="69"/>
      <c r="R541" s="4" t="str">
        <f t="shared" si="25"/>
        <v/>
      </c>
      <c r="S541" s="4" t="str">
        <f t="shared" si="26"/>
        <v/>
      </c>
    </row>
    <row r="542" spans="1:19" ht="17.100000000000001" hidden="1" customHeight="1" x14ac:dyDescent="0.2">
      <c r="A542" s="23"/>
      <c r="B542" s="3"/>
      <c r="C542" s="6" t="str">
        <f t="shared" si="24"/>
        <v xml:space="preserve">    .</v>
      </c>
      <c r="D542" s="72"/>
      <c r="E542" s="67"/>
      <c r="F542" s="67"/>
      <c r="G542" s="68"/>
      <c r="H542" s="67"/>
      <c r="I542" s="67"/>
      <c r="J542" s="67"/>
      <c r="K542" s="67"/>
      <c r="L542" s="67"/>
      <c r="M542" s="67"/>
      <c r="N542" s="67"/>
      <c r="O542" s="67"/>
      <c r="P542" s="67"/>
      <c r="Q542" s="69"/>
      <c r="R542" s="4" t="str">
        <f t="shared" si="25"/>
        <v/>
      </c>
      <c r="S542" s="4" t="str">
        <f t="shared" si="26"/>
        <v/>
      </c>
    </row>
    <row r="543" spans="1:19" ht="17.100000000000001" hidden="1" customHeight="1" x14ac:dyDescent="0.2">
      <c r="A543" s="23"/>
      <c r="B543" s="3"/>
      <c r="C543" s="6" t="str">
        <f t="shared" si="24"/>
        <v xml:space="preserve">    .</v>
      </c>
      <c r="D543" s="72"/>
      <c r="E543" s="67"/>
      <c r="F543" s="67"/>
      <c r="G543" s="68"/>
      <c r="H543" s="67"/>
      <c r="I543" s="67"/>
      <c r="J543" s="67"/>
      <c r="K543" s="67"/>
      <c r="L543" s="67"/>
      <c r="M543" s="67"/>
      <c r="N543" s="67"/>
      <c r="O543" s="67"/>
      <c r="P543" s="67"/>
      <c r="Q543" s="69"/>
      <c r="R543" s="4" t="str">
        <f t="shared" si="25"/>
        <v/>
      </c>
      <c r="S543" s="4" t="str">
        <f t="shared" si="26"/>
        <v/>
      </c>
    </row>
    <row r="544" spans="1:19" ht="17.100000000000001" hidden="1" customHeight="1" x14ac:dyDescent="0.2">
      <c r="A544" s="23"/>
      <c r="B544" s="3"/>
      <c r="C544" s="6" t="str">
        <f t="shared" si="24"/>
        <v xml:space="preserve">    .</v>
      </c>
      <c r="D544" s="72"/>
      <c r="E544" s="67"/>
      <c r="F544" s="67"/>
      <c r="G544" s="68"/>
      <c r="H544" s="67"/>
      <c r="I544" s="67"/>
      <c r="J544" s="67"/>
      <c r="K544" s="67"/>
      <c r="L544" s="67"/>
      <c r="M544" s="67"/>
      <c r="N544" s="67"/>
      <c r="O544" s="67"/>
      <c r="P544" s="67"/>
      <c r="Q544" s="69"/>
      <c r="R544" s="4" t="str">
        <f t="shared" si="25"/>
        <v/>
      </c>
      <c r="S544" s="4" t="str">
        <f t="shared" si="26"/>
        <v/>
      </c>
    </row>
    <row r="545" spans="1:19" ht="17.100000000000001" hidden="1" customHeight="1" x14ac:dyDescent="0.2">
      <c r="A545" s="23"/>
      <c r="B545" s="3"/>
      <c r="C545" s="6" t="str">
        <f t="shared" si="24"/>
        <v xml:space="preserve">    .</v>
      </c>
      <c r="D545" s="72"/>
      <c r="E545" s="67"/>
      <c r="F545" s="67"/>
      <c r="G545" s="68"/>
      <c r="H545" s="67"/>
      <c r="I545" s="67"/>
      <c r="J545" s="67"/>
      <c r="K545" s="67"/>
      <c r="L545" s="67"/>
      <c r="M545" s="67"/>
      <c r="N545" s="67"/>
      <c r="O545" s="67"/>
      <c r="P545" s="67"/>
      <c r="Q545" s="69"/>
      <c r="R545" s="4" t="str">
        <f t="shared" si="25"/>
        <v/>
      </c>
      <c r="S545" s="4" t="str">
        <f t="shared" si="26"/>
        <v/>
      </c>
    </row>
    <row r="546" spans="1:19" ht="17.100000000000001" hidden="1" customHeight="1" x14ac:dyDescent="0.2">
      <c r="A546" s="23"/>
      <c r="B546" s="3"/>
      <c r="C546" s="6" t="str">
        <f t="shared" si="24"/>
        <v xml:space="preserve">    .</v>
      </c>
      <c r="D546" s="72"/>
      <c r="E546" s="67"/>
      <c r="F546" s="67"/>
      <c r="G546" s="68"/>
      <c r="H546" s="67"/>
      <c r="I546" s="67"/>
      <c r="J546" s="67"/>
      <c r="K546" s="67"/>
      <c r="L546" s="67"/>
      <c r="M546" s="67"/>
      <c r="N546" s="67"/>
      <c r="O546" s="67"/>
      <c r="P546" s="67"/>
      <c r="Q546" s="69"/>
      <c r="R546" s="4" t="str">
        <f t="shared" si="25"/>
        <v/>
      </c>
      <c r="S546" s="4" t="str">
        <f t="shared" si="26"/>
        <v/>
      </c>
    </row>
    <row r="547" spans="1:19" ht="17.100000000000001" hidden="1" customHeight="1" x14ac:dyDescent="0.2">
      <c r="A547" s="23"/>
      <c r="B547" s="3"/>
      <c r="C547" s="6" t="str">
        <f t="shared" si="24"/>
        <v xml:space="preserve">    .</v>
      </c>
      <c r="D547" s="72"/>
      <c r="E547" s="67"/>
      <c r="F547" s="67"/>
      <c r="G547" s="70"/>
      <c r="H547" s="67"/>
      <c r="I547" s="67"/>
      <c r="J547" s="67"/>
      <c r="K547" s="67"/>
      <c r="L547" s="67"/>
      <c r="M547" s="67"/>
      <c r="N547" s="67"/>
      <c r="O547" s="67"/>
      <c r="P547" s="67"/>
      <c r="Q547" s="69"/>
      <c r="R547" s="4" t="str">
        <f t="shared" si="25"/>
        <v/>
      </c>
      <c r="S547" s="4" t="str">
        <f t="shared" si="26"/>
        <v/>
      </c>
    </row>
    <row r="548" spans="1:19" ht="17.100000000000001" hidden="1" customHeight="1" x14ac:dyDescent="0.2">
      <c r="A548" s="23"/>
      <c r="B548" s="3"/>
      <c r="C548" s="6" t="str">
        <f t="shared" si="24"/>
        <v xml:space="preserve">    .</v>
      </c>
      <c r="D548" s="72"/>
      <c r="E548" s="67"/>
      <c r="F548" s="67"/>
      <c r="G548" s="70"/>
      <c r="H548" s="67"/>
      <c r="I548" s="67"/>
      <c r="J548" s="67"/>
      <c r="K548" s="67"/>
      <c r="L548" s="67"/>
      <c r="M548" s="67"/>
      <c r="N548" s="67"/>
      <c r="O548" s="67"/>
      <c r="P548" s="67"/>
      <c r="Q548" s="69"/>
      <c r="R548" s="4" t="str">
        <f t="shared" si="25"/>
        <v/>
      </c>
      <c r="S548" s="4" t="str">
        <f t="shared" si="26"/>
        <v/>
      </c>
    </row>
    <row r="549" spans="1:19" ht="17.100000000000001" hidden="1" customHeight="1" x14ac:dyDescent="0.2">
      <c r="A549" s="23"/>
      <c r="B549" s="3"/>
      <c r="C549" s="6" t="str">
        <f t="shared" si="24"/>
        <v xml:space="preserve">    .</v>
      </c>
      <c r="D549" s="72"/>
      <c r="E549" s="67"/>
      <c r="F549" s="67"/>
      <c r="G549" s="68"/>
      <c r="H549" s="67"/>
      <c r="I549" s="67"/>
      <c r="J549" s="67"/>
      <c r="K549" s="67"/>
      <c r="L549" s="67"/>
      <c r="M549" s="67"/>
      <c r="N549" s="67"/>
      <c r="O549" s="67"/>
      <c r="P549" s="67"/>
      <c r="Q549" s="69"/>
      <c r="R549" s="4" t="str">
        <f t="shared" si="25"/>
        <v/>
      </c>
      <c r="S549" s="4" t="str">
        <f t="shared" si="26"/>
        <v/>
      </c>
    </row>
    <row r="550" spans="1:19" ht="17.100000000000001" hidden="1" customHeight="1" x14ac:dyDescent="0.2">
      <c r="A550" s="23"/>
      <c r="B550" s="3"/>
      <c r="C550" s="6" t="str">
        <f t="shared" si="24"/>
        <v xml:space="preserve">    .</v>
      </c>
      <c r="D550" s="72"/>
      <c r="E550" s="67"/>
      <c r="F550" s="67"/>
      <c r="G550" s="68"/>
      <c r="H550" s="67"/>
      <c r="I550" s="67"/>
      <c r="J550" s="67"/>
      <c r="K550" s="67"/>
      <c r="L550" s="67"/>
      <c r="M550" s="67"/>
      <c r="N550" s="67"/>
      <c r="O550" s="67"/>
      <c r="P550" s="67"/>
      <c r="Q550" s="69"/>
      <c r="R550" s="4" t="str">
        <f t="shared" si="25"/>
        <v/>
      </c>
      <c r="S550" s="4" t="str">
        <f t="shared" si="26"/>
        <v/>
      </c>
    </row>
    <row r="551" spans="1:19" ht="17.100000000000001" hidden="1" customHeight="1" x14ac:dyDescent="0.2">
      <c r="A551" s="23"/>
      <c r="B551" s="3"/>
      <c r="C551" s="6" t="str">
        <f t="shared" si="24"/>
        <v xml:space="preserve">    .</v>
      </c>
      <c r="D551" s="72"/>
      <c r="E551" s="67"/>
      <c r="F551" s="67"/>
      <c r="G551" s="68"/>
      <c r="H551" s="67"/>
      <c r="I551" s="67"/>
      <c r="J551" s="67"/>
      <c r="K551" s="67"/>
      <c r="L551" s="67"/>
      <c r="M551" s="67"/>
      <c r="N551" s="67"/>
      <c r="O551" s="67"/>
      <c r="P551" s="67"/>
      <c r="Q551" s="69"/>
      <c r="R551" s="4" t="str">
        <f t="shared" si="25"/>
        <v/>
      </c>
      <c r="S551" s="4" t="str">
        <f t="shared" si="26"/>
        <v/>
      </c>
    </row>
    <row r="552" spans="1:19" ht="17.100000000000001" hidden="1" customHeight="1" x14ac:dyDescent="0.2">
      <c r="A552" s="23"/>
      <c r="B552" s="3"/>
      <c r="C552" s="6" t="str">
        <f t="shared" si="24"/>
        <v xml:space="preserve">    .</v>
      </c>
      <c r="D552" s="72"/>
      <c r="E552" s="67"/>
      <c r="F552" s="67"/>
      <c r="G552" s="70"/>
      <c r="H552" s="67"/>
      <c r="I552" s="67"/>
      <c r="J552" s="67"/>
      <c r="K552" s="67"/>
      <c r="L552" s="67"/>
      <c r="M552" s="67"/>
      <c r="N552" s="67"/>
      <c r="O552" s="67"/>
      <c r="P552" s="67"/>
      <c r="Q552" s="69"/>
      <c r="R552" s="4" t="str">
        <f t="shared" si="25"/>
        <v/>
      </c>
      <c r="S552" s="4" t="str">
        <f t="shared" si="26"/>
        <v/>
      </c>
    </row>
    <row r="553" spans="1:19" ht="16.5" hidden="1" customHeight="1" x14ac:dyDescent="0.2">
      <c r="A553" s="23"/>
      <c r="B553" s="3"/>
      <c r="C553" s="6" t="str">
        <f t="shared" si="24"/>
        <v xml:space="preserve">    .</v>
      </c>
      <c r="D553" s="72"/>
      <c r="E553" s="67"/>
      <c r="F553" s="67"/>
      <c r="G553" s="68"/>
      <c r="H553" s="67"/>
      <c r="I553" s="67"/>
      <c r="J553" s="67"/>
      <c r="K553" s="67"/>
      <c r="L553" s="67"/>
      <c r="M553" s="67"/>
      <c r="N553" s="67"/>
      <c r="O553" s="67"/>
      <c r="P553" s="67"/>
      <c r="Q553" s="69"/>
      <c r="R553" s="4" t="str">
        <f t="shared" si="25"/>
        <v/>
      </c>
      <c r="S553" s="4" t="str">
        <f t="shared" si="26"/>
        <v/>
      </c>
    </row>
    <row r="554" spans="1:19" ht="17.100000000000001" hidden="1" customHeight="1" x14ac:dyDescent="0.2">
      <c r="A554" s="23"/>
      <c r="B554" s="3"/>
      <c r="C554" s="6" t="str">
        <f t="shared" si="24"/>
        <v xml:space="preserve">    .</v>
      </c>
      <c r="D554" s="72"/>
      <c r="E554" s="67"/>
      <c r="F554" s="67"/>
      <c r="G554" s="70"/>
      <c r="H554" s="67"/>
      <c r="I554" s="67"/>
      <c r="J554" s="67"/>
      <c r="K554" s="67"/>
      <c r="L554" s="67"/>
      <c r="M554" s="67"/>
      <c r="N554" s="67"/>
      <c r="O554" s="67"/>
      <c r="P554" s="67"/>
      <c r="Q554" s="69"/>
      <c r="R554" s="4" t="str">
        <f t="shared" si="25"/>
        <v/>
      </c>
      <c r="S554" s="4" t="str">
        <f t="shared" si="26"/>
        <v/>
      </c>
    </row>
    <row r="555" spans="1:19" ht="17.100000000000001" hidden="1" customHeight="1" x14ac:dyDescent="0.2">
      <c r="A555" s="23"/>
      <c r="B555" s="3"/>
      <c r="C555" s="6" t="str">
        <f t="shared" si="24"/>
        <v xml:space="preserve">    .</v>
      </c>
      <c r="D555" s="72"/>
      <c r="E555" s="67"/>
      <c r="F555" s="67"/>
      <c r="G555" s="70"/>
      <c r="H555" s="67"/>
      <c r="I555" s="67"/>
      <c r="J555" s="67"/>
      <c r="K555" s="67"/>
      <c r="L555" s="67"/>
      <c r="M555" s="67"/>
      <c r="N555" s="67"/>
      <c r="O555" s="67"/>
      <c r="P555" s="67"/>
      <c r="Q555" s="69"/>
      <c r="R555" s="4" t="str">
        <f t="shared" si="25"/>
        <v/>
      </c>
      <c r="S555" s="4" t="str">
        <f t="shared" si="26"/>
        <v/>
      </c>
    </row>
    <row r="556" spans="1:19" ht="17.100000000000001" hidden="1" customHeight="1" x14ac:dyDescent="0.2">
      <c r="A556" s="23"/>
      <c r="B556" s="3"/>
      <c r="C556" s="6" t="str">
        <f t="shared" si="24"/>
        <v xml:space="preserve">    .</v>
      </c>
      <c r="D556" s="72"/>
      <c r="E556" s="67"/>
      <c r="F556" s="67"/>
      <c r="G556" s="68"/>
      <c r="H556" s="67"/>
      <c r="I556" s="67"/>
      <c r="J556" s="67"/>
      <c r="K556" s="67"/>
      <c r="L556" s="67"/>
      <c r="M556" s="67"/>
      <c r="N556" s="67"/>
      <c r="O556" s="67"/>
      <c r="P556" s="67"/>
      <c r="Q556" s="69"/>
      <c r="R556" s="4" t="str">
        <f t="shared" si="25"/>
        <v/>
      </c>
      <c r="S556" s="4" t="str">
        <f t="shared" si="26"/>
        <v/>
      </c>
    </row>
    <row r="557" spans="1:19" ht="17.100000000000001" hidden="1" customHeight="1" x14ac:dyDescent="0.2">
      <c r="A557" s="23"/>
      <c r="B557" s="3"/>
      <c r="C557" s="6" t="str">
        <f t="shared" si="24"/>
        <v xml:space="preserve">    .</v>
      </c>
      <c r="D557" s="72"/>
      <c r="E557" s="67"/>
      <c r="F557" s="67"/>
      <c r="G557" s="68"/>
      <c r="H557" s="67"/>
      <c r="I557" s="67"/>
      <c r="J557" s="67"/>
      <c r="K557" s="67"/>
      <c r="L557" s="67"/>
      <c r="M557" s="67"/>
      <c r="N557" s="67"/>
      <c r="O557" s="67"/>
      <c r="P557" s="67"/>
      <c r="Q557" s="69"/>
      <c r="R557" s="4" t="str">
        <f t="shared" si="25"/>
        <v/>
      </c>
      <c r="S557" s="4" t="str">
        <f t="shared" si="26"/>
        <v/>
      </c>
    </row>
    <row r="558" spans="1:19" ht="17.100000000000001" hidden="1" customHeight="1" x14ac:dyDescent="0.2">
      <c r="A558" s="23"/>
      <c r="B558" s="3"/>
      <c r="C558" s="6" t="str">
        <f t="shared" si="24"/>
        <v xml:space="preserve">    .</v>
      </c>
      <c r="D558" s="72"/>
      <c r="E558" s="67"/>
      <c r="F558" s="67"/>
      <c r="G558" s="68"/>
      <c r="H558" s="67"/>
      <c r="I558" s="67"/>
      <c r="J558" s="67"/>
      <c r="K558" s="67"/>
      <c r="L558" s="67"/>
      <c r="M558" s="67"/>
      <c r="N558" s="67"/>
      <c r="O558" s="67"/>
      <c r="P558" s="67"/>
      <c r="Q558" s="71"/>
      <c r="R558" s="4" t="str">
        <f t="shared" si="25"/>
        <v/>
      </c>
      <c r="S558" s="4" t="str">
        <f t="shared" si="26"/>
        <v/>
      </c>
    </row>
    <row r="559" spans="1:19" ht="17.100000000000001" hidden="1" customHeight="1" x14ac:dyDescent="0.2">
      <c r="A559" s="108"/>
      <c r="B559" s="109"/>
      <c r="C559" s="110"/>
      <c r="D559" s="111"/>
      <c r="E559" s="112"/>
      <c r="F559" s="112"/>
      <c r="G559" s="113"/>
      <c r="H559" s="112"/>
      <c r="I559" s="112"/>
      <c r="J559" s="112"/>
      <c r="K559" s="112"/>
      <c r="L559" s="112"/>
      <c r="M559" s="112"/>
      <c r="N559" s="112"/>
      <c r="O559" s="112"/>
      <c r="P559" s="112"/>
      <c r="Q559" s="114"/>
      <c r="R559" s="115"/>
      <c r="S559" s="115"/>
    </row>
    <row r="560" spans="1:19" s="91" customFormat="1" ht="13.5" hidden="1" customHeight="1" x14ac:dyDescent="0.2">
      <c r="A560" s="92" t="s">
        <v>1994</v>
      </c>
      <c r="B560" s="93">
        <f ca="1">IF(A560="В заказ",MAX($B$9:OFFSET(B560,-1,0))+1,"")</f>
        <v>1</v>
      </c>
      <c r="C560" s="94" t="s">
        <v>2023</v>
      </c>
      <c r="D560" s="95" t="s">
        <v>1937</v>
      </c>
      <c r="E560" s="96"/>
      <c r="F560" s="94" t="s">
        <v>2023</v>
      </c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7" t="s">
        <v>2002</v>
      </c>
    </row>
    <row r="561" spans="1:17" s="91" customFormat="1" ht="13.5" hidden="1" customHeight="1" x14ac:dyDescent="0.2">
      <c r="A561" s="92" t="s">
        <v>1994</v>
      </c>
      <c r="B561" s="93">
        <f ca="1">IF(A561="В заказ",MAX($B$9:OFFSET(B561,-1,0))+1,"")</f>
        <v>2</v>
      </c>
      <c r="C561" s="94" t="s">
        <v>2004</v>
      </c>
      <c r="D561" s="95" t="s">
        <v>1937</v>
      </c>
      <c r="E561" s="96"/>
      <c r="F561" s="94" t="s">
        <v>2004</v>
      </c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7" t="s">
        <v>2002</v>
      </c>
    </row>
    <row r="562" spans="1:17" s="91" customFormat="1" ht="13.5" hidden="1" customHeight="1" x14ac:dyDescent="0.2">
      <c r="A562" s="92" t="str">
        <f>IF(AND(SUM('Шаг2.Бланк заказа NEW'!$E$19:$F$201,'Шаг2.Бланк заказа NEW'!$H$19:$I$201)=0,SUM('Бланк OLD 0.8 04'!$E$18:$F$200,'Бланк OLD 0.8 04'!$H$18:$I$200)=0,SUM('Бланк OLD 2.0 04 '!$E$18:$F$200,'Бланк OLD 2.0 04 '!$H$18:$I$200)=0),"","В заказ")</f>
        <v/>
      </c>
      <c r="B562" s="93" t="str">
        <f ca="1">IF(A562="В заказ",MAX($B$9:OFFSET(B562,-1,0))+1,"")</f>
        <v/>
      </c>
      <c r="C562" s="94" t="s">
        <v>2005</v>
      </c>
      <c r="D562" s="95" t="s">
        <v>1937</v>
      </c>
      <c r="E562" s="96"/>
      <c r="F562" s="94" t="s">
        <v>2005</v>
      </c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7" t="s">
        <v>2002</v>
      </c>
    </row>
    <row r="563" spans="1:17" s="91" customFormat="1" ht="13.5" hidden="1" customHeight="1" x14ac:dyDescent="0.2">
      <c r="A563" s="92" t="str">
        <f>IF(OR(IFERROR(VLOOKUP("да",'Шаг2.Бланк заказа NEW'!$M$19:$M$201,1,0),"")="да",IFERROR(VLOOKUP("да",'Шаг2.Бланк заказа NEW'!$N$19:$N$201,1,0),"")="да"),"В заказ","")</f>
        <v/>
      </c>
      <c r="B563" s="93" t="str">
        <f ca="1">IF(A563="В заказ",MAX($B$9:OFFSET(B563,-1,0))+1,"")</f>
        <v/>
      </c>
      <c r="C563" s="94" t="s">
        <v>2024</v>
      </c>
      <c r="D563" s="95" t="s">
        <v>1937</v>
      </c>
      <c r="E563" s="96"/>
      <c r="F563" s="94" t="s">
        <v>2024</v>
      </c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7" t="s">
        <v>2002</v>
      </c>
    </row>
    <row r="564" spans="1:17" ht="17.100000000000001" hidden="1" customHeight="1" x14ac:dyDescent="0.2">
      <c r="A564" s="18"/>
      <c r="B564" s="18"/>
      <c r="C564" s="18"/>
      <c r="D564" s="18"/>
      <c r="E564" s="18"/>
      <c r="F564" s="19"/>
      <c r="G564" s="20"/>
      <c r="H564" s="18"/>
      <c r="I564" s="18"/>
      <c r="J564" s="18"/>
      <c r="K564" s="18"/>
      <c r="L564" s="18"/>
      <c r="M564" s="18"/>
      <c r="N564" s="18"/>
      <c r="O564" s="18"/>
      <c r="P564" s="18"/>
      <c r="Q564" s="20"/>
    </row>
    <row r="565" spans="1:17" ht="17.100000000000001" hidden="1" customHeight="1" x14ac:dyDescent="0.2">
      <c r="A565" s="21" t="s">
        <v>241</v>
      </c>
      <c r="B565" s="21"/>
      <c r="C565" s="21"/>
      <c r="D565" s="10"/>
      <c r="E565" s="21"/>
      <c r="F565" s="22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</row>
    <row r="566" spans="1:17" ht="11.1" hidden="1" customHeight="1" x14ac:dyDescent="0.2">
      <c r="A566" s="3"/>
      <c r="B566" s="3" t="str">
        <f ca="1">IF(A566="В заказ",MAX($B$9:OFFSET(B566,-1,0))+1,"")</f>
        <v/>
      </c>
      <c r="C566" s="6" t="str">
        <f t="shared" ref="C566:C629" si="27">D566&amp;" "&amp;N566&amp;" "&amp;IF(OR(D566="ДСП",D566="МДФ",D566="Фанера",D566="ХДФ"),M566,J566)&amp;" "&amp;IF(OR(D566="ДСП",D566="МДФ",D566="Фанера",D566="ХДФ"),O566,L566)&amp;" "&amp;IF(OR(D566="ДСП",D566="МДФ",D566="Фанера",D566="ХДФ"),"",IF(D566="БСП",M566,O566))&amp;"."</f>
        <v>Кромка 1,0 W1000 PG  (75 м бухта).</v>
      </c>
      <c r="D566" s="67" t="s">
        <v>241</v>
      </c>
      <c r="E566" s="67" t="s">
        <v>15</v>
      </c>
      <c r="F566" s="67" t="s">
        <v>242</v>
      </c>
      <c r="G566" s="68">
        <v>14977</v>
      </c>
      <c r="H566" s="67" t="s">
        <v>243</v>
      </c>
      <c r="I566" s="200"/>
      <c r="J566" s="67" t="s">
        <v>16</v>
      </c>
      <c r="K566" s="67" t="s">
        <v>17</v>
      </c>
      <c r="L566" s="67" t="s">
        <v>18</v>
      </c>
      <c r="M566" s="67" t="s">
        <v>244</v>
      </c>
      <c r="N566" s="67" t="s">
        <v>245</v>
      </c>
      <c r="O566" s="67" t="s">
        <v>2116</v>
      </c>
      <c r="P566" s="67" t="s">
        <v>19</v>
      </c>
      <c r="Q566" s="192">
        <v>73.8</v>
      </c>
    </row>
    <row r="567" spans="1:17" ht="11.1" hidden="1" customHeight="1" x14ac:dyDescent="0.2">
      <c r="A567" s="3"/>
      <c r="B567" s="3" t="str">
        <f ca="1">IF(A567="В заказ",MAX($B$9:OFFSET(B567,-1,0))+1,"")</f>
        <v/>
      </c>
      <c r="C567" s="6" t="str">
        <f t="shared" si="27"/>
        <v>Кромка 1,0 W1000 PM  (75 м бухта).</v>
      </c>
      <c r="D567" s="67" t="s">
        <v>241</v>
      </c>
      <c r="E567" s="67" t="s">
        <v>15</v>
      </c>
      <c r="F567" s="67" t="s">
        <v>247</v>
      </c>
      <c r="G567" s="68">
        <v>14942</v>
      </c>
      <c r="H567" s="67" t="s">
        <v>243</v>
      </c>
      <c r="I567" s="200"/>
      <c r="J567" s="67" t="s">
        <v>16</v>
      </c>
      <c r="K567" s="67" t="s">
        <v>17</v>
      </c>
      <c r="L567" s="67" t="s">
        <v>248</v>
      </c>
      <c r="M567" s="67" t="s">
        <v>244</v>
      </c>
      <c r="N567" s="67" t="s">
        <v>245</v>
      </c>
      <c r="O567" s="67" t="s">
        <v>2116</v>
      </c>
      <c r="P567" s="67" t="s">
        <v>19</v>
      </c>
      <c r="Q567" s="192">
        <v>73.8</v>
      </c>
    </row>
    <row r="568" spans="1:17" ht="11.1" hidden="1" customHeight="1" x14ac:dyDescent="0.2">
      <c r="A568" s="3"/>
      <c r="B568" s="3" t="str">
        <f ca="1">IF(A568="В заказ",MAX($B$9:OFFSET(B568,-1,0))+1,"")</f>
        <v/>
      </c>
      <c r="C568" s="6" t="str">
        <f t="shared" si="27"/>
        <v>Кромка 0,4 W1000 ST19  (200 м бухта).</v>
      </c>
      <c r="D568" s="67" t="s">
        <v>241</v>
      </c>
      <c r="E568" s="67" t="s">
        <v>15</v>
      </c>
      <c r="F568" s="67" t="s">
        <v>249</v>
      </c>
      <c r="G568" s="68">
        <v>21587</v>
      </c>
      <c r="H568" s="67" t="s">
        <v>250</v>
      </c>
      <c r="I568" s="200"/>
      <c r="J568" s="67" t="s">
        <v>16</v>
      </c>
      <c r="K568" s="67" t="s">
        <v>17</v>
      </c>
      <c r="L568" s="67" t="s">
        <v>251</v>
      </c>
      <c r="M568" s="67" t="s">
        <v>252</v>
      </c>
      <c r="N568" s="67" t="s">
        <v>253</v>
      </c>
      <c r="O568" s="67" t="s">
        <v>2117</v>
      </c>
      <c r="P568" s="67" t="s">
        <v>19</v>
      </c>
      <c r="Q568" s="71">
        <v>11</v>
      </c>
    </row>
    <row r="569" spans="1:17" ht="11.1" hidden="1" customHeight="1" x14ac:dyDescent="0.2">
      <c r="A569" s="3"/>
      <c r="B569" s="3" t="str">
        <f ca="1">IF(A569="В заказ",MAX($B$9:OFFSET(B569,-1,0))+1,"")</f>
        <v/>
      </c>
      <c r="C569" s="6" t="str">
        <f t="shared" si="27"/>
        <v>Кромка 0,4 W1000 ST19  (200 м бухта).</v>
      </c>
      <c r="D569" s="67" t="s">
        <v>241</v>
      </c>
      <c r="E569" s="67" t="s">
        <v>15</v>
      </c>
      <c r="F569" s="67" t="s">
        <v>255</v>
      </c>
      <c r="G569" s="68">
        <v>24529</v>
      </c>
      <c r="H569" s="67" t="s">
        <v>250</v>
      </c>
      <c r="I569" s="200"/>
      <c r="J569" s="67" t="s">
        <v>16</v>
      </c>
      <c r="K569" s="67" t="s">
        <v>17</v>
      </c>
      <c r="L569" s="67" t="s">
        <v>251</v>
      </c>
      <c r="M569" s="67" t="s">
        <v>244</v>
      </c>
      <c r="N569" s="67" t="s">
        <v>253</v>
      </c>
      <c r="O569" s="67" t="s">
        <v>2117</v>
      </c>
      <c r="P569" s="67" t="s">
        <v>19</v>
      </c>
      <c r="Q569" s="192">
        <v>13.2</v>
      </c>
    </row>
    <row r="570" spans="1:17" ht="11.1" hidden="1" customHeight="1" x14ac:dyDescent="0.2">
      <c r="A570" s="3"/>
      <c r="B570" s="3" t="str">
        <f ca="1">IF(A570="В заказ",MAX($B$9:OFFSET(B570,-1,0))+1,"")</f>
        <v/>
      </c>
      <c r="C570" s="6" t="str">
        <f t="shared" si="27"/>
        <v>Кромка 0,8 W1000 ST19  (75 м бухта).</v>
      </c>
      <c r="D570" s="67" t="s">
        <v>241</v>
      </c>
      <c r="E570" s="67" t="s">
        <v>15</v>
      </c>
      <c r="F570" s="67" t="s">
        <v>256</v>
      </c>
      <c r="G570" s="68">
        <v>21589</v>
      </c>
      <c r="H570" s="67" t="s">
        <v>250</v>
      </c>
      <c r="I570" s="200"/>
      <c r="J570" s="67" t="s">
        <v>16</v>
      </c>
      <c r="K570" s="67" t="s">
        <v>17</v>
      </c>
      <c r="L570" s="67" t="s">
        <v>251</v>
      </c>
      <c r="M570" s="67" t="s">
        <v>252</v>
      </c>
      <c r="N570" s="67" t="s">
        <v>10</v>
      </c>
      <c r="O570" s="67" t="s">
        <v>2116</v>
      </c>
      <c r="P570" s="67" t="s">
        <v>19</v>
      </c>
      <c r="Q570" s="192">
        <v>25.7</v>
      </c>
    </row>
    <row r="571" spans="1:17" ht="11.1" hidden="1" customHeight="1" x14ac:dyDescent="0.2">
      <c r="A571" s="3"/>
      <c r="B571" s="3" t="str">
        <f ca="1">IF(A571="В заказ",MAX($B$9:OFFSET(B571,-1,0))+1,"")</f>
        <v/>
      </c>
      <c r="C571" s="6" t="str">
        <f t="shared" si="27"/>
        <v>Кромка 0,8 W1000 ST19  (75 м бухта).</v>
      </c>
      <c r="D571" s="67" t="s">
        <v>241</v>
      </c>
      <c r="E571" s="67" t="s">
        <v>15</v>
      </c>
      <c r="F571" s="67" t="s">
        <v>257</v>
      </c>
      <c r="G571" s="68">
        <v>24530</v>
      </c>
      <c r="H571" s="67" t="s">
        <v>250</v>
      </c>
      <c r="I571" s="200"/>
      <c r="J571" s="67" t="s">
        <v>16</v>
      </c>
      <c r="K571" s="67" t="s">
        <v>17</v>
      </c>
      <c r="L571" s="67" t="s">
        <v>251</v>
      </c>
      <c r="M571" s="67" t="s">
        <v>244</v>
      </c>
      <c r="N571" s="67" t="s">
        <v>10</v>
      </c>
      <c r="O571" s="67" t="s">
        <v>2116</v>
      </c>
      <c r="P571" s="67" t="s">
        <v>19</v>
      </c>
      <c r="Q571" s="71">
        <v>31</v>
      </c>
    </row>
    <row r="572" spans="1:17" ht="11.1" hidden="1" customHeight="1" x14ac:dyDescent="0.2">
      <c r="A572" s="3"/>
      <c r="B572" s="3" t="str">
        <f ca="1">IF(A572="В заказ",MAX($B$9:OFFSET(B572,-1,0))+1,"")</f>
        <v/>
      </c>
      <c r="C572" s="6" t="str">
        <f t="shared" si="27"/>
        <v>Кромка 2,0 W1000 ST19  (75 м бухта).</v>
      </c>
      <c r="D572" s="67" t="s">
        <v>241</v>
      </c>
      <c r="E572" s="67" t="s">
        <v>15</v>
      </c>
      <c r="F572" s="67" t="s">
        <v>258</v>
      </c>
      <c r="G572" s="68">
        <v>21592</v>
      </c>
      <c r="H572" s="67" t="s">
        <v>250</v>
      </c>
      <c r="I572" s="200"/>
      <c r="J572" s="67" t="s">
        <v>16</v>
      </c>
      <c r="K572" s="67" t="s">
        <v>17</v>
      </c>
      <c r="L572" s="67" t="s">
        <v>251</v>
      </c>
      <c r="M572" s="67" t="s">
        <v>252</v>
      </c>
      <c r="N572" s="67" t="s">
        <v>259</v>
      </c>
      <c r="O572" s="67" t="s">
        <v>2116</v>
      </c>
      <c r="P572" s="67" t="s">
        <v>19</v>
      </c>
      <c r="Q572" s="192">
        <v>48.1</v>
      </c>
    </row>
    <row r="573" spans="1:17" ht="11.1" hidden="1" customHeight="1" x14ac:dyDescent="0.2">
      <c r="A573" s="3"/>
      <c r="B573" s="3" t="str">
        <f ca="1">IF(A573="В заказ",MAX($B$9:OFFSET(B573,-1,0))+1,"")</f>
        <v/>
      </c>
      <c r="C573" s="6" t="str">
        <f t="shared" si="27"/>
        <v>Кромка 2,0 W1000 ST19  (75 м бухта).</v>
      </c>
      <c r="D573" s="67" t="s">
        <v>241</v>
      </c>
      <c r="E573" s="67" t="s">
        <v>15</v>
      </c>
      <c r="F573" s="67" t="s">
        <v>260</v>
      </c>
      <c r="G573" s="68">
        <v>23291</v>
      </c>
      <c r="H573" s="67" t="s">
        <v>250</v>
      </c>
      <c r="I573" s="200"/>
      <c r="J573" s="67" t="s">
        <v>16</v>
      </c>
      <c r="K573" s="67" t="s">
        <v>17</v>
      </c>
      <c r="L573" s="67" t="s">
        <v>251</v>
      </c>
      <c r="M573" s="67" t="s">
        <v>244</v>
      </c>
      <c r="N573" s="67" t="s">
        <v>259</v>
      </c>
      <c r="O573" s="67" t="s">
        <v>2116</v>
      </c>
      <c r="P573" s="67" t="s">
        <v>19</v>
      </c>
      <c r="Q573" s="192">
        <v>53.1</v>
      </c>
    </row>
    <row r="574" spans="1:17" ht="11.1" hidden="1" customHeight="1" x14ac:dyDescent="0.2">
      <c r="A574" s="3"/>
      <c r="B574" s="3" t="str">
        <f ca="1">IF(A574="В заказ",MAX($B$9:OFFSET(B574,-1,0))+1,"")</f>
        <v/>
      </c>
      <c r="C574" s="6" t="str">
        <f t="shared" si="27"/>
        <v>Кромка 0,4 W1000 ST38  (200 м бухта).</v>
      </c>
      <c r="D574" s="67" t="s">
        <v>241</v>
      </c>
      <c r="E574" s="67" t="s">
        <v>15</v>
      </c>
      <c r="F574" s="67" t="s">
        <v>261</v>
      </c>
      <c r="G574" s="68">
        <v>13302</v>
      </c>
      <c r="H574" s="67" t="s">
        <v>250</v>
      </c>
      <c r="I574" s="200"/>
      <c r="J574" s="67" t="s">
        <v>16</v>
      </c>
      <c r="K574" s="67" t="s">
        <v>17</v>
      </c>
      <c r="L574" s="67" t="s">
        <v>21</v>
      </c>
      <c r="M574" s="67" t="s">
        <v>252</v>
      </c>
      <c r="N574" s="67" t="s">
        <v>253</v>
      </c>
      <c r="O574" s="67" t="s">
        <v>2117</v>
      </c>
      <c r="P574" s="67" t="s">
        <v>19</v>
      </c>
      <c r="Q574" s="71">
        <v>11</v>
      </c>
    </row>
    <row r="575" spans="1:17" ht="11.1" hidden="1" customHeight="1" x14ac:dyDescent="0.2">
      <c r="A575" s="3"/>
      <c r="B575" s="3" t="str">
        <f ca="1">IF(A575="В заказ",MAX($B$9:OFFSET(B575,-1,0))+1,"")</f>
        <v/>
      </c>
      <c r="C575" s="6" t="str">
        <f t="shared" si="27"/>
        <v>Кромка 0,4 W1000 ST38  (200 м бухта).</v>
      </c>
      <c r="D575" s="67" t="s">
        <v>241</v>
      </c>
      <c r="E575" s="67" t="s">
        <v>15</v>
      </c>
      <c r="F575" s="67" t="s">
        <v>262</v>
      </c>
      <c r="G575" s="68">
        <v>24550</v>
      </c>
      <c r="H575" s="67" t="s">
        <v>250</v>
      </c>
      <c r="I575" s="200"/>
      <c r="J575" s="67" t="s">
        <v>16</v>
      </c>
      <c r="K575" s="67" t="s">
        <v>17</v>
      </c>
      <c r="L575" s="67" t="s">
        <v>21</v>
      </c>
      <c r="M575" s="67" t="s">
        <v>244</v>
      </c>
      <c r="N575" s="67" t="s">
        <v>253</v>
      </c>
      <c r="O575" s="67" t="s">
        <v>2117</v>
      </c>
      <c r="P575" s="67" t="s">
        <v>19</v>
      </c>
      <c r="Q575" s="192">
        <v>13.2</v>
      </c>
    </row>
    <row r="576" spans="1:17" ht="11.1" hidden="1" customHeight="1" x14ac:dyDescent="0.2">
      <c r="A576" s="3"/>
      <c r="B576" s="3" t="str">
        <f ca="1">IF(A576="В заказ",MAX($B$9:OFFSET(B576,-1,0))+1,"")</f>
        <v/>
      </c>
      <c r="C576" s="6" t="str">
        <f t="shared" si="27"/>
        <v>Кромка 0,4 W1000 ST38  (200 м бухта).</v>
      </c>
      <c r="D576" s="67" t="s">
        <v>241</v>
      </c>
      <c r="E576" s="67" t="s">
        <v>15</v>
      </c>
      <c r="F576" s="67" t="s">
        <v>263</v>
      </c>
      <c r="G576" s="68">
        <v>13307</v>
      </c>
      <c r="H576" s="67" t="s">
        <v>250</v>
      </c>
      <c r="I576" s="200"/>
      <c r="J576" s="67" t="s">
        <v>16</v>
      </c>
      <c r="K576" s="67" t="s">
        <v>17</v>
      </c>
      <c r="L576" s="67" t="s">
        <v>21</v>
      </c>
      <c r="M576" s="67" t="s">
        <v>264</v>
      </c>
      <c r="N576" s="67" t="s">
        <v>253</v>
      </c>
      <c r="O576" s="67" t="s">
        <v>2117</v>
      </c>
      <c r="P576" s="67" t="s">
        <v>19</v>
      </c>
      <c r="Q576" s="192">
        <v>17.100000000000001</v>
      </c>
    </row>
    <row r="577" spans="1:17" ht="11.1" hidden="1" customHeight="1" x14ac:dyDescent="0.2">
      <c r="A577" s="3"/>
      <c r="B577" s="3" t="str">
        <f ca="1">IF(A577="В заказ",MAX($B$9:OFFSET(B577,-1,0))+1,"")</f>
        <v/>
      </c>
      <c r="C577" s="6" t="str">
        <f t="shared" si="27"/>
        <v>Кромка 0,8 W1000 ST38  (75 м бухта).</v>
      </c>
      <c r="D577" s="67" t="s">
        <v>241</v>
      </c>
      <c r="E577" s="67" t="s">
        <v>15</v>
      </c>
      <c r="F577" s="67" t="s">
        <v>265</v>
      </c>
      <c r="G577" s="68">
        <v>14232</v>
      </c>
      <c r="H577" s="67" t="s">
        <v>250</v>
      </c>
      <c r="I577" s="200"/>
      <c r="J577" s="67" t="s">
        <v>16</v>
      </c>
      <c r="K577" s="67" t="s">
        <v>17</v>
      </c>
      <c r="L577" s="67" t="s">
        <v>21</v>
      </c>
      <c r="M577" s="67" t="s">
        <v>252</v>
      </c>
      <c r="N577" s="67" t="s">
        <v>10</v>
      </c>
      <c r="O577" s="67" t="s">
        <v>2116</v>
      </c>
      <c r="P577" s="67" t="s">
        <v>19</v>
      </c>
      <c r="Q577" s="192">
        <v>25.7</v>
      </c>
    </row>
    <row r="578" spans="1:17" ht="11.1" hidden="1" customHeight="1" x14ac:dyDescent="0.2">
      <c r="A578" s="3"/>
      <c r="B578" s="3" t="str">
        <f ca="1">IF(A578="В заказ",MAX($B$9:OFFSET(B578,-1,0))+1,"")</f>
        <v/>
      </c>
      <c r="C578" s="6" t="str">
        <f t="shared" si="27"/>
        <v>Кромка 0,8 W1000 ST38  (75 м бухта).</v>
      </c>
      <c r="D578" s="67" t="s">
        <v>241</v>
      </c>
      <c r="E578" s="67" t="s">
        <v>15</v>
      </c>
      <c r="F578" s="67" t="s">
        <v>266</v>
      </c>
      <c r="G578" s="68">
        <v>17041</v>
      </c>
      <c r="H578" s="67" t="s">
        <v>250</v>
      </c>
      <c r="I578" s="200"/>
      <c r="J578" s="67" t="s">
        <v>16</v>
      </c>
      <c r="K578" s="67" t="s">
        <v>17</v>
      </c>
      <c r="L578" s="67" t="s">
        <v>21</v>
      </c>
      <c r="M578" s="67" t="s">
        <v>244</v>
      </c>
      <c r="N578" s="67" t="s">
        <v>10</v>
      </c>
      <c r="O578" s="67" t="s">
        <v>2116</v>
      </c>
      <c r="P578" s="67" t="s">
        <v>19</v>
      </c>
      <c r="Q578" s="71">
        <v>31</v>
      </c>
    </row>
    <row r="579" spans="1:17" ht="11.1" hidden="1" customHeight="1" x14ac:dyDescent="0.2">
      <c r="A579" s="3"/>
      <c r="B579" s="3" t="str">
        <f ca="1">IF(A579="В заказ",MAX($B$9:OFFSET(B579,-1,0))+1,"")</f>
        <v/>
      </c>
      <c r="C579" s="6" t="str">
        <f t="shared" si="27"/>
        <v>Кромка 2,0 W1000 ST38  (75 м бухта).</v>
      </c>
      <c r="D579" s="67" t="s">
        <v>241</v>
      </c>
      <c r="E579" s="67" t="s">
        <v>15</v>
      </c>
      <c r="F579" s="67" t="s">
        <v>267</v>
      </c>
      <c r="G579" s="68">
        <v>13308</v>
      </c>
      <c r="H579" s="67" t="s">
        <v>250</v>
      </c>
      <c r="I579" s="200"/>
      <c r="J579" s="67" t="s">
        <v>16</v>
      </c>
      <c r="K579" s="67" t="s">
        <v>17</v>
      </c>
      <c r="L579" s="67" t="s">
        <v>21</v>
      </c>
      <c r="M579" s="67" t="s">
        <v>252</v>
      </c>
      <c r="N579" s="67" t="s">
        <v>259</v>
      </c>
      <c r="O579" s="67" t="s">
        <v>2116</v>
      </c>
      <c r="P579" s="67" t="s">
        <v>19</v>
      </c>
      <c r="Q579" s="192">
        <v>48.1</v>
      </c>
    </row>
    <row r="580" spans="1:17" ht="11.1" hidden="1" customHeight="1" x14ac:dyDescent="0.2">
      <c r="A580" s="3"/>
      <c r="B580" s="3" t="str">
        <f ca="1">IF(A580="В заказ",MAX($B$9:OFFSET(B580,-1,0))+1,"")</f>
        <v/>
      </c>
      <c r="C580" s="6" t="str">
        <f t="shared" si="27"/>
        <v>Кромка 2,0 W1000 ST38  (75 м бухта).</v>
      </c>
      <c r="D580" s="67" t="s">
        <v>241</v>
      </c>
      <c r="E580" s="67" t="s">
        <v>15</v>
      </c>
      <c r="F580" s="67" t="s">
        <v>268</v>
      </c>
      <c r="G580" s="68">
        <v>14233</v>
      </c>
      <c r="H580" s="67" t="s">
        <v>250</v>
      </c>
      <c r="I580" s="200"/>
      <c r="J580" s="67" t="s">
        <v>16</v>
      </c>
      <c r="K580" s="67" t="s">
        <v>17</v>
      </c>
      <c r="L580" s="67" t="s">
        <v>21</v>
      </c>
      <c r="M580" s="67" t="s">
        <v>244</v>
      </c>
      <c r="N580" s="67" t="s">
        <v>259</v>
      </c>
      <c r="O580" s="67" t="s">
        <v>2116</v>
      </c>
      <c r="P580" s="67" t="s">
        <v>19</v>
      </c>
      <c r="Q580" s="192">
        <v>53.1</v>
      </c>
    </row>
    <row r="581" spans="1:17" ht="11.1" hidden="1" customHeight="1" x14ac:dyDescent="0.2">
      <c r="A581" s="3"/>
      <c r="B581" s="3" t="str">
        <f ca="1">IF(A581="В заказ",MAX($B$9:OFFSET(B581,-1,0))+1,"")</f>
        <v/>
      </c>
      <c r="C581" s="6" t="str">
        <f t="shared" si="27"/>
        <v>Кромка 2,0 W1000 ST38 (75 м бухта).</v>
      </c>
      <c r="D581" s="67" t="s">
        <v>241</v>
      </c>
      <c r="E581" s="67" t="s">
        <v>15</v>
      </c>
      <c r="F581" s="67" t="s">
        <v>2066</v>
      </c>
      <c r="G581" s="68">
        <v>13309</v>
      </c>
      <c r="H581" s="67" t="s">
        <v>250</v>
      </c>
      <c r="I581" s="200"/>
      <c r="J581" s="67" t="s">
        <v>16</v>
      </c>
      <c r="K581" s="67" t="s">
        <v>17</v>
      </c>
      <c r="L581" s="67" t="s">
        <v>21</v>
      </c>
      <c r="M581" s="67" t="s">
        <v>264</v>
      </c>
      <c r="N581" s="67" t="s">
        <v>259</v>
      </c>
      <c r="O581" s="67" t="s">
        <v>246</v>
      </c>
      <c r="P581" s="67" t="s">
        <v>19</v>
      </c>
      <c r="Q581" s="192">
        <v>72.400000000000006</v>
      </c>
    </row>
    <row r="582" spans="1:17" ht="11.1" hidden="1" customHeight="1" x14ac:dyDescent="0.2">
      <c r="A582" s="3"/>
      <c r="B582" s="3" t="str">
        <f ca="1">IF(A582="В заказ",MAX($B$9:OFFSET(B582,-1,0))+1,"")</f>
        <v/>
      </c>
      <c r="C582" s="6" t="str">
        <f t="shared" si="27"/>
        <v>Кромка 2,0 W1000 ST38  (75 м бухта).</v>
      </c>
      <c r="D582" s="67" t="s">
        <v>241</v>
      </c>
      <c r="E582" s="67" t="s">
        <v>15</v>
      </c>
      <c r="F582" s="67" t="s">
        <v>269</v>
      </c>
      <c r="G582" s="68">
        <v>15391</v>
      </c>
      <c r="H582" s="67" t="s">
        <v>250</v>
      </c>
      <c r="I582" s="200"/>
      <c r="J582" s="67" t="s">
        <v>16</v>
      </c>
      <c r="K582" s="67" t="s">
        <v>17</v>
      </c>
      <c r="L582" s="67" t="s">
        <v>21</v>
      </c>
      <c r="M582" s="67" t="s">
        <v>270</v>
      </c>
      <c r="N582" s="67" t="s">
        <v>259</v>
      </c>
      <c r="O582" s="67" t="s">
        <v>2116</v>
      </c>
      <c r="P582" s="67" t="s">
        <v>19</v>
      </c>
      <c r="Q582" s="192">
        <v>97.2</v>
      </c>
    </row>
    <row r="583" spans="1:17" ht="11.1" hidden="1" customHeight="1" x14ac:dyDescent="0.2">
      <c r="A583" s="3"/>
      <c r="B583" s="3" t="str">
        <f ca="1">IF(A583="В заказ",MAX($B$9:OFFSET(B583,-1,0))+1,"")</f>
        <v/>
      </c>
      <c r="C583" s="6" t="str">
        <f t="shared" si="27"/>
        <v>Кромка 0,4 W1000 ST9  (200 м бухта).</v>
      </c>
      <c r="D583" s="67" t="s">
        <v>241</v>
      </c>
      <c r="E583" s="67" t="s">
        <v>15</v>
      </c>
      <c r="F583" s="67" t="s">
        <v>271</v>
      </c>
      <c r="G583" s="68">
        <v>10407</v>
      </c>
      <c r="H583" s="67" t="s">
        <v>250</v>
      </c>
      <c r="I583" s="200"/>
      <c r="J583" s="67" t="s">
        <v>16</v>
      </c>
      <c r="K583" s="67" t="s">
        <v>17</v>
      </c>
      <c r="L583" s="67" t="s">
        <v>22</v>
      </c>
      <c r="M583" s="67" t="s">
        <v>252</v>
      </c>
      <c r="N583" s="67" t="s">
        <v>253</v>
      </c>
      <c r="O583" s="67" t="s">
        <v>2117</v>
      </c>
      <c r="P583" s="67" t="s">
        <v>19</v>
      </c>
      <c r="Q583" s="71">
        <v>11</v>
      </c>
    </row>
    <row r="584" spans="1:17" ht="11.1" hidden="1" customHeight="1" x14ac:dyDescent="0.2">
      <c r="A584" s="3"/>
      <c r="B584" s="3" t="str">
        <f ca="1">IF(A584="В заказ",MAX($B$9:OFFSET(B584,-1,0))+1,"")</f>
        <v/>
      </c>
      <c r="C584" s="6" t="str">
        <f t="shared" si="27"/>
        <v>Кромка 0,4 W1000 ST9  (200 м бухта).</v>
      </c>
      <c r="D584" s="67" t="s">
        <v>241</v>
      </c>
      <c r="E584" s="67" t="s">
        <v>15</v>
      </c>
      <c r="F584" s="67" t="s">
        <v>272</v>
      </c>
      <c r="G584" s="68">
        <v>21547</v>
      </c>
      <c r="H584" s="67" t="s">
        <v>250</v>
      </c>
      <c r="I584" s="200"/>
      <c r="J584" s="67" t="s">
        <v>16</v>
      </c>
      <c r="K584" s="67" t="s">
        <v>17</v>
      </c>
      <c r="L584" s="67" t="s">
        <v>22</v>
      </c>
      <c r="M584" s="67" t="s">
        <v>244</v>
      </c>
      <c r="N584" s="67" t="s">
        <v>253</v>
      </c>
      <c r="O584" s="67" t="s">
        <v>2117</v>
      </c>
      <c r="P584" s="67" t="s">
        <v>19</v>
      </c>
      <c r="Q584" s="192">
        <v>13.2</v>
      </c>
    </row>
    <row r="585" spans="1:17" ht="11.1" hidden="1" customHeight="1" x14ac:dyDescent="0.2">
      <c r="A585" s="3"/>
      <c r="B585" s="3" t="str">
        <f ca="1">IF(A585="В заказ",MAX($B$9:OFFSET(B585,-1,0))+1,"")</f>
        <v/>
      </c>
      <c r="C585" s="6" t="str">
        <f t="shared" si="27"/>
        <v>Кромка 0,4 W1000 ST9  (200 м бухта).</v>
      </c>
      <c r="D585" s="67" t="s">
        <v>241</v>
      </c>
      <c r="E585" s="67" t="s">
        <v>15</v>
      </c>
      <c r="F585" s="67" t="s">
        <v>273</v>
      </c>
      <c r="G585" s="68">
        <v>11696</v>
      </c>
      <c r="H585" s="67" t="s">
        <v>250</v>
      </c>
      <c r="I585" s="200"/>
      <c r="J585" s="67" t="s">
        <v>16</v>
      </c>
      <c r="K585" s="67" t="s">
        <v>17</v>
      </c>
      <c r="L585" s="67" t="s">
        <v>22</v>
      </c>
      <c r="M585" s="67" t="s">
        <v>264</v>
      </c>
      <c r="N585" s="67" t="s">
        <v>253</v>
      </c>
      <c r="O585" s="67" t="s">
        <v>2117</v>
      </c>
      <c r="P585" s="67" t="s">
        <v>19</v>
      </c>
      <c r="Q585" s="192">
        <v>17.100000000000001</v>
      </c>
    </row>
    <row r="586" spans="1:17" ht="11.1" hidden="1" customHeight="1" x14ac:dyDescent="0.2">
      <c r="A586" s="3"/>
      <c r="B586" s="3" t="str">
        <f ca="1">IF(A586="В заказ",MAX($B$9:OFFSET(B586,-1,0))+1,"")</f>
        <v/>
      </c>
      <c r="C586" s="6" t="str">
        <f t="shared" si="27"/>
        <v>Кромка 0,8 W1000 ST9  (75 м бухта).</v>
      </c>
      <c r="D586" s="67" t="s">
        <v>241</v>
      </c>
      <c r="E586" s="67" t="s">
        <v>15</v>
      </c>
      <c r="F586" s="67" t="s">
        <v>274</v>
      </c>
      <c r="G586" s="68">
        <v>12486</v>
      </c>
      <c r="H586" s="67" t="s">
        <v>250</v>
      </c>
      <c r="I586" s="200"/>
      <c r="J586" s="67" t="s">
        <v>16</v>
      </c>
      <c r="K586" s="67" t="s">
        <v>17</v>
      </c>
      <c r="L586" s="67" t="s">
        <v>22</v>
      </c>
      <c r="M586" s="67" t="s">
        <v>252</v>
      </c>
      <c r="N586" s="67" t="s">
        <v>10</v>
      </c>
      <c r="O586" s="67" t="s">
        <v>2116</v>
      </c>
      <c r="P586" s="67" t="s">
        <v>19</v>
      </c>
      <c r="Q586" s="192">
        <v>25.7</v>
      </c>
    </row>
    <row r="587" spans="1:17" ht="11.1" hidden="1" customHeight="1" x14ac:dyDescent="0.2">
      <c r="A587" s="3"/>
      <c r="B587" s="3" t="str">
        <f ca="1">IF(A587="В заказ",MAX($B$9:OFFSET(B587,-1,0))+1,"")</f>
        <v/>
      </c>
      <c r="C587" s="6" t="str">
        <f t="shared" si="27"/>
        <v>Кромка 0,8 W1000 ST9  (75 м бухта).</v>
      </c>
      <c r="D587" s="67" t="s">
        <v>241</v>
      </c>
      <c r="E587" s="67" t="s">
        <v>15</v>
      </c>
      <c r="F587" s="67" t="s">
        <v>275</v>
      </c>
      <c r="G587" s="68">
        <v>17495</v>
      </c>
      <c r="H587" s="67" t="s">
        <v>250</v>
      </c>
      <c r="I587" s="200"/>
      <c r="J587" s="67" t="s">
        <v>16</v>
      </c>
      <c r="K587" s="67" t="s">
        <v>17</v>
      </c>
      <c r="L587" s="67" t="s">
        <v>22</v>
      </c>
      <c r="M587" s="67" t="s">
        <v>244</v>
      </c>
      <c r="N587" s="67" t="s">
        <v>10</v>
      </c>
      <c r="O587" s="67" t="s">
        <v>2116</v>
      </c>
      <c r="P587" s="67" t="s">
        <v>19</v>
      </c>
      <c r="Q587" s="71">
        <v>31</v>
      </c>
    </row>
    <row r="588" spans="1:17" ht="11.1" hidden="1" customHeight="1" x14ac:dyDescent="0.2">
      <c r="A588" s="3"/>
      <c r="B588" s="3" t="str">
        <f ca="1">IF(A588="В заказ",MAX($B$9:OFFSET(B588,-1,0))+1,"")</f>
        <v/>
      </c>
      <c r="C588" s="6" t="str">
        <f t="shared" si="27"/>
        <v>Кромка 0,8 W1000 ST9  (75 м бухта).</v>
      </c>
      <c r="D588" s="67" t="s">
        <v>241</v>
      </c>
      <c r="E588" s="67" t="s">
        <v>15</v>
      </c>
      <c r="F588" s="67" t="s">
        <v>276</v>
      </c>
      <c r="G588" s="68">
        <v>16181</v>
      </c>
      <c r="H588" s="67" t="s">
        <v>250</v>
      </c>
      <c r="I588" s="200"/>
      <c r="J588" s="67" t="s">
        <v>16</v>
      </c>
      <c r="K588" s="67" t="s">
        <v>17</v>
      </c>
      <c r="L588" s="67" t="s">
        <v>22</v>
      </c>
      <c r="M588" s="67" t="s">
        <v>264</v>
      </c>
      <c r="N588" s="67" t="s">
        <v>10</v>
      </c>
      <c r="O588" s="67" t="s">
        <v>2116</v>
      </c>
      <c r="P588" s="67" t="s">
        <v>19</v>
      </c>
      <c r="Q588" s="192">
        <v>47.5</v>
      </c>
    </row>
    <row r="589" spans="1:17" ht="11.1" hidden="1" customHeight="1" x14ac:dyDescent="0.2">
      <c r="A589" s="3"/>
      <c r="B589" s="3" t="str">
        <f ca="1">IF(A589="В заказ",MAX($B$9:OFFSET(B589,-1,0))+1,"")</f>
        <v/>
      </c>
      <c r="C589" s="6" t="str">
        <f t="shared" si="27"/>
        <v>Кромка 2,0 W1000 ST9  (75 м бухта).</v>
      </c>
      <c r="D589" s="67" t="s">
        <v>241</v>
      </c>
      <c r="E589" s="67" t="s">
        <v>15</v>
      </c>
      <c r="F589" s="67" t="s">
        <v>277</v>
      </c>
      <c r="G589" s="68">
        <v>10183</v>
      </c>
      <c r="H589" s="67" t="s">
        <v>250</v>
      </c>
      <c r="I589" s="200"/>
      <c r="J589" s="67" t="s">
        <v>16</v>
      </c>
      <c r="K589" s="67" t="s">
        <v>17</v>
      </c>
      <c r="L589" s="67" t="s">
        <v>22</v>
      </c>
      <c r="M589" s="67" t="s">
        <v>252</v>
      </c>
      <c r="N589" s="67" t="s">
        <v>259</v>
      </c>
      <c r="O589" s="67" t="s">
        <v>2116</v>
      </c>
      <c r="P589" s="67" t="s">
        <v>19</v>
      </c>
      <c r="Q589" s="192">
        <v>48.1</v>
      </c>
    </row>
    <row r="590" spans="1:17" ht="11.1" hidden="1" customHeight="1" x14ac:dyDescent="0.2">
      <c r="A590" s="3"/>
      <c r="B590" s="3" t="str">
        <f ca="1">IF(A590="В заказ",MAX($B$9:OFFSET(B590,-1,0))+1,"")</f>
        <v/>
      </c>
      <c r="C590" s="6" t="str">
        <f t="shared" si="27"/>
        <v>Кромка 2,0 W1000 ST9  (75 м бухта).</v>
      </c>
      <c r="D590" s="67" t="s">
        <v>241</v>
      </c>
      <c r="E590" s="67" t="s">
        <v>15</v>
      </c>
      <c r="F590" s="67" t="s">
        <v>278</v>
      </c>
      <c r="G590" s="68">
        <v>18251</v>
      </c>
      <c r="H590" s="67" t="s">
        <v>250</v>
      </c>
      <c r="I590" s="200"/>
      <c r="J590" s="67" t="s">
        <v>16</v>
      </c>
      <c r="K590" s="67" t="s">
        <v>17</v>
      </c>
      <c r="L590" s="67" t="s">
        <v>22</v>
      </c>
      <c r="M590" s="67" t="s">
        <v>244</v>
      </c>
      <c r="N590" s="67" t="s">
        <v>259</v>
      </c>
      <c r="O590" s="67" t="s">
        <v>2116</v>
      </c>
      <c r="P590" s="67" t="s">
        <v>19</v>
      </c>
      <c r="Q590" s="192">
        <v>53.1</v>
      </c>
    </row>
    <row r="591" spans="1:17" ht="11.1" hidden="1" customHeight="1" x14ac:dyDescent="0.2">
      <c r="A591" s="3"/>
      <c r="B591" s="3" t="str">
        <f ca="1">IF(A591="В заказ",MAX($B$9:OFFSET(B591,-1,0))+1,"")</f>
        <v/>
      </c>
      <c r="C591" s="6" t="str">
        <f t="shared" si="27"/>
        <v>Кромка 2,0 W1000 ST9  (75 м бухта).</v>
      </c>
      <c r="D591" s="67" t="s">
        <v>241</v>
      </c>
      <c r="E591" s="67" t="s">
        <v>15</v>
      </c>
      <c r="F591" s="67" t="s">
        <v>279</v>
      </c>
      <c r="G591" s="68">
        <v>10408</v>
      </c>
      <c r="H591" s="67" t="s">
        <v>250</v>
      </c>
      <c r="I591" s="200"/>
      <c r="J591" s="67" t="s">
        <v>16</v>
      </c>
      <c r="K591" s="67" t="s">
        <v>17</v>
      </c>
      <c r="L591" s="67" t="s">
        <v>22</v>
      </c>
      <c r="M591" s="67" t="s">
        <v>264</v>
      </c>
      <c r="N591" s="67" t="s">
        <v>259</v>
      </c>
      <c r="O591" s="67" t="s">
        <v>2116</v>
      </c>
      <c r="P591" s="67" t="s">
        <v>19</v>
      </c>
      <c r="Q591" s="192">
        <v>72.400000000000006</v>
      </c>
    </row>
    <row r="592" spans="1:17" ht="11.1" hidden="1" customHeight="1" x14ac:dyDescent="0.2">
      <c r="A592" s="3"/>
      <c r="B592" s="3" t="str">
        <f ca="1">IF(A592="В заказ",MAX($B$9:OFFSET(B592,-1,0))+1,"")</f>
        <v/>
      </c>
      <c r="C592" s="6" t="str">
        <f t="shared" si="27"/>
        <v>Кромка 2,0 W1000 ST9  (75 м бухта).</v>
      </c>
      <c r="D592" s="67" t="s">
        <v>241</v>
      </c>
      <c r="E592" s="67" t="s">
        <v>15</v>
      </c>
      <c r="F592" s="67" t="s">
        <v>280</v>
      </c>
      <c r="G592" s="68">
        <v>8885</v>
      </c>
      <c r="H592" s="67" t="s">
        <v>250</v>
      </c>
      <c r="I592" s="200"/>
      <c r="J592" s="67" t="s">
        <v>16</v>
      </c>
      <c r="K592" s="67" t="s">
        <v>17</v>
      </c>
      <c r="L592" s="67" t="s">
        <v>22</v>
      </c>
      <c r="M592" s="67" t="s">
        <v>270</v>
      </c>
      <c r="N592" s="67" t="s">
        <v>259</v>
      </c>
      <c r="O592" s="67" t="s">
        <v>2116</v>
      </c>
      <c r="P592" s="67" t="s">
        <v>19</v>
      </c>
      <c r="Q592" s="192">
        <v>97.2</v>
      </c>
    </row>
    <row r="593" spans="1:17" ht="11.1" hidden="1" customHeight="1" x14ac:dyDescent="0.2">
      <c r="A593" s="3"/>
      <c r="B593" s="3" t="str">
        <f ca="1">IF(A593="В заказ",MAX($B$9:OFFSET(B593,-1,0))+1,"")</f>
        <v/>
      </c>
      <c r="C593" s="6" t="str">
        <f t="shared" si="27"/>
        <v>Кромка 2,0 W1000 ST9  (75 м бухта).</v>
      </c>
      <c r="D593" s="67" t="s">
        <v>241</v>
      </c>
      <c r="E593" s="67" t="s">
        <v>15</v>
      </c>
      <c r="F593" s="67" t="s">
        <v>281</v>
      </c>
      <c r="G593" s="68">
        <v>21474</v>
      </c>
      <c r="H593" s="67" t="s">
        <v>250</v>
      </c>
      <c r="I593" s="200"/>
      <c r="J593" s="67" t="s">
        <v>16</v>
      </c>
      <c r="K593" s="67" t="s">
        <v>17</v>
      </c>
      <c r="L593" s="67" t="s">
        <v>22</v>
      </c>
      <c r="M593" s="67" t="s">
        <v>282</v>
      </c>
      <c r="N593" s="67" t="s">
        <v>259</v>
      </c>
      <c r="O593" s="67" t="s">
        <v>2116</v>
      </c>
      <c r="P593" s="67" t="s">
        <v>19</v>
      </c>
      <c r="Q593" s="192">
        <v>150.9</v>
      </c>
    </row>
    <row r="594" spans="1:17" ht="11.1" hidden="1" customHeight="1" x14ac:dyDescent="0.2">
      <c r="A594" s="3"/>
      <c r="B594" s="3" t="str">
        <f ca="1">IF(A594="В заказ",MAX($B$9:OFFSET(B594,-1,0))+1,"")</f>
        <v/>
      </c>
      <c r="C594" s="6" t="str">
        <f t="shared" si="27"/>
        <v>Кромка 1,0 W1100 PG  (75 м бухта).</v>
      </c>
      <c r="D594" s="67" t="s">
        <v>241</v>
      </c>
      <c r="E594" s="67" t="s">
        <v>15</v>
      </c>
      <c r="F594" s="67" t="s">
        <v>283</v>
      </c>
      <c r="G594" s="68">
        <v>14975</v>
      </c>
      <c r="H594" s="67" t="s">
        <v>243</v>
      </c>
      <c r="I594" s="200"/>
      <c r="J594" s="67" t="s">
        <v>23</v>
      </c>
      <c r="K594" s="67" t="s">
        <v>24</v>
      </c>
      <c r="L594" s="67" t="s">
        <v>18</v>
      </c>
      <c r="M594" s="67" t="s">
        <v>244</v>
      </c>
      <c r="N594" s="67" t="s">
        <v>245</v>
      </c>
      <c r="O594" s="67" t="s">
        <v>2116</v>
      </c>
      <c r="P594" s="67" t="s">
        <v>19</v>
      </c>
      <c r="Q594" s="192">
        <v>73.8</v>
      </c>
    </row>
    <row r="595" spans="1:17" ht="11.1" hidden="1" customHeight="1" x14ac:dyDescent="0.2">
      <c r="A595" s="3"/>
      <c r="B595" s="3" t="str">
        <f ca="1">IF(A595="В заказ",MAX($B$9:OFFSET(B595,-1,0))+1,"")</f>
        <v/>
      </c>
      <c r="C595" s="6" t="str">
        <f t="shared" si="27"/>
        <v>Кромка 1,0 W1100 PM  (75 м бухта).</v>
      </c>
      <c r="D595" s="67" t="s">
        <v>241</v>
      </c>
      <c r="E595" s="67" t="s">
        <v>15</v>
      </c>
      <c r="F595" s="67" t="s">
        <v>284</v>
      </c>
      <c r="G595" s="68">
        <v>14976</v>
      </c>
      <c r="H595" s="67" t="s">
        <v>243</v>
      </c>
      <c r="I595" s="200"/>
      <c r="J595" s="67" t="s">
        <v>23</v>
      </c>
      <c r="K595" s="67" t="s">
        <v>24</v>
      </c>
      <c r="L595" s="67" t="s">
        <v>248</v>
      </c>
      <c r="M595" s="67" t="s">
        <v>244</v>
      </c>
      <c r="N595" s="67" t="s">
        <v>245</v>
      </c>
      <c r="O595" s="67" t="s">
        <v>2116</v>
      </c>
      <c r="P595" s="67" t="s">
        <v>19</v>
      </c>
      <c r="Q595" s="192">
        <v>73.8</v>
      </c>
    </row>
    <row r="596" spans="1:17" ht="11.1" hidden="1" customHeight="1" x14ac:dyDescent="0.2">
      <c r="A596" s="3"/>
      <c r="B596" s="3" t="str">
        <f ca="1">IF(A596="В заказ",MAX($B$9:OFFSET(B596,-1,0))+1,"")</f>
        <v/>
      </c>
      <c r="C596" s="6" t="str">
        <f t="shared" si="27"/>
        <v>Кромка 0,4 W1100 ST9  (200 м бухта).</v>
      </c>
      <c r="D596" s="67" t="s">
        <v>241</v>
      </c>
      <c r="E596" s="67" t="s">
        <v>15</v>
      </c>
      <c r="F596" s="67" t="s">
        <v>285</v>
      </c>
      <c r="G596" s="68">
        <v>15486</v>
      </c>
      <c r="H596" s="67" t="s">
        <v>250</v>
      </c>
      <c r="I596" s="200"/>
      <c r="J596" s="67" t="s">
        <v>23</v>
      </c>
      <c r="K596" s="67" t="s">
        <v>24</v>
      </c>
      <c r="L596" s="67" t="s">
        <v>22</v>
      </c>
      <c r="M596" s="67" t="s">
        <v>252</v>
      </c>
      <c r="N596" s="67" t="s">
        <v>253</v>
      </c>
      <c r="O596" s="67" t="s">
        <v>2117</v>
      </c>
      <c r="P596" s="67" t="s">
        <v>19</v>
      </c>
      <c r="Q596" s="71">
        <v>11</v>
      </c>
    </row>
    <row r="597" spans="1:17" ht="11.1" hidden="1" customHeight="1" x14ac:dyDescent="0.2">
      <c r="A597" s="3"/>
      <c r="B597" s="3" t="str">
        <f ca="1">IF(A597="В заказ",MAX($B$9:OFFSET(B597,-1,0))+1,"")</f>
        <v/>
      </c>
      <c r="C597" s="6" t="str">
        <f t="shared" si="27"/>
        <v>Кромка 0,4 W1100 ST9  (200 м бухта).</v>
      </c>
      <c r="D597" s="67" t="s">
        <v>241</v>
      </c>
      <c r="E597" s="67" t="s">
        <v>15</v>
      </c>
      <c r="F597" s="67" t="s">
        <v>286</v>
      </c>
      <c r="G597" s="68">
        <v>23221</v>
      </c>
      <c r="H597" s="67" t="s">
        <v>250</v>
      </c>
      <c r="I597" s="200"/>
      <c r="J597" s="67" t="s">
        <v>23</v>
      </c>
      <c r="K597" s="67" t="s">
        <v>24</v>
      </c>
      <c r="L597" s="67" t="s">
        <v>22</v>
      </c>
      <c r="M597" s="67" t="s">
        <v>244</v>
      </c>
      <c r="N597" s="67" t="s">
        <v>253</v>
      </c>
      <c r="O597" s="67" t="s">
        <v>2117</v>
      </c>
      <c r="P597" s="67" t="s">
        <v>19</v>
      </c>
      <c r="Q597" s="192">
        <v>13.2</v>
      </c>
    </row>
    <row r="598" spans="1:17" ht="11.1" hidden="1" customHeight="1" x14ac:dyDescent="0.2">
      <c r="A598" s="3"/>
      <c r="B598" s="3" t="str">
        <f ca="1">IF(A598="В заказ",MAX($B$9:OFFSET(B598,-1,0))+1,"")</f>
        <v/>
      </c>
      <c r="C598" s="6" t="str">
        <f t="shared" si="27"/>
        <v>Кромка 0,4 W1100 ST9  (200 м бухта).</v>
      </c>
      <c r="D598" s="67" t="s">
        <v>241</v>
      </c>
      <c r="E598" s="67" t="s">
        <v>15</v>
      </c>
      <c r="F598" s="67" t="s">
        <v>287</v>
      </c>
      <c r="G598" s="68">
        <v>15503</v>
      </c>
      <c r="H598" s="67" t="s">
        <v>250</v>
      </c>
      <c r="I598" s="200"/>
      <c r="J598" s="67" t="s">
        <v>23</v>
      </c>
      <c r="K598" s="67" t="s">
        <v>24</v>
      </c>
      <c r="L598" s="67" t="s">
        <v>22</v>
      </c>
      <c r="M598" s="67" t="s">
        <v>264</v>
      </c>
      <c r="N598" s="67" t="s">
        <v>253</v>
      </c>
      <c r="O598" s="67" t="s">
        <v>2117</v>
      </c>
      <c r="P598" s="67" t="s">
        <v>19</v>
      </c>
      <c r="Q598" s="192">
        <v>17.100000000000001</v>
      </c>
    </row>
    <row r="599" spans="1:17" ht="11.1" hidden="1" customHeight="1" x14ac:dyDescent="0.2">
      <c r="A599" s="3"/>
      <c r="B599" s="3" t="str">
        <f ca="1">IF(A599="В заказ",MAX($B$9:OFFSET(B599,-1,0))+1,"")</f>
        <v/>
      </c>
      <c r="C599" s="6" t="str">
        <f t="shared" si="27"/>
        <v>Кромка 0,8 W1100 ST9  (75 м бухта).</v>
      </c>
      <c r="D599" s="67" t="s">
        <v>241</v>
      </c>
      <c r="E599" s="67" t="s">
        <v>15</v>
      </c>
      <c r="F599" s="67" t="s">
        <v>288</v>
      </c>
      <c r="G599" s="68">
        <v>14788</v>
      </c>
      <c r="H599" s="67" t="s">
        <v>250</v>
      </c>
      <c r="I599" s="200"/>
      <c r="J599" s="67" t="s">
        <v>23</v>
      </c>
      <c r="K599" s="67" t="s">
        <v>24</v>
      </c>
      <c r="L599" s="67" t="s">
        <v>22</v>
      </c>
      <c r="M599" s="67" t="s">
        <v>252</v>
      </c>
      <c r="N599" s="67" t="s">
        <v>10</v>
      </c>
      <c r="O599" s="67" t="s">
        <v>2116</v>
      </c>
      <c r="P599" s="67" t="s">
        <v>19</v>
      </c>
      <c r="Q599" s="192">
        <v>25.7</v>
      </c>
    </row>
    <row r="600" spans="1:17" ht="11.1" hidden="1" customHeight="1" x14ac:dyDescent="0.2">
      <c r="A600" s="3"/>
      <c r="B600" s="3" t="str">
        <f ca="1">IF(A600="В заказ",MAX($B$9:OFFSET(B600,-1,0))+1,"")</f>
        <v/>
      </c>
      <c r="C600" s="6" t="str">
        <f t="shared" si="27"/>
        <v>Кромка 0,8 W1100 ST9  (75 м бухта).</v>
      </c>
      <c r="D600" s="67" t="s">
        <v>241</v>
      </c>
      <c r="E600" s="67" t="s">
        <v>15</v>
      </c>
      <c r="F600" s="67" t="s">
        <v>289</v>
      </c>
      <c r="G600" s="68">
        <v>17509</v>
      </c>
      <c r="H600" s="67" t="s">
        <v>250</v>
      </c>
      <c r="I600" s="200"/>
      <c r="J600" s="67" t="s">
        <v>23</v>
      </c>
      <c r="K600" s="67" t="s">
        <v>24</v>
      </c>
      <c r="L600" s="67" t="s">
        <v>22</v>
      </c>
      <c r="M600" s="67" t="s">
        <v>244</v>
      </c>
      <c r="N600" s="67" t="s">
        <v>10</v>
      </c>
      <c r="O600" s="67" t="s">
        <v>2116</v>
      </c>
      <c r="P600" s="67" t="s">
        <v>19</v>
      </c>
      <c r="Q600" s="71">
        <v>31</v>
      </c>
    </row>
    <row r="601" spans="1:17" ht="11.1" hidden="1" customHeight="1" x14ac:dyDescent="0.2">
      <c r="A601" s="3"/>
      <c r="B601" s="3" t="str">
        <f ca="1">IF(A601="В заказ",MAX($B$9:OFFSET(B601,-1,0))+1,"")</f>
        <v/>
      </c>
      <c r="C601" s="6" t="str">
        <f t="shared" si="27"/>
        <v>Кромка 0,8 W1100 ST9  (75 м бухта).</v>
      </c>
      <c r="D601" s="67" t="s">
        <v>241</v>
      </c>
      <c r="E601" s="67" t="s">
        <v>15</v>
      </c>
      <c r="F601" s="67" t="s">
        <v>290</v>
      </c>
      <c r="G601" s="68">
        <v>16749</v>
      </c>
      <c r="H601" s="67" t="s">
        <v>250</v>
      </c>
      <c r="I601" s="200"/>
      <c r="J601" s="67" t="s">
        <v>23</v>
      </c>
      <c r="K601" s="67" t="s">
        <v>24</v>
      </c>
      <c r="L601" s="67" t="s">
        <v>22</v>
      </c>
      <c r="M601" s="67" t="s">
        <v>264</v>
      </c>
      <c r="N601" s="67" t="s">
        <v>10</v>
      </c>
      <c r="O601" s="67" t="s">
        <v>2116</v>
      </c>
      <c r="P601" s="67" t="s">
        <v>19</v>
      </c>
      <c r="Q601" s="192">
        <v>47.5</v>
      </c>
    </row>
    <row r="602" spans="1:17" ht="11.1" hidden="1" customHeight="1" x14ac:dyDescent="0.2">
      <c r="A602" s="3"/>
      <c r="B602" s="3" t="str">
        <f ca="1">IF(A602="В заказ",MAX($B$9:OFFSET(B602,-1,0))+1,"")</f>
        <v/>
      </c>
      <c r="C602" s="6" t="str">
        <f t="shared" si="27"/>
        <v>Кромка 2,0 W1100 ST9 (75 м бухта).</v>
      </c>
      <c r="D602" s="67" t="s">
        <v>241</v>
      </c>
      <c r="E602" s="67" t="s">
        <v>15</v>
      </c>
      <c r="F602" s="67" t="s">
        <v>291</v>
      </c>
      <c r="G602" s="68">
        <v>14260</v>
      </c>
      <c r="H602" s="67" t="s">
        <v>250</v>
      </c>
      <c r="I602" s="200"/>
      <c r="J602" s="67" t="s">
        <v>23</v>
      </c>
      <c r="K602" s="67" t="s">
        <v>24</v>
      </c>
      <c r="L602" s="67" t="s">
        <v>22</v>
      </c>
      <c r="M602" s="67" t="s">
        <v>252</v>
      </c>
      <c r="N602" s="67" t="s">
        <v>259</v>
      </c>
      <c r="O602" s="67" t="s">
        <v>246</v>
      </c>
      <c r="P602" s="67" t="s">
        <v>19</v>
      </c>
      <c r="Q602" s="192">
        <v>48.1</v>
      </c>
    </row>
    <row r="603" spans="1:17" ht="11.1" hidden="1" customHeight="1" x14ac:dyDescent="0.2">
      <c r="A603" s="3"/>
      <c r="B603" s="3" t="str">
        <f ca="1">IF(A603="В заказ",MAX($B$9:OFFSET(B603,-1,0))+1,"")</f>
        <v/>
      </c>
      <c r="C603" s="6" t="str">
        <f t="shared" si="27"/>
        <v>Кромка 2,0 W1100 ST9  (75 м бухта).</v>
      </c>
      <c r="D603" s="67" t="s">
        <v>241</v>
      </c>
      <c r="E603" s="67" t="s">
        <v>15</v>
      </c>
      <c r="F603" s="67" t="s">
        <v>292</v>
      </c>
      <c r="G603" s="68">
        <v>14945</v>
      </c>
      <c r="H603" s="67" t="s">
        <v>250</v>
      </c>
      <c r="I603" s="200"/>
      <c r="J603" s="67" t="s">
        <v>23</v>
      </c>
      <c r="K603" s="67" t="s">
        <v>24</v>
      </c>
      <c r="L603" s="67" t="s">
        <v>22</v>
      </c>
      <c r="M603" s="67" t="s">
        <v>244</v>
      </c>
      <c r="N603" s="67" t="s">
        <v>259</v>
      </c>
      <c r="O603" s="67" t="s">
        <v>2116</v>
      </c>
      <c r="P603" s="67" t="s">
        <v>19</v>
      </c>
      <c r="Q603" s="192">
        <v>53.1</v>
      </c>
    </row>
    <row r="604" spans="1:17" ht="11.1" hidden="1" customHeight="1" x14ac:dyDescent="0.2">
      <c r="A604" s="3"/>
      <c r="B604" s="3" t="str">
        <f ca="1">IF(A604="В заказ",MAX($B$9:OFFSET(B604,-1,0))+1,"")</f>
        <v/>
      </c>
      <c r="C604" s="6" t="str">
        <f t="shared" si="27"/>
        <v>Кромка 2,0 W1100 ST9  (75 м бухта).</v>
      </c>
      <c r="D604" s="67" t="s">
        <v>241</v>
      </c>
      <c r="E604" s="67" t="s">
        <v>15</v>
      </c>
      <c r="F604" s="67" t="s">
        <v>293</v>
      </c>
      <c r="G604" s="68">
        <v>15210</v>
      </c>
      <c r="H604" s="67" t="s">
        <v>250</v>
      </c>
      <c r="I604" s="200"/>
      <c r="J604" s="67" t="s">
        <v>23</v>
      </c>
      <c r="K604" s="67" t="s">
        <v>24</v>
      </c>
      <c r="L604" s="67" t="s">
        <v>22</v>
      </c>
      <c r="M604" s="67" t="s">
        <v>264</v>
      </c>
      <c r="N604" s="67" t="s">
        <v>259</v>
      </c>
      <c r="O604" s="67" t="s">
        <v>2116</v>
      </c>
      <c r="P604" s="67" t="s">
        <v>19</v>
      </c>
      <c r="Q604" s="192">
        <v>72.400000000000006</v>
      </c>
    </row>
    <row r="605" spans="1:17" ht="11.1" hidden="1" customHeight="1" x14ac:dyDescent="0.2">
      <c r="A605" s="3"/>
      <c r="B605" s="3" t="str">
        <f ca="1">IF(A605="В заказ",MAX($B$9:OFFSET(B605,-1,0))+1,"")</f>
        <v/>
      </c>
      <c r="C605" s="6" t="str">
        <f t="shared" si="27"/>
        <v>Кромка 2,0 W1100 ST9 (75 м бухта).</v>
      </c>
      <c r="D605" s="67" t="s">
        <v>241</v>
      </c>
      <c r="E605" s="67" t="s">
        <v>15</v>
      </c>
      <c r="F605" s="67" t="s">
        <v>294</v>
      </c>
      <c r="G605" s="68">
        <v>15741</v>
      </c>
      <c r="H605" s="67" t="s">
        <v>250</v>
      </c>
      <c r="I605" s="200"/>
      <c r="J605" s="67" t="s">
        <v>23</v>
      </c>
      <c r="K605" s="67" t="s">
        <v>24</v>
      </c>
      <c r="L605" s="67" t="s">
        <v>22</v>
      </c>
      <c r="M605" s="67" t="s">
        <v>270</v>
      </c>
      <c r="N605" s="67" t="s">
        <v>259</v>
      </c>
      <c r="O605" s="67" t="s">
        <v>246</v>
      </c>
      <c r="P605" s="67" t="s">
        <v>19</v>
      </c>
      <c r="Q605" s="192">
        <v>97.2</v>
      </c>
    </row>
    <row r="606" spans="1:17" ht="11.1" hidden="1" customHeight="1" x14ac:dyDescent="0.2">
      <c r="A606" s="3"/>
      <c r="B606" s="3" t="str">
        <f ca="1">IF(A606="В заказ",MAX($B$9:OFFSET(B606,-1,0))+1,"")</f>
        <v/>
      </c>
      <c r="C606" s="6" t="str">
        <f t="shared" si="27"/>
        <v>Кромка 2,0 W1100 ST9  (75 м бухта).</v>
      </c>
      <c r="D606" s="67" t="s">
        <v>241</v>
      </c>
      <c r="E606" s="67" t="s">
        <v>15</v>
      </c>
      <c r="F606" s="67" t="s">
        <v>295</v>
      </c>
      <c r="G606" s="68">
        <v>21475</v>
      </c>
      <c r="H606" s="67" t="s">
        <v>250</v>
      </c>
      <c r="I606" s="200"/>
      <c r="J606" s="67" t="s">
        <v>23</v>
      </c>
      <c r="K606" s="67" t="s">
        <v>24</v>
      </c>
      <c r="L606" s="67" t="s">
        <v>22</v>
      </c>
      <c r="M606" s="67" t="s">
        <v>282</v>
      </c>
      <c r="N606" s="67" t="s">
        <v>259</v>
      </c>
      <c r="O606" s="67" t="s">
        <v>2116</v>
      </c>
      <c r="P606" s="67" t="s">
        <v>19</v>
      </c>
      <c r="Q606" s="192">
        <v>150.9</v>
      </c>
    </row>
    <row r="607" spans="1:17" ht="11.1" hidden="1" customHeight="1" x14ac:dyDescent="0.2">
      <c r="A607" s="3"/>
      <c r="B607" s="3" t="str">
        <f ca="1">IF(A607="В заказ",MAX($B$9:OFFSET(B607,-1,0))+1,"")</f>
        <v/>
      </c>
      <c r="C607" s="6" t="str">
        <f t="shared" si="27"/>
        <v>Кромка 0,4 W908 SM  (200 м бухта).</v>
      </c>
      <c r="D607" s="67" t="s">
        <v>241</v>
      </c>
      <c r="E607" s="67" t="s">
        <v>15</v>
      </c>
      <c r="F607" s="67" t="s">
        <v>296</v>
      </c>
      <c r="G607" s="68">
        <v>1374</v>
      </c>
      <c r="H607" s="67" t="s">
        <v>250</v>
      </c>
      <c r="I607" s="200"/>
      <c r="J607" s="67" t="s">
        <v>28</v>
      </c>
      <c r="K607" s="67" t="s">
        <v>29</v>
      </c>
      <c r="L607" s="67" t="s">
        <v>30</v>
      </c>
      <c r="M607" s="67" t="s">
        <v>252</v>
      </c>
      <c r="N607" s="67" t="s">
        <v>253</v>
      </c>
      <c r="O607" s="67" t="s">
        <v>2117</v>
      </c>
      <c r="P607" s="67" t="s">
        <v>19</v>
      </c>
      <c r="Q607" s="71">
        <v>11</v>
      </c>
    </row>
    <row r="608" spans="1:17" ht="11.1" hidden="1" customHeight="1" x14ac:dyDescent="0.2">
      <c r="A608" s="3"/>
      <c r="B608" s="3" t="str">
        <f ca="1">IF(A608="В заказ",MAX($B$9:OFFSET(B608,-1,0))+1,"")</f>
        <v/>
      </c>
      <c r="C608" s="6" t="str">
        <f t="shared" si="27"/>
        <v>Кромка 0,4 W908 SM  (200 м бухта).</v>
      </c>
      <c r="D608" s="67" t="s">
        <v>241</v>
      </c>
      <c r="E608" s="67" t="s">
        <v>15</v>
      </c>
      <c r="F608" s="67" t="s">
        <v>297</v>
      </c>
      <c r="G608" s="68">
        <v>24557</v>
      </c>
      <c r="H608" s="67" t="s">
        <v>250</v>
      </c>
      <c r="I608" s="200"/>
      <c r="J608" s="67" t="s">
        <v>28</v>
      </c>
      <c r="K608" s="67" t="s">
        <v>29</v>
      </c>
      <c r="L608" s="67" t="s">
        <v>30</v>
      </c>
      <c r="M608" s="67" t="s">
        <v>244</v>
      </c>
      <c r="N608" s="67" t="s">
        <v>253</v>
      </c>
      <c r="O608" s="67" t="s">
        <v>2117</v>
      </c>
      <c r="P608" s="67" t="s">
        <v>19</v>
      </c>
      <c r="Q608" s="192">
        <v>13.2</v>
      </c>
    </row>
    <row r="609" spans="1:17" ht="11.1" hidden="1" customHeight="1" x14ac:dyDescent="0.2">
      <c r="A609" s="3"/>
      <c r="B609" s="3" t="str">
        <f ca="1">IF(A609="В заказ",MAX($B$9:OFFSET(B609,-1,0))+1,"")</f>
        <v/>
      </c>
      <c r="C609" s="6" t="str">
        <f t="shared" si="27"/>
        <v>Кромка 0,4 W908 SM  (200 м бухта).</v>
      </c>
      <c r="D609" s="67" t="s">
        <v>241</v>
      </c>
      <c r="E609" s="67" t="s">
        <v>15</v>
      </c>
      <c r="F609" s="67" t="s">
        <v>298</v>
      </c>
      <c r="G609" s="68">
        <v>2607</v>
      </c>
      <c r="H609" s="67" t="s">
        <v>250</v>
      </c>
      <c r="I609" s="200"/>
      <c r="J609" s="67" t="s">
        <v>28</v>
      </c>
      <c r="K609" s="67" t="s">
        <v>29</v>
      </c>
      <c r="L609" s="67" t="s">
        <v>30</v>
      </c>
      <c r="M609" s="67" t="s">
        <v>264</v>
      </c>
      <c r="N609" s="67" t="s">
        <v>253</v>
      </c>
      <c r="O609" s="67" t="s">
        <v>2117</v>
      </c>
      <c r="P609" s="67" t="s">
        <v>19</v>
      </c>
      <c r="Q609" s="192">
        <v>17.100000000000001</v>
      </c>
    </row>
    <row r="610" spans="1:17" ht="11.1" hidden="1" customHeight="1" x14ac:dyDescent="0.2">
      <c r="A610" s="3"/>
      <c r="B610" s="3" t="str">
        <f ca="1">IF(A610="В заказ",MAX($B$9:OFFSET(B610,-1,0))+1,"")</f>
        <v/>
      </c>
      <c r="C610" s="6" t="str">
        <f t="shared" si="27"/>
        <v>Кромка 0,8 W908 SM  (75 м бухта).</v>
      </c>
      <c r="D610" s="67" t="s">
        <v>241</v>
      </c>
      <c r="E610" s="67" t="s">
        <v>15</v>
      </c>
      <c r="F610" s="67" t="s">
        <v>299</v>
      </c>
      <c r="G610" s="68">
        <v>12512</v>
      </c>
      <c r="H610" s="67" t="s">
        <v>250</v>
      </c>
      <c r="I610" s="200"/>
      <c r="J610" s="67" t="s">
        <v>28</v>
      </c>
      <c r="K610" s="67" t="s">
        <v>29</v>
      </c>
      <c r="L610" s="67" t="s">
        <v>30</v>
      </c>
      <c r="M610" s="67" t="s">
        <v>252</v>
      </c>
      <c r="N610" s="67" t="s">
        <v>10</v>
      </c>
      <c r="O610" s="67" t="s">
        <v>2116</v>
      </c>
      <c r="P610" s="67" t="s">
        <v>19</v>
      </c>
      <c r="Q610" s="192">
        <v>25.7</v>
      </c>
    </row>
    <row r="611" spans="1:17" ht="11.1" hidden="1" customHeight="1" x14ac:dyDescent="0.2">
      <c r="A611" s="3"/>
      <c r="B611" s="3" t="str">
        <f ca="1">IF(A611="В заказ",MAX($B$9:OFFSET(B611,-1,0))+1,"")</f>
        <v/>
      </c>
      <c r="C611" s="6" t="str">
        <f t="shared" si="27"/>
        <v>Кромка 0,8 W908 SM  (75 м бухта).</v>
      </c>
      <c r="D611" s="67" t="s">
        <v>241</v>
      </c>
      <c r="E611" s="67" t="s">
        <v>15</v>
      </c>
      <c r="F611" s="67" t="s">
        <v>300</v>
      </c>
      <c r="G611" s="68">
        <v>22256</v>
      </c>
      <c r="H611" s="67" t="s">
        <v>250</v>
      </c>
      <c r="I611" s="200"/>
      <c r="J611" s="67" t="s">
        <v>28</v>
      </c>
      <c r="K611" s="67" t="s">
        <v>29</v>
      </c>
      <c r="L611" s="67" t="s">
        <v>30</v>
      </c>
      <c r="M611" s="67" t="s">
        <v>244</v>
      </c>
      <c r="N611" s="67" t="s">
        <v>10</v>
      </c>
      <c r="O611" s="67" t="s">
        <v>2116</v>
      </c>
      <c r="P611" s="67" t="s">
        <v>19</v>
      </c>
      <c r="Q611" s="71">
        <v>31</v>
      </c>
    </row>
    <row r="612" spans="1:17" ht="11.1" hidden="1" customHeight="1" x14ac:dyDescent="0.2">
      <c r="A612" s="3"/>
      <c r="B612" s="3" t="str">
        <f ca="1">IF(A612="В заказ",MAX($B$9:OFFSET(B612,-1,0))+1,"")</f>
        <v/>
      </c>
      <c r="C612" s="6" t="str">
        <f t="shared" si="27"/>
        <v>Кромка 2,0 W908 SM  (75 м бухта).</v>
      </c>
      <c r="D612" s="67" t="s">
        <v>241</v>
      </c>
      <c r="E612" s="67" t="s">
        <v>15</v>
      </c>
      <c r="F612" s="67" t="s">
        <v>301</v>
      </c>
      <c r="G612" s="68">
        <v>3425</v>
      </c>
      <c r="H612" s="67" t="s">
        <v>250</v>
      </c>
      <c r="I612" s="200"/>
      <c r="J612" s="67" t="s">
        <v>28</v>
      </c>
      <c r="K612" s="67" t="s">
        <v>29</v>
      </c>
      <c r="L612" s="67" t="s">
        <v>30</v>
      </c>
      <c r="M612" s="67" t="s">
        <v>252</v>
      </c>
      <c r="N612" s="67" t="s">
        <v>259</v>
      </c>
      <c r="O612" s="67" t="s">
        <v>2116</v>
      </c>
      <c r="P612" s="67" t="s">
        <v>19</v>
      </c>
      <c r="Q612" s="192">
        <v>48.1</v>
      </c>
    </row>
    <row r="613" spans="1:17" ht="11.1" hidden="1" customHeight="1" x14ac:dyDescent="0.2">
      <c r="A613" s="3"/>
      <c r="B613" s="3" t="str">
        <f ca="1">IF(A613="В заказ",MAX($B$9:OFFSET(B613,-1,0))+1,"")</f>
        <v/>
      </c>
      <c r="C613" s="6" t="str">
        <f t="shared" si="27"/>
        <v>Кромка 2,0 W908 SM  (75 м бухта).</v>
      </c>
      <c r="D613" s="67" t="s">
        <v>241</v>
      </c>
      <c r="E613" s="67" t="s">
        <v>15</v>
      </c>
      <c r="F613" s="67" t="s">
        <v>302</v>
      </c>
      <c r="G613" s="68">
        <v>6051</v>
      </c>
      <c r="H613" s="67" t="s">
        <v>250</v>
      </c>
      <c r="I613" s="200"/>
      <c r="J613" s="67" t="s">
        <v>28</v>
      </c>
      <c r="K613" s="67" t="s">
        <v>29</v>
      </c>
      <c r="L613" s="67" t="s">
        <v>30</v>
      </c>
      <c r="M613" s="67" t="s">
        <v>244</v>
      </c>
      <c r="N613" s="67" t="s">
        <v>259</v>
      </c>
      <c r="O613" s="67" t="s">
        <v>2116</v>
      </c>
      <c r="P613" s="67" t="s">
        <v>19</v>
      </c>
      <c r="Q613" s="192">
        <v>53.1</v>
      </c>
    </row>
    <row r="614" spans="1:17" ht="11.1" hidden="1" customHeight="1" x14ac:dyDescent="0.2">
      <c r="A614" s="3"/>
      <c r="B614" s="3" t="str">
        <f ca="1">IF(A614="В заказ",MAX($B$9:OFFSET(B614,-1,0))+1,"")</f>
        <v/>
      </c>
      <c r="C614" s="6" t="str">
        <f t="shared" si="27"/>
        <v>Кромка 2,0 W908 SM  (75 м бухта).</v>
      </c>
      <c r="D614" s="67" t="s">
        <v>241</v>
      </c>
      <c r="E614" s="67" t="s">
        <v>15</v>
      </c>
      <c r="F614" s="67" t="s">
        <v>303</v>
      </c>
      <c r="G614" s="68">
        <v>1751</v>
      </c>
      <c r="H614" s="67" t="s">
        <v>250</v>
      </c>
      <c r="I614" s="200"/>
      <c r="J614" s="67" t="s">
        <v>28</v>
      </c>
      <c r="K614" s="67" t="s">
        <v>29</v>
      </c>
      <c r="L614" s="67" t="s">
        <v>30</v>
      </c>
      <c r="M614" s="67" t="s">
        <v>264</v>
      </c>
      <c r="N614" s="67" t="s">
        <v>259</v>
      </c>
      <c r="O614" s="67" t="s">
        <v>2116</v>
      </c>
      <c r="P614" s="67" t="s">
        <v>19</v>
      </c>
      <c r="Q614" s="192">
        <v>72.400000000000006</v>
      </c>
    </row>
    <row r="615" spans="1:17" ht="11.1" hidden="1" customHeight="1" x14ac:dyDescent="0.2">
      <c r="A615" s="3"/>
      <c r="B615" s="3" t="str">
        <f ca="1">IF(A615="В заказ",MAX($B$9:OFFSET(B615,-1,0))+1,"")</f>
        <v/>
      </c>
      <c r="C615" s="6" t="str">
        <f t="shared" si="27"/>
        <v>Кромка 2,0 W908 SM  (75 м бухта).</v>
      </c>
      <c r="D615" s="67" t="s">
        <v>241</v>
      </c>
      <c r="E615" s="67" t="s">
        <v>15</v>
      </c>
      <c r="F615" s="67" t="s">
        <v>304</v>
      </c>
      <c r="G615" s="68">
        <v>12337</v>
      </c>
      <c r="H615" s="67" t="s">
        <v>250</v>
      </c>
      <c r="I615" s="200"/>
      <c r="J615" s="67" t="s">
        <v>28</v>
      </c>
      <c r="K615" s="67" t="s">
        <v>29</v>
      </c>
      <c r="L615" s="67" t="s">
        <v>30</v>
      </c>
      <c r="M615" s="67" t="s">
        <v>270</v>
      </c>
      <c r="N615" s="67" t="s">
        <v>259</v>
      </c>
      <c r="O615" s="67" t="s">
        <v>2116</v>
      </c>
      <c r="P615" s="67" t="s">
        <v>19</v>
      </c>
      <c r="Q615" s="192">
        <v>97.2</v>
      </c>
    </row>
    <row r="616" spans="1:17" ht="11.1" hidden="1" customHeight="1" x14ac:dyDescent="0.2">
      <c r="A616" s="3"/>
      <c r="B616" s="3" t="str">
        <f ca="1">IF(A616="В заказ",MAX($B$9:OFFSET(B616,-1,0))+1,"")</f>
        <v/>
      </c>
      <c r="C616" s="6" t="str">
        <f t="shared" si="27"/>
        <v>Кромка 0,4 W908 ST2  (200 м бухта).</v>
      </c>
      <c r="D616" s="67" t="s">
        <v>241</v>
      </c>
      <c r="E616" s="67" t="s">
        <v>15</v>
      </c>
      <c r="F616" s="67" t="s">
        <v>305</v>
      </c>
      <c r="G616" s="68">
        <v>1373</v>
      </c>
      <c r="H616" s="67" t="s">
        <v>250</v>
      </c>
      <c r="I616" s="200"/>
      <c r="J616" s="67" t="s">
        <v>28</v>
      </c>
      <c r="K616" s="67" t="s">
        <v>29</v>
      </c>
      <c r="L616" s="67" t="s">
        <v>31</v>
      </c>
      <c r="M616" s="67" t="s">
        <v>252</v>
      </c>
      <c r="N616" s="67" t="s">
        <v>253</v>
      </c>
      <c r="O616" s="67" t="s">
        <v>2117</v>
      </c>
      <c r="P616" s="67" t="s">
        <v>19</v>
      </c>
      <c r="Q616" s="71">
        <v>11</v>
      </c>
    </row>
    <row r="617" spans="1:17" ht="11.1" hidden="1" customHeight="1" x14ac:dyDescent="0.2">
      <c r="A617" s="3"/>
      <c r="B617" s="3" t="str">
        <f ca="1">IF(A617="В заказ",MAX($B$9:OFFSET(B617,-1,0))+1,"")</f>
        <v/>
      </c>
      <c r="C617" s="6" t="str">
        <f t="shared" si="27"/>
        <v>Кромка 0,4 W908 ST2  (200 м бухта).</v>
      </c>
      <c r="D617" s="67" t="s">
        <v>241</v>
      </c>
      <c r="E617" s="67" t="s">
        <v>15</v>
      </c>
      <c r="F617" s="67" t="s">
        <v>306</v>
      </c>
      <c r="G617" s="68">
        <v>23115</v>
      </c>
      <c r="H617" s="67" t="s">
        <v>250</v>
      </c>
      <c r="I617" s="200"/>
      <c r="J617" s="67" t="s">
        <v>28</v>
      </c>
      <c r="K617" s="67" t="s">
        <v>29</v>
      </c>
      <c r="L617" s="67" t="s">
        <v>31</v>
      </c>
      <c r="M617" s="67" t="s">
        <v>244</v>
      </c>
      <c r="N617" s="67" t="s">
        <v>253</v>
      </c>
      <c r="O617" s="67" t="s">
        <v>2117</v>
      </c>
      <c r="P617" s="67" t="s">
        <v>19</v>
      </c>
      <c r="Q617" s="192">
        <v>13.2</v>
      </c>
    </row>
    <row r="618" spans="1:17" ht="11.1" hidden="1" customHeight="1" x14ac:dyDescent="0.2">
      <c r="A618" s="3"/>
      <c r="B618" s="3" t="str">
        <f ca="1">IF(A618="В заказ",MAX($B$9:OFFSET(B618,-1,0))+1,"")</f>
        <v/>
      </c>
      <c r="C618" s="6" t="str">
        <f t="shared" si="27"/>
        <v>Кромка 0,4 W908 ST2  (200 м бухта).</v>
      </c>
      <c r="D618" s="67" t="s">
        <v>241</v>
      </c>
      <c r="E618" s="67" t="s">
        <v>15</v>
      </c>
      <c r="F618" s="67" t="s">
        <v>307</v>
      </c>
      <c r="G618" s="68">
        <v>5262</v>
      </c>
      <c r="H618" s="67" t="s">
        <v>250</v>
      </c>
      <c r="I618" s="200"/>
      <c r="J618" s="67" t="s">
        <v>28</v>
      </c>
      <c r="K618" s="67" t="s">
        <v>29</v>
      </c>
      <c r="L618" s="67" t="s">
        <v>31</v>
      </c>
      <c r="M618" s="67" t="s">
        <v>264</v>
      </c>
      <c r="N618" s="67" t="s">
        <v>253</v>
      </c>
      <c r="O618" s="67" t="s">
        <v>2117</v>
      </c>
      <c r="P618" s="67" t="s">
        <v>19</v>
      </c>
      <c r="Q618" s="192">
        <v>17.100000000000001</v>
      </c>
    </row>
    <row r="619" spans="1:17" ht="11.1" hidden="1" customHeight="1" x14ac:dyDescent="0.2">
      <c r="A619" s="3"/>
      <c r="B619" s="3" t="str">
        <f ca="1">IF(A619="В заказ",MAX($B$9:OFFSET(B619,-1,0))+1,"")</f>
        <v/>
      </c>
      <c r="C619" s="6" t="str">
        <f t="shared" si="27"/>
        <v>Кромка 0,8 W908 ST2  (75 м бухта).</v>
      </c>
      <c r="D619" s="67" t="s">
        <v>241</v>
      </c>
      <c r="E619" s="67" t="s">
        <v>15</v>
      </c>
      <c r="F619" s="67" t="s">
        <v>308</v>
      </c>
      <c r="G619" s="68">
        <v>12513</v>
      </c>
      <c r="H619" s="67" t="s">
        <v>250</v>
      </c>
      <c r="I619" s="200"/>
      <c r="J619" s="67" t="s">
        <v>28</v>
      </c>
      <c r="K619" s="67" t="s">
        <v>29</v>
      </c>
      <c r="L619" s="67" t="s">
        <v>31</v>
      </c>
      <c r="M619" s="67" t="s">
        <v>252</v>
      </c>
      <c r="N619" s="67" t="s">
        <v>10</v>
      </c>
      <c r="O619" s="67" t="s">
        <v>2116</v>
      </c>
      <c r="P619" s="67" t="s">
        <v>19</v>
      </c>
      <c r="Q619" s="192">
        <v>25.7</v>
      </c>
    </row>
    <row r="620" spans="1:17" ht="11.1" hidden="1" customHeight="1" x14ac:dyDescent="0.2">
      <c r="A620" s="3"/>
      <c r="B620" s="3" t="str">
        <f ca="1">IF(A620="В заказ",MAX($B$9:OFFSET(B620,-1,0))+1,"")</f>
        <v/>
      </c>
      <c r="C620" s="6" t="str">
        <f t="shared" si="27"/>
        <v>Кромка 0,8 W908 ST2  (75 м бухта).</v>
      </c>
      <c r="D620" s="67" t="s">
        <v>241</v>
      </c>
      <c r="E620" s="67" t="s">
        <v>15</v>
      </c>
      <c r="F620" s="67" t="s">
        <v>309</v>
      </c>
      <c r="G620" s="68">
        <v>15760</v>
      </c>
      <c r="H620" s="67" t="s">
        <v>250</v>
      </c>
      <c r="I620" s="200"/>
      <c r="J620" s="67" t="s">
        <v>28</v>
      </c>
      <c r="K620" s="67" t="s">
        <v>29</v>
      </c>
      <c r="L620" s="67" t="s">
        <v>31</v>
      </c>
      <c r="M620" s="67" t="s">
        <v>244</v>
      </c>
      <c r="N620" s="67" t="s">
        <v>10</v>
      </c>
      <c r="O620" s="67" t="s">
        <v>2116</v>
      </c>
      <c r="P620" s="67" t="s">
        <v>19</v>
      </c>
      <c r="Q620" s="71">
        <v>31</v>
      </c>
    </row>
    <row r="621" spans="1:17" ht="11.1" hidden="1" customHeight="1" x14ac:dyDescent="0.2">
      <c r="A621" s="3"/>
      <c r="B621" s="3" t="str">
        <f ca="1">IF(A621="В заказ",MAX($B$9:OFFSET(B621,-1,0))+1,"")</f>
        <v/>
      </c>
      <c r="C621" s="6" t="str">
        <f t="shared" si="27"/>
        <v>Кромка 0,8 W908 ST2  (75 м бухта).</v>
      </c>
      <c r="D621" s="67" t="s">
        <v>241</v>
      </c>
      <c r="E621" s="67" t="s">
        <v>15</v>
      </c>
      <c r="F621" s="67" t="s">
        <v>310</v>
      </c>
      <c r="G621" s="68">
        <v>13509</v>
      </c>
      <c r="H621" s="67" t="s">
        <v>250</v>
      </c>
      <c r="I621" s="200"/>
      <c r="J621" s="67" t="s">
        <v>28</v>
      </c>
      <c r="K621" s="67" t="s">
        <v>29</v>
      </c>
      <c r="L621" s="67" t="s">
        <v>31</v>
      </c>
      <c r="M621" s="67" t="s">
        <v>264</v>
      </c>
      <c r="N621" s="67" t="s">
        <v>10</v>
      </c>
      <c r="O621" s="67" t="s">
        <v>2116</v>
      </c>
      <c r="P621" s="67" t="s">
        <v>19</v>
      </c>
      <c r="Q621" s="192">
        <v>47.5</v>
      </c>
    </row>
    <row r="622" spans="1:17" ht="11.1" hidden="1" customHeight="1" x14ac:dyDescent="0.2">
      <c r="A622" s="3"/>
      <c r="B622" s="3" t="str">
        <f ca="1">IF(A622="В заказ",MAX($B$9:OFFSET(B622,-1,0))+1,"")</f>
        <v/>
      </c>
      <c r="C622" s="6" t="str">
        <f t="shared" si="27"/>
        <v>Кромка 0,8 W908 ST2  (75 м бухта).</v>
      </c>
      <c r="D622" s="67" t="s">
        <v>241</v>
      </c>
      <c r="E622" s="67" t="s">
        <v>15</v>
      </c>
      <c r="F622" s="67" t="s">
        <v>311</v>
      </c>
      <c r="G622" s="68">
        <v>13376</v>
      </c>
      <c r="H622" s="67" t="s">
        <v>250</v>
      </c>
      <c r="I622" s="200"/>
      <c r="J622" s="67" t="s">
        <v>28</v>
      </c>
      <c r="K622" s="67" t="s">
        <v>29</v>
      </c>
      <c r="L622" s="67" t="s">
        <v>31</v>
      </c>
      <c r="M622" s="67" t="s">
        <v>270</v>
      </c>
      <c r="N622" s="67" t="s">
        <v>10</v>
      </c>
      <c r="O622" s="67" t="s">
        <v>2116</v>
      </c>
      <c r="P622" s="67" t="s">
        <v>19</v>
      </c>
      <c r="Q622" s="192">
        <v>69.5</v>
      </c>
    </row>
    <row r="623" spans="1:17" ht="11.1" hidden="1" customHeight="1" x14ac:dyDescent="0.2">
      <c r="A623" s="3"/>
      <c r="B623" s="3" t="str">
        <f ca="1">IF(A623="В заказ",MAX($B$9:OFFSET(B623,-1,0))+1,"")</f>
        <v/>
      </c>
      <c r="C623" s="6" t="str">
        <f t="shared" si="27"/>
        <v>Кромка 2,0 W908 ST2  (75 м бухта).</v>
      </c>
      <c r="D623" s="67" t="s">
        <v>241</v>
      </c>
      <c r="E623" s="67" t="s">
        <v>15</v>
      </c>
      <c r="F623" s="67" t="s">
        <v>312</v>
      </c>
      <c r="G623" s="68">
        <v>2606</v>
      </c>
      <c r="H623" s="67" t="s">
        <v>250</v>
      </c>
      <c r="I623" s="200"/>
      <c r="J623" s="67" t="s">
        <v>28</v>
      </c>
      <c r="K623" s="67" t="s">
        <v>29</v>
      </c>
      <c r="L623" s="67" t="s">
        <v>31</v>
      </c>
      <c r="M623" s="67" t="s">
        <v>252</v>
      </c>
      <c r="N623" s="67" t="s">
        <v>259</v>
      </c>
      <c r="O623" s="67" t="s">
        <v>2116</v>
      </c>
      <c r="P623" s="67" t="s">
        <v>19</v>
      </c>
      <c r="Q623" s="192">
        <v>48.1</v>
      </c>
    </row>
    <row r="624" spans="1:17" ht="11.1" hidden="1" customHeight="1" x14ac:dyDescent="0.2">
      <c r="A624" s="3"/>
      <c r="B624" s="3" t="str">
        <f ca="1">IF(A624="В заказ",MAX($B$9:OFFSET(B624,-1,0))+1,"")</f>
        <v/>
      </c>
      <c r="C624" s="6" t="str">
        <f t="shared" si="27"/>
        <v>Кромка 2,0 W908 ST2  (75 м бухта).</v>
      </c>
      <c r="D624" s="67" t="s">
        <v>241</v>
      </c>
      <c r="E624" s="67" t="s">
        <v>15</v>
      </c>
      <c r="F624" s="67" t="s">
        <v>313</v>
      </c>
      <c r="G624" s="68">
        <v>6050</v>
      </c>
      <c r="H624" s="67" t="s">
        <v>250</v>
      </c>
      <c r="I624" s="200"/>
      <c r="J624" s="67" t="s">
        <v>28</v>
      </c>
      <c r="K624" s="67" t="s">
        <v>29</v>
      </c>
      <c r="L624" s="67" t="s">
        <v>31</v>
      </c>
      <c r="M624" s="67" t="s">
        <v>244</v>
      </c>
      <c r="N624" s="67" t="s">
        <v>259</v>
      </c>
      <c r="O624" s="67" t="s">
        <v>2116</v>
      </c>
      <c r="P624" s="67" t="s">
        <v>19</v>
      </c>
      <c r="Q624" s="192">
        <v>53.1</v>
      </c>
    </row>
    <row r="625" spans="1:17" ht="11.1" hidden="1" customHeight="1" x14ac:dyDescent="0.2">
      <c r="A625" s="3"/>
      <c r="B625" s="3" t="str">
        <f ca="1">IF(A625="В заказ",MAX($B$9:OFFSET(B625,-1,0))+1,"")</f>
        <v/>
      </c>
      <c r="C625" s="6" t="str">
        <f t="shared" si="27"/>
        <v>Кромка 2,0 W908 ST2  (75 м бухта).</v>
      </c>
      <c r="D625" s="67" t="s">
        <v>241</v>
      </c>
      <c r="E625" s="67" t="s">
        <v>15</v>
      </c>
      <c r="F625" s="67" t="s">
        <v>314</v>
      </c>
      <c r="G625" s="68">
        <v>5278</v>
      </c>
      <c r="H625" s="67" t="s">
        <v>250</v>
      </c>
      <c r="I625" s="200"/>
      <c r="J625" s="67" t="s">
        <v>28</v>
      </c>
      <c r="K625" s="67" t="s">
        <v>29</v>
      </c>
      <c r="L625" s="67" t="s">
        <v>31</v>
      </c>
      <c r="M625" s="67" t="s">
        <v>264</v>
      </c>
      <c r="N625" s="67" t="s">
        <v>259</v>
      </c>
      <c r="O625" s="67" t="s">
        <v>2116</v>
      </c>
      <c r="P625" s="67" t="s">
        <v>19</v>
      </c>
      <c r="Q625" s="192">
        <v>72.400000000000006</v>
      </c>
    </row>
    <row r="626" spans="1:17" ht="11.1" hidden="1" customHeight="1" x14ac:dyDescent="0.2">
      <c r="A626" s="3"/>
      <c r="B626" s="3" t="str">
        <f ca="1">IF(A626="В заказ",MAX($B$9:OFFSET(B626,-1,0))+1,"")</f>
        <v/>
      </c>
      <c r="C626" s="6" t="str">
        <f t="shared" si="27"/>
        <v>Кромка 2,0 W908 ST2  (75 м бухта).</v>
      </c>
      <c r="D626" s="67" t="s">
        <v>241</v>
      </c>
      <c r="E626" s="67" t="s">
        <v>15</v>
      </c>
      <c r="F626" s="67" t="s">
        <v>315</v>
      </c>
      <c r="G626" s="68">
        <v>7719</v>
      </c>
      <c r="H626" s="67" t="s">
        <v>250</v>
      </c>
      <c r="I626" s="200"/>
      <c r="J626" s="67" t="s">
        <v>28</v>
      </c>
      <c r="K626" s="67" t="s">
        <v>29</v>
      </c>
      <c r="L626" s="67" t="s">
        <v>31</v>
      </c>
      <c r="M626" s="67" t="s">
        <v>270</v>
      </c>
      <c r="N626" s="67" t="s">
        <v>259</v>
      </c>
      <c r="O626" s="67" t="s">
        <v>2116</v>
      </c>
      <c r="P626" s="67" t="s">
        <v>19</v>
      </c>
      <c r="Q626" s="192">
        <v>97.2</v>
      </c>
    </row>
    <row r="627" spans="1:17" ht="11.1" hidden="1" customHeight="1" x14ac:dyDescent="0.2">
      <c r="A627" s="3"/>
      <c r="B627" s="3" t="str">
        <f ca="1">IF(A627="В заказ",MAX($B$9:OFFSET(B627,-1,0))+1,"")</f>
        <v/>
      </c>
      <c r="C627" s="6" t="str">
        <f t="shared" si="27"/>
        <v>Кромка 2,0 W908 ST2  (75 м бухта).</v>
      </c>
      <c r="D627" s="67" t="s">
        <v>241</v>
      </c>
      <c r="E627" s="67" t="s">
        <v>15</v>
      </c>
      <c r="F627" s="67" t="s">
        <v>316</v>
      </c>
      <c r="G627" s="68">
        <v>21479</v>
      </c>
      <c r="H627" s="67" t="s">
        <v>250</v>
      </c>
      <c r="I627" s="200"/>
      <c r="J627" s="67" t="s">
        <v>28</v>
      </c>
      <c r="K627" s="67" t="s">
        <v>29</v>
      </c>
      <c r="L627" s="67" t="s">
        <v>31</v>
      </c>
      <c r="M627" s="67" t="s">
        <v>282</v>
      </c>
      <c r="N627" s="67" t="s">
        <v>259</v>
      </c>
      <c r="O627" s="67" t="s">
        <v>2116</v>
      </c>
      <c r="P627" s="67" t="s">
        <v>19</v>
      </c>
      <c r="Q627" s="192">
        <v>150.9</v>
      </c>
    </row>
    <row r="628" spans="1:17" ht="11.1" hidden="1" customHeight="1" x14ac:dyDescent="0.2">
      <c r="A628" s="3"/>
      <c r="B628" s="3" t="str">
        <f ca="1">IF(A628="В заказ",MAX($B$9:OFFSET(B628,-1,0))+1,"")</f>
        <v/>
      </c>
      <c r="C628" s="6" t="str">
        <f t="shared" si="27"/>
        <v>Кромка 0,4 W980 SM  (200 м бухта).</v>
      </c>
      <c r="D628" s="67" t="s">
        <v>241</v>
      </c>
      <c r="E628" s="67" t="s">
        <v>15</v>
      </c>
      <c r="F628" s="67" t="s">
        <v>317</v>
      </c>
      <c r="G628" s="68">
        <v>2616</v>
      </c>
      <c r="H628" s="67" t="s">
        <v>250</v>
      </c>
      <c r="I628" s="200"/>
      <c r="J628" s="67" t="s">
        <v>32</v>
      </c>
      <c r="K628" s="67" t="s">
        <v>33</v>
      </c>
      <c r="L628" s="67" t="s">
        <v>30</v>
      </c>
      <c r="M628" s="67" t="s">
        <v>252</v>
      </c>
      <c r="N628" s="67" t="s">
        <v>253</v>
      </c>
      <c r="O628" s="67" t="s">
        <v>2117</v>
      </c>
      <c r="P628" s="67" t="s">
        <v>19</v>
      </c>
      <c r="Q628" s="71">
        <v>11</v>
      </c>
    </row>
    <row r="629" spans="1:17" ht="11.1" hidden="1" customHeight="1" x14ac:dyDescent="0.2">
      <c r="A629" s="3"/>
      <c r="B629" s="3" t="str">
        <f ca="1">IF(A629="В заказ",MAX($B$9:OFFSET(B629,-1,0))+1,"")</f>
        <v/>
      </c>
      <c r="C629" s="6" t="str">
        <f t="shared" si="27"/>
        <v>Кромка 0,4 W980 SM  (200 м бухта).</v>
      </c>
      <c r="D629" s="67" t="s">
        <v>241</v>
      </c>
      <c r="E629" s="67" t="s">
        <v>15</v>
      </c>
      <c r="F629" s="67" t="s">
        <v>318</v>
      </c>
      <c r="G629" s="68">
        <v>23191</v>
      </c>
      <c r="H629" s="67" t="s">
        <v>250</v>
      </c>
      <c r="I629" s="200"/>
      <c r="J629" s="67" t="s">
        <v>32</v>
      </c>
      <c r="K629" s="67" t="s">
        <v>33</v>
      </c>
      <c r="L629" s="67" t="s">
        <v>30</v>
      </c>
      <c r="M629" s="67" t="s">
        <v>244</v>
      </c>
      <c r="N629" s="67" t="s">
        <v>253</v>
      </c>
      <c r="O629" s="67" t="s">
        <v>2117</v>
      </c>
      <c r="P629" s="67" t="s">
        <v>19</v>
      </c>
      <c r="Q629" s="192">
        <v>13.2</v>
      </c>
    </row>
    <row r="630" spans="1:17" ht="11.1" hidden="1" customHeight="1" x14ac:dyDescent="0.2">
      <c r="A630" s="3"/>
      <c r="B630" s="3" t="str">
        <f ca="1">IF(A630="В заказ",MAX($B$9:OFFSET(B630,-1,0))+1,"")</f>
        <v/>
      </c>
      <c r="C630" s="6" t="str">
        <f t="shared" ref="C630:C693" si="28">D630&amp;" "&amp;N630&amp;" "&amp;IF(OR(D630="ДСП",D630="МДФ",D630="Фанера",D630="ХДФ"),M630,J630)&amp;" "&amp;IF(OR(D630="ДСП",D630="МДФ",D630="Фанера",D630="ХДФ"),O630,L630)&amp;" "&amp;IF(OR(D630="ДСП",D630="МДФ",D630="Фанера",D630="ХДФ"),"",IF(D630="БСП",M630,O630))&amp;"."</f>
        <v>Кромка 0,8 W980 SM  (75 м бухта).</v>
      </c>
      <c r="D630" s="67" t="s">
        <v>241</v>
      </c>
      <c r="E630" s="67" t="s">
        <v>15</v>
      </c>
      <c r="F630" s="67" t="s">
        <v>319</v>
      </c>
      <c r="G630" s="68">
        <v>12514</v>
      </c>
      <c r="H630" s="67" t="s">
        <v>250</v>
      </c>
      <c r="I630" s="200"/>
      <c r="J630" s="67" t="s">
        <v>32</v>
      </c>
      <c r="K630" s="67" t="s">
        <v>33</v>
      </c>
      <c r="L630" s="67" t="s">
        <v>30</v>
      </c>
      <c r="M630" s="67" t="s">
        <v>252</v>
      </c>
      <c r="N630" s="67" t="s">
        <v>10</v>
      </c>
      <c r="O630" s="67" t="s">
        <v>2116</v>
      </c>
      <c r="P630" s="67" t="s">
        <v>19</v>
      </c>
      <c r="Q630" s="192">
        <v>25.7</v>
      </c>
    </row>
    <row r="631" spans="1:17" ht="11.1" hidden="1" customHeight="1" x14ac:dyDescent="0.2">
      <c r="A631" s="3"/>
      <c r="B631" s="3" t="str">
        <f ca="1">IF(A631="В заказ",MAX($B$9:OFFSET(B631,-1,0))+1,"")</f>
        <v/>
      </c>
      <c r="C631" s="6" t="str">
        <f t="shared" si="28"/>
        <v>Кромка 0,8 W980 SM  (75 м бухта).</v>
      </c>
      <c r="D631" s="67" t="s">
        <v>241</v>
      </c>
      <c r="E631" s="67" t="s">
        <v>15</v>
      </c>
      <c r="F631" s="67" t="s">
        <v>320</v>
      </c>
      <c r="G631" s="68">
        <v>20168</v>
      </c>
      <c r="H631" s="67" t="s">
        <v>250</v>
      </c>
      <c r="I631" s="200"/>
      <c r="J631" s="67" t="s">
        <v>32</v>
      </c>
      <c r="K631" s="67" t="s">
        <v>33</v>
      </c>
      <c r="L631" s="67" t="s">
        <v>30</v>
      </c>
      <c r="M631" s="67" t="s">
        <v>244</v>
      </c>
      <c r="N631" s="67" t="s">
        <v>10</v>
      </c>
      <c r="O631" s="67" t="s">
        <v>2116</v>
      </c>
      <c r="P631" s="67" t="s">
        <v>19</v>
      </c>
      <c r="Q631" s="71">
        <v>31</v>
      </c>
    </row>
    <row r="632" spans="1:17" ht="11.1" hidden="1" customHeight="1" x14ac:dyDescent="0.2">
      <c r="A632" s="3"/>
      <c r="B632" s="3" t="str">
        <f ca="1">IF(A632="В заказ",MAX($B$9:OFFSET(B632,-1,0))+1,"")</f>
        <v/>
      </c>
      <c r="C632" s="6" t="str">
        <f t="shared" si="28"/>
        <v>Кромка 0,8 W980 SM  (75 м бухта).</v>
      </c>
      <c r="D632" s="67" t="s">
        <v>241</v>
      </c>
      <c r="E632" s="67" t="s">
        <v>15</v>
      </c>
      <c r="F632" s="67" t="s">
        <v>321</v>
      </c>
      <c r="G632" s="68">
        <v>12839</v>
      </c>
      <c r="H632" s="67" t="s">
        <v>250</v>
      </c>
      <c r="I632" s="200"/>
      <c r="J632" s="67" t="s">
        <v>32</v>
      </c>
      <c r="K632" s="67" t="s">
        <v>33</v>
      </c>
      <c r="L632" s="67" t="s">
        <v>30</v>
      </c>
      <c r="M632" s="67" t="s">
        <v>264</v>
      </c>
      <c r="N632" s="67" t="s">
        <v>10</v>
      </c>
      <c r="O632" s="67" t="s">
        <v>2116</v>
      </c>
      <c r="P632" s="67" t="s">
        <v>19</v>
      </c>
      <c r="Q632" s="192">
        <v>47.5</v>
      </c>
    </row>
    <row r="633" spans="1:17" ht="11.1" hidden="1" customHeight="1" x14ac:dyDescent="0.2">
      <c r="A633" s="3"/>
      <c r="B633" s="3" t="str">
        <f ca="1">IF(A633="В заказ",MAX($B$9:OFFSET(B633,-1,0))+1,"")</f>
        <v/>
      </c>
      <c r="C633" s="6" t="str">
        <f t="shared" si="28"/>
        <v>Кромка 2,0 W980 SM  (75 м бухта).</v>
      </c>
      <c r="D633" s="67" t="s">
        <v>241</v>
      </c>
      <c r="E633" s="67" t="s">
        <v>15</v>
      </c>
      <c r="F633" s="67" t="s">
        <v>322</v>
      </c>
      <c r="G633" s="68">
        <v>9296</v>
      </c>
      <c r="H633" s="67" t="s">
        <v>250</v>
      </c>
      <c r="I633" s="200"/>
      <c r="J633" s="67" t="s">
        <v>32</v>
      </c>
      <c r="K633" s="67" t="s">
        <v>33</v>
      </c>
      <c r="L633" s="67" t="s">
        <v>30</v>
      </c>
      <c r="M633" s="67" t="s">
        <v>252</v>
      </c>
      <c r="N633" s="67" t="s">
        <v>259</v>
      </c>
      <c r="O633" s="67" t="s">
        <v>2116</v>
      </c>
      <c r="P633" s="67" t="s">
        <v>19</v>
      </c>
      <c r="Q633" s="192">
        <v>48.1</v>
      </c>
    </row>
    <row r="634" spans="1:17" ht="11.1" hidden="1" customHeight="1" x14ac:dyDescent="0.2">
      <c r="A634" s="3"/>
      <c r="B634" s="3" t="str">
        <f ca="1">IF(A634="В заказ",MAX($B$9:OFFSET(B634,-1,0))+1,"")</f>
        <v/>
      </c>
      <c r="C634" s="6" t="str">
        <f t="shared" si="28"/>
        <v>Кромка 2,0 W980 SM  (75 м бухта).</v>
      </c>
      <c r="D634" s="67" t="s">
        <v>241</v>
      </c>
      <c r="E634" s="67" t="s">
        <v>15</v>
      </c>
      <c r="F634" s="67" t="s">
        <v>323</v>
      </c>
      <c r="G634" s="68">
        <v>20231</v>
      </c>
      <c r="H634" s="67" t="s">
        <v>250</v>
      </c>
      <c r="I634" s="200"/>
      <c r="J634" s="67" t="s">
        <v>32</v>
      </c>
      <c r="K634" s="67" t="s">
        <v>33</v>
      </c>
      <c r="L634" s="67" t="s">
        <v>30</v>
      </c>
      <c r="M634" s="67" t="s">
        <v>244</v>
      </c>
      <c r="N634" s="67" t="s">
        <v>259</v>
      </c>
      <c r="O634" s="67" t="s">
        <v>2116</v>
      </c>
      <c r="P634" s="67" t="s">
        <v>19</v>
      </c>
      <c r="Q634" s="192">
        <v>53.1</v>
      </c>
    </row>
    <row r="635" spans="1:17" ht="11.1" hidden="1" customHeight="1" x14ac:dyDescent="0.2">
      <c r="A635" s="3"/>
      <c r="B635" s="3" t="str">
        <f ca="1">IF(A635="В заказ",MAX($B$9:OFFSET(B635,-1,0))+1,"")</f>
        <v/>
      </c>
      <c r="C635" s="6" t="str">
        <f t="shared" si="28"/>
        <v>Кромка 2,0 W980 SM  (75 м бухта).</v>
      </c>
      <c r="D635" s="67" t="s">
        <v>241</v>
      </c>
      <c r="E635" s="67" t="s">
        <v>15</v>
      </c>
      <c r="F635" s="67" t="s">
        <v>324</v>
      </c>
      <c r="G635" s="68">
        <v>1779</v>
      </c>
      <c r="H635" s="67" t="s">
        <v>250</v>
      </c>
      <c r="I635" s="200"/>
      <c r="J635" s="67" t="s">
        <v>32</v>
      </c>
      <c r="K635" s="67" t="s">
        <v>33</v>
      </c>
      <c r="L635" s="67" t="s">
        <v>30</v>
      </c>
      <c r="M635" s="67" t="s">
        <v>264</v>
      </c>
      <c r="N635" s="67" t="s">
        <v>259</v>
      </c>
      <c r="O635" s="67" t="s">
        <v>2116</v>
      </c>
      <c r="P635" s="67" t="s">
        <v>19</v>
      </c>
      <c r="Q635" s="192">
        <v>72.400000000000006</v>
      </c>
    </row>
    <row r="636" spans="1:17" ht="11.1" hidden="1" customHeight="1" x14ac:dyDescent="0.2">
      <c r="A636" s="3"/>
      <c r="B636" s="3" t="str">
        <f ca="1">IF(A636="В заказ",MAX($B$9:OFFSET(B636,-1,0))+1,"")</f>
        <v/>
      </c>
      <c r="C636" s="6" t="str">
        <f t="shared" si="28"/>
        <v>Кромка 0,4 W980 ST2  (200 м бухта).</v>
      </c>
      <c r="D636" s="67" t="s">
        <v>241</v>
      </c>
      <c r="E636" s="67" t="s">
        <v>15</v>
      </c>
      <c r="F636" s="67" t="s">
        <v>325</v>
      </c>
      <c r="G636" s="68">
        <v>22909</v>
      </c>
      <c r="H636" s="67" t="s">
        <v>250</v>
      </c>
      <c r="I636" s="200"/>
      <c r="J636" s="67" t="s">
        <v>32</v>
      </c>
      <c r="K636" s="67" t="s">
        <v>33</v>
      </c>
      <c r="L636" s="67" t="s">
        <v>31</v>
      </c>
      <c r="M636" s="67" t="s">
        <v>244</v>
      </c>
      <c r="N636" s="67" t="s">
        <v>253</v>
      </c>
      <c r="O636" s="67" t="s">
        <v>2117</v>
      </c>
      <c r="P636" s="67" t="s">
        <v>19</v>
      </c>
      <c r="Q636" s="192">
        <v>13.2</v>
      </c>
    </row>
    <row r="637" spans="1:17" ht="11.1" hidden="1" customHeight="1" x14ac:dyDescent="0.2">
      <c r="A637" s="3"/>
      <c r="B637" s="3" t="str">
        <f ca="1">IF(A637="В заказ",MAX($B$9:OFFSET(B637,-1,0))+1,"")</f>
        <v/>
      </c>
      <c r="C637" s="6" t="str">
        <f t="shared" si="28"/>
        <v>Кромка 0,8 W980 ST2  (75 м бухта).</v>
      </c>
      <c r="D637" s="67" t="s">
        <v>241</v>
      </c>
      <c r="E637" s="67" t="s">
        <v>15</v>
      </c>
      <c r="F637" s="67" t="s">
        <v>326</v>
      </c>
      <c r="G637" s="68">
        <v>12515</v>
      </c>
      <c r="H637" s="67" t="s">
        <v>250</v>
      </c>
      <c r="I637" s="200"/>
      <c r="J637" s="67" t="s">
        <v>32</v>
      </c>
      <c r="K637" s="67" t="s">
        <v>33</v>
      </c>
      <c r="L637" s="67" t="s">
        <v>31</v>
      </c>
      <c r="M637" s="67" t="s">
        <v>252</v>
      </c>
      <c r="N637" s="67" t="s">
        <v>10</v>
      </c>
      <c r="O637" s="67" t="s">
        <v>2116</v>
      </c>
      <c r="P637" s="67" t="s">
        <v>19</v>
      </c>
      <c r="Q637" s="192">
        <v>25.7</v>
      </c>
    </row>
    <row r="638" spans="1:17" ht="11.1" hidden="1" customHeight="1" x14ac:dyDescent="0.2">
      <c r="A638" s="3"/>
      <c r="B638" s="3" t="str">
        <f ca="1">IF(A638="В заказ",MAX($B$9:OFFSET(B638,-1,0))+1,"")</f>
        <v/>
      </c>
      <c r="C638" s="6" t="str">
        <f t="shared" si="28"/>
        <v>Кромка 0,8 W980 ST2  (75 м бухта).</v>
      </c>
      <c r="D638" s="67" t="s">
        <v>241</v>
      </c>
      <c r="E638" s="67" t="s">
        <v>15</v>
      </c>
      <c r="F638" s="67" t="s">
        <v>327</v>
      </c>
      <c r="G638" s="68">
        <v>24562</v>
      </c>
      <c r="H638" s="67" t="s">
        <v>250</v>
      </c>
      <c r="I638" s="200"/>
      <c r="J638" s="67" t="s">
        <v>32</v>
      </c>
      <c r="K638" s="67" t="s">
        <v>33</v>
      </c>
      <c r="L638" s="67" t="s">
        <v>31</v>
      </c>
      <c r="M638" s="67" t="s">
        <v>244</v>
      </c>
      <c r="N638" s="67" t="s">
        <v>10</v>
      </c>
      <c r="O638" s="67" t="s">
        <v>2116</v>
      </c>
      <c r="P638" s="67" t="s">
        <v>19</v>
      </c>
      <c r="Q638" s="71">
        <v>31</v>
      </c>
    </row>
    <row r="639" spans="1:17" ht="11.1" hidden="1" customHeight="1" x14ac:dyDescent="0.2">
      <c r="A639" s="3"/>
      <c r="B639" s="3" t="str">
        <f ca="1">IF(A639="В заказ",MAX($B$9:OFFSET(B639,-1,0))+1,"")</f>
        <v/>
      </c>
      <c r="C639" s="6" t="str">
        <f t="shared" si="28"/>
        <v>Кромка 2,0 W980 ST2  (75 м бухта).</v>
      </c>
      <c r="D639" s="67" t="s">
        <v>241</v>
      </c>
      <c r="E639" s="67" t="s">
        <v>15</v>
      </c>
      <c r="F639" s="67" t="s">
        <v>328</v>
      </c>
      <c r="G639" s="68">
        <v>18551</v>
      </c>
      <c r="H639" s="67" t="s">
        <v>250</v>
      </c>
      <c r="I639" s="200"/>
      <c r="J639" s="67" t="s">
        <v>32</v>
      </c>
      <c r="K639" s="67" t="s">
        <v>33</v>
      </c>
      <c r="L639" s="67" t="s">
        <v>31</v>
      </c>
      <c r="M639" s="67" t="s">
        <v>244</v>
      </c>
      <c r="N639" s="67" t="s">
        <v>259</v>
      </c>
      <c r="O639" s="67" t="s">
        <v>2116</v>
      </c>
      <c r="P639" s="67" t="s">
        <v>19</v>
      </c>
      <c r="Q639" s="192">
        <v>53.1</v>
      </c>
    </row>
    <row r="640" spans="1:17" ht="11.1" hidden="1" customHeight="1" x14ac:dyDescent="0.2">
      <c r="A640" s="3"/>
      <c r="B640" s="3" t="str">
        <f ca="1">IF(A640="В заказ",MAX($B$9:OFFSET(B640,-1,0))+1,"")</f>
        <v/>
      </c>
      <c r="C640" s="6" t="str">
        <f t="shared" si="28"/>
        <v>Кромка 0,4 H1113 ST10  (200 м бухта).</v>
      </c>
      <c r="D640" s="67" t="s">
        <v>241</v>
      </c>
      <c r="E640" s="67" t="s">
        <v>34</v>
      </c>
      <c r="F640" s="67" t="s">
        <v>329</v>
      </c>
      <c r="G640" s="68">
        <v>13525</v>
      </c>
      <c r="H640" s="67" t="s">
        <v>330</v>
      </c>
      <c r="I640" s="200"/>
      <c r="J640" s="67" t="s">
        <v>36</v>
      </c>
      <c r="K640" s="67" t="s">
        <v>37</v>
      </c>
      <c r="L640" s="67" t="s">
        <v>38</v>
      </c>
      <c r="M640" s="67" t="s">
        <v>252</v>
      </c>
      <c r="N640" s="67" t="s">
        <v>253</v>
      </c>
      <c r="O640" s="67" t="s">
        <v>2117</v>
      </c>
      <c r="P640" s="67" t="s">
        <v>19</v>
      </c>
      <c r="Q640" s="192">
        <v>17.899999999999999</v>
      </c>
    </row>
    <row r="641" spans="1:17" ht="11.1" hidden="1" customHeight="1" x14ac:dyDescent="0.2">
      <c r="A641" s="3"/>
      <c r="B641" s="3" t="str">
        <f ca="1">IF(A641="В заказ",MAX($B$9:OFFSET(B641,-1,0))+1,"")</f>
        <v/>
      </c>
      <c r="C641" s="6" t="str">
        <f t="shared" si="28"/>
        <v>Кромка 0,4 H1113 ST10  (200 м бухта).</v>
      </c>
      <c r="D641" s="67" t="s">
        <v>241</v>
      </c>
      <c r="E641" s="67" t="s">
        <v>34</v>
      </c>
      <c r="F641" s="67" t="s">
        <v>331</v>
      </c>
      <c r="G641" s="68">
        <v>24817</v>
      </c>
      <c r="H641" s="67" t="s">
        <v>330</v>
      </c>
      <c r="I641" s="200"/>
      <c r="J641" s="67" t="s">
        <v>36</v>
      </c>
      <c r="K641" s="67" t="s">
        <v>37</v>
      </c>
      <c r="L641" s="67" t="s">
        <v>38</v>
      </c>
      <c r="M641" s="67" t="s">
        <v>244</v>
      </c>
      <c r="N641" s="67" t="s">
        <v>253</v>
      </c>
      <c r="O641" s="67" t="s">
        <v>2117</v>
      </c>
      <c r="P641" s="67" t="s">
        <v>19</v>
      </c>
      <c r="Q641" s="71">
        <v>22</v>
      </c>
    </row>
    <row r="642" spans="1:17" ht="11.1" hidden="1" customHeight="1" x14ac:dyDescent="0.2">
      <c r="A642" s="3"/>
      <c r="B642" s="3" t="str">
        <f ca="1">IF(A642="В заказ",MAX($B$9:OFFSET(B642,-1,0))+1,"")</f>
        <v/>
      </c>
      <c r="C642" s="6" t="str">
        <f t="shared" si="28"/>
        <v>Кромка 0,4 H1113 ST10  (200 м бухта).</v>
      </c>
      <c r="D642" s="67" t="s">
        <v>241</v>
      </c>
      <c r="E642" s="67" t="s">
        <v>34</v>
      </c>
      <c r="F642" s="67" t="s">
        <v>332</v>
      </c>
      <c r="G642" s="68">
        <v>16774</v>
      </c>
      <c r="H642" s="67" t="s">
        <v>330</v>
      </c>
      <c r="I642" s="200"/>
      <c r="J642" s="67" t="s">
        <v>36</v>
      </c>
      <c r="K642" s="67" t="s">
        <v>37</v>
      </c>
      <c r="L642" s="67" t="s">
        <v>38</v>
      </c>
      <c r="M642" s="67" t="s">
        <v>264</v>
      </c>
      <c r="N642" s="67" t="s">
        <v>253</v>
      </c>
      <c r="O642" s="67" t="s">
        <v>2117</v>
      </c>
      <c r="P642" s="67" t="s">
        <v>19</v>
      </c>
      <c r="Q642" s="192">
        <v>28.9</v>
      </c>
    </row>
    <row r="643" spans="1:17" ht="11.1" hidden="1" customHeight="1" x14ac:dyDescent="0.2">
      <c r="A643" s="3"/>
      <c r="B643" s="3" t="str">
        <f ca="1">IF(A643="В заказ",MAX($B$9:OFFSET(B643,-1,0))+1,"")</f>
        <v/>
      </c>
      <c r="C643" s="6" t="str">
        <f t="shared" si="28"/>
        <v>Кромка 0,8 H1113 ST10  (75 м бухта).</v>
      </c>
      <c r="D643" s="67" t="s">
        <v>241</v>
      </c>
      <c r="E643" s="67" t="s">
        <v>34</v>
      </c>
      <c r="F643" s="67" t="s">
        <v>333</v>
      </c>
      <c r="G643" s="68">
        <v>13498</v>
      </c>
      <c r="H643" s="67" t="s">
        <v>330</v>
      </c>
      <c r="I643" s="200"/>
      <c r="J643" s="67" t="s">
        <v>36</v>
      </c>
      <c r="K643" s="67" t="s">
        <v>37</v>
      </c>
      <c r="L643" s="67" t="s">
        <v>38</v>
      </c>
      <c r="M643" s="67" t="s">
        <v>252</v>
      </c>
      <c r="N643" s="67" t="s">
        <v>10</v>
      </c>
      <c r="O643" s="67" t="s">
        <v>2116</v>
      </c>
      <c r="P643" s="67" t="s">
        <v>19</v>
      </c>
      <c r="Q643" s="71">
        <v>35</v>
      </c>
    </row>
    <row r="644" spans="1:17" ht="11.1" hidden="1" customHeight="1" x14ac:dyDescent="0.2">
      <c r="A644" s="3"/>
      <c r="B644" s="3" t="str">
        <f ca="1">IF(A644="В заказ",MAX($B$9:OFFSET(B644,-1,0))+1,"")</f>
        <v/>
      </c>
      <c r="C644" s="6" t="str">
        <f t="shared" si="28"/>
        <v>Кромка 0,8 H1113 ST10  (75 м бухта).</v>
      </c>
      <c r="D644" s="67" t="s">
        <v>241</v>
      </c>
      <c r="E644" s="67" t="s">
        <v>34</v>
      </c>
      <c r="F644" s="67" t="s">
        <v>334</v>
      </c>
      <c r="G644" s="68">
        <v>24818</v>
      </c>
      <c r="H644" s="67" t="s">
        <v>330</v>
      </c>
      <c r="I644" s="200"/>
      <c r="J644" s="67" t="s">
        <v>36</v>
      </c>
      <c r="K644" s="67" t="s">
        <v>37</v>
      </c>
      <c r="L644" s="67" t="s">
        <v>38</v>
      </c>
      <c r="M644" s="67" t="s">
        <v>244</v>
      </c>
      <c r="N644" s="67" t="s">
        <v>10</v>
      </c>
      <c r="O644" s="67" t="s">
        <v>2116</v>
      </c>
      <c r="P644" s="67" t="s">
        <v>19</v>
      </c>
      <c r="Q644" s="192">
        <v>42.3</v>
      </c>
    </row>
    <row r="645" spans="1:17" ht="11.1" hidden="1" customHeight="1" x14ac:dyDescent="0.2">
      <c r="A645" s="3"/>
      <c r="B645" s="3" t="str">
        <f ca="1">IF(A645="В заказ",MAX($B$9:OFFSET(B645,-1,0))+1,"")</f>
        <v/>
      </c>
      <c r="C645" s="6" t="str">
        <f t="shared" si="28"/>
        <v>Кромка 2,0 H1113 ST10 (75 м бухта).</v>
      </c>
      <c r="D645" s="67" t="s">
        <v>241</v>
      </c>
      <c r="E645" s="67" t="s">
        <v>34</v>
      </c>
      <c r="F645" s="67" t="s">
        <v>335</v>
      </c>
      <c r="G645" s="68">
        <v>13499</v>
      </c>
      <c r="H645" s="67" t="s">
        <v>330</v>
      </c>
      <c r="I645" s="200"/>
      <c r="J645" s="67" t="s">
        <v>36</v>
      </c>
      <c r="K645" s="67" t="s">
        <v>37</v>
      </c>
      <c r="L645" s="67" t="s">
        <v>38</v>
      </c>
      <c r="M645" s="67" t="s">
        <v>252</v>
      </c>
      <c r="N645" s="67" t="s">
        <v>259</v>
      </c>
      <c r="O645" s="67" t="s">
        <v>246</v>
      </c>
      <c r="P645" s="67" t="s">
        <v>19</v>
      </c>
      <c r="Q645" s="192">
        <v>62.6</v>
      </c>
    </row>
    <row r="646" spans="1:17" ht="11.1" hidden="1" customHeight="1" x14ac:dyDescent="0.2">
      <c r="A646" s="3"/>
      <c r="B646" s="3" t="str">
        <f ca="1">IF(A646="В заказ",MAX($B$9:OFFSET(B646,-1,0))+1,"")</f>
        <v/>
      </c>
      <c r="C646" s="6" t="str">
        <f t="shared" si="28"/>
        <v>Кромка 2,0 H1113 ST10  (75 м бухта).</v>
      </c>
      <c r="D646" s="67" t="s">
        <v>241</v>
      </c>
      <c r="E646" s="67" t="s">
        <v>34</v>
      </c>
      <c r="F646" s="67" t="s">
        <v>336</v>
      </c>
      <c r="G646" s="68">
        <v>18366</v>
      </c>
      <c r="H646" s="67" t="s">
        <v>330</v>
      </c>
      <c r="I646" s="200"/>
      <c r="J646" s="67" t="s">
        <v>36</v>
      </c>
      <c r="K646" s="67" t="s">
        <v>37</v>
      </c>
      <c r="L646" s="67" t="s">
        <v>38</v>
      </c>
      <c r="M646" s="67" t="s">
        <v>244</v>
      </c>
      <c r="N646" s="67" t="s">
        <v>259</v>
      </c>
      <c r="O646" s="67" t="s">
        <v>2116</v>
      </c>
      <c r="P646" s="67" t="s">
        <v>19</v>
      </c>
      <c r="Q646" s="192">
        <v>65.5</v>
      </c>
    </row>
    <row r="647" spans="1:17" ht="11.1" hidden="1" customHeight="1" x14ac:dyDescent="0.2">
      <c r="A647" s="3"/>
      <c r="B647" s="3" t="str">
        <f ca="1">IF(A647="В заказ",MAX($B$9:OFFSET(B647,-1,0))+1,"")</f>
        <v/>
      </c>
      <c r="C647" s="6" t="str">
        <f t="shared" si="28"/>
        <v>Кромка 2,0 H1113 ST10  (75 м бухта).</v>
      </c>
      <c r="D647" s="67" t="s">
        <v>241</v>
      </c>
      <c r="E647" s="67" t="s">
        <v>34</v>
      </c>
      <c r="F647" s="67" t="s">
        <v>337</v>
      </c>
      <c r="G647" s="68">
        <v>15957</v>
      </c>
      <c r="H647" s="67" t="s">
        <v>330</v>
      </c>
      <c r="I647" s="200"/>
      <c r="J647" s="67" t="s">
        <v>36</v>
      </c>
      <c r="K647" s="67" t="s">
        <v>37</v>
      </c>
      <c r="L647" s="67" t="s">
        <v>38</v>
      </c>
      <c r="M647" s="67" t="s">
        <v>264</v>
      </c>
      <c r="N647" s="67" t="s">
        <v>259</v>
      </c>
      <c r="O647" s="67" t="s">
        <v>2116</v>
      </c>
      <c r="P647" s="67" t="s">
        <v>19</v>
      </c>
      <c r="Q647" s="192">
        <v>94.1</v>
      </c>
    </row>
    <row r="648" spans="1:17" ht="11.1" hidden="1" customHeight="1" x14ac:dyDescent="0.2">
      <c r="A648" s="3"/>
      <c r="B648" s="3" t="str">
        <f ca="1">IF(A648="В заказ",MAX($B$9:OFFSET(B648,-1,0))+1,"")</f>
        <v/>
      </c>
      <c r="C648" s="6" t="str">
        <f t="shared" si="28"/>
        <v>Кромка 2,0 H1113 ST10  (75 м бухта).</v>
      </c>
      <c r="D648" s="67" t="s">
        <v>241</v>
      </c>
      <c r="E648" s="67" t="s">
        <v>34</v>
      </c>
      <c r="F648" s="67" t="s">
        <v>338</v>
      </c>
      <c r="G648" s="68">
        <v>13500</v>
      </c>
      <c r="H648" s="67" t="s">
        <v>330</v>
      </c>
      <c r="I648" s="200"/>
      <c r="J648" s="67" t="s">
        <v>36</v>
      </c>
      <c r="K648" s="67" t="s">
        <v>37</v>
      </c>
      <c r="L648" s="67" t="s">
        <v>38</v>
      </c>
      <c r="M648" s="67" t="s">
        <v>270</v>
      </c>
      <c r="N648" s="67" t="s">
        <v>259</v>
      </c>
      <c r="O648" s="67" t="s">
        <v>2116</v>
      </c>
      <c r="P648" s="67" t="s">
        <v>19</v>
      </c>
      <c r="Q648" s="192">
        <v>127.6</v>
      </c>
    </row>
    <row r="649" spans="1:17" ht="11.1" hidden="1" customHeight="1" x14ac:dyDescent="0.2">
      <c r="A649" s="3"/>
      <c r="B649" s="3" t="str">
        <f ca="1">IF(A649="В заказ",MAX($B$9:OFFSET(B649,-1,0))+1,"")</f>
        <v/>
      </c>
      <c r="C649" s="6" t="str">
        <f t="shared" si="28"/>
        <v>Кромка 0,4 H1115 ST12  (200 м бухта).</v>
      </c>
      <c r="D649" s="67" t="s">
        <v>241</v>
      </c>
      <c r="E649" s="67" t="s">
        <v>34</v>
      </c>
      <c r="F649" s="67" t="s">
        <v>339</v>
      </c>
      <c r="G649" s="68">
        <v>14013</v>
      </c>
      <c r="H649" s="67" t="s">
        <v>330</v>
      </c>
      <c r="I649" s="200"/>
      <c r="J649" s="67" t="s">
        <v>39</v>
      </c>
      <c r="K649" s="67" t="s">
        <v>40</v>
      </c>
      <c r="L649" s="67" t="s">
        <v>41</v>
      </c>
      <c r="M649" s="67" t="s">
        <v>252</v>
      </c>
      <c r="N649" s="67" t="s">
        <v>253</v>
      </c>
      <c r="O649" s="67" t="s">
        <v>2117</v>
      </c>
      <c r="P649" s="67" t="s">
        <v>19</v>
      </c>
      <c r="Q649" s="192">
        <v>17.899999999999999</v>
      </c>
    </row>
    <row r="650" spans="1:17" ht="11.1" hidden="1" customHeight="1" x14ac:dyDescent="0.2">
      <c r="A650" s="3"/>
      <c r="B650" s="3" t="str">
        <f ca="1">IF(A650="В заказ",MAX($B$9:OFFSET(B650,-1,0))+1,"")</f>
        <v/>
      </c>
      <c r="C650" s="6" t="str">
        <f t="shared" si="28"/>
        <v>Кромка 0,4 H1115 ST12  (200 м бухта).</v>
      </c>
      <c r="D650" s="67" t="s">
        <v>241</v>
      </c>
      <c r="E650" s="67" t="s">
        <v>34</v>
      </c>
      <c r="F650" s="67" t="s">
        <v>340</v>
      </c>
      <c r="G650" s="68">
        <v>16779</v>
      </c>
      <c r="H650" s="67" t="s">
        <v>330</v>
      </c>
      <c r="I650" s="200"/>
      <c r="J650" s="67" t="s">
        <v>39</v>
      </c>
      <c r="K650" s="67" t="s">
        <v>40</v>
      </c>
      <c r="L650" s="67" t="s">
        <v>41</v>
      </c>
      <c r="M650" s="67" t="s">
        <v>264</v>
      </c>
      <c r="N650" s="67" t="s">
        <v>253</v>
      </c>
      <c r="O650" s="67" t="s">
        <v>2117</v>
      </c>
      <c r="P650" s="67" t="s">
        <v>19</v>
      </c>
      <c r="Q650" s="192">
        <v>28.9</v>
      </c>
    </row>
    <row r="651" spans="1:17" ht="11.1" hidden="1" customHeight="1" x14ac:dyDescent="0.2">
      <c r="A651" s="3"/>
      <c r="B651" s="3" t="str">
        <f ca="1">IF(A651="В заказ",MAX($B$9:OFFSET(B651,-1,0))+1,"")</f>
        <v/>
      </c>
      <c r="C651" s="6" t="str">
        <f t="shared" si="28"/>
        <v>Кромка 0,8 H1115 ST12  (75 м бухта).</v>
      </c>
      <c r="D651" s="67" t="s">
        <v>241</v>
      </c>
      <c r="E651" s="67" t="s">
        <v>34</v>
      </c>
      <c r="F651" s="67" t="s">
        <v>341</v>
      </c>
      <c r="G651" s="68">
        <v>14611</v>
      </c>
      <c r="H651" s="67" t="s">
        <v>330</v>
      </c>
      <c r="I651" s="200"/>
      <c r="J651" s="67" t="s">
        <v>39</v>
      </c>
      <c r="K651" s="67" t="s">
        <v>40</v>
      </c>
      <c r="L651" s="67" t="s">
        <v>41</v>
      </c>
      <c r="M651" s="67" t="s">
        <v>252</v>
      </c>
      <c r="N651" s="67" t="s">
        <v>10</v>
      </c>
      <c r="O651" s="67" t="s">
        <v>2116</v>
      </c>
      <c r="P651" s="67" t="s">
        <v>19</v>
      </c>
      <c r="Q651" s="71">
        <v>35</v>
      </c>
    </row>
    <row r="652" spans="1:17" ht="11.1" hidden="1" customHeight="1" x14ac:dyDescent="0.2">
      <c r="A652" s="3"/>
      <c r="B652" s="3" t="str">
        <f ca="1">IF(A652="В заказ",MAX($B$9:OFFSET(B652,-1,0))+1,"")</f>
        <v/>
      </c>
      <c r="C652" s="6" t="str">
        <f t="shared" si="28"/>
        <v>Кромка 2,0 H1115 ST12  (75 м бухта).</v>
      </c>
      <c r="D652" s="67" t="s">
        <v>241</v>
      </c>
      <c r="E652" s="67" t="s">
        <v>34</v>
      </c>
      <c r="F652" s="67" t="s">
        <v>342</v>
      </c>
      <c r="G652" s="68">
        <v>14014</v>
      </c>
      <c r="H652" s="67" t="s">
        <v>330</v>
      </c>
      <c r="I652" s="200"/>
      <c r="J652" s="67" t="s">
        <v>39</v>
      </c>
      <c r="K652" s="67" t="s">
        <v>40</v>
      </c>
      <c r="L652" s="67" t="s">
        <v>41</v>
      </c>
      <c r="M652" s="67" t="s">
        <v>252</v>
      </c>
      <c r="N652" s="67" t="s">
        <v>259</v>
      </c>
      <c r="O652" s="67" t="s">
        <v>2116</v>
      </c>
      <c r="P652" s="67" t="s">
        <v>19</v>
      </c>
      <c r="Q652" s="192">
        <v>62.6</v>
      </c>
    </row>
    <row r="653" spans="1:17" ht="11.1" hidden="1" customHeight="1" x14ac:dyDescent="0.2">
      <c r="A653" s="3"/>
      <c r="B653" s="3" t="str">
        <f ca="1">IF(A653="В заказ",MAX($B$9:OFFSET(B653,-1,0))+1,"")</f>
        <v/>
      </c>
      <c r="C653" s="6" t="str">
        <f t="shared" si="28"/>
        <v>Кромка 2,0 H1115 ST12  (75 м бухта).</v>
      </c>
      <c r="D653" s="67" t="s">
        <v>241</v>
      </c>
      <c r="E653" s="67" t="s">
        <v>34</v>
      </c>
      <c r="F653" s="67" t="s">
        <v>343</v>
      </c>
      <c r="G653" s="68">
        <v>16780</v>
      </c>
      <c r="H653" s="67" t="s">
        <v>330</v>
      </c>
      <c r="I653" s="200"/>
      <c r="J653" s="67" t="s">
        <v>39</v>
      </c>
      <c r="K653" s="67" t="s">
        <v>40</v>
      </c>
      <c r="L653" s="67" t="s">
        <v>41</v>
      </c>
      <c r="M653" s="67" t="s">
        <v>264</v>
      </c>
      <c r="N653" s="67" t="s">
        <v>259</v>
      </c>
      <c r="O653" s="67" t="s">
        <v>2116</v>
      </c>
      <c r="P653" s="67" t="s">
        <v>19</v>
      </c>
      <c r="Q653" s="192">
        <v>94.1</v>
      </c>
    </row>
    <row r="654" spans="1:17" ht="11.1" hidden="1" customHeight="1" x14ac:dyDescent="0.2">
      <c r="A654" s="3"/>
      <c r="B654" s="3" t="str">
        <f ca="1">IF(A654="В заказ",MAX($B$9:OFFSET(B654,-1,0))+1,"")</f>
        <v/>
      </c>
      <c r="C654" s="6" t="str">
        <f t="shared" si="28"/>
        <v>Кромка 2,0 H1115 ST12  (75 м бухта).</v>
      </c>
      <c r="D654" s="67" t="s">
        <v>241</v>
      </c>
      <c r="E654" s="67" t="s">
        <v>34</v>
      </c>
      <c r="F654" s="67" t="s">
        <v>344</v>
      </c>
      <c r="G654" s="68">
        <v>15234</v>
      </c>
      <c r="H654" s="67" t="s">
        <v>330</v>
      </c>
      <c r="I654" s="200"/>
      <c r="J654" s="67" t="s">
        <v>39</v>
      </c>
      <c r="K654" s="67" t="s">
        <v>40</v>
      </c>
      <c r="L654" s="67" t="s">
        <v>41</v>
      </c>
      <c r="M654" s="67" t="s">
        <v>270</v>
      </c>
      <c r="N654" s="67" t="s">
        <v>259</v>
      </c>
      <c r="O654" s="67" t="s">
        <v>2116</v>
      </c>
      <c r="P654" s="67" t="s">
        <v>19</v>
      </c>
      <c r="Q654" s="192">
        <v>127.6</v>
      </c>
    </row>
    <row r="655" spans="1:17" ht="11.1" hidden="1" customHeight="1" x14ac:dyDescent="0.2">
      <c r="A655" s="3"/>
      <c r="B655" s="3" t="str">
        <f ca="1">IF(A655="В заказ",MAX($B$9:OFFSET(B655,-1,0))+1,"")</f>
        <v/>
      </c>
      <c r="C655" s="6" t="str">
        <f t="shared" si="28"/>
        <v>Кромка 0,4 H1122 ST22  (200 м бухта).</v>
      </c>
      <c r="D655" s="67" t="s">
        <v>241</v>
      </c>
      <c r="E655" s="67" t="s">
        <v>34</v>
      </c>
      <c r="F655" s="67" t="s">
        <v>345</v>
      </c>
      <c r="G655" s="68">
        <v>13405</v>
      </c>
      <c r="H655" s="67" t="s">
        <v>330</v>
      </c>
      <c r="I655" s="200"/>
      <c r="J655" s="67" t="s">
        <v>42</v>
      </c>
      <c r="K655" s="67" t="s">
        <v>43</v>
      </c>
      <c r="L655" s="67" t="s">
        <v>44</v>
      </c>
      <c r="M655" s="67" t="s">
        <v>252</v>
      </c>
      <c r="N655" s="67" t="s">
        <v>253</v>
      </c>
      <c r="O655" s="67" t="s">
        <v>2117</v>
      </c>
      <c r="P655" s="67" t="s">
        <v>19</v>
      </c>
      <c r="Q655" s="192">
        <v>17.899999999999999</v>
      </c>
    </row>
    <row r="656" spans="1:17" ht="11.1" hidden="1" customHeight="1" x14ac:dyDescent="0.2">
      <c r="A656" s="3"/>
      <c r="B656" s="3" t="str">
        <f ca="1">IF(A656="В заказ",MAX($B$9:OFFSET(B656,-1,0))+1,"")</f>
        <v/>
      </c>
      <c r="C656" s="6" t="str">
        <f t="shared" si="28"/>
        <v>Кромка 0,4 H1122 ST22  (200 м бухта).</v>
      </c>
      <c r="D656" s="67" t="s">
        <v>241</v>
      </c>
      <c r="E656" s="67" t="s">
        <v>34</v>
      </c>
      <c r="F656" s="67" t="s">
        <v>346</v>
      </c>
      <c r="G656" s="68">
        <v>24527</v>
      </c>
      <c r="H656" s="67" t="s">
        <v>330</v>
      </c>
      <c r="I656" s="200"/>
      <c r="J656" s="67" t="s">
        <v>42</v>
      </c>
      <c r="K656" s="67" t="s">
        <v>43</v>
      </c>
      <c r="L656" s="67" t="s">
        <v>44</v>
      </c>
      <c r="M656" s="67" t="s">
        <v>244</v>
      </c>
      <c r="N656" s="67" t="s">
        <v>253</v>
      </c>
      <c r="O656" s="67" t="s">
        <v>2117</v>
      </c>
      <c r="P656" s="67" t="s">
        <v>19</v>
      </c>
      <c r="Q656" s="71">
        <v>22</v>
      </c>
    </row>
    <row r="657" spans="1:17" ht="11.1" hidden="1" customHeight="1" x14ac:dyDescent="0.2">
      <c r="A657" s="3"/>
      <c r="B657" s="3" t="str">
        <f ca="1">IF(A657="В заказ",MAX($B$9:OFFSET(B657,-1,0))+1,"")</f>
        <v/>
      </c>
      <c r="C657" s="6" t="str">
        <f t="shared" si="28"/>
        <v>Кромка 0,4 H1122 ST22  (200 м бухта).</v>
      </c>
      <c r="D657" s="67" t="s">
        <v>241</v>
      </c>
      <c r="E657" s="67" t="s">
        <v>34</v>
      </c>
      <c r="F657" s="67" t="s">
        <v>347</v>
      </c>
      <c r="G657" s="68">
        <v>14270</v>
      </c>
      <c r="H657" s="67" t="s">
        <v>330</v>
      </c>
      <c r="I657" s="200"/>
      <c r="J657" s="67" t="s">
        <v>42</v>
      </c>
      <c r="K657" s="67" t="s">
        <v>43</v>
      </c>
      <c r="L657" s="67" t="s">
        <v>44</v>
      </c>
      <c r="M657" s="67" t="s">
        <v>264</v>
      </c>
      <c r="N657" s="67" t="s">
        <v>253</v>
      </c>
      <c r="O657" s="67" t="s">
        <v>2117</v>
      </c>
      <c r="P657" s="67" t="s">
        <v>19</v>
      </c>
      <c r="Q657" s="192">
        <v>28.9</v>
      </c>
    </row>
    <row r="658" spans="1:17" ht="11.1" hidden="1" customHeight="1" x14ac:dyDescent="0.2">
      <c r="A658" s="3"/>
      <c r="B658" s="3" t="str">
        <f ca="1">IF(A658="В заказ",MAX($B$9:OFFSET(B658,-1,0))+1,"")</f>
        <v/>
      </c>
      <c r="C658" s="6" t="str">
        <f t="shared" si="28"/>
        <v>Кромка 0,8 H1122 ST22  (75 м бухта).</v>
      </c>
      <c r="D658" s="67" t="s">
        <v>241</v>
      </c>
      <c r="E658" s="67" t="s">
        <v>34</v>
      </c>
      <c r="F658" s="67" t="s">
        <v>348</v>
      </c>
      <c r="G658" s="68">
        <v>13353</v>
      </c>
      <c r="H658" s="67" t="s">
        <v>330</v>
      </c>
      <c r="I658" s="200"/>
      <c r="J658" s="67" t="s">
        <v>42</v>
      </c>
      <c r="K658" s="67" t="s">
        <v>43</v>
      </c>
      <c r="L658" s="67" t="s">
        <v>44</v>
      </c>
      <c r="M658" s="67" t="s">
        <v>252</v>
      </c>
      <c r="N658" s="67" t="s">
        <v>10</v>
      </c>
      <c r="O658" s="67" t="s">
        <v>2116</v>
      </c>
      <c r="P658" s="67" t="s">
        <v>19</v>
      </c>
      <c r="Q658" s="71">
        <v>35</v>
      </c>
    </row>
    <row r="659" spans="1:17" ht="11.1" hidden="1" customHeight="1" x14ac:dyDescent="0.2">
      <c r="A659" s="3"/>
      <c r="B659" s="3" t="str">
        <f ca="1">IF(A659="В заказ",MAX($B$9:OFFSET(B659,-1,0))+1,"")</f>
        <v/>
      </c>
      <c r="C659" s="6" t="str">
        <f t="shared" si="28"/>
        <v>Кромка 0,8 H1122 ST22  (75 м бухта).</v>
      </c>
      <c r="D659" s="67" t="s">
        <v>241</v>
      </c>
      <c r="E659" s="67" t="s">
        <v>34</v>
      </c>
      <c r="F659" s="67" t="s">
        <v>349</v>
      </c>
      <c r="G659" s="68">
        <v>17749</v>
      </c>
      <c r="H659" s="67" t="s">
        <v>330</v>
      </c>
      <c r="I659" s="200"/>
      <c r="J659" s="67" t="s">
        <v>42</v>
      </c>
      <c r="K659" s="67" t="s">
        <v>43</v>
      </c>
      <c r="L659" s="67" t="s">
        <v>44</v>
      </c>
      <c r="M659" s="67" t="s">
        <v>244</v>
      </c>
      <c r="N659" s="67" t="s">
        <v>10</v>
      </c>
      <c r="O659" s="67" t="s">
        <v>2116</v>
      </c>
      <c r="P659" s="67" t="s">
        <v>19</v>
      </c>
      <c r="Q659" s="192">
        <v>42.3</v>
      </c>
    </row>
    <row r="660" spans="1:17" ht="11.1" hidden="1" customHeight="1" x14ac:dyDescent="0.2">
      <c r="A660" s="3"/>
      <c r="B660" s="3" t="str">
        <f ca="1">IF(A660="В заказ",MAX($B$9:OFFSET(B660,-1,0))+1,"")</f>
        <v/>
      </c>
      <c r="C660" s="6" t="str">
        <f t="shared" si="28"/>
        <v>Кромка 0,8 H1122 ST22  (75 м бухта).</v>
      </c>
      <c r="D660" s="67" t="s">
        <v>241</v>
      </c>
      <c r="E660" s="67" t="s">
        <v>34</v>
      </c>
      <c r="F660" s="67" t="s">
        <v>350</v>
      </c>
      <c r="G660" s="68">
        <v>16695</v>
      </c>
      <c r="H660" s="67" t="s">
        <v>330</v>
      </c>
      <c r="I660" s="200"/>
      <c r="J660" s="67" t="s">
        <v>42</v>
      </c>
      <c r="K660" s="67" t="s">
        <v>43</v>
      </c>
      <c r="L660" s="67" t="s">
        <v>44</v>
      </c>
      <c r="M660" s="67" t="s">
        <v>264</v>
      </c>
      <c r="N660" s="67" t="s">
        <v>10</v>
      </c>
      <c r="O660" s="67" t="s">
        <v>2116</v>
      </c>
      <c r="P660" s="67" t="s">
        <v>19</v>
      </c>
      <c r="Q660" s="192">
        <v>66.900000000000006</v>
      </c>
    </row>
    <row r="661" spans="1:17" ht="11.1" hidden="1" customHeight="1" x14ac:dyDescent="0.2">
      <c r="A661" s="3"/>
      <c r="B661" s="3" t="str">
        <f ca="1">IF(A661="В заказ",MAX($B$9:OFFSET(B661,-1,0))+1,"")</f>
        <v/>
      </c>
      <c r="C661" s="6" t="str">
        <f t="shared" si="28"/>
        <v>Кромка 2,0 H1122 ST22  (75 м бухта).</v>
      </c>
      <c r="D661" s="67" t="s">
        <v>241</v>
      </c>
      <c r="E661" s="67" t="s">
        <v>34</v>
      </c>
      <c r="F661" s="67" t="s">
        <v>351</v>
      </c>
      <c r="G661" s="68">
        <v>13113</v>
      </c>
      <c r="H661" s="67" t="s">
        <v>330</v>
      </c>
      <c r="I661" s="200"/>
      <c r="J661" s="67" t="s">
        <v>42</v>
      </c>
      <c r="K661" s="67" t="s">
        <v>43</v>
      </c>
      <c r="L661" s="67" t="s">
        <v>44</v>
      </c>
      <c r="M661" s="67" t="s">
        <v>252</v>
      </c>
      <c r="N661" s="67" t="s">
        <v>259</v>
      </c>
      <c r="O661" s="67" t="s">
        <v>2116</v>
      </c>
      <c r="P661" s="67" t="s">
        <v>19</v>
      </c>
      <c r="Q661" s="192">
        <v>62.6</v>
      </c>
    </row>
    <row r="662" spans="1:17" ht="11.1" hidden="1" customHeight="1" x14ac:dyDescent="0.2">
      <c r="A662" s="3"/>
      <c r="B662" s="3" t="str">
        <f ca="1">IF(A662="В заказ",MAX($B$9:OFFSET(B662,-1,0))+1,"")</f>
        <v/>
      </c>
      <c r="C662" s="6" t="str">
        <f t="shared" si="28"/>
        <v>Кромка 2,0 H1122 ST22  (75 м бухта).</v>
      </c>
      <c r="D662" s="67" t="s">
        <v>241</v>
      </c>
      <c r="E662" s="67" t="s">
        <v>34</v>
      </c>
      <c r="F662" s="67" t="s">
        <v>352</v>
      </c>
      <c r="G662" s="68">
        <v>14288</v>
      </c>
      <c r="H662" s="67" t="s">
        <v>330</v>
      </c>
      <c r="I662" s="200"/>
      <c r="J662" s="67" t="s">
        <v>42</v>
      </c>
      <c r="K662" s="67" t="s">
        <v>43</v>
      </c>
      <c r="L662" s="67" t="s">
        <v>44</v>
      </c>
      <c r="M662" s="67" t="s">
        <v>244</v>
      </c>
      <c r="N662" s="67" t="s">
        <v>259</v>
      </c>
      <c r="O662" s="67" t="s">
        <v>2116</v>
      </c>
      <c r="P662" s="67" t="s">
        <v>19</v>
      </c>
      <c r="Q662" s="192">
        <v>65.5</v>
      </c>
    </row>
    <row r="663" spans="1:17" ht="11.1" hidden="1" customHeight="1" x14ac:dyDescent="0.2">
      <c r="A663" s="3"/>
      <c r="B663" s="3" t="str">
        <f ca="1">IF(A663="В заказ",MAX($B$9:OFFSET(B663,-1,0))+1,"")</f>
        <v/>
      </c>
      <c r="C663" s="6" t="str">
        <f t="shared" si="28"/>
        <v>Кромка 2,0 H1122 ST22  (75 м бухта).</v>
      </c>
      <c r="D663" s="67" t="s">
        <v>241</v>
      </c>
      <c r="E663" s="67" t="s">
        <v>34</v>
      </c>
      <c r="F663" s="67" t="s">
        <v>353</v>
      </c>
      <c r="G663" s="68">
        <v>13406</v>
      </c>
      <c r="H663" s="67" t="s">
        <v>330</v>
      </c>
      <c r="I663" s="200"/>
      <c r="J663" s="67" t="s">
        <v>42</v>
      </c>
      <c r="K663" s="67" t="s">
        <v>43</v>
      </c>
      <c r="L663" s="67" t="s">
        <v>44</v>
      </c>
      <c r="M663" s="67" t="s">
        <v>264</v>
      </c>
      <c r="N663" s="67" t="s">
        <v>259</v>
      </c>
      <c r="O663" s="67" t="s">
        <v>2116</v>
      </c>
      <c r="P663" s="67" t="s">
        <v>19</v>
      </c>
      <c r="Q663" s="192">
        <v>94.1</v>
      </c>
    </row>
    <row r="664" spans="1:17" ht="11.1" hidden="1" customHeight="1" x14ac:dyDescent="0.2">
      <c r="A664" s="3"/>
      <c r="B664" s="3" t="str">
        <f ca="1">IF(A664="В заказ",MAX($B$9:OFFSET(B664,-1,0))+1,"")</f>
        <v/>
      </c>
      <c r="C664" s="6" t="str">
        <f t="shared" si="28"/>
        <v>Кромка 2,0 H1122 ST22  (75 м бухта).</v>
      </c>
      <c r="D664" s="67" t="s">
        <v>241</v>
      </c>
      <c r="E664" s="67" t="s">
        <v>34</v>
      </c>
      <c r="F664" s="67" t="s">
        <v>354</v>
      </c>
      <c r="G664" s="68">
        <v>13842</v>
      </c>
      <c r="H664" s="67" t="s">
        <v>330</v>
      </c>
      <c r="I664" s="200"/>
      <c r="J664" s="67" t="s">
        <v>42</v>
      </c>
      <c r="K664" s="67" t="s">
        <v>43</v>
      </c>
      <c r="L664" s="67" t="s">
        <v>44</v>
      </c>
      <c r="M664" s="67" t="s">
        <v>270</v>
      </c>
      <c r="N664" s="67" t="s">
        <v>259</v>
      </c>
      <c r="O664" s="67" t="s">
        <v>2116</v>
      </c>
      <c r="P664" s="67" t="s">
        <v>19</v>
      </c>
      <c r="Q664" s="192">
        <v>127.6</v>
      </c>
    </row>
    <row r="665" spans="1:17" ht="11.1" hidden="1" customHeight="1" x14ac:dyDescent="0.2">
      <c r="A665" s="3"/>
      <c r="B665" s="3" t="str">
        <f ca="1">IF(A665="В заказ",MAX($B$9:OFFSET(B665,-1,0))+1,"")</f>
        <v/>
      </c>
      <c r="C665" s="6" t="str">
        <f t="shared" si="28"/>
        <v>Кромка 2,0 H1122 ST22  (75 м бухта).</v>
      </c>
      <c r="D665" s="67" t="s">
        <v>241</v>
      </c>
      <c r="E665" s="67" t="s">
        <v>34</v>
      </c>
      <c r="F665" s="67" t="s">
        <v>355</v>
      </c>
      <c r="G665" s="68">
        <v>21476</v>
      </c>
      <c r="H665" s="67" t="s">
        <v>330</v>
      </c>
      <c r="I665" s="200"/>
      <c r="J665" s="67" t="s">
        <v>42</v>
      </c>
      <c r="K665" s="67" t="s">
        <v>43</v>
      </c>
      <c r="L665" s="67" t="s">
        <v>44</v>
      </c>
      <c r="M665" s="67" t="s">
        <v>282</v>
      </c>
      <c r="N665" s="67" t="s">
        <v>259</v>
      </c>
      <c r="O665" s="67" t="s">
        <v>2116</v>
      </c>
      <c r="P665" s="67" t="s">
        <v>19</v>
      </c>
      <c r="Q665" s="192">
        <v>187.5</v>
      </c>
    </row>
    <row r="666" spans="1:17" ht="11.1" hidden="1" customHeight="1" x14ac:dyDescent="0.2">
      <c r="A666" s="3"/>
      <c r="B666" s="3" t="str">
        <f ca="1">IF(A666="В заказ",MAX($B$9:OFFSET(B666,-1,0))+1,"")</f>
        <v/>
      </c>
      <c r="C666" s="6" t="str">
        <f t="shared" si="28"/>
        <v>Кромка 0,4 H1123 ST22  (200 м бухта).</v>
      </c>
      <c r="D666" s="67" t="s">
        <v>241</v>
      </c>
      <c r="E666" s="67" t="s">
        <v>34</v>
      </c>
      <c r="F666" s="67" t="s">
        <v>356</v>
      </c>
      <c r="G666" s="68">
        <v>13642</v>
      </c>
      <c r="H666" s="67" t="s">
        <v>330</v>
      </c>
      <c r="I666" s="200"/>
      <c r="J666" s="67" t="s">
        <v>45</v>
      </c>
      <c r="K666" s="67" t="s">
        <v>46</v>
      </c>
      <c r="L666" s="67" t="s">
        <v>44</v>
      </c>
      <c r="M666" s="67" t="s">
        <v>252</v>
      </c>
      <c r="N666" s="67" t="s">
        <v>253</v>
      </c>
      <c r="O666" s="67" t="s">
        <v>2117</v>
      </c>
      <c r="P666" s="67" t="s">
        <v>19</v>
      </c>
      <c r="Q666" s="192">
        <v>17.899999999999999</v>
      </c>
    </row>
    <row r="667" spans="1:17" ht="11.1" hidden="1" customHeight="1" x14ac:dyDescent="0.2">
      <c r="A667" s="3"/>
      <c r="B667" s="3" t="str">
        <f ca="1">IF(A667="В заказ",MAX($B$9:OFFSET(B667,-1,0))+1,"")</f>
        <v/>
      </c>
      <c r="C667" s="6" t="str">
        <f t="shared" si="28"/>
        <v>Кромка 0,4 H1123 ST22  (200 м бухта).</v>
      </c>
      <c r="D667" s="67" t="s">
        <v>241</v>
      </c>
      <c r="E667" s="67" t="s">
        <v>34</v>
      </c>
      <c r="F667" s="67" t="s">
        <v>357</v>
      </c>
      <c r="G667" s="68">
        <v>24525</v>
      </c>
      <c r="H667" s="67" t="s">
        <v>330</v>
      </c>
      <c r="I667" s="200"/>
      <c r="J667" s="67" t="s">
        <v>45</v>
      </c>
      <c r="K667" s="67" t="s">
        <v>46</v>
      </c>
      <c r="L667" s="67" t="s">
        <v>44</v>
      </c>
      <c r="M667" s="67" t="s">
        <v>244</v>
      </c>
      <c r="N667" s="67" t="s">
        <v>253</v>
      </c>
      <c r="O667" s="67" t="s">
        <v>2117</v>
      </c>
      <c r="P667" s="67" t="s">
        <v>19</v>
      </c>
      <c r="Q667" s="71">
        <v>22</v>
      </c>
    </row>
    <row r="668" spans="1:17" ht="11.1" hidden="1" customHeight="1" x14ac:dyDescent="0.2">
      <c r="A668" s="3"/>
      <c r="B668" s="3" t="str">
        <f ca="1">IF(A668="В заказ",MAX($B$9:OFFSET(B668,-1,0))+1,"")</f>
        <v/>
      </c>
      <c r="C668" s="6" t="str">
        <f t="shared" si="28"/>
        <v>Кромка 0,4 H1123 ST22  (200 м бухта).</v>
      </c>
      <c r="D668" s="67" t="s">
        <v>241</v>
      </c>
      <c r="E668" s="67" t="s">
        <v>34</v>
      </c>
      <c r="F668" s="67" t="s">
        <v>358</v>
      </c>
      <c r="G668" s="68">
        <v>16783</v>
      </c>
      <c r="H668" s="67" t="s">
        <v>330</v>
      </c>
      <c r="I668" s="200"/>
      <c r="J668" s="67" t="s">
        <v>45</v>
      </c>
      <c r="K668" s="67" t="s">
        <v>46</v>
      </c>
      <c r="L668" s="67" t="s">
        <v>44</v>
      </c>
      <c r="M668" s="67" t="s">
        <v>264</v>
      </c>
      <c r="N668" s="67" t="s">
        <v>253</v>
      </c>
      <c r="O668" s="67" t="s">
        <v>2117</v>
      </c>
      <c r="P668" s="67" t="s">
        <v>19</v>
      </c>
      <c r="Q668" s="192">
        <v>28.9</v>
      </c>
    </row>
    <row r="669" spans="1:17" ht="11.1" hidden="1" customHeight="1" x14ac:dyDescent="0.2">
      <c r="A669" s="3"/>
      <c r="B669" s="3" t="str">
        <f ca="1">IF(A669="В заказ",MAX($B$9:OFFSET(B669,-1,0))+1,"")</f>
        <v/>
      </c>
      <c r="C669" s="6" t="str">
        <f t="shared" si="28"/>
        <v>Кромка 0,8 H1123 ST22  (75 м бухта).</v>
      </c>
      <c r="D669" s="67" t="s">
        <v>241</v>
      </c>
      <c r="E669" s="67" t="s">
        <v>34</v>
      </c>
      <c r="F669" s="67" t="s">
        <v>359</v>
      </c>
      <c r="G669" s="68">
        <v>14004</v>
      </c>
      <c r="H669" s="67" t="s">
        <v>330</v>
      </c>
      <c r="I669" s="200"/>
      <c r="J669" s="67" t="s">
        <v>45</v>
      </c>
      <c r="K669" s="67" t="s">
        <v>46</v>
      </c>
      <c r="L669" s="67" t="s">
        <v>44</v>
      </c>
      <c r="M669" s="67" t="s">
        <v>252</v>
      </c>
      <c r="N669" s="67" t="s">
        <v>10</v>
      </c>
      <c r="O669" s="67" t="s">
        <v>2116</v>
      </c>
      <c r="P669" s="67" t="s">
        <v>19</v>
      </c>
      <c r="Q669" s="71">
        <v>35</v>
      </c>
    </row>
    <row r="670" spans="1:17" ht="11.1" hidden="1" customHeight="1" x14ac:dyDescent="0.2">
      <c r="A670" s="3"/>
      <c r="B670" s="3" t="str">
        <f ca="1">IF(A670="В заказ",MAX($B$9:OFFSET(B670,-1,0))+1,"")</f>
        <v/>
      </c>
      <c r="C670" s="6" t="str">
        <f t="shared" si="28"/>
        <v>Кромка 0,8 H1123 ST22  (75 м бухта).</v>
      </c>
      <c r="D670" s="67" t="s">
        <v>241</v>
      </c>
      <c r="E670" s="67" t="s">
        <v>34</v>
      </c>
      <c r="F670" s="67" t="s">
        <v>360</v>
      </c>
      <c r="G670" s="68">
        <v>24526</v>
      </c>
      <c r="H670" s="67" t="s">
        <v>330</v>
      </c>
      <c r="I670" s="200"/>
      <c r="J670" s="67" t="s">
        <v>45</v>
      </c>
      <c r="K670" s="67" t="s">
        <v>46</v>
      </c>
      <c r="L670" s="67" t="s">
        <v>44</v>
      </c>
      <c r="M670" s="67" t="s">
        <v>244</v>
      </c>
      <c r="N670" s="67" t="s">
        <v>10</v>
      </c>
      <c r="O670" s="67" t="s">
        <v>2116</v>
      </c>
      <c r="P670" s="67" t="s">
        <v>19</v>
      </c>
      <c r="Q670" s="192">
        <v>42.3</v>
      </c>
    </row>
    <row r="671" spans="1:17" ht="11.1" hidden="1" customHeight="1" x14ac:dyDescent="0.2">
      <c r="A671" s="3"/>
      <c r="B671" s="3" t="str">
        <f ca="1">IF(A671="В заказ",MAX($B$9:OFFSET(B671,-1,0))+1,"")</f>
        <v/>
      </c>
      <c r="C671" s="6" t="str">
        <f t="shared" si="28"/>
        <v>Кромка 0,8 H1123 ST22  (75 м бухта).</v>
      </c>
      <c r="D671" s="67" t="s">
        <v>241</v>
      </c>
      <c r="E671" s="67" t="s">
        <v>34</v>
      </c>
      <c r="F671" s="67" t="s">
        <v>361</v>
      </c>
      <c r="G671" s="68">
        <v>15050</v>
      </c>
      <c r="H671" s="67" t="s">
        <v>330</v>
      </c>
      <c r="I671" s="200"/>
      <c r="J671" s="67" t="s">
        <v>45</v>
      </c>
      <c r="K671" s="67" t="s">
        <v>46</v>
      </c>
      <c r="L671" s="67" t="s">
        <v>44</v>
      </c>
      <c r="M671" s="67" t="s">
        <v>264</v>
      </c>
      <c r="N671" s="67" t="s">
        <v>10</v>
      </c>
      <c r="O671" s="67" t="s">
        <v>2116</v>
      </c>
      <c r="P671" s="67" t="s">
        <v>19</v>
      </c>
      <c r="Q671" s="192">
        <v>66.900000000000006</v>
      </c>
    </row>
    <row r="672" spans="1:17" ht="11.1" hidden="1" customHeight="1" x14ac:dyDescent="0.2">
      <c r="A672" s="3"/>
      <c r="B672" s="3" t="str">
        <f ca="1">IF(A672="В заказ",MAX($B$9:OFFSET(B672,-1,0))+1,"")</f>
        <v/>
      </c>
      <c r="C672" s="6" t="str">
        <f t="shared" si="28"/>
        <v>Кромка 2,0 H1123 ST22  (75 м бухта).</v>
      </c>
      <c r="D672" s="67" t="s">
        <v>241</v>
      </c>
      <c r="E672" s="67" t="s">
        <v>34</v>
      </c>
      <c r="F672" s="67" t="s">
        <v>362</v>
      </c>
      <c r="G672" s="68">
        <v>13643</v>
      </c>
      <c r="H672" s="67" t="s">
        <v>330</v>
      </c>
      <c r="I672" s="200"/>
      <c r="J672" s="67" t="s">
        <v>45</v>
      </c>
      <c r="K672" s="67" t="s">
        <v>46</v>
      </c>
      <c r="L672" s="67" t="s">
        <v>44</v>
      </c>
      <c r="M672" s="67" t="s">
        <v>252</v>
      </c>
      <c r="N672" s="67" t="s">
        <v>259</v>
      </c>
      <c r="O672" s="67" t="s">
        <v>2116</v>
      </c>
      <c r="P672" s="67" t="s">
        <v>19</v>
      </c>
      <c r="Q672" s="192">
        <v>62.6</v>
      </c>
    </row>
    <row r="673" spans="1:17" ht="11.1" hidden="1" customHeight="1" x14ac:dyDescent="0.2">
      <c r="A673" s="3"/>
      <c r="B673" s="3" t="str">
        <f ca="1">IF(A673="В заказ",MAX($B$9:OFFSET(B673,-1,0))+1,"")</f>
        <v/>
      </c>
      <c r="C673" s="6" t="str">
        <f t="shared" si="28"/>
        <v>Кромка 2,0 H1123 ST22  (75 м бухта).</v>
      </c>
      <c r="D673" s="67" t="s">
        <v>241</v>
      </c>
      <c r="E673" s="67" t="s">
        <v>34</v>
      </c>
      <c r="F673" s="67" t="s">
        <v>363</v>
      </c>
      <c r="G673" s="68">
        <v>13982</v>
      </c>
      <c r="H673" s="67" t="s">
        <v>330</v>
      </c>
      <c r="I673" s="200"/>
      <c r="J673" s="67" t="s">
        <v>45</v>
      </c>
      <c r="K673" s="67" t="s">
        <v>46</v>
      </c>
      <c r="L673" s="67" t="s">
        <v>44</v>
      </c>
      <c r="M673" s="67" t="s">
        <v>244</v>
      </c>
      <c r="N673" s="67" t="s">
        <v>259</v>
      </c>
      <c r="O673" s="67" t="s">
        <v>2116</v>
      </c>
      <c r="P673" s="67" t="s">
        <v>19</v>
      </c>
      <c r="Q673" s="192">
        <v>65.5</v>
      </c>
    </row>
    <row r="674" spans="1:17" ht="11.1" hidden="1" customHeight="1" x14ac:dyDescent="0.2">
      <c r="A674" s="3"/>
      <c r="B674" s="3" t="str">
        <f ca="1">IF(A674="В заказ",MAX($B$9:OFFSET(B674,-1,0))+1,"")</f>
        <v/>
      </c>
      <c r="C674" s="6" t="str">
        <f t="shared" si="28"/>
        <v>Кромка 2,0 H1123 ST22  (75 м бухта).</v>
      </c>
      <c r="D674" s="67" t="s">
        <v>241</v>
      </c>
      <c r="E674" s="67" t="s">
        <v>34</v>
      </c>
      <c r="F674" s="67" t="s">
        <v>364</v>
      </c>
      <c r="G674" s="68">
        <v>15099</v>
      </c>
      <c r="H674" s="67" t="s">
        <v>330</v>
      </c>
      <c r="I674" s="200"/>
      <c r="J674" s="67" t="s">
        <v>45</v>
      </c>
      <c r="K674" s="67" t="s">
        <v>46</v>
      </c>
      <c r="L674" s="67" t="s">
        <v>44</v>
      </c>
      <c r="M674" s="67" t="s">
        <v>264</v>
      </c>
      <c r="N674" s="67" t="s">
        <v>259</v>
      </c>
      <c r="O674" s="67" t="s">
        <v>2116</v>
      </c>
      <c r="P674" s="67" t="s">
        <v>19</v>
      </c>
      <c r="Q674" s="192">
        <v>94.1</v>
      </c>
    </row>
    <row r="675" spans="1:17" ht="11.1" hidden="1" customHeight="1" x14ac:dyDescent="0.2">
      <c r="A675" s="3"/>
      <c r="B675" s="3" t="str">
        <f ca="1">IF(A675="В заказ",MAX($B$9:OFFSET(B675,-1,0))+1,"")</f>
        <v/>
      </c>
      <c r="C675" s="6" t="str">
        <f t="shared" si="28"/>
        <v>Кромка 2,0 H1123 ST22  (75 м бухта).</v>
      </c>
      <c r="D675" s="67" t="s">
        <v>241</v>
      </c>
      <c r="E675" s="67" t="s">
        <v>34</v>
      </c>
      <c r="F675" s="67" t="s">
        <v>365</v>
      </c>
      <c r="G675" s="68">
        <v>14378</v>
      </c>
      <c r="H675" s="67" t="s">
        <v>330</v>
      </c>
      <c r="I675" s="200"/>
      <c r="J675" s="67" t="s">
        <v>45</v>
      </c>
      <c r="K675" s="67" t="s">
        <v>46</v>
      </c>
      <c r="L675" s="67" t="s">
        <v>44</v>
      </c>
      <c r="M675" s="67" t="s">
        <v>270</v>
      </c>
      <c r="N675" s="67" t="s">
        <v>259</v>
      </c>
      <c r="O675" s="67" t="s">
        <v>2116</v>
      </c>
      <c r="P675" s="67" t="s">
        <v>19</v>
      </c>
      <c r="Q675" s="192">
        <v>127.6</v>
      </c>
    </row>
    <row r="676" spans="1:17" ht="11.1" hidden="1" customHeight="1" x14ac:dyDescent="0.2">
      <c r="A676" s="3"/>
      <c r="B676" s="3" t="str">
        <f ca="1">IF(A676="В заказ",MAX($B$9:OFFSET(B676,-1,0))+1,"")</f>
        <v/>
      </c>
      <c r="C676" s="6" t="str">
        <f t="shared" si="28"/>
        <v>Кромка 0,4 H1137 ST12  (200 м бухта).</v>
      </c>
      <c r="D676" s="67" t="s">
        <v>241</v>
      </c>
      <c r="E676" s="67" t="s">
        <v>34</v>
      </c>
      <c r="F676" s="67" t="s">
        <v>366</v>
      </c>
      <c r="G676" s="68">
        <v>13644</v>
      </c>
      <c r="H676" s="67" t="s">
        <v>330</v>
      </c>
      <c r="I676" s="200"/>
      <c r="J676" s="67" t="s">
        <v>47</v>
      </c>
      <c r="K676" s="67" t="s">
        <v>48</v>
      </c>
      <c r="L676" s="67" t="s">
        <v>41</v>
      </c>
      <c r="M676" s="67" t="s">
        <v>252</v>
      </c>
      <c r="N676" s="67" t="s">
        <v>253</v>
      </c>
      <c r="O676" s="67" t="s">
        <v>2117</v>
      </c>
      <c r="P676" s="67" t="s">
        <v>19</v>
      </c>
      <c r="Q676" s="192">
        <v>17.899999999999999</v>
      </c>
    </row>
    <row r="677" spans="1:17" ht="11.1" hidden="1" customHeight="1" x14ac:dyDescent="0.2">
      <c r="A677" s="3"/>
      <c r="B677" s="3" t="str">
        <f ca="1">IF(A677="В заказ",MAX($B$9:OFFSET(B677,-1,0))+1,"")</f>
        <v/>
      </c>
      <c r="C677" s="6" t="str">
        <f t="shared" si="28"/>
        <v>Кромка 0,4 H1137 ST12  (200 м бухта).</v>
      </c>
      <c r="D677" s="67" t="s">
        <v>241</v>
      </c>
      <c r="E677" s="67" t="s">
        <v>34</v>
      </c>
      <c r="F677" s="67" t="s">
        <v>367</v>
      </c>
      <c r="G677" s="68">
        <v>24568</v>
      </c>
      <c r="H677" s="67" t="s">
        <v>330</v>
      </c>
      <c r="I677" s="200"/>
      <c r="J677" s="67" t="s">
        <v>47</v>
      </c>
      <c r="K677" s="67" t="s">
        <v>48</v>
      </c>
      <c r="L677" s="67" t="s">
        <v>41</v>
      </c>
      <c r="M677" s="67" t="s">
        <v>244</v>
      </c>
      <c r="N677" s="67" t="s">
        <v>253</v>
      </c>
      <c r="O677" s="67" t="s">
        <v>2117</v>
      </c>
      <c r="P677" s="67" t="s">
        <v>19</v>
      </c>
      <c r="Q677" s="71">
        <v>22</v>
      </c>
    </row>
    <row r="678" spans="1:17" ht="11.1" hidden="1" customHeight="1" x14ac:dyDescent="0.2">
      <c r="A678" s="3"/>
      <c r="B678" s="3" t="str">
        <f ca="1">IF(A678="В заказ",MAX($B$9:OFFSET(B678,-1,0))+1,"")</f>
        <v/>
      </c>
      <c r="C678" s="6" t="str">
        <f t="shared" si="28"/>
        <v>Кромка 0,4 H1137 ST12  (200 м бухта).</v>
      </c>
      <c r="D678" s="67" t="s">
        <v>241</v>
      </c>
      <c r="E678" s="67" t="s">
        <v>34</v>
      </c>
      <c r="F678" s="67" t="s">
        <v>368</v>
      </c>
      <c r="G678" s="68">
        <v>16066</v>
      </c>
      <c r="H678" s="67" t="s">
        <v>330</v>
      </c>
      <c r="I678" s="200"/>
      <c r="J678" s="67" t="s">
        <v>47</v>
      </c>
      <c r="K678" s="67" t="s">
        <v>48</v>
      </c>
      <c r="L678" s="67" t="s">
        <v>41</v>
      </c>
      <c r="M678" s="67" t="s">
        <v>264</v>
      </c>
      <c r="N678" s="67" t="s">
        <v>253</v>
      </c>
      <c r="O678" s="67" t="s">
        <v>2117</v>
      </c>
      <c r="P678" s="67" t="s">
        <v>19</v>
      </c>
      <c r="Q678" s="192">
        <v>28.9</v>
      </c>
    </row>
    <row r="679" spans="1:17" ht="11.1" hidden="1" customHeight="1" x14ac:dyDescent="0.2">
      <c r="A679" s="3"/>
      <c r="B679" s="3" t="str">
        <f ca="1">IF(A679="В заказ",MAX($B$9:OFFSET(B679,-1,0))+1,"")</f>
        <v/>
      </c>
      <c r="C679" s="6" t="str">
        <f t="shared" si="28"/>
        <v>Кромка 0,8 H1137 ST12  (75 м бухта).</v>
      </c>
      <c r="D679" s="67" t="s">
        <v>241</v>
      </c>
      <c r="E679" s="67" t="s">
        <v>34</v>
      </c>
      <c r="F679" s="67" t="s">
        <v>369</v>
      </c>
      <c r="G679" s="68">
        <v>12498</v>
      </c>
      <c r="H679" s="67" t="s">
        <v>330</v>
      </c>
      <c r="I679" s="200"/>
      <c r="J679" s="67" t="s">
        <v>47</v>
      </c>
      <c r="K679" s="67" t="s">
        <v>48</v>
      </c>
      <c r="L679" s="67" t="s">
        <v>41</v>
      </c>
      <c r="M679" s="67" t="s">
        <v>252</v>
      </c>
      <c r="N679" s="67" t="s">
        <v>10</v>
      </c>
      <c r="O679" s="67" t="s">
        <v>2116</v>
      </c>
      <c r="P679" s="67" t="s">
        <v>19</v>
      </c>
      <c r="Q679" s="71">
        <v>35</v>
      </c>
    </row>
    <row r="680" spans="1:17" ht="11.1" hidden="1" customHeight="1" x14ac:dyDescent="0.2">
      <c r="A680" s="3"/>
      <c r="B680" s="3" t="str">
        <f ca="1">IF(A680="В заказ",MAX($B$9:OFFSET(B680,-1,0))+1,"")</f>
        <v/>
      </c>
      <c r="C680" s="6" t="str">
        <f t="shared" si="28"/>
        <v>Кромка 0,8 H1137 ST12  (75 м бухта).</v>
      </c>
      <c r="D680" s="67" t="s">
        <v>241</v>
      </c>
      <c r="E680" s="67" t="s">
        <v>34</v>
      </c>
      <c r="F680" s="67" t="s">
        <v>370</v>
      </c>
      <c r="G680" s="68">
        <v>24569</v>
      </c>
      <c r="H680" s="67" t="s">
        <v>330</v>
      </c>
      <c r="I680" s="200"/>
      <c r="J680" s="67" t="s">
        <v>47</v>
      </c>
      <c r="K680" s="67" t="s">
        <v>48</v>
      </c>
      <c r="L680" s="67" t="s">
        <v>41</v>
      </c>
      <c r="M680" s="67" t="s">
        <v>244</v>
      </c>
      <c r="N680" s="67" t="s">
        <v>10</v>
      </c>
      <c r="O680" s="67" t="s">
        <v>2116</v>
      </c>
      <c r="P680" s="67" t="s">
        <v>19</v>
      </c>
      <c r="Q680" s="192">
        <v>42.3</v>
      </c>
    </row>
    <row r="681" spans="1:17" ht="11.1" hidden="1" customHeight="1" x14ac:dyDescent="0.2">
      <c r="A681" s="3"/>
      <c r="B681" s="3" t="str">
        <f ca="1">IF(A681="В заказ",MAX($B$9:OFFSET(B681,-1,0))+1,"")</f>
        <v/>
      </c>
      <c r="C681" s="6" t="str">
        <f t="shared" si="28"/>
        <v>Кромка 0,8 H1137 ST12  (75 м бухта).</v>
      </c>
      <c r="D681" s="67" t="s">
        <v>241</v>
      </c>
      <c r="E681" s="67" t="s">
        <v>34</v>
      </c>
      <c r="F681" s="67" t="s">
        <v>371</v>
      </c>
      <c r="G681" s="68">
        <v>16784</v>
      </c>
      <c r="H681" s="67" t="s">
        <v>330</v>
      </c>
      <c r="I681" s="200"/>
      <c r="J681" s="67" t="s">
        <v>47</v>
      </c>
      <c r="K681" s="67" t="s">
        <v>48</v>
      </c>
      <c r="L681" s="67" t="s">
        <v>41</v>
      </c>
      <c r="M681" s="67" t="s">
        <v>264</v>
      </c>
      <c r="N681" s="67" t="s">
        <v>10</v>
      </c>
      <c r="O681" s="67" t="s">
        <v>2116</v>
      </c>
      <c r="P681" s="67" t="s">
        <v>19</v>
      </c>
      <c r="Q681" s="192">
        <v>66.900000000000006</v>
      </c>
    </row>
    <row r="682" spans="1:17" ht="11.1" hidden="1" customHeight="1" x14ac:dyDescent="0.2">
      <c r="A682" s="3"/>
      <c r="B682" s="3" t="str">
        <f ca="1">IF(A682="В заказ",MAX($B$9:OFFSET(B682,-1,0))+1,"")</f>
        <v/>
      </c>
      <c r="C682" s="6" t="str">
        <f t="shared" si="28"/>
        <v>Кромка 2,0 H1137 ST12 (75 м бухта).</v>
      </c>
      <c r="D682" s="67" t="s">
        <v>241</v>
      </c>
      <c r="E682" s="67" t="s">
        <v>34</v>
      </c>
      <c r="F682" s="67" t="s">
        <v>372</v>
      </c>
      <c r="G682" s="68">
        <v>13645</v>
      </c>
      <c r="H682" s="67" t="s">
        <v>330</v>
      </c>
      <c r="I682" s="200"/>
      <c r="J682" s="67" t="s">
        <v>47</v>
      </c>
      <c r="K682" s="67" t="s">
        <v>48</v>
      </c>
      <c r="L682" s="67" t="s">
        <v>41</v>
      </c>
      <c r="M682" s="67" t="s">
        <v>252</v>
      </c>
      <c r="N682" s="67" t="s">
        <v>259</v>
      </c>
      <c r="O682" s="67" t="s">
        <v>246</v>
      </c>
      <c r="P682" s="67" t="s">
        <v>19</v>
      </c>
      <c r="Q682" s="192">
        <v>62.6</v>
      </c>
    </row>
    <row r="683" spans="1:17" ht="11.1" hidden="1" customHeight="1" x14ac:dyDescent="0.2">
      <c r="A683" s="3"/>
      <c r="B683" s="3" t="str">
        <f ca="1">IF(A683="В заказ",MAX($B$9:OFFSET(B683,-1,0))+1,"")</f>
        <v/>
      </c>
      <c r="C683" s="6" t="str">
        <f t="shared" si="28"/>
        <v>Кромка 2,0 H1137 ST12  (75 м бухта).</v>
      </c>
      <c r="D683" s="67" t="s">
        <v>241</v>
      </c>
      <c r="E683" s="67" t="s">
        <v>34</v>
      </c>
      <c r="F683" s="67" t="s">
        <v>373</v>
      </c>
      <c r="G683" s="68">
        <v>22971</v>
      </c>
      <c r="H683" s="67" t="s">
        <v>330</v>
      </c>
      <c r="I683" s="200"/>
      <c r="J683" s="67" t="s">
        <v>47</v>
      </c>
      <c r="K683" s="67" t="s">
        <v>48</v>
      </c>
      <c r="L683" s="67" t="s">
        <v>41</v>
      </c>
      <c r="M683" s="67" t="s">
        <v>244</v>
      </c>
      <c r="N683" s="67" t="s">
        <v>259</v>
      </c>
      <c r="O683" s="67" t="s">
        <v>2116</v>
      </c>
      <c r="P683" s="67" t="s">
        <v>19</v>
      </c>
      <c r="Q683" s="192">
        <v>65.5</v>
      </c>
    </row>
    <row r="684" spans="1:17" ht="11.1" hidden="1" customHeight="1" x14ac:dyDescent="0.2">
      <c r="A684" s="3"/>
      <c r="B684" s="3" t="str">
        <f ca="1">IF(A684="В заказ",MAX($B$9:OFFSET(B684,-1,0))+1,"")</f>
        <v/>
      </c>
      <c r="C684" s="6" t="str">
        <f t="shared" si="28"/>
        <v>Кромка 2,0 H1137 ST12 (75 м бухта).</v>
      </c>
      <c r="D684" s="67" t="s">
        <v>241</v>
      </c>
      <c r="E684" s="67" t="s">
        <v>34</v>
      </c>
      <c r="F684" s="67" t="s">
        <v>374</v>
      </c>
      <c r="G684" s="68">
        <v>14231</v>
      </c>
      <c r="H684" s="67" t="s">
        <v>330</v>
      </c>
      <c r="I684" s="200"/>
      <c r="J684" s="67" t="s">
        <v>47</v>
      </c>
      <c r="K684" s="67" t="s">
        <v>48</v>
      </c>
      <c r="L684" s="67" t="s">
        <v>41</v>
      </c>
      <c r="M684" s="67" t="s">
        <v>264</v>
      </c>
      <c r="N684" s="67" t="s">
        <v>259</v>
      </c>
      <c r="O684" s="67" t="s">
        <v>246</v>
      </c>
      <c r="P684" s="67" t="s">
        <v>19</v>
      </c>
      <c r="Q684" s="192">
        <v>94.1</v>
      </c>
    </row>
    <row r="685" spans="1:17" ht="11.1" hidden="1" customHeight="1" x14ac:dyDescent="0.2">
      <c r="A685" s="3"/>
      <c r="B685" s="3" t="str">
        <f ca="1">IF(A685="В заказ",MAX($B$9:OFFSET(B685,-1,0))+1,"")</f>
        <v/>
      </c>
      <c r="C685" s="6" t="str">
        <f t="shared" si="28"/>
        <v>Кромка 2,0 H1137 ST12  (75 м бухта).</v>
      </c>
      <c r="D685" s="67" t="s">
        <v>241</v>
      </c>
      <c r="E685" s="67" t="s">
        <v>34</v>
      </c>
      <c r="F685" s="67" t="s">
        <v>375</v>
      </c>
      <c r="G685" s="68">
        <v>15505</v>
      </c>
      <c r="H685" s="67" t="s">
        <v>330</v>
      </c>
      <c r="I685" s="200"/>
      <c r="J685" s="67" t="s">
        <v>47</v>
      </c>
      <c r="K685" s="67" t="s">
        <v>48</v>
      </c>
      <c r="L685" s="67" t="s">
        <v>41</v>
      </c>
      <c r="M685" s="67" t="s">
        <v>270</v>
      </c>
      <c r="N685" s="67" t="s">
        <v>259</v>
      </c>
      <c r="O685" s="67" t="s">
        <v>2116</v>
      </c>
      <c r="P685" s="67" t="s">
        <v>19</v>
      </c>
      <c r="Q685" s="192">
        <v>127.6</v>
      </c>
    </row>
    <row r="686" spans="1:17" ht="11.1" hidden="1" customHeight="1" x14ac:dyDescent="0.2">
      <c r="A686" s="3"/>
      <c r="B686" s="3" t="str">
        <f ca="1">IF(A686="В заказ",MAX($B$9:OFFSET(B686,-1,0))+1,"")</f>
        <v/>
      </c>
      <c r="C686" s="6" t="str">
        <f t="shared" si="28"/>
        <v>Кромка 0,4 H1145 ST10  (200 м бухта).</v>
      </c>
      <c r="D686" s="67" t="s">
        <v>241</v>
      </c>
      <c r="E686" s="67" t="s">
        <v>34</v>
      </c>
      <c r="F686" s="67" t="s">
        <v>376</v>
      </c>
      <c r="G686" s="68">
        <v>5682</v>
      </c>
      <c r="H686" s="67" t="s">
        <v>330</v>
      </c>
      <c r="I686" s="200"/>
      <c r="J686" s="67" t="s">
        <v>49</v>
      </c>
      <c r="K686" s="67" t="s">
        <v>50</v>
      </c>
      <c r="L686" s="67" t="s">
        <v>38</v>
      </c>
      <c r="M686" s="67" t="s">
        <v>252</v>
      </c>
      <c r="N686" s="67" t="s">
        <v>253</v>
      </c>
      <c r="O686" s="67" t="s">
        <v>2117</v>
      </c>
      <c r="P686" s="67" t="s">
        <v>19</v>
      </c>
      <c r="Q686" s="192">
        <v>17.899999999999999</v>
      </c>
    </row>
    <row r="687" spans="1:17" ht="11.1" hidden="1" customHeight="1" x14ac:dyDescent="0.2">
      <c r="A687" s="3"/>
      <c r="B687" s="3" t="str">
        <f ca="1">IF(A687="В заказ",MAX($B$9:OFFSET(B687,-1,0))+1,"")</f>
        <v/>
      </c>
      <c r="C687" s="6" t="str">
        <f t="shared" si="28"/>
        <v>Кромка 0,4 H1145 ST10  (200 м бухта).</v>
      </c>
      <c r="D687" s="67" t="s">
        <v>241</v>
      </c>
      <c r="E687" s="67" t="s">
        <v>34</v>
      </c>
      <c r="F687" s="67" t="s">
        <v>377</v>
      </c>
      <c r="G687" s="68">
        <v>24563</v>
      </c>
      <c r="H687" s="67" t="s">
        <v>330</v>
      </c>
      <c r="I687" s="200"/>
      <c r="J687" s="67" t="s">
        <v>49</v>
      </c>
      <c r="K687" s="67" t="s">
        <v>50</v>
      </c>
      <c r="L687" s="67" t="s">
        <v>38</v>
      </c>
      <c r="M687" s="67" t="s">
        <v>244</v>
      </c>
      <c r="N687" s="67" t="s">
        <v>253</v>
      </c>
      <c r="O687" s="67" t="s">
        <v>2117</v>
      </c>
      <c r="P687" s="67" t="s">
        <v>19</v>
      </c>
      <c r="Q687" s="71">
        <v>22</v>
      </c>
    </row>
    <row r="688" spans="1:17" ht="11.1" hidden="1" customHeight="1" x14ac:dyDescent="0.2">
      <c r="A688" s="3"/>
      <c r="B688" s="3" t="str">
        <f ca="1">IF(A688="В заказ",MAX($B$9:OFFSET(B688,-1,0))+1,"")</f>
        <v/>
      </c>
      <c r="C688" s="6" t="str">
        <f t="shared" si="28"/>
        <v>Кромка 0,4 H1145 ST10  (200 м бухта).</v>
      </c>
      <c r="D688" s="67" t="s">
        <v>241</v>
      </c>
      <c r="E688" s="67" t="s">
        <v>34</v>
      </c>
      <c r="F688" s="67" t="s">
        <v>378</v>
      </c>
      <c r="G688" s="68">
        <v>5683</v>
      </c>
      <c r="H688" s="67" t="s">
        <v>330</v>
      </c>
      <c r="I688" s="200"/>
      <c r="J688" s="67" t="s">
        <v>49</v>
      </c>
      <c r="K688" s="67" t="s">
        <v>50</v>
      </c>
      <c r="L688" s="67" t="s">
        <v>38</v>
      </c>
      <c r="M688" s="67" t="s">
        <v>264</v>
      </c>
      <c r="N688" s="67" t="s">
        <v>253</v>
      </c>
      <c r="O688" s="67" t="s">
        <v>2117</v>
      </c>
      <c r="P688" s="67" t="s">
        <v>19</v>
      </c>
      <c r="Q688" s="192">
        <v>28.9</v>
      </c>
    </row>
    <row r="689" spans="1:17" ht="11.1" hidden="1" customHeight="1" x14ac:dyDescent="0.2">
      <c r="A689" s="3"/>
      <c r="B689" s="3" t="str">
        <f ca="1">IF(A689="В заказ",MAX($B$9:OFFSET(B689,-1,0))+1,"")</f>
        <v/>
      </c>
      <c r="C689" s="6" t="str">
        <f t="shared" si="28"/>
        <v>Кромка 0,8 H1145 ST10  (75 м бухта).</v>
      </c>
      <c r="D689" s="67" t="s">
        <v>241</v>
      </c>
      <c r="E689" s="67" t="s">
        <v>34</v>
      </c>
      <c r="F689" s="67" t="s">
        <v>379</v>
      </c>
      <c r="G689" s="68">
        <v>14074</v>
      </c>
      <c r="H689" s="67" t="s">
        <v>330</v>
      </c>
      <c r="I689" s="200"/>
      <c r="J689" s="67" t="s">
        <v>49</v>
      </c>
      <c r="K689" s="67" t="s">
        <v>50</v>
      </c>
      <c r="L689" s="67" t="s">
        <v>38</v>
      </c>
      <c r="M689" s="67" t="s">
        <v>252</v>
      </c>
      <c r="N689" s="67" t="s">
        <v>10</v>
      </c>
      <c r="O689" s="67" t="s">
        <v>2116</v>
      </c>
      <c r="P689" s="67" t="s">
        <v>19</v>
      </c>
      <c r="Q689" s="71">
        <v>35</v>
      </c>
    </row>
    <row r="690" spans="1:17" ht="11.1" hidden="1" customHeight="1" x14ac:dyDescent="0.2">
      <c r="A690" s="3"/>
      <c r="B690" s="3" t="str">
        <f ca="1">IF(A690="В заказ",MAX($B$9:OFFSET(B690,-1,0))+1,"")</f>
        <v/>
      </c>
      <c r="C690" s="6" t="str">
        <f t="shared" si="28"/>
        <v>Кромка 0,8 H1145 ST10  (75 м бухта).</v>
      </c>
      <c r="D690" s="67" t="s">
        <v>241</v>
      </c>
      <c r="E690" s="67" t="s">
        <v>34</v>
      </c>
      <c r="F690" s="67" t="s">
        <v>380</v>
      </c>
      <c r="G690" s="68">
        <v>17485</v>
      </c>
      <c r="H690" s="67" t="s">
        <v>330</v>
      </c>
      <c r="I690" s="200"/>
      <c r="J690" s="67" t="s">
        <v>49</v>
      </c>
      <c r="K690" s="67" t="s">
        <v>50</v>
      </c>
      <c r="L690" s="67" t="s">
        <v>38</v>
      </c>
      <c r="M690" s="67" t="s">
        <v>244</v>
      </c>
      <c r="N690" s="67" t="s">
        <v>10</v>
      </c>
      <c r="O690" s="67" t="s">
        <v>2116</v>
      </c>
      <c r="P690" s="67" t="s">
        <v>19</v>
      </c>
      <c r="Q690" s="192">
        <v>42.3</v>
      </c>
    </row>
    <row r="691" spans="1:17" ht="11.1" hidden="1" customHeight="1" x14ac:dyDescent="0.2">
      <c r="A691" s="3"/>
      <c r="B691" s="3" t="str">
        <f ca="1">IF(A691="В заказ",MAX($B$9:OFFSET(B691,-1,0))+1,"")</f>
        <v/>
      </c>
      <c r="C691" s="6" t="str">
        <f t="shared" si="28"/>
        <v>Кромка 0,8 H1145 ST10  (75 м бухта).</v>
      </c>
      <c r="D691" s="67" t="s">
        <v>241</v>
      </c>
      <c r="E691" s="67" t="s">
        <v>34</v>
      </c>
      <c r="F691" s="67" t="s">
        <v>381</v>
      </c>
      <c r="G691" s="68">
        <v>16785</v>
      </c>
      <c r="H691" s="67" t="s">
        <v>330</v>
      </c>
      <c r="I691" s="200"/>
      <c r="J691" s="67" t="s">
        <v>49</v>
      </c>
      <c r="K691" s="67" t="s">
        <v>50</v>
      </c>
      <c r="L691" s="67" t="s">
        <v>38</v>
      </c>
      <c r="M691" s="67" t="s">
        <v>264</v>
      </c>
      <c r="N691" s="67" t="s">
        <v>10</v>
      </c>
      <c r="O691" s="67" t="s">
        <v>2116</v>
      </c>
      <c r="P691" s="67" t="s">
        <v>19</v>
      </c>
      <c r="Q691" s="192">
        <v>66.900000000000006</v>
      </c>
    </row>
    <row r="692" spans="1:17" ht="11.1" hidden="1" customHeight="1" x14ac:dyDescent="0.2">
      <c r="A692" s="3"/>
      <c r="B692" s="3" t="str">
        <f ca="1">IF(A692="В заказ",MAX($B$9:OFFSET(B692,-1,0))+1,"")</f>
        <v/>
      </c>
      <c r="C692" s="6" t="str">
        <f t="shared" si="28"/>
        <v>Кромка 2,0 H1145 ST10  (75 м бухта).</v>
      </c>
      <c r="D692" s="67" t="s">
        <v>241</v>
      </c>
      <c r="E692" s="67" t="s">
        <v>34</v>
      </c>
      <c r="F692" s="67" t="s">
        <v>382</v>
      </c>
      <c r="G692" s="68">
        <v>5433</v>
      </c>
      <c r="H692" s="67" t="s">
        <v>330</v>
      </c>
      <c r="I692" s="200"/>
      <c r="J692" s="67" t="s">
        <v>49</v>
      </c>
      <c r="K692" s="67" t="s">
        <v>50</v>
      </c>
      <c r="L692" s="67" t="s">
        <v>38</v>
      </c>
      <c r="M692" s="67" t="s">
        <v>252</v>
      </c>
      <c r="N692" s="67" t="s">
        <v>259</v>
      </c>
      <c r="O692" s="67" t="s">
        <v>2116</v>
      </c>
      <c r="P692" s="67" t="s">
        <v>19</v>
      </c>
      <c r="Q692" s="192">
        <v>62.6</v>
      </c>
    </row>
    <row r="693" spans="1:17" ht="11.1" hidden="1" customHeight="1" x14ac:dyDescent="0.2">
      <c r="A693" s="3"/>
      <c r="B693" s="3" t="str">
        <f ca="1">IF(A693="В заказ",MAX($B$9:OFFSET(B693,-1,0))+1,"")</f>
        <v/>
      </c>
      <c r="C693" s="6" t="str">
        <f t="shared" si="28"/>
        <v>Кромка 2,0 H1145 ST10  (75 м бухта).</v>
      </c>
      <c r="D693" s="67" t="s">
        <v>241</v>
      </c>
      <c r="E693" s="67" t="s">
        <v>34</v>
      </c>
      <c r="F693" s="67" t="s">
        <v>383</v>
      </c>
      <c r="G693" s="68">
        <v>20931</v>
      </c>
      <c r="H693" s="67" t="s">
        <v>330</v>
      </c>
      <c r="I693" s="200"/>
      <c r="J693" s="67" t="s">
        <v>49</v>
      </c>
      <c r="K693" s="67" t="s">
        <v>50</v>
      </c>
      <c r="L693" s="67" t="s">
        <v>38</v>
      </c>
      <c r="M693" s="67" t="s">
        <v>244</v>
      </c>
      <c r="N693" s="67" t="s">
        <v>259</v>
      </c>
      <c r="O693" s="67" t="s">
        <v>2116</v>
      </c>
      <c r="P693" s="67" t="s">
        <v>19</v>
      </c>
      <c r="Q693" s="192">
        <v>65.5</v>
      </c>
    </row>
    <row r="694" spans="1:17" ht="11.1" hidden="1" customHeight="1" x14ac:dyDescent="0.2">
      <c r="A694" s="3"/>
      <c r="B694" s="3" t="str">
        <f ca="1">IF(A694="В заказ",MAX($B$9:OFFSET(B694,-1,0))+1,"")</f>
        <v/>
      </c>
      <c r="C694" s="6" t="str">
        <f t="shared" ref="C694:C757" si="29">D694&amp;" "&amp;N694&amp;" "&amp;IF(OR(D694="ДСП",D694="МДФ",D694="Фанера",D694="ХДФ"),M694,J694)&amp;" "&amp;IF(OR(D694="ДСП",D694="МДФ",D694="Фанера",D694="ХДФ"),O694,L694)&amp;" "&amp;IF(OR(D694="ДСП",D694="МДФ",D694="Фанера",D694="ХДФ"),"",IF(D694="БСП",M694,O694))&amp;"."</f>
        <v>Кромка 2,0 H1145 ST10  (75 м бухта).</v>
      </c>
      <c r="D694" s="67" t="s">
        <v>241</v>
      </c>
      <c r="E694" s="67" t="s">
        <v>34</v>
      </c>
      <c r="F694" s="67" t="s">
        <v>384</v>
      </c>
      <c r="G694" s="68">
        <v>5360</v>
      </c>
      <c r="H694" s="67" t="s">
        <v>330</v>
      </c>
      <c r="I694" s="200"/>
      <c r="J694" s="67" t="s">
        <v>49</v>
      </c>
      <c r="K694" s="67" t="s">
        <v>50</v>
      </c>
      <c r="L694" s="67" t="s">
        <v>38</v>
      </c>
      <c r="M694" s="67" t="s">
        <v>264</v>
      </c>
      <c r="N694" s="67" t="s">
        <v>259</v>
      </c>
      <c r="O694" s="67" t="s">
        <v>2116</v>
      </c>
      <c r="P694" s="67" t="s">
        <v>19</v>
      </c>
      <c r="Q694" s="192">
        <v>94.1</v>
      </c>
    </row>
    <row r="695" spans="1:17" ht="11.1" hidden="1" customHeight="1" x14ac:dyDescent="0.2">
      <c r="A695" s="3"/>
      <c r="B695" s="3" t="str">
        <f ca="1">IF(A695="В заказ",MAX($B$9:OFFSET(B695,-1,0))+1,"")</f>
        <v/>
      </c>
      <c r="C695" s="6" t="str">
        <f t="shared" si="29"/>
        <v>Кромка 2,0 H1145 ST10  (75 м бухта).</v>
      </c>
      <c r="D695" s="67" t="s">
        <v>241</v>
      </c>
      <c r="E695" s="67" t="s">
        <v>34</v>
      </c>
      <c r="F695" s="67" t="s">
        <v>385</v>
      </c>
      <c r="G695" s="68">
        <v>8420</v>
      </c>
      <c r="H695" s="67" t="s">
        <v>330</v>
      </c>
      <c r="I695" s="200"/>
      <c r="J695" s="67" t="s">
        <v>49</v>
      </c>
      <c r="K695" s="67" t="s">
        <v>50</v>
      </c>
      <c r="L695" s="67" t="s">
        <v>38</v>
      </c>
      <c r="M695" s="67" t="s">
        <v>270</v>
      </c>
      <c r="N695" s="67" t="s">
        <v>259</v>
      </c>
      <c r="O695" s="67" t="s">
        <v>2116</v>
      </c>
      <c r="P695" s="67" t="s">
        <v>19</v>
      </c>
      <c r="Q695" s="192">
        <v>127.6</v>
      </c>
    </row>
    <row r="696" spans="1:17" ht="11.1" hidden="1" customHeight="1" x14ac:dyDescent="0.2">
      <c r="A696" s="3"/>
      <c r="B696" s="3" t="str">
        <f ca="1">IF(A696="В заказ",MAX($B$9:OFFSET(B696,-1,0))+1,"")</f>
        <v/>
      </c>
      <c r="C696" s="6" t="str">
        <f t="shared" si="29"/>
        <v>Кромка 2,0 H1145 ST10  (75 м бухта).</v>
      </c>
      <c r="D696" s="67" t="s">
        <v>241</v>
      </c>
      <c r="E696" s="67" t="s">
        <v>34</v>
      </c>
      <c r="F696" s="67" t="s">
        <v>386</v>
      </c>
      <c r="G696" s="68">
        <v>21583</v>
      </c>
      <c r="H696" s="67" t="s">
        <v>330</v>
      </c>
      <c r="I696" s="200"/>
      <c r="J696" s="67" t="s">
        <v>49</v>
      </c>
      <c r="K696" s="67" t="s">
        <v>50</v>
      </c>
      <c r="L696" s="67" t="s">
        <v>38</v>
      </c>
      <c r="M696" s="67" t="s">
        <v>282</v>
      </c>
      <c r="N696" s="67" t="s">
        <v>259</v>
      </c>
      <c r="O696" s="67" t="s">
        <v>2116</v>
      </c>
      <c r="P696" s="67" t="s">
        <v>19</v>
      </c>
      <c r="Q696" s="192">
        <v>187.5</v>
      </c>
    </row>
    <row r="697" spans="1:17" ht="11.1" hidden="1" customHeight="1" x14ac:dyDescent="0.2">
      <c r="A697" s="3"/>
      <c r="B697" s="3" t="str">
        <f ca="1">IF(A697="В заказ",MAX($B$9:OFFSET(B697,-1,0))+1,"")</f>
        <v/>
      </c>
      <c r="C697" s="6" t="str">
        <f t="shared" si="29"/>
        <v>Кромка 0,4 H1146 ST10  (200 м бухта).</v>
      </c>
      <c r="D697" s="67" t="s">
        <v>241</v>
      </c>
      <c r="E697" s="67" t="s">
        <v>34</v>
      </c>
      <c r="F697" s="67" t="s">
        <v>387</v>
      </c>
      <c r="G697" s="68">
        <v>22907</v>
      </c>
      <c r="H697" s="67" t="s">
        <v>330</v>
      </c>
      <c r="I697" s="200"/>
      <c r="J697" s="67" t="s">
        <v>51</v>
      </c>
      <c r="K697" s="67" t="s">
        <v>52</v>
      </c>
      <c r="L697" s="67" t="s">
        <v>38</v>
      </c>
      <c r="M697" s="67" t="s">
        <v>244</v>
      </c>
      <c r="N697" s="67" t="s">
        <v>253</v>
      </c>
      <c r="O697" s="67" t="s">
        <v>2117</v>
      </c>
      <c r="P697" s="67" t="s">
        <v>19</v>
      </c>
      <c r="Q697" s="71">
        <v>22</v>
      </c>
    </row>
    <row r="698" spans="1:17" ht="11.1" hidden="1" customHeight="1" x14ac:dyDescent="0.2">
      <c r="A698" s="3"/>
      <c r="B698" s="3" t="str">
        <f ca="1">IF(A698="В заказ",MAX($B$9:OFFSET(B698,-1,0))+1,"")</f>
        <v/>
      </c>
      <c r="C698" s="6" t="str">
        <f t="shared" si="29"/>
        <v>Кромка 0,4 H1146 ST10  (200 м бухта).</v>
      </c>
      <c r="D698" s="67" t="s">
        <v>241</v>
      </c>
      <c r="E698" s="67" t="s">
        <v>34</v>
      </c>
      <c r="F698" s="67" t="s">
        <v>388</v>
      </c>
      <c r="G698" s="68">
        <v>14505</v>
      </c>
      <c r="H698" s="67" t="s">
        <v>330</v>
      </c>
      <c r="I698" s="200"/>
      <c r="J698" s="67" t="s">
        <v>51</v>
      </c>
      <c r="K698" s="67" t="s">
        <v>52</v>
      </c>
      <c r="L698" s="67" t="s">
        <v>38</v>
      </c>
      <c r="M698" s="67" t="s">
        <v>264</v>
      </c>
      <c r="N698" s="67" t="s">
        <v>253</v>
      </c>
      <c r="O698" s="67" t="s">
        <v>2117</v>
      </c>
      <c r="P698" s="67" t="s">
        <v>19</v>
      </c>
      <c r="Q698" s="192">
        <v>28.9</v>
      </c>
    </row>
    <row r="699" spans="1:17" ht="11.1" hidden="1" customHeight="1" x14ac:dyDescent="0.2">
      <c r="A699" s="3"/>
      <c r="B699" s="3" t="str">
        <f ca="1">IF(A699="В заказ",MAX($B$9:OFFSET(B699,-1,0))+1,"")</f>
        <v/>
      </c>
      <c r="C699" s="6" t="str">
        <f t="shared" si="29"/>
        <v>Кромка 0,8 H1146 ST10  (75 м бухта).</v>
      </c>
      <c r="D699" s="67" t="s">
        <v>241</v>
      </c>
      <c r="E699" s="67" t="s">
        <v>34</v>
      </c>
      <c r="F699" s="67" t="s">
        <v>389</v>
      </c>
      <c r="G699" s="68">
        <v>14003</v>
      </c>
      <c r="H699" s="67" t="s">
        <v>330</v>
      </c>
      <c r="I699" s="200"/>
      <c r="J699" s="67" t="s">
        <v>51</v>
      </c>
      <c r="K699" s="67" t="s">
        <v>52</v>
      </c>
      <c r="L699" s="67" t="s">
        <v>38</v>
      </c>
      <c r="M699" s="67" t="s">
        <v>252</v>
      </c>
      <c r="N699" s="67" t="s">
        <v>10</v>
      </c>
      <c r="O699" s="67" t="s">
        <v>2116</v>
      </c>
      <c r="P699" s="67" t="s">
        <v>19</v>
      </c>
      <c r="Q699" s="71">
        <v>35</v>
      </c>
    </row>
    <row r="700" spans="1:17" ht="11.1" hidden="1" customHeight="1" x14ac:dyDescent="0.2">
      <c r="A700" s="3"/>
      <c r="B700" s="3" t="str">
        <f ca="1">IF(A700="В заказ",MAX($B$9:OFFSET(B700,-1,0))+1,"")</f>
        <v/>
      </c>
      <c r="C700" s="6" t="str">
        <f t="shared" si="29"/>
        <v>Кромка 0,8 H1146 ST10  (75 м бухта).</v>
      </c>
      <c r="D700" s="67" t="s">
        <v>241</v>
      </c>
      <c r="E700" s="67" t="s">
        <v>34</v>
      </c>
      <c r="F700" s="67" t="s">
        <v>390</v>
      </c>
      <c r="G700" s="68">
        <v>20331</v>
      </c>
      <c r="H700" s="67" t="s">
        <v>330</v>
      </c>
      <c r="I700" s="200"/>
      <c r="J700" s="67" t="s">
        <v>51</v>
      </c>
      <c r="K700" s="67" t="s">
        <v>52</v>
      </c>
      <c r="L700" s="67" t="s">
        <v>38</v>
      </c>
      <c r="M700" s="67" t="s">
        <v>244</v>
      </c>
      <c r="N700" s="67" t="s">
        <v>10</v>
      </c>
      <c r="O700" s="67" t="s">
        <v>2116</v>
      </c>
      <c r="P700" s="67" t="s">
        <v>19</v>
      </c>
      <c r="Q700" s="192">
        <v>42.3</v>
      </c>
    </row>
    <row r="701" spans="1:17" ht="11.1" hidden="1" customHeight="1" x14ac:dyDescent="0.2">
      <c r="A701" s="3"/>
      <c r="B701" s="3" t="str">
        <f ca="1">IF(A701="В заказ",MAX($B$9:OFFSET(B701,-1,0))+1,"")</f>
        <v/>
      </c>
      <c r="C701" s="6" t="str">
        <f t="shared" si="29"/>
        <v>Кромка 2,0 H1146 ST10  (75 м бухта).</v>
      </c>
      <c r="D701" s="67" t="s">
        <v>241</v>
      </c>
      <c r="E701" s="67" t="s">
        <v>34</v>
      </c>
      <c r="F701" s="67" t="s">
        <v>391</v>
      </c>
      <c r="G701" s="68">
        <v>12596</v>
      </c>
      <c r="H701" s="67" t="s">
        <v>330</v>
      </c>
      <c r="I701" s="200"/>
      <c r="J701" s="67" t="s">
        <v>51</v>
      </c>
      <c r="K701" s="67" t="s">
        <v>52</v>
      </c>
      <c r="L701" s="67" t="s">
        <v>38</v>
      </c>
      <c r="M701" s="67" t="s">
        <v>252</v>
      </c>
      <c r="N701" s="67" t="s">
        <v>259</v>
      </c>
      <c r="O701" s="67" t="s">
        <v>2116</v>
      </c>
      <c r="P701" s="67" t="s">
        <v>19</v>
      </c>
      <c r="Q701" s="192">
        <v>62.6</v>
      </c>
    </row>
    <row r="702" spans="1:17" ht="11.1" hidden="1" customHeight="1" x14ac:dyDescent="0.2">
      <c r="A702" s="3"/>
      <c r="B702" s="3" t="str">
        <f ca="1">IF(A702="В заказ",MAX($B$9:OFFSET(B702,-1,0))+1,"")</f>
        <v/>
      </c>
      <c r="C702" s="6" t="str">
        <f t="shared" si="29"/>
        <v>Кромка 2,0 H1146 ST10  (75 м бухта).</v>
      </c>
      <c r="D702" s="67" t="s">
        <v>241</v>
      </c>
      <c r="E702" s="67" t="s">
        <v>34</v>
      </c>
      <c r="F702" s="67" t="s">
        <v>392</v>
      </c>
      <c r="G702" s="68">
        <v>13983</v>
      </c>
      <c r="H702" s="67" t="s">
        <v>330</v>
      </c>
      <c r="I702" s="200"/>
      <c r="J702" s="67" t="s">
        <v>51</v>
      </c>
      <c r="K702" s="67" t="s">
        <v>52</v>
      </c>
      <c r="L702" s="67" t="s">
        <v>38</v>
      </c>
      <c r="M702" s="67" t="s">
        <v>244</v>
      </c>
      <c r="N702" s="67" t="s">
        <v>259</v>
      </c>
      <c r="O702" s="67" t="s">
        <v>2116</v>
      </c>
      <c r="P702" s="67" t="s">
        <v>19</v>
      </c>
      <c r="Q702" s="192">
        <v>65.5</v>
      </c>
    </row>
    <row r="703" spans="1:17" ht="11.1" hidden="1" customHeight="1" x14ac:dyDescent="0.2">
      <c r="A703" s="3"/>
      <c r="B703" s="3" t="str">
        <f ca="1">IF(A703="В заказ",MAX($B$9:OFFSET(B703,-1,0))+1,"")</f>
        <v/>
      </c>
      <c r="C703" s="6" t="str">
        <f t="shared" si="29"/>
        <v>Кромка 2,0 H1146 ST10  (75 м бухта).</v>
      </c>
      <c r="D703" s="67" t="s">
        <v>241</v>
      </c>
      <c r="E703" s="67" t="s">
        <v>34</v>
      </c>
      <c r="F703" s="67" t="s">
        <v>393</v>
      </c>
      <c r="G703" s="68">
        <v>12593</v>
      </c>
      <c r="H703" s="67" t="s">
        <v>330</v>
      </c>
      <c r="I703" s="200"/>
      <c r="J703" s="67" t="s">
        <v>51</v>
      </c>
      <c r="K703" s="67" t="s">
        <v>52</v>
      </c>
      <c r="L703" s="67" t="s">
        <v>38</v>
      </c>
      <c r="M703" s="67" t="s">
        <v>264</v>
      </c>
      <c r="N703" s="67" t="s">
        <v>259</v>
      </c>
      <c r="O703" s="67" t="s">
        <v>2116</v>
      </c>
      <c r="P703" s="67" t="s">
        <v>19</v>
      </c>
      <c r="Q703" s="192">
        <v>94.1</v>
      </c>
    </row>
    <row r="704" spans="1:17" ht="11.1" hidden="1" customHeight="1" x14ac:dyDescent="0.2">
      <c r="A704" s="3"/>
      <c r="B704" s="3" t="str">
        <f ca="1">IF(A704="В заказ",MAX($B$9:OFFSET(B704,-1,0))+1,"")</f>
        <v/>
      </c>
      <c r="C704" s="6" t="str">
        <f t="shared" si="29"/>
        <v>Кромка 2,0 H1146 ST10  (75 м бухта).</v>
      </c>
      <c r="D704" s="67" t="s">
        <v>241</v>
      </c>
      <c r="E704" s="67" t="s">
        <v>34</v>
      </c>
      <c r="F704" s="67" t="s">
        <v>394</v>
      </c>
      <c r="G704" s="68">
        <v>15539</v>
      </c>
      <c r="H704" s="67" t="s">
        <v>330</v>
      </c>
      <c r="I704" s="200"/>
      <c r="J704" s="67" t="s">
        <v>51</v>
      </c>
      <c r="K704" s="67" t="s">
        <v>52</v>
      </c>
      <c r="L704" s="67" t="s">
        <v>38</v>
      </c>
      <c r="M704" s="67" t="s">
        <v>270</v>
      </c>
      <c r="N704" s="67" t="s">
        <v>259</v>
      </c>
      <c r="O704" s="67" t="s">
        <v>2116</v>
      </c>
      <c r="P704" s="67" t="s">
        <v>19</v>
      </c>
      <c r="Q704" s="192">
        <v>127.6</v>
      </c>
    </row>
    <row r="705" spans="1:17" ht="11.1" hidden="1" customHeight="1" x14ac:dyDescent="0.2">
      <c r="A705" s="3"/>
      <c r="B705" s="3" t="str">
        <f ca="1">IF(A705="В заказ",MAX($B$9:OFFSET(B705,-1,0))+1,"")</f>
        <v/>
      </c>
      <c r="C705" s="6" t="str">
        <f t="shared" si="29"/>
        <v>Кромка 0,4 H1151 ST10  (200 м бухта).</v>
      </c>
      <c r="D705" s="67" t="s">
        <v>241</v>
      </c>
      <c r="E705" s="67" t="s">
        <v>34</v>
      </c>
      <c r="F705" s="67" t="s">
        <v>395</v>
      </c>
      <c r="G705" s="68">
        <v>3426</v>
      </c>
      <c r="H705" s="67" t="s">
        <v>330</v>
      </c>
      <c r="I705" s="200"/>
      <c r="J705" s="67" t="s">
        <v>396</v>
      </c>
      <c r="K705" s="67" t="s">
        <v>397</v>
      </c>
      <c r="L705" s="67" t="s">
        <v>38</v>
      </c>
      <c r="M705" s="67" t="s">
        <v>252</v>
      </c>
      <c r="N705" s="67" t="s">
        <v>253</v>
      </c>
      <c r="O705" s="67" t="s">
        <v>2117</v>
      </c>
      <c r="P705" s="67" t="s">
        <v>19</v>
      </c>
      <c r="Q705" s="192">
        <v>17.899999999999999</v>
      </c>
    </row>
    <row r="706" spans="1:17" ht="11.1" hidden="1" customHeight="1" x14ac:dyDescent="0.2">
      <c r="A706" s="3"/>
      <c r="B706" s="3" t="str">
        <f ca="1">IF(A706="В заказ",MAX($B$9:OFFSET(B706,-1,0))+1,"")</f>
        <v/>
      </c>
      <c r="C706" s="6" t="str">
        <f t="shared" si="29"/>
        <v>Кромка 0,4 H1151 ST10  (200 м бухта).</v>
      </c>
      <c r="D706" s="67" t="s">
        <v>241</v>
      </c>
      <c r="E706" s="67" t="s">
        <v>34</v>
      </c>
      <c r="F706" s="67" t="s">
        <v>398</v>
      </c>
      <c r="G706" s="68">
        <v>24819</v>
      </c>
      <c r="H706" s="67" t="s">
        <v>330</v>
      </c>
      <c r="I706" s="200"/>
      <c r="J706" s="67" t="s">
        <v>396</v>
      </c>
      <c r="K706" s="67" t="s">
        <v>397</v>
      </c>
      <c r="L706" s="67" t="s">
        <v>38</v>
      </c>
      <c r="M706" s="67" t="s">
        <v>244</v>
      </c>
      <c r="N706" s="67" t="s">
        <v>253</v>
      </c>
      <c r="O706" s="67" t="s">
        <v>2117</v>
      </c>
      <c r="P706" s="67" t="s">
        <v>19</v>
      </c>
      <c r="Q706" s="71">
        <v>22</v>
      </c>
    </row>
    <row r="707" spans="1:17" ht="11.1" hidden="1" customHeight="1" x14ac:dyDescent="0.2">
      <c r="A707" s="3"/>
      <c r="B707" s="3" t="str">
        <f ca="1">IF(A707="В заказ",MAX($B$9:OFFSET(B707,-1,0))+1,"")</f>
        <v/>
      </c>
      <c r="C707" s="6" t="str">
        <f t="shared" si="29"/>
        <v>Кромка 0,8 H1151 ST10  (75 м бухта).</v>
      </c>
      <c r="D707" s="67" t="s">
        <v>241</v>
      </c>
      <c r="E707" s="67" t="s">
        <v>34</v>
      </c>
      <c r="F707" s="67" t="s">
        <v>399</v>
      </c>
      <c r="G707" s="68">
        <v>14614</v>
      </c>
      <c r="H707" s="67" t="s">
        <v>330</v>
      </c>
      <c r="I707" s="200"/>
      <c r="J707" s="67" t="s">
        <v>396</v>
      </c>
      <c r="K707" s="67" t="s">
        <v>397</v>
      </c>
      <c r="L707" s="67" t="s">
        <v>38</v>
      </c>
      <c r="M707" s="67" t="s">
        <v>252</v>
      </c>
      <c r="N707" s="67" t="s">
        <v>10</v>
      </c>
      <c r="O707" s="67" t="s">
        <v>2116</v>
      </c>
      <c r="P707" s="67" t="s">
        <v>19</v>
      </c>
      <c r="Q707" s="71">
        <v>35</v>
      </c>
    </row>
    <row r="708" spans="1:17" ht="11.1" hidden="1" customHeight="1" x14ac:dyDescent="0.2">
      <c r="A708" s="3"/>
      <c r="B708" s="3" t="str">
        <f ca="1">IF(A708="В заказ",MAX($B$9:OFFSET(B708,-1,0))+1,"")</f>
        <v/>
      </c>
      <c r="C708" s="6" t="str">
        <f t="shared" si="29"/>
        <v>Кромка 0,8 H1151 ST10  (75 м бухта).</v>
      </c>
      <c r="D708" s="67" t="s">
        <v>241</v>
      </c>
      <c r="E708" s="67" t="s">
        <v>34</v>
      </c>
      <c r="F708" s="67" t="s">
        <v>400</v>
      </c>
      <c r="G708" s="68">
        <v>14712</v>
      </c>
      <c r="H708" s="67" t="s">
        <v>330</v>
      </c>
      <c r="I708" s="200"/>
      <c r="J708" s="67" t="s">
        <v>396</v>
      </c>
      <c r="K708" s="67" t="s">
        <v>397</v>
      </c>
      <c r="L708" s="67" t="s">
        <v>38</v>
      </c>
      <c r="M708" s="67" t="s">
        <v>244</v>
      </c>
      <c r="N708" s="67" t="s">
        <v>10</v>
      </c>
      <c r="O708" s="67" t="s">
        <v>2116</v>
      </c>
      <c r="P708" s="67" t="s">
        <v>19</v>
      </c>
      <c r="Q708" s="192">
        <v>42.3</v>
      </c>
    </row>
    <row r="709" spans="1:17" ht="11.1" hidden="1" customHeight="1" x14ac:dyDescent="0.2">
      <c r="A709" s="3"/>
      <c r="B709" s="3" t="str">
        <f ca="1">IF(A709="В заказ",MAX($B$9:OFFSET(B709,-1,0))+1,"")</f>
        <v/>
      </c>
      <c r="C709" s="6" t="str">
        <f t="shared" si="29"/>
        <v>Кромка 0,8 H1151 ST10  (75 м бухта).</v>
      </c>
      <c r="D709" s="67" t="s">
        <v>241</v>
      </c>
      <c r="E709" s="67" t="s">
        <v>34</v>
      </c>
      <c r="F709" s="67" t="s">
        <v>401</v>
      </c>
      <c r="G709" s="68">
        <v>16787</v>
      </c>
      <c r="H709" s="67" t="s">
        <v>330</v>
      </c>
      <c r="I709" s="200"/>
      <c r="J709" s="67" t="s">
        <v>396</v>
      </c>
      <c r="K709" s="67" t="s">
        <v>397</v>
      </c>
      <c r="L709" s="67" t="s">
        <v>38</v>
      </c>
      <c r="M709" s="67" t="s">
        <v>264</v>
      </c>
      <c r="N709" s="67" t="s">
        <v>10</v>
      </c>
      <c r="O709" s="67" t="s">
        <v>2116</v>
      </c>
      <c r="P709" s="67" t="s">
        <v>19</v>
      </c>
      <c r="Q709" s="192">
        <v>66.900000000000006</v>
      </c>
    </row>
    <row r="710" spans="1:17" ht="11.1" hidden="1" customHeight="1" x14ac:dyDescent="0.2">
      <c r="A710" s="3"/>
      <c r="B710" s="3" t="str">
        <f ca="1">IF(A710="В заказ",MAX($B$9:OFFSET(B710,-1,0))+1,"")</f>
        <v/>
      </c>
      <c r="C710" s="6" t="str">
        <f t="shared" si="29"/>
        <v>Кромка 2,0 H1151 ST10  (75 м бухта).</v>
      </c>
      <c r="D710" s="67" t="s">
        <v>241</v>
      </c>
      <c r="E710" s="67" t="s">
        <v>34</v>
      </c>
      <c r="F710" s="67" t="s">
        <v>402</v>
      </c>
      <c r="G710" s="68">
        <v>2274</v>
      </c>
      <c r="H710" s="67" t="s">
        <v>330</v>
      </c>
      <c r="I710" s="200"/>
      <c r="J710" s="67" t="s">
        <v>396</v>
      </c>
      <c r="K710" s="67" t="s">
        <v>397</v>
      </c>
      <c r="L710" s="67" t="s">
        <v>38</v>
      </c>
      <c r="M710" s="67" t="s">
        <v>252</v>
      </c>
      <c r="N710" s="67" t="s">
        <v>259</v>
      </c>
      <c r="O710" s="67" t="s">
        <v>2116</v>
      </c>
      <c r="P710" s="67" t="s">
        <v>19</v>
      </c>
      <c r="Q710" s="192">
        <v>62.6</v>
      </c>
    </row>
    <row r="711" spans="1:17" ht="11.1" hidden="1" customHeight="1" x14ac:dyDescent="0.2">
      <c r="A711" s="3"/>
      <c r="B711" s="3" t="str">
        <f ca="1">IF(A711="В заказ",MAX($B$9:OFFSET(B711,-1,0))+1,"")</f>
        <v/>
      </c>
      <c r="C711" s="6" t="str">
        <f t="shared" si="29"/>
        <v>Кромка 2,0 H1151 ST10 (75 м бухта).</v>
      </c>
      <c r="D711" s="67" t="s">
        <v>241</v>
      </c>
      <c r="E711" s="67" t="s">
        <v>34</v>
      </c>
      <c r="F711" s="67" t="s">
        <v>403</v>
      </c>
      <c r="G711" s="68">
        <v>23161</v>
      </c>
      <c r="H711" s="67" t="s">
        <v>330</v>
      </c>
      <c r="I711" s="200"/>
      <c r="J711" s="67" t="s">
        <v>396</v>
      </c>
      <c r="K711" s="67" t="s">
        <v>397</v>
      </c>
      <c r="L711" s="67" t="s">
        <v>38</v>
      </c>
      <c r="M711" s="67" t="s">
        <v>244</v>
      </c>
      <c r="N711" s="67" t="s">
        <v>259</v>
      </c>
      <c r="O711" s="67" t="s">
        <v>246</v>
      </c>
      <c r="P711" s="67" t="s">
        <v>19</v>
      </c>
      <c r="Q711" s="192">
        <v>65.5</v>
      </c>
    </row>
    <row r="712" spans="1:17" ht="11.1" hidden="1" customHeight="1" x14ac:dyDescent="0.2">
      <c r="A712" s="3"/>
      <c r="B712" s="3" t="str">
        <f ca="1">IF(A712="В заказ",MAX($B$9:OFFSET(B712,-1,0))+1,"")</f>
        <v/>
      </c>
      <c r="C712" s="6" t="str">
        <f t="shared" si="29"/>
        <v>Кромка 2,0 H1151 ST10  (75 м бухта).</v>
      </c>
      <c r="D712" s="67" t="s">
        <v>241</v>
      </c>
      <c r="E712" s="67" t="s">
        <v>34</v>
      </c>
      <c r="F712" s="67" t="s">
        <v>404</v>
      </c>
      <c r="G712" s="68">
        <v>3501</v>
      </c>
      <c r="H712" s="67" t="s">
        <v>330</v>
      </c>
      <c r="I712" s="200"/>
      <c r="J712" s="67" t="s">
        <v>396</v>
      </c>
      <c r="K712" s="67" t="s">
        <v>397</v>
      </c>
      <c r="L712" s="67" t="s">
        <v>38</v>
      </c>
      <c r="M712" s="67" t="s">
        <v>264</v>
      </c>
      <c r="N712" s="67" t="s">
        <v>259</v>
      </c>
      <c r="O712" s="67" t="s">
        <v>2116</v>
      </c>
      <c r="P712" s="67" t="s">
        <v>19</v>
      </c>
      <c r="Q712" s="192">
        <v>94.1</v>
      </c>
    </row>
    <row r="713" spans="1:17" ht="11.1" hidden="1" customHeight="1" x14ac:dyDescent="0.2">
      <c r="A713" s="3"/>
      <c r="B713" s="3" t="str">
        <f ca="1">IF(A713="В заказ",MAX($B$9:OFFSET(B713,-1,0))+1,"")</f>
        <v/>
      </c>
      <c r="C713" s="6" t="str">
        <f t="shared" si="29"/>
        <v>Кромка 2,0 H1151 ST10  (75 м бухта).</v>
      </c>
      <c r="D713" s="67" t="s">
        <v>241</v>
      </c>
      <c r="E713" s="67" t="s">
        <v>34</v>
      </c>
      <c r="F713" s="67" t="s">
        <v>405</v>
      </c>
      <c r="G713" s="68">
        <v>8887</v>
      </c>
      <c r="H713" s="67" t="s">
        <v>330</v>
      </c>
      <c r="I713" s="200"/>
      <c r="J713" s="67" t="s">
        <v>396</v>
      </c>
      <c r="K713" s="67" t="s">
        <v>397</v>
      </c>
      <c r="L713" s="67" t="s">
        <v>38</v>
      </c>
      <c r="M713" s="67" t="s">
        <v>270</v>
      </c>
      <c r="N713" s="67" t="s">
        <v>259</v>
      </c>
      <c r="O713" s="67" t="s">
        <v>2116</v>
      </c>
      <c r="P713" s="67" t="s">
        <v>19</v>
      </c>
      <c r="Q713" s="192">
        <v>127.6</v>
      </c>
    </row>
    <row r="714" spans="1:17" ht="11.1" hidden="1" customHeight="1" x14ac:dyDescent="0.2">
      <c r="A714" s="3"/>
      <c r="B714" s="3" t="str">
        <f ca="1">IF(A714="В заказ",MAX($B$9:OFFSET(B714,-1,0))+1,"")</f>
        <v/>
      </c>
      <c r="C714" s="6" t="str">
        <f t="shared" si="29"/>
        <v>Кромка 0,4 H1176 ST37  (200 м бухта).</v>
      </c>
      <c r="D714" s="67" t="s">
        <v>241</v>
      </c>
      <c r="E714" s="67" t="s">
        <v>34</v>
      </c>
      <c r="F714" s="67" t="s">
        <v>406</v>
      </c>
      <c r="G714" s="68">
        <v>13114</v>
      </c>
      <c r="H714" s="67" t="s">
        <v>330</v>
      </c>
      <c r="I714" s="200"/>
      <c r="J714" s="67" t="s">
        <v>53</v>
      </c>
      <c r="K714" s="67" t="s">
        <v>54</v>
      </c>
      <c r="L714" s="67" t="s">
        <v>55</v>
      </c>
      <c r="M714" s="67" t="s">
        <v>252</v>
      </c>
      <c r="N714" s="67" t="s">
        <v>253</v>
      </c>
      <c r="O714" s="67" t="s">
        <v>2117</v>
      </c>
      <c r="P714" s="67" t="s">
        <v>19</v>
      </c>
      <c r="Q714" s="192">
        <v>17.899999999999999</v>
      </c>
    </row>
    <row r="715" spans="1:17" ht="11.1" hidden="1" customHeight="1" x14ac:dyDescent="0.2">
      <c r="A715" s="3"/>
      <c r="B715" s="3" t="str">
        <f ca="1">IF(A715="В заказ",MAX($B$9:OFFSET(B715,-1,0))+1,"")</f>
        <v/>
      </c>
      <c r="C715" s="6" t="str">
        <f t="shared" si="29"/>
        <v>Кромка 0,4 H1176 ST37  (200 м бухта).</v>
      </c>
      <c r="D715" s="67" t="s">
        <v>241</v>
      </c>
      <c r="E715" s="67" t="s">
        <v>34</v>
      </c>
      <c r="F715" s="67" t="s">
        <v>407</v>
      </c>
      <c r="G715" s="68">
        <v>24551</v>
      </c>
      <c r="H715" s="67" t="s">
        <v>330</v>
      </c>
      <c r="I715" s="200"/>
      <c r="J715" s="67" t="s">
        <v>53</v>
      </c>
      <c r="K715" s="67" t="s">
        <v>54</v>
      </c>
      <c r="L715" s="67" t="s">
        <v>55</v>
      </c>
      <c r="M715" s="67" t="s">
        <v>244</v>
      </c>
      <c r="N715" s="67" t="s">
        <v>253</v>
      </c>
      <c r="O715" s="67" t="s">
        <v>2117</v>
      </c>
      <c r="P715" s="67" t="s">
        <v>19</v>
      </c>
      <c r="Q715" s="71">
        <v>22</v>
      </c>
    </row>
    <row r="716" spans="1:17" ht="11.1" hidden="1" customHeight="1" x14ac:dyDescent="0.2">
      <c r="A716" s="3"/>
      <c r="B716" s="3" t="str">
        <f ca="1">IF(A716="В заказ",MAX($B$9:OFFSET(B716,-1,0))+1,"")</f>
        <v/>
      </c>
      <c r="C716" s="6" t="str">
        <f t="shared" si="29"/>
        <v>Кромка 0,4 H1176 ST37  (200 м бухта).</v>
      </c>
      <c r="D716" s="67" t="s">
        <v>241</v>
      </c>
      <c r="E716" s="67" t="s">
        <v>34</v>
      </c>
      <c r="F716" s="67" t="s">
        <v>408</v>
      </c>
      <c r="G716" s="68">
        <v>14353</v>
      </c>
      <c r="H716" s="67" t="s">
        <v>330</v>
      </c>
      <c r="I716" s="200"/>
      <c r="J716" s="67" t="s">
        <v>53</v>
      </c>
      <c r="K716" s="67" t="s">
        <v>54</v>
      </c>
      <c r="L716" s="67" t="s">
        <v>55</v>
      </c>
      <c r="M716" s="67" t="s">
        <v>264</v>
      </c>
      <c r="N716" s="67" t="s">
        <v>253</v>
      </c>
      <c r="O716" s="67" t="s">
        <v>2117</v>
      </c>
      <c r="P716" s="67" t="s">
        <v>19</v>
      </c>
      <c r="Q716" s="192">
        <v>28.9</v>
      </c>
    </row>
    <row r="717" spans="1:17" ht="11.1" hidden="1" customHeight="1" x14ac:dyDescent="0.2">
      <c r="A717" s="3"/>
      <c r="B717" s="3" t="str">
        <f ca="1">IF(A717="В заказ",MAX($B$9:OFFSET(B717,-1,0))+1,"")</f>
        <v/>
      </c>
      <c r="C717" s="6" t="str">
        <f t="shared" si="29"/>
        <v>Кромка 0,8 H1176 ST37  (75 м бухта).</v>
      </c>
      <c r="D717" s="67" t="s">
        <v>241</v>
      </c>
      <c r="E717" s="67" t="s">
        <v>34</v>
      </c>
      <c r="F717" s="67" t="s">
        <v>409</v>
      </c>
      <c r="G717" s="68">
        <v>14002</v>
      </c>
      <c r="H717" s="67" t="s">
        <v>330</v>
      </c>
      <c r="I717" s="200"/>
      <c r="J717" s="67" t="s">
        <v>53</v>
      </c>
      <c r="K717" s="67" t="s">
        <v>54</v>
      </c>
      <c r="L717" s="67" t="s">
        <v>55</v>
      </c>
      <c r="M717" s="67" t="s">
        <v>252</v>
      </c>
      <c r="N717" s="67" t="s">
        <v>10</v>
      </c>
      <c r="O717" s="67" t="s">
        <v>2116</v>
      </c>
      <c r="P717" s="67" t="s">
        <v>19</v>
      </c>
      <c r="Q717" s="71">
        <v>35</v>
      </c>
    </row>
    <row r="718" spans="1:17" ht="11.1" hidden="1" customHeight="1" x14ac:dyDescent="0.2">
      <c r="A718" s="3"/>
      <c r="B718" s="3" t="str">
        <f ca="1">IF(A718="В заказ",MAX($B$9:OFFSET(B718,-1,0))+1,"")</f>
        <v/>
      </c>
      <c r="C718" s="6" t="str">
        <f t="shared" si="29"/>
        <v>Кромка 0,8 H1176 ST37  (75 м бухта).</v>
      </c>
      <c r="D718" s="67" t="s">
        <v>241</v>
      </c>
      <c r="E718" s="67" t="s">
        <v>34</v>
      </c>
      <c r="F718" s="67" t="s">
        <v>410</v>
      </c>
      <c r="G718" s="68">
        <v>17570</v>
      </c>
      <c r="H718" s="67" t="s">
        <v>330</v>
      </c>
      <c r="I718" s="200"/>
      <c r="J718" s="67" t="s">
        <v>53</v>
      </c>
      <c r="K718" s="67" t="s">
        <v>54</v>
      </c>
      <c r="L718" s="67" t="s">
        <v>55</v>
      </c>
      <c r="M718" s="67" t="s">
        <v>244</v>
      </c>
      <c r="N718" s="67" t="s">
        <v>10</v>
      </c>
      <c r="O718" s="67" t="s">
        <v>2116</v>
      </c>
      <c r="P718" s="67" t="s">
        <v>19</v>
      </c>
      <c r="Q718" s="192">
        <v>42.3</v>
      </c>
    </row>
    <row r="719" spans="1:17" ht="11.1" hidden="1" customHeight="1" x14ac:dyDescent="0.2">
      <c r="A719" s="3"/>
      <c r="B719" s="3" t="str">
        <f ca="1">IF(A719="В заказ",MAX($B$9:OFFSET(B719,-1,0))+1,"")</f>
        <v/>
      </c>
      <c r="C719" s="6" t="str">
        <f t="shared" si="29"/>
        <v>Кромка 0,8 H1176 ST37  (75 м бухта).</v>
      </c>
      <c r="D719" s="67" t="s">
        <v>241</v>
      </c>
      <c r="E719" s="67" t="s">
        <v>34</v>
      </c>
      <c r="F719" s="67" t="s">
        <v>411</v>
      </c>
      <c r="G719" s="68">
        <v>16788</v>
      </c>
      <c r="H719" s="67" t="s">
        <v>330</v>
      </c>
      <c r="I719" s="200"/>
      <c r="J719" s="67" t="s">
        <v>53</v>
      </c>
      <c r="K719" s="67" t="s">
        <v>54</v>
      </c>
      <c r="L719" s="67" t="s">
        <v>55</v>
      </c>
      <c r="M719" s="67" t="s">
        <v>264</v>
      </c>
      <c r="N719" s="67" t="s">
        <v>10</v>
      </c>
      <c r="O719" s="67" t="s">
        <v>2116</v>
      </c>
      <c r="P719" s="67" t="s">
        <v>19</v>
      </c>
      <c r="Q719" s="192">
        <v>66.900000000000006</v>
      </c>
    </row>
    <row r="720" spans="1:17" ht="11.1" hidden="1" customHeight="1" x14ac:dyDescent="0.2">
      <c r="A720" s="3"/>
      <c r="B720" s="3" t="str">
        <f ca="1">IF(A720="В заказ",MAX($B$9:OFFSET(B720,-1,0))+1,"")</f>
        <v/>
      </c>
      <c r="C720" s="6" t="str">
        <f t="shared" si="29"/>
        <v>Кромка 2,0 H1176 ST37  (75 м бухта).</v>
      </c>
      <c r="D720" s="67" t="s">
        <v>241</v>
      </c>
      <c r="E720" s="67" t="s">
        <v>34</v>
      </c>
      <c r="F720" s="67" t="s">
        <v>412</v>
      </c>
      <c r="G720" s="68">
        <v>13112</v>
      </c>
      <c r="H720" s="67" t="s">
        <v>330</v>
      </c>
      <c r="I720" s="200"/>
      <c r="J720" s="67" t="s">
        <v>53</v>
      </c>
      <c r="K720" s="67" t="s">
        <v>54</v>
      </c>
      <c r="L720" s="67" t="s">
        <v>55</v>
      </c>
      <c r="M720" s="67" t="s">
        <v>252</v>
      </c>
      <c r="N720" s="67" t="s">
        <v>259</v>
      </c>
      <c r="O720" s="67" t="s">
        <v>2116</v>
      </c>
      <c r="P720" s="67" t="s">
        <v>19</v>
      </c>
      <c r="Q720" s="192">
        <v>62.6</v>
      </c>
    </row>
    <row r="721" spans="1:17" ht="11.1" hidden="1" customHeight="1" x14ac:dyDescent="0.2">
      <c r="A721" s="3"/>
      <c r="B721" s="3" t="str">
        <f ca="1">IF(A721="В заказ",MAX($B$9:OFFSET(B721,-1,0))+1,"")</f>
        <v/>
      </c>
      <c r="C721" s="6" t="str">
        <f t="shared" si="29"/>
        <v>Кромка 2,0 H1176 ST37  (75 м бухта).</v>
      </c>
      <c r="D721" s="67" t="s">
        <v>241</v>
      </c>
      <c r="E721" s="67" t="s">
        <v>34</v>
      </c>
      <c r="F721" s="67" t="s">
        <v>413</v>
      </c>
      <c r="G721" s="68">
        <v>13984</v>
      </c>
      <c r="H721" s="67" t="s">
        <v>330</v>
      </c>
      <c r="I721" s="200"/>
      <c r="J721" s="67" t="s">
        <v>53</v>
      </c>
      <c r="K721" s="67" t="s">
        <v>54</v>
      </c>
      <c r="L721" s="67" t="s">
        <v>55</v>
      </c>
      <c r="M721" s="67" t="s">
        <v>244</v>
      </c>
      <c r="N721" s="67" t="s">
        <v>259</v>
      </c>
      <c r="O721" s="67" t="s">
        <v>2116</v>
      </c>
      <c r="P721" s="67" t="s">
        <v>19</v>
      </c>
      <c r="Q721" s="192">
        <v>65.5</v>
      </c>
    </row>
    <row r="722" spans="1:17" ht="11.1" hidden="1" customHeight="1" x14ac:dyDescent="0.2">
      <c r="A722" s="3"/>
      <c r="B722" s="3" t="str">
        <f ca="1">IF(A722="В заказ",MAX($B$9:OFFSET(B722,-1,0))+1,"")</f>
        <v/>
      </c>
      <c r="C722" s="6" t="str">
        <f t="shared" si="29"/>
        <v>Кромка 2,0 H1176 ST37  (75 м бухта).</v>
      </c>
      <c r="D722" s="67" t="s">
        <v>241</v>
      </c>
      <c r="E722" s="67" t="s">
        <v>34</v>
      </c>
      <c r="F722" s="67" t="s">
        <v>414</v>
      </c>
      <c r="G722" s="68">
        <v>14354</v>
      </c>
      <c r="H722" s="67" t="s">
        <v>330</v>
      </c>
      <c r="I722" s="200"/>
      <c r="J722" s="67" t="s">
        <v>53</v>
      </c>
      <c r="K722" s="67" t="s">
        <v>54</v>
      </c>
      <c r="L722" s="67" t="s">
        <v>55</v>
      </c>
      <c r="M722" s="67" t="s">
        <v>264</v>
      </c>
      <c r="N722" s="67" t="s">
        <v>259</v>
      </c>
      <c r="O722" s="67" t="s">
        <v>2116</v>
      </c>
      <c r="P722" s="67" t="s">
        <v>19</v>
      </c>
      <c r="Q722" s="192">
        <v>94.1</v>
      </c>
    </row>
    <row r="723" spans="1:17" ht="11.1" hidden="1" customHeight="1" x14ac:dyDescent="0.2">
      <c r="A723" s="3"/>
      <c r="B723" s="3" t="str">
        <f ca="1">IF(A723="В заказ",MAX($B$9:OFFSET(B723,-1,0))+1,"")</f>
        <v/>
      </c>
      <c r="C723" s="6" t="str">
        <f t="shared" si="29"/>
        <v>Кромка 2,0 H1176 ST37  (75 м бухта).</v>
      </c>
      <c r="D723" s="67" t="s">
        <v>241</v>
      </c>
      <c r="E723" s="67" t="s">
        <v>34</v>
      </c>
      <c r="F723" s="67" t="s">
        <v>415</v>
      </c>
      <c r="G723" s="68">
        <v>13713</v>
      </c>
      <c r="H723" s="67" t="s">
        <v>330</v>
      </c>
      <c r="I723" s="200"/>
      <c r="J723" s="67" t="s">
        <v>53</v>
      </c>
      <c r="K723" s="67" t="s">
        <v>54</v>
      </c>
      <c r="L723" s="67" t="s">
        <v>55</v>
      </c>
      <c r="M723" s="67" t="s">
        <v>270</v>
      </c>
      <c r="N723" s="67" t="s">
        <v>259</v>
      </c>
      <c r="O723" s="67" t="s">
        <v>2116</v>
      </c>
      <c r="P723" s="67" t="s">
        <v>19</v>
      </c>
      <c r="Q723" s="192">
        <v>127.6</v>
      </c>
    </row>
    <row r="724" spans="1:17" ht="11.1" hidden="1" customHeight="1" x14ac:dyDescent="0.2">
      <c r="A724" s="3"/>
      <c r="B724" s="3" t="str">
        <f ca="1">IF(A724="В заказ",MAX($B$9:OFFSET(B724,-1,0))+1,"")</f>
        <v/>
      </c>
      <c r="C724" s="6" t="str">
        <f t="shared" si="29"/>
        <v>Кромка 0,4 H1180 ST37  (200 м бухта).</v>
      </c>
      <c r="D724" s="67" t="s">
        <v>241</v>
      </c>
      <c r="E724" s="67" t="s">
        <v>34</v>
      </c>
      <c r="F724" s="67" t="s">
        <v>416</v>
      </c>
      <c r="G724" s="68">
        <v>12489</v>
      </c>
      <c r="H724" s="67" t="s">
        <v>330</v>
      </c>
      <c r="I724" s="200"/>
      <c r="J724" s="67" t="s">
        <v>56</v>
      </c>
      <c r="K724" s="67" t="s">
        <v>57</v>
      </c>
      <c r="L724" s="67" t="s">
        <v>55</v>
      </c>
      <c r="M724" s="67" t="s">
        <v>252</v>
      </c>
      <c r="N724" s="67" t="s">
        <v>253</v>
      </c>
      <c r="O724" s="67" t="s">
        <v>2117</v>
      </c>
      <c r="P724" s="67" t="s">
        <v>19</v>
      </c>
      <c r="Q724" s="192">
        <v>17.899999999999999</v>
      </c>
    </row>
    <row r="725" spans="1:17" ht="11.1" hidden="1" customHeight="1" x14ac:dyDescent="0.2">
      <c r="A725" s="3"/>
      <c r="B725" s="3" t="str">
        <f ca="1">IF(A725="В заказ",MAX($B$9:OFFSET(B725,-1,0))+1,"")</f>
        <v/>
      </c>
      <c r="C725" s="6" t="str">
        <f t="shared" si="29"/>
        <v>Кромка 0,4 H1180 ST37  (200 м бухта).</v>
      </c>
      <c r="D725" s="67" t="s">
        <v>241</v>
      </c>
      <c r="E725" s="67" t="s">
        <v>34</v>
      </c>
      <c r="F725" s="67" t="s">
        <v>417</v>
      </c>
      <c r="G725" s="68">
        <v>24566</v>
      </c>
      <c r="H725" s="67" t="s">
        <v>330</v>
      </c>
      <c r="I725" s="200"/>
      <c r="J725" s="67" t="s">
        <v>56</v>
      </c>
      <c r="K725" s="67" t="s">
        <v>57</v>
      </c>
      <c r="L725" s="67" t="s">
        <v>55</v>
      </c>
      <c r="M725" s="67" t="s">
        <v>244</v>
      </c>
      <c r="N725" s="67" t="s">
        <v>253</v>
      </c>
      <c r="O725" s="67" t="s">
        <v>2117</v>
      </c>
      <c r="P725" s="67" t="s">
        <v>19</v>
      </c>
      <c r="Q725" s="71">
        <v>22</v>
      </c>
    </row>
    <row r="726" spans="1:17" ht="11.1" hidden="1" customHeight="1" x14ac:dyDescent="0.2">
      <c r="A726" s="3"/>
      <c r="B726" s="3" t="str">
        <f ca="1">IF(A726="В заказ",MAX($B$9:OFFSET(B726,-1,0))+1,"")</f>
        <v/>
      </c>
      <c r="C726" s="6" t="str">
        <f t="shared" si="29"/>
        <v>Кромка 0,4 H1180 ST37  (200 м бухта).</v>
      </c>
      <c r="D726" s="67" t="s">
        <v>241</v>
      </c>
      <c r="E726" s="67" t="s">
        <v>34</v>
      </c>
      <c r="F726" s="67" t="s">
        <v>418</v>
      </c>
      <c r="G726" s="68">
        <v>14427</v>
      </c>
      <c r="H726" s="67" t="s">
        <v>330</v>
      </c>
      <c r="I726" s="200"/>
      <c r="J726" s="67" t="s">
        <v>56</v>
      </c>
      <c r="K726" s="67" t="s">
        <v>57</v>
      </c>
      <c r="L726" s="67" t="s">
        <v>55</v>
      </c>
      <c r="M726" s="67" t="s">
        <v>264</v>
      </c>
      <c r="N726" s="67" t="s">
        <v>253</v>
      </c>
      <c r="O726" s="67" t="s">
        <v>2117</v>
      </c>
      <c r="P726" s="67" t="s">
        <v>19</v>
      </c>
      <c r="Q726" s="192">
        <v>28.9</v>
      </c>
    </row>
    <row r="727" spans="1:17" ht="11.1" hidden="1" customHeight="1" x14ac:dyDescent="0.2">
      <c r="A727" s="3"/>
      <c r="B727" s="3" t="str">
        <f ca="1">IF(A727="В заказ",MAX($B$9:OFFSET(B727,-1,0))+1,"")</f>
        <v/>
      </c>
      <c r="C727" s="6" t="str">
        <f t="shared" si="29"/>
        <v>Кромка 0,8 H1180 ST37  (75 м бухта).</v>
      </c>
      <c r="D727" s="67" t="s">
        <v>241</v>
      </c>
      <c r="E727" s="67" t="s">
        <v>34</v>
      </c>
      <c r="F727" s="67" t="s">
        <v>419</v>
      </c>
      <c r="G727" s="68">
        <v>13887</v>
      </c>
      <c r="H727" s="67" t="s">
        <v>330</v>
      </c>
      <c r="I727" s="200"/>
      <c r="J727" s="67" t="s">
        <v>56</v>
      </c>
      <c r="K727" s="67" t="s">
        <v>57</v>
      </c>
      <c r="L727" s="67" t="s">
        <v>55</v>
      </c>
      <c r="M727" s="67" t="s">
        <v>252</v>
      </c>
      <c r="N727" s="67" t="s">
        <v>10</v>
      </c>
      <c r="O727" s="67" t="s">
        <v>2116</v>
      </c>
      <c r="P727" s="67" t="s">
        <v>19</v>
      </c>
      <c r="Q727" s="71">
        <v>35</v>
      </c>
    </row>
    <row r="728" spans="1:17" ht="11.1" hidden="1" customHeight="1" x14ac:dyDescent="0.2">
      <c r="A728" s="3"/>
      <c r="B728" s="3" t="str">
        <f ca="1">IF(A728="В заказ",MAX($B$9:OFFSET(B728,-1,0))+1,"")</f>
        <v/>
      </c>
      <c r="C728" s="6" t="str">
        <f t="shared" si="29"/>
        <v>Кромка 0,8 H1180 ST37  (75 м бухта).</v>
      </c>
      <c r="D728" s="67" t="s">
        <v>241</v>
      </c>
      <c r="E728" s="67" t="s">
        <v>34</v>
      </c>
      <c r="F728" s="67" t="s">
        <v>420</v>
      </c>
      <c r="G728" s="68">
        <v>16673</v>
      </c>
      <c r="H728" s="67" t="s">
        <v>330</v>
      </c>
      <c r="I728" s="200"/>
      <c r="J728" s="67" t="s">
        <v>56</v>
      </c>
      <c r="K728" s="67" t="s">
        <v>57</v>
      </c>
      <c r="L728" s="67" t="s">
        <v>55</v>
      </c>
      <c r="M728" s="67" t="s">
        <v>244</v>
      </c>
      <c r="N728" s="67" t="s">
        <v>10</v>
      </c>
      <c r="O728" s="67" t="s">
        <v>2116</v>
      </c>
      <c r="P728" s="67" t="s">
        <v>19</v>
      </c>
      <c r="Q728" s="192">
        <v>42.3</v>
      </c>
    </row>
    <row r="729" spans="1:17" ht="11.1" hidden="1" customHeight="1" x14ac:dyDescent="0.2">
      <c r="A729" s="3"/>
      <c r="B729" s="3" t="str">
        <f ca="1">IF(A729="В заказ",MAX($B$9:OFFSET(B729,-1,0))+1,"")</f>
        <v/>
      </c>
      <c r="C729" s="6" t="str">
        <f t="shared" si="29"/>
        <v>Кромка 0,8 H1180 ST37  (75 м бухта).</v>
      </c>
      <c r="D729" s="67" t="s">
        <v>241</v>
      </c>
      <c r="E729" s="67" t="s">
        <v>34</v>
      </c>
      <c r="F729" s="67" t="s">
        <v>421</v>
      </c>
      <c r="G729" s="68">
        <v>13970</v>
      </c>
      <c r="H729" s="67" t="s">
        <v>330</v>
      </c>
      <c r="I729" s="200"/>
      <c r="J729" s="67" t="s">
        <v>56</v>
      </c>
      <c r="K729" s="67" t="s">
        <v>57</v>
      </c>
      <c r="L729" s="67" t="s">
        <v>55</v>
      </c>
      <c r="M729" s="67" t="s">
        <v>264</v>
      </c>
      <c r="N729" s="67" t="s">
        <v>10</v>
      </c>
      <c r="O729" s="67" t="s">
        <v>2116</v>
      </c>
      <c r="P729" s="67" t="s">
        <v>19</v>
      </c>
      <c r="Q729" s="192">
        <v>66.900000000000006</v>
      </c>
    </row>
    <row r="730" spans="1:17" ht="11.1" hidden="1" customHeight="1" x14ac:dyDescent="0.2">
      <c r="A730" s="3"/>
      <c r="B730" s="3" t="str">
        <f ca="1">IF(A730="В заказ",MAX($B$9:OFFSET(B730,-1,0))+1,"")</f>
        <v/>
      </c>
      <c r="C730" s="6" t="str">
        <f t="shared" si="29"/>
        <v>Кромка 0,8 H1180 ST37  (75 м бухта).</v>
      </c>
      <c r="D730" s="67" t="s">
        <v>241</v>
      </c>
      <c r="E730" s="67" t="s">
        <v>34</v>
      </c>
      <c r="F730" s="67" t="s">
        <v>422</v>
      </c>
      <c r="G730" s="68">
        <v>16152</v>
      </c>
      <c r="H730" s="67" t="s">
        <v>330</v>
      </c>
      <c r="I730" s="200"/>
      <c r="J730" s="67" t="s">
        <v>56</v>
      </c>
      <c r="K730" s="67" t="s">
        <v>57</v>
      </c>
      <c r="L730" s="67" t="s">
        <v>55</v>
      </c>
      <c r="M730" s="67" t="s">
        <v>270</v>
      </c>
      <c r="N730" s="67" t="s">
        <v>10</v>
      </c>
      <c r="O730" s="67" t="s">
        <v>2116</v>
      </c>
      <c r="P730" s="67" t="s">
        <v>19</v>
      </c>
      <c r="Q730" s="192">
        <v>94.7</v>
      </c>
    </row>
    <row r="731" spans="1:17" ht="11.1" hidden="1" customHeight="1" x14ac:dyDescent="0.2">
      <c r="A731" s="3"/>
      <c r="B731" s="3" t="str">
        <f ca="1">IF(A731="В заказ",MAX($B$9:OFFSET(B731,-1,0))+1,"")</f>
        <v/>
      </c>
      <c r="C731" s="6" t="str">
        <f t="shared" si="29"/>
        <v>Кромка 2,0 H1180 ST37  (75 м бухта).</v>
      </c>
      <c r="D731" s="67" t="s">
        <v>241</v>
      </c>
      <c r="E731" s="67" t="s">
        <v>34</v>
      </c>
      <c r="F731" s="67" t="s">
        <v>423</v>
      </c>
      <c r="G731" s="68">
        <v>12493</v>
      </c>
      <c r="H731" s="67" t="s">
        <v>330</v>
      </c>
      <c r="I731" s="200"/>
      <c r="J731" s="67" t="s">
        <v>56</v>
      </c>
      <c r="K731" s="67" t="s">
        <v>57</v>
      </c>
      <c r="L731" s="67" t="s">
        <v>55</v>
      </c>
      <c r="M731" s="67" t="s">
        <v>252</v>
      </c>
      <c r="N731" s="67" t="s">
        <v>259</v>
      </c>
      <c r="O731" s="67" t="s">
        <v>2116</v>
      </c>
      <c r="P731" s="67" t="s">
        <v>19</v>
      </c>
      <c r="Q731" s="192">
        <v>62.6</v>
      </c>
    </row>
    <row r="732" spans="1:17" ht="11.1" hidden="1" customHeight="1" x14ac:dyDescent="0.2">
      <c r="A732" s="3"/>
      <c r="B732" s="3" t="str">
        <f ca="1">IF(A732="В заказ",MAX($B$9:OFFSET(B732,-1,0))+1,"")</f>
        <v/>
      </c>
      <c r="C732" s="6" t="str">
        <f t="shared" si="29"/>
        <v>Кромка 2,0 H1180 ST37  (75 м бухта).</v>
      </c>
      <c r="D732" s="67" t="s">
        <v>241</v>
      </c>
      <c r="E732" s="67" t="s">
        <v>34</v>
      </c>
      <c r="F732" s="67" t="s">
        <v>424</v>
      </c>
      <c r="G732" s="68">
        <v>13886</v>
      </c>
      <c r="H732" s="67" t="s">
        <v>330</v>
      </c>
      <c r="I732" s="200"/>
      <c r="J732" s="67" t="s">
        <v>56</v>
      </c>
      <c r="K732" s="67" t="s">
        <v>57</v>
      </c>
      <c r="L732" s="67" t="s">
        <v>55</v>
      </c>
      <c r="M732" s="67" t="s">
        <v>244</v>
      </c>
      <c r="N732" s="67" t="s">
        <v>259</v>
      </c>
      <c r="O732" s="67" t="s">
        <v>2116</v>
      </c>
      <c r="P732" s="67" t="s">
        <v>19</v>
      </c>
      <c r="Q732" s="192">
        <v>65.5</v>
      </c>
    </row>
    <row r="733" spans="1:17" ht="11.1" hidden="1" customHeight="1" x14ac:dyDescent="0.2">
      <c r="A733" s="3"/>
      <c r="B733" s="3" t="str">
        <f ca="1">IF(A733="В заказ",MAX($B$9:OFFSET(B733,-1,0))+1,"")</f>
        <v/>
      </c>
      <c r="C733" s="6" t="str">
        <f t="shared" si="29"/>
        <v>Кромка 2,0 H1180 ST37  (75 м бухта).</v>
      </c>
      <c r="D733" s="67" t="s">
        <v>241</v>
      </c>
      <c r="E733" s="67" t="s">
        <v>34</v>
      </c>
      <c r="F733" s="67" t="s">
        <v>425</v>
      </c>
      <c r="G733" s="68">
        <v>14415</v>
      </c>
      <c r="H733" s="67" t="s">
        <v>330</v>
      </c>
      <c r="I733" s="200"/>
      <c r="J733" s="67" t="s">
        <v>56</v>
      </c>
      <c r="K733" s="67" t="s">
        <v>57</v>
      </c>
      <c r="L733" s="67" t="s">
        <v>55</v>
      </c>
      <c r="M733" s="67" t="s">
        <v>264</v>
      </c>
      <c r="N733" s="67" t="s">
        <v>259</v>
      </c>
      <c r="O733" s="67" t="s">
        <v>2116</v>
      </c>
      <c r="P733" s="67" t="s">
        <v>19</v>
      </c>
      <c r="Q733" s="192">
        <v>94.1</v>
      </c>
    </row>
    <row r="734" spans="1:17" ht="11.1" hidden="1" customHeight="1" x14ac:dyDescent="0.2">
      <c r="A734" s="3"/>
      <c r="B734" s="3" t="str">
        <f ca="1">IF(A734="В заказ",MAX($B$9:OFFSET(B734,-1,0))+1,"")</f>
        <v/>
      </c>
      <c r="C734" s="6" t="str">
        <f t="shared" si="29"/>
        <v>Кромка 2,0 H1180 ST37  (75 м бухта).</v>
      </c>
      <c r="D734" s="67" t="s">
        <v>241</v>
      </c>
      <c r="E734" s="67" t="s">
        <v>34</v>
      </c>
      <c r="F734" s="67" t="s">
        <v>426</v>
      </c>
      <c r="G734" s="68">
        <v>13884</v>
      </c>
      <c r="H734" s="67" t="s">
        <v>330</v>
      </c>
      <c r="I734" s="200"/>
      <c r="J734" s="67" t="s">
        <v>56</v>
      </c>
      <c r="K734" s="67" t="s">
        <v>57</v>
      </c>
      <c r="L734" s="67" t="s">
        <v>55</v>
      </c>
      <c r="M734" s="67" t="s">
        <v>270</v>
      </c>
      <c r="N734" s="67" t="s">
        <v>259</v>
      </c>
      <c r="O734" s="67" t="s">
        <v>2116</v>
      </c>
      <c r="P734" s="67" t="s">
        <v>19</v>
      </c>
      <c r="Q734" s="192">
        <v>127.6</v>
      </c>
    </row>
    <row r="735" spans="1:17" ht="11.1" hidden="1" customHeight="1" x14ac:dyDescent="0.2">
      <c r="A735" s="3"/>
      <c r="B735" s="3" t="str">
        <f ca="1">IF(A735="В заказ",MAX($B$9:OFFSET(B735,-1,0))+1,"")</f>
        <v/>
      </c>
      <c r="C735" s="6" t="str">
        <f t="shared" si="29"/>
        <v>Кромка 2,0 H1180 ST37  (75 м бухта).</v>
      </c>
      <c r="D735" s="67" t="s">
        <v>241</v>
      </c>
      <c r="E735" s="67" t="s">
        <v>34</v>
      </c>
      <c r="F735" s="67" t="s">
        <v>427</v>
      </c>
      <c r="G735" s="68">
        <v>21491</v>
      </c>
      <c r="H735" s="67" t="s">
        <v>330</v>
      </c>
      <c r="I735" s="200"/>
      <c r="J735" s="67" t="s">
        <v>56</v>
      </c>
      <c r="K735" s="67" t="s">
        <v>57</v>
      </c>
      <c r="L735" s="67" t="s">
        <v>55</v>
      </c>
      <c r="M735" s="67" t="s">
        <v>282</v>
      </c>
      <c r="N735" s="67" t="s">
        <v>259</v>
      </c>
      <c r="O735" s="67" t="s">
        <v>2116</v>
      </c>
      <c r="P735" s="67" t="s">
        <v>19</v>
      </c>
      <c r="Q735" s="192">
        <v>187.5</v>
      </c>
    </row>
    <row r="736" spans="1:17" ht="11.1" hidden="1" customHeight="1" x14ac:dyDescent="0.2">
      <c r="A736" s="3"/>
      <c r="B736" s="3" t="str">
        <f ca="1">IF(A736="В заказ",MAX($B$9:OFFSET(B736,-1,0))+1,"")</f>
        <v/>
      </c>
      <c r="C736" s="6" t="str">
        <f t="shared" si="29"/>
        <v>Кромка 0,4 H1181 ST37  (200 м бухта).</v>
      </c>
      <c r="D736" s="67" t="s">
        <v>241</v>
      </c>
      <c r="E736" s="67" t="s">
        <v>34</v>
      </c>
      <c r="F736" s="67" t="s">
        <v>428</v>
      </c>
      <c r="G736" s="68">
        <v>13434</v>
      </c>
      <c r="H736" s="67" t="s">
        <v>330</v>
      </c>
      <c r="I736" s="200"/>
      <c r="J736" s="67" t="s">
        <v>58</v>
      </c>
      <c r="K736" s="67" t="s">
        <v>59</v>
      </c>
      <c r="L736" s="67" t="s">
        <v>55</v>
      </c>
      <c r="M736" s="67" t="s">
        <v>252</v>
      </c>
      <c r="N736" s="67" t="s">
        <v>253</v>
      </c>
      <c r="O736" s="67" t="s">
        <v>2117</v>
      </c>
      <c r="P736" s="67" t="s">
        <v>19</v>
      </c>
      <c r="Q736" s="192">
        <v>17.899999999999999</v>
      </c>
    </row>
    <row r="737" spans="1:17" ht="11.1" hidden="1" customHeight="1" x14ac:dyDescent="0.2">
      <c r="A737" s="3"/>
      <c r="B737" s="3" t="str">
        <f ca="1">IF(A737="В заказ",MAX($B$9:OFFSET(B737,-1,0))+1,"")</f>
        <v/>
      </c>
      <c r="C737" s="6" t="str">
        <f t="shared" si="29"/>
        <v>Кромка 0,4 H1181 ST37  (200 м бухта).</v>
      </c>
      <c r="D737" s="67" t="s">
        <v>241</v>
      </c>
      <c r="E737" s="67" t="s">
        <v>34</v>
      </c>
      <c r="F737" s="67" t="s">
        <v>429</v>
      </c>
      <c r="G737" s="68">
        <v>24564</v>
      </c>
      <c r="H737" s="67" t="s">
        <v>330</v>
      </c>
      <c r="I737" s="200"/>
      <c r="J737" s="67" t="s">
        <v>58</v>
      </c>
      <c r="K737" s="67" t="s">
        <v>59</v>
      </c>
      <c r="L737" s="67" t="s">
        <v>55</v>
      </c>
      <c r="M737" s="67" t="s">
        <v>244</v>
      </c>
      <c r="N737" s="67" t="s">
        <v>253</v>
      </c>
      <c r="O737" s="67" t="s">
        <v>2117</v>
      </c>
      <c r="P737" s="67" t="s">
        <v>19</v>
      </c>
      <c r="Q737" s="71">
        <v>22</v>
      </c>
    </row>
    <row r="738" spans="1:17" ht="11.1" hidden="1" customHeight="1" x14ac:dyDescent="0.2">
      <c r="A738" s="3"/>
      <c r="B738" s="3" t="str">
        <f ca="1">IF(A738="В заказ",MAX($B$9:OFFSET(B738,-1,0))+1,"")</f>
        <v/>
      </c>
      <c r="C738" s="6" t="str">
        <f t="shared" si="29"/>
        <v>Кромка 0,4 H1181 ST37  (200 м бухта).</v>
      </c>
      <c r="D738" s="67" t="s">
        <v>241</v>
      </c>
      <c r="E738" s="67" t="s">
        <v>34</v>
      </c>
      <c r="F738" s="67" t="s">
        <v>430</v>
      </c>
      <c r="G738" s="68">
        <v>14355</v>
      </c>
      <c r="H738" s="67" t="s">
        <v>330</v>
      </c>
      <c r="I738" s="200"/>
      <c r="J738" s="67" t="s">
        <v>58</v>
      </c>
      <c r="K738" s="67" t="s">
        <v>59</v>
      </c>
      <c r="L738" s="67" t="s">
        <v>55</v>
      </c>
      <c r="M738" s="67" t="s">
        <v>264</v>
      </c>
      <c r="N738" s="67" t="s">
        <v>253</v>
      </c>
      <c r="O738" s="67" t="s">
        <v>2117</v>
      </c>
      <c r="P738" s="67" t="s">
        <v>19</v>
      </c>
      <c r="Q738" s="192">
        <v>28.9</v>
      </c>
    </row>
    <row r="739" spans="1:17" ht="11.1" hidden="1" customHeight="1" x14ac:dyDescent="0.2">
      <c r="A739" s="3"/>
      <c r="B739" s="3" t="str">
        <f ca="1">IF(A739="В заказ",MAX($B$9:OFFSET(B739,-1,0))+1,"")</f>
        <v/>
      </c>
      <c r="C739" s="6" t="str">
        <f t="shared" si="29"/>
        <v>Кромка 0,8 H1181 ST37  (75 м бухта).</v>
      </c>
      <c r="D739" s="67" t="s">
        <v>241</v>
      </c>
      <c r="E739" s="67" t="s">
        <v>34</v>
      </c>
      <c r="F739" s="67" t="s">
        <v>431</v>
      </c>
      <c r="G739" s="68">
        <v>13889</v>
      </c>
      <c r="H739" s="67" t="s">
        <v>330</v>
      </c>
      <c r="I739" s="200"/>
      <c r="J739" s="67" t="s">
        <v>58</v>
      </c>
      <c r="K739" s="67" t="s">
        <v>59</v>
      </c>
      <c r="L739" s="67" t="s">
        <v>55</v>
      </c>
      <c r="M739" s="67" t="s">
        <v>252</v>
      </c>
      <c r="N739" s="67" t="s">
        <v>10</v>
      </c>
      <c r="O739" s="67" t="s">
        <v>2116</v>
      </c>
      <c r="P739" s="67" t="s">
        <v>19</v>
      </c>
      <c r="Q739" s="71">
        <v>35</v>
      </c>
    </row>
    <row r="740" spans="1:17" ht="11.1" hidden="1" customHeight="1" x14ac:dyDescent="0.2">
      <c r="A740" s="3"/>
      <c r="B740" s="3" t="str">
        <f ca="1">IF(A740="В заказ",MAX($B$9:OFFSET(B740,-1,0))+1,"")</f>
        <v/>
      </c>
      <c r="C740" s="6" t="str">
        <f t="shared" si="29"/>
        <v>Кромка 0,8 H1181 ST37  (75 м бухта).</v>
      </c>
      <c r="D740" s="67" t="s">
        <v>241</v>
      </c>
      <c r="E740" s="67" t="s">
        <v>34</v>
      </c>
      <c r="F740" s="67" t="s">
        <v>432</v>
      </c>
      <c r="G740" s="68">
        <v>14861</v>
      </c>
      <c r="H740" s="67" t="s">
        <v>330</v>
      </c>
      <c r="I740" s="200"/>
      <c r="J740" s="67" t="s">
        <v>58</v>
      </c>
      <c r="K740" s="67" t="s">
        <v>59</v>
      </c>
      <c r="L740" s="67" t="s">
        <v>55</v>
      </c>
      <c r="M740" s="67" t="s">
        <v>244</v>
      </c>
      <c r="N740" s="67" t="s">
        <v>10</v>
      </c>
      <c r="O740" s="67" t="s">
        <v>2116</v>
      </c>
      <c r="P740" s="67" t="s">
        <v>19</v>
      </c>
      <c r="Q740" s="192">
        <v>42.3</v>
      </c>
    </row>
    <row r="741" spans="1:17" ht="11.1" hidden="1" customHeight="1" x14ac:dyDescent="0.2">
      <c r="A741" s="3"/>
      <c r="B741" s="3" t="str">
        <f ca="1">IF(A741="В заказ",MAX($B$9:OFFSET(B741,-1,0))+1,"")</f>
        <v/>
      </c>
      <c r="C741" s="6" t="str">
        <f t="shared" si="29"/>
        <v>Кромка 2,0 H1181 ST37  (75 м бухта).</v>
      </c>
      <c r="D741" s="67" t="s">
        <v>241</v>
      </c>
      <c r="E741" s="67" t="s">
        <v>34</v>
      </c>
      <c r="F741" s="67" t="s">
        <v>433</v>
      </c>
      <c r="G741" s="68">
        <v>13435</v>
      </c>
      <c r="H741" s="67" t="s">
        <v>330</v>
      </c>
      <c r="I741" s="200"/>
      <c r="J741" s="67" t="s">
        <v>58</v>
      </c>
      <c r="K741" s="67" t="s">
        <v>59</v>
      </c>
      <c r="L741" s="67" t="s">
        <v>55</v>
      </c>
      <c r="M741" s="67" t="s">
        <v>252</v>
      </c>
      <c r="N741" s="67" t="s">
        <v>259</v>
      </c>
      <c r="O741" s="67" t="s">
        <v>2116</v>
      </c>
      <c r="P741" s="67" t="s">
        <v>19</v>
      </c>
      <c r="Q741" s="192">
        <v>62.6</v>
      </c>
    </row>
    <row r="742" spans="1:17" ht="11.1" hidden="1" customHeight="1" x14ac:dyDescent="0.2">
      <c r="A742" s="3"/>
      <c r="B742" s="3" t="str">
        <f ca="1">IF(A742="В заказ",MAX($B$9:OFFSET(B742,-1,0))+1,"")</f>
        <v/>
      </c>
      <c r="C742" s="6" t="str">
        <f t="shared" si="29"/>
        <v>Кромка 2,0 H1181 ST37  (75 м бухта).</v>
      </c>
      <c r="D742" s="67" t="s">
        <v>241</v>
      </c>
      <c r="E742" s="67" t="s">
        <v>34</v>
      </c>
      <c r="F742" s="67" t="s">
        <v>434</v>
      </c>
      <c r="G742" s="68">
        <v>13888</v>
      </c>
      <c r="H742" s="67" t="s">
        <v>330</v>
      </c>
      <c r="I742" s="200"/>
      <c r="J742" s="67" t="s">
        <v>58</v>
      </c>
      <c r="K742" s="67" t="s">
        <v>59</v>
      </c>
      <c r="L742" s="67" t="s">
        <v>55</v>
      </c>
      <c r="M742" s="67" t="s">
        <v>244</v>
      </c>
      <c r="N742" s="67" t="s">
        <v>259</v>
      </c>
      <c r="O742" s="67" t="s">
        <v>2116</v>
      </c>
      <c r="P742" s="67" t="s">
        <v>19</v>
      </c>
      <c r="Q742" s="192">
        <v>65.5</v>
      </c>
    </row>
    <row r="743" spans="1:17" ht="11.1" hidden="1" customHeight="1" x14ac:dyDescent="0.2">
      <c r="A743" s="3"/>
      <c r="B743" s="3" t="str">
        <f ca="1">IF(A743="В заказ",MAX($B$9:OFFSET(B743,-1,0))+1,"")</f>
        <v/>
      </c>
      <c r="C743" s="6" t="str">
        <f t="shared" si="29"/>
        <v>Кромка 2,0 H1181 ST37  (75 м бухта).</v>
      </c>
      <c r="D743" s="67" t="s">
        <v>241</v>
      </c>
      <c r="E743" s="67" t="s">
        <v>34</v>
      </c>
      <c r="F743" s="67" t="s">
        <v>435</v>
      </c>
      <c r="G743" s="68">
        <v>14356</v>
      </c>
      <c r="H743" s="67" t="s">
        <v>330</v>
      </c>
      <c r="I743" s="200"/>
      <c r="J743" s="67" t="s">
        <v>58</v>
      </c>
      <c r="K743" s="67" t="s">
        <v>59</v>
      </c>
      <c r="L743" s="67" t="s">
        <v>55</v>
      </c>
      <c r="M743" s="67" t="s">
        <v>264</v>
      </c>
      <c r="N743" s="67" t="s">
        <v>259</v>
      </c>
      <c r="O743" s="67" t="s">
        <v>2116</v>
      </c>
      <c r="P743" s="67" t="s">
        <v>19</v>
      </c>
      <c r="Q743" s="192">
        <v>94.1</v>
      </c>
    </row>
    <row r="744" spans="1:17" ht="11.1" hidden="1" customHeight="1" x14ac:dyDescent="0.2">
      <c r="A744" s="3"/>
      <c r="B744" s="3" t="str">
        <f ca="1">IF(A744="В заказ",MAX($B$9:OFFSET(B744,-1,0))+1,"")</f>
        <v/>
      </c>
      <c r="C744" s="6" t="str">
        <f t="shared" si="29"/>
        <v>Кромка 2,0 H1181 ST37  (75 м бухта).</v>
      </c>
      <c r="D744" s="67" t="s">
        <v>241</v>
      </c>
      <c r="E744" s="67" t="s">
        <v>34</v>
      </c>
      <c r="F744" s="67" t="s">
        <v>436</v>
      </c>
      <c r="G744" s="68">
        <v>14722</v>
      </c>
      <c r="H744" s="67" t="s">
        <v>330</v>
      </c>
      <c r="I744" s="200"/>
      <c r="J744" s="67" t="s">
        <v>58</v>
      </c>
      <c r="K744" s="67" t="s">
        <v>59</v>
      </c>
      <c r="L744" s="67" t="s">
        <v>55</v>
      </c>
      <c r="M744" s="67" t="s">
        <v>270</v>
      </c>
      <c r="N744" s="67" t="s">
        <v>259</v>
      </c>
      <c r="O744" s="67" t="s">
        <v>2116</v>
      </c>
      <c r="P744" s="67" t="s">
        <v>19</v>
      </c>
      <c r="Q744" s="192">
        <v>127.6</v>
      </c>
    </row>
    <row r="745" spans="1:17" ht="11.1" hidden="1" customHeight="1" x14ac:dyDescent="0.2">
      <c r="A745" s="3"/>
      <c r="B745" s="3" t="str">
        <f ca="1">IF(A745="В заказ",MAX($B$9:OFFSET(B745,-1,0))+1,"")</f>
        <v/>
      </c>
      <c r="C745" s="6" t="str">
        <f t="shared" si="29"/>
        <v>Кромка 1,0 H1186 TM37  (75 м бухта).</v>
      </c>
      <c r="D745" s="67" t="s">
        <v>241</v>
      </c>
      <c r="E745" s="67" t="s">
        <v>34</v>
      </c>
      <c r="F745" s="67" t="s">
        <v>437</v>
      </c>
      <c r="G745" s="68">
        <v>24418</v>
      </c>
      <c r="H745" s="67" t="s">
        <v>438</v>
      </c>
      <c r="I745" s="200"/>
      <c r="J745" s="67" t="s">
        <v>439</v>
      </c>
      <c r="K745" s="67" t="s">
        <v>440</v>
      </c>
      <c r="L745" s="67" t="s">
        <v>441</v>
      </c>
      <c r="M745" s="67" t="s">
        <v>244</v>
      </c>
      <c r="N745" s="67" t="s">
        <v>245</v>
      </c>
      <c r="O745" s="67" t="s">
        <v>2116</v>
      </c>
      <c r="P745" s="67" t="s">
        <v>19</v>
      </c>
      <c r="Q745" s="192">
        <v>89.9</v>
      </c>
    </row>
    <row r="746" spans="1:17" ht="11.1" hidden="1" customHeight="1" x14ac:dyDescent="0.2">
      <c r="A746" s="3"/>
      <c r="B746" s="3" t="str">
        <f ca="1">IF(A746="В заказ",MAX($B$9:OFFSET(B746,-1,0))+1,"")</f>
        <v/>
      </c>
      <c r="C746" s="6" t="str">
        <f t="shared" si="29"/>
        <v>Кромка 0,4 H1199 ST12  (200 м бухта).</v>
      </c>
      <c r="D746" s="67" t="s">
        <v>241</v>
      </c>
      <c r="E746" s="67" t="s">
        <v>34</v>
      </c>
      <c r="F746" s="67" t="s">
        <v>442</v>
      </c>
      <c r="G746" s="68">
        <v>13537</v>
      </c>
      <c r="H746" s="67" t="s">
        <v>330</v>
      </c>
      <c r="I746" s="200"/>
      <c r="J746" s="67" t="s">
        <v>60</v>
      </c>
      <c r="K746" s="67" t="s">
        <v>61</v>
      </c>
      <c r="L746" s="67" t="s">
        <v>41</v>
      </c>
      <c r="M746" s="67" t="s">
        <v>252</v>
      </c>
      <c r="N746" s="67" t="s">
        <v>253</v>
      </c>
      <c r="O746" s="67" t="s">
        <v>2117</v>
      </c>
      <c r="P746" s="67" t="s">
        <v>19</v>
      </c>
      <c r="Q746" s="192">
        <v>17.899999999999999</v>
      </c>
    </row>
    <row r="747" spans="1:17" ht="11.1" hidden="1" customHeight="1" x14ac:dyDescent="0.2">
      <c r="A747" s="3"/>
      <c r="B747" s="3" t="str">
        <f ca="1">IF(A747="В заказ",MAX($B$9:OFFSET(B747,-1,0))+1,"")</f>
        <v/>
      </c>
      <c r="C747" s="6" t="str">
        <f t="shared" si="29"/>
        <v>Кромка 0,4 H1199 ST12  (200 м бухта).</v>
      </c>
      <c r="D747" s="67" t="s">
        <v>241</v>
      </c>
      <c r="E747" s="67" t="s">
        <v>34</v>
      </c>
      <c r="F747" s="67" t="s">
        <v>443</v>
      </c>
      <c r="G747" s="68">
        <v>14357</v>
      </c>
      <c r="H747" s="67" t="s">
        <v>330</v>
      </c>
      <c r="I747" s="200"/>
      <c r="J747" s="67" t="s">
        <v>60</v>
      </c>
      <c r="K747" s="67" t="s">
        <v>61</v>
      </c>
      <c r="L747" s="67" t="s">
        <v>41</v>
      </c>
      <c r="M747" s="67" t="s">
        <v>264</v>
      </c>
      <c r="N747" s="67" t="s">
        <v>253</v>
      </c>
      <c r="O747" s="67" t="s">
        <v>2117</v>
      </c>
      <c r="P747" s="67" t="s">
        <v>19</v>
      </c>
      <c r="Q747" s="192">
        <v>28.9</v>
      </c>
    </row>
    <row r="748" spans="1:17" ht="11.1" hidden="1" customHeight="1" x14ac:dyDescent="0.2">
      <c r="A748" s="3"/>
      <c r="B748" s="3" t="str">
        <f ca="1">IF(A748="В заказ",MAX($B$9:OFFSET(B748,-1,0))+1,"")</f>
        <v/>
      </c>
      <c r="C748" s="6" t="str">
        <f t="shared" si="29"/>
        <v>Кромка 0,8 H1199 ST12  (75 м бухта).</v>
      </c>
      <c r="D748" s="67" t="s">
        <v>241</v>
      </c>
      <c r="E748" s="67" t="s">
        <v>34</v>
      </c>
      <c r="F748" s="67" t="s">
        <v>444</v>
      </c>
      <c r="G748" s="68">
        <v>16193</v>
      </c>
      <c r="H748" s="67" t="s">
        <v>330</v>
      </c>
      <c r="I748" s="200"/>
      <c r="J748" s="67" t="s">
        <v>60</v>
      </c>
      <c r="K748" s="67" t="s">
        <v>61</v>
      </c>
      <c r="L748" s="67" t="s">
        <v>41</v>
      </c>
      <c r="M748" s="67" t="s">
        <v>252</v>
      </c>
      <c r="N748" s="67" t="s">
        <v>10</v>
      </c>
      <c r="O748" s="67" t="s">
        <v>2116</v>
      </c>
      <c r="P748" s="67" t="s">
        <v>19</v>
      </c>
      <c r="Q748" s="71">
        <v>35</v>
      </c>
    </row>
    <row r="749" spans="1:17" ht="11.1" hidden="1" customHeight="1" x14ac:dyDescent="0.2">
      <c r="A749" s="3"/>
      <c r="B749" s="3" t="str">
        <f ca="1">IF(A749="В заказ",MAX($B$9:OFFSET(B749,-1,0))+1,"")</f>
        <v/>
      </c>
      <c r="C749" s="6" t="str">
        <f t="shared" si="29"/>
        <v>Кромка 2,0 H1199 ST12  (75 м бухта).</v>
      </c>
      <c r="D749" s="67" t="s">
        <v>241</v>
      </c>
      <c r="E749" s="67" t="s">
        <v>34</v>
      </c>
      <c r="F749" s="67" t="s">
        <v>445</v>
      </c>
      <c r="G749" s="68">
        <v>13538</v>
      </c>
      <c r="H749" s="67" t="s">
        <v>330</v>
      </c>
      <c r="I749" s="200"/>
      <c r="J749" s="67" t="s">
        <v>60</v>
      </c>
      <c r="K749" s="67" t="s">
        <v>61</v>
      </c>
      <c r="L749" s="67" t="s">
        <v>41</v>
      </c>
      <c r="M749" s="67" t="s">
        <v>252</v>
      </c>
      <c r="N749" s="67" t="s">
        <v>259</v>
      </c>
      <c r="O749" s="67" t="s">
        <v>2116</v>
      </c>
      <c r="P749" s="67" t="s">
        <v>19</v>
      </c>
      <c r="Q749" s="192">
        <v>62.6</v>
      </c>
    </row>
    <row r="750" spans="1:17" ht="11.1" hidden="1" customHeight="1" x14ac:dyDescent="0.2">
      <c r="A750" s="3"/>
      <c r="B750" s="3" t="str">
        <f ca="1">IF(A750="В заказ",MAX($B$9:OFFSET(B750,-1,0))+1,"")</f>
        <v/>
      </c>
      <c r="C750" s="6" t="str">
        <f t="shared" si="29"/>
        <v>Кромка 2,0 H1199 ST12  (75 м бухта).</v>
      </c>
      <c r="D750" s="67" t="s">
        <v>241</v>
      </c>
      <c r="E750" s="67" t="s">
        <v>34</v>
      </c>
      <c r="F750" s="67" t="s">
        <v>446</v>
      </c>
      <c r="G750" s="68">
        <v>13849</v>
      </c>
      <c r="H750" s="67" t="s">
        <v>330</v>
      </c>
      <c r="I750" s="200"/>
      <c r="J750" s="67" t="s">
        <v>60</v>
      </c>
      <c r="K750" s="67" t="s">
        <v>61</v>
      </c>
      <c r="L750" s="67" t="s">
        <v>41</v>
      </c>
      <c r="M750" s="67" t="s">
        <v>264</v>
      </c>
      <c r="N750" s="67" t="s">
        <v>259</v>
      </c>
      <c r="O750" s="67" t="s">
        <v>2116</v>
      </c>
      <c r="P750" s="67" t="s">
        <v>19</v>
      </c>
      <c r="Q750" s="192">
        <v>94.1</v>
      </c>
    </row>
    <row r="751" spans="1:17" ht="11.1" hidden="1" customHeight="1" x14ac:dyDescent="0.2">
      <c r="A751" s="3"/>
      <c r="B751" s="3" t="str">
        <f ca="1">IF(A751="В заказ",MAX($B$9:OFFSET(B751,-1,0))+1,"")</f>
        <v/>
      </c>
      <c r="C751" s="6" t="str">
        <f t="shared" si="29"/>
        <v>Кромка 2,0 H1199 ST12  (75 м бухта).</v>
      </c>
      <c r="D751" s="67" t="s">
        <v>241</v>
      </c>
      <c r="E751" s="67" t="s">
        <v>34</v>
      </c>
      <c r="F751" s="67" t="s">
        <v>447</v>
      </c>
      <c r="G751" s="68">
        <v>13850</v>
      </c>
      <c r="H751" s="67" t="s">
        <v>330</v>
      </c>
      <c r="I751" s="200"/>
      <c r="J751" s="67" t="s">
        <v>60</v>
      </c>
      <c r="K751" s="67" t="s">
        <v>61</v>
      </c>
      <c r="L751" s="67" t="s">
        <v>41</v>
      </c>
      <c r="M751" s="67" t="s">
        <v>270</v>
      </c>
      <c r="N751" s="67" t="s">
        <v>259</v>
      </c>
      <c r="O751" s="67" t="s">
        <v>2116</v>
      </c>
      <c r="P751" s="67" t="s">
        <v>19</v>
      </c>
      <c r="Q751" s="192">
        <v>127.6</v>
      </c>
    </row>
    <row r="752" spans="1:17" ht="11.1" hidden="1" customHeight="1" x14ac:dyDescent="0.2">
      <c r="A752" s="3"/>
      <c r="B752" s="3" t="str">
        <f ca="1">IF(A752="В заказ",MAX($B$9:OFFSET(B752,-1,0))+1,"")</f>
        <v/>
      </c>
      <c r="C752" s="6" t="str">
        <f t="shared" si="29"/>
        <v>Кромка 0,4 H1250 ST36  (200 м бухта).</v>
      </c>
      <c r="D752" s="67" t="s">
        <v>241</v>
      </c>
      <c r="E752" s="67" t="s">
        <v>34</v>
      </c>
      <c r="F752" s="67" t="s">
        <v>448</v>
      </c>
      <c r="G752" s="68">
        <v>8800</v>
      </c>
      <c r="H752" s="67" t="s">
        <v>330</v>
      </c>
      <c r="I752" s="200"/>
      <c r="J752" s="67" t="s">
        <v>62</v>
      </c>
      <c r="K752" s="67" t="s">
        <v>63</v>
      </c>
      <c r="L752" s="67" t="s">
        <v>64</v>
      </c>
      <c r="M752" s="67" t="s">
        <v>252</v>
      </c>
      <c r="N752" s="67" t="s">
        <v>253</v>
      </c>
      <c r="O752" s="67" t="s">
        <v>2117</v>
      </c>
      <c r="P752" s="67" t="s">
        <v>19</v>
      </c>
      <c r="Q752" s="192">
        <v>17.899999999999999</v>
      </c>
    </row>
    <row r="753" spans="1:17" ht="11.1" hidden="1" customHeight="1" x14ac:dyDescent="0.2">
      <c r="A753" s="3"/>
      <c r="B753" s="3" t="str">
        <f ca="1">IF(A753="В заказ",MAX($B$9:OFFSET(B753,-1,0))+1,"")</f>
        <v/>
      </c>
      <c r="C753" s="6" t="str">
        <f t="shared" si="29"/>
        <v>Кромка 0,4 H1250 ST36  (200 м бухта).</v>
      </c>
      <c r="D753" s="67" t="s">
        <v>241</v>
      </c>
      <c r="E753" s="67" t="s">
        <v>34</v>
      </c>
      <c r="F753" s="67" t="s">
        <v>449</v>
      </c>
      <c r="G753" s="68">
        <v>22900</v>
      </c>
      <c r="H753" s="67" t="s">
        <v>330</v>
      </c>
      <c r="I753" s="200"/>
      <c r="J753" s="67" t="s">
        <v>62</v>
      </c>
      <c r="K753" s="67" t="s">
        <v>63</v>
      </c>
      <c r="L753" s="67" t="s">
        <v>64</v>
      </c>
      <c r="M753" s="67" t="s">
        <v>244</v>
      </c>
      <c r="N753" s="67" t="s">
        <v>253</v>
      </c>
      <c r="O753" s="67" t="s">
        <v>2117</v>
      </c>
      <c r="P753" s="67" t="s">
        <v>19</v>
      </c>
      <c r="Q753" s="71">
        <v>22</v>
      </c>
    </row>
    <row r="754" spans="1:17" ht="11.1" hidden="1" customHeight="1" x14ac:dyDescent="0.2">
      <c r="A754" s="3"/>
      <c r="B754" s="3" t="str">
        <f ca="1">IF(A754="В заказ",MAX($B$9:OFFSET(B754,-1,0))+1,"")</f>
        <v/>
      </c>
      <c r="C754" s="6" t="str">
        <f t="shared" si="29"/>
        <v>Кромка 0,4 H1250 ST36  (200 м бухта).</v>
      </c>
      <c r="D754" s="67" t="s">
        <v>241</v>
      </c>
      <c r="E754" s="67" t="s">
        <v>34</v>
      </c>
      <c r="F754" s="67" t="s">
        <v>450</v>
      </c>
      <c r="G754" s="68">
        <v>14358</v>
      </c>
      <c r="H754" s="67" t="s">
        <v>330</v>
      </c>
      <c r="I754" s="200"/>
      <c r="J754" s="67" t="s">
        <v>62</v>
      </c>
      <c r="K754" s="67" t="s">
        <v>63</v>
      </c>
      <c r="L754" s="67" t="s">
        <v>64</v>
      </c>
      <c r="M754" s="67" t="s">
        <v>264</v>
      </c>
      <c r="N754" s="67" t="s">
        <v>253</v>
      </c>
      <c r="O754" s="67" t="s">
        <v>2117</v>
      </c>
      <c r="P754" s="67" t="s">
        <v>19</v>
      </c>
      <c r="Q754" s="192">
        <v>28.9</v>
      </c>
    </row>
    <row r="755" spans="1:17" ht="11.1" hidden="1" customHeight="1" x14ac:dyDescent="0.2">
      <c r="A755" s="3"/>
      <c r="B755" s="3" t="str">
        <f ca="1">IF(A755="В заказ",MAX($B$9:OFFSET(B755,-1,0))+1,"")</f>
        <v/>
      </c>
      <c r="C755" s="6" t="str">
        <f t="shared" si="29"/>
        <v>Кромка 0,8 H1250 ST36  (75 м бухта).</v>
      </c>
      <c r="D755" s="67" t="s">
        <v>241</v>
      </c>
      <c r="E755" s="67" t="s">
        <v>34</v>
      </c>
      <c r="F755" s="67" t="s">
        <v>451</v>
      </c>
      <c r="G755" s="68">
        <v>12886</v>
      </c>
      <c r="H755" s="67" t="s">
        <v>330</v>
      </c>
      <c r="I755" s="200"/>
      <c r="J755" s="67" t="s">
        <v>62</v>
      </c>
      <c r="K755" s="67" t="s">
        <v>63</v>
      </c>
      <c r="L755" s="67" t="s">
        <v>64</v>
      </c>
      <c r="M755" s="67" t="s">
        <v>252</v>
      </c>
      <c r="N755" s="67" t="s">
        <v>10</v>
      </c>
      <c r="O755" s="67" t="s">
        <v>2116</v>
      </c>
      <c r="P755" s="67" t="s">
        <v>19</v>
      </c>
      <c r="Q755" s="71">
        <v>35</v>
      </c>
    </row>
    <row r="756" spans="1:17" ht="11.1" hidden="1" customHeight="1" x14ac:dyDescent="0.2">
      <c r="A756" s="3"/>
      <c r="B756" s="3" t="str">
        <f ca="1">IF(A756="В заказ",MAX($B$9:OFFSET(B756,-1,0))+1,"")</f>
        <v/>
      </c>
      <c r="C756" s="6" t="str">
        <f t="shared" si="29"/>
        <v>Кромка 0,8 H1250 ST36  (75 м бухта).</v>
      </c>
      <c r="D756" s="67" t="s">
        <v>241</v>
      </c>
      <c r="E756" s="67" t="s">
        <v>34</v>
      </c>
      <c r="F756" s="67" t="s">
        <v>452</v>
      </c>
      <c r="G756" s="68">
        <v>19879</v>
      </c>
      <c r="H756" s="67" t="s">
        <v>330</v>
      </c>
      <c r="I756" s="200"/>
      <c r="J756" s="67" t="s">
        <v>62</v>
      </c>
      <c r="K756" s="67" t="s">
        <v>63</v>
      </c>
      <c r="L756" s="67" t="s">
        <v>64</v>
      </c>
      <c r="M756" s="67" t="s">
        <v>244</v>
      </c>
      <c r="N756" s="67" t="s">
        <v>10</v>
      </c>
      <c r="O756" s="67" t="s">
        <v>2116</v>
      </c>
      <c r="P756" s="67" t="s">
        <v>19</v>
      </c>
      <c r="Q756" s="192">
        <v>42.3</v>
      </c>
    </row>
    <row r="757" spans="1:17" ht="11.1" hidden="1" customHeight="1" x14ac:dyDescent="0.2">
      <c r="A757" s="3"/>
      <c r="B757" s="3" t="str">
        <f ca="1">IF(A757="В заказ",MAX($B$9:OFFSET(B757,-1,0))+1,"")</f>
        <v/>
      </c>
      <c r="C757" s="6" t="str">
        <f t="shared" si="29"/>
        <v>Кромка 0,8 H1250 ST36  (75 м бухта).</v>
      </c>
      <c r="D757" s="67" t="s">
        <v>241</v>
      </c>
      <c r="E757" s="67" t="s">
        <v>34</v>
      </c>
      <c r="F757" s="67" t="s">
        <v>453</v>
      </c>
      <c r="G757" s="68">
        <v>13196</v>
      </c>
      <c r="H757" s="67" t="s">
        <v>330</v>
      </c>
      <c r="I757" s="200"/>
      <c r="J757" s="67" t="s">
        <v>62</v>
      </c>
      <c r="K757" s="67" t="s">
        <v>63</v>
      </c>
      <c r="L757" s="67" t="s">
        <v>64</v>
      </c>
      <c r="M757" s="67" t="s">
        <v>264</v>
      </c>
      <c r="N757" s="67" t="s">
        <v>10</v>
      </c>
      <c r="O757" s="67" t="s">
        <v>2116</v>
      </c>
      <c r="P757" s="67" t="s">
        <v>19</v>
      </c>
      <c r="Q757" s="192">
        <v>66.900000000000006</v>
      </c>
    </row>
    <row r="758" spans="1:17" ht="11.1" hidden="1" customHeight="1" x14ac:dyDescent="0.2">
      <c r="A758" s="3"/>
      <c r="B758" s="3" t="str">
        <f ca="1">IF(A758="В заказ",MAX($B$9:OFFSET(B758,-1,0))+1,"")</f>
        <v/>
      </c>
      <c r="C758" s="6" t="str">
        <f t="shared" ref="C758:C821" si="30">D758&amp;" "&amp;N758&amp;" "&amp;IF(OR(D758="ДСП",D758="МДФ",D758="Фанера",D758="ХДФ"),M758,J758)&amp;" "&amp;IF(OR(D758="ДСП",D758="МДФ",D758="Фанера",D758="ХДФ"),O758,L758)&amp;" "&amp;IF(OR(D758="ДСП",D758="МДФ",D758="Фанера",D758="ХДФ"),"",IF(D758="БСП",M758,O758))&amp;"."</f>
        <v>Кромка 2,0 H1250 ST36  (75 м бухта).</v>
      </c>
      <c r="D758" s="67" t="s">
        <v>241</v>
      </c>
      <c r="E758" s="67" t="s">
        <v>34</v>
      </c>
      <c r="F758" s="67" t="s">
        <v>454</v>
      </c>
      <c r="G758" s="68">
        <v>8345</v>
      </c>
      <c r="H758" s="67" t="s">
        <v>330</v>
      </c>
      <c r="I758" s="200"/>
      <c r="J758" s="67" t="s">
        <v>62</v>
      </c>
      <c r="K758" s="67" t="s">
        <v>63</v>
      </c>
      <c r="L758" s="67" t="s">
        <v>64</v>
      </c>
      <c r="M758" s="67" t="s">
        <v>252</v>
      </c>
      <c r="N758" s="67" t="s">
        <v>259</v>
      </c>
      <c r="O758" s="67" t="s">
        <v>2116</v>
      </c>
      <c r="P758" s="67" t="s">
        <v>19</v>
      </c>
      <c r="Q758" s="192">
        <v>62.6</v>
      </c>
    </row>
    <row r="759" spans="1:17" ht="11.1" hidden="1" customHeight="1" x14ac:dyDescent="0.2">
      <c r="A759" s="3"/>
      <c r="B759" s="3" t="str">
        <f ca="1">IF(A759="В заказ",MAX($B$9:OFFSET(B759,-1,0))+1,"")</f>
        <v/>
      </c>
      <c r="C759" s="6" t="str">
        <f t="shared" si="30"/>
        <v>Кромка 2,0 H1250 ST36  (75 м бухта).</v>
      </c>
      <c r="D759" s="67" t="s">
        <v>241</v>
      </c>
      <c r="E759" s="67" t="s">
        <v>34</v>
      </c>
      <c r="F759" s="67" t="s">
        <v>455</v>
      </c>
      <c r="G759" s="68">
        <v>22980</v>
      </c>
      <c r="H759" s="67" t="s">
        <v>330</v>
      </c>
      <c r="I759" s="200"/>
      <c r="J759" s="67" t="s">
        <v>62</v>
      </c>
      <c r="K759" s="67" t="s">
        <v>63</v>
      </c>
      <c r="L759" s="67" t="s">
        <v>64</v>
      </c>
      <c r="M759" s="67" t="s">
        <v>244</v>
      </c>
      <c r="N759" s="67" t="s">
        <v>259</v>
      </c>
      <c r="O759" s="67" t="s">
        <v>2116</v>
      </c>
      <c r="P759" s="67" t="s">
        <v>19</v>
      </c>
      <c r="Q759" s="192">
        <v>65.5</v>
      </c>
    </row>
    <row r="760" spans="1:17" ht="11.1" hidden="1" customHeight="1" x14ac:dyDescent="0.2">
      <c r="A760" s="3"/>
      <c r="B760" s="3" t="str">
        <f ca="1">IF(A760="В заказ",MAX($B$9:OFFSET(B760,-1,0))+1,"")</f>
        <v/>
      </c>
      <c r="C760" s="6" t="str">
        <f t="shared" si="30"/>
        <v>Кромка 2,0 H1250 ST36  (75 м бухта).</v>
      </c>
      <c r="D760" s="67" t="s">
        <v>241</v>
      </c>
      <c r="E760" s="67" t="s">
        <v>34</v>
      </c>
      <c r="F760" s="67" t="s">
        <v>456</v>
      </c>
      <c r="G760" s="68">
        <v>12996</v>
      </c>
      <c r="H760" s="67" t="s">
        <v>330</v>
      </c>
      <c r="I760" s="200"/>
      <c r="J760" s="67" t="s">
        <v>62</v>
      </c>
      <c r="K760" s="67" t="s">
        <v>63</v>
      </c>
      <c r="L760" s="67" t="s">
        <v>64</v>
      </c>
      <c r="M760" s="67" t="s">
        <v>264</v>
      </c>
      <c r="N760" s="67" t="s">
        <v>259</v>
      </c>
      <c r="O760" s="67" t="s">
        <v>2116</v>
      </c>
      <c r="P760" s="67" t="s">
        <v>19</v>
      </c>
      <c r="Q760" s="192">
        <v>94.1</v>
      </c>
    </row>
    <row r="761" spans="1:17" ht="11.1" hidden="1" customHeight="1" x14ac:dyDescent="0.2">
      <c r="A761" s="3"/>
      <c r="B761" s="3" t="str">
        <f ca="1">IF(A761="В заказ",MAX($B$9:OFFSET(B761,-1,0))+1,"")</f>
        <v/>
      </c>
      <c r="C761" s="6" t="str">
        <f t="shared" si="30"/>
        <v>Кромка 2,0 H1250 ST36  (75 м бухта).</v>
      </c>
      <c r="D761" s="67" t="s">
        <v>241</v>
      </c>
      <c r="E761" s="67" t="s">
        <v>34</v>
      </c>
      <c r="F761" s="67" t="s">
        <v>457</v>
      </c>
      <c r="G761" s="68">
        <v>13055</v>
      </c>
      <c r="H761" s="67" t="s">
        <v>330</v>
      </c>
      <c r="I761" s="200"/>
      <c r="J761" s="67" t="s">
        <v>62</v>
      </c>
      <c r="K761" s="67" t="s">
        <v>63</v>
      </c>
      <c r="L761" s="67" t="s">
        <v>64</v>
      </c>
      <c r="M761" s="67" t="s">
        <v>270</v>
      </c>
      <c r="N761" s="67" t="s">
        <v>259</v>
      </c>
      <c r="O761" s="67" t="s">
        <v>2116</v>
      </c>
      <c r="P761" s="67" t="s">
        <v>19</v>
      </c>
      <c r="Q761" s="192">
        <v>127.6</v>
      </c>
    </row>
    <row r="762" spans="1:17" ht="11.1" hidden="1" customHeight="1" x14ac:dyDescent="0.2">
      <c r="A762" s="3"/>
      <c r="B762" s="3" t="str">
        <f ca="1">IF(A762="В заказ",MAX($B$9:OFFSET(B762,-1,0))+1,"")</f>
        <v/>
      </c>
      <c r="C762" s="6" t="str">
        <f t="shared" si="30"/>
        <v>Кромка 2,0 H1250 ST36 (75 м бухта).</v>
      </c>
      <c r="D762" s="67" t="s">
        <v>241</v>
      </c>
      <c r="E762" s="67" t="s">
        <v>34</v>
      </c>
      <c r="F762" s="67" t="s">
        <v>458</v>
      </c>
      <c r="G762" s="68">
        <v>21488</v>
      </c>
      <c r="H762" s="67" t="s">
        <v>330</v>
      </c>
      <c r="I762" s="200"/>
      <c r="J762" s="67" t="s">
        <v>62</v>
      </c>
      <c r="K762" s="67" t="s">
        <v>63</v>
      </c>
      <c r="L762" s="67" t="s">
        <v>64</v>
      </c>
      <c r="M762" s="67" t="s">
        <v>282</v>
      </c>
      <c r="N762" s="67" t="s">
        <v>259</v>
      </c>
      <c r="O762" s="67" t="s">
        <v>246</v>
      </c>
      <c r="P762" s="67" t="s">
        <v>19</v>
      </c>
      <c r="Q762" s="192">
        <v>187.5</v>
      </c>
    </row>
    <row r="763" spans="1:17" ht="21.95" hidden="1" customHeight="1" x14ac:dyDescent="0.2">
      <c r="A763" s="3"/>
      <c r="B763" s="3" t="str">
        <f ca="1">IF(A763="В заказ",MAX($B$9:OFFSET(B763,-1,0))+1,"")</f>
        <v/>
      </c>
      <c r="C763" s="6" t="str">
        <f t="shared" si="30"/>
        <v>Кромка 0,4 H1251 ST19  (200 м бухта).</v>
      </c>
      <c r="D763" s="67" t="s">
        <v>241</v>
      </c>
      <c r="E763" s="67" t="s">
        <v>34</v>
      </c>
      <c r="F763" s="67" t="s">
        <v>459</v>
      </c>
      <c r="G763" s="68">
        <v>21621</v>
      </c>
      <c r="H763" s="67" t="s">
        <v>330</v>
      </c>
      <c r="I763" s="200"/>
      <c r="J763" s="67" t="s">
        <v>460</v>
      </c>
      <c r="K763" s="67" t="s">
        <v>461</v>
      </c>
      <c r="L763" s="67" t="s">
        <v>251</v>
      </c>
      <c r="M763" s="67" t="s">
        <v>252</v>
      </c>
      <c r="N763" s="67" t="s">
        <v>253</v>
      </c>
      <c r="O763" s="67" t="s">
        <v>2117</v>
      </c>
      <c r="P763" s="67" t="s">
        <v>19</v>
      </c>
      <c r="Q763" s="192">
        <v>17.899999999999999</v>
      </c>
    </row>
    <row r="764" spans="1:17" ht="21.95" hidden="1" customHeight="1" x14ac:dyDescent="0.2">
      <c r="A764" s="3"/>
      <c r="B764" s="3" t="str">
        <f ca="1">IF(A764="В заказ",MAX($B$9:OFFSET(B764,-1,0))+1,"")</f>
        <v/>
      </c>
      <c r="C764" s="6" t="str">
        <f t="shared" si="30"/>
        <v>Кромка 0,4 H1251 ST19  (200 м бухта).</v>
      </c>
      <c r="D764" s="67" t="s">
        <v>241</v>
      </c>
      <c r="E764" s="67" t="s">
        <v>34</v>
      </c>
      <c r="F764" s="67" t="s">
        <v>462</v>
      </c>
      <c r="G764" s="68">
        <v>24555</v>
      </c>
      <c r="H764" s="67" t="s">
        <v>330</v>
      </c>
      <c r="I764" s="200"/>
      <c r="J764" s="67" t="s">
        <v>460</v>
      </c>
      <c r="K764" s="67" t="s">
        <v>461</v>
      </c>
      <c r="L764" s="67" t="s">
        <v>251</v>
      </c>
      <c r="M764" s="67" t="s">
        <v>244</v>
      </c>
      <c r="N764" s="67" t="s">
        <v>253</v>
      </c>
      <c r="O764" s="67" t="s">
        <v>2117</v>
      </c>
      <c r="P764" s="67" t="s">
        <v>19</v>
      </c>
      <c r="Q764" s="71">
        <v>22</v>
      </c>
    </row>
    <row r="765" spans="1:17" ht="21.95" hidden="1" customHeight="1" x14ac:dyDescent="0.2">
      <c r="A765" s="3"/>
      <c r="B765" s="3" t="str">
        <f ca="1">IF(A765="В заказ",MAX($B$9:OFFSET(B765,-1,0))+1,"")</f>
        <v/>
      </c>
      <c r="C765" s="6" t="str">
        <f t="shared" si="30"/>
        <v>Кромка 0,4 H1251 ST19  (200 м бухта).</v>
      </c>
      <c r="D765" s="67" t="s">
        <v>241</v>
      </c>
      <c r="E765" s="67" t="s">
        <v>34</v>
      </c>
      <c r="F765" s="67" t="s">
        <v>463</v>
      </c>
      <c r="G765" s="68">
        <v>21635</v>
      </c>
      <c r="H765" s="67" t="s">
        <v>330</v>
      </c>
      <c r="I765" s="200"/>
      <c r="J765" s="67" t="s">
        <v>460</v>
      </c>
      <c r="K765" s="67" t="s">
        <v>461</v>
      </c>
      <c r="L765" s="67" t="s">
        <v>251</v>
      </c>
      <c r="M765" s="67" t="s">
        <v>264</v>
      </c>
      <c r="N765" s="67" t="s">
        <v>253</v>
      </c>
      <c r="O765" s="67" t="s">
        <v>2117</v>
      </c>
      <c r="P765" s="67" t="s">
        <v>19</v>
      </c>
      <c r="Q765" s="192">
        <v>28.9</v>
      </c>
    </row>
    <row r="766" spans="1:17" ht="21.95" hidden="1" customHeight="1" x14ac:dyDescent="0.2">
      <c r="A766" s="3"/>
      <c r="B766" s="3" t="str">
        <f ca="1">IF(A766="В заказ",MAX($B$9:OFFSET(B766,-1,0))+1,"")</f>
        <v/>
      </c>
      <c r="C766" s="6" t="str">
        <f t="shared" si="30"/>
        <v>Кромка 0,8 H1251 ST19  (75 м бухта).</v>
      </c>
      <c r="D766" s="67" t="s">
        <v>241</v>
      </c>
      <c r="E766" s="67" t="s">
        <v>34</v>
      </c>
      <c r="F766" s="67" t="s">
        <v>464</v>
      </c>
      <c r="G766" s="68">
        <v>21622</v>
      </c>
      <c r="H766" s="67" t="s">
        <v>330</v>
      </c>
      <c r="I766" s="200"/>
      <c r="J766" s="67" t="s">
        <v>460</v>
      </c>
      <c r="K766" s="67" t="s">
        <v>461</v>
      </c>
      <c r="L766" s="67" t="s">
        <v>251</v>
      </c>
      <c r="M766" s="67" t="s">
        <v>252</v>
      </c>
      <c r="N766" s="67" t="s">
        <v>10</v>
      </c>
      <c r="O766" s="67" t="s">
        <v>2116</v>
      </c>
      <c r="P766" s="67" t="s">
        <v>19</v>
      </c>
      <c r="Q766" s="71">
        <v>35</v>
      </c>
    </row>
    <row r="767" spans="1:17" ht="21.95" hidden="1" customHeight="1" x14ac:dyDescent="0.2">
      <c r="A767" s="3"/>
      <c r="B767" s="3" t="str">
        <f ca="1">IF(A767="В заказ",MAX($B$9:OFFSET(B767,-1,0))+1,"")</f>
        <v/>
      </c>
      <c r="C767" s="6" t="str">
        <f t="shared" si="30"/>
        <v>Кромка 0,8 H1251 ST19  (75 м бухта) .</v>
      </c>
      <c r="D767" s="67" t="s">
        <v>241</v>
      </c>
      <c r="E767" s="67" t="s">
        <v>34</v>
      </c>
      <c r="F767" s="67" t="s">
        <v>465</v>
      </c>
      <c r="G767" s="68">
        <v>24152</v>
      </c>
      <c r="H767" s="67" t="s">
        <v>330</v>
      </c>
      <c r="I767" s="200"/>
      <c r="J767" s="67" t="s">
        <v>460</v>
      </c>
      <c r="K767" s="67" t="s">
        <v>461</v>
      </c>
      <c r="L767" s="67" t="s">
        <v>251</v>
      </c>
      <c r="M767" s="67" t="s">
        <v>244</v>
      </c>
      <c r="N767" s="67" t="s">
        <v>10</v>
      </c>
      <c r="O767" s="67" t="s">
        <v>2118</v>
      </c>
      <c r="P767" s="67" t="s">
        <v>19</v>
      </c>
      <c r="Q767" s="192">
        <v>42.3</v>
      </c>
    </row>
    <row r="768" spans="1:17" ht="21.95" hidden="1" customHeight="1" x14ac:dyDescent="0.2">
      <c r="A768" s="3"/>
      <c r="B768" s="3" t="str">
        <f ca="1">IF(A768="В заказ",MAX($B$9:OFFSET(B768,-1,0))+1,"")</f>
        <v/>
      </c>
      <c r="C768" s="6" t="str">
        <f t="shared" si="30"/>
        <v>Кромка 2,0 H1251 ST19  (75 м бухта).</v>
      </c>
      <c r="D768" s="67" t="s">
        <v>241</v>
      </c>
      <c r="E768" s="67" t="s">
        <v>34</v>
      </c>
      <c r="F768" s="67" t="s">
        <v>466</v>
      </c>
      <c r="G768" s="68">
        <v>21623</v>
      </c>
      <c r="H768" s="67" t="s">
        <v>330</v>
      </c>
      <c r="I768" s="200"/>
      <c r="J768" s="67" t="s">
        <v>460</v>
      </c>
      <c r="K768" s="67" t="s">
        <v>461</v>
      </c>
      <c r="L768" s="67" t="s">
        <v>251</v>
      </c>
      <c r="M768" s="67" t="s">
        <v>252</v>
      </c>
      <c r="N768" s="67" t="s">
        <v>259</v>
      </c>
      <c r="O768" s="67" t="s">
        <v>2116</v>
      </c>
      <c r="P768" s="67" t="s">
        <v>19</v>
      </c>
      <c r="Q768" s="192">
        <v>62.6</v>
      </c>
    </row>
    <row r="769" spans="1:17" ht="21.95" hidden="1" customHeight="1" x14ac:dyDescent="0.2">
      <c r="A769" s="3"/>
      <c r="B769" s="3" t="str">
        <f ca="1">IF(A769="В заказ",MAX($B$9:OFFSET(B769,-1,0))+1,"")</f>
        <v/>
      </c>
      <c r="C769" s="6" t="str">
        <f t="shared" si="30"/>
        <v>Кромка 2,0 H1251 ST19  (75 м бухта).</v>
      </c>
      <c r="D769" s="67" t="s">
        <v>241</v>
      </c>
      <c r="E769" s="67" t="s">
        <v>34</v>
      </c>
      <c r="F769" s="67" t="s">
        <v>467</v>
      </c>
      <c r="G769" s="68">
        <v>24556</v>
      </c>
      <c r="H769" s="67" t="s">
        <v>330</v>
      </c>
      <c r="I769" s="200"/>
      <c r="J769" s="67" t="s">
        <v>460</v>
      </c>
      <c r="K769" s="67" t="s">
        <v>461</v>
      </c>
      <c r="L769" s="67" t="s">
        <v>251</v>
      </c>
      <c r="M769" s="67" t="s">
        <v>244</v>
      </c>
      <c r="N769" s="67" t="s">
        <v>259</v>
      </c>
      <c r="O769" s="67" t="s">
        <v>2116</v>
      </c>
      <c r="P769" s="67" t="s">
        <v>19</v>
      </c>
      <c r="Q769" s="192">
        <v>65.5</v>
      </c>
    </row>
    <row r="770" spans="1:17" ht="21.95" hidden="1" customHeight="1" x14ac:dyDescent="0.2">
      <c r="A770" s="3"/>
      <c r="B770" s="3" t="str">
        <f ca="1">IF(A770="В заказ",MAX($B$9:OFFSET(B770,-1,0))+1,"")</f>
        <v/>
      </c>
      <c r="C770" s="6" t="str">
        <f t="shared" si="30"/>
        <v>Кромка 2,0 H1251 ST19  (75 м бухта).</v>
      </c>
      <c r="D770" s="67" t="s">
        <v>241</v>
      </c>
      <c r="E770" s="67" t="s">
        <v>34</v>
      </c>
      <c r="F770" s="67" t="s">
        <v>468</v>
      </c>
      <c r="G770" s="68">
        <v>21636</v>
      </c>
      <c r="H770" s="67" t="s">
        <v>330</v>
      </c>
      <c r="I770" s="200"/>
      <c r="J770" s="67" t="s">
        <v>460</v>
      </c>
      <c r="K770" s="67" t="s">
        <v>461</v>
      </c>
      <c r="L770" s="67" t="s">
        <v>251</v>
      </c>
      <c r="M770" s="67" t="s">
        <v>264</v>
      </c>
      <c r="N770" s="67" t="s">
        <v>259</v>
      </c>
      <c r="O770" s="67" t="s">
        <v>2116</v>
      </c>
      <c r="P770" s="67" t="s">
        <v>19</v>
      </c>
      <c r="Q770" s="192">
        <v>94.1</v>
      </c>
    </row>
    <row r="771" spans="1:17" ht="21.95" hidden="1" customHeight="1" x14ac:dyDescent="0.2">
      <c r="A771" s="3"/>
      <c r="B771" s="3" t="str">
        <f ca="1">IF(A771="В заказ",MAX($B$9:OFFSET(B771,-1,0))+1,"")</f>
        <v/>
      </c>
      <c r="C771" s="6" t="str">
        <f t="shared" si="30"/>
        <v>Кромка 2,0 H1251 ST19  (75 м бухта).</v>
      </c>
      <c r="D771" s="67" t="s">
        <v>241</v>
      </c>
      <c r="E771" s="67" t="s">
        <v>34</v>
      </c>
      <c r="F771" s="67" t="s">
        <v>469</v>
      </c>
      <c r="G771" s="68">
        <v>21637</v>
      </c>
      <c r="H771" s="67" t="s">
        <v>330</v>
      </c>
      <c r="I771" s="200"/>
      <c r="J771" s="67" t="s">
        <v>460</v>
      </c>
      <c r="K771" s="67" t="s">
        <v>461</v>
      </c>
      <c r="L771" s="67" t="s">
        <v>251</v>
      </c>
      <c r="M771" s="67" t="s">
        <v>270</v>
      </c>
      <c r="N771" s="67" t="s">
        <v>259</v>
      </c>
      <c r="O771" s="67" t="s">
        <v>2116</v>
      </c>
      <c r="P771" s="67" t="s">
        <v>19</v>
      </c>
      <c r="Q771" s="192">
        <v>127.6</v>
      </c>
    </row>
    <row r="772" spans="1:17" ht="21.95" hidden="1" customHeight="1" x14ac:dyDescent="0.2">
      <c r="A772" s="3"/>
      <c r="B772" s="3" t="str">
        <f ca="1">IF(A772="В заказ",MAX($B$9:OFFSET(B772,-1,0))+1,"")</f>
        <v/>
      </c>
      <c r="C772" s="6" t="str">
        <f t="shared" si="30"/>
        <v>Кромка 0,4 H1253 ST19  (200 м бухта).</v>
      </c>
      <c r="D772" s="67" t="s">
        <v>241</v>
      </c>
      <c r="E772" s="67" t="s">
        <v>34</v>
      </c>
      <c r="F772" s="67" t="s">
        <v>470</v>
      </c>
      <c r="G772" s="68">
        <v>21644</v>
      </c>
      <c r="H772" s="67" t="s">
        <v>330</v>
      </c>
      <c r="I772" s="200"/>
      <c r="J772" s="67" t="s">
        <v>471</v>
      </c>
      <c r="K772" s="67" t="s">
        <v>472</v>
      </c>
      <c r="L772" s="67" t="s">
        <v>251</v>
      </c>
      <c r="M772" s="67" t="s">
        <v>252</v>
      </c>
      <c r="N772" s="67" t="s">
        <v>253</v>
      </c>
      <c r="O772" s="67" t="s">
        <v>2117</v>
      </c>
      <c r="P772" s="67" t="s">
        <v>19</v>
      </c>
      <c r="Q772" s="192">
        <v>17.899999999999999</v>
      </c>
    </row>
    <row r="773" spans="1:17" ht="21.95" hidden="1" customHeight="1" x14ac:dyDescent="0.2">
      <c r="A773" s="3"/>
      <c r="B773" s="3" t="str">
        <f ca="1">IF(A773="В заказ",MAX($B$9:OFFSET(B773,-1,0))+1,"")</f>
        <v/>
      </c>
      <c r="C773" s="6" t="str">
        <f t="shared" si="30"/>
        <v>Кромка 0,4 H1253 ST19  (200 м бухта).</v>
      </c>
      <c r="D773" s="67" t="s">
        <v>241</v>
      </c>
      <c r="E773" s="67" t="s">
        <v>34</v>
      </c>
      <c r="F773" s="67" t="s">
        <v>473</v>
      </c>
      <c r="G773" s="68">
        <v>24522</v>
      </c>
      <c r="H773" s="67" t="s">
        <v>330</v>
      </c>
      <c r="I773" s="200"/>
      <c r="J773" s="67" t="s">
        <v>471</v>
      </c>
      <c r="K773" s="67" t="s">
        <v>472</v>
      </c>
      <c r="L773" s="67" t="s">
        <v>251</v>
      </c>
      <c r="M773" s="67" t="s">
        <v>244</v>
      </c>
      <c r="N773" s="67" t="s">
        <v>253</v>
      </c>
      <c r="O773" s="67" t="s">
        <v>2117</v>
      </c>
      <c r="P773" s="67" t="s">
        <v>19</v>
      </c>
      <c r="Q773" s="71">
        <v>22</v>
      </c>
    </row>
    <row r="774" spans="1:17" ht="21.95" hidden="1" customHeight="1" x14ac:dyDescent="0.2">
      <c r="A774" s="3"/>
      <c r="B774" s="3" t="str">
        <f ca="1">IF(A774="В заказ",MAX($B$9:OFFSET(B774,-1,0))+1,"")</f>
        <v/>
      </c>
      <c r="C774" s="6" t="str">
        <f t="shared" si="30"/>
        <v>Кромка 0,8 H1253 ST19  (75 м бухта).</v>
      </c>
      <c r="D774" s="67" t="s">
        <v>241</v>
      </c>
      <c r="E774" s="67" t="s">
        <v>34</v>
      </c>
      <c r="F774" s="67" t="s">
        <v>474</v>
      </c>
      <c r="G774" s="68">
        <v>21645</v>
      </c>
      <c r="H774" s="67" t="s">
        <v>330</v>
      </c>
      <c r="I774" s="200"/>
      <c r="J774" s="67" t="s">
        <v>471</v>
      </c>
      <c r="K774" s="67" t="s">
        <v>472</v>
      </c>
      <c r="L774" s="67" t="s">
        <v>251</v>
      </c>
      <c r="M774" s="67" t="s">
        <v>252</v>
      </c>
      <c r="N774" s="67" t="s">
        <v>10</v>
      </c>
      <c r="O774" s="67" t="s">
        <v>2116</v>
      </c>
      <c r="P774" s="67" t="s">
        <v>19</v>
      </c>
      <c r="Q774" s="71">
        <v>35</v>
      </c>
    </row>
    <row r="775" spans="1:17" ht="21.95" hidden="1" customHeight="1" x14ac:dyDescent="0.2">
      <c r="A775" s="3"/>
      <c r="B775" s="3" t="str">
        <f ca="1">IF(A775="В заказ",MAX($B$9:OFFSET(B775,-1,0))+1,"")</f>
        <v/>
      </c>
      <c r="C775" s="6" t="str">
        <f t="shared" si="30"/>
        <v>Кромка 0,8 H1253 ST19  (75 м бухта).</v>
      </c>
      <c r="D775" s="67" t="s">
        <v>241</v>
      </c>
      <c r="E775" s="67" t="s">
        <v>34</v>
      </c>
      <c r="F775" s="67" t="s">
        <v>475</v>
      </c>
      <c r="G775" s="68">
        <v>24523</v>
      </c>
      <c r="H775" s="67" t="s">
        <v>330</v>
      </c>
      <c r="I775" s="200"/>
      <c r="J775" s="67" t="s">
        <v>471</v>
      </c>
      <c r="K775" s="67" t="s">
        <v>472</v>
      </c>
      <c r="L775" s="67" t="s">
        <v>251</v>
      </c>
      <c r="M775" s="67" t="s">
        <v>244</v>
      </c>
      <c r="N775" s="67" t="s">
        <v>10</v>
      </c>
      <c r="O775" s="67" t="s">
        <v>2116</v>
      </c>
      <c r="P775" s="67" t="s">
        <v>19</v>
      </c>
      <c r="Q775" s="192">
        <v>42.3</v>
      </c>
    </row>
    <row r="776" spans="1:17" ht="21.95" hidden="1" customHeight="1" x14ac:dyDescent="0.2">
      <c r="A776" s="3"/>
      <c r="B776" s="3" t="str">
        <f ca="1">IF(A776="В заказ",MAX($B$9:OFFSET(B776,-1,0))+1,"")</f>
        <v/>
      </c>
      <c r="C776" s="6" t="str">
        <f t="shared" si="30"/>
        <v>Кромка 2,0 H1253 ST19  (75 м бухта).</v>
      </c>
      <c r="D776" s="67" t="s">
        <v>241</v>
      </c>
      <c r="E776" s="67" t="s">
        <v>34</v>
      </c>
      <c r="F776" s="67" t="s">
        <v>476</v>
      </c>
      <c r="G776" s="68">
        <v>21646</v>
      </c>
      <c r="H776" s="67" t="s">
        <v>330</v>
      </c>
      <c r="I776" s="200"/>
      <c r="J776" s="67" t="s">
        <v>471</v>
      </c>
      <c r="K776" s="67" t="s">
        <v>472</v>
      </c>
      <c r="L776" s="67" t="s">
        <v>251</v>
      </c>
      <c r="M776" s="67" t="s">
        <v>252</v>
      </c>
      <c r="N776" s="67" t="s">
        <v>259</v>
      </c>
      <c r="O776" s="67" t="s">
        <v>2116</v>
      </c>
      <c r="P776" s="67" t="s">
        <v>19</v>
      </c>
      <c r="Q776" s="192">
        <v>62.6</v>
      </c>
    </row>
    <row r="777" spans="1:17" ht="21.95" hidden="1" customHeight="1" x14ac:dyDescent="0.2">
      <c r="A777" s="3"/>
      <c r="B777" s="3" t="str">
        <f ca="1">IF(A777="В заказ",MAX($B$9:OFFSET(B777,-1,0))+1,"")</f>
        <v/>
      </c>
      <c r="C777" s="6" t="str">
        <f t="shared" si="30"/>
        <v>Кромка 2,0 H1253 ST19  (75 м бухта).</v>
      </c>
      <c r="D777" s="67" t="s">
        <v>241</v>
      </c>
      <c r="E777" s="67" t="s">
        <v>34</v>
      </c>
      <c r="F777" s="67" t="s">
        <v>477</v>
      </c>
      <c r="G777" s="68">
        <v>24524</v>
      </c>
      <c r="H777" s="67" t="s">
        <v>330</v>
      </c>
      <c r="I777" s="200"/>
      <c r="J777" s="67" t="s">
        <v>471</v>
      </c>
      <c r="K777" s="67" t="s">
        <v>472</v>
      </c>
      <c r="L777" s="67" t="s">
        <v>251</v>
      </c>
      <c r="M777" s="67" t="s">
        <v>244</v>
      </c>
      <c r="N777" s="67" t="s">
        <v>259</v>
      </c>
      <c r="O777" s="67" t="s">
        <v>2116</v>
      </c>
      <c r="P777" s="67" t="s">
        <v>19</v>
      </c>
      <c r="Q777" s="192">
        <v>65.5</v>
      </c>
    </row>
    <row r="778" spans="1:17" ht="21.95" hidden="1" customHeight="1" x14ac:dyDescent="0.2">
      <c r="A778" s="3"/>
      <c r="B778" s="3" t="str">
        <f ca="1">IF(A778="В заказ",MAX($B$9:OFFSET(B778,-1,0))+1,"")</f>
        <v/>
      </c>
      <c r="C778" s="6" t="str">
        <f t="shared" si="30"/>
        <v>Кромка 2,0 H1253 ST19  (75 м бухта).</v>
      </c>
      <c r="D778" s="67" t="s">
        <v>241</v>
      </c>
      <c r="E778" s="67" t="s">
        <v>34</v>
      </c>
      <c r="F778" s="67" t="s">
        <v>478</v>
      </c>
      <c r="G778" s="68">
        <v>21649</v>
      </c>
      <c r="H778" s="67" t="s">
        <v>330</v>
      </c>
      <c r="I778" s="200"/>
      <c r="J778" s="67" t="s">
        <v>471</v>
      </c>
      <c r="K778" s="67" t="s">
        <v>472</v>
      </c>
      <c r="L778" s="67" t="s">
        <v>251</v>
      </c>
      <c r="M778" s="67" t="s">
        <v>270</v>
      </c>
      <c r="N778" s="67" t="s">
        <v>259</v>
      </c>
      <c r="O778" s="67" t="s">
        <v>2116</v>
      </c>
      <c r="P778" s="67" t="s">
        <v>19</v>
      </c>
      <c r="Q778" s="192">
        <v>127.6</v>
      </c>
    </row>
    <row r="779" spans="1:17" ht="11.1" hidden="1" customHeight="1" x14ac:dyDescent="0.2">
      <c r="A779" s="3"/>
      <c r="B779" s="3" t="str">
        <f ca="1">IF(A779="В заказ",MAX($B$9:OFFSET(B779,-1,0))+1,"")</f>
        <v/>
      </c>
      <c r="C779" s="6" t="str">
        <f t="shared" si="30"/>
        <v>Кромка 0,4 H1277 ST9  (200 м бухта).</v>
      </c>
      <c r="D779" s="67" t="s">
        <v>241</v>
      </c>
      <c r="E779" s="67" t="s">
        <v>34</v>
      </c>
      <c r="F779" s="67" t="s">
        <v>479</v>
      </c>
      <c r="G779" s="68">
        <v>7661</v>
      </c>
      <c r="H779" s="67" t="s">
        <v>330</v>
      </c>
      <c r="I779" s="200"/>
      <c r="J779" s="67" t="s">
        <v>65</v>
      </c>
      <c r="K779" s="67" t="s">
        <v>66</v>
      </c>
      <c r="L779" s="67" t="s">
        <v>22</v>
      </c>
      <c r="M779" s="67" t="s">
        <v>252</v>
      </c>
      <c r="N779" s="67" t="s">
        <v>253</v>
      </c>
      <c r="O779" s="67" t="s">
        <v>2117</v>
      </c>
      <c r="P779" s="67" t="s">
        <v>19</v>
      </c>
      <c r="Q779" s="192">
        <v>17.899999999999999</v>
      </c>
    </row>
    <row r="780" spans="1:17" ht="11.1" hidden="1" customHeight="1" x14ac:dyDescent="0.2">
      <c r="A780" s="3"/>
      <c r="B780" s="3" t="str">
        <f ca="1">IF(A780="В заказ",MAX($B$9:OFFSET(B780,-1,0))+1,"")</f>
        <v/>
      </c>
      <c r="C780" s="6" t="str">
        <f t="shared" si="30"/>
        <v>Кромка 0,4 H1277 ST9  (200 м бухта).</v>
      </c>
      <c r="D780" s="67" t="s">
        <v>241</v>
      </c>
      <c r="E780" s="67" t="s">
        <v>34</v>
      </c>
      <c r="F780" s="67" t="s">
        <v>480</v>
      </c>
      <c r="G780" s="68">
        <v>24565</v>
      </c>
      <c r="H780" s="67" t="s">
        <v>330</v>
      </c>
      <c r="I780" s="200"/>
      <c r="J780" s="67" t="s">
        <v>65</v>
      </c>
      <c r="K780" s="67" t="s">
        <v>66</v>
      </c>
      <c r="L780" s="67" t="s">
        <v>22</v>
      </c>
      <c r="M780" s="67" t="s">
        <v>244</v>
      </c>
      <c r="N780" s="67" t="s">
        <v>253</v>
      </c>
      <c r="O780" s="67" t="s">
        <v>2117</v>
      </c>
      <c r="P780" s="67" t="s">
        <v>19</v>
      </c>
      <c r="Q780" s="71">
        <v>22</v>
      </c>
    </row>
    <row r="781" spans="1:17" ht="11.1" hidden="1" customHeight="1" x14ac:dyDescent="0.2">
      <c r="A781" s="3"/>
      <c r="B781" s="3" t="str">
        <f ca="1">IF(A781="В заказ",MAX($B$9:OFFSET(B781,-1,0))+1,"")</f>
        <v/>
      </c>
      <c r="C781" s="6" t="str">
        <f t="shared" si="30"/>
        <v>Кромка 0,4 H1277 ST9  (200 м бухта).</v>
      </c>
      <c r="D781" s="67" t="s">
        <v>241</v>
      </c>
      <c r="E781" s="67" t="s">
        <v>34</v>
      </c>
      <c r="F781" s="67" t="s">
        <v>481</v>
      </c>
      <c r="G781" s="68">
        <v>7663</v>
      </c>
      <c r="H781" s="67" t="s">
        <v>330</v>
      </c>
      <c r="I781" s="200"/>
      <c r="J781" s="67" t="s">
        <v>65</v>
      </c>
      <c r="K781" s="67" t="s">
        <v>66</v>
      </c>
      <c r="L781" s="67" t="s">
        <v>22</v>
      </c>
      <c r="M781" s="67" t="s">
        <v>264</v>
      </c>
      <c r="N781" s="67" t="s">
        <v>253</v>
      </c>
      <c r="O781" s="67" t="s">
        <v>2117</v>
      </c>
      <c r="P781" s="67" t="s">
        <v>19</v>
      </c>
      <c r="Q781" s="192">
        <v>28.9</v>
      </c>
    </row>
    <row r="782" spans="1:17" ht="11.1" hidden="1" customHeight="1" x14ac:dyDescent="0.2">
      <c r="A782" s="3"/>
      <c r="B782" s="3" t="str">
        <f ca="1">IF(A782="В заказ",MAX($B$9:OFFSET(B782,-1,0))+1,"")</f>
        <v/>
      </c>
      <c r="C782" s="6" t="str">
        <f t="shared" si="30"/>
        <v>Кромка 0,8 H1277 ST9  (75 м бухта).</v>
      </c>
      <c r="D782" s="67" t="s">
        <v>241</v>
      </c>
      <c r="E782" s="67" t="s">
        <v>34</v>
      </c>
      <c r="F782" s="67" t="s">
        <v>482</v>
      </c>
      <c r="G782" s="68">
        <v>12500</v>
      </c>
      <c r="H782" s="67" t="s">
        <v>330</v>
      </c>
      <c r="I782" s="200"/>
      <c r="J782" s="67" t="s">
        <v>65</v>
      </c>
      <c r="K782" s="67" t="s">
        <v>66</v>
      </c>
      <c r="L782" s="67" t="s">
        <v>22</v>
      </c>
      <c r="M782" s="67" t="s">
        <v>252</v>
      </c>
      <c r="N782" s="67" t="s">
        <v>10</v>
      </c>
      <c r="O782" s="67" t="s">
        <v>2116</v>
      </c>
      <c r="P782" s="67" t="s">
        <v>19</v>
      </c>
      <c r="Q782" s="71">
        <v>35</v>
      </c>
    </row>
    <row r="783" spans="1:17" ht="11.1" hidden="1" customHeight="1" x14ac:dyDescent="0.2">
      <c r="A783" s="3"/>
      <c r="B783" s="3" t="str">
        <f ca="1">IF(A783="В заказ",MAX($B$9:OFFSET(B783,-1,0))+1,"")</f>
        <v/>
      </c>
      <c r="C783" s="6" t="str">
        <f t="shared" si="30"/>
        <v>Кромка 0,8 H1277 ST9  (75 м бухта).</v>
      </c>
      <c r="D783" s="67" t="s">
        <v>241</v>
      </c>
      <c r="E783" s="67" t="s">
        <v>34</v>
      </c>
      <c r="F783" s="67" t="s">
        <v>483</v>
      </c>
      <c r="G783" s="68">
        <v>18801</v>
      </c>
      <c r="H783" s="67" t="s">
        <v>330</v>
      </c>
      <c r="I783" s="200"/>
      <c r="J783" s="67" t="s">
        <v>65</v>
      </c>
      <c r="K783" s="67" t="s">
        <v>66</v>
      </c>
      <c r="L783" s="67" t="s">
        <v>22</v>
      </c>
      <c r="M783" s="67" t="s">
        <v>244</v>
      </c>
      <c r="N783" s="67" t="s">
        <v>10</v>
      </c>
      <c r="O783" s="67" t="s">
        <v>2116</v>
      </c>
      <c r="P783" s="67" t="s">
        <v>19</v>
      </c>
      <c r="Q783" s="192">
        <v>42.3</v>
      </c>
    </row>
    <row r="784" spans="1:17" ht="11.1" hidden="1" customHeight="1" x14ac:dyDescent="0.2">
      <c r="A784" s="3"/>
      <c r="B784" s="3" t="str">
        <f ca="1">IF(A784="В заказ",MAX($B$9:OFFSET(B784,-1,0))+1,"")</f>
        <v/>
      </c>
      <c r="C784" s="6" t="str">
        <f t="shared" si="30"/>
        <v>Кромка 0,8 H1277 ST9  (75 м бухта).</v>
      </c>
      <c r="D784" s="67" t="s">
        <v>241</v>
      </c>
      <c r="E784" s="67" t="s">
        <v>34</v>
      </c>
      <c r="F784" s="67" t="s">
        <v>484</v>
      </c>
      <c r="G784" s="68">
        <v>16790</v>
      </c>
      <c r="H784" s="67" t="s">
        <v>330</v>
      </c>
      <c r="I784" s="200"/>
      <c r="J784" s="67" t="s">
        <v>65</v>
      </c>
      <c r="K784" s="67" t="s">
        <v>66</v>
      </c>
      <c r="L784" s="67" t="s">
        <v>22</v>
      </c>
      <c r="M784" s="67" t="s">
        <v>264</v>
      </c>
      <c r="N784" s="67" t="s">
        <v>10</v>
      </c>
      <c r="O784" s="67" t="s">
        <v>2116</v>
      </c>
      <c r="P784" s="67" t="s">
        <v>19</v>
      </c>
      <c r="Q784" s="192">
        <v>66.900000000000006</v>
      </c>
    </row>
    <row r="785" spans="1:17" ht="11.1" hidden="1" customHeight="1" x14ac:dyDescent="0.2">
      <c r="A785" s="3"/>
      <c r="B785" s="3" t="str">
        <f ca="1">IF(A785="В заказ",MAX($B$9:OFFSET(B785,-1,0))+1,"")</f>
        <v/>
      </c>
      <c r="C785" s="6" t="str">
        <f t="shared" si="30"/>
        <v>Кромка 2,0 H1277 ST9  (75 м бухта).</v>
      </c>
      <c r="D785" s="67" t="s">
        <v>241</v>
      </c>
      <c r="E785" s="67" t="s">
        <v>34</v>
      </c>
      <c r="F785" s="67" t="s">
        <v>485</v>
      </c>
      <c r="G785" s="68">
        <v>7662</v>
      </c>
      <c r="H785" s="67" t="s">
        <v>330</v>
      </c>
      <c r="I785" s="200"/>
      <c r="J785" s="67" t="s">
        <v>65</v>
      </c>
      <c r="K785" s="67" t="s">
        <v>66</v>
      </c>
      <c r="L785" s="67" t="s">
        <v>22</v>
      </c>
      <c r="M785" s="67" t="s">
        <v>252</v>
      </c>
      <c r="N785" s="67" t="s">
        <v>259</v>
      </c>
      <c r="O785" s="67" t="s">
        <v>2116</v>
      </c>
      <c r="P785" s="67" t="s">
        <v>19</v>
      </c>
      <c r="Q785" s="192">
        <v>62.6</v>
      </c>
    </row>
    <row r="786" spans="1:17" ht="11.1" hidden="1" customHeight="1" x14ac:dyDescent="0.2">
      <c r="A786" s="3"/>
      <c r="B786" s="3" t="str">
        <f ca="1">IF(A786="В заказ",MAX($B$9:OFFSET(B786,-1,0))+1,"")</f>
        <v/>
      </c>
      <c r="C786" s="6" t="str">
        <f t="shared" si="30"/>
        <v>Кромка 2,0 H1277 ST9  (75 м бухта).</v>
      </c>
      <c r="D786" s="67" t="s">
        <v>241</v>
      </c>
      <c r="E786" s="67" t="s">
        <v>34</v>
      </c>
      <c r="F786" s="67" t="s">
        <v>486</v>
      </c>
      <c r="G786" s="68">
        <v>13446</v>
      </c>
      <c r="H786" s="67" t="s">
        <v>330</v>
      </c>
      <c r="I786" s="200"/>
      <c r="J786" s="67" t="s">
        <v>65</v>
      </c>
      <c r="K786" s="67" t="s">
        <v>66</v>
      </c>
      <c r="L786" s="67" t="s">
        <v>22</v>
      </c>
      <c r="M786" s="67" t="s">
        <v>244</v>
      </c>
      <c r="N786" s="67" t="s">
        <v>259</v>
      </c>
      <c r="O786" s="67" t="s">
        <v>2116</v>
      </c>
      <c r="P786" s="67" t="s">
        <v>19</v>
      </c>
      <c r="Q786" s="192">
        <v>65.5</v>
      </c>
    </row>
    <row r="787" spans="1:17" ht="11.1" hidden="1" customHeight="1" x14ac:dyDescent="0.2">
      <c r="A787" s="3"/>
      <c r="B787" s="3" t="str">
        <f ca="1">IF(A787="В заказ",MAX($B$9:OFFSET(B787,-1,0))+1,"")</f>
        <v/>
      </c>
      <c r="C787" s="6" t="str">
        <f t="shared" si="30"/>
        <v>Кромка 2,0 H1277 ST9  (75 м бухта).</v>
      </c>
      <c r="D787" s="67" t="s">
        <v>241</v>
      </c>
      <c r="E787" s="67" t="s">
        <v>34</v>
      </c>
      <c r="F787" s="67" t="s">
        <v>487</v>
      </c>
      <c r="G787" s="68">
        <v>7121</v>
      </c>
      <c r="H787" s="67" t="s">
        <v>330</v>
      </c>
      <c r="I787" s="200"/>
      <c r="J787" s="67" t="s">
        <v>65</v>
      </c>
      <c r="K787" s="67" t="s">
        <v>66</v>
      </c>
      <c r="L787" s="67" t="s">
        <v>22</v>
      </c>
      <c r="M787" s="67" t="s">
        <v>264</v>
      </c>
      <c r="N787" s="67" t="s">
        <v>259</v>
      </c>
      <c r="O787" s="67" t="s">
        <v>2116</v>
      </c>
      <c r="P787" s="67" t="s">
        <v>19</v>
      </c>
      <c r="Q787" s="192">
        <v>94.1</v>
      </c>
    </row>
    <row r="788" spans="1:17" ht="11.1" hidden="1" customHeight="1" x14ac:dyDescent="0.2">
      <c r="A788" s="3"/>
      <c r="B788" s="3" t="str">
        <f ca="1">IF(A788="В заказ",MAX($B$9:OFFSET(B788,-1,0))+1,"")</f>
        <v/>
      </c>
      <c r="C788" s="6" t="str">
        <f t="shared" si="30"/>
        <v>Кромка 2,0 H1277 ST9  (75 м бухта).</v>
      </c>
      <c r="D788" s="67" t="s">
        <v>241</v>
      </c>
      <c r="E788" s="67" t="s">
        <v>34</v>
      </c>
      <c r="F788" s="67" t="s">
        <v>488</v>
      </c>
      <c r="G788" s="68">
        <v>8889</v>
      </c>
      <c r="H788" s="67" t="s">
        <v>330</v>
      </c>
      <c r="I788" s="200"/>
      <c r="J788" s="67" t="s">
        <v>65</v>
      </c>
      <c r="K788" s="67" t="s">
        <v>66</v>
      </c>
      <c r="L788" s="67" t="s">
        <v>22</v>
      </c>
      <c r="M788" s="67" t="s">
        <v>270</v>
      </c>
      <c r="N788" s="67" t="s">
        <v>259</v>
      </c>
      <c r="O788" s="67" t="s">
        <v>2116</v>
      </c>
      <c r="P788" s="67" t="s">
        <v>19</v>
      </c>
      <c r="Q788" s="192">
        <v>127.6</v>
      </c>
    </row>
    <row r="789" spans="1:17" ht="11.1" hidden="1" customHeight="1" x14ac:dyDescent="0.2">
      <c r="A789" s="3"/>
      <c r="B789" s="3" t="str">
        <f ca="1">IF(A789="В заказ",MAX($B$9:OFFSET(B789,-1,0))+1,"")</f>
        <v/>
      </c>
      <c r="C789" s="6" t="str">
        <f t="shared" si="30"/>
        <v>Кромка 2,0 H1277 ST9  (75 м бухта).</v>
      </c>
      <c r="D789" s="67" t="s">
        <v>241</v>
      </c>
      <c r="E789" s="67" t="s">
        <v>34</v>
      </c>
      <c r="F789" s="67" t="s">
        <v>489</v>
      </c>
      <c r="G789" s="68">
        <v>21883</v>
      </c>
      <c r="H789" s="67" t="s">
        <v>330</v>
      </c>
      <c r="I789" s="200"/>
      <c r="J789" s="67" t="s">
        <v>65</v>
      </c>
      <c r="K789" s="67" t="s">
        <v>66</v>
      </c>
      <c r="L789" s="67" t="s">
        <v>22</v>
      </c>
      <c r="M789" s="67" t="s">
        <v>282</v>
      </c>
      <c r="N789" s="67" t="s">
        <v>259</v>
      </c>
      <c r="O789" s="67" t="s">
        <v>2116</v>
      </c>
      <c r="P789" s="67" t="s">
        <v>19</v>
      </c>
      <c r="Q789" s="192">
        <v>187.5</v>
      </c>
    </row>
    <row r="790" spans="1:17" ht="11.1" hidden="1" customHeight="1" x14ac:dyDescent="0.2">
      <c r="A790" s="3"/>
      <c r="B790" s="3" t="str">
        <f ca="1">IF(A790="В заказ",MAX($B$9:OFFSET(B790,-1,0))+1,"")</f>
        <v/>
      </c>
      <c r="C790" s="6" t="str">
        <f t="shared" si="30"/>
        <v>Кромка 0,4 H1312 ST10  (200 м бухта).</v>
      </c>
      <c r="D790" s="67" t="s">
        <v>241</v>
      </c>
      <c r="E790" s="67" t="s">
        <v>34</v>
      </c>
      <c r="F790" s="67" t="s">
        <v>490</v>
      </c>
      <c r="G790" s="68">
        <v>21650</v>
      </c>
      <c r="H790" s="67" t="s">
        <v>330</v>
      </c>
      <c r="I790" s="200"/>
      <c r="J790" s="67" t="s">
        <v>491</v>
      </c>
      <c r="K790" s="67" t="s">
        <v>492</v>
      </c>
      <c r="L790" s="67" t="s">
        <v>38</v>
      </c>
      <c r="M790" s="67" t="s">
        <v>252</v>
      </c>
      <c r="N790" s="67" t="s">
        <v>253</v>
      </c>
      <c r="O790" s="67" t="s">
        <v>2117</v>
      </c>
      <c r="P790" s="67" t="s">
        <v>19</v>
      </c>
      <c r="Q790" s="192">
        <v>17.899999999999999</v>
      </c>
    </row>
    <row r="791" spans="1:17" ht="11.1" hidden="1" customHeight="1" x14ac:dyDescent="0.2">
      <c r="A791" s="3"/>
      <c r="B791" s="3" t="str">
        <f ca="1">IF(A791="В заказ",MAX($B$9:OFFSET(B791,-1,0))+1,"")</f>
        <v/>
      </c>
      <c r="C791" s="6" t="str">
        <f t="shared" si="30"/>
        <v>Кромка 0,4 H1312 ST10  (200 м бухта).</v>
      </c>
      <c r="D791" s="67" t="s">
        <v>241</v>
      </c>
      <c r="E791" s="67" t="s">
        <v>34</v>
      </c>
      <c r="F791" s="67" t="s">
        <v>493</v>
      </c>
      <c r="G791" s="68">
        <v>21653</v>
      </c>
      <c r="H791" s="67" t="s">
        <v>330</v>
      </c>
      <c r="I791" s="200"/>
      <c r="J791" s="67" t="s">
        <v>491</v>
      </c>
      <c r="K791" s="67" t="s">
        <v>492</v>
      </c>
      <c r="L791" s="67" t="s">
        <v>38</v>
      </c>
      <c r="M791" s="67" t="s">
        <v>264</v>
      </c>
      <c r="N791" s="67" t="s">
        <v>253</v>
      </c>
      <c r="O791" s="67" t="s">
        <v>2117</v>
      </c>
      <c r="P791" s="67" t="s">
        <v>19</v>
      </c>
      <c r="Q791" s="192">
        <v>28.9</v>
      </c>
    </row>
    <row r="792" spans="1:17" ht="11.1" hidden="1" customHeight="1" x14ac:dyDescent="0.2">
      <c r="A792" s="3"/>
      <c r="B792" s="3" t="str">
        <f ca="1">IF(A792="В заказ",MAX($B$9:OFFSET(B792,-1,0))+1,"")</f>
        <v/>
      </c>
      <c r="C792" s="6" t="str">
        <f t="shared" si="30"/>
        <v>Кромка 0,8 H1312 ST10  (75 м бухта).</v>
      </c>
      <c r="D792" s="67" t="s">
        <v>241</v>
      </c>
      <c r="E792" s="67" t="s">
        <v>34</v>
      </c>
      <c r="F792" s="67" t="s">
        <v>494</v>
      </c>
      <c r="G792" s="68">
        <v>21651</v>
      </c>
      <c r="H792" s="67" t="s">
        <v>330</v>
      </c>
      <c r="I792" s="200"/>
      <c r="J792" s="67" t="s">
        <v>491</v>
      </c>
      <c r="K792" s="67" t="s">
        <v>492</v>
      </c>
      <c r="L792" s="67" t="s">
        <v>38</v>
      </c>
      <c r="M792" s="67" t="s">
        <v>252</v>
      </c>
      <c r="N792" s="67" t="s">
        <v>10</v>
      </c>
      <c r="O792" s="67" t="s">
        <v>2116</v>
      </c>
      <c r="P792" s="67" t="s">
        <v>19</v>
      </c>
      <c r="Q792" s="71">
        <v>35</v>
      </c>
    </row>
    <row r="793" spans="1:17" ht="11.1" hidden="1" customHeight="1" x14ac:dyDescent="0.2">
      <c r="A793" s="3"/>
      <c r="B793" s="3" t="str">
        <f ca="1">IF(A793="В заказ",MAX($B$9:OFFSET(B793,-1,0))+1,"")</f>
        <v/>
      </c>
      <c r="C793" s="6" t="str">
        <f t="shared" si="30"/>
        <v>Кромка 2,0 H1312 ST10  (75 м бухта).</v>
      </c>
      <c r="D793" s="67" t="s">
        <v>241</v>
      </c>
      <c r="E793" s="67" t="s">
        <v>34</v>
      </c>
      <c r="F793" s="67" t="s">
        <v>495</v>
      </c>
      <c r="G793" s="68">
        <v>21652</v>
      </c>
      <c r="H793" s="67" t="s">
        <v>330</v>
      </c>
      <c r="I793" s="200"/>
      <c r="J793" s="67" t="s">
        <v>491</v>
      </c>
      <c r="K793" s="67" t="s">
        <v>492</v>
      </c>
      <c r="L793" s="67" t="s">
        <v>38</v>
      </c>
      <c r="M793" s="67" t="s">
        <v>252</v>
      </c>
      <c r="N793" s="67" t="s">
        <v>259</v>
      </c>
      <c r="O793" s="67" t="s">
        <v>2116</v>
      </c>
      <c r="P793" s="67" t="s">
        <v>19</v>
      </c>
      <c r="Q793" s="192">
        <v>62.6</v>
      </c>
    </row>
    <row r="794" spans="1:17" ht="11.1" hidden="1" customHeight="1" x14ac:dyDescent="0.2">
      <c r="A794" s="3"/>
      <c r="B794" s="3" t="str">
        <f ca="1">IF(A794="В заказ",MAX($B$9:OFFSET(B794,-1,0))+1,"")</f>
        <v/>
      </c>
      <c r="C794" s="6" t="str">
        <f t="shared" si="30"/>
        <v>Кромка 2,0 H1312 ST10  (75 м бухта).</v>
      </c>
      <c r="D794" s="67" t="s">
        <v>241</v>
      </c>
      <c r="E794" s="67" t="s">
        <v>34</v>
      </c>
      <c r="F794" s="67" t="s">
        <v>496</v>
      </c>
      <c r="G794" s="68">
        <v>21654</v>
      </c>
      <c r="H794" s="67" t="s">
        <v>330</v>
      </c>
      <c r="I794" s="200"/>
      <c r="J794" s="67" t="s">
        <v>491</v>
      </c>
      <c r="K794" s="67" t="s">
        <v>492</v>
      </c>
      <c r="L794" s="67" t="s">
        <v>38</v>
      </c>
      <c r="M794" s="67" t="s">
        <v>264</v>
      </c>
      <c r="N794" s="67" t="s">
        <v>259</v>
      </c>
      <c r="O794" s="67" t="s">
        <v>2116</v>
      </c>
      <c r="P794" s="67" t="s">
        <v>19</v>
      </c>
      <c r="Q794" s="192">
        <v>94.1</v>
      </c>
    </row>
    <row r="795" spans="1:17" ht="11.1" hidden="1" customHeight="1" x14ac:dyDescent="0.2">
      <c r="A795" s="3"/>
      <c r="B795" s="3" t="str">
        <f ca="1">IF(A795="В заказ",MAX($B$9:OFFSET(B795,-1,0))+1,"")</f>
        <v/>
      </c>
      <c r="C795" s="6" t="str">
        <f t="shared" si="30"/>
        <v>Кромка 2,0 H1312 ST10  (75 м бухта).</v>
      </c>
      <c r="D795" s="67" t="s">
        <v>241</v>
      </c>
      <c r="E795" s="67" t="s">
        <v>34</v>
      </c>
      <c r="F795" s="67" t="s">
        <v>497</v>
      </c>
      <c r="G795" s="68">
        <v>21655</v>
      </c>
      <c r="H795" s="67" t="s">
        <v>330</v>
      </c>
      <c r="I795" s="200"/>
      <c r="J795" s="67" t="s">
        <v>491</v>
      </c>
      <c r="K795" s="67" t="s">
        <v>492</v>
      </c>
      <c r="L795" s="67" t="s">
        <v>38</v>
      </c>
      <c r="M795" s="67" t="s">
        <v>270</v>
      </c>
      <c r="N795" s="67" t="s">
        <v>259</v>
      </c>
      <c r="O795" s="67" t="s">
        <v>2116</v>
      </c>
      <c r="P795" s="67" t="s">
        <v>19</v>
      </c>
      <c r="Q795" s="192">
        <v>127.6</v>
      </c>
    </row>
    <row r="796" spans="1:17" ht="11.1" hidden="1" customHeight="1" x14ac:dyDescent="0.2">
      <c r="A796" s="3"/>
      <c r="B796" s="3" t="str">
        <f ca="1">IF(A796="В заказ",MAX($B$9:OFFSET(B796,-1,0))+1,"")</f>
        <v/>
      </c>
      <c r="C796" s="6" t="str">
        <f t="shared" si="30"/>
        <v>Кромка 0,4 H1313 ST10  (200 м бухта).</v>
      </c>
      <c r="D796" s="67" t="s">
        <v>241</v>
      </c>
      <c r="E796" s="67" t="s">
        <v>34</v>
      </c>
      <c r="F796" s="67" t="s">
        <v>498</v>
      </c>
      <c r="G796" s="68">
        <v>21656</v>
      </c>
      <c r="H796" s="67" t="s">
        <v>330</v>
      </c>
      <c r="I796" s="200"/>
      <c r="J796" s="67" t="s">
        <v>499</v>
      </c>
      <c r="K796" s="67" t="s">
        <v>500</v>
      </c>
      <c r="L796" s="67" t="s">
        <v>38</v>
      </c>
      <c r="M796" s="67" t="s">
        <v>252</v>
      </c>
      <c r="N796" s="67" t="s">
        <v>253</v>
      </c>
      <c r="O796" s="67" t="s">
        <v>2117</v>
      </c>
      <c r="P796" s="67" t="s">
        <v>19</v>
      </c>
      <c r="Q796" s="192">
        <v>17.899999999999999</v>
      </c>
    </row>
    <row r="797" spans="1:17" ht="11.1" hidden="1" customHeight="1" x14ac:dyDescent="0.2">
      <c r="A797" s="3"/>
      <c r="B797" s="3" t="str">
        <f ca="1">IF(A797="В заказ",MAX($B$9:OFFSET(B797,-1,0))+1,"")</f>
        <v/>
      </c>
      <c r="C797" s="6" t="str">
        <f t="shared" si="30"/>
        <v>Кромка 0,4 H1313 ST10  (200 м бухта).</v>
      </c>
      <c r="D797" s="67" t="s">
        <v>241</v>
      </c>
      <c r="E797" s="67" t="s">
        <v>34</v>
      </c>
      <c r="F797" s="67" t="s">
        <v>501</v>
      </c>
      <c r="G797" s="68">
        <v>21661</v>
      </c>
      <c r="H797" s="67" t="s">
        <v>330</v>
      </c>
      <c r="I797" s="200"/>
      <c r="J797" s="67" t="s">
        <v>499</v>
      </c>
      <c r="K797" s="67" t="s">
        <v>500</v>
      </c>
      <c r="L797" s="67" t="s">
        <v>38</v>
      </c>
      <c r="M797" s="67" t="s">
        <v>264</v>
      </c>
      <c r="N797" s="67" t="s">
        <v>253</v>
      </c>
      <c r="O797" s="67" t="s">
        <v>2117</v>
      </c>
      <c r="P797" s="67" t="s">
        <v>19</v>
      </c>
      <c r="Q797" s="192">
        <v>28.9</v>
      </c>
    </row>
    <row r="798" spans="1:17" ht="11.1" hidden="1" customHeight="1" x14ac:dyDescent="0.2">
      <c r="A798" s="3"/>
      <c r="B798" s="3" t="str">
        <f ca="1">IF(A798="В заказ",MAX($B$9:OFFSET(B798,-1,0))+1,"")</f>
        <v/>
      </c>
      <c r="C798" s="6" t="str">
        <f t="shared" si="30"/>
        <v>Кромка 0,8 H1313 ST10  (75 м бухта).</v>
      </c>
      <c r="D798" s="67" t="s">
        <v>241</v>
      </c>
      <c r="E798" s="67" t="s">
        <v>34</v>
      </c>
      <c r="F798" s="67" t="s">
        <v>502</v>
      </c>
      <c r="G798" s="68">
        <v>21659</v>
      </c>
      <c r="H798" s="67" t="s">
        <v>330</v>
      </c>
      <c r="I798" s="200"/>
      <c r="J798" s="67" t="s">
        <v>499</v>
      </c>
      <c r="K798" s="67" t="s">
        <v>500</v>
      </c>
      <c r="L798" s="67" t="s">
        <v>38</v>
      </c>
      <c r="M798" s="67" t="s">
        <v>252</v>
      </c>
      <c r="N798" s="67" t="s">
        <v>10</v>
      </c>
      <c r="O798" s="67" t="s">
        <v>2116</v>
      </c>
      <c r="P798" s="67" t="s">
        <v>19</v>
      </c>
      <c r="Q798" s="71">
        <v>35</v>
      </c>
    </row>
    <row r="799" spans="1:17" ht="11.1" hidden="1" customHeight="1" x14ac:dyDescent="0.2">
      <c r="A799" s="3"/>
      <c r="B799" s="3" t="str">
        <f ca="1">IF(A799="В заказ",MAX($B$9:OFFSET(B799,-1,0))+1,"")</f>
        <v/>
      </c>
      <c r="C799" s="6" t="str">
        <f t="shared" si="30"/>
        <v>Кромка 2,0 H1313 ST10  (75 м бухта).</v>
      </c>
      <c r="D799" s="67" t="s">
        <v>241</v>
      </c>
      <c r="E799" s="67" t="s">
        <v>34</v>
      </c>
      <c r="F799" s="67" t="s">
        <v>503</v>
      </c>
      <c r="G799" s="68">
        <v>21660</v>
      </c>
      <c r="H799" s="67" t="s">
        <v>330</v>
      </c>
      <c r="I799" s="200"/>
      <c r="J799" s="67" t="s">
        <v>499</v>
      </c>
      <c r="K799" s="67" t="s">
        <v>500</v>
      </c>
      <c r="L799" s="67" t="s">
        <v>38</v>
      </c>
      <c r="M799" s="67" t="s">
        <v>252</v>
      </c>
      <c r="N799" s="67" t="s">
        <v>259</v>
      </c>
      <c r="O799" s="67" t="s">
        <v>2116</v>
      </c>
      <c r="P799" s="67" t="s">
        <v>19</v>
      </c>
      <c r="Q799" s="192">
        <v>62.6</v>
      </c>
    </row>
    <row r="800" spans="1:17" ht="11.1" hidden="1" customHeight="1" x14ac:dyDescent="0.2">
      <c r="A800" s="3"/>
      <c r="B800" s="3" t="str">
        <f ca="1">IF(A800="В заказ",MAX($B$9:OFFSET(B800,-1,0))+1,"")</f>
        <v/>
      </c>
      <c r="C800" s="6" t="str">
        <f t="shared" si="30"/>
        <v>Кромка 2,0 H1313 ST10  (75 м бухта).</v>
      </c>
      <c r="D800" s="67" t="s">
        <v>241</v>
      </c>
      <c r="E800" s="67" t="s">
        <v>34</v>
      </c>
      <c r="F800" s="67" t="s">
        <v>504</v>
      </c>
      <c r="G800" s="68">
        <v>21662</v>
      </c>
      <c r="H800" s="67" t="s">
        <v>330</v>
      </c>
      <c r="I800" s="200"/>
      <c r="J800" s="67" t="s">
        <v>499</v>
      </c>
      <c r="K800" s="67" t="s">
        <v>500</v>
      </c>
      <c r="L800" s="67" t="s">
        <v>38</v>
      </c>
      <c r="M800" s="67" t="s">
        <v>264</v>
      </c>
      <c r="N800" s="67" t="s">
        <v>259</v>
      </c>
      <c r="O800" s="67" t="s">
        <v>2116</v>
      </c>
      <c r="P800" s="67" t="s">
        <v>19</v>
      </c>
      <c r="Q800" s="192">
        <v>94.1</v>
      </c>
    </row>
    <row r="801" spans="1:17" ht="11.1" hidden="1" customHeight="1" x14ac:dyDescent="0.2">
      <c r="A801" s="3"/>
      <c r="B801" s="3" t="str">
        <f ca="1">IF(A801="В заказ",MAX($B$9:OFFSET(B801,-1,0))+1,"")</f>
        <v/>
      </c>
      <c r="C801" s="6" t="str">
        <f t="shared" si="30"/>
        <v>Кромка 2,0 H1313 ST10  (75 м бухта).</v>
      </c>
      <c r="D801" s="67" t="s">
        <v>241</v>
      </c>
      <c r="E801" s="67" t="s">
        <v>34</v>
      </c>
      <c r="F801" s="67" t="s">
        <v>505</v>
      </c>
      <c r="G801" s="68">
        <v>21663</v>
      </c>
      <c r="H801" s="67" t="s">
        <v>330</v>
      </c>
      <c r="I801" s="200"/>
      <c r="J801" s="67" t="s">
        <v>499</v>
      </c>
      <c r="K801" s="67" t="s">
        <v>500</v>
      </c>
      <c r="L801" s="67" t="s">
        <v>38</v>
      </c>
      <c r="M801" s="67" t="s">
        <v>270</v>
      </c>
      <c r="N801" s="67" t="s">
        <v>259</v>
      </c>
      <c r="O801" s="67" t="s">
        <v>2116</v>
      </c>
      <c r="P801" s="67" t="s">
        <v>19</v>
      </c>
      <c r="Q801" s="192">
        <v>127.6</v>
      </c>
    </row>
    <row r="802" spans="1:17" ht="11.1" hidden="1" customHeight="1" x14ac:dyDescent="0.2">
      <c r="A802" s="3"/>
      <c r="B802" s="3" t="str">
        <f ca="1">IF(A802="В заказ",MAX($B$9:OFFSET(B802,-1,0))+1,"")</f>
        <v/>
      </c>
      <c r="C802" s="6" t="str">
        <f t="shared" si="30"/>
        <v>Кромка 0,4 H1318 ST10  (200 м бухта).</v>
      </c>
      <c r="D802" s="67" t="s">
        <v>241</v>
      </c>
      <c r="E802" s="67" t="s">
        <v>34</v>
      </c>
      <c r="F802" s="67" t="s">
        <v>506</v>
      </c>
      <c r="G802" s="68">
        <v>21664</v>
      </c>
      <c r="H802" s="67" t="s">
        <v>330</v>
      </c>
      <c r="I802" s="200"/>
      <c r="J802" s="67" t="s">
        <v>507</v>
      </c>
      <c r="K802" s="67" t="s">
        <v>508</v>
      </c>
      <c r="L802" s="67" t="s">
        <v>38</v>
      </c>
      <c r="M802" s="67" t="s">
        <v>252</v>
      </c>
      <c r="N802" s="67" t="s">
        <v>253</v>
      </c>
      <c r="O802" s="67" t="s">
        <v>2117</v>
      </c>
      <c r="P802" s="67" t="s">
        <v>19</v>
      </c>
      <c r="Q802" s="192">
        <v>17.899999999999999</v>
      </c>
    </row>
    <row r="803" spans="1:17" ht="11.1" hidden="1" customHeight="1" x14ac:dyDescent="0.2">
      <c r="A803" s="3"/>
      <c r="B803" s="3" t="str">
        <f ca="1">IF(A803="В заказ",MAX($B$9:OFFSET(B803,-1,0))+1,"")</f>
        <v/>
      </c>
      <c r="C803" s="6" t="str">
        <f t="shared" si="30"/>
        <v>Кромка 0,4 H1318 ST10  (200 м бухта).</v>
      </c>
      <c r="D803" s="67" t="s">
        <v>241</v>
      </c>
      <c r="E803" s="67" t="s">
        <v>34</v>
      </c>
      <c r="F803" s="67" t="s">
        <v>509</v>
      </c>
      <c r="G803" s="68">
        <v>21667</v>
      </c>
      <c r="H803" s="67" t="s">
        <v>330</v>
      </c>
      <c r="I803" s="200"/>
      <c r="J803" s="67" t="s">
        <v>507</v>
      </c>
      <c r="K803" s="67" t="s">
        <v>508</v>
      </c>
      <c r="L803" s="67" t="s">
        <v>38</v>
      </c>
      <c r="M803" s="67" t="s">
        <v>264</v>
      </c>
      <c r="N803" s="67" t="s">
        <v>253</v>
      </c>
      <c r="O803" s="67" t="s">
        <v>2117</v>
      </c>
      <c r="P803" s="67" t="s">
        <v>19</v>
      </c>
      <c r="Q803" s="192">
        <v>28.9</v>
      </c>
    </row>
    <row r="804" spans="1:17" ht="11.1" hidden="1" customHeight="1" x14ac:dyDescent="0.2">
      <c r="A804" s="3"/>
      <c r="B804" s="3" t="str">
        <f ca="1">IF(A804="В заказ",MAX($B$9:OFFSET(B804,-1,0))+1,"")</f>
        <v/>
      </c>
      <c r="C804" s="6" t="str">
        <f t="shared" si="30"/>
        <v>Кромка 0,8 H1318 ST10  (75 м бухта).</v>
      </c>
      <c r="D804" s="67" t="s">
        <v>241</v>
      </c>
      <c r="E804" s="67" t="s">
        <v>34</v>
      </c>
      <c r="F804" s="67" t="s">
        <v>510</v>
      </c>
      <c r="G804" s="68">
        <v>21665</v>
      </c>
      <c r="H804" s="67" t="s">
        <v>330</v>
      </c>
      <c r="I804" s="200"/>
      <c r="J804" s="67" t="s">
        <v>507</v>
      </c>
      <c r="K804" s="67" t="s">
        <v>508</v>
      </c>
      <c r="L804" s="67" t="s">
        <v>38</v>
      </c>
      <c r="M804" s="67" t="s">
        <v>252</v>
      </c>
      <c r="N804" s="67" t="s">
        <v>10</v>
      </c>
      <c r="O804" s="67" t="s">
        <v>2116</v>
      </c>
      <c r="P804" s="67" t="s">
        <v>19</v>
      </c>
      <c r="Q804" s="71">
        <v>35</v>
      </c>
    </row>
    <row r="805" spans="1:17" ht="11.1" hidden="1" customHeight="1" x14ac:dyDescent="0.2">
      <c r="A805" s="3"/>
      <c r="B805" s="3" t="str">
        <f ca="1">IF(A805="В заказ",MAX($B$9:OFFSET(B805,-1,0))+1,"")</f>
        <v/>
      </c>
      <c r="C805" s="6" t="str">
        <f t="shared" si="30"/>
        <v>Кромка 2,0 H1318 ST10  (75 м бухта).</v>
      </c>
      <c r="D805" s="67" t="s">
        <v>241</v>
      </c>
      <c r="E805" s="67" t="s">
        <v>34</v>
      </c>
      <c r="F805" s="67" t="s">
        <v>511</v>
      </c>
      <c r="G805" s="68">
        <v>21666</v>
      </c>
      <c r="H805" s="67" t="s">
        <v>330</v>
      </c>
      <c r="I805" s="200"/>
      <c r="J805" s="67" t="s">
        <v>507</v>
      </c>
      <c r="K805" s="67" t="s">
        <v>508</v>
      </c>
      <c r="L805" s="67" t="s">
        <v>38</v>
      </c>
      <c r="M805" s="67" t="s">
        <v>252</v>
      </c>
      <c r="N805" s="67" t="s">
        <v>259</v>
      </c>
      <c r="O805" s="67" t="s">
        <v>2116</v>
      </c>
      <c r="P805" s="67" t="s">
        <v>19</v>
      </c>
      <c r="Q805" s="192">
        <v>62.6</v>
      </c>
    </row>
    <row r="806" spans="1:17" ht="11.1" hidden="1" customHeight="1" x14ac:dyDescent="0.2">
      <c r="A806" s="3"/>
      <c r="B806" s="3" t="str">
        <f ca="1">IF(A806="В заказ",MAX($B$9:OFFSET(B806,-1,0))+1,"")</f>
        <v/>
      </c>
      <c r="C806" s="6" t="str">
        <f t="shared" si="30"/>
        <v>Кромка 2,0 H1318 ST10  (75 м бухта).</v>
      </c>
      <c r="D806" s="67" t="s">
        <v>241</v>
      </c>
      <c r="E806" s="67" t="s">
        <v>34</v>
      </c>
      <c r="F806" s="67" t="s">
        <v>512</v>
      </c>
      <c r="G806" s="68">
        <v>21668</v>
      </c>
      <c r="H806" s="67" t="s">
        <v>330</v>
      </c>
      <c r="I806" s="200"/>
      <c r="J806" s="67" t="s">
        <v>507</v>
      </c>
      <c r="K806" s="67" t="s">
        <v>508</v>
      </c>
      <c r="L806" s="67" t="s">
        <v>38</v>
      </c>
      <c r="M806" s="67" t="s">
        <v>264</v>
      </c>
      <c r="N806" s="67" t="s">
        <v>259</v>
      </c>
      <c r="O806" s="67" t="s">
        <v>2116</v>
      </c>
      <c r="P806" s="67" t="s">
        <v>19</v>
      </c>
      <c r="Q806" s="192">
        <v>94.1</v>
      </c>
    </row>
    <row r="807" spans="1:17" ht="11.1" hidden="1" customHeight="1" x14ac:dyDescent="0.2">
      <c r="A807" s="3"/>
      <c r="B807" s="3" t="str">
        <f ca="1">IF(A807="В заказ",MAX($B$9:OFFSET(B807,-1,0))+1,"")</f>
        <v/>
      </c>
      <c r="C807" s="6" t="str">
        <f t="shared" si="30"/>
        <v>Кромка 2,0 H1318 ST10  (75 м бухта).</v>
      </c>
      <c r="D807" s="67" t="s">
        <v>241</v>
      </c>
      <c r="E807" s="67" t="s">
        <v>34</v>
      </c>
      <c r="F807" s="67" t="s">
        <v>513</v>
      </c>
      <c r="G807" s="68">
        <v>21669</v>
      </c>
      <c r="H807" s="67" t="s">
        <v>330</v>
      </c>
      <c r="I807" s="200"/>
      <c r="J807" s="67" t="s">
        <v>507</v>
      </c>
      <c r="K807" s="67" t="s">
        <v>508</v>
      </c>
      <c r="L807" s="67" t="s">
        <v>38</v>
      </c>
      <c r="M807" s="67" t="s">
        <v>270</v>
      </c>
      <c r="N807" s="67" t="s">
        <v>259</v>
      </c>
      <c r="O807" s="67" t="s">
        <v>2116</v>
      </c>
      <c r="P807" s="67" t="s">
        <v>19</v>
      </c>
      <c r="Q807" s="192">
        <v>127.6</v>
      </c>
    </row>
    <row r="808" spans="1:17" ht="11.1" hidden="1" customHeight="1" x14ac:dyDescent="0.2">
      <c r="A808" s="3"/>
      <c r="B808" s="3" t="str">
        <f ca="1">IF(A808="В заказ",MAX($B$9:OFFSET(B808,-1,0))+1,"")</f>
        <v/>
      </c>
      <c r="C808" s="6" t="str">
        <f t="shared" si="30"/>
        <v>Кромка 0,4 H1330 ST10  (200 м бухта).</v>
      </c>
      <c r="D808" s="67" t="s">
        <v>241</v>
      </c>
      <c r="E808" s="67" t="s">
        <v>34</v>
      </c>
      <c r="F808" s="67" t="s">
        <v>514</v>
      </c>
      <c r="G808" s="68">
        <v>21670</v>
      </c>
      <c r="H808" s="67" t="s">
        <v>330</v>
      </c>
      <c r="I808" s="200"/>
      <c r="J808" s="67" t="s">
        <v>515</v>
      </c>
      <c r="K808" s="67" t="s">
        <v>516</v>
      </c>
      <c r="L808" s="67" t="s">
        <v>38</v>
      </c>
      <c r="M808" s="67" t="s">
        <v>252</v>
      </c>
      <c r="N808" s="67" t="s">
        <v>253</v>
      </c>
      <c r="O808" s="67" t="s">
        <v>2117</v>
      </c>
      <c r="P808" s="67" t="s">
        <v>19</v>
      </c>
      <c r="Q808" s="192">
        <v>17.899999999999999</v>
      </c>
    </row>
    <row r="809" spans="1:17" ht="11.1" hidden="1" customHeight="1" x14ac:dyDescent="0.2">
      <c r="A809" s="3"/>
      <c r="B809" s="3" t="str">
        <f ca="1">IF(A809="В заказ",MAX($B$9:OFFSET(B809,-1,0))+1,"")</f>
        <v/>
      </c>
      <c r="C809" s="6" t="str">
        <f t="shared" si="30"/>
        <v>Кромка 0,4 H1330 ST10  (200 м бухта).</v>
      </c>
      <c r="D809" s="67" t="s">
        <v>241</v>
      </c>
      <c r="E809" s="67" t="s">
        <v>34</v>
      </c>
      <c r="F809" s="67" t="s">
        <v>517</v>
      </c>
      <c r="G809" s="68">
        <v>21673</v>
      </c>
      <c r="H809" s="67" t="s">
        <v>330</v>
      </c>
      <c r="I809" s="200"/>
      <c r="J809" s="67" t="s">
        <v>515</v>
      </c>
      <c r="K809" s="67" t="s">
        <v>516</v>
      </c>
      <c r="L809" s="67" t="s">
        <v>38</v>
      </c>
      <c r="M809" s="67" t="s">
        <v>264</v>
      </c>
      <c r="N809" s="67" t="s">
        <v>253</v>
      </c>
      <c r="O809" s="67" t="s">
        <v>2117</v>
      </c>
      <c r="P809" s="67" t="s">
        <v>19</v>
      </c>
      <c r="Q809" s="192">
        <v>28.9</v>
      </c>
    </row>
    <row r="810" spans="1:17" ht="11.1" hidden="1" customHeight="1" x14ac:dyDescent="0.2">
      <c r="A810" s="3"/>
      <c r="B810" s="3" t="str">
        <f ca="1">IF(A810="В заказ",MAX($B$9:OFFSET(B810,-1,0))+1,"")</f>
        <v/>
      </c>
      <c r="C810" s="6" t="str">
        <f t="shared" si="30"/>
        <v>Кромка 0,8 H1330 ST10  (75 м бухта).</v>
      </c>
      <c r="D810" s="67" t="s">
        <v>241</v>
      </c>
      <c r="E810" s="67" t="s">
        <v>34</v>
      </c>
      <c r="F810" s="67" t="s">
        <v>518</v>
      </c>
      <c r="G810" s="68">
        <v>21671</v>
      </c>
      <c r="H810" s="67" t="s">
        <v>330</v>
      </c>
      <c r="I810" s="200"/>
      <c r="J810" s="67" t="s">
        <v>515</v>
      </c>
      <c r="K810" s="67" t="s">
        <v>516</v>
      </c>
      <c r="L810" s="67" t="s">
        <v>38</v>
      </c>
      <c r="M810" s="67" t="s">
        <v>252</v>
      </c>
      <c r="N810" s="67" t="s">
        <v>10</v>
      </c>
      <c r="O810" s="67" t="s">
        <v>2116</v>
      </c>
      <c r="P810" s="67" t="s">
        <v>19</v>
      </c>
      <c r="Q810" s="71">
        <v>35</v>
      </c>
    </row>
    <row r="811" spans="1:17" ht="11.1" hidden="1" customHeight="1" x14ac:dyDescent="0.2">
      <c r="A811" s="3"/>
      <c r="B811" s="3" t="str">
        <f ca="1">IF(A811="В заказ",MAX($B$9:OFFSET(B811,-1,0))+1,"")</f>
        <v/>
      </c>
      <c r="C811" s="6" t="str">
        <f t="shared" si="30"/>
        <v>Кромка 2,0 H1330 ST10  (75 м бухта).</v>
      </c>
      <c r="D811" s="67" t="s">
        <v>241</v>
      </c>
      <c r="E811" s="67" t="s">
        <v>34</v>
      </c>
      <c r="F811" s="67" t="s">
        <v>519</v>
      </c>
      <c r="G811" s="68">
        <v>21672</v>
      </c>
      <c r="H811" s="67" t="s">
        <v>330</v>
      </c>
      <c r="I811" s="200"/>
      <c r="J811" s="67" t="s">
        <v>515</v>
      </c>
      <c r="K811" s="67" t="s">
        <v>516</v>
      </c>
      <c r="L811" s="67" t="s">
        <v>38</v>
      </c>
      <c r="M811" s="67" t="s">
        <v>252</v>
      </c>
      <c r="N811" s="67" t="s">
        <v>259</v>
      </c>
      <c r="O811" s="67" t="s">
        <v>2116</v>
      </c>
      <c r="P811" s="67" t="s">
        <v>19</v>
      </c>
      <c r="Q811" s="192">
        <v>62.6</v>
      </c>
    </row>
    <row r="812" spans="1:17" ht="11.1" hidden="1" customHeight="1" x14ac:dyDescent="0.2">
      <c r="A812" s="3"/>
      <c r="B812" s="3" t="str">
        <f ca="1">IF(A812="В заказ",MAX($B$9:OFFSET(B812,-1,0))+1,"")</f>
        <v/>
      </c>
      <c r="C812" s="6" t="str">
        <f t="shared" si="30"/>
        <v>Кромка 2,0 H1330 ST10  (75 м бухта).</v>
      </c>
      <c r="D812" s="67" t="s">
        <v>241</v>
      </c>
      <c r="E812" s="67" t="s">
        <v>34</v>
      </c>
      <c r="F812" s="67" t="s">
        <v>520</v>
      </c>
      <c r="G812" s="68">
        <v>21674</v>
      </c>
      <c r="H812" s="67" t="s">
        <v>330</v>
      </c>
      <c r="I812" s="200"/>
      <c r="J812" s="67" t="s">
        <v>515</v>
      </c>
      <c r="K812" s="67" t="s">
        <v>516</v>
      </c>
      <c r="L812" s="67" t="s">
        <v>38</v>
      </c>
      <c r="M812" s="67" t="s">
        <v>264</v>
      </c>
      <c r="N812" s="67" t="s">
        <v>259</v>
      </c>
      <c r="O812" s="67" t="s">
        <v>2116</v>
      </c>
      <c r="P812" s="67" t="s">
        <v>19</v>
      </c>
      <c r="Q812" s="192">
        <v>94.1</v>
      </c>
    </row>
    <row r="813" spans="1:17" ht="11.1" hidden="1" customHeight="1" x14ac:dyDescent="0.2">
      <c r="A813" s="3"/>
      <c r="B813" s="3" t="str">
        <f ca="1">IF(A813="В заказ",MAX($B$9:OFFSET(B813,-1,0))+1,"")</f>
        <v/>
      </c>
      <c r="C813" s="6" t="str">
        <f t="shared" si="30"/>
        <v>Кромка 2,0 H1330 ST10  (75 м бухта).</v>
      </c>
      <c r="D813" s="67" t="s">
        <v>241</v>
      </c>
      <c r="E813" s="67" t="s">
        <v>34</v>
      </c>
      <c r="F813" s="67" t="s">
        <v>521</v>
      </c>
      <c r="G813" s="68">
        <v>21675</v>
      </c>
      <c r="H813" s="67" t="s">
        <v>330</v>
      </c>
      <c r="I813" s="200"/>
      <c r="J813" s="67" t="s">
        <v>515</v>
      </c>
      <c r="K813" s="67" t="s">
        <v>516</v>
      </c>
      <c r="L813" s="67" t="s">
        <v>38</v>
      </c>
      <c r="M813" s="67" t="s">
        <v>270</v>
      </c>
      <c r="N813" s="67" t="s">
        <v>259</v>
      </c>
      <c r="O813" s="67" t="s">
        <v>2116</v>
      </c>
      <c r="P813" s="67" t="s">
        <v>19</v>
      </c>
      <c r="Q813" s="192">
        <v>127.6</v>
      </c>
    </row>
    <row r="814" spans="1:17" ht="11.1" hidden="1" customHeight="1" x14ac:dyDescent="0.2">
      <c r="A814" s="3"/>
      <c r="B814" s="3" t="str">
        <f ca="1">IF(A814="В заказ",MAX($B$9:OFFSET(B814,-1,0))+1,"")</f>
        <v/>
      </c>
      <c r="C814" s="6" t="str">
        <f t="shared" si="30"/>
        <v>Кромка 0,4 H1334 ST9  (200 м бухта).</v>
      </c>
      <c r="D814" s="67" t="s">
        <v>241</v>
      </c>
      <c r="E814" s="67" t="s">
        <v>34</v>
      </c>
      <c r="F814" s="67" t="s">
        <v>522</v>
      </c>
      <c r="G814" s="68">
        <v>5293</v>
      </c>
      <c r="H814" s="67" t="s">
        <v>330</v>
      </c>
      <c r="I814" s="200"/>
      <c r="J814" s="67" t="s">
        <v>67</v>
      </c>
      <c r="K814" s="67" t="s">
        <v>68</v>
      </c>
      <c r="L814" s="67" t="s">
        <v>22</v>
      </c>
      <c r="M814" s="67" t="s">
        <v>252</v>
      </c>
      <c r="N814" s="67" t="s">
        <v>253</v>
      </c>
      <c r="O814" s="67" t="s">
        <v>2117</v>
      </c>
      <c r="P814" s="67" t="s">
        <v>19</v>
      </c>
      <c r="Q814" s="192">
        <v>17.899999999999999</v>
      </c>
    </row>
    <row r="815" spans="1:17" ht="11.1" hidden="1" customHeight="1" x14ac:dyDescent="0.2">
      <c r="A815" s="3"/>
      <c r="B815" s="3" t="str">
        <f ca="1">IF(A815="В заказ",MAX($B$9:OFFSET(B815,-1,0))+1,"")</f>
        <v/>
      </c>
      <c r="C815" s="6" t="str">
        <f t="shared" si="30"/>
        <v>Кромка 0,4 H1334 ST9  (200 м бухта).</v>
      </c>
      <c r="D815" s="67" t="s">
        <v>241</v>
      </c>
      <c r="E815" s="67" t="s">
        <v>34</v>
      </c>
      <c r="F815" s="67" t="s">
        <v>523</v>
      </c>
      <c r="G815" s="68">
        <v>24561</v>
      </c>
      <c r="H815" s="67" t="s">
        <v>330</v>
      </c>
      <c r="I815" s="200"/>
      <c r="J815" s="67" t="s">
        <v>67</v>
      </c>
      <c r="K815" s="67" t="s">
        <v>68</v>
      </c>
      <c r="L815" s="67" t="s">
        <v>22</v>
      </c>
      <c r="M815" s="67" t="s">
        <v>244</v>
      </c>
      <c r="N815" s="67" t="s">
        <v>253</v>
      </c>
      <c r="O815" s="67" t="s">
        <v>2117</v>
      </c>
      <c r="P815" s="67" t="s">
        <v>19</v>
      </c>
      <c r="Q815" s="71">
        <v>22</v>
      </c>
    </row>
    <row r="816" spans="1:17" ht="11.1" hidden="1" customHeight="1" x14ac:dyDescent="0.2">
      <c r="A816" s="3"/>
      <c r="B816" s="3" t="str">
        <f ca="1">IF(A816="В заказ",MAX($B$9:OFFSET(B816,-1,0))+1,"")</f>
        <v/>
      </c>
      <c r="C816" s="6" t="str">
        <f t="shared" si="30"/>
        <v>Кромка 0,4 H1334 ST9  (200 м бухта).</v>
      </c>
      <c r="D816" s="67" t="s">
        <v>241</v>
      </c>
      <c r="E816" s="67" t="s">
        <v>34</v>
      </c>
      <c r="F816" s="67" t="s">
        <v>524</v>
      </c>
      <c r="G816" s="68">
        <v>8511</v>
      </c>
      <c r="H816" s="67" t="s">
        <v>330</v>
      </c>
      <c r="I816" s="200"/>
      <c r="J816" s="67" t="s">
        <v>67</v>
      </c>
      <c r="K816" s="67" t="s">
        <v>68</v>
      </c>
      <c r="L816" s="67" t="s">
        <v>22</v>
      </c>
      <c r="M816" s="67" t="s">
        <v>264</v>
      </c>
      <c r="N816" s="67" t="s">
        <v>253</v>
      </c>
      <c r="O816" s="67" t="s">
        <v>2117</v>
      </c>
      <c r="P816" s="67" t="s">
        <v>19</v>
      </c>
      <c r="Q816" s="192">
        <v>28.9</v>
      </c>
    </row>
    <row r="817" spans="1:17" ht="11.1" hidden="1" customHeight="1" x14ac:dyDescent="0.2">
      <c r="A817" s="3"/>
      <c r="B817" s="3" t="str">
        <f ca="1">IF(A817="В заказ",MAX($B$9:OFFSET(B817,-1,0))+1,"")</f>
        <v/>
      </c>
      <c r="C817" s="6" t="str">
        <f t="shared" si="30"/>
        <v>Кромка 0,8 H1334 ST9  (75 м бухта).</v>
      </c>
      <c r="D817" s="67" t="s">
        <v>241</v>
      </c>
      <c r="E817" s="67" t="s">
        <v>34</v>
      </c>
      <c r="F817" s="67" t="s">
        <v>525</v>
      </c>
      <c r="G817" s="68">
        <v>12501</v>
      </c>
      <c r="H817" s="67" t="s">
        <v>330</v>
      </c>
      <c r="I817" s="200"/>
      <c r="J817" s="67" t="s">
        <v>67</v>
      </c>
      <c r="K817" s="67" t="s">
        <v>68</v>
      </c>
      <c r="L817" s="67" t="s">
        <v>22</v>
      </c>
      <c r="M817" s="67" t="s">
        <v>252</v>
      </c>
      <c r="N817" s="67" t="s">
        <v>10</v>
      </c>
      <c r="O817" s="67" t="s">
        <v>2116</v>
      </c>
      <c r="P817" s="67" t="s">
        <v>19</v>
      </c>
      <c r="Q817" s="71">
        <v>35</v>
      </c>
    </row>
    <row r="818" spans="1:17" ht="11.1" hidden="1" customHeight="1" x14ac:dyDescent="0.2">
      <c r="A818" s="3"/>
      <c r="B818" s="3" t="str">
        <f ca="1">IF(A818="В заказ",MAX($B$9:OFFSET(B818,-1,0))+1,"")</f>
        <v/>
      </c>
      <c r="C818" s="6" t="str">
        <f t="shared" si="30"/>
        <v>Кромка 0,8 H1334 ST9  (75 м бухта).</v>
      </c>
      <c r="D818" s="67" t="s">
        <v>241</v>
      </c>
      <c r="E818" s="67" t="s">
        <v>34</v>
      </c>
      <c r="F818" s="67" t="s">
        <v>526</v>
      </c>
      <c r="G818" s="68">
        <v>19080</v>
      </c>
      <c r="H818" s="67" t="s">
        <v>330</v>
      </c>
      <c r="I818" s="200"/>
      <c r="J818" s="67" t="s">
        <v>67</v>
      </c>
      <c r="K818" s="67" t="s">
        <v>68</v>
      </c>
      <c r="L818" s="67" t="s">
        <v>22</v>
      </c>
      <c r="M818" s="67" t="s">
        <v>244</v>
      </c>
      <c r="N818" s="67" t="s">
        <v>10</v>
      </c>
      <c r="O818" s="67" t="s">
        <v>2116</v>
      </c>
      <c r="P818" s="67" t="s">
        <v>19</v>
      </c>
      <c r="Q818" s="192">
        <v>42.3</v>
      </c>
    </row>
    <row r="819" spans="1:17" ht="11.1" hidden="1" customHeight="1" x14ac:dyDescent="0.2">
      <c r="A819" s="3"/>
      <c r="B819" s="3" t="str">
        <f ca="1">IF(A819="В заказ",MAX($B$9:OFFSET(B819,-1,0))+1,"")</f>
        <v/>
      </c>
      <c r="C819" s="6" t="str">
        <f t="shared" si="30"/>
        <v>Кромка 0,8 H1334 ST9  (75 м бухта).</v>
      </c>
      <c r="D819" s="67" t="s">
        <v>241</v>
      </c>
      <c r="E819" s="67" t="s">
        <v>34</v>
      </c>
      <c r="F819" s="67" t="s">
        <v>527</v>
      </c>
      <c r="G819" s="68">
        <v>16791</v>
      </c>
      <c r="H819" s="67" t="s">
        <v>330</v>
      </c>
      <c r="I819" s="200"/>
      <c r="J819" s="67" t="s">
        <v>67</v>
      </c>
      <c r="K819" s="67" t="s">
        <v>68</v>
      </c>
      <c r="L819" s="67" t="s">
        <v>22</v>
      </c>
      <c r="M819" s="67" t="s">
        <v>264</v>
      </c>
      <c r="N819" s="67" t="s">
        <v>10</v>
      </c>
      <c r="O819" s="67" t="s">
        <v>2116</v>
      </c>
      <c r="P819" s="67" t="s">
        <v>19</v>
      </c>
      <c r="Q819" s="192">
        <v>66.900000000000006</v>
      </c>
    </row>
    <row r="820" spans="1:17" ht="11.1" hidden="1" customHeight="1" x14ac:dyDescent="0.2">
      <c r="A820" s="3"/>
      <c r="B820" s="3" t="str">
        <f ca="1">IF(A820="В заказ",MAX($B$9:OFFSET(B820,-1,0))+1,"")</f>
        <v/>
      </c>
      <c r="C820" s="6" t="str">
        <f t="shared" si="30"/>
        <v>Кромка 2,0 H1334 ST9  (75 м бухта).</v>
      </c>
      <c r="D820" s="67" t="s">
        <v>241</v>
      </c>
      <c r="E820" s="67" t="s">
        <v>34</v>
      </c>
      <c r="F820" s="67" t="s">
        <v>528</v>
      </c>
      <c r="G820" s="68">
        <v>5295</v>
      </c>
      <c r="H820" s="67" t="s">
        <v>330</v>
      </c>
      <c r="I820" s="200"/>
      <c r="J820" s="67" t="s">
        <v>67</v>
      </c>
      <c r="K820" s="67" t="s">
        <v>68</v>
      </c>
      <c r="L820" s="67" t="s">
        <v>22</v>
      </c>
      <c r="M820" s="67" t="s">
        <v>252</v>
      </c>
      <c r="N820" s="67" t="s">
        <v>259</v>
      </c>
      <c r="O820" s="67" t="s">
        <v>2116</v>
      </c>
      <c r="P820" s="67" t="s">
        <v>19</v>
      </c>
      <c r="Q820" s="192">
        <v>62.6</v>
      </c>
    </row>
    <row r="821" spans="1:17" ht="11.1" hidden="1" customHeight="1" x14ac:dyDescent="0.2">
      <c r="A821" s="3"/>
      <c r="B821" s="3" t="str">
        <f ca="1">IF(A821="В заказ",MAX($B$9:OFFSET(B821,-1,0))+1,"")</f>
        <v/>
      </c>
      <c r="C821" s="6" t="str">
        <f t="shared" si="30"/>
        <v>Кромка 2,0 H1334 ST9  (75 м бухта).</v>
      </c>
      <c r="D821" s="67" t="s">
        <v>241</v>
      </c>
      <c r="E821" s="67" t="s">
        <v>34</v>
      </c>
      <c r="F821" s="67" t="s">
        <v>529</v>
      </c>
      <c r="G821" s="68">
        <v>19185</v>
      </c>
      <c r="H821" s="67" t="s">
        <v>330</v>
      </c>
      <c r="I821" s="200"/>
      <c r="J821" s="67" t="s">
        <v>67</v>
      </c>
      <c r="K821" s="67" t="s">
        <v>68</v>
      </c>
      <c r="L821" s="67" t="s">
        <v>22</v>
      </c>
      <c r="M821" s="67" t="s">
        <v>244</v>
      </c>
      <c r="N821" s="67" t="s">
        <v>259</v>
      </c>
      <c r="O821" s="67" t="s">
        <v>2116</v>
      </c>
      <c r="P821" s="67" t="s">
        <v>19</v>
      </c>
      <c r="Q821" s="192">
        <v>65.5</v>
      </c>
    </row>
    <row r="822" spans="1:17" ht="11.1" hidden="1" customHeight="1" x14ac:dyDescent="0.2">
      <c r="A822" s="3"/>
      <c r="B822" s="3" t="str">
        <f ca="1">IF(A822="В заказ",MAX($B$9:OFFSET(B822,-1,0))+1,"")</f>
        <v/>
      </c>
      <c r="C822" s="6" t="str">
        <f t="shared" ref="C822:C885" si="31">D822&amp;" "&amp;N822&amp;" "&amp;IF(OR(D822="ДСП",D822="МДФ",D822="Фанера",D822="ХДФ"),M822,J822)&amp;" "&amp;IF(OR(D822="ДСП",D822="МДФ",D822="Фанера",D822="ХДФ"),O822,L822)&amp;" "&amp;IF(OR(D822="ДСП",D822="МДФ",D822="Фанера",D822="ХДФ"),"",IF(D822="БСП",M822,O822))&amp;"."</f>
        <v>Кромка 2,0 H1334 ST9  (75 м бухта).</v>
      </c>
      <c r="D822" s="67" t="s">
        <v>241</v>
      </c>
      <c r="E822" s="67" t="s">
        <v>34</v>
      </c>
      <c r="F822" s="67" t="s">
        <v>530</v>
      </c>
      <c r="G822" s="68">
        <v>6119</v>
      </c>
      <c r="H822" s="67" t="s">
        <v>330</v>
      </c>
      <c r="I822" s="200"/>
      <c r="J822" s="67" t="s">
        <v>67</v>
      </c>
      <c r="K822" s="67" t="s">
        <v>68</v>
      </c>
      <c r="L822" s="67" t="s">
        <v>22</v>
      </c>
      <c r="M822" s="67" t="s">
        <v>264</v>
      </c>
      <c r="N822" s="67" t="s">
        <v>259</v>
      </c>
      <c r="O822" s="67" t="s">
        <v>2116</v>
      </c>
      <c r="P822" s="67" t="s">
        <v>19</v>
      </c>
      <c r="Q822" s="192">
        <v>94.1</v>
      </c>
    </row>
    <row r="823" spans="1:17" ht="11.1" hidden="1" customHeight="1" x14ac:dyDescent="0.2">
      <c r="A823" s="3"/>
      <c r="B823" s="3" t="str">
        <f ca="1">IF(A823="В заказ",MAX($B$9:OFFSET(B823,-1,0))+1,"")</f>
        <v/>
      </c>
      <c r="C823" s="6" t="str">
        <f t="shared" si="31"/>
        <v>Кромка 2,0 H1334 ST9  (75 м бухта).</v>
      </c>
      <c r="D823" s="67" t="s">
        <v>241</v>
      </c>
      <c r="E823" s="67" t="s">
        <v>34</v>
      </c>
      <c r="F823" s="67" t="s">
        <v>531</v>
      </c>
      <c r="G823" s="68">
        <v>8890</v>
      </c>
      <c r="H823" s="67" t="s">
        <v>330</v>
      </c>
      <c r="I823" s="200"/>
      <c r="J823" s="67" t="s">
        <v>67</v>
      </c>
      <c r="K823" s="67" t="s">
        <v>68</v>
      </c>
      <c r="L823" s="67" t="s">
        <v>22</v>
      </c>
      <c r="M823" s="67" t="s">
        <v>270</v>
      </c>
      <c r="N823" s="67" t="s">
        <v>259</v>
      </c>
      <c r="O823" s="67" t="s">
        <v>2116</v>
      </c>
      <c r="P823" s="67" t="s">
        <v>19</v>
      </c>
      <c r="Q823" s="192">
        <v>127.6</v>
      </c>
    </row>
    <row r="824" spans="1:17" ht="11.1" hidden="1" customHeight="1" x14ac:dyDescent="0.2">
      <c r="A824" s="3"/>
      <c r="B824" s="3" t="str">
        <f ca="1">IF(A824="В заказ",MAX($B$9:OFFSET(B824,-1,0))+1,"")</f>
        <v/>
      </c>
      <c r="C824" s="6" t="str">
        <f t="shared" si="31"/>
        <v>Кромка 2,0 H1334 ST9  (75 м бухта).</v>
      </c>
      <c r="D824" s="67" t="s">
        <v>241</v>
      </c>
      <c r="E824" s="67" t="s">
        <v>34</v>
      </c>
      <c r="F824" s="67" t="s">
        <v>532</v>
      </c>
      <c r="G824" s="68">
        <v>21486</v>
      </c>
      <c r="H824" s="67" t="s">
        <v>330</v>
      </c>
      <c r="I824" s="200"/>
      <c r="J824" s="67" t="s">
        <v>67</v>
      </c>
      <c r="K824" s="67" t="s">
        <v>68</v>
      </c>
      <c r="L824" s="67" t="s">
        <v>22</v>
      </c>
      <c r="M824" s="67" t="s">
        <v>282</v>
      </c>
      <c r="N824" s="67" t="s">
        <v>259</v>
      </c>
      <c r="O824" s="67" t="s">
        <v>2116</v>
      </c>
      <c r="P824" s="67" t="s">
        <v>19</v>
      </c>
      <c r="Q824" s="192">
        <v>187.5</v>
      </c>
    </row>
    <row r="825" spans="1:17" ht="11.1" hidden="1" customHeight="1" x14ac:dyDescent="0.2">
      <c r="A825" s="3"/>
      <c r="B825" s="3" t="str">
        <f ca="1">IF(A825="В заказ",MAX($B$9:OFFSET(B825,-1,0))+1,"")</f>
        <v/>
      </c>
      <c r="C825" s="6" t="str">
        <f t="shared" si="31"/>
        <v>Кромка 0,4 H1344 ST32  (200 м бухта).</v>
      </c>
      <c r="D825" s="67" t="s">
        <v>241</v>
      </c>
      <c r="E825" s="67" t="s">
        <v>34</v>
      </c>
      <c r="F825" s="67" t="s">
        <v>533</v>
      </c>
      <c r="G825" s="68">
        <v>21676</v>
      </c>
      <c r="H825" s="67" t="s">
        <v>330</v>
      </c>
      <c r="I825" s="200"/>
      <c r="J825" s="67" t="s">
        <v>534</v>
      </c>
      <c r="K825" s="67" t="s">
        <v>535</v>
      </c>
      <c r="L825" s="67" t="s">
        <v>536</v>
      </c>
      <c r="M825" s="67" t="s">
        <v>252</v>
      </c>
      <c r="N825" s="67" t="s">
        <v>253</v>
      </c>
      <c r="O825" s="67" t="s">
        <v>2117</v>
      </c>
      <c r="P825" s="67" t="s">
        <v>19</v>
      </c>
      <c r="Q825" s="192">
        <v>17.899999999999999</v>
      </c>
    </row>
    <row r="826" spans="1:17" ht="11.1" hidden="1" customHeight="1" x14ac:dyDescent="0.2">
      <c r="A826" s="3"/>
      <c r="B826" s="3" t="str">
        <f ca="1">IF(A826="В заказ",MAX($B$9:OFFSET(B826,-1,0))+1,"")</f>
        <v/>
      </c>
      <c r="C826" s="6" t="str">
        <f t="shared" si="31"/>
        <v>Кромка 0,4 H1344 ST32  (200 м бухта).</v>
      </c>
      <c r="D826" s="67" t="s">
        <v>241</v>
      </c>
      <c r="E826" s="67" t="s">
        <v>34</v>
      </c>
      <c r="F826" s="67" t="s">
        <v>537</v>
      </c>
      <c r="G826" s="68">
        <v>24834</v>
      </c>
      <c r="H826" s="67" t="s">
        <v>330</v>
      </c>
      <c r="I826" s="200"/>
      <c r="J826" s="67" t="s">
        <v>534</v>
      </c>
      <c r="K826" s="67" t="s">
        <v>535</v>
      </c>
      <c r="L826" s="67" t="s">
        <v>536</v>
      </c>
      <c r="M826" s="67" t="s">
        <v>244</v>
      </c>
      <c r="N826" s="67" t="s">
        <v>253</v>
      </c>
      <c r="O826" s="67" t="s">
        <v>2117</v>
      </c>
      <c r="P826" s="67" t="s">
        <v>19</v>
      </c>
      <c r="Q826" s="71">
        <v>22</v>
      </c>
    </row>
    <row r="827" spans="1:17" ht="11.1" hidden="1" customHeight="1" x14ac:dyDescent="0.2">
      <c r="A827" s="3"/>
      <c r="B827" s="3" t="str">
        <f ca="1">IF(A827="В заказ",MAX($B$9:OFFSET(B827,-1,0))+1,"")</f>
        <v/>
      </c>
      <c r="C827" s="6" t="str">
        <f t="shared" si="31"/>
        <v>Кромка 0,4 H1344 ST32  (200 м бухта).</v>
      </c>
      <c r="D827" s="67" t="s">
        <v>241</v>
      </c>
      <c r="E827" s="67" t="s">
        <v>34</v>
      </c>
      <c r="F827" s="67" t="s">
        <v>538</v>
      </c>
      <c r="G827" s="68">
        <v>21681</v>
      </c>
      <c r="H827" s="67" t="s">
        <v>330</v>
      </c>
      <c r="I827" s="200"/>
      <c r="J827" s="67" t="s">
        <v>534</v>
      </c>
      <c r="K827" s="67" t="s">
        <v>535</v>
      </c>
      <c r="L827" s="67" t="s">
        <v>536</v>
      </c>
      <c r="M827" s="67" t="s">
        <v>264</v>
      </c>
      <c r="N827" s="67" t="s">
        <v>253</v>
      </c>
      <c r="O827" s="67" t="s">
        <v>2117</v>
      </c>
      <c r="P827" s="67" t="s">
        <v>19</v>
      </c>
      <c r="Q827" s="192">
        <v>28.9</v>
      </c>
    </row>
    <row r="828" spans="1:17" ht="11.1" hidden="1" customHeight="1" x14ac:dyDescent="0.2">
      <c r="A828" s="3"/>
      <c r="B828" s="3" t="str">
        <f ca="1">IF(A828="В заказ",MAX($B$9:OFFSET(B828,-1,0))+1,"")</f>
        <v/>
      </c>
      <c r="C828" s="6" t="str">
        <f t="shared" si="31"/>
        <v>Кромка 0,8 H1344 ST32  (75 м бухта).</v>
      </c>
      <c r="D828" s="67" t="s">
        <v>241</v>
      </c>
      <c r="E828" s="67" t="s">
        <v>34</v>
      </c>
      <c r="F828" s="67" t="s">
        <v>539</v>
      </c>
      <c r="G828" s="68">
        <v>21679</v>
      </c>
      <c r="H828" s="67" t="s">
        <v>330</v>
      </c>
      <c r="I828" s="200"/>
      <c r="J828" s="67" t="s">
        <v>534</v>
      </c>
      <c r="K828" s="67" t="s">
        <v>535</v>
      </c>
      <c r="L828" s="67" t="s">
        <v>536</v>
      </c>
      <c r="M828" s="67" t="s">
        <v>252</v>
      </c>
      <c r="N828" s="67" t="s">
        <v>10</v>
      </c>
      <c r="O828" s="67" t="s">
        <v>2116</v>
      </c>
      <c r="P828" s="67" t="s">
        <v>19</v>
      </c>
      <c r="Q828" s="71">
        <v>35</v>
      </c>
    </row>
    <row r="829" spans="1:17" ht="11.1" hidden="1" customHeight="1" x14ac:dyDescent="0.2">
      <c r="A829" s="3"/>
      <c r="B829" s="3" t="str">
        <f ca="1">IF(A829="В заказ",MAX($B$9:OFFSET(B829,-1,0))+1,"")</f>
        <v/>
      </c>
      <c r="C829" s="6" t="str">
        <f t="shared" si="31"/>
        <v>Кромка 0,8 H1344 ST32  (75 м бухта).</v>
      </c>
      <c r="D829" s="67" t="s">
        <v>241</v>
      </c>
      <c r="E829" s="67" t="s">
        <v>34</v>
      </c>
      <c r="F829" s="67" t="s">
        <v>540</v>
      </c>
      <c r="G829" s="68">
        <v>23131</v>
      </c>
      <c r="H829" s="67" t="s">
        <v>330</v>
      </c>
      <c r="I829" s="200"/>
      <c r="J829" s="67" t="s">
        <v>534</v>
      </c>
      <c r="K829" s="67" t="s">
        <v>535</v>
      </c>
      <c r="L829" s="67" t="s">
        <v>536</v>
      </c>
      <c r="M829" s="67" t="s">
        <v>244</v>
      </c>
      <c r="N829" s="67" t="s">
        <v>10</v>
      </c>
      <c r="O829" s="67" t="s">
        <v>2116</v>
      </c>
      <c r="P829" s="67" t="s">
        <v>19</v>
      </c>
      <c r="Q829" s="192">
        <v>42.3</v>
      </c>
    </row>
    <row r="830" spans="1:17" ht="11.1" hidden="1" customHeight="1" x14ac:dyDescent="0.2">
      <c r="A830" s="3"/>
      <c r="B830" s="3" t="str">
        <f ca="1">IF(A830="В заказ",MAX($B$9:OFFSET(B830,-1,0))+1,"")</f>
        <v/>
      </c>
      <c r="C830" s="6" t="str">
        <f t="shared" si="31"/>
        <v>Кромка 2,0 H1344 ST32  (75 м бухта).</v>
      </c>
      <c r="D830" s="67" t="s">
        <v>241</v>
      </c>
      <c r="E830" s="67" t="s">
        <v>34</v>
      </c>
      <c r="F830" s="67" t="s">
        <v>541</v>
      </c>
      <c r="G830" s="68">
        <v>21680</v>
      </c>
      <c r="H830" s="67" t="s">
        <v>330</v>
      </c>
      <c r="I830" s="200"/>
      <c r="J830" s="67" t="s">
        <v>534</v>
      </c>
      <c r="K830" s="67" t="s">
        <v>535</v>
      </c>
      <c r="L830" s="67" t="s">
        <v>536</v>
      </c>
      <c r="M830" s="67" t="s">
        <v>252</v>
      </c>
      <c r="N830" s="67" t="s">
        <v>259</v>
      </c>
      <c r="O830" s="67" t="s">
        <v>2116</v>
      </c>
      <c r="P830" s="67" t="s">
        <v>19</v>
      </c>
      <c r="Q830" s="192">
        <v>62.6</v>
      </c>
    </row>
    <row r="831" spans="1:17" ht="11.1" hidden="1" customHeight="1" x14ac:dyDescent="0.2">
      <c r="A831" s="3"/>
      <c r="B831" s="3" t="str">
        <f ca="1">IF(A831="В заказ",MAX($B$9:OFFSET(B831,-1,0))+1,"")</f>
        <v/>
      </c>
      <c r="C831" s="6" t="str">
        <f t="shared" si="31"/>
        <v>Кромка 2,0 H1344 ST32  (75 м бухта).</v>
      </c>
      <c r="D831" s="67" t="s">
        <v>241</v>
      </c>
      <c r="E831" s="67" t="s">
        <v>34</v>
      </c>
      <c r="F831" s="67" t="s">
        <v>542</v>
      </c>
      <c r="G831" s="68">
        <v>23308</v>
      </c>
      <c r="H831" s="67" t="s">
        <v>330</v>
      </c>
      <c r="I831" s="200"/>
      <c r="J831" s="67" t="s">
        <v>534</v>
      </c>
      <c r="K831" s="67" t="s">
        <v>535</v>
      </c>
      <c r="L831" s="67" t="s">
        <v>536</v>
      </c>
      <c r="M831" s="67" t="s">
        <v>244</v>
      </c>
      <c r="N831" s="67" t="s">
        <v>259</v>
      </c>
      <c r="O831" s="67" t="s">
        <v>2116</v>
      </c>
      <c r="P831" s="67" t="s">
        <v>19</v>
      </c>
      <c r="Q831" s="192">
        <v>65.5</v>
      </c>
    </row>
    <row r="832" spans="1:17" ht="11.1" hidden="1" customHeight="1" x14ac:dyDescent="0.2">
      <c r="A832" s="3"/>
      <c r="B832" s="3" t="str">
        <f ca="1">IF(A832="В заказ",MAX($B$9:OFFSET(B832,-1,0))+1,"")</f>
        <v/>
      </c>
      <c r="C832" s="6" t="str">
        <f t="shared" si="31"/>
        <v>Кромка 2,0 H1344 ST32  (75 м бухта).</v>
      </c>
      <c r="D832" s="67" t="s">
        <v>241</v>
      </c>
      <c r="E832" s="67" t="s">
        <v>34</v>
      </c>
      <c r="F832" s="67" t="s">
        <v>543</v>
      </c>
      <c r="G832" s="68">
        <v>21682</v>
      </c>
      <c r="H832" s="67" t="s">
        <v>330</v>
      </c>
      <c r="I832" s="200"/>
      <c r="J832" s="67" t="s">
        <v>534</v>
      </c>
      <c r="K832" s="67" t="s">
        <v>535</v>
      </c>
      <c r="L832" s="67" t="s">
        <v>536</v>
      </c>
      <c r="M832" s="67" t="s">
        <v>264</v>
      </c>
      <c r="N832" s="67" t="s">
        <v>259</v>
      </c>
      <c r="O832" s="67" t="s">
        <v>2116</v>
      </c>
      <c r="P832" s="67" t="s">
        <v>19</v>
      </c>
      <c r="Q832" s="192">
        <v>94.1</v>
      </c>
    </row>
    <row r="833" spans="1:17" ht="11.1" hidden="1" customHeight="1" x14ac:dyDescent="0.2">
      <c r="A833" s="3"/>
      <c r="B833" s="3" t="str">
        <f ca="1">IF(A833="В заказ",MAX($B$9:OFFSET(B833,-1,0))+1,"")</f>
        <v/>
      </c>
      <c r="C833" s="6" t="str">
        <f t="shared" si="31"/>
        <v>Кромка 2,0 H1344 ST32  (75 м бухта).</v>
      </c>
      <c r="D833" s="67" t="s">
        <v>241</v>
      </c>
      <c r="E833" s="67" t="s">
        <v>34</v>
      </c>
      <c r="F833" s="67" t="s">
        <v>544</v>
      </c>
      <c r="G833" s="68">
        <v>21683</v>
      </c>
      <c r="H833" s="67" t="s">
        <v>330</v>
      </c>
      <c r="I833" s="200"/>
      <c r="J833" s="67" t="s">
        <v>534</v>
      </c>
      <c r="K833" s="67" t="s">
        <v>535</v>
      </c>
      <c r="L833" s="67" t="s">
        <v>536</v>
      </c>
      <c r="M833" s="67" t="s">
        <v>270</v>
      </c>
      <c r="N833" s="67" t="s">
        <v>259</v>
      </c>
      <c r="O833" s="67" t="s">
        <v>2116</v>
      </c>
      <c r="P833" s="67" t="s">
        <v>19</v>
      </c>
      <c r="Q833" s="192">
        <v>127.6</v>
      </c>
    </row>
    <row r="834" spans="1:17" ht="11.1" hidden="1" customHeight="1" x14ac:dyDescent="0.2">
      <c r="A834" s="3"/>
      <c r="B834" s="3" t="str">
        <f ca="1">IF(A834="В заказ",MAX($B$9:OFFSET(B834,-1,0))+1,"")</f>
        <v/>
      </c>
      <c r="C834" s="6" t="str">
        <f t="shared" si="31"/>
        <v>Кромка 0,4 H1345 ST32  (200 м бухта).</v>
      </c>
      <c r="D834" s="67" t="s">
        <v>241</v>
      </c>
      <c r="E834" s="67" t="s">
        <v>34</v>
      </c>
      <c r="F834" s="67" t="s">
        <v>545</v>
      </c>
      <c r="G834" s="68">
        <v>21575</v>
      </c>
      <c r="H834" s="67" t="s">
        <v>330</v>
      </c>
      <c r="I834" s="200"/>
      <c r="J834" s="67" t="s">
        <v>546</v>
      </c>
      <c r="K834" s="67" t="s">
        <v>547</v>
      </c>
      <c r="L834" s="67" t="s">
        <v>536</v>
      </c>
      <c r="M834" s="67" t="s">
        <v>252</v>
      </c>
      <c r="N834" s="67" t="s">
        <v>253</v>
      </c>
      <c r="O834" s="67" t="s">
        <v>2117</v>
      </c>
      <c r="P834" s="67" t="s">
        <v>19</v>
      </c>
      <c r="Q834" s="192">
        <v>17.899999999999999</v>
      </c>
    </row>
    <row r="835" spans="1:17" ht="11.1" hidden="1" customHeight="1" x14ac:dyDescent="0.2">
      <c r="A835" s="3"/>
      <c r="B835" s="3" t="str">
        <f ca="1">IF(A835="В заказ",MAX($B$9:OFFSET(B835,-1,0))+1,"")</f>
        <v/>
      </c>
      <c r="C835" s="6" t="str">
        <f t="shared" si="31"/>
        <v>Кромка 0,4 H1345 ST32  (200 м бухта).</v>
      </c>
      <c r="D835" s="67" t="s">
        <v>241</v>
      </c>
      <c r="E835" s="67" t="s">
        <v>34</v>
      </c>
      <c r="F835" s="67" t="s">
        <v>548</v>
      </c>
      <c r="G835" s="68">
        <v>21577</v>
      </c>
      <c r="H835" s="67" t="s">
        <v>330</v>
      </c>
      <c r="I835" s="200"/>
      <c r="J835" s="67" t="s">
        <v>546</v>
      </c>
      <c r="K835" s="67" t="s">
        <v>547</v>
      </c>
      <c r="L835" s="67" t="s">
        <v>536</v>
      </c>
      <c r="M835" s="67" t="s">
        <v>264</v>
      </c>
      <c r="N835" s="67" t="s">
        <v>253</v>
      </c>
      <c r="O835" s="67" t="s">
        <v>2117</v>
      </c>
      <c r="P835" s="67" t="s">
        <v>19</v>
      </c>
      <c r="Q835" s="192">
        <v>28.9</v>
      </c>
    </row>
    <row r="836" spans="1:17" ht="11.1" hidden="1" customHeight="1" x14ac:dyDescent="0.2">
      <c r="A836" s="3"/>
      <c r="B836" s="3" t="str">
        <f ca="1">IF(A836="В заказ",MAX($B$9:OFFSET(B836,-1,0))+1,"")</f>
        <v/>
      </c>
      <c r="C836" s="6" t="str">
        <f t="shared" si="31"/>
        <v>Кромка 0,8 H1345 ST32  (75 м бухта).</v>
      </c>
      <c r="D836" s="67" t="s">
        <v>241</v>
      </c>
      <c r="E836" s="67" t="s">
        <v>34</v>
      </c>
      <c r="F836" s="67" t="s">
        <v>549</v>
      </c>
      <c r="G836" s="68">
        <v>21684</v>
      </c>
      <c r="H836" s="67" t="s">
        <v>330</v>
      </c>
      <c r="I836" s="200"/>
      <c r="J836" s="67" t="s">
        <v>546</v>
      </c>
      <c r="K836" s="67" t="s">
        <v>547</v>
      </c>
      <c r="L836" s="67" t="s">
        <v>536</v>
      </c>
      <c r="M836" s="67" t="s">
        <v>252</v>
      </c>
      <c r="N836" s="67" t="s">
        <v>10</v>
      </c>
      <c r="O836" s="67" t="s">
        <v>2116</v>
      </c>
      <c r="P836" s="67" t="s">
        <v>19</v>
      </c>
      <c r="Q836" s="71">
        <v>35</v>
      </c>
    </row>
    <row r="837" spans="1:17" ht="11.1" hidden="1" customHeight="1" x14ac:dyDescent="0.2">
      <c r="A837" s="3"/>
      <c r="B837" s="3" t="str">
        <f ca="1">IF(A837="В заказ",MAX($B$9:OFFSET(B837,-1,0))+1,"")</f>
        <v/>
      </c>
      <c r="C837" s="6" t="str">
        <f t="shared" si="31"/>
        <v>Кромка 2,0 H1345 ST32  (75 м бухта).</v>
      </c>
      <c r="D837" s="67" t="s">
        <v>241</v>
      </c>
      <c r="E837" s="67" t="s">
        <v>34</v>
      </c>
      <c r="F837" s="67" t="s">
        <v>550</v>
      </c>
      <c r="G837" s="68">
        <v>21576</v>
      </c>
      <c r="H837" s="67" t="s">
        <v>330</v>
      </c>
      <c r="I837" s="200"/>
      <c r="J837" s="67" t="s">
        <v>546</v>
      </c>
      <c r="K837" s="67" t="s">
        <v>547</v>
      </c>
      <c r="L837" s="67" t="s">
        <v>536</v>
      </c>
      <c r="M837" s="67" t="s">
        <v>252</v>
      </c>
      <c r="N837" s="67" t="s">
        <v>259</v>
      </c>
      <c r="O837" s="67" t="s">
        <v>2116</v>
      </c>
      <c r="P837" s="67" t="s">
        <v>19</v>
      </c>
      <c r="Q837" s="192">
        <v>62.6</v>
      </c>
    </row>
    <row r="838" spans="1:17" ht="11.1" hidden="1" customHeight="1" x14ac:dyDescent="0.2">
      <c r="A838" s="3"/>
      <c r="B838" s="3" t="str">
        <f ca="1">IF(A838="В заказ",MAX($B$9:OFFSET(B838,-1,0))+1,"")</f>
        <v/>
      </c>
      <c r="C838" s="6" t="str">
        <f t="shared" si="31"/>
        <v>Кромка 2,0 H1345 ST32  (75 м бухта).</v>
      </c>
      <c r="D838" s="67" t="s">
        <v>241</v>
      </c>
      <c r="E838" s="67" t="s">
        <v>34</v>
      </c>
      <c r="F838" s="67" t="s">
        <v>551</v>
      </c>
      <c r="G838" s="68">
        <v>21578</v>
      </c>
      <c r="H838" s="67" t="s">
        <v>330</v>
      </c>
      <c r="I838" s="200"/>
      <c r="J838" s="67" t="s">
        <v>546</v>
      </c>
      <c r="K838" s="67" t="s">
        <v>547</v>
      </c>
      <c r="L838" s="67" t="s">
        <v>536</v>
      </c>
      <c r="M838" s="67" t="s">
        <v>264</v>
      </c>
      <c r="N838" s="67" t="s">
        <v>259</v>
      </c>
      <c r="O838" s="67" t="s">
        <v>2116</v>
      </c>
      <c r="P838" s="67" t="s">
        <v>19</v>
      </c>
      <c r="Q838" s="192">
        <v>94.1</v>
      </c>
    </row>
    <row r="839" spans="1:17" ht="11.1" hidden="1" customHeight="1" x14ac:dyDescent="0.2">
      <c r="A839" s="3"/>
      <c r="B839" s="3" t="str">
        <f ca="1">IF(A839="В заказ",MAX($B$9:OFFSET(B839,-1,0))+1,"")</f>
        <v/>
      </c>
      <c r="C839" s="6" t="str">
        <f t="shared" si="31"/>
        <v>Кромка 2,0 H1345 ST32  (75 м бухта).</v>
      </c>
      <c r="D839" s="67" t="s">
        <v>241</v>
      </c>
      <c r="E839" s="67" t="s">
        <v>34</v>
      </c>
      <c r="F839" s="67" t="s">
        <v>552</v>
      </c>
      <c r="G839" s="68">
        <v>21685</v>
      </c>
      <c r="H839" s="67" t="s">
        <v>330</v>
      </c>
      <c r="I839" s="200"/>
      <c r="J839" s="67" t="s">
        <v>546</v>
      </c>
      <c r="K839" s="67" t="s">
        <v>547</v>
      </c>
      <c r="L839" s="67" t="s">
        <v>536</v>
      </c>
      <c r="M839" s="67" t="s">
        <v>270</v>
      </c>
      <c r="N839" s="67" t="s">
        <v>259</v>
      </c>
      <c r="O839" s="67" t="s">
        <v>2116</v>
      </c>
      <c r="P839" s="67" t="s">
        <v>19</v>
      </c>
      <c r="Q839" s="192">
        <v>127.6</v>
      </c>
    </row>
    <row r="840" spans="1:17" ht="11.1" hidden="1" customHeight="1" x14ac:dyDescent="0.2">
      <c r="A840" s="3"/>
      <c r="B840" s="3" t="str">
        <f ca="1">IF(A840="В заказ",MAX($B$9:OFFSET(B840,-1,0))+1,"")</f>
        <v/>
      </c>
      <c r="C840" s="6" t="str">
        <f t="shared" si="31"/>
        <v>Кромка 2,0 H1345 ST32  (75 м бухта).</v>
      </c>
      <c r="D840" s="67" t="s">
        <v>241</v>
      </c>
      <c r="E840" s="67" t="s">
        <v>34</v>
      </c>
      <c r="F840" s="67" t="s">
        <v>553</v>
      </c>
      <c r="G840" s="68">
        <v>22418</v>
      </c>
      <c r="H840" s="67" t="s">
        <v>330</v>
      </c>
      <c r="I840" s="200"/>
      <c r="J840" s="67" t="s">
        <v>546</v>
      </c>
      <c r="K840" s="67" t="s">
        <v>547</v>
      </c>
      <c r="L840" s="67" t="s">
        <v>536</v>
      </c>
      <c r="M840" s="67" t="s">
        <v>282</v>
      </c>
      <c r="N840" s="67" t="s">
        <v>259</v>
      </c>
      <c r="O840" s="67" t="s">
        <v>2116</v>
      </c>
      <c r="P840" s="67" t="s">
        <v>19</v>
      </c>
      <c r="Q840" s="192">
        <v>187.5</v>
      </c>
    </row>
    <row r="841" spans="1:17" ht="11.1" hidden="1" customHeight="1" x14ac:dyDescent="0.2">
      <c r="A841" s="3"/>
      <c r="B841" s="3" t="str">
        <f ca="1">IF(A841="В заказ",MAX($B$9:OFFSET(B841,-1,0))+1,"")</f>
        <v/>
      </c>
      <c r="C841" s="6" t="str">
        <f t="shared" si="31"/>
        <v>Кромка 0,4 H1346 ST32  (200 м бухта).</v>
      </c>
      <c r="D841" s="67" t="s">
        <v>241</v>
      </c>
      <c r="E841" s="67" t="s">
        <v>34</v>
      </c>
      <c r="F841" s="67" t="s">
        <v>554</v>
      </c>
      <c r="G841" s="68">
        <v>21686</v>
      </c>
      <c r="H841" s="67" t="s">
        <v>330</v>
      </c>
      <c r="I841" s="200"/>
      <c r="J841" s="67" t="s">
        <v>555</v>
      </c>
      <c r="K841" s="67" t="s">
        <v>556</v>
      </c>
      <c r="L841" s="67" t="s">
        <v>536</v>
      </c>
      <c r="M841" s="67" t="s">
        <v>252</v>
      </c>
      <c r="N841" s="67" t="s">
        <v>253</v>
      </c>
      <c r="O841" s="67" t="s">
        <v>2117</v>
      </c>
      <c r="P841" s="67" t="s">
        <v>19</v>
      </c>
      <c r="Q841" s="192">
        <v>17.899999999999999</v>
      </c>
    </row>
    <row r="842" spans="1:17" ht="11.1" hidden="1" customHeight="1" x14ac:dyDescent="0.2">
      <c r="A842" s="3"/>
      <c r="B842" s="3" t="str">
        <f ca="1">IF(A842="В заказ",MAX($B$9:OFFSET(B842,-1,0))+1,"")</f>
        <v/>
      </c>
      <c r="C842" s="6" t="str">
        <f t="shared" si="31"/>
        <v>Кромка 0,4 H1346 ST32  (200 м бухта).</v>
      </c>
      <c r="D842" s="67" t="s">
        <v>241</v>
      </c>
      <c r="E842" s="67" t="s">
        <v>34</v>
      </c>
      <c r="F842" s="67" t="s">
        <v>557</v>
      </c>
      <c r="G842" s="68">
        <v>21691</v>
      </c>
      <c r="H842" s="67" t="s">
        <v>330</v>
      </c>
      <c r="I842" s="200"/>
      <c r="J842" s="67" t="s">
        <v>555</v>
      </c>
      <c r="K842" s="67" t="s">
        <v>556</v>
      </c>
      <c r="L842" s="67" t="s">
        <v>536</v>
      </c>
      <c r="M842" s="67" t="s">
        <v>264</v>
      </c>
      <c r="N842" s="67" t="s">
        <v>253</v>
      </c>
      <c r="O842" s="67" t="s">
        <v>2117</v>
      </c>
      <c r="P842" s="67" t="s">
        <v>19</v>
      </c>
      <c r="Q842" s="192">
        <v>28.9</v>
      </c>
    </row>
    <row r="843" spans="1:17" ht="11.1" hidden="1" customHeight="1" x14ac:dyDescent="0.2">
      <c r="A843" s="3"/>
      <c r="B843" s="3" t="str">
        <f ca="1">IF(A843="В заказ",MAX($B$9:OFFSET(B843,-1,0))+1,"")</f>
        <v/>
      </c>
      <c r="C843" s="6" t="str">
        <f t="shared" si="31"/>
        <v>Кромка 0,8 H1346 ST32  (75 м бухта).</v>
      </c>
      <c r="D843" s="67" t="s">
        <v>241</v>
      </c>
      <c r="E843" s="67" t="s">
        <v>34</v>
      </c>
      <c r="F843" s="67" t="s">
        <v>558</v>
      </c>
      <c r="G843" s="68">
        <v>21687</v>
      </c>
      <c r="H843" s="67" t="s">
        <v>330</v>
      </c>
      <c r="I843" s="200"/>
      <c r="J843" s="67" t="s">
        <v>555</v>
      </c>
      <c r="K843" s="67" t="s">
        <v>556</v>
      </c>
      <c r="L843" s="67" t="s">
        <v>536</v>
      </c>
      <c r="M843" s="67" t="s">
        <v>252</v>
      </c>
      <c r="N843" s="67" t="s">
        <v>10</v>
      </c>
      <c r="O843" s="67" t="s">
        <v>2116</v>
      </c>
      <c r="P843" s="67" t="s">
        <v>19</v>
      </c>
      <c r="Q843" s="71">
        <v>35</v>
      </c>
    </row>
    <row r="844" spans="1:17" ht="11.1" hidden="1" customHeight="1" x14ac:dyDescent="0.2">
      <c r="A844" s="3"/>
      <c r="B844" s="3" t="str">
        <f ca="1">IF(A844="В заказ",MAX($B$9:OFFSET(B844,-1,0))+1,"")</f>
        <v/>
      </c>
      <c r="C844" s="6" t="str">
        <f t="shared" si="31"/>
        <v>Кромка 2,0 H1346 ST32  (75 м бухта).</v>
      </c>
      <c r="D844" s="67" t="s">
        <v>241</v>
      </c>
      <c r="E844" s="67" t="s">
        <v>34</v>
      </c>
      <c r="F844" s="67" t="s">
        <v>559</v>
      </c>
      <c r="G844" s="68">
        <v>21688</v>
      </c>
      <c r="H844" s="67" t="s">
        <v>330</v>
      </c>
      <c r="I844" s="200"/>
      <c r="J844" s="67" t="s">
        <v>555</v>
      </c>
      <c r="K844" s="67" t="s">
        <v>556</v>
      </c>
      <c r="L844" s="67" t="s">
        <v>536</v>
      </c>
      <c r="M844" s="67" t="s">
        <v>252</v>
      </c>
      <c r="N844" s="67" t="s">
        <v>259</v>
      </c>
      <c r="O844" s="67" t="s">
        <v>2116</v>
      </c>
      <c r="P844" s="67" t="s">
        <v>19</v>
      </c>
      <c r="Q844" s="192">
        <v>62.6</v>
      </c>
    </row>
    <row r="845" spans="1:17" ht="11.1" hidden="1" customHeight="1" x14ac:dyDescent="0.2">
      <c r="A845" s="3"/>
      <c r="B845" s="3" t="str">
        <f ca="1">IF(A845="В заказ",MAX($B$9:OFFSET(B845,-1,0))+1,"")</f>
        <v/>
      </c>
      <c r="C845" s="6" t="str">
        <f t="shared" si="31"/>
        <v>Кромка 2,0 H1346 ST32  (75 м бухта).</v>
      </c>
      <c r="D845" s="67" t="s">
        <v>241</v>
      </c>
      <c r="E845" s="67" t="s">
        <v>34</v>
      </c>
      <c r="F845" s="67" t="s">
        <v>560</v>
      </c>
      <c r="G845" s="68">
        <v>21693</v>
      </c>
      <c r="H845" s="67" t="s">
        <v>330</v>
      </c>
      <c r="I845" s="200"/>
      <c r="J845" s="67" t="s">
        <v>555</v>
      </c>
      <c r="K845" s="67" t="s">
        <v>556</v>
      </c>
      <c r="L845" s="67" t="s">
        <v>536</v>
      </c>
      <c r="M845" s="67" t="s">
        <v>264</v>
      </c>
      <c r="N845" s="67" t="s">
        <v>259</v>
      </c>
      <c r="O845" s="67" t="s">
        <v>2116</v>
      </c>
      <c r="P845" s="67" t="s">
        <v>19</v>
      </c>
      <c r="Q845" s="192">
        <v>94.1</v>
      </c>
    </row>
    <row r="846" spans="1:17" ht="11.1" hidden="1" customHeight="1" x14ac:dyDescent="0.2">
      <c r="A846" s="3"/>
      <c r="B846" s="3" t="str">
        <f ca="1">IF(A846="В заказ",MAX($B$9:OFFSET(B846,-1,0))+1,"")</f>
        <v/>
      </c>
      <c r="C846" s="6" t="str">
        <f t="shared" si="31"/>
        <v>Кромка 2,0 H1346 ST32  (75 м бухта).</v>
      </c>
      <c r="D846" s="67" t="s">
        <v>241</v>
      </c>
      <c r="E846" s="67" t="s">
        <v>34</v>
      </c>
      <c r="F846" s="67" t="s">
        <v>561</v>
      </c>
      <c r="G846" s="68">
        <v>21694</v>
      </c>
      <c r="H846" s="67" t="s">
        <v>330</v>
      </c>
      <c r="I846" s="200"/>
      <c r="J846" s="67" t="s">
        <v>555</v>
      </c>
      <c r="K846" s="67" t="s">
        <v>556</v>
      </c>
      <c r="L846" s="67" t="s">
        <v>536</v>
      </c>
      <c r="M846" s="67" t="s">
        <v>270</v>
      </c>
      <c r="N846" s="67" t="s">
        <v>259</v>
      </c>
      <c r="O846" s="67" t="s">
        <v>2116</v>
      </c>
      <c r="P846" s="67" t="s">
        <v>19</v>
      </c>
      <c r="Q846" s="192">
        <v>127.6</v>
      </c>
    </row>
    <row r="847" spans="1:17" ht="11.1" hidden="1" customHeight="1" x14ac:dyDescent="0.2">
      <c r="A847" s="3"/>
      <c r="B847" s="3" t="str">
        <f ca="1">IF(A847="В заказ",MAX($B$9:OFFSET(B847,-1,0))+1,"")</f>
        <v/>
      </c>
      <c r="C847" s="6" t="str">
        <f t="shared" si="31"/>
        <v>Кромка 0,4 H1387 ST10  (200 м бухта).</v>
      </c>
      <c r="D847" s="67" t="s">
        <v>241</v>
      </c>
      <c r="E847" s="67" t="s">
        <v>34</v>
      </c>
      <c r="F847" s="67" t="s">
        <v>562</v>
      </c>
      <c r="G847" s="68">
        <v>15866</v>
      </c>
      <c r="H847" s="67" t="s">
        <v>330</v>
      </c>
      <c r="I847" s="200"/>
      <c r="J847" s="67" t="s">
        <v>69</v>
      </c>
      <c r="K847" s="67" t="s">
        <v>70</v>
      </c>
      <c r="L847" s="67" t="s">
        <v>38</v>
      </c>
      <c r="M847" s="67" t="s">
        <v>264</v>
      </c>
      <c r="N847" s="67" t="s">
        <v>253</v>
      </c>
      <c r="O847" s="67" t="s">
        <v>2117</v>
      </c>
      <c r="P847" s="67" t="s">
        <v>19</v>
      </c>
      <c r="Q847" s="192">
        <v>28.9</v>
      </c>
    </row>
    <row r="848" spans="1:17" ht="11.1" hidden="1" customHeight="1" x14ac:dyDescent="0.2">
      <c r="A848" s="3"/>
      <c r="B848" s="3" t="str">
        <f ca="1">IF(A848="В заказ",MAX($B$9:OFFSET(B848,-1,0))+1,"")</f>
        <v/>
      </c>
      <c r="C848" s="6" t="str">
        <f t="shared" si="31"/>
        <v>Кромка 2,0 H1387 ST10  (75 м бухта).</v>
      </c>
      <c r="D848" s="67" t="s">
        <v>241</v>
      </c>
      <c r="E848" s="67" t="s">
        <v>34</v>
      </c>
      <c r="F848" s="67" t="s">
        <v>563</v>
      </c>
      <c r="G848" s="68">
        <v>14628</v>
      </c>
      <c r="H848" s="67" t="s">
        <v>330</v>
      </c>
      <c r="I848" s="200"/>
      <c r="J848" s="67" t="s">
        <v>69</v>
      </c>
      <c r="K848" s="67" t="s">
        <v>70</v>
      </c>
      <c r="L848" s="67" t="s">
        <v>38</v>
      </c>
      <c r="M848" s="67" t="s">
        <v>252</v>
      </c>
      <c r="N848" s="67" t="s">
        <v>259</v>
      </c>
      <c r="O848" s="67" t="s">
        <v>2116</v>
      </c>
      <c r="P848" s="67" t="s">
        <v>19</v>
      </c>
      <c r="Q848" s="192">
        <v>62.6</v>
      </c>
    </row>
    <row r="849" spans="1:17" ht="11.1" hidden="1" customHeight="1" x14ac:dyDescent="0.2">
      <c r="A849" s="3"/>
      <c r="B849" s="3" t="str">
        <f ca="1">IF(A849="В заказ",MAX($B$9:OFFSET(B849,-1,0))+1,"")</f>
        <v/>
      </c>
      <c r="C849" s="6" t="str">
        <f t="shared" si="31"/>
        <v>Кромка 2,0 H1387 ST10  (75 м бухта).</v>
      </c>
      <c r="D849" s="67" t="s">
        <v>241</v>
      </c>
      <c r="E849" s="67" t="s">
        <v>34</v>
      </c>
      <c r="F849" s="67" t="s">
        <v>564</v>
      </c>
      <c r="G849" s="68">
        <v>15868</v>
      </c>
      <c r="H849" s="67" t="s">
        <v>330</v>
      </c>
      <c r="I849" s="200"/>
      <c r="J849" s="67" t="s">
        <v>69</v>
      </c>
      <c r="K849" s="67" t="s">
        <v>70</v>
      </c>
      <c r="L849" s="67" t="s">
        <v>38</v>
      </c>
      <c r="M849" s="67" t="s">
        <v>264</v>
      </c>
      <c r="N849" s="67" t="s">
        <v>259</v>
      </c>
      <c r="O849" s="67" t="s">
        <v>2116</v>
      </c>
      <c r="P849" s="67" t="s">
        <v>19</v>
      </c>
      <c r="Q849" s="192">
        <v>94.1</v>
      </c>
    </row>
    <row r="850" spans="1:17" ht="11.1" hidden="1" customHeight="1" x14ac:dyDescent="0.2">
      <c r="A850" s="3"/>
      <c r="B850" s="3" t="str">
        <f ca="1">IF(A850="В заказ",MAX($B$9:OFFSET(B850,-1,0))+1,"")</f>
        <v/>
      </c>
      <c r="C850" s="6" t="str">
        <f t="shared" si="31"/>
        <v>Кромка 2,0 H1387 ST10  (75 м бухта).</v>
      </c>
      <c r="D850" s="67" t="s">
        <v>241</v>
      </c>
      <c r="E850" s="67" t="s">
        <v>34</v>
      </c>
      <c r="F850" s="67" t="s">
        <v>565</v>
      </c>
      <c r="G850" s="68">
        <v>15340</v>
      </c>
      <c r="H850" s="67" t="s">
        <v>330</v>
      </c>
      <c r="I850" s="200"/>
      <c r="J850" s="67" t="s">
        <v>69</v>
      </c>
      <c r="K850" s="67" t="s">
        <v>70</v>
      </c>
      <c r="L850" s="67" t="s">
        <v>38</v>
      </c>
      <c r="M850" s="67" t="s">
        <v>270</v>
      </c>
      <c r="N850" s="67" t="s">
        <v>259</v>
      </c>
      <c r="O850" s="67" t="s">
        <v>2116</v>
      </c>
      <c r="P850" s="67" t="s">
        <v>19</v>
      </c>
      <c r="Q850" s="192">
        <v>127.6</v>
      </c>
    </row>
    <row r="851" spans="1:17" ht="11.1" hidden="1" customHeight="1" x14ac:dyDescent="0.2">
      <c r="A851" s="3"/>
      <c r="B851" s="3" t="str">
        <f ca="1">IF(A851="В заказ",MAX($B$9:OFFSET(B851,-1,0))+1,"")</f>
        <v/>
      </c>
      <c r="C851" s="6" t="str">
        <f t="shared" si="31"/>
        <v>Кромка 0,4 H1399 ST10  (200 м бухта).</v>
      </c>
      <c r="D851" s="67" t="s">
        <v>241</v>
      </c>
      <c r="E851" s="67" t="s">
        <v>34</v>
      </c>
      <c r="F851" s="67" t="s">
        <v>566</v>
      </c>
      <c r="G851" s="68">
        <v>13475</v>
      </c>
      <c r="H851" s="67" t="s">
        <v>330</v>
      </c>
      <c r="I851" s="200"/>
      <c r="J851" s="67" t="s">
        <v>71</v>
      </c>
      <c r="K851" s="67" t="s">
        <v>72</v>
      </c>
      <c r="L851" s="67" t="s">
        <v>38</v>
      </c>
      <c r="M851" s="67" t="s">
        <v>252</v>
      </c>
      <c r="N851" s="67" t="s">
        <v>253</v>
      </c>
      <c r="O851" s="67" t="s">
        <v>2117</v>
      </c>
      <c r="P851" s="67" t="s">
        <v>19</v>
      </c>
      <c r="Q851" s="192">
        <v>17.899999999999999</v>
      </c>
    </row>
    <row r="852" spans="1:17" ht="11.1" hidden="1" customHeight="1" x14ac:dyDescent="0.2">
      <c r="A852" s="3"/>
      <c r="B852" s="3" t="str">
        <f ca="1">IF(A852="В заказ",MAX($B$9:OFFSET(B852,-1,0))+1,"")</f>
        <v/>
      </c>
      <c r="C852" s="6" t="str">
        <f t="shared" si="31"/>
        <v>Кромка 0,4 H1399 ST10  (200 м бухта).</v>
      </c>
      <c r="D852" s="67" t="s">
        <v>241</v>
      </c>
      <c r="E852" s="67" t="s">
        <v>34</v>
      </c>
      <c r="F852" s="67" t="s">
        <v>567</v>
      </c>
      <c r="G852" s="68">
        <v>24830</v>
      </c>
      <c r="H852" s="67" t="s">
        <v>330</v>
      </c>
      <c r="I852" s="200"/>
      <c r="J852" s="67" t="s">
        <v>71</v>
      </c>
      <c r="K852" s="67" t="s">
        <v>72</v>
      </c>
      <c r="L852" s="67" t="s">
        <v>38</v>
      </c>
      <c r="M852" s="67" t="s">
        <v>244</v>
      </c>
      <c r="N852" s="67" t="s">
        <v>253</v>
      </c>
      <c r="O852" s="67" t="s">
        <v>2117</v>
      </c>
      <c r="P852" s="67" t="s">
        <v>19</v>
      </c>
      <c r="Q852" s="71">
        <v>22</v>
      </c>
    </row>
    <row r="853" spans="1:17" ht="11.1" hidden="1" customHeight="1" x14ac:dyDescent="0.2">
      <c r="A853" s="3"/>
      <c r="B853" s="3" t="str">
        <f ca="1">IF(A853="В заказ",MAX($B$9:OFFSET(B853,-1,0))+1,"")</f>
        <v/>
      </c>
      <c r="C853" s="6" t="str">
        <f t="shared" si="31"/>
        <v>Кромка 0,4 H1399 ST10  (200 м бухта).</v>
      </c>
      <c r="D853" s="67" t="s">
        <v>241</v>
      </c>
      <c r="E853" s="67" t="s">
        <v>34</v>
      </c>
      <c r="F853" s="67" t="s">
        <v>568</v>
      </c>
      <c r="G853" s="68">
        <v>16798</v>
      </c>
      <c r="H853" s="67" t="s">
        <v>330</v>
      </c>
      <c r="I853" s="200"/>
      <c r="J853" s="67" t="s">
        <v>71</v>
      </c>
      <c r="K853" s="67" t="s">
        <v>72</v>
      </c>
      <c r="L853" s="67" t="s">
        <v>38</v>
      </c>
      <c r="M853" s="67" t="s">
        <v>264</v>
      </c>
      <c r="N853" s="67" t="s">
        <v>253</v>
      </c>
      <c r="O853" s="67" t="s">
        <v>2117</v>
      </c>
      <c r="P853" s="67" t="s">
        <v>19</v>
      </c>
      <c r="Q853" s="192">
        <v>28.9</v>
      </c>
    </row>
    <row r="854" spans="1:17" ht="11.1" hidden="1" customHeight="1" x14ac:dyDescent="0.2">
      <c r="A854" s="3"/>
      <c r="B854" s="3" t="str">
        <f ca="1">IF(A854="В заказ",MAX($B$9:OFFSET(B854,-1,0))+1,"")</f>
        <v/>
      </c>
      <c r="C854" s="6" t="str">
        <f t="shared" si="31"/>
        <v>Кромка 0,8 H1399 ST10  (75 м бухта).</v>
      </c>
      <c r="D854" s="67" t="s">
        <v>241</v>
      </c>
      <c r="E854" s="67" t="s">
        <v>34</v>
      </c>
      <c r="F854" s="67" t="s">
        <v>569</v>
      </c>
      <c r="G854" s="68">
        <v>15414</v>
      </c>
      <c r="H854" s="67" t="s">
        <v>330</v>
      </c>
      <c r="I854" s="200"/>
      <c r="J854" s="67" t="s">
        <v>71</v>
      </c>
      <c r="K854" s="67" t="s">
        <v>72</v>
      </c>
      <c r="L854" s="67" t="s">
        <v>38</v>
      </c>
      <c r="M854" s="67" t="s">
        <v>252</v>
      </c>
      <c r="N854" s="67" t="s">
        <v>10</v>
      </c>
      <c r="O854" s="67" t="s">
        <v>2116</v>
      </c>
      <c r="P854" s="67" t="s">
        <v>19</v>
      </c>
      <c r="Q854" s="71">
        <v>35</v>
      </c>
    </row>
    <row r="855" spans="1:17" ht="11.1" hidden="1" customHeight="1" x14ac:dyDescent="0.2">
      <c r="A855" s="3"/>
      <c r="B855" s="3" t="str">
        <f ca="1">IF(A855="В заказ",MAX($B$9:OFFSET(B855,-1,0))+1,"")</f>
        <v/>
      </c>
      <c r="C855" s="6" t="str">
        <f t="shared" si="31"/>
        <v>Кромка 0,8 H1399 ST10  (75 м бухта).</v>
      </c>
      <c r="D855" s="67" t="s">
        <v>241</v>
      </c>
      <c r="E855" s="67" t="s">
        <v>34</v>
      </c>
      <c r="F855" s="67" t="s">
        <v>570</v>
      </c>
      <c r="G855" s="68">
        <v>24831</v>
      </c>
      <c r="H855" s="67" t="s">
        <v>330</v>
      </c>
      <c r="I855" s="200"/>
      <c r="J855" s="67" t="s">
        <v>71</v>
      </c>
      <c r="K855" s="67" t="s">
        <v>72</v>
      </c>
      <c r="L855" s="67" t="s">
        <v>38</v>
      </c>
      <c r="M855" s="67" t="s">
        <v>244</v>
      </c>
      <c r="N855" s="67" t="s">
        <v>10</v>
      </c>
      <c r="O855" s="67" t="s">
        <v>2116</v>
      </c>
      <c r="P855" s="67" t="s">
        <v>19</v>
      </c>
      <c r="Q855" s="192">
        <v>42.3</v>
      </c>
    </row>
    <row r="856" spans="1:17" ht="11.1" hidden="1" customHeight="1" x14ac:dyDescent="0.2">
      <c r="A856" s="3"/>
      <c r="B856" s="3" t="str">
        <f ca="1">IF(A856="В заказ",MAX($B$9:OFFSET(B856,-1,0))+1,"")</f>
        <v/>
      </c>
      <c r="C856" s="6" t="str">
        <f t="shared" si="31"/>
        <v>Кромка 2,0 H1399 ST10  (75 м бухта).</v>
      </c>
      <c r="D856" s="67" t="s">
        <v>241</v>
      </c>
      <c r="E856" s="67" t="s">
        <v>34</v>
      </c>
      <c r="F856" s="67" t="s">
        <v>571</v>
      </c>
      <c r="G856" s="68">
        <v>13118</v>
      </c>
      <c r="H856" s="67" t="s">
        <v>330</v>
      </c>
      <c r="I856" s="200"/>
      <c r="J856" s="67" t="s">
        <v>71</v>
      </c>
      <c r="K856" s="67" t="s">
        <v>72</v>
      </c>
      <c r="L856" s="67" t="s">
        <v>38</v>
      </c>
      <c r="M856" s="67" t="s">
        <v>252</v>
      </c>
      <c r="N856" s="67" t="s">
        <v>259</v>
      </c>
      <c r="O856" s="67" t="s">
        <v>2116</v>
      </c>
      <c r="P856" s="67" t="s">
        <v>19</v>
      </c>
      <c r="Q856" s="192">
        <v>62.6</v>
      </c>
    </row>
    <row r="857" spans="1:17" ht="11.1" hidden="1" customHeight="1" x14ac:dyDescent="0.2">
      <c r="A857" s="3"/>
      <c r="B857" s="3" t="str">
        <f ca="1">IF(A857="В заказ",MAX($B$9:OFFSET(B857,-1,0))+1,"")</f>
        <v/>
      </c>
      <c r="C857" s="6" t="str">
        <f t="shared" si="31"/>
        <v>Кромка 2,0 H1399 ST10  (75 м бухта).</v>
      </c>
      <c r="D857" s="67" t="s">
        <v>241</v>
      </c>
      <c r="E857" s="67" t="s">
        <v>34</v>
      </c>
      <c r="F857" s="67" t="s">
        <v>572</v>
      </c>
      <c r="G857" s="68">
        <v>13125</v>
      </c>
      <c r="H857" s="67" t="s">
        <v>330</v>
      </c>
      <c r="I857" s="200"/>
      <c r="J857" s="67" t="s">
        <v>71</v>
      </c>
      <c r="K857" s="67" t="s">
        <v>72</v>
      </c>
      <c r="L857" s="67" t="s">
        <v>38</v>
      </c>
      <c r="M857" s="67" t="s">
        <v>244</v>
      </c>
      <c r="N857" s="67" t="s">
        <v>259</v>
      </c>
      <c r="O857" s="67" t="s">
        <v>2116</v>
      </c>
      <c r="P857" s="67" t="s">
        <v>19</v>
      </c>
      <c r="Q857" s="192">
        <v>65.5</v>
      </c>
    </row>
    <row r="858" spans="1:17" ht="11.1" hidden="1" customHeight="1" x14ac:dyDescent="0.2">
      <c r="A858" s="3"/>
      <c r="B858" s="3" t="str">
        <f ca="1">IF(A858="В заказ",MAX($B$9:OFFSET(B858,-1,0))+1,"")</f>
        <v/>
      </c>
      <c r="C858" s="6" t="str">
        <f t="shared" si="31"/>
        <v>Кромка 2,0 H1399 ST10  (75 м бухта).</v>
      </c>
      <c r="D858" s="67" t="s">
        <v>241</v>
      </c>
      <c r="E858" s="67" t="s">
        <v>34</v>
      </c>
      <c r="F858" s="67" t="s">
        <v>573</v>
      </c>
      <c r="G858" s="68">
        <v>13119</v>
      </c>
      <c r="H858" s="67" t="s">
        <v>330</v>
      </c>
      <c r="I858" s="200"/>
      <c r="J858" s="67" t="s">
        <v>71</v>
      </c>
      <c r="K858" s="67" t="s">
        <v>72</v>
      </c>
      <c r="L858" s="67" t="s">
        <v>38</v>
      </c>
      <c r="M858" s="67" t="s">
        <v>264</v>
      </c>
      <c r="N858" s="67" t="s">
        <v>259</v>
      </c>
      <c r="O858" s="67" t="s">
        <v>2116</v>
      </c>
      <c r="P858" s="67" t="s">
        <v>19</v>
      </c>
      <c r="Q858" s="192">
        <v>94.1</v>
      </c>
    </row>
    <row r="859" spans="1:17" ht="11.1" hidden="1" customHeight="1" x14ac:dyDescent="0.2">
      <c r="A859" s="3"/>
      <c r="B859" s="3" t="str">
        <f ca="1">IF(A859="В заказ",MAX($B$9:OFFSET(B859,-1,0))+1,"")</f>
        <v/>
      </c>
      <c r="C859" s="6" t="str">
        <f t="shared" si="31"/>
        <v>Кромка 2,0 H1399 ST10  (75 м бухта).</v>
      </c>
      <c r="D859" s="67" t="s">
        <v>241</v>
      </c>
      <c r="E859" s="67" t="s">
        <v>34</v>
      </c>
      <c r="F859" s="67" t="s">
        <v>574</v>
      </c>
      <c r="G859" s="68">
        <v>14657</v>
      </c>
      <c r="H859" s="67" t="s">
        <v>330</v>
      </c>
      <c r="I859" s="200"/>
      <c r="J859" s="67" t="s">
        <v>71</v>
      </c>
      <c r="K859" s="67" t="s">
        <v>72</v>
      </c>
      <c r="L859" s="67" t="s">
        <v>38</v>
      </c>
      <c r="M859" s="67" t="s">
        <v>270</v>
      </c>
      <c r="N859" s="67" t="s">
        <v>259</v>
      </c>
      <c r="O859" s="67" t="s">
        <v>2116</v>
      </c>
      <c r="P859" s="67" t="s">
        <v>19</v>
      </c>
      <c r="Q859" s="192">
        <v>127.6</v>
      </c>
    </row>
    <row r="860" spans="1:17" ht="11.1" hidden="1" customHeight="1" x14ac:dyDescent="0.2">
      <c r="A860" s="3"/>
      <c r="B860" s="3" t="str">
        <f ca="1">IF(A860="В заказ",MAX($B$9:OFFSET(B860,-1,0))+1,"")</f>
        <v/>
      </c>
      <c r="C860" s="6" t="str">
        <f t="shared" si="31"/>
        <v>Кромка 0,4 H1401 ST22  (200 м бухта).</v>
      </c>
      <c r="D860" s="67" t="s">
        <v>241</v>
      </c>
      <c r="E860" s="67" t="s">
        <v>34</v>
      </c>
      <c r="F860" s="67" t="s">
        <v>575</v>
      </c>
      <c r="G860" s="68">
        <v>13428</v>
      </c>
      <c r="H860" s="67" t="s">
        <v>330</v>
      </c>
      <c r="I860" s="200"/>
      <c r="J860" s="67" t="s">
        <v>75</v>
      </c>
      <c r="K860" s="67" t="s">
        <v>76</v>
      </c>
      <c r="L860" s="67" t="s">
        <v>44</v>
      </c>
      <c r="M860" s="67" t="s">
        <v>252</v>
      </c>
      <c r="N860" s="67" t="s">
        <v>253</v>
      </c>
      <c r="O860" s="67" t="s">
        <v>2117</v>
      </c>
      <c r="P860" s="67" t="s">
        <v>19</v>
      </c>
      <c r="Q860" s="192">
        <v>17.899999999999999</v>
      </c>
    </row>
    <row r="861" spans="1:17" ht="11.1" hidden="1" customHeight="1" x14ac:dyDescent="0.2">
      <c r="A861" s="3"/>
      <c r="B861" s="3" t="str">
        <f ca="1">IF(A861="В заказ",MAX($B$9:OFFSET(B861,-1,0))+1,"")</f>
        <v/>
      </c>
      <c r="C861" s="6" t="str">
        <f t="shared" si="31"/>
        <v>Кромка 0,4 H1401 ST22  (200 м бухта).</v>
      </c>
      <c r="D861" s="67" t="s">
        <v>241</v>
      </c>
      <c r="E861" s="67" t="s">
        <v>34</v>
      </c>
      <c r="F861" s="67" t="s">
        <v>576</v>
      </c>
      <c r="G861" s="68">
        <v>24521</v>
      </c>
      <c r="H861" s="67" t="s">
        <v>330</v>
      </c>
      <c r="I861" s="200"/>
      <c r="J861" s="67" t="s">
        <v>75</v>
      </c>
      <c r="K861" s="67" t="s">
        <v>76</v>
      </c>
      <c r="L861" s="67" t="s">
        <v>44</v>
      </c>
      <c r="M861" s="67" t="s">
        <v>244</v>
      </c>
      <c r="N861" s="67" t="s">
        <v>253</v>
      </c>
      <c r="O861" s="67" t="s">
        <v>2117</v>
      </c>
      <c r="P861" s="67" t="s">
        <v>19</v>
      </c>
      <c r="Q861" s="71">
        <v>22</v>
      </c>
    </row>
    <row r="862" spans="1:17" ht="11.1" hidden="1" customHeight="1" x14ac:dyDescent="0.2">
      <c r="A862" s="3"/>
      <c r="B862" s="3" t="str">
        <f ca="1">IF(A862="В заказ",MAX($B$9:OFFSET(B862,-1,0))+1,"")</f>
        <v/>
      </c>
      <c r="C862" s="6" t="str">
        <f t="shared" si="31"/>
        <v>Кромка 0,4 H1401 ST22  (200 м бухта).</v>
      </c>
      <c r="D862" s="67" t="s">
        <v>241</v>
      </c>
      <c r="E862" s="67" t="s">
        <v>34</v>
      </c>
      <c r="F862" s="67" t="s">
        <v>577</v>
      </c>
      <c r="G862" s="68">
        <v>14018</v>
      </c>
      <c r="H862" s="67" t="s">
        <v>330</v>
      </c>
      <c r="I862" s="200"/>
      <c r="J862" s="67" t="s">
        <v>75</v>
      </c>
      <c r="K862" s="67" t="s">
        <v>76</v>
      </c>
      <c r="L862" s="67" t="s">
        <v>44</v>
      </c>
      <c r="M862" s="67" t="s">
        <v>264</v>
      </c>
      <c r="N862" s="67" t="s">
        <v>253</v>
      </c>
      <c r="O862" s="67" t="s">
        <v>2117</v>
      </c>
      <c r="P862" s="67" t="s">
        <v>19</v>
      </c>
      <c r="Q862" s="192">
        <v>28.9</v>
      </c>
    </row>
    <row r="863" spans="1:17" ht="11.1" hidden="1" customHeight="1" x14ac:dyDescent="0.2">
      <c r="A863" s="3"/>
      <c r="B863" s="3" t="str">
        <f ca="1">IF(A863="В заказ",MAX($B$9:OFFSET(B863,-1,0))+1,"")</f>
        <v/>
      </c>
      <c r="C863" s="6" t="str">
        <f t="shared" si="31"/>
        <v>Кромка 0,8 H1401 ST22  (75 м бухта).</v>
      </c>
      <c r="D863" s="67" t="s">
        <v>241</v>
      </c>
      <c r="E863" s="67" t="s">
        <v>34</v>
      </c>
      <c r="F863" s="67" t="s">
        <v>578</v>
      </c>
      <c r="G863" s="68">
        <v>13981</v>
      </c>
      <c r="H863" s="67" t="s">
        <v>330</v>
      </c>
      <c r="I863" s="200"/>
      <c r="J863" s="67" t="s">
        <v>75</v>
      </c>
      <c r="K863" s="67" t="s">
        <v>76</v>
      </c>
      <c r="L863" s="67" t="s">
        <v>44</v>
      </c>
      <c r="M863" s="67" t="s">
        <v>252</v>
      </c>
      <c r="N863" s="67" t="s">
        <v>10</v>
      </c>
      <c r="O863" s="67" t="s">
        <v>2116</v>
      </c>
      <c r="P863" s="67" t="s">
        <v>19</v>
      </c>
      <c r="Q863" s="71">
        <v>35</v>
      </c>
    </row>
    <row r="864" spans="1:17" ht="11.1" hidden="1" customHeight="1" x14ac:dyDescent="0.2">
      <c r="A864" s="3"/>
      <c r="B864" s="3" t="str">
        <f ca="1">IF(A864="В заказ",MAX($B$9:OFFSET(B864,-1,0))+1,"")</f>
        <v/>
      </c>
      <c r="C864" s="6" t="str">
        <f t="shared" si="31"/>
        <v>Кромка 0,8 H1401 ST22  (75 м бухта).</v>
      </c>
      <c r="D864" s="67" t="s">
        <v>241</v>
      </c>
      <c r="E864" s="67" t="s">
        <v>34</v>
      </c>
      <c r="F864" s="67" t="s">
        <v>579</v>
      </c>
      <c r="G864" s="68">
        <v>20715</v>
      </c>
      <c r="H864" s="67" t="s">
        <v>330</v>
      </c>
      <c r="I864" s="200"/>
      <c r="J864" s="67" t="s">
        <v>75</v>
      </c>
      <c r="K864" s="67" t="s">
        <v>76</v>
      </c>
      <c r="L864" s="67" t="s">
        <v>44</v>
      </c>
      <c r="M864" s="67" t="s">
        <v>244</v>
      </c>
      <c r="N864" s="67" t="s">
        <v>10</v>
      </c>
      <c r="O864" s="67" t="s">
        <v>2116</v>
      </c>
      <c r="P864" s="67" t="s">
        <v>19</v>
      </c>
      <c r="Q864" s="192">
        <v>42.3</v>
      </c>
    </row>
    <row r="865" spans="1:17" ht="11.1" hidden="1" customHeight="1" x14ac:dyDescent="0.2">
      <c r="A865" s="3"/>
      <c r="B865" s="3" t="str">
        <f ca="1">IF(A865="В заказ",MAX($B$9:OFFSET(B865,-1,0))+1,"")</f>
        <v/>
      </c>
      <c r="C865" s="6" t="str">
        <f t="shared" si="31"/>
        <v>Кромка 2,0 H1401 ST22  (75 м бухта).</v>
      </c>
      <c r="D865" s="67" t="s">
        <v>241</v>
      </c>
      <c r="E865" s="67" t="s">
        <v>34</v>
      </c>
      <c r="F865" s="67" t="s">
        <v>580</v>
      </c>
      <c r="G865" s="68">
        <v>13429</v>
      </c>
      <c r="H865" s="67" t="s">
        <v>330</v>
      </c>
      <c r="I865" s="200"/>
      <c r="J865" s="67" t="s">
        <v>75</v>
      </c>
      <c r="K865" s="67" t="s">
        <v>76</v>
      </c>
      <c r="L865" s="67" t="s">
        <v>44</v>
      </c>
      <c r="M865" s="67" t="s">
        <v>252</v>
      </c>
      <c r="N865" s="67" t="s">
        <v>259</v>
      </c>
      <c r="O865" s="67" t="s">
        <v>2116</v>
      </c>
      <c r="P865" s="67" t="s">
        <v>19</v>
      </c>
      <c r="Q865" s="192">
        <v>62.6</v>
      </c>
    </row>
    <row r="866" spans="1:17" ht="11.1" hidden="1" customHeight="1" x14ac:dyDescent="0.2">
      <c r="A866" s="3"/>
      <c r="B866" s="3" t="str">
        <f ca="1">IF(A866="В заказ",MAX($B$9:OFFSET(B866,-1,0))+1,"")</f>
        <v/>
      </c>
      <c r="C866" s="6" t="str">
        <f t="shared" si="31"/>
        <v>Кромка 2,0 H1401 ST22 (75 м бухта).</v>
      </c>
      <c r="D866" s="67" t="s">
        <v>241</v>
      </c>
      <c r="E866" s="67" t="s">
        <v>34</v>
      </c>
      <c r="F866" s="67" t="s">
        <v>581</v>
      </c>
      <c r="G866" s="68">
        <v>13892</v>
      </c>
      <c r="H866" s="67" t="s">
        <v>330</v>
      </c>
      <c r="I866" s="200"/>
      <c r="J866" s="67" t="s">
        <v>75</v>
      </c>
      <c r="K866" s="67" t="s">
        <v>76</v>
      </c>
      <c r="L866" s="67" t="s">
        <v>44</v>
      </c>
      <c r="M866" s="67" t="s">
        <v>244</v>
      </c>
      <c r="N866" s="67" t="s">
        <v>259</v>
      </c>
      <c r="O866" s="67" t="s">
        <v>246</v>
      </c>
      <c r="P866" s="67" t="s">
        <v>19</v>
      </c>
      <c r="Q866" s="192">
        <v>65.5</v>
      </c>
    </row>
    <row r="867" spans="1:17" ht="11.1" hidden="1" customHeight="1" x14ac:dyDescent="0.2">
      <c r="A867" s="3"/>
      <c r="B867" s="3" t="str">
        <f ca="1">IF(A867="В заказ",MAX($B$9:OFFSET(B867,-1,0))+1,"")</f>
        <v/>
      </c>
      <c r="C867" s="6" t="str">
        <f t="shared" si="31"/>
        <v>Кромка 2,0 H1401 ST22  (75 м бухта).</v>
      </c>
      <c r="D867" s="67" t="s">
        <v>241</v>
      </c>
      <c r="E867" s="67" t="s">
        <v>34</v>
      </c>
      <c r="F867" s="67" t="s">
        <v>582</v>
      </c>
      <c r="G867" s="68">
        <v>13755</v>
      </c>
      <c r="H867" s="67" t="s">
        <v>330</v>
      </c>
      <c r="I867" s="200"/>
      <c r="J867" s="67" t="s">
        <v>75</v>
      </c>
      <c r="K867" s="67" t="s">
        <v>76</v>
      </c>
      <c r="L867" s="67" t="s">
        <v>44</v>
      </c>
      <c r="M867" s="67" t="s">
        <v>264</v>
      </c>
      <c r="N867" s="67" t="s">
        <v>259</v>
      </c>
      <c r="O867" s="67" t="s">
        <v>2116</v>
      </c>
      <c r="P867" s="67" t="s">
        <v>19</v>
      </c>
      <c r="Q867" s="192">
        <v>94.1</v>
      </c>
    </row>
    <row r="868" spans="1:17" ht="11.1" hidden="1" customHeight="1" x14ac:dyDescent="0.2">
      <c r="A868" s="3"/>
      <c r="B868" s="3" t="str">
        <f ca="1">IF(A868="В заказ",MAX($B$9:OFFSET(B868,-1,0))+1,"")</f>
        <v/>
      </c>
      <c r="C868" s="6" t="str">
        <f t="shared" si="31"/>
        <v>Кромка 2,0 H1401 ST22  (75 м бухта).</v>
      </c>
      <c r="D868" s="67" t="s">
        <v>241</v>
      </c>
      <c r="E868" s="67" t="s">
        <v>34</v>
      </c>
      <c r="F868" s="67" t="s">
        <v>583</v>
      </c>
      <c r="G868" s="68">
        <v>13853</v>
      </c>
      <c r="H868" s="67" t="s">
        <v>330</v>
      </c>
      <c r="I868" s="200"/>
      <c r="J868" s="67" t="s">
        <v>75</v>
      </c>
      <c r="K868" s="67" t="s">
        <v>76</v>
      </c>
      <c r="L868" s="67" t="s">
        <v>44</v>
      </c>
      <c r="M868" s="67" t="s">
        <v>270</v>
      </c>
      <c r="N868" s="67" t="s">
        <v>259</v>
      </c>
      <c r="O868" s="67" t="s">
        <v>2116</v>
      </c>
      <c r="P868" s="67" t="s">
        <v>19</v>
      </c>
      <c r="Q868" s="192">
        <v>127.6</v>
      </c>
    </row>
    <row r="869" spans="1:17" ht="11.1" hidden="1" customHeight="1" x14ac:dyDescent="0.2">
      <c r="A869" s="3"/>
      <c r="B869" s="3" t="str">
        <f ca="1">IF(A869="В заказ",MAX($B$9:OFFSET(B869,-1,0))+1,"")</f>
        <v/>
      </c>
      <c r="C869" s="6" t="str">
        <f t="shared" si="31"/>
        <v>Кромка 0,4 H1424 ST22  (200 м бухта).</v>
      </c>
      <c r="D869" s="67" t="s">
        <v>241</v>
      </c>
      <c r="E869" s="67" t="s">
        <v>34</v>
      </c>
      <c r="F869" s="67" t="s">
        <v>2167</v>
      </c>
      <c r="G869" s="68">
        <v>2300</v>
      </c>
      <c r="H869" s="67" t="s">
        <v>330</v>
      </c>
      <c r="I869" s="200"/>
      <c r="J869" s="67" t="s">
        <v>77</v>
      </c>
      <c r="K869" s="67" t="s">
        <v>78</v>
      </c>
      <c r="L869" s="67" t="s">
        <v>44</v>
      </c>
      <c r="M869" s="67" t="s">
        <v>252</v>
      </c>
      <c r="N869" s="67" t="s">
        <v>253</v>
      </c>
      <c r="O869" s="67" t="s">
        <v>2117</v>
      </c>
      <c r="P869" s="67" t="s">
        <v>19</v>
      </c>
      <c r="Q869" s="71">
        <v>18</v>
      </c>
    </row>
    <row r="870" spans="1:17" ht="11.1" hidden="1" customHeight="1" x14ac:dyDescent="0.2">
      <c r="A870" s="3"/>
      <c r="B870" s="3" t="str">
        <f ca="1">IF(A870="В заказ",MAX($B$9:OFFSET(B870,-1,0))+1,"")</f>
        <v/>
      </c>
      <c r="C870" s="6" t="str">
        <f t="shared" si="31"/>
        <v>Кромка 0,8 H1424 ST22  (75 м бухта).</v>
      </c>
      <c r="D870" s="67" t="s">
        <v>241</v>
      </c>
      <c r="E870" s="67" t="s">
        <v>34</v>
      </c>
      <c r="F870" s="67" t="s">
        <v>2168</v>
      </c>
      <c r="G870" s="68">
        <v>12505</v>
      </c>
      <c r="H870" s="67" t="s">
        <v>330</v>
      </c>
      <c r="I870" s="200"/>
      <c r="J870" s="67" t="s">
        <v>77</v>
      </c>
      <c r="K870" s="67" t="s">
        <v>78</v>
      </c>
      <c r="L870" s="67" t="s">
        <v>44</v>
      </c>
      <c r="M870" s="67" t="s">
        <v>252</v>
      </c>
      <c r="N870" s="67" t="s">
        <v>10</v>
      </c>
      <c r="O870" s="67" t="s">
        <v>2116</v>
      </c>
      <c r="P870" s="67" t="s">
        <v>19</v>
      </c>
      <c r="Q870" s="71">
        <v>30</v>
      </c>
    </row>
    <row r="871" spans="1:17" ht="11.1" hidden="1" customHeight="1" x14ac:dyDescent="0.2">
      <c r="A871" s="3"/>
      <c r="B871" s="3" t="str">
        <f ca="1">IF(A871="В заказ",MAX($B$9:OFFSET(B871,-1,0))+1,"")</f>
        <v/>
      </c>
      <c r="C871" s="6" t="str">
        <f t="shared" si="31"/>
        <v>Кромка 0,4 H1486 ST36  (200 м бухта).</v>
      </c>
      <c r="D871" s="67" t="s">
        <v>241</v>
      </c>
      <c r="E871" s="67" t="s">
        <v>34</v>
      </c>
      <c r="F871" s="67" t="s">
        <v>584</v>
      </c>
      <c r="G871" s="68">
        <v>8768</v>
      </c>
      <c r="H871" s="67" t="s">
        <v>330</v>
      </c>
      <c r="I871" s="200"/>
      <c r="J871" s="67" t="s">
        <v>79</v>
      </c>
      <c r="K871" s="67" t="s">
        <v>80</v>
      </c>
      <c r="L871" s="67" t="s">
        <v>64</v>
      </c>
      <c r="M871" s="67" t="s">
        <v>252</v>
      </c>
      <c r="N871" s="67" t="s">
        <v>253</v>
      </c>
      <c r="O871" s="67" t="s">
        <v>2117</v>
      </c>
      <c r="P871" s="67" t="s">
        <v>19</v>
      </c>
      <c r="Q871" s="192">
        <v>17.899999999999999</v>
      </c>
    </row>
    <row r="872" spans="1:17" ht="11.1" hidden="1" customHeight="1" x14ac:dyDescent="0.2">
      <c r="A872" s="3"/>
      <c r="B872" s="3" t="str">
        <f ca="1">IF(A872="В заказ",MAX($B$9:OFFSET(B872,-1,0))+1,"")</f>
        <v/>
      </c>
      <c r="C872" s="6" t="str">
        <f t="shared" si="31"/>
        <v>Кромка 0,4 H1486 ST36  (200 м бухта).</v>
      </c>
      <c r="D872" s="67" t="s">
        <v>241</v>
      </c>
      <c r="E872" s="67" t="s">
        <v>34</v>
      </c>
      <c r="F872" s="67" t="s">
        <v>585</v>
      </c>
      <c r="G872" s="68">
        <v>24567</v>
      </c>
      <c r="H872" s="67" t="s">
        <v>330</v>
      </c>
      <c r="I872" s="200"/>
      <c r="J872" s="67" t="s">
        <v>79</v>
      </c>
      <c r="K872" s="67" t="s">
        <v>80</v>
      </c>
      <c r="L872" s="67" t="s">
        <v>64</v>
      </c>
      <c r="M872" s="67" t="s">
        <v>244</v>
      </c>
      <c r="N872" s="67" t="s">
        <v>253</v>
      </c>
      <c r="O872" s="67" t="s">
        <v>2117</v>
      </c>
      <c r="P872" s="67" t="s">
        <v>19</v>
      </c>
      <c r="Q872" s="71">
        <v>22</v>
      </c>
    </row>
    <row r="873" spans="1:17" ht="11.1" hidden="1" customHeight="1" x14ac:dyDescent="0.2">
      <c r="A873" s="3"/>
      <c r="B873" s="3" t="str">
        <f ca="1">IF(A873="В заказ",MAX($B$9:OFFSET(B873,-1,0))+1,"")</f>
        <v/>
      </c>
      <c r="C873" s="6" t="str">
        <f t="shared" si="31"/>
        <v>Кромка 0,4 H1486 ST36  (200 м бухта).</v>
      </c>
      <c r="D873" s="67" t="s">
        <v>241</v>
      </c>
      <c r="E873" s="67" t="s">
        <v>34</v>
      </c>
      <c r="F873" s="67" t="s">
        <v>586</v>
      </c>
      <c r="G873" s="68">
        <v>16351</v>
      </c>
      <c r="H873" s="67" t="s">
        <v>330</v>
      </c>
      <c r="I873" s="200"/>
      <c r="J873" s="67" t="s">
        <v>79</v>
      </c>
      <c r="K873" s="67" t="s">
        <v>80</v>
      </c>
      <c r="L873" s="67" t="s">
        <v>64</v>
      </c>
      <c r="M873" s="67" t="s">
        <v>264</v>
      </c>
      <c r="N873" s="67" t="s">
        <v>253</v>
      </c>
      <c r="O873" s="67" t="s">
        <v>2117</v>
      </c>
      <c r="P873" s="67" t="s">
        <v>19</v>
      </c>
      <c r="Q873" s="192">
        <v>28.9</v>
      </c>
    </row>
    <row r="874" spans="1:17" ht="11.1" hidden="1" customHeight="1" x14ac:dyDescent="0.2">
      <c r="A874" s="3"/>
      <c r="B874" s="3" t="str">
        <f ca="1">IF(A874="В заказ",MAX($B$9:OFFSET(B874,-1,0))+1,"")</f>
        <v/>
      </c>
      <c r="C874" s="6" t="str">
        <f t="shared" si="31"/>
        <v>Кромка 0,8 H1486 ST36  (75 м бухта).</v>
      </c>
      <c r="D874" s="67" t="s">
        <v>241</v>
      </c>
      <c r="E874" s="67" t="s">
        <v>34</v>
      </c>
      <c r="F874" s="67" t="s">
        <v>587</v>
      </c>
      <c r="G874" s="68">
        <v>14254</v>
      </c>
      <c r="H874" s="67" t="s">
        <v>330</v>
      </c>
      <c r="I874" s="200"/>
      <c r="J874" s="67" t="s">
        <v>79</v>
      </c>
      <c r="K874" s="67" t="s">
        <v>80</v>
      </c>
      <c r="L874" s="67" t="s">
        <v>64</v>
      </c>
      <c r="M874" s="67" t="s">
        <v>252</v>
      </c>
      <c r="N874" s="67" t="s">
        <v>10</v>
      </c>
      <c r="O874" s="67" t="s">
        <v>2116</v>
      </c>
      <c r="P874" s="67" t="s">
        <v>19</v>
      </c>
      <c r="Q874" s="71">
        <v>35</v>
      </c>
    </row>
    <row r="875" spans="1:17" ht="11.1" hidden="1" customHeight="1" x14ac:dyDescent="0.2">
      <c r="A875" s="3"/>
      <c r="B875" s="3" t="str">
        <f ca="1">IF(A875="В заказ",MAX($B$9:OFFSET(B875,-1,0))+1,"")</f>
        <v/>
      </c>
      <c r="C875" s="6" t="str">
        <f t="shared" si="31"/>
        <v>Кромка 0,8 H1486 ST36  (75 м бухта).</v>
      </c>
      <c r="D875" s="67" t="s">
        <v>241</v>
      </c>
      <c r="E875" s="67" t="s">
        <v>34</v>
      </c>
      <c r="F875" s="67" t="s">
        <v>588</v>
      </c>
      <c r="G875" s="68">
        <v>19881</v>
      </c>
      <c r="H875" s="67" t="s">
        <v>330</v>
      </c>
      <c r="I875" s="200"/>
      <c r="J875" s="67" t="s">
        <v>79</v>
      </c>
      <c r="K875" s="67" t="s">
        <v>80</v>
      </c>
      <c r="L875" s="67" t="s">
        <v>64</v>
      </c>
      <c r="M875" s="67" t="s">
        <v>244</v>
      </c>
      <c r="N875" s="67" t="s">
        <v>10</v>
      </c>
      <c r="O875" s="67" t="s">
        <v>2116</v>
      </c>
      <c r="P875" s="67" t="s">
        <v>19</v>
      </c>
      <c r="Q875" s="192">
        <v>42.3</v>
      </c>
    </row>
    <row r="876" spans="1:17" ht="11.1" hidden="1" customHeight="1" x14ac:dyDescent="0.2">
      <c r="A876" s="3"/>
      <c r="B876" s="3" t="str">
        <f ca="1">IF(A876="В заказ",MAX($B$9:OFFSET(B876,-1,0))+1,"")</f>
        <v/>
      </c>
      <c r="C876" s="6" t="str">
        <f t="shared" si="31"/>
        <v>Кромка 0,8 H1486 ST36  (75 м бухта).</v>
      </c>
      <c r="D876" s="67" t="s">
        <v>241</v>
      </c>
      <c r="E876" s="67" t="s">
        <v>34</v>
      </c>
      <c r="F876" s="67" t="s">
        <v>589</v>
      </c>
      <c r="G876" s="68">
        <v>16806</v>
      </c>
      <c r="H876" s="67" t="s">
        <v>330</v>
      </c>
      <c r="I876" s="200"/>
      <c r="J876" s="67" t="s">
        <v>79</v>
      </c>
      <c r="K876" s="67" t="s">
        <v>80</v>
      </c>
      <c r="L876" s="67" t="s">
        <v>64</v>
      </c>
      <c r="M876" s="67" t="s">
        <v>264</v>
      </c>
      <c r="N876" s="67" t="s">
        <v>10</v>
      </c>
      <c r="O876" s="67" t="s">
        <v>2116</v>
      </c>
      <c r="P876" s="67" t="s">
        <v>19</v>
      </c>
      <c r="Q876" s="192">
        <v>66.900000000000006</v>
      </c>
    </row>
    <row r="877" spans="1:17" ht="11.1" hidden="1" customHeight="1" x14ac:dyDescent="0.2">
      <c r="A877" s="3"/>
      <c r="B877" s="3" t="str">
        <f ca="1">IF(A877="В заказ",MAX($B$9:OFFSET(B877,-1,0))+1,"")</f>
        <v/>
      </c>
      <c r="C877" s="6" t="str">
        <f t="shared" si="31"/>
        <v>Кромка 2,0 H1486 ST36  (75 м бухта).</v>
      </c>
      <c r="D877" s="67" t="s">
        <v>241</v>
      </c>
      <c r="E877" s="67" t="s">
        <v>34</v>
      </c>
      <c r="F877" s="67" t="s">
        <v>590</v>
      </c>
      <c r="G877" s="68">
        <v>8769</v>
      </c>
      <c r="H877" s="67" t="s">
        <v>330</v>
      </c>
      <c r="I877" s="200"/>
      <c r="J877" s="67" t="s">
        <v>79</v>
      </c>
      <c r="K877" s="67" t="s">
        <v>80</v>
      </c>
      <c r="L877" s="67" t="s">
        <v>64</v>
      </c>
      <c r="M877" s="67" t="s">
        <v>252</v>
      </c>
      <c r="N877" s="67" t="s">
        <v>259</v>
      </c>
      <c r="O877" s="67" t="s">
        <v>2116</v>
      </c>
      <c r="P877" s="67" t="s">
        <v>19</v>
      </c>
      <c r="Q877" s="192">
        <v>62.6</v>
      </c>
    </row>
    <row r="878" spans="1:17" ht="11.1" hidden="1" customHeight="1" x14ac:dyDescent="0.2">
      <c r="A878" s="3"/>
      <c r="B878" s="3" t="str">
        <f ca="1">IF(A878="В заказ",MAX($B$9:OFFSET(B878,-1,0))+1,"")</f>
        <v/>
      </c>
      <c r="C878" s="6" t="str">
        <f t="shared" si="31"/>
        <v>Кромка 2,0 H1486 ST36  (75 м бухта).</v>
      </c>
      <c r="D878" s="67" t="s">
        <v>241</v>
      </c>
      <c r="E878" s="67" t="s">
        <v>34</v>
      </c>
      <c r="F878" s="67" t="s">
        <v>591</v>
      </c>
      <c r="G878" s="68">
        <v>16293</v>
      </c>
      <c r="H878" s="67" t="s">
        <v>330</v>
      </c>
      <c r="I878" s="200"/>
      <c r="J878" s="67" t="s">
        <v>79</v>
      </c>
      <c r="K878" s="67" t="s">
        <v>80</v>
      </c>
      <c r="L878" s="67" t="s">
        <v>64</v>
      </c>
      <c r="M878" s="67" t="s">
        <v>244</v>
      </c>
      <c r="N878" s="67" t="s">
        <v>259</v>
      </c>
      <c r="O878" s="67" t="s">
        <v>2116</v>
      </c>
      <c r="P878" s="67" t="s">
        <v>19</v>
      </c>
      <c r="Q878" s="192">
        <v>65.5</v>
      </c>
    </row>
    <row r="879" spans="1:17" ht="11.1" hidden="1" customHeight="1" x14ac:dyDescent="0.2">
      <c r="A879" s="3"/>
      <c r="B879" s="3" t="str">
        <f ca="1">IF(A879="В заказ",MAX($B$9:OFFSET(B879,-1,0))+1,"")</f>
        <v/>
      </c>
      <c r="C879" s="6" t="str">
        <f t="shared" si="31"/>
        <v>Кромка 2,0 H1486 ST36  (75 м бухта).</v>
      </c>
      <c r="D879" s="67" t="s">
        <v>241</v>
      </c>
      <c r="E879" s="67" t="s">
        <v>34</v>
      </c>
      <c r="F879" s="67" t="s">
        <v>592</v>
      </c>
      <c r="G879" s="68">
        <v>11799</v>
      </c>
      <c r="H879" s="67" t="s">
        <v>330</v>
      </c>
      <c r="I879" s="200"/>
      <c r="J879" s="67" t="s">
        <v>79</v>
      </c>
      <c r="K879" s="67" t="s">
        <v>80</v>
      </c>
      <c r="L879" s="67" t="s">
        <v>64</v>
      </c>
      <c r="M879" s="67" t="s">
        <v>264</v>
      </c>
      <c r="N879" s="67" t="s">
        <v>259</v>
      </c>
      <c r="O879" s="67" t="s">
        <v>2116</v>
      </c>
      <c r="P879" s="67" t="s">
        <v>19</v>
      </c>
      <c r="Q879" s="192">
        <v>94.1</v>
      </c>
    </row>
    <row r="880" spans="1:17" ht="11.1" hidden="1" customHeight="1" x14ac:dyDescent="0.2">
      <c r="A880" s="3"/>
      <c r="B880" s="3" t="str">
        <f ca="1">IF(A880="В заказ",MAX($B$9:OFFSET(B880,-1,0))+1,"")</f>
        <v/>
      </c>
      <c r="C880" s="6" t="str">
        <f t="shared" si="31"/>
        <v>Кромка 2,0 H1486 ST36  (75 м бухта).</v>
      </c>
      <c r="D880" s="67" t="s">
        <v>241</v>
      </c>
      <c r="E880" s="67" t="s">
        <v>34</v>
      </c>
      <c r="F880" s="67" t="s">
        <v>593</v>
      </c>
      <c r="G880" s="68">
        <v>12831</v>
      </c>
      <c r="H880" s="67" t="s">
        <v>330</v>
      </c>
      <c r="I880" s="200"/>
      <c r="J880" s="67" t="s">
        <v>79</v>
      </c>
      <c r="K880" s="67" t="s">
        <v>80</v>
      </c>
      <c r="L880" s="67" t="s">
        <v>64</v>
      </c>
      <c r="M880" s="67" t="s">
        <v>270</v>
      </c>
      <c r="N880" s="67" t="s">
        <v>259</v>
      </c>
      <c r="O880" s="67" t="s">
        <v>2116</v>
      </c>
      <c r="P880" s="67" t="s">
        <v>19</v>
      </c>
      <c r="Q880" s="192">
        <v>127.6</v>
      </c>
    </row>
    <row r="881" spans="1:17" ht="11.1" hidden="1" customHeight="1" x14ac:dyDescent="0.2">
      <c r="A881" s="3"/>
      <c r="B881" s="3" t="str">
        <f ca="1">IF(A881="В заказ",MAX($B$9:OFFSET(B881,-1,0))+1,"")</f>
        <v/>
      </c>
      <c r="C881" s="6" t="str">
        <f t="shared" si="31"/>
        <v>Кромка 0,4 H1487 ST22  (200 м бухта).</v>
      </c>
      <c r="D881" s="67" t="s">
        <v>241</v>
      </c>
      <c r="E881" s="67" t="s">
        <v>34</v>
      </c>
      <c r="F881" s="67" t="s">
        <v>594</v>
      </c>
      <c r="G881" s="68">
        <v>13088</v>
      </c>
      <c r="H881" s="67" t="s">
        <v>330</v>
      </c>
      <c r="I881" s="200"/>
      <c r="J881" s="67" t="s">
        <v>81</v>
      </c>
      <c r="K881" s="67" t="s">
        <v>82</v>
      </c>
      <c r="L881" s="67" t="s">
        <v>44</v>
      </c>
      <c r="M881" s="67" t="s">
        <v>252</v>
      </c>
      <c r="N881" s="67" t="s">
        <v>253</v>
      </c>
      <c r="O881" s="67" t="s">
        <v>2117</v>
      </c>
      <c r="P881" s="67" t="s">
        <v>19</v>
      </c>
      <c r="Q881" s="192">
        <v>17.899999999999999</v>
      </c>
    </row>
    <row r="882" spans="1:17" ht="11.1" hidden="1" customHeight="1" x14ac:dyDescent="0.2">
      <c r="A882" s="3"/>
      <c r="B882" s="3" t="str">
        <f ca="1">IF(A882="В заказ",MAX($B$9:OFFSET(B882,-1,0))+1,"")</f>
        <v/>
      </c>
      <c r="C882" s="6" t="str">
        <f t="shared" si="31"/>
        <v>Кромка 0,4 H1487 ST22 (200 м бухта).</v>
      </c>
      <c r="D882" s="67" t="s">
        <v>241</v>
      </c>
      <c r="E882" s="67" t="s">
        <v>34</v>
      </c>
      <c r="F882" s="67" t="s">
        <v>595</v>
      </c>
      <c r="G882" s="68">
        <v>16807</v>
      </c>
      <c r="H882" s="67" t="s">
        <v>330</v>
      </c>
      <c r="I882" s="200"/>
      <c r="J882" s="67" t="s">
        <v>81</v>
      </c>
      <c r="K882" s="67" t="s">
        <v>82</v>
      </c>
      <c r="L882" s="67" t="s">
        <v>44</v>
      </c>
      <c r="M882" s="67" t="s">
        <v>264</v>
      </c>
      <c r="N882" s="67" t="s">
        <v>253</v>
      </c>
      <c r="O882" s="67" t="s">
        <v>254</v>
      </c>
      <c r="P882" s="67" t="s">
        <v>19</v>
      </c>
      <c r="Q882" s="192">
        <v>28.9</v>
      </c>
    </row>
    <row r="883" spans="1:17" ht="11.1" hidden="1" customHeight="1" x14ac:dyDescent="0.2">
      <c r="A883" s="3"/>
      <c r="B883" s="3" t="str">
        <f ca="1">IF(A883="В заказ",MAX($B$9:OFFSET(B883,-1,0))+1,"")</f>
        <v/>
      </c>
      <c r="C883" s="6" t="str">
        <f t="shared" si="31"/>
        <v>Кромка 0,8 H1487 ST22  (75 м бухта).</v>
      </c>
      <c r="D883" s="67" t="s">
        <v>241</v>
      </c>
      <c r="E883" s="67" t="s">
        <v>34</v>
      </c>
      <c r="F883" s="67" t="s">
        <v>596</v>
      </c>
      <c r="G883" s="68">
        <v>15407</v>
      </c>
      <c r="H883" s="67" t="s">
        <v>330</v>
      </c>
      <c r="I883" s="200"/>
      <c r="J883" s="67" t="s">
        <v>81</v>
      </c>
      <c r="K883" s="67" t="s">
        <v>82</v>
      </c>
      <c r="L883" s="67" t="s">
        <v>44</v>
      </c>
      <c r="M883" s="67" t="s">
        <v>252</v>
      </c>
      <c r="N883" s="67" t="s">
        <v>10</v>
      </c>
      <c r="O883" s="67" t="s">
        <v>2116</v>
      </c>
      <c r="P883" s="67" t="s">
        <v>19</v>
      </c>
      <c r="Q883" s="71">
        <v>35</v>
      </c>
    </row>
    <row r="884" spans="1:17" ht="11.1" hidden="1" customHeight="1" x14ac:dyDescent="0.2">
      <c r="A884" s="3"/>
      <c r="B884" s="3" t="str">
        <f ca="1">IF(A884="В заказ",MAX($B$9:OFFSET(B884,-1,0))+1,"")</f>
        <v/>
      </c>
      <c r="C884" s="6" t="str">
        <f t="shared" si="31"/>
        <v>Кромка 0,8 H1487 ST22  (75 м бухта).</v>
      </c>
      <c r="D884" s="67" t="s">
        <v>241</v>
      </c>
      <c r="E884" s="67" t="s">
        <v>34</v>
      </c>
      <c r="F884" s="67" t="s">
        <v>597</v>
      </c>
      <c r="G884" s="68">
        <v>16808</v>
      </c>
      <c r="H884" s="67" t="s">
        <v>330</v>
      </c>
      <c r="I884" s="200"/>
      <c r="J884" s="67" t="s">
        <v>81</v>
      </c>
      <c r="K884" s="67" t="s">
        <v>82</v>
      </c>
      <c r="L884" s="67" t="s">
        <v>44</v>
      </c>
      <c r="M884" s="67" t="s">
        <v>264</v>
      </c>
      <c r="N884" s="67" t="s">
        <v>10</v>
      </c>
      <c r="O884" s="67" t="s">
        <v>2116</v>
      </c>
      <c r="P884" s="67" t="s">
        <v>19</v>
      </c>
      <c r="Q884" s="192">
        <v>66.900000000000006</v>
      </c>
    </row>
    <row r="885" spans="1:17" ht="11.1" hidden="1" customHeight="1" x14ac:dyDescent="0.2">
      <c r="A885" s="3"/>
      <c r="B885" s="3" t="str">
        <f ca="1">IF(A885="В заказ",MAX($B$9:OFFSET(B885,-1,0))+1,"")</f>
        <v/>
      </c>
      <c r="C885" s="6" t="str">
        <f t="shared" si="31"/>
        <v>Кромка 2,0 H1487 ST22  (75 м бухта).</v>
      </c>
      <c r="D885" s="67" t="s">
        <v>241</v>
      </c>
      <c r="E885" s="67" t="s">
        <v>34</v>
      </c>
      <c r="F885" s="67" t="s">
        <v>598</v>
      </c>
      <c r="G885" s="68">
        <v>13089</v>
      </c>
      <c r="H885" s="67" t="s">
        <v>330</v>
      </c>
      <c r="I885" s="200"/>
      <c r="J885" s="67" t="s">
        <v>81</v>
      </c>
      <c r="K885" s="67" t="s">
        <v>82</v>
      </c>
      <c r="L885" s="67" t="s">
        <v>44</v>
      </c>
      <c r="M885" s="67" t="s">
        <v>252</v>
      </c>
      <c r="N885" s="67" t="s">
        <v>259</v>
      </c>
      <c r="O885" s="67" t="s">
        <v>2116</v>
      </c>
      <c r="P885" s="67" t="s">
        <v>19</v>
      </c>
      <c r="Q885" s="192">
        <v>62.6</v>
      </c>
    </row>
    <row r="886" spans="1:17" ht="11.1" hidden="1" customHeight="1" x14ac:dyDescent="0.2">
      <c r="A886" s="3"/>
      <c r="B886" s="3" t="str">
        <f ca="1">IF(A886="В заказ",MAX($B$9:OFFSET(B886,-1,0))+1,"")</f>
        <v/>
      </c>
      <c r="C886" s="6" t="str">
        <f t="shared" ref="C886:C949" si="32">D886&amp;" "&amp;N886&amp;" "&amp;IF(OR(D886="ДСП",D886="МДФ",D886="Фанера",D886="ХДФ"),M886,J886)&amp;" "&amp;IF(OR(D886="ДСП",D886="МДФ",D886="Фанера",D886="ХДФ"),O886,L886)&amp;" "&amp;IF(OR(D886="ДСП",D886="МДФ",D886="Фанера",D886="ХДФ"),"",IF(D886="БСП",M886,O886))&amp;"."</f>
        <v>Кромка 2,0 H1487 ST22  (75 м бухта).</v>
      </c>
      <c r="D886" s="67" t="s">
        <v>241</v>
      </c>
      <c r="E886" s="67" t="s">
        <v>34</v>
      </c>
      <c r="F886" s="67" t="s">
        <v>599</v>
      </c>
      <c r="G886" s="68">
        <v>13583</v>
      </c>
      <c r="H886" s="67" t="s">
        <v>330</v>
      </c>
      <c r="I886" s="200"/>
      <c r="J886" s="67" t="s">
        <v>81</v>
      </c>
      <c r="K886" s="67" t="s">
        <v>82</v>
      </c>
      <c r="L886" s="67" t="s">
        <v>44</v>
      </c>
      <c r="M886" s="67" t="s">
        <v>264</v>
      </c>
      <c r="N886" s="67" t="s">
        <v>259</v>
      </c>
      <c r="O886" s="67" t="s">
        <v>2116</v>
      </c>
      <c r="P886" s="67" t="s">
        <v>19</v>
      </c>
      <c r="Q886" s="192">
        <v>94.1</v>
      </c>
    </row>
    <row r="887" spans="1:17" ht="11.1" hidden="1" customHeight="1" x14ac:dyDescent="0.2">
      <c r="A887" s="3"/>
      <c r="B887" s="3" t="str">
        <f ca="1">IF(A887="В заказ",MAX($B$9:OFFSET(B887,-1,0))+1,"")</f>
        <v/>
      </c>
      <c r="C887" s="6" t="str">
        <f t="shared" si="32"/>
        <v>Кромка 2,0 H1487 ST22  (75 м бухта).</v>
      </c>
      <c r="D887" s="67" t="s">
        <v>241</v>
      </c>
      <c r="E887" s="67" t="s">
        <v>34</v>
      </c>
      <c r="F887" s="67" t="s">
        <v>600</v>
      </c>
      <c r="G887" s="68">
        <v>14234</v>
      </c>
      <c r="H887" s="67" t="s">
        <v>330</v>
      </c>
      <c r="I887" s="200"/>
      <c r="J887" s="67" t="s">
        <v>81</v>
      </c>
      <c r="K887" s="67" t="s">
        <v>82</v>
      </c>
      <c r="L887" s="67" t="s">
        <v>44</v>
      </c>
      <c r="M887" s="67" t="s">
        <v>270</v>
      </c>
      <c r="N887" s="67" t="s">
        <v>259</v>
      </c>
      <c r="O887" s="67" t="s">
        <v>2116</v>
      </c>
      <c r="P887" s="67" t="s">
        <v>19</v>
      </c>
      <c r="Q887" s="192">
        <v>127.6</v>
      </c>
    </row>
    <row r="888" spans="1:17" ht="11.1" hidden="1" customHeight="1" x14ac:dyDescent="0.2">
      <c r="A888" s="3"/>
      <c r="B888" s="3" t="str">
        <f ca="1">IF(A888="В заказ",MAX($B$9:OFFSET(B888,-1,0))+1,"")</f>
        <v/>
      </c>
      <c r="C888" s="6" t="str">
        <f t="shared" si="32"/>
        <v>Кромка 0,4 H1511 ST15  (200 м бухта).</v>
      </c>
      <c r="D888" s="67" t="s">
        <v>241</v>
      </c>
      <c r="E888" s="67" t="s">
        <v>34</v>
      </c>
      <c r="F888" s="67" t="s">
        <v>601</v>
      </c>
      <c r="G888" s="68">
        <v>5266</v>
      </c>
      <c r="H888" s="67" t="s">
        <v>330</v>
      </c>
      <c r="I888" s="200"/>
      <c r="J888" s="67" t="s">
        <v>83</v>
      </c>
      <c r="K888" s="67" t="s">
        <v>84</v>
      </c>
      <c r="L888" s="67" t="s">
        <v>85</v>
      </c>
      <c r="M888" s="67" t="s">
        <v>252</v>
      </c>
      <c r="N888" s="67" t="s">
        <v>253</v>
      </c>
      <c r="O888" s="67" t="s">
        <v>2117</v>
      </c>
      <c r="P888" s="67" t="s">
        <v>19</v>
      </c>
      <c r="Q888" s="192">
        <v>17.899999999999999</v>
      </c>
    </row>
    <row r="889" spans="1:17" ht="11.1" hidden="1" customHeight="1" x14ac:dyDescent="0.2">
      <c r="A889" s="3"/>
      <c r="B889" s="3" t="str">
        <f ca="1">IF(A889="В заказ",MAX($B$9:OFFSET(B889,-1,0))+1,"")</f>
        <v/>
      </c>
      <c r="C889" s="6" t="str">
        <f t="shared" si="32"/>
        <v>Кромка 0,4 H1511 ST15  (200 м бухта).</v>
      </c>
      <c r="D889" s="67" t="s">
        <v>241</v>
      </c>
      <c r="E889" s="67" t="s">
        <v>34</v>
      </c>
      <c r="F889" s="67" t="s">
        <v>602</v>
      </c>
      <c r="G889" s="68">
        <v>9583</v>
      </c>
      <c r="H889" s="67" t="s">
        <v>330</v>
      </c>
      <c r="I889" s="200"/>
      <c r="J889" s="67" t="s">
        <v>83</v>
      </c>
      <c r="K889" s="67" t="s">
        <v>84</v>
      </c>
      <c r="L889" s="67" t="s">
        <v>85</v>
      </c>
      <c r="M889" s="67" t="s">
        <v>264</v>
      </c>
      <c r="N889" s="67" t="s">
        <v>253</v>
      </c>
      <c r="O889" s="67" t="s">
        <v>2117</v>
      </c>
      <c r="P889" s="67" t="s">
        <v>19</v>
      </c>
      <c r="Q889" s="192">
        <v>28.9</v>
      </c>
    </row>
    <row r="890" spans="1:17" ht="11.1" hidden="1" customHeight="1" x14ac:dyDescent="0.2">
      <c r="A890" s="3"/>
      <c r="B890" s="3" t="str">
        <f ca="1">IF(A890="В заказ",MAX($B$9:OFFSET(B890,-1,0))+1,"")</f>
        <v/>
      </c>
      <c r="C890" s="6" t="str">
        <f t="shared" si="32"/>
        <v>Кромка 2,0 H1511 ST15  (75 м бухта).</v>
      </c>
      <c r="D890" s="67" t="s">
        <v>241</v>
      </c>
      <c r="E890" s="67" t="s">
        <v>34</v>
      </c>
      <c r="F890" s="67" t="s">
        <v>603</v>
      </c>
      <c r="G890" s="68">
        <v>5267</v>
      </c>
      <c r="H890" s="67" t="s">
        <v>330</v>
      </c>
      <c r="I890" s="200"/>
      <c r="J890" s="67" t="s">
        <v>83</v>
      </c>
      <c r="K890" s="67" t="s">
        <v>84</v>
      </c>
      <c r="L890" s="67" t="s">
        <v>85</v>
      </c>
      <c r="M890" s="67" t="s">
        <v>252</v>
      </c>
      <c r="N890" s="67" t="s">
        <v>259</v>
      </c>
      <c r="O890" s="67" t="s">
        <v>2116</v>
      </c>
      <c r="P890" s="67" t="s">
        <v>19</v>
      </c>
      <c r="Q890" s="192">
        <v>62.6</v>
      </c>
    </row>
    <row r="891" spans="1:17" ht="11.1" hidden="1" customHeight="1" x14ac:dyDescent="0.2">
      <c r="A891" s="3"/>
      <c r="B891" s="3" t="str">
        <f ca="1">IF(A891="В заказ",MAX($B$9:OFFSET(B891,-1,0))+1,"")</f>
        <v/>
      </c>
      <c r="C891" s="6" t="str">
        <f t="shared" si="32"/>
        <v>Кромка 2,0 H1511 ST15  (75 м бухта).</v>
      </c>
      <c r="D891" s="67" t="s">
        <v>241</v>
      </c>
      <c r="E891" s="67" t="s">
        <v>34</v>
      </c>
      <c r="F891" s="67" t="s">
        <v>604</v>
      </c>
      <c r="G891" s="68">
        <v>5268</v>
      </c>
      <c r="H891" s="67" t="s">
        <v>330</v>
      </c>
      <c r="I891" s="200"/>
      <c r="J891" s="67" t="s">
        <v>83</v>
      </c>
      <c r="K891" s="67" t="s">
        <v>84</v>
      </c>
      <c r="L891" s="67" t="s">
        <v>85</v>
      </c>
      <c r="M891" s="67" t="s">
        <v>264</v>
      </c>
      <c r="N891" s="67" t="s">
        <v>259</v>
      </c>
      <c r="O891" s="67" t="s">
        <v>2116</v>
      </c>
      <c r="P891" s="67" t="s">
        <v>19</v>
      </c>
      <c r="Q891" s="192">
        <v>94.1</v>
      </c>
    </row>
    <row r="892" spans="1:17" ht="11.1" hidden="1" customHeight="1" x14ac:dyDescent="0.2">
      <c r="A892" s="3"/>
      <c r="B892" s="3" t="str">
        <f ca="1">IF(A892="В заказ",MAX($B$9:OFFSET(B892,-1,0))+1,"")</f>
        <v/>
      </c>
      <c r="C892" s="6" t="str">
        <f t="shared" si="32"/>
        <v>Кромка 2,0 H1511 ST15  (75 м бухта).</v>
      </c>
      <c r="D892" s="67" t="s">
        <v>241</v>
      </c>
      <c r="E892" s="67" t="s">
        <v>34</v>
      </c>
      <c r="F892" s="67" t="s">
        <v>605</v>
      </c>
      <c r="G892" s="68">
        <v>5274</v>
      </c>
      <c r="H892" s="67" t="s">
        <v>330</v>
      </c>
      <c r="I892" s="200"/>
      <c r="J892" s="67" t="s">
        <v>83</v>
      </c>
      <c r="K892" s="67" t="s">
        <v>84</v>
      </c>
      <c r="L892" s="67" t="s">
        <v>85</v>
      </c>
      <c r="M892" s="67" t="s">
        <v>270</v>
      </c>
      <c r="N892" s="67" t="s">
        <v>259</v>
      </c>
      <c r="O892" s="67" t="s">
        <v>2116</v>
      </c>
      <c r="P892" s="67" t="s">
        <v>19</v>
      </c>
      <c r="Q892" s="192">
        <v>127.6</v>
      </c>
    </row>
    <row r="893" spans="1:17" ht="11.1" hidden="1" customHeight="1" x14ac:dyDescent="0.2">
      <c r="A893" s="3"/>
      <c r="B893" s="3" t="str">
        <f ca="1">IF(A893="В заказ",MAX($B$9:OFFSET(B893,-1,0))+1,"")</f>
        <v/>
      </c>
      <c r="C893" s="6" t="str">
        <f t="shared" si="32"/>
        <v>Кромка 2,0 H1511 ST15  (75 м бухта).</v>
      </c>
      <c r="D893" s="67" t="s">
        <v>241</v>
      </c>
      <c r="E893" s="67" t="s">
        <v>34</v>
      </c>
      <c r="F893" s="67" t="s">
        <v>606</v>
      </c>
      <c r="G893" s="68">
        <v>22609</v>
      </c>
      <c r="H893" s="67" t="s">
        <v>330</v>
      </c>
      <c r="I893" s="200"/>
      <c r="J893" s="67" t="s">
        <v>83</v>
      </c>
      <c r="K893" s="67" t="s">
        <v>84</v>
      </c>
      <c r="L893" s="67" t="s">
        <v>85</v>
      </c>
      <c r="M893" s="67" t="s">
        <v>282</v>
      </c>
      <c r="N893" s="67" t="s">
        <v>259</v>
      </c>
      <c r="O893" s="67" t="s">
        <v>2116</v>
      </c>
      <c r="P893" s="67" t="s">
        <v>19</v>
      </c>
      <c r="Q893" s="192">
        <v>187.5</v>
      </c>
    </row>
    <row r="894" spans="1:17" ht="11.1" hidden="1" customHeight="1" x14ac:dyDescent="0.2">
      <c r="A894" s="3"/>
      <c r="B894" s="3" t="str">
        <f ca="1">IF(A894="В заказ",MAX($B$9:OFFSET(B894,-1,0))+1,"")</f>
        <v/>
      </c>
      <c r="C894" s="6" t="str">
        <f t="shared" si="32"/>
        <v>Кромка 0,4 H1582 ST15  (200 м бухта).</v>
      </c>
      <c r="D894" s="67" t="s">
        <v>241</v>
      </c>
      <c r="E894" s="67" t="s">
        <v>34</v>
      </c>
      <c r="F894" s="67" t="s">
        <v>607</v>
      </c>
      <c r="G894" s="68">
        <v>7731</v>
      </c>
      <c r="H894" s="67" t="s">
        <v>330</v>
      </c>
      <c r="I894" s="200"/>
      <c r="J894" s="67" t="s">
        <v>86</v>
      </c>
      <c r="K894" s="67" t="s">
        <v>87</v>
      </c>
      <c r="L894" s="67" t="s">
        <v>85</v>
      </c>
      <c r="M894" s="67" t="s">
        <v>252</v>
      </c>
      <c r="N894" s="67" t="s">
        <v>253</v>
      </c>
      <c r="O894" s="67" t="s">
        <v>2117</v>
      </c>
      <c r="P894" s="67" t="s">
        <v>19</v>
      </c>
      <c r="Q894" s="192">
        <v>17.899999999999999</v>
      </c>
    </row>
    <row r="895" spans="1:17" ht="11.1" hidden="1" customHeight="1" x14ac:dyDescent="0.2">
      <c r="A895" s="3"/>
      <c r="B895" s="3" t="str">
        <f ca="1">IF(A895="В заказ",MAX($B$9:OFFSET(B895,-1,0))+1,"")</f>
        <v/>
      </c>
      <c r="C895" s="6" t="str">
        <f t="shared" si="32"/>
        <v>Кромка 0,4 H1582 ST15  (200 м бухта).</v>
      </c>
      <c r="D895" s="67" t="s">
        <v>241</v>
      </c>
      <c r="E895" s="67" t="s">
        <v>34</v>
      </c>
      <c r="F895" s="67" t="s">
        <v>608</v>
      </c>
      <c r="G895" s="68">
        <v>5292</v>
      </c>
      <c r="H895" s="67" t="s">
        <v>330</v>
      </c>
      <c r="I895" s="200"/>
      <c r="J895" s="67" t="s">
        <v>86</v>
      </c>
      <c r="K895" s="67" t="s">
        <v>87</v>
      </c>
      <c r="L895" s="67" t="s">
        <v>85</v>
      </c>
      <c r="M895" s="67" t="s">
        <v>264</v>
      </c>
      <c r="N895" s="67" t="s">
        <v>253</v>
      </c>
      <c r="O895" s="67" t="s">
        <v>2117</v>
      </c>
      <c r="P895" s="67" t="s">
        <v>19</v>
      </c>
      <c r="Q895" s="192">
        <v>28.9</v>
      </c>
    </row>
    <row r="896" spans="1:17" ht="11.1" hidden="1" customHeight="1" x14ac:dyDescent="0.2">
      <c r="A896" s="3"/>
      <c r="B896" s="3" t="str">
        <f ca="1">IF(A896="В заказ",MAX($B$9:OFFSET(B896,-1,0))+1,"")</f>
        <v/>
      </c>
      <c r="C896" s="6" t="str">
        <f t="shared" si="32"/>
        <v>Кромка 0,8 H1582 ST15  (75 м бухта).</v>
      </c>
      <c r="D896" s="67" t="s">
        <v>241</v>
      </c>
      <c r="E896" s="67" t="s">
        <v>34</v>
      </c>
      <c r="F896" s="67" t="s">
        <v>609</v>
      </c>
      <c r="G896" s="68">
        <v>16383</v>
      </c>
      <c r="H896" s="67" t="s">
        <v>330</v>
      </c>
      <c r="I896" s="200"/>
      <c r="J896" s="67" t="s">
        <v>86</v>
      </c>
      <c r="K896" s="67" t="s">
        <v>87</v>
      </c>
      <c r="L896" s="67" t="s">
        <v>85</v>
      </c>
      <c r="M896" s="67" t="s">
        <v>252</v>
      </c>
      <c r="N896" s="67" t="s">
        <v>10</v>
      </c>
      <c r="O896" s="67" t="s">
        <v>2116</v>
      </c>
      <c r="P896" s="67" t="s">
        <v>19</v>
      </c>
      <c r="Q896" s="71">
        <v>35</v>
      </c>
    </row>
    <row r="897" spans="1:17" ht="11.1" hidden="1" customHeight="1" x14ac:dyDescent="0.2">
      <c r="A897" s="3"/>
      <c r="B897" s="3" t="str">
        <f ca="1">IF(A897="В заказ",MAX($B$9:OFFSET(B897,-1,0))+1,"")</f>
        <v/>
      </c>
      <c r="C897" s="6" t="str">
        <f t="shared" si="32"/>
        <v>Кромка 2,0 H1582 ST15  (75 м бухта).</v>
      </c>
      <c r="D897" s="67" t="s">
        <v>241</v>
      </c>
      <c r="E897" s="67" t="s">
        <v>34</v>
      </c>
      <c r="F897" s="67" t="s">
        <v>610</v>
      </c>
      <c r="G897" s="68">
        <v>5269</v>
      </c>
      <c r="H897" s="67" t="s">
        <v>330</v>
      </c>
      <c r="I897" s="200"/>
      <c r="J897" s="67" t="s">
        <v>86</v>
      </c>
      <c r="K897" s="67" t="s">
        <v>87</v>
      </c>
      <c r="L897" s="67" t="s">
        <v>85</v>
      </c>
      <c r="M897" s="67" t="s">
        <v>252</v>
      </c>
      <c r="N897" s="67" t="s">
        <v>259</v>
      </c>
      <c r="O897" s="67" t="s">
        <v>2116</v>
      </c>
      <c r="P897" s="67" t="s">
        <v>19</v>
      </c>
      <c r="Q897" s="192">
        <v>62.6</v>
      </c>
    </row>
    <row r="898" spans="1:17" ht="11.1" hidden="1" customHeight="1" x14ac:dyDescent="0.2">
      <c r="A898" s="3"/>
      <c r="B898" s="3" t="str">
        <f ca="1">IF(A898="В заказ",MAX($B$9:OFFSET(B898,-1,0))+1,"")</f>
        <v/>
      </c>
      <c r="C898" s="6" t="str">
        <f t="shared" si="32"/>
        <v>Кромка 2,0 H1582 ST15  (75 м бухта).</v>
      </c>
      <c r="D898" s="67" t="s">
        <v>241</v>
      </c>
      <c r="E898" s="67" t="s">
        <v>34</v>
      </c>
      <c r="F898" s="67" t="s">
        <v>611</v>
      </c>
      <c r="G898" s="68">
        <v>9938</v>
      </c>
      <c r="H898" s="67" t="s">
        <v>330</v>
      </c>
      <c r="I898" s="200"/>
      <c r="J898" s="67" t="s">
        <v>86</v>
      </c>
      <c r="K898" s="67" t="s">
        <v>87</v>
      </c>
      <c r="L898" s="67" t="s">
        <v>85</v>
      </c>
      <c r="M898" s="67" t="s">
        <v>264</v>
      </c>
      <c r="N898" s="67" t="s">
        <v>259</v>
      </c>
      <c r="O898" s="67" t="s">
        <v>2116</v>
      </c>
      <c r="P898" s="67" t="s">
        <v>19</v>
      </c>
      <c r="Q898" s="192">
        <v>94.1</v>
      </c>
    </row>
    <row r="899" spans="1:17" ht="11.1" hidden="1" customHeight="1" x14ac:dyDescent="0.2">
      <c r="A899" s="3"/>
      <c r="B899" s="3" t="str">
        <f ca="1">IF(A899="В заказ",MAX($B$9:OFFSET(B899,-1,0))+1,"")</f>
        <v/>
      </c>
      <c r="C899" s="6" t="str">
        <f t="shared" si="32"/>
        <v>Кромка 2,0 H1582 ST15  (75 м бухта).</v>
      </c>
      <c r="D899" s="67" t="s">
        <v>241</v>
      </c>
      <c r="E899" s="67" t="s">
        <v>34</v>
      </c>
      <c r="F899" s="67" t="s">
        <v>612</v>
      </c>
      <c r="G899" s="68">
        <v>5544</v>
      </c>
      <c r="H899" s="67" t="s">
        <v>330</v>
      </c>
      <c r="I899" s="200"/>
      <c r="J899" s="67" t="s">
        <v>86</v>
      </c>
      <c r="K899" s="67" t="s">
        <v>87</v>
      </c>
      <c r="L899" s="67" t="s">
        <v>85</v>
      </c>
      <c r="M899" s="67" t="s">
        <v>270</v>
      </c>
      <c r="N899" s="67" t="s">
        <v>259</v>
      </c>
      <c r="O899" s="67" t="s">
        <v>2116</v>
      </c>
      <c r="P899" s="67" t="s">
        <v>19</v>
      </c>
      <c r="Q899" s="192">
        <v>127.6</v>
      </c>
    </row>
    <row r="900" spans="1:17" ht="11.1" hidden="1" customHeight="1" x14ac:dyDescent="0.2">
      <c r="A900" s="3"/>
      <c r="B900" s="3" t="str">
        <f ca="1">IF(A900="В заказ",MAX($B$9:OFFSET(B900,-1,0))+1,"")</f>
        <v/>
      </c>
      <c r="C900" s="6" t="str">
        <f t="shared" si="32"/>
        <v>Кромка 0,4 H1615 ST9  (200 м бухта).</v>
      </c>
      <c r="D900" s="67" t="s">
        <v>241</v>
      </c>
      <c r="E900" s="67" t="s">
        <v>34</v>
      </c>
      <c r="F900" s="67" t="s">
        <v>613</v>
      </c>
      <c r="G900" s="68">
        <v>8813</v>
      </c>
      <c r="H900" s="67" t="s">
        <v>330</v>
      </c>
      <c r="I900" s="200"/>
      <c r="J900" s="67" t="s">
        <v>88</v>
      </c>
      <c r="K900" s="67" t="s">
        <v>89</v>
      </c>
      <c r="L900" s="67" t="s">
        <v>22</v>
      </c>
      <c r="M900" s="67" t="s">
        <v>252</v>
      </c>
      <c r="N900" s="67" t="s">
        <v>253</v>
      </c>
      <c r="O900" s="67" t="s">
        <v>2117</v>
      </c>
      <c r="P900" s="67" t="s">
        <v>19</v>
      </c>
      <c r="Q900" s="192">
        <v>17.899999999999999</v>
      </c>
    </row>
    <row r="901" spans="1:17" ht="11.1" hidden="1" customHeight="1" x14ac:dyDescent="0.2">
      <c r="A901" s="3"/>
      <c r="B901" s="3" t="str">
        <f ca="1">IF(A901="В заказ",MAX($B$9:OFFSET(B901,-1,0))+1,"")</f>
        <v/>
      </c>
      <c r="C901" s="6" t="str">
        <f t="shared" si="32"/>
        <v>Кромка 0,4 H1615 ST9  (200 м бухта).</v>
      </c>
      <c r="D901" s="67" t="s">
        <v>241</v>
      </c>
      <c r="E901" s="67" t="s">
        <v>34</v>
      </c>
      <c r="F901" s="67" t="s">
        <v>614</v>
      </c>
      <c r="G901" s="68">
        <v>14660</v>
      </c>
      <c r="H901" s="67" t="s">
        <v>330</v>
      </c>
      <c r="I901" s="200"/>
      <c r="J901" s="67" t="s">
        <v>88</v>
      </c>
      <c r="K901" s="67" t="s">
        <v>89</v>
      </c>
      <c r="L901" s="67" t="s">
        <v>22</v>
      </c>
      <c r="M901" s="67" t="s">
        <v>264</v>
      </c>
      <c r="N901" s="67" t="s">
        <v>253</v>
      </c>
      <c r="O901" s="67" t="s">
        <v>2117</v>
      </c>
      <c r="P901" s="67" t="s">
        <v>19</v>
      </c>
      <c r="Q901" s="192">
        <v>28.9</v>
      </c>
    </row>
    <row r="902" spans="1:17" ht="11.1" hidden="1" customHeight="1" x14ac:dyDescent="0.2">
      <c r="A902" s="3"/>
      <c r="B902" s="3" t="str">
        <f ca="1">IF(A902="В заказ",MAX($B$9:OFFSET(B902,-1,0))+1,"")</f>
        <v/>
      </c>
      <c r="C902" s="6" t="str">
        <f t="shared" si="32"/>
        <v>Кромка 0,8 H1615 ST9  (75 м бухта).</v>
      </c>
      <c r="D902" s="67" t="s">
        <v>241</v>
      </c>
      <c r="E902" s="67" t="s">
        <v>34</v>
      </c>
      <c r="F902" s="67" t="s">
        <v>615</v>
      </c>
      <c r="G902" s="68">
        <v>15237</v>
      </c>
      <c r="H902" s="67" t="s">
        <v>330</v>
      </c>
      <c r="I902" s="200"/>
      <c r="J902" s="67" t="s">
        <v>88</v>
      </c>
      <c r="K902" s="67" t="s">
        <v>89</v>
      </c>
      <c r="L902" s="67" t="s">
        <v>22</v>
      </c>
      <c r="M902" s="67" t="s">
        <v>252</v>
      </c>
      <c r="N902" s="67" t="s">
        <v>10</v>
      </c>
      <c r="O902" s="67" t="s">
        <v>2116</v>
      </c>
      <c r="P902" s="67" t="s">
        <v>19</v>
      </c>
      <c r="Q902" s="71">
        <v>35</v>
      </c>
    </row>
    <row r="903" spans="1:17" ht="11.1" hidden="1" customHeight="1" x14ac:dyDescent="0.2">
      <c r="A903" s="3"/>
      <c r="B903" s="3" t="str">
        <f ca="1">IF(A903="В заказ",MAX($B$9:OFFSET(B903,-1,0))+1,"")</f>
        <v/>
      </c>
      <c r="C903" s="6" t="str">
        <f t="shared" si="32"/>
        <v>Кромка 0,8 H1615 ST9  (75 м бухта).</v>
      </c>
      <c r="D903" s="67" t="s">
        <v>241</v>
      </c>
      <c r="E903" s="67" t="s">
        <v>34</v>
      </c>
      <c r="F903" s="67" t="s">
        <v>616</v>
      </c>
      <c r="G903" s="68">
        <v>16833</v>
      </c>
      <c r="H903" s="67" t="s">
        <v>330</v>
      </c>
      <c r="I903" s="200"/>
      <c r="J903" s="67" t="s">
        <v>88</v>
      </c>
      <c r="K903" s="67" t="s">
        <v>89</v>
      </c>
      <c r="L903" s="67" t="s">
        <v>22</v>
      </c>
      <c r="M903" s="67" t="s">
        <v>264</v>
      </c>
      <c r="N903" s="67" t="s">
        <v>10</v>
      </c>
      <c r="O903" s="67" t="s">
        <v>2116</v>
      </c>
      <c r="P903" s="67" t="s">
        <v>19</v>
      </c>
      <c r="Q903" s="192">
        <v>66.900000000000006</v>
      </c>
    </row>
    <row r="904" spans="1:17" ht="11.1" hidden="1" customHeight="1" x14ac:dyDescent="0.2">
      <c r="A904" s="3"/>
      <c r="B904" s="3" t="str">
        <f ca="1">IF(A904="В заказ",MAX($B$9:OFFSET(B904,-1,0))+1,"")</f>
        <v/>
      </c>
      <c r="C904" s="6" t="str">
        <f t="shared" si="32"/>
        <v>Кромка 2,0 H1615 ST9  (75 м бухта).</v>
      </c>
      <c r="D904" s="67" t="s">
        <v>241</v>
      </c>
      <c r="E904" s="67" t="s">
        <v>34</v>
      </c>
      <c r="F904" s="67" t="s">
        <v>617</v>
      </c>
      <c r="G904" s="68">
        <v>9163</v>
      </c>
      <c r="H904" s="67" t="s">
        <v>330</v>
      </c>
      <c r="I904" s="200"/>
      <c r="J904" s="67" t="s">
        <v>88</v>
      </c>
      <c r="K904" s="67" t="s">
        <v>89</v>
      </c>
      <c r="L904" s="67" t="s">
        <v>22</v>
      </c>
      <c r="M904" s="67" t="s">
        <v>252</v>
      </c>
      <c r="N904" s="67" t="s">
        <v>259</v>
      </c>
      <c r="O904" s="67" t="s">
        <v>2116</v>
      </c>
      <c r="P904" s="67" t="s">
        <v>19</v>
      </c>
      <c r="Q904" s="192">
        <v>62.6</v>
      </c>
    </row>
    <row r="905" spans="1:17" ht="11.1" hidden="1" customHeight="1" x14ac:dyDescent="0.2">
      <c r="A905" s="3"/>
      <c r="B905" s="3" t="str">
        <f ca="1">IF(A905="В заказ",MAX($B$9:OFFSET(B905,-1,0))+1,"")</f>
        <v/>
      </c>
      <c r="C905" s="6" t="str">
        <f t="shared" si="32"/>
        <v>Кромка 2,0 H1615 ST9 (75 м бухта).</v>
      </c>
      <c r="D905" s="67" t="s">
        <v>241</v>
      </c>
      <c r="E905" s="67" t="s">
        <v>34</v>
      </c>
      <c r="F905" s="67" t="s">
        <v>618</v>
      </c>
      <c r="G905" s="68">
        <v>14661</v>
      </c>
      <c r="H905" s="67" t="s">
        <v>330</v>
      </c>
      <c r="I905" s="200"/>
      <c r="J905" s="67" t="s">
        <v>88</v>
      </c>
      <c r="K905" s="67" t="s">
        <v>89</v>
      </c>
      <c r="L905" s="67" t="s">
        <v>22</v>
      </c>
      <c r="M905" s="67" t="s">
        <v>264</v>
      </c>
      <c r="N905" s="67" t="s">
        <v>259</v>
      </c>
      <c r="O905" s="67" t="s">
        <v>246</v>
      </c>
      <c r="P905" s="67" t="s">
        <v>19</v>
      </c>
      <c r="Q905" s="192">
        <v>94.1</v>
      </c>
    </row>
    <row r="906" spans="1:17" ht="11.1" hidden="1" customHeight="1" x14ac:dyDescent="0.2">
      <c r="A906" s="3"/>
      <c r="B906" s="3" t="str">
        <f ca="1">IF(A906="В заказ",MAX($B$9:OFFSET(B906,-1,0))+1,"")</f>
        <v/>
      </c>
      <c r="C906" s="6" t="str">
        <f t="shared" si="32"/>
        <v>Кромка 2,0 H1615 ST9  (75 м бухта).</v>
      </c>
      <c r="D906" s="67" t="s">
        <v>241</v>
      </c>
      <c r="E906" s="67" t="s">
        <v>34</v>
      </c>
      <c r="F906" s="67" t="s">
        <v>619</v>
      </c>
      <c r="G906" s="68">
        <v>14346</v>
      </c>
      <c r="H906" s="67" t="s">
        <v>330</v>
      </c>
      <c r="I906" s="200"/>
      <c r="J906" s="67" t="s">
        <v>88</v>
      </c>
      <c r="K906" s="67" t="s">
        <v>89</v>
      </c>
      <c r="L906" s="67" t="s">
        <v>22</v>
      </c>
      <c r="M906" s="67" t="s">
        <v>270</v>
      </c>
      <c r="N906" s="67" t="s">
        <v>259</v>
      </c>
      <c r="O906" s="67" t="s">
        <v>2116</v>
      </c>
      <c r="P906" s="67" t="s">
        <v>19</v>
      </c>
      <c r="Q906" s="192">
        <v>127.6</v>
      </c>
    </row>
    <row r="907" spans="1:17" ht="11.1" hidden="1" customHeight="1" x14ac:dyDescent="0.2">
      <c r="A907" s="3"/>
      <c r="B907" s="3" t="str">
        <f ca="1">IF(A907="В заказ",MAX($B$9:OFFSET(B907,-1,0))+1,"")</f>
        <v/>
      </c>
      <c r="C907" s="6" t="str">
        <f t="shared" si="32"/>
        <v>Кромка 0,4 H1636 ST12  (200 м бухта).</v>
      </c>
      <c r="D907" s="67" t="s">
        <v>241</v>
      </c>
      <c r="E907" s="67" t="s">
        <v>34</v>
      </c>
      <c r="F907" s="67" t="s">
        <v>620</v>
      </c>
      <c r="G907" s="68">
        <v>13655</v>
      </c>
      <c r="H907" s="67" t="s">
        <v>330</v>
      </c>
      <c r="I907" s="200"/>
      <c r="J907" s="67" t="s">
        <v>90</v>
      </c>
      <c r="K907" s="67" t="s">
        <v>91</v>
      </c>
      <c r="L907" s="67" t="s">
        <v>41</v>
      </c>
      <c r="M907" s="67" t="s">
        <v>252</v>
      </c>
      <c r="N907" s="67" t="s">
        <v>253</v>
      </c>
      <c r="O907" s="67" t="s">
        <v>2117</v>
      </c>
      <c r="P907" s="67" t="s">
        <v>19</v>
      </c>
      <c r="Q907" s="192">
        <v>17.899999999999999</v>
      </c>
    </row>
    <row r="908" spans="1:17" ht="11.1" hidden="1" customHeight="1" x14ac:dyDescent="0.2">
      <c r="A908" s="3"/>
      <c r="B908" s="3" t="str">
        <f ca="1">IF(A908="В заказ",MAX($B$9:OFFSET(B908,-1,0))+1,"")</f>
        <v/>
      </c>
      <c r="C908" s="6" t="str">
        <f t="shared" si="32"/>
        <v>Кромка 0,4 H1636 ST12  (200 м бухта).</v>
      </c>
      <c r="D908" s="67" t="s">
        <v>241</v>
      </c>
      <c r="E908" s="67" t="s">
        <v>34</v>
      </c>
      <c r="F908" s="67" t="s">
        <v>621</v>
      </c>
      <c r="G908" s="68">
        <v>16312</v>
      </c>
      <c r="H908" s="67" t="s">
        <v>330</v>
      </c>
      <c r="I908" s="200"/>
      <c r="J908" s="67" t="s">
        <v>90</v>
      </c>
      <c r="K908" s="67" t="s">
        <v>91</v>
      </c>
      <c r="L908" s="67" t="s">
        <v>41</v>
      </c>
      <c r="M908" s="67" t="s">
        <v>264</v>
      </c>
      <c r="N908" s="67" t="s">
        <v>253</v>
      </c>
      <c r="O908" s="67" t="s">
        <v>2117</v>
      </c>
      <c r="P908" s="67" t="s">
        <v>19</v>
      </c>
      <c r="Q908" s="192">
        <v>28.9</v>
      </c>
    </row>
    <row r="909" spans="1:17" ht="11.1" hidden="1" customHeight="1" x14ac:dyDescent="0.2">
      <c r="A909" s="3"/>
      <c r="B909" s="3" t="str">
        <f ca="1">IF(A909="В заказ",MAX($B$9:OFFSET(B909,-1,0))+1,"")</f>
        <v/>
      </c>
      <c r="C909" s="6" t="str">
        <f t="shared" si="32"/>
        <v>Кромка 0,8 H1636 ST12  (75 м бухта).</v>
      </c>
      <c r="D909" s="67" t="s">
        <v>241</v>
      </c>
      <c r="E909" s="67" t="s">
        <v>34</v>
      </c>
      <c r="F909" s="67" t="s">
        <v>622</v>
      </c>
      <c r="G909" s="68">
        <v>13355</v>
      </c>
      <c r="H909" s="67" t="s">
        <v>330</v>
      </c>
      <c r="I909" s="200"/>
      <c r="J909" s="67" t="s">
        <v>90</v>
      </c>
      <c r="K909" s="67" t="s">
        <v>91</v>
      </c>
      <c r="L909" s="67" t="s">
        <v>41</v>
      </c>
      <c r="M909" s="67" t="s">
        <v>252</v>
      </c>
      <c r="N909" s="67" t="s">
        <v>10</v>
      </c>
      <c r="O909" s="67" t="s">
        <v>2116</v>
      </c>
      <c r="P909" s="67" t="s">
        <v>19</v>
      </c>
      <c r="Q909" s="71">
        <v>35</v>
      </c>
    </row>
    <row r="910" spans="1:17" ht="11.1" hidden="1" customHeight="1" x14ac:dyDescent="0.2">
      <c r="A910" s="3"/>
      <c r="B910" s="3" t="str">
        <f ca="1">IF(A910="В заказ",MAX($B$9:OFFSET(B910,-1,0))+1,"")</f>
        <v/>
      </c>
      <c r="C910" s="6" t="str">
        <f t="shared" si="32"/>
        <v>Кромка 0,8 H1636 ST12  (75 м бухта).</v>
      </c>
      <c r="D910" s="67" t="s">
        <v>241</v>
      </c>
      <c r="E910" s="67" t="s">
        <v>34</v>
      </c>
      <c r="F910" s="67" t="s">
        <v>623</v>
      </c>
      <c r="G910" s="68">
        <v>16311</v>
      </c>
      <c r="H910" s="67" t="s">
        <v>330</v>
      </c>
      <c r="I910" s="200"/>
      <c r="J910" s="67" t="s">
        <v>90</v>
      </c>
      <c r="K910" s="67" t="s">
        <v>91</v>
      </c>
      <c r="L910" s="67" t="s">
        <v>41</v>
      </c>
      <c r="M910" s="67" t="s">
        <v>264</v>
      </c>
      <c r="N910" s="67" t="s">
        <v>10</v>
      </c>
      <c r="O910" s="67" t="s">
        <v>2116</v>
      </c>
      <c r="P910" s="67" t="s">
        <v>19</v>
      </c>
      <c r="Q910" s="192">
        <v>66.900000000000006</v>
      </c>
    </row>
    <row r="911" spans="1:17" ht="11.1" hidden="1" customHeight="1" x14ac:dyDescent="0.2">
      <c r="A911" s="3"/>
      <c r="B911" s="3" t="str">
        <f ca="1">IF(A911="В заказ",MAX($B$9:OFFSET(B911,-1,0))+1,"")</f>
        <v/>
      </c>
      <c r="C911" s="6" t="str">
        <f t="shared" si="32"/>
        <v>Кромка 2,0 H1636 ST12  (75 м бухта).</v>
      </c>
      <c r="D911" s="67" t="s">
        <v>241</v>
      </c>
      <c r="E911" s="67" t="s">
        <v>34</v>
      </c>
      <c r="F911" s="67" t="s">
        <v>624</v>
      </c>
      <c r="G911" s="68">
        <v>13656</v>
      </c>
      <c r="H911" s="67" t="s">
        <v>330</v>
      </c>
      <c r="I911" s="200"/>
      <c r="J911" s="67" t="s">
        <v>90</v>
      </c>
      <c r="K911" s="67" t="s">
        <v>91</v>
      </c>
      <c r="L911" s="67" t="s">
        <v>41</v>
      </c>
      <c r="M911" s="67" t="s">
        <v>252</v>
      </c>
      <c r="N911" s="67" t="s">
        <v>259</v>
      </c>
      <c r="O911" s="67" t="s">
        <v>2116</v>
      </c>
      <c r="P911" s="67" t="s">
        <v>19</v>
      </c>
      <c r="Q911" s="192">
        <v>62.6</v>
      </c>
    </row>
    <row r="912" spans="1:17" ht="11.1" hidden="1" customHeight="1" x14ac:dyDescent="0.2">
      <c r="A912" s="3"/>
      <c r="B912" s="3" t="str">
        <f ca="1">IF(A912="В заказ",MAX($B$9:OFFSET(B912,-1,0))+1,"")</f>
        <v/>
      </c>
      <c r="C912" s="6" t="str">
        <f t="shared" si="32"/>
        <v>Кромка 2,0 H1636 ST12  (75 м бухта).</v>
      </c>
      <c r="D912" s="67" t="s">
        <v>241</v>
      </c>
      <c r="E912" s="67" t="s">
        <v>34</v>
      </c>
      <c r="F912" s="67" t="s">
        <v>625</v>
      </c>
      <c r="G912" s="68">
        <v>15772</v>
      </c>
      <c r="H912" s="67" t="s">
        <v>330</v>
      </c>
      <c r="I912" s="200"/>
      <c r="J912" s="67" t="s">
        <v>90</v>
      </c>
      <c r="K912" s="67" t="s">
        <v>91</v>
      </c>
      <c r="L912" s="67" t="s">
        <v>41</v>
      </c>
      <c r="M912" s="67" t="s">
        <v>264</v>
      </c>
      <c r="N912" s="67" t="s">
        <v>259</v>
      </c>
      <c r="O912" s="67" t="s">
        <v>2116</v>
      </c>
      <c r="P912" s="67" t="s">
        <v>19</v>
      </c>
      <c r="Q912" s="192">
        <v>94.1</v>
      </c>
    </row>
    <row r="913" spans="1:17" ht="11.1" hidden="1" customHeight="1" x14ac:dyDescent="0.2">
      <c r="A913" s="3"/>
      <c r="B913" s="3" t="str">
        <f ca="1">IF(A913="В заказ",MAX($B$9:OFFSET(B913,-1,0))+1,"")</f>
        <v/>
      </c>
      <c r="C913" s="6" t="str">
        <f t="shared" si="32"/>
        <v>Кромка 2,0 H1636 ST12  (75 м бухта).</v>
      </c>
      <c r="D913" s="67" t="s">
        <v>241</v>
      </c>
      <c r="E913" s="67" t="s">
        <v>34</v>
      </c>
      <c r="F913" s="67" t="s">
        <v>626</v>
      </c>
      <c r="G913" s="68">
        <v>14860</v>
      </c>
      <c r="H913" s="67" t="s">
        <v>330</v>
      </c>
      <c r="I913" s="200"/>
      <c r="J913" s="67" t="s">
        <v>90</v>
      </c>
      <c r="K913" s="67" t="s">
        <v>91</v>
      </c>
      <c r="L913" s="67" t="s">
        <v>41</v>
      </c>
      <c r="M913" s="67" t="s">
        <v>270</v>
      </c>
      <c r="N913" s="67" t="s">
        <v>259</v>
      </c>
      <c r="O913" s="67" t="s">
        <v>2116</v>
      </c>
      <c r="P913" s="67" t="s">
        <v>19</v>
      </c>
      <c r="Q913" s="192">
        <v>127.6</v>
      </c>
    </row>
    <row r="914" spans="1:17" ht="11.1" hidden="1" customHeight="1" x14ac:dyDescent="0.2">
      <c r="A914" s="3"/>
      <c r="B914" s="3" t="str">
        <f ca="1">IF(A914="В заказ",MAX($B$9:OFFSET(B914,-1,0))+1,"")</f>
        <v/>
      </c>
      <c r="C914" s="6" t="str">
        <f t="shared" si="32"/>
        <v>Кромка 0,4 H1710 ST10  (200 м бухта).</v>
      </c>
      <c r="D914" s="67" t="s">
        <v>241</v>
      </c>
      <c r="E914" s="67" t="s">
        <v>34</v>
      </c>
      <c r="F914" s="67" t="s">
        <v>627</v>
      </c>
      <c r="G914" s="68">
        <v>21695</v>
      </c>
      <c r="H914" s="67" t="s">
        <v>330</v>
      </c>
      <c r="I914" s="200"/>
      <c r="J914" s="67" t="s">
        <v>628</v>
      </c>
      <c r="K914" s="67" t="s">
        <v>629</v>
      </c>
      <c r="L914" s="67" t="s">
        <v>38</v>
      </c>
      <c r="M914" s="67" t="s">
        <v>252</v>
      </c>
      <c r="N914" s="67" t="s">
        <v>253</v>
      </c>
      <c r="O914" s="67" t="s">
        <v>2117</v>
      </c>
      <c r="P914" s="67" t="s">
        <v>19</v>
      </c>
      <c r="Q914" s="192">
        <v>17.899999999999999</v>
      </c>
    </row>
    <row r="915" spans="1:17" ht="11.1" hidden="1" customHeight="1" x14ac:dyDescent="0.2">
      <c r="A915" s="3"/>
      <c r="B915" s="3" t="str">
        <f ca="1">IF(A915="В заказ",MAX($B$9:OFFSET(B915,-1,0))+1,"")</f>
        <v/>
      </c>
      <c r="C915" s="6" t="str">
        <f t="shared" si="32"/>
        <v>Кромка 0,4 H1710 ST10  (200 м бухта).</v>
      </c>
      <c r="D915" s="67" t="s">
        <v>241</v>
      </c>
      <c r="E915" s="67" t="s">
        <v>34</v>
      </c>
      <c r="F915" s="67" t="s">
        <v>630</v>
      </c>
      <c r="G915" s="68">
        <v>21697</v>
      </c>
      <c r="H915" s="67" t="s">
        <v>330</v>
      </c>
      <c r="I915" s="200"/>
      <c r="J915" s="67" t="s">
        <v>628</v>
      </c>
      <c r="K915" s="67" t="s">
        <v>629</v>
      </c>
      <c r="L915" s="67" t="s">
        <v>38</v>
      </c>
      <c r="M915" s="67" t="s">
        <v>264</v>
      </c>
      <c r="N915" s="67" t="s">
        <v>253</v>
      </c>
      <c r="O915" s="67" t="s">
        <v>2117</v>
      </c>
      <c r="P915" s="67" t="s">
        <v>19</v>
      </c>
      <c r="Q915" s="192">
        <v>28.9</v>
      </c>
    </row>
    <row r="916" spans="1:17" ht="11.1" hidden="1" customHeight="1" x14ac:dyDescent="0.2">
      <c r="A916" s="3"/>
      <c r="B916" s="3" t="str">
        <f ca="1">IF(A916="В заказ",MAX($B$9:OFFSET(B916,-1,0))+1,"")</f>
        <v/>
      </c>
      <c r="C916" s="6" t="str">
        <f t="shared" si="32"/>
        <v>Кромка 0,8 H1710 ST10  (75 м бухта).</v>
      </c>
      <c r="D916" s="67" t="s">
        <v>241</v>
      </c>
      <c r="E916" s="67" t="s">
        <v>34</v>
      </c>
      <c r="F916" s="67" t="s">
        <v>631</v>
      </c>
      <c r="G916" s="68">
        <v>21696</v>
      </c>
      <c r="H916" s="67" t="s">
        <v>330</v>
      </c>
      <c r="I916" s="200"/>
      <c r="J916" s="67" t="s">
        <v>628</v>
      </c>
      <c r="K916" s="67" t="s">
        <v>629</v>
      </c>
      <c r="L916" s="67" t="s">
        <v>38</v>
      </c>
      <c r="M916" s="67" t="s">
        <v>252</v>
      </c>
      <c r="N916" s="67" t="s">
        <v>10</v>
      </c>
      <c r="O916" s="67" t="s">
        <v>2116</v>
      </c>
      <c r="P916" s="67" t="s">
        <v>19</v>
      </c>
      <c r="Q916" s="71">
        <v>35</v>
      </c>
    </row>
    <row r="917" spans="1:17" ht="11.1" hidden="1" customHeight="1" x14ac:dyDescent="0.2">
      <c r="A917" s="3"/>
      <c r="B917" s="3" t="str">
        <f ca="1">IF(A917="В заказ",MAX($B$9:OFFSET(B917,-1,0))+1,"")</f>
        <v/>
      </c>
      <c r="C917" s="6" t="str">
        <f t="shared" si="32"/>
        <v>Кромка 2,0 H1710 ST10  (75 м бухта).</v>
      </c>
      <c r="D917" s="67" t="s">
        <v>241</v>
      </c>
      <c r="E917" s="67" t="s">
        <v>34</v>
      </c>
      <c r="F917" s="67" t="s">
        <v>632</v>
      </c>
      <c r="G917" s="68">
        <v>21570</v>
      </c>
      <c r="H917" s="67" t="s">
        <v>330</v>
      </c>
      <c r="I917" s="200"/>
      <c r="J917" s="67" t="s">
        <v>628</v>
      </c>
      <c r="K917" s="67" t="s">
        <v>629</v>
      </c>
      <c r="L917" s="67" t="s">
        <v>38</v>
      </c>
      <c r="M917" s="67" t="s">
        <v>252</v>
      </c>
      <c r="N917" s="67" t="s">
        <v>259</v>
      </c>
      <c r="O917" s="67" t="s">
        <v>2116</v>
      </c>
      <c r="P917" s="67" t="s">
        <v>19</v>
      </c>
      <c r="Q917" s="192">
        <v>62.6</v>
      </c>
    </row>
    <row r="918" spans="1:17" ht="11.1" hidden="1" customHeight="1" x14ac:dyDescent="0.2">
      <c r="A918" s="3"/>
      <c r="B918" s="3" t="str">
        <f ca="1">IF(A918="В заказ",MAX($B$9:OFFSET(B918,-1,0))+1,"")</f>
        <v/>
      </c>
      <c r="C918" s="6" t="str">
        <f t="shared" si="32"/>
        <v>Кромка 2,0 H1710 ST10  (75 м бухта).</v>
      </c>
      <c r="D918" s="67" t="s">
        <v>241</v>
      </c>
      <c r="E918" s="67" t="s">
        <v>34</v>
      </c>
      <c r="F918" s="67" t="s">
        <v>633</v>
      </c>
      <c r="G918" s="68">
        <v>21698</v>
      </c>
      <c r="H918" s="67" t="s">
        <v>330</v>
      </c>
      <c r="I918" s="200"/>
      <c r="J918" s="67" t="s">
        <v>628</v>
      </c>
      <c r="K918" s="67" t="s">
        <v>629</v>
      </c>
      <c r="L918" s="67" t="s">
        <v>38</v>
      </c>
      <c r="M918" s="67" t="s">
        <v>264</v>
      </c>
      <c r="N918" s="67" t="s">
        <v>259</v>
      </c>
      <c r="O918" s="67" t="s">
        <v>2116</v>
      </c>
      <c r="P918" s="67" t="s">
        <v>19</v>
      </c>
      <c r="Q918" s="192">
        <v>94.1</v>
      </c>
    </row>
    <row r="919" spans="1:17" ht="11.1" hidden="1" customHeight="1" x14ac:dyDescent="0.2">
      <c r="A919" s="3"/>
      <c r="B919" s="3" t="str">
        <f ca="1">IF(A919="В заказ",MAX($B$9:OFFSET(B919,-1,0))+1,"")</f>
        <v/>
      </c>
      <c r="C919" s="6" t="str">
        <f t="shared" si="32"/>
        <v>Кромка 2,0 H1710 ST10  (75 м бухта).</v>
      </c>
      <c r="D919" s="67" t="s">
        <v>241</v>
      </c>
      <c r="E919" s="67" t="s">
        <v>34</v>
      </c>
      <c r="F919" s="67" t="s">
        <v>634</v>
      </c>
      <c r="G919" s="68">
        <v>21699</v>
      </c>
      <c r="H919" s="67" t="s">
        <v>330</v>
      </c>
      <c r="I919" s="200"/>
      <c r="J919" s="67" t="s">
        <v>628</v>
      </c>
      <c r="K919" s="67" t="s">
        <v>629</v>
      </c>
      <c r="L919" s="67" t="s">
        <v>38</v>
      </c>
      <c r="M919" s="67" t="s">
        <v>270</v>
      </c>
      <c r="N919" s="67" t="s">
        <v>259</v>
      </c>
      <c r="O919" s="67" t="s">
        <v>2116</v>
      </c>
      <c r="P919" s="67" t="s">
        <v>19</v>
      </c>
      <c r="Q919" s="192">
        <v>127.6</v>
      </c>
    </row>
    <row r="920" spans="1:17" ht="11.1" hidden="1" customHeight="1" x14ac:dyDescent="0.2">
      <c r="A920" s="3"/>
      <c r="B920" s="3" t="str">
        <f ca="1">IF(A920="В заказ",MAX($B$9:OFFSET(B920,-1,0))+1,"")</f>
        <v/>
      </c>
      <c r="C920" s="6" t="str">
        <f t="shared" si="32"/>
        <v>Кромка 0,4 H1714 ST19  (200 м бухта).</v>
      </c>
      <c r="D920" s="67" t="s">
        <v>241</v>
      </c>
      <c r="E920" s="67" t="s">
        <v>34</v>
      </c>
      <c r="F920" s="67" t="s">
        <v>635</v>
      </c>
      <c r="G920" s="68">
        <v>21500</v>
      </c>
      <c r="H920" s="67" t="s">
        <v>330</v>
      </c>
      <c r="I920" s="200"/>
      <c r="J920" s="67" t="s">
        <v>636</v>
      </c>
      <c r="K920" s="67" t="s">
        <v>637</v>
      </c>
      <c r="L920" s="67" t="s">
        <v>251</v>
      </c>
      <c r="M920" s="67" t="s">
        <v>252</v>
      </c>
      <c r="N920" s="67" t="s">
        <v>253</v>
      </c>
      <c r="O920" s="67" t="s">
        <v>2117</v>
      </c>
      <c r="P920" s="67" t="s">
        <v>19</v>
      </c>
      <c r="Q920" s="192">
        <v>17.899999999999999</v>
      </c>
    </row>
    <row r="921" spans="1:17" ht="11.1" hidden="1" customHeight="1" x14ac:dyDescent="0.2">
      <c r="A921" s="3"/>
      <c r="B921" s="3" t="str">
        <f ca="1">IF(A921="В заказ",MAX($B$9:OFFSET(B921,-1,0))+1,"")</f>
        <v/>
      </c>
      <c r="C921" s="6" t="str">
        <f t="shared" si="32"/>
        <v>Кромка 0,4 H1714 ST19  (200 м бухта).</v>
      </c>
      <c r="D921" s="67" t="s">
        <v>241</v>
      </c>
      <c r="E921" s="67" t="s">
        <v>34</v>
      </c>
      <c r="F921" s="67" t="s">
        <v>638</v>
      </c>
      <c r="G921" s="68">
        <v>24109</v>
      </c>
      <c r="H921" s="67" t="s">
        <v>330</v>
      </c>
      <c r="I921" s="200"/>
      <c r="J921" s="67" t="s">
        <v>636</v>
      </c>
      <c r="K921" s="67" t="s">
        <v>637</v>
      </c>
      <c r="L921" s="67" t="s">
        <v>251</v>
      </c>
      <c r="M921" s="67" t="s">
        <v>244</v>
      </c>
      <c r="N921" s="67" t="s">
        <v>253</v>
      </c>
      <c r="O921" s="67" t="s">
        <v>2117</v>
      </c>
      <c r="P921" s="67" t="s">
        <v>19</v>
      </c>
      <c r="Q921" s="71">
        <v>22</v>
      </c>
    </row>
    <row r="922" spans="1:17" ht="11.1" hidden="1" customHeight="1" x14ac:dyDescent="0.2">
      <c r="A922" s="3"/>
      <c r="B922" s="3" t="str">
        <f ca="1">IF(A922="В заказ",MAX($B$9:OFFSET(B922,-1,0))+1,"")</f>
        <v/>
      </c>
      <c r="C922" s="6" t="str">
        <f t="shared" si="32"/>
        <v>Кромка 0,4 H1714 ST19  (200 м бухта).</v>
      </c>
      <c r="D922" s="67" t="s">
        <v>241</v>
      </c>
      <c r="E922" s="67" t="s">
        <v>34</v>
      </c>
      <c r="F922" s="67" t="s">
        <v>639</v>
      </c>
      <c r="G922" s="68">
        <v>21702</v>
      </c>
      <c r="H922" s="67" t="s">
        <v>330</v>
      </c>
      <c r="I922" s="200"/>
      <c r="J922" s="67" t="s">
        <v>636</v>
      </c>
      <c r="K922" s="67" t="s">
        <v>637</v>
      </c>
      <c r="L922" s="67" t="s">
        <v>251</v>
      </c>
      <c r="M922" s="67" t="s">
        <v>264</v>
      </c>
      <c r="N922" s="67" t="s">
        <v>253</v>
      </c>
      <c r="O922" s="67" t="s">
        <v>2117</v>
      </c>
      <c r="P922" s="67" t="s">
        <v>19</v>
      </c>
      <c r="Q922" s="192">
        <v>28.9</v>
      </c>
    </row>
    <row r="923" spans="1:17" ht="11.1" hidden="1" customHeight="1" x14ac:dyDescent="0.2">
      <c r="A923" s="3"/>
      <c r="B923" s="3" t="str">
        <f ca="1">IF(A923="В заказ",MAX($B$9:OFFSET(B923,-1,0))+1,"")</f>
        <v/>
      </c>
      <c r="C923" s="6" t="str">
        <f t="shared" si="32"/>
        <v>Кромка 0,8 H1714 ST19  (75 м бухта).</v>
      </c>
      <c r="D923" s="67" t="s">
        <v>241</v>
      </c>
      <c r="E923" s="67" t="s">
        <v>34</v>
      </c>
      <c r="F923" s="67" t="s">
        <v>640</v>
      </c>
      <c r="G923" s="68">
        <v>21700</v>
      </c>
      <c r="H923" s="67" t="s">
        <v>330</v>
      </c>
      <c r="I923" s="200"/>
      <c r="J923" s="67" t="s">
        <v>636</v>
      </c>
      <c r="K923" s="67" t="s">
        <v>637</v>
      </c>
      <c r="L923" s="67" t="s">
        <v>251</v>
      </c>
      <c r="M923" s="67" t="s">
        <v>252</v>
      </c>
      <c r="N923" s="67" t="s">
        <v>10</v>
      </c>
      <c r="O923" s="67" t="s">
        <v>2116</v>
      </c>
      <c r="P923" s="67" t="s">
        <v>19</v>
      </c>
      <c r="Q923" s="71">
        <v>35</v>
      </c>
    </row>
    <row r="924" spans="1:17" ht="11.1" hidden="1" customHeight="1" x14ac:dyDescent="0.2">
      <c r="A924" s="3"/>
      <c r="B924" s="3" t="str">
        <f ca="1">IF(A924="В заказ",MAX($B$9:OFFSET(B924,-1,0))+1,"")</f>
        <v/>
      </c>
      <c r="C924" s="6" t="str">
        <f t="shared" si="32"/>
        <v>Кромка 0,8 H1714 ST19  (75 м бухта).</v>
      </c>
      <c r="D924" s="67" t="s">
        <v>241</v>
      </c>
      <c r="E924" s="67" t="s">
        <v>34</v>
      </c>
      <c r="F924" s="67" t="s">
        <v>641</v>
      </c>
      <c r="G924" s="68">
        <v>22561</v>
      </c>
      <c r="H924" s="67" t="s">
        <v>330</v>
      </c>
      <c r="I924" s="200"/>
      <c r="J924" s="67" t="s">
        <v>636</v>
      </c>
      <c r="K924" s="67" t="s">
        <v>637</v>
      </c>
      <c r="L924" s="67" t="s">
        <v>251</v>
      </c>
      <c r="M924" s="67" t="s">
        <v>244</v>
      </c>
      <c r="N924" s="67" t="s">
        <v>10</v>
      </c>
      <c r="O924" s="67" t="s">
        <v>2116</v>
      </c>
      <c r="P924" s="67" t="s">
        <v>19</v>
      </c>
      <c r="Q924" s="192">
        <v>42.3</v>
      </c>
    </row>
    <row r="925" spans="1:17" ht="11.1" hidden="1" customHeight="1" x14ac:dyDescent="0.2">
      <c r="A925" s="3"/>
      <c r="B925" s="3" t="str">
        <f ca="1">IF(A925="В заказ",MAX($B$9:OFFSET(B925,-1,0))+1,"")</f>
        <v/>
      </c>
      <c r="C925" s="6" t="str">
        <f t="shared" si="32"/>
        <v>Кромка 2,0 H1714 ST19  (75 м бухта).</v>
      </c>
      <c r="D925" s="67" t="s">
        <v>241</v>
      </c>
      <c r="E925" s="67" t="s">
        <v>34</v>
      </c>
      <c r="F925" s="67" t="s">
        <v>642</v>
      </c>
      <c r="G925" s="68">
        <v>21701</v>
      </c>
      <c r="H925" s="67" t="s">
        <v>330</v>
      </c>
      <c r="I925" s="200"/>
      <c r="J925" s="67" t="s">
        <v>636</v>
      </c>
      <c r="K925" s="67" t="s">
        <v>637</v>
      </c>
      <c r="L925" s="67" t="s">
        <v>251</v>
      </c>
      <c r="M925" s="67" t="s">
        <v>252</v>
      </c>
      <c r="N925" s="67" t="s">
        <v>259</v>
      </c>
      <c r="O925" s="67" t="s">
        <v>2116</v>
      </c>
      <c r="P925" s="67" t="s">
        <v>19</v>
      </c>
      <c r="Q925" s="192">
        <v>62.6</v>
      </c>
    </row>
    <row r="926" spans="1:17" ht="11.1" hidden="1" customHeight="1" x14ac:dyDescent="0.2">
      <c r="A926" s="3"/>
      <c r="B926" s="3" t="str">
        <f ca="1">IF(A926="В заказ",MAX($B$9:OFFSET(B926,-1,0))+1,"")</f>
        <v/>
      </c>
      <c r="C926" s="6" t="str">
        <f t="shared" si="32"/>
        <v>Кромка 2,0 H1714 ST19  (75 м бухта).</v>
      </c>
      <c r="D926" s="67" t="s">
        <v>241</v>
      </c>
      <c r="E926" s="67" t="s">
        <v>34</v>
      </c>
      <c r="F926" s="67" t="s">
        <v>643</v>
      </c>
      <c r="G926" s="68">
        <v>23032</v>
      </c>
      <c r="H926" s="67" t="s">
        <v>330</v>
      </c>
      <c r="I926" s="200"/>
      <c r="J926" s="67" t="s">
        <v>636</v>
      </c>
      <c r="K926" s="67" t="s">
        <v>637</v>
      </c>
      <c r="L926" s="67" t="s">
        <v>251</v>
      </c>
      <c r="M926" s="67" t="s">
        <v>244</v>
      </c>
      <c r="N926" s="67" t="s">
        <v>259</v>
      </c>
      <c r="O926" s="67" t="s">
        <v>2116</v>
      </c>
      <c r="P926" s="67" t="s">
        <v>19</v>
      </c>
      <c r="Q926" s="192">
        <v>65.5</v>
      </c>
    </row>
    <row r="927" spans="1:17" ht="11.1" hidden="1" customHeight="1" x14ac:dyDescent="0.2">
      <c r="A927" s="3"/>
      <c r="B927" s="3" t="str">
        <f ca="1">IF(A927="В заказ",MAX($B$9:OFFSET(B927,-1,0))+1,"")</f>
        <v/>
      </c>
      <c r="C927" s="6" t="str">
        <f t="shared" si="32"/>
        <v>Кромка 2,0 H1714 ST19  (75 м бухта).</v>
      </c>
      <c r="D927" s="67" t="s">
        <v>241</v>
      </c>
      <c r="E927" s="67" t="s">
        <v>34</v>
      </c>
      <c r="F927" s="67" t="s">
        <v>644</v>
      </c>
      <c r="G927" s="68">
        <v>21703</v>
      </c>
      <c r="H927" s="67" t="s">
        <v>330</v>
      </c>
      <c r="I927" s="200"/>
      <c r="J927" s="67" t="s">
        <v>636</v>
      </c>
      <c r="K927" s="67" t="s">
        <v>637</v>
      </c>
      <c r="L927" s="67" t="s">
        <v>251</v>
      </c>
      <c r="M927" s="67" t="s">
        <v>264</v>
      </c>
      <c r="N927" s="67" t="s">
        <v>259</v>
      </c>
      <c r="O927" s="67" t="s">
        <v>2116</v>
      </c>
      <c r="P927" s="67" t="s">
        <v>19</v>
      </c>
      <c r="Q927" s="192">
        <v>94.1</v>
      </c>
    </row>
    <row r="928" spans="1:17" ht="11.1" hidden="1" customHeight="1" x14ac:dyDescent="0.2">
      <c r="A928" s="3"/>
      <c r="B928" s="3" t="str">
        <f ca="1">IF(A928="В заказ",MAX($B$9:OFFSET(B928,-1,0))+1,"")</f>
        <v/>
      </c>
      <c r="C928" s="6" t="str">
        <f t="shared" si="32"/>
        <v>Кромка 2,0 H1714 ST19  (75 м бухта).</v>
      </c>
      <c r="D928" s="67" t="s">
        <v>241</v>
      </c>
      <c r="E928" s="67" t="s">
        <v>34</v>
      </c>
      <c r="F928" s="67" t="s">
        <v>645</v>
      </c>
      <c r="G928" s="68">
        <v>21704</v>
      </c>
      <c r="H928" s="67" t="s">
        <v>330</v>
      </c>
      <c r="I928" s="200"/>
      <c r="J928" s="67" t="s">
        <v>636</v>
      </c>
      <c r="K928" s="67" t="s">
        <v>637</v>
      </c>
      <c r="L928" s="67" t="s">
        <v>251</v>
      </c>
      <c r="M928" s="67" t="s">
        <v>270</v>
      </c>
      <c r="N928" s="67" t="s">
        <v>259</v>
      </c>
      <c r="O928" s="67" t="s">
        <v>2116</v>
      </c>
      <c r="P928" s="67" t="s">
        <v>19</v>
      </c>
      <c r="Q928" s="192">
        <v>127.6</v>
      </c>
    </row>
    <row r="929" spans="1:17" ht="11.1" hidden="1" customHeight="1" x14ac:dyDescent="0.2">
      <c r="A929" s="3"/>
      <c r="B929" s="3" t="str">
        <f ca="1">IF(A929="В заказ",MAX($B$9:OFFSET(B929,-1,0))+1,"")</f>
        <v/>
      </c>
      <c r="C929" s="6" t="str">
        <f t="shared" si="32"/>
        <v>Кромка 0,4 H1733 ST9  (200 м бухта).</v>
      </c>
      <c r="D929" s="67" t="s">
        <v>241</v>
      </c>
      <c r="E929" s="67" t="s">
        <v>34</v>
      </c>
      <c r="F929" s="67" t="s">
        <v>646</v>
      </c>
      <c r="G929" s="68">
        <v>8478</v>
      </c>
      <c r="H929" s="67" t="s">
        <v>330</v>
      </c>
      <c r="I929" s="200"/>
      <c r="J929" s="67" t="s">
        <v>92</v>
      </c>
      <c r="K929" s="67" t="s">
        <v>93</v>
      </c>
      <c r="L929" s="67" t="s">
        <v>22</v>
      </c>
      <c r="M929" s="67" t="s">
        <v>252</v>
      </c>
      <c r="N929" s="67" t="s">
        <v>253</v>
      </c>
      <c r="O929" s="67" t="s">
        <v>2117</v>
      </c>
      <c r="P929" s="67" t="s">
        <v>19</v>
      </c>
      <c r="Q929" s="192">
        <v>17.899999999999999</v>
      </c>
    </row>
    <row r="930" spans="1:17" ht="11.1" hidden="1" customHeight="1" x14ac:dyDescent="0.2">
      <c r="A930" s="3"/>
      <c r="B930" s="3" t="str">
        <f ca="1">IF(A930="В заказ",MAX($B$9:OFFSET(B930,-1,0))+1,"")</f>
        <v/>
      </c>
      <c r="C930" s="6" t="str">
        <f t="shared" si="32"/>
        <v>Кромка 0,4 H1733 ST9  (200 м бухта).</v>
      </c>
      <c r="D930" s="67" t="s">
        <v>241</v>
      </c>
      <c r="E930" s="67" t="s">
        <v>34</v>
      </c>
      <c r="F930" s="67" t="s">
        <v>647</v>
      </c>
      <c r="G930" s="68">
        <v>9476</v>
      </c>
      <c r="H930" s="67" t="s">
        <v>330</v>
      </c>
      <c r="I930" s="200"/>
      <c r="J930" s="67" t="s">
        <v>92</v>
      </c>
      <c r="K930" s="67" t="s">
        <v>93</v>
      </c>
      <c r="L930" s="67" t="s">
        <v>22</v>
      </c>
      <c r="M930" s="67" t="s">
        <v>264</v>
      </c>
      <c r="N930" s="67" t="s">
        <v>253</v>
      </c>
      <c r="O930" s="67" t="s">
        <v>2117</v>
      </c>
      <c r="P930" s="67" t="s">
        <v>19</v>
      </c>
      <c r="Q930" s="192">
        <v>28.9</v>
      </c>
    </row>
    <row r="931" spans="1:17" ht="11.1" hidden="1" customHeight="1" x14ac:dyDescent="0.2">
      <c r="A931" s="3"/>
      <c r="B931" s="3" t="str">
        <f ca="1">IF(A931="В заказ",MAX($B$9:OFFSET(B931,-1,0))+1,"")</f>
        <v/>
      </c>
      <c r="C931" s="6" t="str">
        <f t="shared" si="32"/>
        <v>Кромка 0,8 H1733 ST9  (75 м бухта).</v>
      </c>
      <c r="D931" s="67" t="s">
        <v>241</v>
      </c>
      <c r="E931" s="67" t="s">
        <v>34</v>
      </c>
      <c r="F931" s="67" t="s">
        <v>648</v>
      </c>
      <c r="G931" s="68">
        <v>14816</v>
      </c>
      <c r="H931" s="67" t="s">
        <v>330</v>
      </c>
      <c r="I931" s="200"/>
      <c r="J931" s="67" t="s">
        <v>92</v>
      </c>
      <c r="K931" s="67" t="s">
        <v>93</v>
      </c>
      <c r="L931" s="67" t="s">
        <v>22</v>
      </c>
      <c r="M931" s="67" t="s">
        <v>252</v>
      </c>
      <c r="N931" s="67" t="s">
        <v>10</v>
      </c>
      <c r="O931" s="67" t="s">
        <v>2116</v>
      </c>
      <c r="P931" s="67" t="s">
        <v>19</v>
      </c>
      <c r="Q931" s="71">
        <v>35</v>
      </c>
    </row>
    <row r="932" spans="1:17" ht="11.1" hidden="1" customHeight="1" x14ac:dyDescent="0.2">
      <c r="A932" s="3"/>
      <c r="B932" s="3" t="str">
        <f ca="1">IF(A932="В заказ",MAX($B$9:OFFSET(B932,-1,0))+1,"")</f>
        <v/>
      </c>
      <c r="C932" s="6" t="str">
        <f t="shared" si="32"/>
        <v>Кромка 2,0 H1733 ST9  (75 м бухта).</v>
      </c>
      <c r="D932" s="67" t="s">
        <v>241</v>
      </c>
      <c r="E932" s="67" t="s">
        <v>34</v>
      </c>
      <c r="F932" s="67" t="s">
        <v>649</v>
      </c>
      <c r="G932" s="68">
        <v>5610</v>
      </c>
      <c r="H932" s="67" t="s">
        <v>330</v>
      </c>
      <c r="I932" s="200"/>
      <c r="J932" s="67" t="s">
        <v>92</v>
      </c>
      <c r="K932" s="67" t="s">
        <v>93</v>
      </c>
      <c r="L932" s="67" t="s">
        <v>22</v>
      </c>
      <c r="M932" s="67" t="s">
        <v>252</v>
      </c>
      <c r="N932" s="67" t="s">
        <v>259</v>
      </c>
      <c r="O932" s="67" t="s">
        <v>2116</v>
      </c>
      <c r="P932" s="67" t="s">
        <v>19</v>
      </c>
      <c r="Q932" s="192">
        <v>62.6</v>
      </c>
    </row>
    <row r="933" spans="1:17" ht="11.1" hidden="1" customHeight="1" x14ac:dyDescent="0.2">
      <c r="A933" s="3"/>
      <c r="B933" s="3" t="str">
        <f ca="1">IF(A933="В заказ",MAX($B$9:OFFSET(B933,-1,0))+1,"")</f>
        <v/>
      </c>
      <c r="C933" s="6" t="str">
        <f t="shared" si="32"/>
        <v>Кромка 2,0 H1733 ST9  (75 м бухта).</v>
      </c>
      <c r="D933" s="67" t="s">
        <v>241</v>
      </c>
      <c r="E933" s="67" t="s">
        <v>34</v>
      </c>
      <c r="F933" s="67" t="s">
        <v>650</v>
      </c>
      <c r="G933" s="68">
        <v>9300</v>
      </c>
      <c r="H933" s="67" t="s">
        <v>330</v>
      </c>
      <c r="I933" s="200"/>
      <c r="J933" s="67" t="s">
        <v>92</v>
      </c>
      <c r="K933" s="67" t="s">
        <v>93</v>
      </c>
      <c r="L933" s="67" t="s">
        <v>22</v>
      </c>
      <c r="M933" s="67" t="s">
        <v>264</v>
      </c>
      <c r="N933" s="67" t="s">
        <v>259</v>
      </c>
      <c r="O933" s="67" t="s">
        <v>2116</v>
      </c>
      <c r="P933" s="67" t="s">
        <v>19</v>
      </c>
      <c r="Q933" s="192">
        <v>94.1</v>
      </c>
    </row>
    <row r="934" spans="1:17" ht="11.1" hidden="1" customHeight="1" x14ac:dyDescent="0.2">
      <c r="A934" s="3"/>
      <c r="B934" s="3" t="str">
        <f ca="1">IF(A934="В заказ",MAX($B$9:OFFSET(B934,-1,0))+1,"")</f>
        <v/>
      </c>
      <c r="C934" s="6" t="str">
        <f t="shared" si="32"/>
        <v>Кромка 2,0 H1733 ST9  (75 м бухта).</v>
      </c>
      <c r="D934" s="67" t="s">
        <v>241</v>
      </c>
      <c r="E934" s="67" t="s">
        <v>34</v>
      </c>
      <c r="F934" s="67" t="s">
        <v>651</v>
      </c>
      <c r="G934" s="68">
        <v>8896</v>
      </c>
      <c r="H934" s="67" t="s">
        <v>330</v>
      </c>
      <c r="I934" s="200"/>
      <c r="J934" s="67" t="s">
        <v>92</v>
      </c>
      <c r="K934" s="67" t="s">
        <v>93</v>
      </c>
      <c r="L934" s="67" t="s">
        <v>22</v>
      </c>
      <c r="M934" s="67" t="s">
        <v>270</v>
      </c>
      <c r="N934" s="67" t="s">
        <v>259</v>
      </c>
      <c r="O934" s="67" t="s">
        <v>2116</v>
      </c>
      <c r="P934" s="67" t="s">
        <v>19</v>
      </c>
      <c r="Q934" s="192">
        <v>127.6</v>
      </c>
    </row>
    <row r="935" spans="1:17" ht="11.1" hidden="1" customHeight="1" x14ac:dyDescent="0.2">
      <c r="A935" s="3"/>
      <c r="B935" s="3" t="str">
        <f ca="1">IF(A935="В заказ",MAX($B$9:OFFSET(B935,-1,0))+1,"")</f>
        <v/>
      </c>
      <c r="C935" s="6" t="str">
        <f t="shared" si="32"/>
        <v>Кромка 2,0 H1733 ST9  (75 м бухта).</v>
      </c>
      <c r="D935" s="67" t="s">
        <v>241</v>
      </c>
      <c r="E935" s="67" t="s">
        <v>34</v>
      </c>
      <c r="F935" s="67" t="s">
        <v>652</v>
      </c>
      <c r="G935" s="68">
        <v>21462</v>
      </c>
      <c r="H935" s="67" t="s">
        <v>330</v>
      </c>
      <c r="I935" s="200"/>
      <c r="J935" s="67" t="s">
        <v>92</v>
      </c>
      <c r="K935" s="67" t="s">
        <v>93</v>
      </c>
      <c r="L935" s="67" t="s">
        <v>22</v>
      </c>
      <c r="M935" s="67" t="s">
        <v>282</v>
      </c>
      <c r="N935" s="67" t="s">
        <v>259</v>
      </c>
      <c r="O935" s="67" t="s">
        <v>2116</v>
      </c>
      <c r="P935" s="67" t="s">
        <v>19</v>
      </c>
      <c r="Q935" s="192">
        <v>187.5</v>
      </c>
    </row>
    <row r="936" spans="1:17" ht="11.1" hidden="1" customHeight="1" x14ac:dyDescent="0.2">
      <c r="A936" s="3"/>
      <c r="B936" s="3" t="str">
        <f ca="1">IF(A936="В заказ",MAX($B$9:OFFSET(B936,-1,0))+1,"")</f>
        <v/>
      </c>
      <c r="C936" s="6" t="str">
        <f t="shared" si="32"/>
        <v>Кромка 1,0 H1760 TM28  (75 м бухта).</v>
      </c>
      <c r="D936" s="67" t="s">
        <v>241</v>
      </c>
      <c r="E936" s="67" t="s">
        <v>34</v>
      </c>
      <c r="F936" s="67" t="s">
        <v>653</v>
      </c>
      <c r="G936" s="68">
        <v>24417</v>
      </c>
      <c r="H936" s="67" t="s">
        <v>438</v>
      </c>
      <c r="I936" s="200"/>
      <c r="J936" s="67" t="s">
        <v>654</v>
      </c>
      <c r="K936" s="67" t="s">
        <v>655</v>
      </c>
      <c r="L936" s="67" t="s">
        <v>656</v>
      </c>
      <c r="M936" s="67" t="s">
        <v>244</v>
      </c>
      <c r="N936" s="67" t="s">
        <v>245</v>
      </c>
      <c r="O936" s="67" t="s">
        <v>2116</v>
      </c>
      <c r="P936" s="67" t="s">
        <v>19</v>
      </c>
      <c r="Q936" s="192">
        <v>73.8</v>
      </c>
    </row>
    <row r="937" spans="1:17" ht="11.1" hidden="1" customHeight="1" x14ac:dyDescent="0.2">
      <c r="A937" s="3"/>
      <c r="B937" s="3" t="str">
        <f ca="1">IF(A937="В заказ",MAX($B$9:OFFSET(B937,-1,0))+1,"")</f>
        <v/>
      </c>
      <c r="C937" s="6" t="str">
        <f t="shared" si="32"/>
        <v>Кромка 0,4 H3012 ST22  (200 м бухта).</v>
      </c>
      <c r="D937" s="67" t="s">
        <v>241</v>
      </c>
      <c r="E937" s="67" t="s">
        <v>34</v>
      </c>
      <c r="F937" s="67" t="s">
        <v>657</v>
      </c>
      <c r="G937" s="68">
        <v>5432</v>
      </c>
      <c r="H937" s="67" t="s">
        <v>330</v>
      </c>
      <c r="I937" s="200"/>
      <c r="J937" s="67" t="s">
        <v>94</v>
      </c>
      <c r="K937" s="67" t="s">
        <v>95</v>
      </c>
      <c r="L937" s="67" t="s">
        <v>44</v>
      </c>
      <c r="M937" s="67" t="s">
        <v>252</v>
      </c>
      <c r="N937" s="67" t="s">
        <v>253</v>
      </c>
      <c r="O937" s="67" t="s">
        <v>2117</v>
      </c>
      <c r="P937" s="67" t="s">
        <v>19</v>
      </c>
      <c r="Q937" s="192">
        <v>17.899999999999999</v>
      </c>
    </row>
    <row r="938" spans="1:17" ht="11.1" hidden="1" customHeight="1" x14ac:dyDescent="0.2">
      <c r="A938" s="3"/>
      <c r="B938" s="3" t="str">
        <f ca="1">IF(A938="В заказ",MAX($B$9:OFFSET(B938,-1,0))+1,"")</f>
        <v/>
      </c>
      <c r="C938" s="6" t="str">
        <f t="shared" si="32"/>
        <v>Кромка 0,4 H3012 ST22  (200 м бухта).</v>
      </c>
      <c r="D938" s="67" t="s">
        <v>241</v>
      </c>
      <c r="E938" s="67" t="s">
        <v>34</v>
      </c>
      <c r="F938" s="67" t="s">
        <v>658</v>
      </c>
      <c r="G938" s="68">
        <v>15573</v>
      </c>
      <c r="H938" s="67" t="s">
        <v>330</v>
      </c>
      <c r="I938" s="200"/>
      <c r="J938" s="67" t="s">
        <v>94</v>
      </c>
      <c r="K938" s="67" t="s">
        <v>95</v>
      </c>
      <c r="L938" s="67" t="s">
        <v>44</v>
      </c>
      <c r="M938" s="67" t="s">
        <v>264</v>
      </c>
      <c r="N938" s="67" t="s">
        <v>253</v>
      </c>
      <c r="O938" s="67" t="s">
        <v>2117</v>
      </c>
      <c r="P938" s="67" t="s">
        <v>19</v>
      </c>
      <c r="Q938" s="192">
        <v>28.9</v>
      </c>
    </row>
    <row r="939" spans="1:17" ht="11.1" hidden="1" customHeight="1" x14ac:dyDescent="0.2">
      <c r="A939" s="3"/>
      <c r="B939" s="3" t="str">
        <f ca="1">IF(A939="В заказ",MAX($B$9:OFFSET(B939,-1,0))+1,"")</f>
        <v/>
      </c>
      <c r="C939" s="6" t="str">
        <f t="shared" si="32"/>
        <v>Кромка 0,8 H3012 ST22  (75 м бухта).</v>
      </c>
      <c r="D939" s="67" t="s">
        <v>241</v>
      </c>
      <c r="E939" s="67" t="s">
        <v>34</v>
      </c>
      <c r="F939" s="67" t="s">
        <v>659</v>
      </c>
      <c r="G939" s="68">
        <v>13677</v>
      </c>
      <c r="H939" s="67" t="s">
        <v>330</v>
      </c>
      <c r="I939" s="200"/>
      <c r="J939" s="67" t="s">
        <v>94</v>
      </c>
      <c r="K939" s="67" t="s">
        <v>95</v>
      </c>
      <c r="L939" s="67" t="s">
        <v>44</v>
      </c>
      <c r="M939" s="67" t="s">
        <v>252</v>
      </c>
      <c r="N939" s="67" t="s">
        <v>10</v>
      </c>
      <c r="O939" s="67" t="s">
        <v>2116</v>
      </c>
      <c r="P939" s="67" t="s">
        <v>19</v>
      </c>
      <c r="Q939" s="71">
        <v>35</v>
      </c>
    </row>
    <row r="940" spans="1:17" ht="11.1" hidden="1" customHeight="1" x14ac:dyDescent="0.2">
      <c r="A940" s="3"/>
      <c r="B940" s="3" t="str">
        <f ca="1">IF(A940="В заказ",MAX($B$9:OFFSET(B940,-1,0))+1,"")</f>
        <v/>
      </c>
      <c r="C940" s="6" t="str">
        <f t="shared" si="32"/>
        <v>Кромка 2,0 H3012 ST22 (75 м бухта).</v>
      </c>
      <c r="D940" s="67" t="s">
        <v>241</v>
      </c>
      <c r="E940" s="67" t="s">
        <v>34</v>
      </c>
      <c r="F940" s="67" t="s">
        <v>660</v>
      </c>
      <c r="G940" s="68">
        <v>8228</v>
      </c>
      <c r="H940" s="67" t="s">
        <v>330</v>
      </c>
      <c r="I940" s="200"/>
      <c r="J940" s="67" t="s">
        <v>94</v>
      </c>
      <c r="K940" s="67" t="s">
        <v>95</v>
      </c>
      <c r="L940" s="67" t="s">
        <v>44</v>
      </c>
      <c r="M940" s="67" t="s">
        <v>252</v>
      </c>
      <c r="N940" s="67" t="s">
        <v>259</v>
      </c>
      <c r="O940" s="67" t="s">
        <v>246</v>
      </c>
      <c r="P940" s="67" t="s">
        <v>19</v>
      </c>
      <c r="Q940" s="192">
        <v>62.6</v>
      </c>
    </row>
    <row r="941" spans="1:17" ht="11.1" hidden="1" customHeight="1" x14ac:dyDescent="0.2">
      <c r="A941" s="3"/>
      <c r="B941" s="3" t="str">
        <f ca="1">IF(A941="В заказ",MAX($B$9:OFFSET(B941,-1,0))+1,"")</f>
        <v/>
      </c>
      <c r="C941" s="6" t="str">
        <f t="shared" si="32"/>
        <v>Кромка 2,0 H3012 ST22  (75 м бухта).</v>
      </c>
      <c r="D941" s="67" t="s">
        <v>241</v>
      </c>
      <c r="E941" s="67" t="s">
        <v>34</v>
      </c>
      <c r="F941" s="67" t="s">
        <v>661</v>
      </c>
      <c r="G941" s="68">
        <v>14196</v>
      </c>
      <c r="H941" s="67" t="s">
        <v>330</v>
      </c>
      <c r="I941" s="200"/>
      <c r="J941" s="67" t="s">
        <v>94</v>
      </c>
      <c r="K941" s="67" t="s">
        <v>95</v>
      </c>
      <c r="L941" s="67" t="s">
        <v>44</v>
      </c>
      <c r="M941" s="67" t="s">
        <v>264</v>
      </c>
      <c r="N941" s="67" t="s">
        <v>259</v>
      </c>
      <c r="O941" s="67" t="s">
        <v>2116</v>
      </c>
      <c r="P941" s="67" t="s">
        <v>19</v>
      </c>
      <c r="Q941" s="192">
        <v>94.1</v>
      </c>
    </row>
    <row r="942" spans="1:17" ht="11.1" hidden="1" customHeight="1" x14ac:dyDescent="0.2">
      <c r="A942" s="3"/>
      <c r="B942" s="3" t="str">
        <f ca="1">IF(A942="В заказ",MAX($B$9:OFFSET(B942,-1,0))+1,"")</f>
        <v/>
      </c>
      <c r="C942" s="6" t="str">
        <f t="shared" si="32"/>
        <v>Кромка 2,0 H3012 ST22  (75 м бухта).</v>
      </c>
      <c r="D942" s="67" t="s">
        <v>241</v>
      </c>
      <c r="E942" s="67" t="s">
        <v>34</v>
      </c>
      <c r="F942" s="67" t="s">
        <v>662</v>
      </c>
      <c r="G942" s="68">
        <v>8229</v>
      </c>
      <c r="H942" s="67" t="s">
        <v>330</v>
      </c>
      <c r="I942" s="200"/>
      <c r="J942" s="67" t="s">
        <v>94</v>
      </c>
      <c r="K942" s="67" t="s">
        <v>95</v>
      </c>
      <c r="L942" s="67" t="s">
        <v>44</v>
      </c>
      <c r="M942" s="67" t="s">
        <v>270</v>
      </c>
      <c r="N942" s="67" t="s">
        <v>259</v>
      </c>
      <c r="O942" s="67" t="s">
        <v>2116</v>
      </c>
      <c r="P942" s="67" t="s">
        <v>19</v>
      </c>
      <c r="Q942" s="192">
        <v>127.6</v>
      </c>
    </row>
    <row r="943" spans="1:17" ht="11.1" hidden="1" customHeight="1" x14ac:dyDescent="0.2">
      <c r="A943" s="3"/>
      <c r="B943" s="3" t="str">
        <f ca="1">IF(A943="В заказ",MAX($B$9:OFFSET(B943,-1,0))+1,"")</f>
        <v/>
      </c>
      <c r="C943" s="6" t="str">
        <f t="shared" si="32"/>
        <v>Кромка 0,4 H3058 ST22  (200 м бухта).</v>
      </c>
      <c r="D943" s="67" t="s">
        <v>241</v>
      </c>
      <c r="E943" s="67" t="s">
        <v>34</v>
      </c>
      <c r="F943" s="67" t="s">
        <v>663</v>
      </c>
      <c r="G943" s="68">
        <v>1758</v>
      </c>
      <c r="H943" s="67" t="s">
        <v>330</v>
      </c>
      <c r="I943" s="200"/>
      <c r="J943" s="67" t="s">
        <v>96</v>
      </c>
      <c r="K943" s="67" t="s">
        <v>97</v>
      </c>
      <c r="L943" s="67" t="s">
        <v>44</v>
      </c>
      <c r="M943" s="67" t="s">
        <v>252</v>
      </c>
      <c r="N943" s="67" t="s">
        <v>253</v>
      </c>
      <c r="O943" s="67" t="s">
        <v>2117</v>
      </c>
      <c r="P943" s="67" t="s">
        <v>19</v>
      </c>
      <c r="Q943" s="192">
        <v>17.899999999999999</v>
      </c>
    </row>
    <row r="944" spans="1:17" ht="11.1" hidden="1" customHeight="1" x14ac:dyDescent="0.2">
      <c r="A944" s="3"/>
      <c r="B944" s="3" t="str">
        <f ca="1">IF(A944="В заказ",MAX($B$9:OFFSET(B944,-1,0))+1,"")</f>
        <v/>
      </c>
      <c r="C944" s="6" t="str">
        <f t="shared" si="32"/>
        <v>Кромка 0,4 H3058 ST22  (200 м бухта).</v>
      </c>
      <c r="D944" s="67" t="s">
        <v>241</v>
      </c>
      <c r="E944" s="67" t="s">
        <v>34</v>
      </c>
      <c r="F944" s="67" t="s">
        <v>664</v>
      </c>
      <c r="G944" s="68">
        <v>24517</v>
      </c>
      <c r="H944" s="67" t="s">
        <v>330</v>
      </c>
      <c r="I944" s="200"/>
      <c r="J944" s="67" t="s">
        <v>96</v>
      </c>
      <c r="K944" s="67" t="s">
        <v>97</v>
      </c>
      <c r="L944" s="67" t="s">
        <v>44</v>
      </c>
      <c r="M944" s="67" t="s">
        <v>244</v>
      </c>
      <c r="N944" s="67" t="s">
        <v>253</v>
      </c>
      <c r="O944" s="67" t="s">
        <v>2117</v>
      </c>
      <c r="P944" s="67" t="s">
        <v>19</v>
      </c>
      <c r="Q944" s="71">
        <v>22</v>
      </c>
    </row>
    <row r="945" spans="1:17" ht="11.1" hidden="1" customHeight="1" x14ac:dyDescent="0.2">
      <c r="A945" s="3"/>
      <c r="B945" s="3" t="str">
        <f ca="1">IF(A945="В заказ",MAX($B$9:OFFSET(B945,-1,0))+1,"")</f>
        <v/>
      </c>
      <c r="C945" s="6" t="str">
        <f t="shared" si="32"/>
        <v>Кромка 0,4 H3058 ST22  (200 м бухта).</v>
      </c>
      <c r="D945" s="67" t="s">
        <v>241</v>
      </c>
      <c r="E945" s="67" t="s">
        <v>34</v>
      </c>
      <c r="F945" s="67" t="s">
        <v>665</v>
      </c>
      <c r="G945" s="68">
        <v>5645</v>
      </c>
      <c r="H945" s="67" t="s">
        <v>330</v>
      </c>
      <c r="I945" s="200"/>
      <c r="J945" s="67" t="s">
        <v>96</v>
      </c>
      <c r="K945" s="67" t="s">
        <v>97</v>
      </c>
      <c r="L945" s="67" t="s">
        <v>44</v>
      </c>
      <c r="M945" s="67" t="s">
        <v>264</v>
      </c>
      <c r="N945" s="67" t="s">
        <v>253</v>
      </c>
      <c r="O945" s="67" t="s">
        <v>2117</v>
      </c>
      <c r="P945" s="67" t="s">
        <v>19</v>
      </c>
      <c r="Q945" s="192">
        <v>28.9</v>
      </c>
    </row>
    <row r="946" spans="1:17" ht="11.1" hidden="1" customHeight="1" x14ac:dyDescent="0.2">
      <c r="A946" s="3"/>
      <c r="B946" s="3" t="str">
        <f ca="1">IF(A946="В заказ",MAX($B$9:OFFSET(B946,-1,0))+1,"")</f>
        <v/>
      </c>
      <c r="C946" s="6" t="str">
        <f t="shared" si="32"/>
        <v>Кромка 0,8 H3058 ST22  (75 м бухта).</v>
      </c>
      <c r="D946" s="67" t="s">
        <v>241</v>
      </c>
      <c r="E946" s="67" t="s">
        <v>34</v>
      </c>
      <c r="F946" s="67" t="s">
        <v>666</v>
      </c>
      <c r="G946" s="68">
        <v>15527</v>
      </c>
      <c r="H946" s="67" t="s">
        <v>330</v>
      </c>
      <c r="I946" s="200"/>
      <c r="J946" s="67" t="s">
        <v>96</v>
      </c>
      <c r="K946" s="67" t="s">
        <v>97</v>
      </c>
      <c r="L946" s="67" t="s">
        <v>44</v>
      </c>
      <c r="M946" s="67" t="s">
        <v>252</v>
      </c>
      <c r="N946" s="67" t="s">
        <v>10</v>
      </c>
      <c r="O946" s="67" t="s">
        <v>2116</v>
      </c>
      <c r="P946" s="67" t="s">
        <v>19</v>
      </c>
      <c r="Q946" s="71">
        <v>35</v>
      </c>
    </row>
    <row r="947" spans="1:17" ht="11.1" hidden="1" customHeight="1" x14ac:dyDescent="0.2">
      <c r="A947" s="3"/>
      <c r="B947" s="3" t="str">
        <f ca="1">IF(A947="В заказ",MAX($B$9:OFFSET(B947,-1,0))+1,"")</f>
        <v/>
      </c>
      <c r="C947" s="6" t="str">
        <f t="shared" si="32"/>
        <v>Кромка 0,8 H3058 ST22  (75 м бухта).</v>
      </c>
      <c r="D947" s="67" t="s">
        <v>241</v>
      </c>
      <c r="E947" s="67" t="s">
        <v>34</v>
      </c>
      <c r="F947" s="67" t="s">
        <v>667</v>
      </c>
      <c r="G947" s="68">
        <v>24518</v>
      </c>
      <c r="H947" s="67" t="s">
        <v>330</v>
      </c>
      <c r="I947" s="200"/>
      <c r="J947" s="67" t="s">
        <v>96</v>
      </c>
      <c r="K947" s="67" t="s">
        <v>97</v>
      </c>
      <c r="L947" s="67" t="s">
        <v>44</v>
      </c>
      <c r="M947" s="67" t="s">
        <v>244</v>
      </c>
      <c r="N947" s="67" t="s">
        <v>10</v>
      </c>
      <c r="O947" s="67" t="s">
        <v>2116</v>
      </c>
      <c r="P947" s="67" t="s">
        <v>19</v>
      </c>
      <c r="Q947" s="192">
        <v>42.3</v>
      </c>
    </row>
    <row r="948" spans="1:17" ht="11.1" hidden="1" customHeight="1" x14ac:dyDescent="0.2">
      <c r="A948" s="3"/>
      <c r="B948" s="3" t="str">
        <f ca="1">IF(A948="В заказ",MAX($B$9:OFFSET(B948,-1,0))+1,"")</f>
        <v/>
      </c>
      <c r="C948" s="6" t="str">
        <f t="shared" si="32"/>
        <v>Кромка 2,0 H3058 ST22  (75 м бухта).</v>
      </c>
      <c r="D948" s="67" t="s">
        <v>241</v>
      </c>
      <c r="E948" s="67" t="s">
        <v>34</v>
      </c>
      <c r="F948" s="67" t="s">
        <v>668</v>
      </c>
      <c r="G948" s="68">
        <v>5434</v>
      </c>
      <c r="H948" s="67" t="s">
        <v>330</v>
      </c>
      <c r="I948" s="200"/>
      <c r="J948" s="67" t="s">
        <v>96</v>
      </c>
      <c r="K948" s="67" t="s">
        <v>97</v>
      </c>
      <c r="L948" s="67" t="s">
        <v>44</v>
      </c>
      <c r="M948" s="67" t="s">
        <v>252</v>
      </c>
      <c r="N948" s="67" t="s">
        <v>259</v>
      </c>
      <c r="O948" s="67" t="s">
        <v>2116</v>
      </c>
      <c r="P948" s="67" t="s">
        <v>19</v>
      </c>
      <c r="Q948" s="192">
        <v>62.6</v>
      </c>
    </row>
    <row r="949" spans="1:17" ht="11.1" hidden="1" customHeight="1" x14ac:dyDescent="0.2">
      <c r="A949" s="3"/>
      <c r="B949" s="3" t="str">
        <f ca="1">IF(A949="В заказ",MAX($B$9:OFFSET(B949,-1,0))+1,"")</f>
        <v/>
      </c>
      <c r="C949" s="6" t="str">
        <f t="shared" si="32"/>
        <v>Кромка 2,0 H3058 ST22  (75 м бухта).</v>
      </c>
      <c r="D949" s="67" t="s">
        <v>241</v>
      </c>
      <c r="E949" s="67" t="s">
        <v>34</v>
      </c>
      <c r="F949" s="67" t="s">
        <v>669</v>
      </c>
      <c r="G949" s="68">
        <v>24519</v>
      </c>
      <c r="H949" s="67" t="s">
        <v>330</v>
      </c>
      <c r="I949" s="200"/>
      <c r="J949" s="67" t="s">
        <v>96</v>
      </c>
      <c r="K949" s="67" t="s">
        <v>97</v>
      </c>
      <c r="L949" s="67" t="s">
        <v>44</v>
      </c>
      <c r="M949" s="67" t="s">
        <v>244</v>
      </c>
      <c r="N949" s="67" t="s">
        <v>259</v>
      </c>
      <c r="O949" s="67" t="s">
        <v>2116</v>
      </c>
      <c r="P949" s="67" t="s">
        <v>19</v>
      </c>
      <c r="Q949" s="192">
        <v>65.5</v>
      </c>
    </row>
    <row r="950" spans="1:17" ht="11.1" hidden="1" customHeight="1" x14ac:dyDescent="0.2">
      <c r="A950" s="3"/>
      <c r="B950" s="3" t="str">
        <f ca="1">IF(A950="В заказ",MAX($B$9:OFFSET(B950,-1,0))+1,"")</f>
        <v/>
      </c>
      <c r="C950" s="6" t="str">
        <f t="shared" ref="C950:C1013" si="33">D950&amp;" "&amp;N950&amp;" "&amp;IF(OR(D950="ДСП",D950="МДФ",D950="Фанера",D950="ХДФ"),M950,J950)&amp;" "&amp;IF(OR(D950="ДСП",D950="МДФ",D950="Фанера",D950="ХДФ"),O950,L950)&amp;" "&amp;IF(OR(D950="ДСП",D950="МДФ",D950="Фанера",D950="ХДФ"),"",IF(D950="БСП",M950,O950))&amp;"."</f>
        <v>Кромка 2,0 H3058 ST22  (75 м бухта).</v>
      </c>
      <c r="D950" s="67" t="s">
        <v>241</v>
      </c>
      <c r="E950" s="67" t="s">
        <v>34</v>
      </c>
      <c r="F950" s="67" t="s">
        <v>670</v>
      </c>
      <c r="G950" s="68">
        <v>5465</v>
      </c>
      <c r="H950" s="67" t="s">
        <v>330</v>
      </c>
      <c r="I950" s="200"/>
      <c r="J950" s="67" t="s">
        <v>96</v>
      </c>
      <c r="K950" s="67" t="s">
        <v>97</v>
      </c>
      <c r="L950" s="67" t="s">
        <v>44</v>
      </c>
      <c r="M950" s="67" t="s">
        <v>264</v>
      </c>
      <c r="N950" s="67" t="s">
        <v>259</v>
      </c>
      <c r="O950" s="67" t="s">
        <v>2116</v>
      </c>
      <c r="P950" s="67" t="s">
        <v>19</v>
      </c>
      <c r="Q950" s="192">
        <v>94.1</v>
      </c>
    </row>
    <row r="951" spans="1:17" ht="11.1" hidden="1" customHeight="1" x14ac:dyDescent="0.2">
      <c r="A951" s="3"/>
      <c r="B951" s="3" t="str">
        <f ca="1">IF(A951="В заказ",MAX($B$9:OFFSET(B951,-1,0))+1,"")</f>
        <v/>
      </c>
      <c r="C951" s="6" t="str">
        <f t="shared" si="33"/>
        <v>Кромка 2,0 H3058 ST22  (75 м бухта).</v>
      </c>
      <c r="D951" s="67" t="s">
        <v>241</v>
      </c>
      <c r="E951" s="67" t="s">
        <v>34</v>
      </c>
      <c r="F951" s="67" t="s">
        <v>671</v>
      </c>
      <c r="G951" s="68">
        <v>8897</v>
      </c>
      <c r="H951" s="67" t="s">
        <v>330</v>
      </c>
      <c r="I951" s="200"/>
      <c r="J951" s="67" t="s">
        <v>96</v>
      </c>
      <c r="K951" s="67" t="s">
        <v>97</v>
      </c>
      <c r="L951" s="67" t="s">
        <v>44</v>
      </c>
      <c r="M951" s="67" t="s">
        <v>270</v>
      </c>
      <c r="N951" s="67" t="s">
        <v>259</v>
      </c>
      <c r="O951" s="67" t="s">
        <v>2116</v>
      </c>
      <c r="P951" s="67" t="s">
        <v>19</v>
      </c>
      <c r="Q951" s="192">
        <v>127.6</v>
      </c>
    </row>
    <row r="952" spans="1:17" ht="11.1" hidden="1" customHeight="1" x14ac:dyDescent="0.2">
      <c r="A952" s="3"/>
      <c r="B952" s="3" t="str">
        <f ca="1">IF(A952="В заказ",MAX($B$9:OFFSET(B952,-1,0))+1,"")</f>
        <v/>
      </c>
      <c r="C952" s="6" t="str">
        <f t="shared" si="33"/>
        <v>Кромка 0,4 H3090 ST22  (200 м бухта).</v>
      </c>
      <c r="D952" s="67" t="s">
        <v>241</v>
      </c>
      <c r="E952" s="67" t="s">
        <v>34</v>
      </c>
      <c r="F952" s="67" t="s">
        <v>672</v>
      </c>
      <c r="G952" s="68">
        <v>6676</v>
      </c>
      <c r="H952" s="67" t="s">
        <v>330</v>
      </c>
      <c r="I952" s="200"/>
      <c r="J952" s="67" t="s">
        <v>98</v>
      </c>
      <c r="K952" s="67" t="s">
        <v>99</v>
      </c>
      <c r="L952" s="67" t="s">
        <v>44</v>
      </c>
      <c r="M952" s="67" t="s">
        <v>252</v>
      </c>
      <c r="N952" s="67" t="s">
        <v>253</v>
      </c>
      <c r="O952" s="67" t="s">
        <v>2117</v>
      </c>
      <c r="P952" s="67" t="s">
        <v>19</v>
      </c>
      <c r="Q952" s="192">
        <v>17.899999999999999</v>
      </c>
    </row>
    <row r="953" spans="1:17" ht="11.1" hidden="1" customHeight="1" x14ac:dyDescent="0.2">
      <c r="A953" s="3"/>
      <c r="B953" s="3" t="str">
        <f ca="1">IF(A953="В заказ",MAX($B$9:OFFSET(B953,-1,0))+1,"")</f>
        <v/>
      </c>
      <c r="C953" s="6" t="str">
        <f t="shared" si="33"/>
        <v>Кромка 0,4 H3090 ST22  (200 м бухта).</v>
      </c>
      <c r="D953" s="67" t="s">
        <v>241</v>
      </c>
      <c r="E953" s="67" t="s">
        <v>34</v>
      </c>
      <c r="F953" s="67" t="s">
        <v>673</v>
      </c>
      <c r="G953" s="68">
        <v>14414</v>
      </c>
      <c r="H953" s="67" t="s">
        <v>330</v>
      </c>
      <c r="I953" s="200"/>
      <c r="J953" s="67" t="s">
        <v>98</v>
      </c>
      <c r="K953" s="67" t="s">
        <v>99</v>
      </c>
      <c r="L953" s="67" t="s">
        <v>44</v>
      </c>
      <c r="M953" s="67" t="s">
        <v>264</v>
      </c>
      <c r="N953" s="67" t="s">
        <v>253</v>
      </c>
      <c r="O953" s="67" t="s">
        <v>2117</v>
      </c>
      <c r="P953" s="67" t="s">
        <v>19</v>
      </c>
      <c r="Q953" s="192">
        <v>28.9</v>
      </c>
    </row>
    <row r="954" spans="1:17" ht="11.1" hidden="1" customHeight="1" x14ac:dyDescent="0.2">
      <c r="A954" s="3"/>
      <c r="B954" s="3" t="str">
        <f ca="1">IF(A954="В заказ",MAX($B$9:OFFSET(B954,-1,0))+1,"")</f>
        <v/>
      </c>
      <c r="C954" s="6" t="str">
        <f t="shared" si="33"/>
        <v>Кромка 0,8 H3090 ST22  (75 м бухта).</v>
      </c>
      <c r="D954" s="67" t="s">
        <v>241</v>
      </c>
      <c r="E954" s="67" t="s">
        <v>34</v>
      </c>
      <c r="F954" s="67" t="s">
        <v>674</v>
      </c>
      <c r="G954" s="68">
        <v>14809</v>
      </c>
      <c r="H954" s="67" t="s">
        <v>330</v>
      </c>
      <c r="I954" s="200"/>
      <c r="J954" s="67" t="s">
        <v>98</v>
      </c>
      <c r="K954" s="67" t="s">
        <v>99</v>
      </c>
      <c r="L954" s="67" t="s">
        <v>44</v>
      </c>
      <c r="M954" s="67" t="s">
        <v>252</v>
      </c>
      <c r="N954" s="67" t="s">
        <v>10</v>
      </c>
      <c r="O954" s="67" t="s">
        <v>2116</v>
      </c>
      <c r="P954" s="67" t="s">
        <v>19</v>
      </c>
      <c r="Q954" s="71">
        <v>35</v>
      </c>
    </row>
    <row r="955" spans="1:17" ht="11.1" hidden="1" customHeight="1" x14ac:dyDescent="0.2">
      <c r="A955" s="3"/>
      <c r="B955" s="3" t="str">
        <f ca="1">IF(A955="В заказ",MAX($B$9:OFFSET(B955,-1,0))+1,"")</f>
        <v/>
      </c>
      <c r="C955" s="6" t="str">
        <f t="shared" si="33"/>
        <v>Кромка 0,8 H3090 ST22  (75 м бухта).</v>
      </c>
      <c r="D955" s="67" t="s">
        <v>241</v>
      </c>
      <c r="E955" s="67" t="s">
        <v>34</v>
      </c>
      <c r="F955" s="67" t="s">
        <v>675</v>
      </c>
      <c r="G955" s="68">
        <v>14810</v>
      </c>
      <c r="H955" s="67" t="s">
        <v>330</v>
      </c>
      <c r="I955" s="200"/>
      <c r="J955" s="67" t="s">
        <v>98</v>
      </c>
      <c r="K955" s="67" t="s">
        <v>99</v>
      </c>
      <c r="L955" s="67" t="s">
        <v>44</v>
      </c>
      <c r="M955" s="67" t="s">
        <v>264</v>
      </c>
      <c r="N955" s="67" t="s">
        <v>10</v>
      </c>
      <c r="O955" s="67" t="s">
        <v>2116</v>
      </c>
      <c r="P955" s="67" t="s">
        <v>19</v>
      </c>
      <c r="Q955" s="192">
        <v>66.900000000000006</v>
      </c>
    </row>
    <row r="956" spans="1:17" ht="11.1" hidden="1" customHeight="1" x14ac:dyDescent="0.2">
      <c r="A956" s="3"/>
      <c r="B956" s="3" t="str">
        <f ca="1">IF(A956="В заказ",MAX($B$9:OFFSET(B956,-1,0))+1,"")</f>
        <v/>
      </c>
      <c r="C956" s="6" t="str">
        <f t="shared" si="33"/>
        <v>Кромка 2,0 H3090 ST22  (75 м бухта).</v>
      </c>
      <c r="D956" s="67" t="s">
        <v>241</v>
      </c>
      <c r="E956" s="67" t="s">
        <v>34</v>
      </c>
      <c r="F956" s="67" t="s">
        <v>676</v>
      </c>
      <c r="G956" s="68">
        <v>5703</v>
      </c>
      <c r="H956" s="67" t="s">
        <v>330</v>
      </c>
      <c r="I956" s="200"/>
      <c r="J956" s="67" t="s">
        <v>98</v>
      </c>
      <c r="K956" s="67" t="s">
        <v>99</v>
      </c>
      <c r="L956" s="67" t="s">
        <v>44</v>
      </c>
      <c r="M956" s="67" t="s">
        <v>252</v>
      </c>
      <c r="N956" s="67" t="s">
        <v>259</v>
      </c>
      <c r="O956" s="67" t="s">
        <v>2116</v>
      </c>
      <c r="P956" s="67" t="s">
        <v>19</v>
      </c>
      <c r="Q956" s="192">
        <v>62.6</v>
      </c>
    </row>
    <row r="957" spans="1:17" ht="11.1" hidden="1" customHeight="1" x14ac:dyDescent="0.2">
      <c r="A957" s="3"/>
      <c r="B957" s="3" t="str">
        <f ca="1">IF(A957="В заказ",MAX($B$9:OFFSET(B957,-1,0))+1,"")</f>
        <v/>
      </c>
      <c r="C957" s="6" t="str">
        <f t="shared" si="33"/>
        <v>Кромка 2,0 H3090 ST22  (75 м бухта).</v>
      </c>
      <c r="D957" s="67" t="s">
        <v>241</v>
      </c>
      <c r="E957" s="67" t="s">
        <v>34</v>
      </c>
      <c r="F957" s="67" t="s">
        <v>677</v>
      </c>
      <c r="G957" s="68">
        <v>9439</v>
      </c>
      <c r="H957" s="67" t="s">
        <v>330</v>
      </c>
      <c r="I957" s="200"/>
      <c r="J957" s="67" t="s">
        <v>98</v>
      </c>
      <c r="K957" s="67" t="s">
        <v>99</v>
      </c>
      <c r="L957" s="67" t="s">
        <v>44</v>
      </c>
      <c r="M957" s="67" t="s">
        <v>264</v>
      </c>
      <c r="N957" s="67" t="s">
        <v>259</v>
      </c>
      <c r="O957" s="67" t="s">
        <v>2116</v>
      </c>
      <c r="P957" s="67" t="s">
        <v>19</v>
      </c>
      <c r="Q957" s="192">
        <v>94.1</v>
      </c>
    </row>
    <row r="958" spans="1:17" ht="11.1" hidden="1" customHeight="1" x14ac:dyDescent="0.2">
      <c r="A958" s="3"/>
      <c r="B958" s="3" t="str">
        <f ca="1">IF(A958="В заказ",MAX($B$9:OFFSET(B958,-1,0))+1,"")</f>
        <v/>
      </c>
      <c r="C958" s="6" t="str">
        <f t="shared" si="33"/>
        <v>Кромка 2,0 H3090 ST22  (75 м бухта).</v>
      </c>
      <c r="D958" s="67" t="s">
        <v>241</v>
      </c>
      <c r="E958" s="67" t="s">
        <v>34</v>
      </c>
      <c r="F958" s="67" t="s">
        <v>678</v>
      </c>
      <c r="G958" s="68">
        <v>8881</v>
      </c>
      <c r="H958" s="67" t="s">
        <v>330</v>
      </c>
      <c r="I958" s="200"/>
      <c r="J958" s="67" t="s">
        <v>98</v>
      </c>
      <c r="K958" s="67" t="s">
        <v>99</v>
      </c>
      <c r="L958" s="67" t="s">
        <v>44</v>
      </c>
      <c r="M958" s="67" t="s">
        <v>270</v>
      </c>
      <c r="N958" s="67" t="s">
        <v>259</v>
      </c>
      <c r="O958" s="67" t="s">
        <v>2116</v>
      </c>
      <c r="P958" s="67" t="s">
        <v>19</v>
      </c>
      <c r="Q958" s="192">
        <v>127.6</v>
      </c>
    </row>
    <row r="959" spans="1:17" ht="11.1" hidden="1" customHeight="1" x14ac:dyDescent="0.2">
      <c r="A959" s="3"/>
      <c r="B959" s="3" t="str">
        <f ca="1">IF(A959="В заказ",MAX($B$9:OFFSET(B959,-1,0))+1,"")</f>
        <v/>
      </c>
      <c r="C959" s="6" t="str">
        <f t="shared" si="33"/>
        <v>Кромка 0,4 H3131 ST12  (200 м бухта).</v>
      </c>
      <c r="D959" s="67" t="s">
        <v>241</v>
      </c>
      <c r="E959" s="67" t="s">
        <v>34</v>
      </c>
      <c r="F959" s="67" t="s">
        <v>679</v>
      </c>
      <c r="G959" s="68">
        <v>15897</v>
      </c>
      <c r="H959" s="67" t="s">
        <v>330</v>
      </c>
      <c r="I959" s="200"/>
      <c r="J959" s="67" t="s">
        <v>100</v>
      </c>
      <c r="K959" s="67" t="s">
        <v>101</v>
      </c>
      <c r="L959" s="67" t="s">
        <v>41</v>
      </c>
      <c r="M959" s="67" t="s">
        <v>252</v>
      </c>
      <c r="N959" s="67" t="s">
        <v>253</v>
      </c>
      <c r="O959" s="67" t="s">
        <v>2117</v>
      </c>
      <c r="P959" s="67" t="s">
        <v>19</v>
      </c>
      <c r="Q959" s="192">
        <v>17.899999999999999</v>
      </c>
    </row>
    <row r="960" spans="1:17" ht="11.1" hidden="1" customHeight="1" x14ac:dyDescent="0.2">
      <c r="A960" s="3"/>
      <c r="B960" s="3" t="str">
        <f ca="1">IF(A960="В заказ",MAX($B$9:OFFSET(B960,-1,0))+1,"")</f>
        <v/>
      </c>
      <c r="C960" s="6" t="str">
        <f t="shared" si="33"/>
        <v>Кромка 0,4 H3131 ST12  (200 м бухта).</v>
      </c>
      <c r="D960" s="67" t="s">
        <v>241</v>
      </c>
      <c r="E960" s="67" t="s">
        <v>34</v>
      </c>
      <c r="F960" s="67" t="s">
        <v>680</v>
      </c>
      <c r="G960" s="68">
        <v>15280</v>
      </c>
      <c r="H960" s="67" t="s">
        <v>330</v>
      </c>
      <c r="I960" s="200"/>
      <c r="J960" s="67" t="s">
        <v>100</v>
      </c>
      <c r="K960" s="67" t="s">
        <v>101</v>
      </c>
      <c r="L960" s="67" t="s">
        <v>41</v>
      </c>
      <c r="M960" s="67" t="s">
        <v>264</v>
      </c>
      <c r="N960" s="67" t="s">
        <v>253</v>
      </c>
      <c r="O960" s="67" t="s">
        <v>2117</v>
      </c>
      <c r="P960" s="67" t="s">
        <v>19</v>
      </c>
      <c r="Q960" s="192">
        <v>28.9</v>
      </c>
    </row>
    <row r="961" spans="1:17" ht="11.1" hidden="1" customHeight="1" x14ac:dyDescent="0.2">
      <c r="A961" s="3"/>
      <c r="B961" s="3" t="str">
        <f ca="1">IF(A961="В заказ",MAX($B$9:OFFSET(B961,-1,0))+1,"")</f>
        <v/>
      </c>
      <c r="C961" s="6" t="str">
        <f t="shared" si="33"/>
        <v>Кромка 0,8 H3131 ST12  (75 м бухта).</v>
      </c>
      <c r="D961" s="67" t="s">
        <v>241</v>
      </c>
      <c r="E961" s="67" t="s">
        <v>34</v>
      </c>
      <c r="F961" s="67" t="s">
        <v>681</v>
      </c>
      <c r="G961" s="68">
        <v>16879</v>
      </c>
      <c r="H961" s="67" t="s">
        <v>330</v>
      </c>
      <c r="I961" s="200"/>
      <c r="J961" s="67" t="s">
        <v>100</v>
      </c>
      <c r="K961" s="67" t="s">
        <v>101</v>
      </c>
      <c r="L961" s="67" t="s">
        <v>41</v>
      </c>
      <c r="M961" s="67" t="s">
        <v>252</v>
      </c>
      <c r="N961" s="67" t="s">
        <v>10</v>
      </c>
      <c r="O961" s="67" t="s">
        <v>2116</v>
      </c>
      <c r="P961" s="67" t="s">
        <v>19</v>
      </c>
      <c r="Q961" s="71">
        <v>35</v>
      </c>
    </row>
    <row r="962" spans="1:17" ht="11.1" hidden="1" customHeight="1" x14ac:dyDescent="0.2">
      <c r="A962" s="3"/>
      <c r="B962" s="3" t="str">
        <f ca="1">IF(A962="В заказ",MAX($B$9:OFFSET(B962,-1,0))+1,"")</f>
        <v/>
      </c>
      <c r="C962" s="6" t="str">
        <f t="shared" si="33"/>
        <v>Кромка 2,0 H3131 ST12  (75 м бухта).</v>
      </c>
      <c r="D962" s="67" t="s">
        <v>241</v>
      </c>
      <c r="E962" s="67" t="s">
        <v>34</v>
      </c>
      <c r="F962" s="67" t="s">
        <v>682</v>
      </c>
      <c r="G962" s="68">
        <v>15115</v>
      </c>
      <c r="H962" s="67" t="s">
        <v>330</v>
      </c>
      <c r="I962" s="200"/>
      <c r="J962" s="67" t="s">
        <v>100</v>
      </c>
      <c r="K962" s="67" t="s">
        <v>101</v>
      </c>
      <c r="L962" s="67" t="s">
        <v>41</v>
      </c>
      <c r="M962" s="67" t="s">
        <v>252</v>
      </c>
      <c r="N962" s="67" t="s">
        <v>259</v>
      </c>
      <c r="O962" s="67" t="s">
        <v>2116</v>
      </c>
      <c r="P962" s="67" t="s">
        <v>19</v>
      </c>
      <c r="Q962" s="192">
        <v>62.6</v>
      </c>
    </row>
    <row r="963" spans="1:17" ht="11.1" hidden="1" customHeight="1" x14ac:dyDescent="0.2">
      <c r="A963" s="3"/>
      <c r="B963" s="3" t="str">
        <f ca="1">IF(A963="В заказ",MAX($B$9:OFFSET(B963,-1,0))+1,"")</f>
        <v/>
      </c>
      <c r="C963" s="6" t="str">
        <f t="shared" si="33"/>
        <v>Кромка 2,0 H3131 ST12  (75 м бухта).</v>
      </c>
      <c r="D963" s="67" t="s">
        <v>241</v>
      </c>
      <c r="E963" s="67" t="s">
        <v>34</v>
      </c>
      <c r="F963" s="67" t="s">
        <v>683</v>
      </c>
      <c r="G963" s="68">
        <v>15256</v>
      </c>
      <c r="H963" s="67" t="s">
        <v>330</v>
      </c>
      <c r="I963" s="200"/>
      <c r="J963" s="67" t="s">
        <v>100</v>
      </c>
      <c r="K963" s="67" t="s">
        <v>101</v>
      </c>
      <c r="L963" s="67" t="s">
        <v>41</v>
      </c>
      <c r="M963" s="67" t="s">
        <v>264</v>
      </c>
      <c r="N963" s="67" t="s">
        <v>259</v>
      </c>
      <c r="O963" s="67" t="s">
        <v>2116</v>
      </c>
      <c r="P963" s="67" t="s">
        <v>19</v>
      </c>
      <c r="Q963" s="192">
        <v>94.1</v>
      </c>
    </row>
    <row r="964" spans="1:17" ht="11.1" hidden="1" customHeight="1" x14ac:dyDescent="0.2">
      <c r="A964" s="3"/>
      <c r="B964" s="3" t="str">
        <f ca="1">IF(A964="В заказ",MAX($B$9:OFFSET(B964,-1,0))+1,"")</f>
        <v/>
      </c>
      <c r="C964" s="6" t="str">
        <f t="shared" si="33"/>
        <v>Кромка 2,0 H3131 ST12  (75 м бухта).</v>
      </c>
      <c r="D964" s="67" t="s">
        <v>241</v>
      </c>
      <c r="E964" s="67" t="s">
        <v>34</v>
      </c>
      <c r="F964" s="67" t="s">
        <v>684</v>
      </c>
      <c r="G964" s="68">
        <v>16881</v>
      </c>
      <c r="H964" s="67" t="s">
        <v>330</v>
      </c>
      <c r="I964" s="200"/>
      <c r="J964" s="67" t="s">
        <v>100</v>
      </c>
      <c r="K964" s="67" t="s">
        <v>101</v>
      </c>
      <c r="L964" s="67" t="s">
        <v>41</v>
      </c>
      <c r="M964" s="67" t="s">
        <v>270</v>
      </c>
      <c r="N964" s="67" t="s">
        <v>259</v>
      </c>
      <c r="O964" s="67" t="s">
        <v>2116</v>
      </c>
      <c r="P964" s="67" t="s">
        <v>19</v>
      </c>
      <c r="Q964" s="192">
        <v>127.6</v>
      </c>
    </row>
    <row r="965" spans="1:17" ht="11.1" hidden="1" customHeight="1" x14ac:dyDescent="0.2">
      <c r="A965" s="3"/>
      <c r="B965" s="3" t="str">
        <f ca="1">IF(A965="В заказ",MAX($B$9:OFFSET(B965,-1,0))+1,"")</f>
        <v/>
      </c>
      <c r="C965" s="6" t="str">
        <f t="shared" si="33"/>
        <v>Кромка 0,4 H3133 ST12  (200 м бухта).</v>
      </c>
      <c r="D965" s="67" t="s">
        <v>241</v>
      </c>
      <c r="E965" s="67" t="s">
        <v>34</v>
      </c>
      <c r="F965" s="67" t="s">
        <v>685</v>
      </c>
      <c r="G965" s="68">
        <v>13657</v>
      </c>
      <c r="H965" s="67" t="s">
        <v>330</v>
      </c>
      <c r="I965" s="200"/>
      <c r="J965" s="67" t="s">
        <v>102</v>
      </c>
      <c r="K965" s="67" t="s">
        <v>103</v>
      </c>
      <c r="L965" s="67" t="s">
        <v>41</v>
      </c>
      <c r="M965" s="67" t="s">
        <v>252</v>
      </c>
      <c r="N965" s="67" t="s">
        <v>253</v>
      </c>
      <c r="O965" s="67" t="s">
        <v>2117</v>
      </c>
      <c r="P965" s="67" t="s">
        <v>19</v>
      </c>
      <c r="Q965" s="192">
        <v>17.899999999999999</v>
      </c>
    </row>
    <row r="966" spans="1:17" ht="11.1" hidden="1" customHeight="1" x14ac:dyDescent="0.2">
      <c r="A966" s="3"/>
      <c r="B966" s="3" t="str">
        <f ca="1">IF(A966="В заказ",MAX($B$9:OFFSET(B966,-1,0))+1,"")</f>
        <v/>
      </c>
      <c r="C966" s="6" t="str">
        <f t="shared" si="33"/>
        <v>Кромка 0,4 H3133 ST12  (200 м бухта).</v>
      </c>
      <c r="D966" s="67" t="s">
        <v>241</v>
      </c>
      <c r="E966" s="67" t="s">
        <v>34</v>
      </c>
      <c r="F966" s="67" t="s">
        <v>686</v>
      </c>
      <c r="G966" s="68">
        <v>24835</v>
      </c>
      <c r="H966" s="67" t="s">
        <v>330</v>
      </c>
      <c r="I966" s="200"/>
      <c r="J966" s="67" t="s">
        <v>102</v>
      </c>
      <c r="K966" s="67" t="s">
        <v>103</v>
      </c>
      <c r="L966" s="67" t="s">
        <v>41</v>
      </c>
      <c r="M966" s="67" t="s">
        <v>244</v>
      </c>
      <c r="N966" s="67" t="s">
        <v>253</v>
      </c>
      <c r="O966" s="67" t="s">
        <v>2117</v>
      </c>
      <c r="P966" s="67" t="s">
        <v>19</v>
      </c>
      <c r="Q966" s="71">
        <v>22</v>
      </c>
    </row>
    <row r="967" spans="1:17" ht="11.1" hidden="1" customHeight="1" x14ac:dyDescent="0.2">
      <c r="A967" s="3"/>
      <c r="B967" s="3" t="str">
        <f ca="1">IF(A967="В заказ",MAX($B$9:OFFSET(B967,-1,0))+1,"")</f>
        <v/>
      </c>
      <c r="C967" s="6" t="str">
        <f t="shared" si="33"/>
        <v>Кромка 0,4 H3133 ST12  (200 м бухта).</v>
      </c>
      <c r="D967" s="67" t="s">
        <v>241</v>
      </c>
      <c r="E967" s="67" t="s">
        <v>34</v>
      </c>
      <c r="F967" s="67" t="s">
        <v>687</v>
      </c>
      <c r="G967" s="68">
        <v>16069</v>
      </c>
      <c r="H967" s="67" t="s">
        <v>330</v>
      </c>
      <c r="I967" s="200"/>
      <c r="J967" s="67" t="s">
        <v>102</v>
      </c>
      <c r="K967" s="67" t="s">
        <v>103</v>
      </c>
      <c r="L967" s="67" t="s">
        <v>41</v>
      </c>
      <c r="M967" s="67" t="s">
        <v>264</v>
      </c>
      <c r="N967" s="67" t="s">
        <v>253</v>
      </c>
      <c r="O967" s="67" t="s">
        <v>2117</v>
      </c>
      <c r="P967" s="67" t="s">
        <v>19</v>
      </c>
      <c r="Q967" s="192">
        <v>28.9</v>
      </c>
    </row>
    <row r="968" spans="1:17" ht="11.1" hidden="1" customHeight="1" x14ac:dyDescent="0.2">
      <c r="A968" s="3"/>
      <c r="B968" s="3" t="str">
        <f ca="1">IF(A968="В заказ",MAX($B$9:OFFSET(B968,-1,0))+1,"")</f>
        <v/>
      </c>
      <c r="C968" s="6" t="str">
        <f t="shared" si="33"/>
        <v>Кромка 0,8 H3133 ST12  (75 м бухта).</v>
      </c>
      <c r="D968" s="67" t="s">
        <v>241</v>
      </c>
      <c r="E968" s="67" t="s">
        <v>34</v>
      </c>
      <c r="F968" s="67" t="s">
        <v>688</v>
      </c>
      <c r="G968" s="68">
        <v>14001</v>
      </c>
      <c r="H968" s="67" t="s">
        <v>330</v>
      </c>
      <c r="I968" s="200"/>
      <c r="J968" s="67" t="s">
        <v>102</v>
      </c>
      <c r="K968" s="67" t="s">
        <v>103</v>
      </c>
      <c r="L968" s="67" t="s">
        <v>41</v>
      </c>
      <c r="M968" s="67" t="s">
        <v>252</v>
      </c>
      <c r="N968" s="67" t="s">
        <v>10</v>
      </c>
      <c r="O968" s="67" t="s">
        <v>2116</v>
      </c>
      <c r="P968" s="67" t="s">
        <v>19</v>
      </c>
      <c r="Q968" s="71">
        <v>35</v>
      </c>
    </row>
    <row r="969" spans="1:17" ht="11.1" hidden="1" customHeight="1" x14ac:dyDescent="0.2">
      <c r="A969" s="3"/>
      <c r="B969" s="3" t="str">
        <f ca="1">IF(A969="В заказ",MAX($B$9:OFFSET(B969,-1,0))+1,"")</f>
        <v/>
      </c>
      <c r="C969" s="6" t="str">
        <f t="shared" si="33"/>
        <v>Кромка 0,8 H3133 ST12  (75 м бухта).</v>
      </c>
      <c r="D969" s="67" t="s">
        <v>241</v>
      </c>
      <c r="E969" s="67" t="s">
        <v>34</v>
      </c>
      <c r="F969" s="67" t="s">
        <v>689</v>
      </c>
      <c r="G969" s="68">
        <v>22631</v>
      </c>
      <c r="H969" s="67" t="s">
        <v>330</v>
      </c>
      <c r="I969" s="200"/>
      <c r="J969" s="67" t="s">
        <v>102</v>
      </c>
      <c r="K969" s="67" t="s">
        <v>103</v>
      </c>
      <c r="L969" s="67" t="s">
        <v>41</v>
      </c>
      <c r="M969" s="67" t="s">
        <v>244</v>
      </c>
      <c r="N969" s="67" t="s">
        <v>10</v>
      </c>
      <c r="O969" s="67" t="s">
        <v>2116</v>
      </c>
      <c r="P969" s="67" t="s">
        <v>19</v>
      </c>
      <c r="Q969" s="192">
        <v>42.3</v>
      </c>
    </row>
    <row r="970" spans="1:17" ht="11.1" hidden="1" customHeight="1" x14ac:dyDescent="0.2">
      <c r="A970" s="3"/>
      <c r="B970" s="3" t="str">
        <f ca="1">IF(A970="В заказ",MAX($B$9:OFFSET(B970,-1,0))+1,"")</f>
        <v/>
      </c>
      <c r="C970" s="6" t="str">
        <f t="shared" si="33"/>
        <v>Кромка 2,0 H3133 ST12  (75 м бухта).</v>
      </c>
      <c r="D970" s="67" t="s">
        <v>241</v>
      </c>
      <c r="E970" s="67" t="s">
        <v>34</v>
      </c>
      <c r="F970" s="67" t="s">
        <v>690</v>
      </c>
      <c r="G970" s="68">
        <v>13658</v>
      </c>
      <c r="H970" s="67" t="s">
        <v>330</v>
      </c>
      <c r="I970" s="200"/>
      <c r="J970" s="67" t="s">
        <v>102</v>
      </c>
      <c r="K970" s="67" t="s">
        <v>103</v>
      </c>
      <c r="L970" s="67" t="s">
        <v>41</v>
      </c>
      <c r="M970" s="67" t="s">
        <v>252</v>
      </c>
      <c r="N970" s="67" t="s">
        <v>259</v>
      </c>
      <c r="O970" s="67" t="s">
        <v>2116</v>
      </c>
      <c r="P970" s="67" t="s">
        <v>19</v>
      </c>
      <c r="Q970" s="192">
        <v>62.6</v>
      </c>
    </row>
    <row r="971" spans="1:17" ht="11.1" hidden="1" customHeight="1" x14ac:dyDescent="0.2">
      <c r="A971" s="3"/>
      <c r="B971" s="3" t="str">
        <f ca="1">IF(A971="В заказ",MAX($B$9:OFFSET(B971,-1,0))+1,"")</f>
        <v/>
      </c>
      <c r="C971" s="6" t="str">
        <f t="shared" si="33"/>
        <v>Кромка 2,0 H3133 ST12  (75 м бухта).</v>
      </c>
      <c r="D971" s="67" t="s">
        <v>241</v>
      </c>
      <c r="E971" s="67" t="s">
        <v>34</v>
      </c>
      <c r="F971" s="67" t="s">
        <v>691</v>
      </c>
      <c r="G971" s="68">
        <v>14000</v>
      </c>
      <c r="H971" s="67" t="s">
        <v>330</v>
      </c>
      <c r="I971" s="200"/>
      <c r="J971" s="67" t="s">
        <v>102</v>
      </c>
      <c r="K971" s="67" t="s">
        <v>103</v>
      </c>
      <c r="L971" s="67" t="s">
        <v>41</v>
      </c>
      <c r="M971" s="67" t="s">
        <v>244</v>
      </c>
      <c r="N971" s="67" t="s">
        <v>259</v>
      </c>
      <c r="O971" s="67" t="s">
        <v>2116</v>
      </c>
      <c r="P971" s="67" t="s">
        <v>19</v>
      </c>
      <c r="Q971" s="192">
        <v>65.5</v>
      </c>
    </row>
    <row r="972" spans="1:17" ht="11.1" hidden="1" customHeight="1" x14ac:dyDescent="0.2">
      <c r="A972" s="3"/>
      <c r="B972" s="3" t="str">
        <f ca="1">IF(A972="В заказ",MAX($B$9:OFFSET(B972,-1,0))+1,"")</f>
        <v/>
      </c>
      <c r="C972" s="6" t="str">
        <f t="shared" si="33"/>
        <v>Кромка 2,0 H3133 ST12  (75 м бухта).</v>
      </c>
      <c r="D972" s="67" t="s">
        <v>241</v>
      </c>
      <c r="E972" s="67" t="s">
        <v>34</v>
      </c>
      <c r="F972" s="67" t="s">
        <v>692</v>
      </c>
      <c r="G972" s="68">
        <v>14663</v>
      </c>
      <c r="H972" s="67" t="s">
        <v>330</v>
      </c>
      <c r="I972" s="200"/>
      <c r="J972" s="67" t="s">
        <v>102</v>
      </c>
      <c r="K972" s="67" t="s">
        <v>103</v>
      </c>
      <c r="L972" s="67" t="s">
        <v>41</v>
      </c>
      <c r="M972" s="67" t="s">
        <v>264</v>
      </c>
      <c r="N972" s="67" t="s">
        <v>259</v>
      </c>
      <c r="O972" s="67" t="s">
        <v>2116</v>
      </c>
      <c r="P972" s="67" t="s">
        <v>19</v>
      </c>
      <c r="Q972" s="192">
        <v>94.1</v>
      </c>
    </row>
    <row r="973" spans="1:17" ht="11.1" hidden="1" customHeight="1" x14ac:dyDescent="0.2">
      <c r="A973" s="3"/>
      <c r="B973" s="3" t="str">
        <f ca="1">IF(A973="В заказ",MAX($B$9:OFFSET(B973,-1,0))+1,"")</f>
        <v/>
      </c>
      <c r="C973" s="6" t="str">
        <f t="shared" si="33"/>
        <v>Кромка 2,0 H3133 ST12  (75 м бухта).</v>
      </c>
      <c r="D973" s="67" t="s">
        <v>241</v>
      </c>
      <c r="E973" s="67" t="s">
        <v>34</v>
      </c>
      <c r="F973" s="67" t="s">
        <v>693</v>
      </c>
      <c r="G973" s="68">
        <v>15512</v>
      </c>
      <c r="H973" s="67" t="s">
        <v>330</v>
      </c>
      <c r="I973" s="200"/>
      <c r="J973" s="67" t="s">
        <v>102</v>
      </c>
      <c r="K973" s="67" t="s">
        <v>103</v>
      </c>
      <c r="L973" s="67" t="s">
        <v>41</v>
      </c>
      <c r="M973" s="67" t="s">
        <v>270</v>
      </c>
      <c r="N973" s="67" t="s">
        <v>259</v>
      </c>
      <c r="O973" s="67" t="s">
        <v>2116</v>
      </c>
      <c r="P973" s="67" t="s">
        <v>19</v>
      </c>
      <c r="Q973" s="192">
        <v>127.6</v>
      </c>
    </row>
    <row r="974" spans="1:17" ht="11.1" hidden="1" customHeight="1" x14ac:dyDescent="0.2">
      <c r="A974" s="3"/>
      <c r="B974" s="3" t="str">
        <f ca="1">IF(A974="В заказ",MAX($B$9:OFFSET(B974,-1,0))+1,"")</f>
        <v/>
      </c>
      <c r="C974" s="6" t="str">
        <f t="shared" si="33"/>
        <v>Кромка 2,0 H3133 ST12  (75 м бухта).</v>
      </c>
      <c r="D974" s="67" t="s">
        <v>241</v>
      </c>
      <c r="E974" s="67" t="s">
        <v>34</v>
      </c>
      <c r="F974" s="67" t="s">
        <v>694</v>
      </c>
      <c r="G974" s="68">
        <v>21897</v>
      </c>
      <c r="H974" s="67" t="s">
        <v>330</v>
      </c>
      <c r="I974" s="200"/>
      <c r="J974" s="67" t="s">
        <v>102</v>
      </c>
      <c r="K974" s="67" t="s">
        <v>103</v>
      </c>
      <c r="L974" s="67" t="s">
        <v>41</v>
      </c>
      <c r="M974" s="67" t="s">
        <v>282</v>
      </c>
      <c r="N974" s="67" t="s">
        <v>259</v>
      </c>
      <c r="O974" s="67" t="s">
        <v>2116</v>
      </c>
      <c r="P974" s="67" t="s">
        <v>19</v>
      </c>
      <c r="Q974" s="192">
        <v>187.5</v>
      </c>
    </row>
    <row r="975" spans="1:17" ht="11.1" hidden="1" customHeight="1" x14ac:dyDescent="0.2">
      <c r="A975" s="3"/>
      <c r="B975" s="3" t="str">
        <f ca="1">IF(A975="В заказ",MAX($B$9:OFFSET(B975,-1,0))+1,"")</f>
        <v/>
      </c>
      <c r="C975" s="6" t="str">
        <f t="shared" si="33"/>
        <v>Кромка 0,4 H3146 ST19  (200 м бухта).</v>
      </c>
      <c r="D975" s="67" t="s">
        <v>241</v>
      </c>
      <c r="E975" s="67" t="s">
        <v>34</v>
      </c>
      <c r="F975" s="67" t="s">
        <v>695</v>
      </c>
      <c r="G975" s="68">
        <v>21711</v>
      </c>
      <c r="H975" s="67" t="s">
        <v>330</v>
      </c>
      <c r="I975" s="200"/>
      <c r="J975" s="67" t="s">
        <v>696</v>
      </c>
      <c r="K975" s="67" t="s">
        <v>697</v>
      </c>
      <c r="L975" s="67" t="s">
        <v>251</v>
      </c>
      <c r="M975" s="67" t="s">
        <v>252</v>
      </c>
      <c r="N975" s="67" t="s">
        <v>253</v>
      </c>
      <c r="O975" s="67" t="s">
        <v>2117</v>
      </c>
      <c r="P975" s="67" t="s">
        <v>19</v>
      </c>
      <c r="Q975" s="192">
        <v>17.899999999999999</v>
      </c>
    </row>
    <row r="976" spans="1:17" ht="11.1" hidden="1" customHeight="1" x14ac:dyDescent="0.2">
      <c r="A976" s="3"/>
      <c r="B976" s="3" t="str">
        <f ca="1">IF(A976="В заказ",MAX($B$9:OFFSET(B976,-1,0))+1,"")</f>
        <v/>
      </c>
      <c r="C976" s="6" t="str">
        <f t="shared" si="33"/>
        <v>Кромка 0,4 H3146 ST19  (200 м бухта).</v>
      </c>
      <c r="D976" s="67" t="s">
        <v>241</v>
      </c>
      <c r="E976" s="67" t="s">
        <v>34</v>
      </c>
      <c r="F976" s="67" t="s">
        <v>698</v>
      </c>
      <c r="G976" s="68">
        <v>24552</v>
      </c>
      <c r="H976" s="67" t="s">
        <v>330</v>
      </c>
      <c r="I976" s="200"/>
      <c r="J976" s="67" t="s">
        <v>696</v>
      </c>
      <c r="K976" s="67" t="s">
        <v>697</v>
      </c>
      <c r="L976" s="67" t="s">
        <v>251</v>
      </c>
      <c r="M976" s="67" t="s">
        <v>244</v>
      </c>
      <c r="N976" s="67" t="s">
        <v>253</v>
      </c>
      <c r="O976" s="67" t="s">
        <v>2117</v>
      </c>
      <c r="P976" s="67" t="s">
        <v>19</v>
      </c>
      <c r="Q976" s="71">
        <v>22</v>
      </c>
    </row>
    <row r="977" spans="1:17" ht="11.1" hidden="1" customHeight="1" x14ac:dyDescent="0.2">
      <c r="A977" s="3"/>
      <c r="B977" s="3" t="str">
        <f ca="1">IF(A977="В заказ",MAX($B$9:OFFSET(B977,-1,0))+1,"")</f>
        <v/>
      </c>
      <c r="C977" s="6" t="str">
        <f t="shared" si="33"/>
        <v>Кромка 0,4 H3146 ST19  (200 м бухта).</v>
      </c>
      <c r="D977" s="67" t="s">
        <v>241</v>
      </c>
      <c r="E977" s="67" t="s">
        <v>34</v>
      </c>
      <c r="F977" s="67" t="s">
        <v>699</v>
      </c>
      <c r="G977" s="68">
        <v>21714</v>
      </c>
      <c r="H977" s="67" t="s">
        <v>330</v>
      </c>
      <c r="I977" s="200"/>
      <c r="J977" s="67" t="s">
        <v>696</v>
      </c>
      <c r="K977" s="67" t="s">
        <v>697</v>
      </c>
      <c r="L977" s="67" t="s">
        <v>251</v>
      </c>
      <c r="M977" s="67" t="s">
        <v>264</v>
      </c>
      <c r="N977" s="67" t="s">
        <v>253</v>
      </c>
      <c r="O977" s="67" t="s">
        <v>2117</v>
      </c>
      <c r="P977" s="67" t="s">
        <v>19</v>
      </c>
      <c r="Q977" s="192">
        <v>28.9</v>
      </c>
    </row>
    <row r="978" spans="1:17" ht="11.1" hidden="1" customHeight="1" x14ac:dyDescent="0.2">
      <c r="A978" s="3"/>
      <c r="B978" s="3" t="str">
        <f ca="1">IF(A978="В заказ",MAX($B$9:OFFSET(B978,-1,0))+1,"")</f>
        <v/>
      </c>
      <c r="C978" s="6" t="str">
        <f t="shared" si="33"/>
        <v>Кромка 0,8 H3146 ST19  (75 м бухта).</v>
      </c>
      <c r="D978" s="67" t="s">
        <v>241</v>
      </c>
      <c r="E978" s="67" t="s">
        <v>34</v>
      </c>
      <c r="F978" s="67" t="s">
        <v>700</v>
      </c>
      <c r="G978" s="68">
        <v>21712</v>
      </c>
      <c r="H978" s="67" t="s">
        <v>330</v>
      </c>
      <c r="I978" s="200"/>
      <c r="J978" s="67" t="s">
        <v>696</v>
      </c>
      <c r="K978" s="67" t="s">
        <v>697</v>
      </c>
      <c r="L978" s="67" t="s">
        <v>251</v>
      </c>
      <c r="M978" s="67" t="s">
        <v>252</v>
      </c>
      <c r="N978" s="67" t="s">
        <v>10</v>
      </c>
      <c r="O978" s="67" t="s">
        <v>2116</v>
      </c>
      <c r="P978" s="67" t="s">
        <v>19</v>
      </c>
      <c r="Q978" s="71">
        <v>35</v>
      </c>
    </row>
    <row r="979" spans="1:17" ht="11.1" hidden="1" customHeight="1" x14ac:dyDescent="0.2">
      <c r="A979" s="3"/>
      <c r="B979" s="3" t="str">
        <f ca="1">IF(A979="В заказ",MAX($B$9:OFFSET(B979,-1,0))+1,"")</f>
        <v/>
      </c>
      <c r="C979" s="6" t="str">
        <f t="shared" si="33"/>
        <v>Кромка 0,8 H3146 ST19  (75 м бухта).</v>
      </c>
      <c r="D979" s="67" t="s">
        <v>241</v>
      </c>
      <c r="E979" s="67" t="s">
        <v>34</v>
      </c>
      <c r="F979" s="67" t="s">
        <v>701</v>
      </c>
      <c r="G979" s="68">
        <v>24553</v>
      </c>
      <c r="H979" s="67" t="s">
        <v>330</v>
      </c>
      <c r="I979" s="200"/>
      <c r="J979" s="67" t="s">
        <v>696</v>
      </c>
      <c r="K979" s="67" t="s">
        <v>697</v>
      </c>
      <c r="L979" s="67" t="s">
        <v>251</v>
      </c>
      <c r="M979" s="67" t="s">
        <v>244</v>
      </c>
      <c r="N979" s="67" t="s">
        <v>10</v>
      </c>
      <c r="O979" s="67" t="s">
        <v>2116</v>
      </c>
      <c r="P979" s="67" t="s">
        <v>19</v>
      </c>
      <c r="Q979" s="192">
        <v>42.3</v>
      </c>
    </row>
    <row r="980" spans="1:17" ht="11.1" hidden="1" customHeight="1" x14ac:dyDescent="0.2">
      <c r="A980" s="3"/>
      <c r="B980" s="3" t="str">
        <f ca="1">IF(A980="В заказ",MAX($B$9:OFFSET(B980,-1,0))+1,"")</f>
        <v/>
      </c>
      <c r="C980" s="6" t="str">
        <f t="shared" si="33"/>
        <v>Кромка 2,0 H3146 ST19  (75 м бухта).</v>
      </c>
      <c r="D980" s="67" t="s">
        <v>241</v>
      </c>
      <c r="E980" s="67" t="s">
        <v>34</v>
      </c>
      <c r="F980" s="67" t="s">
        <v>702</v>
      </c>
      <c r="G980" s="68">
        <v>21713</v>
      </c>
      <c r="H980" s="67" t="s">
        <v>330</v>
      </c>
      <c r="I980" s="200"/>
      <c r="J980" s="67" t="s">
        <v>696</v>
      </c>
      <c r="K980" s="67" t="s">
        <v>697</v>
      </c>
      <c r="L980" s="67" t="s">
        <v>251</v>
      </c>
      <c r="M980" s="67" t="s">
        <v>252</v>
      </c>
      <c r="N980" s="67" t="s">
        <v>259</v>
      </c>
      <c r="O980" s="67" t="s">
        <v>2116</v>
      </c>
      <c r="P980" s="67" t="s">
        <v>19</v>
      </c>
      <c r="Q980" s="192">
        <v>62.6</v>
      </c>
    </row>
    <row r="981" spans="1:17" ht="11.1" hidden="1" customHeight="1" x14ac:dyDescent="0.2">
      <c r="A981" s="3"/>
      <c r="B981" s="3" t="str">
        <f ca="1">IF(A981="В заказ",MAX($B$9:OFFSET(B981,-1,0))+1,"")</f>
        <v/>
      </c>
      <c r="C981" s="6" t="str">
        <f t="shared" si="33"/>
        <v>Кромка 2,0 H3146 ST19  (75 м бухта).</v>
      </c>
      <c r="D981" s="67" t="s">
        <v>241</v>
      </c>
      <c r="E981" s="67" t="s">
        <v>34</v>
      </c>
      <c r="F981" s="67" t="s">
        <v>703</v>
      </c>
      <c r="G981" s="68">
        <v>24554</v>
      </c>
      <c r="H981" s="67" t="s">
        <v>330</v>
      </c>
      <c r="I981" s="200"/>
      <c r="J981" s="67" t="s">
        <v>696</v>
      </c>
      <c r="K981" s="67" t="s">
        <v>697</v>
      </c>
      <c r="L981" s="67" t="s">
        <v>251</v>
      </c>
      <c r="M981" s="67" t="s">
        <v>244</v>
      </c>
      <c r="N981" s="67" t="s">
        <v>259</v>
      </c>
      <c r="O981" s="67" t="s">
        <v>2116</v>
      </c>
      <c r="P981" s="67" t="s">
        <v>19</v>
      </c>
      <c r="Q981" s="192">
        <v>65.5</v>
      </c>
    </row>
    <row r="982" spans="1:17" ht="11.1" hidden="1" customHeight="1" x14ac:dyDescent="0.2">
      <c r="A982" s="3"/>
      <c r="B982" s="3" t="str">
        <f ca="1">IF(A982="В заказ",MAX($B$9:OFFSET(B982,-1,0))+1,"")</f>
        <v/>
      </c>
      <c r="C982" s="6" t="str">
        <f t="shared" si="33"/>
        <v>Кромка 2,0 H3146 ST19  (75 м бухта).</v>
      </c>
      <c r="D982" s="67" t="s">
        <v>241</v>
      </c>
      <c r="E982" s="67" t="s">
        <v>34</v>
      </c>
      <c r="F982" s="67" t="s">
        <v>704</v>
      </c>
      <c r="G982" s="68">
        <v>21715</v>
      </c>
      <c r="H982" s="67" t="s">
        <v>330</v>
      </c>
      <c r="I982" s="200"/>
      <c r="J982" s="67" t="s">
        <v>696</v>
      </c>
      <c r="K982" s="67" t="s">
        <v>697</v>
      </c>
      <c r="L982" s="67" t="s">
        <v>251</v>
      </c>
      <c r="M982" s="67" t="s">
        <v>264</v>
      </c>
      <c r="N982" s="67" t="s">
        <v>259</v>
      </c>
      <c r="O982" s="67" t="s">
        <v>2116</v>
      </c>
      <c r="P982" s="67" t="s">
        <v>19</v>
      </c>
      <c r="Q982" s="192">
        <v>94.1</v>
      </c>
    </row>
    <row r="983" spans="1:17" ht="11.1" hidden="1" customHeight="1" x14ac:dyDescent="0.2">
      <c r="A983" s="3"/>
      <c r="B983" s="3" t="str">
        <f ca="1">IF(A983="В заказ",MAX($B$9:OFFSET(B983,-1,0))+1,"")</f>
        <v/>
      </c>
      <c r="C983" s="6" t="str">
        <f t="shared" si="33"/>
        <v>Кромка 2,0 H3146 ST19  (75 м бухта).</v>
      </c>
      <c r="D983" s="67" t="s">
        <v>241</v>
      </c>
      <c r="E983" s="67" t="s">
        <v>34</v>
      </c>
      <c r="F983" s="67" t="s">
        <v>705</v>
      </c>
      <c r="G983" s="68">
        <v>21716</v>
      </c>
      <c r="H983" s="67" t="s">
        <v>330</v>
      </c>
      <c r="I983" s="200"/>
      <c r="J983" s="67" t="s">
        <v>696</v>
      </c>
      <c r="K983" s="67" t="s">
        <v>697</v>
      </c>
      <c r="L983" s="67" t="s">
        <v>251</v>
      </c>
      <c r="M983" s="67" t="s">
        <v>270</v>
      </c>
      <c r="N983" s="67" t="s">
        <v>259</v>
      </c>
      <c r="O983" s="67" t="s">
        <v>2116</v>
      </c>
      <c r="P983" s="67" t="s">
        <v>19</v>
      </c>
      <c r="Q983" s="192">
        <v>127.6</v>
      </c>
    </row>
    <row r="984" spans="1:17" ht="11.1" hidden="1" customHeight="1" x14ac:dyDescent="0.2">
      <c r="A984" s="3"/>
      <c r="B984" s="3" t="str">
        <f ca="1">IF(A984="В заказ",MAX($B$9:OFFSET(B984,-1,0))+1,"")</f>
        <v/>
      </c>
      <c r="C984" s="6" t="str">
        <f t="shared" si="33"/>
        <v>Кромка 1,0 H3149 TM37  (75 м бухта).</v>
      </c>
      <c r="D984" s="67" t="s">
        <v>241</v>
      </c>
      <c r="E984" s="67" t="s">
        <v>34</v>
      </c>
      <c r="F984" s="67" t="s">
        <v>706</v>
      </c>
      <c r="G984" s="68">
        <v>24421</v>
      </c>
      <c r="H984" s="67" t="s">
        <v>438</v>
      </c>
      <c r="I984" s="200"/>
      <c r="J984" s="67" t="s">
        <v>707</v>
      </c>
      <c r="K984" s="67" t="s">
        <v>708</v>
      </c>
      <c r="L984" s="67" t="s">
        <v>441</v>
      </c>
      <c r="M984" s="67" t="s">
        <v>244</v>
      </c>
      <c r="N984" s="67" t="s">
        <v>245</v>
      </c>
      <c r="O984" s="67" t="s">
        <v>2116</v>
      </c>
      <c r="P984" s="67" t="s">
        <v>19</v>
      </c>
      <c r="Q984" s="192">
        <v>89.9</v>
      </c>
    </row>
    <row r="985" spans="1:17" ht="11.1" hidden="1" customHeight="1" x14ac:dyDescent="0.2">
      <c r="A985" s="3"/>
      <c r="B985" s="3" t="str">
        <f ca="1">IF(A985="В заказ",MAX($B$9:OFFSET(B985,-1,0))+1,"")</f>
        <v/>
      </c>
      <c r="C985" s="6" t="str">
        <f t="shared" si="33"/>
        <v>Кромка 0,4 H3154 ST36  (200 м бухта).</v>
      </c>
      <c r="D985" s="67" t="s">
        <v>241</v>
      </c>
      <c r="E985" s="67" t="s">
        <v>34</v>
      </c>
      <c r="F985" s="67" t="s">
        <v>709</v>
      </c>
      <c r="G985" s="68">
        <v>13392</v>
      </c>
      <c r="H985" s="67" t="s">
        <v>330</v>
      </c>
      <c r="I985" s="200"/>
      <c r="J985" s="67" t="s">
        <v>104</v>
      </c>
      <c r="K985" s="67" t="s">
        <v>105</v>
      </c>
      <c r="L985" s="67" t="s">
        <v>64</v>
      </c>
      <c r="M985" s="67" t="s">
        <v>252</v>
      </c>
      <c r="N985" s="67" t="s">
        <v>253</v>
      </c>
      <c r="O985" s="67" t="s">
        <v>2117</v>
      </c>
      <c r="P985" s="67" t="s">
        <v>19</v>
      </c>
      <c r="Q985" s="192">
        <v>17.899999999999999</v>
      </c>
    </row>
    <row r="986" spans="1:17" ht="11.1" hidden="1" customHeight="1" x14ac:dyDescent="0.2">
      <c r="A986" s="3"/>
      <c r="B986" s="3" t="str">
        <f ca="1">IF(A986="В заказ",MAX($B$9:OFFSET(B986,-1,0))+1,"")</f>
        <v/>
      </c>
      <c r="C986" s="6" t="str">
        <f t="shared" si="33"/>
        <v>Кромка 0,4 H3154 ST36  (200 м бухта).</v>
      </c>
      <c r="D986" s="67" t="s">
        <v>241</v>
      </c>
      <c r="E986" s="67" t="s">
        <v>34</v>
      </c>
      <c r="F986" s="67" t="s">
        <v>710</v>
      </c>
      <c r="G986" s="68">
        <v>24824</v>
      </c>
      <c r="H986" s="67" t="s">
        <v>330</v>
      </c>
      <c r="I986" s="200"/>
      <c r="J986" s="67" t="s">
        <v>104</v>
      </c>
      <c r="K986" s="67" t="s">
        <v>105</v>
      </c>
      <c r="L986" s="67" t="s">
        <v>64</v>
      </c>
      <c r="M986" s="67" t="s">
        <v>244</v>
      </c>
      <c r="N986" s="67" t="s">
        <v>253</v>
      </c>
      <c r="O986" s="67" t="s">
        <v>2117</v>
      </c>
      <c r="P986" s="67" t="s">
        <v>19</v>
      </c>
      <c r="Q986" s="71">
        <v>22</v>
      </c>
    </row>
    <row r="987" spans="1:17" ht="11.1" hidden="1" customHeight="1" x14ac:dyDescent="0.2">
      <c r="A987" s="3"/>
      <c r="B987" s="3" t="str">
        <f ca="1">IF(A987="В заказ",MAX($B$9:OFFSET(B987,-1,0))+1,"")</f>
        <v/>
      </c>
      <c r="C987" s="6" t="str">
        <f t="shared" si="33"/>
        <v>Кромка 0,4 H3154 ST36  (200 м бухта).</v>
      </c>
      <c r="D987" s="67" t="s">
        <v>241</v>
      </c>
      <c r="E987" s="67" t="s">
        <v>34</v>
      </c>
      <c r="F987" s="67" t="s">
        <v>711</v>
      </c>
      <c r="G987" s="68">
        <v>16884</v>
      </c>
      <c r="H987" s="67" t="s">
        <v>330</v>
      </c>
      <c r="I987" s="200"/>
      <c r="J987" s="67" t="s">
        <v>104</v>
      </c>
      <c r="K987" s="67" t="s">
        <v>105</v>
      </c>
      <c r="L987" s="67" t="s">
        <v>64</v>
      </c>
      <c r="M987" s="67" t="s">
        <v>264</v>
      </c>
      <c r="N987" s="67" t="s">
        <v>253</v>
      </c>
      <c r="O987" s="67" t="s">
        <v>2117</v>
      </c>
      <c r="P987" s="67" t="s">
        <v>19</v>
      </c>
      <c r="Q987" s="192">
        <v>28.9</v>
      </c>
    </row>
    <row r="988" spans="1:17" ht="11.1" hidden="1" customHeight="1" x14ac:dyDescent="0.2">
      <c r="A988" s="3"/>
      <c r="B988" s="3" t="str">
        <f ca="1">IF(A988="В заказ",MAX($B$9:OFFSET(B988,-1,0))+1,"")</f>
        <v/>
      </c>
      <c r="C988" s="6" t="str">
        <f t="shared" si="33"/>
        <v>Кромка 0,8 H3154 ST36  (75 м бухта).</v>
      </c>
      <c r="D988" s="67" t="s">
        <v>241</v>
      </c>
      <c r="E988" s="67" t="s">
        <v>34</v>
      </c>
      <c r="F988" s="67" t="s">
        <v>712</v>
      </c>
      <c r="G988" s="68">
        <v>14654</v>
      </c>
      <c r="H988" s="67" t="s">
        <v>330</v>
      </c>
      <c r="I988" s="200"/>
      <c r="J988" s="67" t="s">
        <v>104</v>
      </c>
      <c r="K988" s="67" t="s">
        <v>105</v>
      </c>
      <c r="L988" s="67" t="s">
        <v>64</v>
      </c>
      <c r="M988" s="67" t="s">
        <v>252</v>
      </c>
      <c r="N988" s="67" t="s">
        <v>10</v>
      </c>
      <c r="O988" s="67" t="s">
        <v>2116</v>
      </c>
      <c r="P988" s="67" t="s">
        <v>19</v>
      </c>
      <c r="Q988" s="71">
        <v>35</v>
      </c>
    </row>
    <row r="989" spans="1:17" ht="11.1" hidden="1" customHeight="1" x14ac:dyDescent="0.2">
      <c r="A989" s="3"/>
      <c r="B989" s="3" t="str">
        <f ca="1">IF(A989="В заказ",MAX($B$9:OFFSET(B989,-1,0))+1,"")</f>
        <v/>
      </c>
      <c r="C989" s="6" t="str">
        <f t="shared" si="33"/>
        <v>Кромка 0,8 H3154 ST36  (75 м бухта).</v>
      </c>
      <c r="D989" s="67" t="s">
        <v>241</v>
      </c>
      <c r="E989" s="67" t="s">
        <v>34</v>
      </c>
      <c r="F989" s="67" t="s">
        <v>713</v>
      </c>
      <c r="G989" s="68">
        <v>19356</v>
      </c>
      <c r="H989" s="67" t="s">
        <v>330</v>
      </c>
      <c r="I989" s="200"/>
      <c r="J989" s="67" t="s">
        <v>104</v>
      </c>
      <c r="K989" s="67" t="s">
        <v>105</v>
      </c>
      <c r="L989" s="67" t="s">
        <v>64</v>
      </c>
      <c r="M989" s="67" t="s">
        <v>244</v>
      </c>
      <c r="N989" s="67" t="s">
        <v>10</v>
      </c>
      <c r="O989" s="67" t="s">
        <v>2116</v>
      </c>
      <c r="P989" s="67" t="s">
        <v>19</v>
      </c>
      <c r="Q989" s="192">
        <v>42.3</v>
      </c>
    </row>
    <row r="990" spans="1:17" ht="11.1" hidden="1" customHeight="1" x14ac:dyDescent="0.2">
      <c r="A990" s="3"/>
      <c r="B990" s="3" t="str">
        <f ca="1">IF(A990="В заказ",MAX($B$9:OFFSET(B990,-1,0))+1,"")</f>
        <v/>
      </c>
      <c r="C990" s="6" t="str">
        <f t="shared" si="33"/>
        <v>Кромка 2,0 H3154 ST36  (75 м бухта).</v>
      </c>
      <c r="D990" s="67" t="s">
        <v>241</v>
      </c>
      <c r="E990" s="67" t="s">
        <v>34</v>
      </c>
      <c r="F990" s="67" t="s">
        <v>714</v>
      </c>
      <c r="G990" s="68">
        <v>13393</v>
      </c>
      <c r="H990" s="67" t="s">
        <v>330</v>
      </c>
      <c r="I990" s="200"/>
      <c r="J990" s="67" t="s">
        <v>104</v>
      </c>
      <c r="K990" s="67" t="s">
        <v>105</v>
      </c>
      <c r="L990" s="67" t="s">
        <v>64</v>
      </c>
      <c r="M990" s="67" t="s">
        <v>252</v>
      </c>
      <c r="N990" s="67" t="s">
        <v>259</v>
      </c>
      <c r="O990" s="67" t="s">
        <v>2116</v>
      </c>
      <c r="P990" s="67" t="s">
        <v>19</v>
      </c>
      <c r="Q990" s="192">
        <v>62.6</v>
      </c>
    </row>
    <row r="991" spans="1:17" ht="11.1" hidden="1" customHeight="1" x14ac:dyDescent="0.2">
      <c r="A991" s="3"/>
      <c r="B991" s="3" t="str">
        <f ca="1">IF(A991="В заказ",MAX($B$9:OFFSET(B991,-1,0))+1,"")</f>
        <v/>
      </c>
      <c r="C991" s="6" t="str">
        <f t="shared" si="33"/>
        <v>Кромка 2,0 H3154 ST36  (75 м бухта).</v>
      </c>
      <c r="D991" s="67" t="s">
        <v>241</v>
      </c>
      <c r="E991" s="67" t="s">
        <v>34</v>
      </c>
      <c r="F991" s="67" t="s">
        <v>715</v>
      </c>
      <c r="G991" s="68">
        <v>18682</v>
      </c>
      <c r="H991" s="67" t="s">
        <v>330</v>
      </c>
      <c r="I991" s="200"/>
      <c r="J991" s="67" t="s">
        <v>104</v>
      </c>
      <c r="K991" s="67" t="s">
        <v>105</v>
      </c>
      <c r="L991" s="67" t="s">
        <v>64</v>
      </c>
      <c r="M991" s="67" t="s">
        <v>244</v>
      </c>
      <c r="N991" s="67" t="s">
        <v>259</v>
      </c>
      <c r="O991" s="67" t="s">
        <v>2116</v>
      </c>
      <c r="P991" s="67" t="s">
        <v>19</v>
      </c>
      <c r="Q991" s="192">
        <v>65.5</v>
      </c>
    </row>
    <row r="992" spans="1:17" ht="11.1" hidden="1" customHeight="1" x14ac:dyDescent="0.2">
      <c r="A992" s="3"/>
      <c r="B992" s="3" t="str">
        <f ca="1">IF(A992="В заказ",MAX($B$9:OFFSET(B992,-1,0))+1,"")</f>
        <v/>
      </c>
      <c r="C992" s="6" t="str">
        <f t="shared" si="33"/>
        <v>Кромка 2,0 H3154 ST36 (75 м бухта).</v>
      </c>
      <c r="D992" s="67" t="s">
        <v>241</v>
      </c>
      <c r="E992" s="67" t="s">
        <v>34</v>
      </c>
      <c r="F992" s="67" t="s">
        <v>716</v>
      </c>
      <c r="G992" s="68">
        <v>16452</v>
      </c>
      <c r="H992" s="67" t="s">
        <v>330</v>
      </c>
      <c r="I992" s="200"/>
      <c r="J992" s="67" t="s">
        <v>104</v>
      </c>
      <c r="K992" s="67" t="s">
        <v>105</v>
      </c>
      <c r="L992" s="67" t="s">
        <v>64</v>
      </c>
      <c r="M992" s="67" t="s">
        <v>264</v>
      </c>
      <c r="N992" s="67" t="s">
        <v>259</v>
      </c>
      <c r="O992" s="67" t="s">
        <v>246</v>
      </c>
      <c r="P992" s="67" t="s">
        <v>19</v>
      </c>
      <c r="Q992" s="192">
        <v>94.1</v>
      </c>
    </row>
    <row r="993" spans="1:17" ht="11.1" hidden="1" customHeight="1" x14ac:dyDescent="0.2">
      <c r="A993" s="3"/>
      <c r="B993" s="3" t="str">
        <f ca="1">IF(A993="В заказ",MAX($B$9:OFFSET(B993,-1,0))+1,"")</f>
        <v/>
      </c>
      <c r="C993" s="6" t="str">
        <f t="shared" si="33"/>
        <v>Кромка 2,0 H3154 ST36  (75 м бухта).</v>
      </c>
      <c r="D993" s="67" t="s">
        <v>241</v>
      </c>
      <c r="E993" s="67" t="s">
        <v>34</v>
      </c>
      <c r="F993" s="67" t="s">
        <v>717</v>
      </c>
      <c r="G993" s="68">
        <v>15537</v>
      </c>
      <c r="H993" s="67" t="s">
        <v>330</v>
      </c>
      <c r="I993" s="200"/>
      <c r="J993" s="67" t="s">
        <v>104</v>
      </c>
      <c r="K993" s="67" t="s">
        <v>105</v>
      </c>
      <c r="L993" s="67" t="s">
        <v>64</v>
      </c>
      <c r="M993" s="67" t="s">
        <v>270</v>
      </c>
      <c r="N993" s="67" t="s">
        <v>259</v>
      </c>
      <c r="O993" s="67" t="s">
        <v>2116</v>
      </c>
      <c r="P993" s="67" t="s">
        <v>19</v>
      </c>
      <c r="Q993" s="192">
        <v>127.6</v>
      </c>
    </row>
    <row r="994" spans="1:17" ht="11.1" hidden="1" customHeight="1" x14ac:dyDescent="0.2">
      <c r="A994" s="3"/>
      <c r="B994" s="3" t="str">
        <f ca="1">IF(A994="В заказ",MAX($B$9:OFFSET(B994,-1,0))+1,"")</f>
        <v/>
      </c>
      <c r="C994" s="6" t="str">
        <f t="shared" si="33"/>
        <v>Кромка 2,0 H3154 ST36  (75 м бухта).</v>
      </c>
      <c r="D994" s="67" t="s">
        <v>241</v>
      </c>
      <c r="E994" s="67" t="s">
        <v>34</v>
      </c>
      <c r="F994" s="67" t="s">
        <v>718</v>
      </c>
      <c r="G994" s="68">
        <v>21460</v>
      </c>
      <c r="H994" s="67" t="s">
        <v>330</v>
      </c>
      <c r="I994" s="200"/>
      <c r="J994" s="67" t="s">
        <v>104</v>
      </c>
      <c r="K994" s="67" t="s">
        <v>105</v>
      </c>
      <c r="L994" s="67" t="s">
        <v>64</v>
      </c>
      <c r="M994" s="67" t="s">
        <v>282</v>
      </c>
      <c r="N994" s="67" t="s">
        <v>259</v>
      </c>
      <c r="O994" s="67" t="s">
        <v>2116</v>
      </c>
      <c r="P994" s="67" t="s">
        <v>19</v>
      </c>
      <c r="Q994" s="192">
        <v>187.5</v>
      </c>
    </row>
    <row r="995" spans="1:17" ht="11.1" hidden="1" customHeight="1" x14ac:dyDescent="0.2">
      <c r="A995" s="3"/>
      <c r="B995" s="3" t="str">
        <f ca="1">IF(A995="В заказ",MAX($B$9:OFFSET(B995,-1,0))+1,"")</f>
        <v/>
      </c>
      <c r="C995" s="6" t="str">
        <f t="shared" si="33"/>
        <v>Кромка 0,4 H3156 ST12  (200 м бухта).</v>
      </c>
      <c r="D995" s="67" t="s">
        <v>241</v>
      </c>
      <c r="E995" s="67" t="s">
        <v>34</v>
      </c>
      <c r="F995" s="67" t="s">
        <v>719</v>
      </c>
      <c r="G995" s="68">
        <v>14015</v>
      </c>
      <c r="H995" s="67" t="s">
        <v>330</v>
      </c>
      <c r="I995" s="200"/>
      <c r="J995" s="67" t="s">
        <v>106</v>
      </c>
      <c r="K995" s="67" t="s">
        <v>107</v>
      </c>
      <c r="L995" s="67" t="s">
        <v>41</v>
      </c>
      <c r="M995" s="67" t="s">
        <v>252</v>
      </c>
      <c r="N995" s="67" t="s">
        <v>253</v>
      </c>
      <c r="O995" s="67" t="s">
        <v>2117</v>
      </c>
      <c r="P995" s="67" t="s">
        <v>19</v>
      </c>
      <c r="Q995" s="192">
        <v>17.899999999999999</v>
      </c>
    </row>
    <row r="996" spans="1:17" ht="11.1" hidden="1" customHeight="1" x14ac:dyDescent="0.2">
      <c r="A996" s="3"/>
      <c r="B996" s="3" t="str">
        <f ca="1">IF(A996="В заказ",MAX($B$9:OFFSET(B996,-1,0))+1,"")</f>
        <v/>
      </c>
      <c r="C996" s="6" t="str">
        <f t="shared" si="33"/>
        <v>Кромка 0,4 H3156 ST12  (200 м бухта).</v>
      </c>
      <c r="D996" s="67" t="s">
        <v>241</v>
      </c>
      <c r="E996" s="67" t="s">
        <v>34</v>
      </c>
      <c r="F996" s="67" t="s">
        <v>720</v>
      </c>
      <c r="G996" s="68">
        <v>19348</v>
      </c>
      <c r="H996" s="67" t="s">
        <v>330</v>
      </c>
      <c r="I996" s="200"/>
      <c r="J996" s="67" t="s">
        <v>106</v>
      </c>
      <c r="K996" s="67" t="s">
        <v>107</v>
      </c>
      <c r="L996" s="67" t="s">
        <v>41</v>
      </c>
      <c r="M996" s="67" t="s">
        <v>244</v>
      </c>
      <c r="N996" s="67" t="s">
        <v>253</v>
      </c>
      <c r="O996" s="67" t="s">
        <v>2117</v>
      </c>
      <c r="P996" s="67" t="s">
        <v>19</v>
      </c>
      <c r="Q996" s="71">
        <v>22</v>
      </c>
    </row>
    <row r="997" spans="1:17" ht="11.1" hidden="1" customHeight="1" x14ac:dyDescent="0.2">
      <c r="A997" s="3"/>
      <c r="B997" s="3" t="str">
        <f ca="1">IF(A997="В заказ",MAX($B$9:OFFSET(B997,-1,0))+1,"")</f>
        <v/>
      </c>
      <c r="C997" s="6" t="str">
        <f t="shared" si="33"/>
        <v>Кромка 0,4 H3156 ST12  (200 м бухта).</v>
      </c>
      <c r="D997" s="67" t="s">
        <v>241</v>
      </c>
      <c r="E997" s="67" t="s">
        <v>34</v>
      </c>
      <c r="F997" s="67" t="s">
        <v>721</v>
      </c>
      <c r="G997" s="68">
        <v>16885</v>
      </c>
      <c r="H997" s="67" t="s">
        <v>330</v>
      </c>
      <c r="I997" s="200"/>
      <c r="J997" s="67" t="s">
        <v>106</v>
      </c>
      <c r="K997" s="67" t="s">
        <v>107</v>
      </c>
      <c r="L997" s="67" t="s">
        <v>41</v>
      </c>
      <c r="M997" s="67" t="s">
        <v>264</v>
      </c>
      <c r="N997" s="67" t="s">
        <v>253</v>
      </c>
      <c r="O997" s="67" t="s">
        <v>2117</v>
      </c>
      <c r="P997" s="67" t="s">
        <v>19</v>
      </c>
      <c r="Q997" s="192">
        <v>28.9</v>
      </c>
    </row>
    <row r="998" spans="1:17" ht="11.1" hidden="1" customHeight="1" x14ac:dyDescent="0.2">
      <c r="A998" s="3"/>
      <c r="B998" s="3" t="str">
        <f ca="1">IF(A998="В заказ",MAX($B$9:OFFSET(B998,-1,0))+1,"")</f>
        <v/>
      </c>
      <c r="C998" s="6" t="str">
        <f t="shared" si="33"/>
        <v>Кромка 0,8 H3156 ST12  (75 м бухта).</v>
      </c>
      <c r="D998" s="67" t="s">
        <v>241</v>
      </c>
      <c r="E998" s="67" t="s">
        <v>34</v>
      </c>
      <c r="F998" s="67" t="s">
        <v>722</v>
      </c>
      <c r="G998" s="68">
        <v>16886</v>
      </c>
      <c r="H998" s="67" t="s">
        <v>330</v>
      </c>
      <c r="I998" s="200"/>
      <c r="J998" s="67" t="s">
        <v>106</v>
      </c>
      <c r="K998" s="67" t="s">
        <v>107</v>
      </c>
      <c r="L998" s="67" t="s">
        <v>41</v>
      </c>
      <c r="M998" s="67" t="s">
        <v>252</v>
      </c>
      <c r="N998" s="67" t="s">
        <v>10</v>
      </c>
      <c r="O998" s="67" t="s">
        <v>2116</v>
      </c>
      <c r="P998" s="67" t="s">
        <v>19</v>
      </c>
      <c r="Q998" s="71">
        <v>35</v>
      </c>
    </row>
    <row r="999" spans="1:17" ht="11.1" hidden="1" customHeight="1" x14ac:dyDescent="0.2">
      <c r="A999" s="3"/>
      <c r="B999" s="3" t="str">
        <f ca="1">IF(A999="В заказ",MAX($B$9:OFFSET(B999,-1,0))+1,"")</f>
        <v/>
      </c>
      <c r="C999" s="6" t="str">
        <f t="shared" si="33"/>
        <v>Кромка 0,8 H3156 ST12 (75 м бухта).</v>
      </c>
      <c r="D999" s="67" t="s">
        <v>241</v>
      </c>
      <c r="E999" s="67" t="s">
        <v>34</v>
      </c>
      <c r="F999" s="67" t="s">
        <v>723</v>
      </c>
      <c r="G999" s="68">
        <v>19346</v>
      </c>
      <c r="H999" s="67" t="s">
        <v>330</v>
      </c>
      <c r="I999" s="200"/>
      <c r="J999" s="67" t="s">
        <v>106</v>
      </c>
      <c r="K999" s="67" t="s">
        <v>107</v>
      </c>
      <c r="L999" s="67" t="s">
        <v>41</v>
      </c>
      <c r="M999" s="67" t="s">
        <v>244</v>
      </c>
      <c r="N999" s="67" t="s">
        <v>10</v>
      </c>
      <c r="O999" s="67" t="s">
        <v>246</v>
      </c>
      <c r="P999" s="67" t="s">
        <v>19</v>
      </c>
      <c r="Q999" s="192">
        <v>42.3</v>
      </c>
    </row>
    <row r="1000" spans="1:17" ht="11.1" hidden="1" customHeight="1" x14ac:dyDescent="0.2">
      <c r="A1000" s="3"/>
      <c r="B1000" s="3" t="str">
        <f ca="1">IF(A1000="В заказ",MAX($B$9:OFFSET(B1000,-1,0))+1,"")</f>
        <v/>
      </c>
      <c r="C1000" s="6" t="str">
        <f t="shared" si="33"/>
        <v>Кромка 0,8 H3156 ST12  (75 м бухта).</v>
      </c>
      <c r="D1000" s="67" t="s">
        <v>241</v>
      </c>
      <c r="E1000" s="67" t="s">
        <v>34</v>
      </c>
      <c r="F1000" s="67" t="s">
        <v>724</v>
      </c>
      <c r="G1000" s="68">
        <v>16887</v>
      </c>
      <c r="H1000" s="67" t="s">
        <v>330</v>
      </c>
      <c r="I1000" s="200"/>
      <c r="J1000" s="67" t="s">
        <v>106</v>
      </c>
      <c r="K1000" s="67" t="s">
        <v>107</v>
      </c>
      <c r="L1000" s="67" t="s">
        <v>41</v>
      </c>
      <c r="M1000" s="67" t="s">
        <v>264</v>
      </c>
      <c r="N1000" s="67" t="s">
        <v>10</v>
      </c>
      <c r="O1000" s="67" t="s">
        <v>2116</v>
      </c>
      <c r="P1000" s="67" t="s">
        <v>19</v>
      </c>
      <c r="Q1000" s="192">
        <v>66.900000000000006</v>
      </c>
    </row>
    <row r="1001" spans="1:17" ht="11.1" hidden="1" customHeight="1" x14ac:dyDescent="0.2">
      <c r="A1001" s="3"/>
      <c r="B1001" s="3" t="str">
        <f ca="1">IF(A1001="В заказ",MAX($B$9:OFFSET(B1001,-1,0))+1,"")</f>
        <v/>
      </c>
      <c r="C1001" s="6" t="str">
        <f t="shared" si="33"/>
        <v>Кромка 2,0 H3156 ST12  (75 м бухта).</v>
      </c>
      <c r="D1001" s="67" t="s">
        <v>241</v>
      </c>
      <c r="E1001" s="67" t="s">
        <v>34</v>
      </c>
      <c r="F1001" s="67" t="s">
        <v>725</v>
      </c>
      <c r="G1001" s="68">
        <v>14016</v>
      </c>
      <c r="H1001" s="67" t="s">
        <v>330</v>
      </c>
      <c r="I1001" s="200"/>
      <c r="J1001" s="67" t="s">
        <v>106</v>
      </c>
      <c r="K1001" s="67" t="s">
        <v>107</v>
      </c>
      <c r="L1001" s="67" t="s">
        <v>41</v>
      </c>
      <c r="M1001" s="67" t="s">
        <v>252</v>
      </c>
      <c r="N1001" s="67" t="s">
        <v>259</v>
      </c>
      <c r="O1001" s="67" t="s">
        <v>2116</v>
      </c>
      <c r="P1001" s="67" t="s">
        <v>19</v>
      </c>
      <c r="Q1001" s="192">
        <v>62.6</v>
      </c>
    </row>
    <row r="1002" spans="1:17" ht="11.1" hidden="1" customHeight="1" x14ac:dyDescent="0.2">
      <c r="A1002" s="3"/>
      <c r="B1002" s="3" t="str">
        <f ca="1">IF(A1002="В заказ",MAX($B$9:OFFSET(B1002,-1,0))+1,"")</f>
        <v/>
      </c>
      <c r="C1002" s="6" t="str">
        <f t="shared" si="33"/>
        <v>Кромка 2,0 H3156 ST12  (75 м бухта).</v>
      </c>
      <c r="D1002" s="67" t="s">
        <v>241</v>
      </c>
      <c r="E1002" s="67" t="s">
        <v>34</v>
      </c>
      <c r="F1002" s="67" t="s">
        <v>726</v>
      </c>
      <c r="G1002" s="68">
        <v>19564</v>
      </c>
      <c r="H1002" s="67" t="s">
        <v>330</v>
      </c>
      <c r="I1002" s="200"/>
      <c r="J1002" s="67" t="s">
        <v>106</v>
      </c>
      <c r="K1002" s="67" t="s">
        <v>107</v>
      </c>
      <c r="L1002" s="67" t="s">
        <v>41</v>
      </c>
      <c r="M1002" s="67" t="s">
        <v>244</v>
      </c>
      <c r="N1002" s="67" t="s">
        <v>259</v>
      </c>
      <c r="O1002" s="67" t="s">
        <v>2116</v>
      </c>
      <c r="P1002" s="67" t="s">
        <v>19</v>
      </c>
      <c r="Q1002" s="192">
        <v>65.5</v>
      </c>
    </row>
    <row r="1003" spans="1:17" ht="11.1" hidden="1" customHeight="1" x14ac:dyDescent="0.2">
      <c r="A1003" s="3"/>
      <c r="B1003" s="3" t="str">
        <f ca="1">IF(A1003="В заказ",MAX($B$9:OFFSET(B1003,-1,0))+1,"")</f>
        <v/>
      </c>
      <c r="C1003" s="6" t="str">
        <f t="shared" si="33"/>
        <v>Кромка 2,0 H3156 ST12  (75 м бухта).</v>
      </c>
      <c r="D1003" s="67" t="s">
        <v>241</v>
      </c>
      <c r="E1003" s="67" t="s">
        <v>34</v>
      </c>
      <c r="F1003" s="67" t="s">
        <v>727</v>
      </c>
      <c r="G1003" s="68">
        <v>16550</v>
      </c>
      <c r="H1003" s="67" t="s">
        <v>330</v>
      </c>
      <c r="I1003" s="200"/>
      <c r="J1003" s="67" t="s">
        <v>106</v>
      </c>
      <c r="K1003" s="67" t="s">
        <v>107</v>
      </c>
      <c r="L1003" s="67" t="s">
        <v>41</v>
      </c>
      <c r="M1003" s="67" t="s">
        <v>264</v>
      </c>
      <c r="N1003" s="67" t="s">
        <v>259</v>
      </c>
      <c r="O1003" s="67" t="s">
        <v>2116</v>
      </c>
      <c r="P1003" s="67" t="s">
        <v>19</v>
      </c>
      <c r="Q1003" s="192">
        <v>94.1</v>
      </c>
    </row>
    <row r="1004" spans="1:17" ht="11.1" hidden="1" customHeight="1" x14ac:dyDescent="0.2">
      <c r="A1004" s="3"/>
      <c r="B1004" s="3" t="str">
        <f ca="1">IF(A1004="В заказ",MAX($B$9:OFFSET(B1004,-1,0))+1,"")</f>
        <v/>
      </c>
      <c r="C1004" s="6" t="str">
        <f t="shared" si="33"/>
        <v>Кромка 2,0 H3156 ST12  (75 м бухта).</v>
      </c>
      <c r="D1004" s="67" t="s">
        <v>241</v>
      </c>
      <c r="E1004" s="67" t="s">
        <v>34</v>
      </c>
      <c r="F1004" s="67" t="s">
        <v>728</v>
      </c>
      <c r="G1004" s="68">
        <v>14017</v>
      </c>
      <c r="H1004" s="67" t="s">
        <v>330</v>
      </c>
      <c r="I1004" s="200"/>
      <c r="J1004" s="67" t="s">
        <v>106</v>
      </c>
      <c r="K1004" s="67" t="s">
        <v>107</v>
      </c>
      <c r="L1004" s="67" t="s">
        <v>41</v>
      </c>
      <c r="M1004" s="67" t="s">
        <v>270</v>
      </c>
      <c r="N1004" s="67" t="s">
        <v>259</v>
      </c>
      <c r="O1004" s="67" t="s">
        <v>2116</v>
      </c>
      <c r="P1004" s="67" t="s">
        <v>19</v>
      </c>
      <c r="Q1004" s="192">
        <v>127.6</v>
      </c>
    </row>
    <row r="1005" spans="1:17" ht="11.1" hidden="1" customHeight="1" x14ac:dyDescent="0.2">
      <c r="A1005" s="3"/>
      <c r="B1005" s="3" t="str">
        <f ca="1">IF(A1005="В заказ",MAX($B$9:OFFSET(B1005,-1,0))+1,"")</f>
        <v/>
      </c>
      <c r="C1005" s="6" t="str">
        <f t="shared" si="33"/>
        <v>Кромка 0,4 H3157 ST12  (200 м бухта).</v>
      </c>
      <c r="D1005" s="67" t="s">
        <v>241</v>
      </c>
      <c r="E1005" s="67" t="s">
        <v>34</v>
      </c>
      <c r="F1005" s="67" t="s">
        <v>729</v>
      </c>
      <c r="G1005" s="68">
        <v>22420</v>
      </c>
      <c r="H1005" s="67" t="s">
        <v>330</v>
      </c>
      <c r="I1005" s="200"/>
      <c r="J1005" s="67" t="s">
        <v>108</v>
      </c>
      <c r="K1005" s="67" t="s">
        <v>109</v>
      </c>
      <c r="L1005" s="67" t="s">
        <v>41</v>
      </c>
      <c r="M1005" s="67" t="s">
        <v>252</v>
      </c>
      <c r="N1005" s="67" t="s">
        <v>253</v>
      </c>
      <c r="O1005" s="67" t="s">
        <v>2117</v>
      </c>
      <c r="P1005" s="67" t="s">
        <v>19</v>
      </c>
      <c r="Q1005" s="192">
        <v>17.899999999999999</v>
      </c>
    </row>
    <row r="1006" spans="1:17" ht="11.1" hidden="1" customHeight="1" x14ac:dyDescent="0.2">
      <c r="A1006" s="3"/>
      <c r="B1006" s="3" t="str">
        <f ca="1">IF(A1006="В заказ",MAX($B$9:OFFSET(B1006,-1,0))+1,"")</f>
        <v/>
      </c>
      <c r="C1006" s="6" t="str">
        <f t="shared" si="33"/>
        <v>Кромка 0,4 H3157 ST12  (200 м бухта).</v>
      </c>
      <c r="D1006" s="67" t="s">
        <v>241</v>
      </c>
      <c r="E1006" s="67" t="s">
        <v>34</v>
      </c>
      <c r="F1006" s="67" t="s">
        <v>730</v>
      </c>
      <c r="G1006" s="68">
        <v>24609</v>
      </c>
      <c r="H1006" s="67" t="s">
        <v>330</v>
      </c>
      <c r="I1006" s="200"/>
      <c r="J1006" s="67" t="s">
        <v>108</v>
      </c>
      <c r="K1006" s="67" t="s">
        <v>109</v>
      </c>
      <c r="L1006" s="67" t="s">
        <v>41</v>
      </c>
      <c r="M1006" s="67" t="s">
        <v>244</v>
      </c>
      <c r="N1006" s="67" t="s">
        <v>253</v>
      </c>
      <c r="O1006" s="67" t="s">
        <v>2117</v>
      </c>
      <c r="P1006" s="67" t="s">
        <v>19</v>
      </c>
      <c r="Q1006" s="71">
        <v>22</v>
      </c>
    </row>
    <row r="1007" spans="1:17" ht="11.1" hidden="1" customHeight="1" x14ac:dyDescent="0.2">
      <c r="A1007" s="3"/>
      <c r="B1007" s="3" t="str">
        <f ca="1">IF(A1007="В заказ",MAX($B$9:OFFSET(B1007,-1,0))+1,"")</f>
        <v/>
      </c>
      <c r="C1007" s="6" t="str">
        <f t="shared" si="33"/>
        <v>Кромка 0,4 H3157 ST12  (200 м бухта).</v>
      </c>
      <c r="D1007" s="67" t="s">
        <v>241</v>
      </c>
      <c r="E1007" s="67" t="s">
        <v>34</v>
      </c>
      <c r="F1007" s="67" t="s">
        <v>731</v>
      </c>
      <c r="G1007" s="68">
        <v>22422</v>
      </c>
      <c r="H1007" s="67" t="s">
        <v>330</v>
      </c>
      <c r="I1007" s="200"/>
      <c r="J1007" s="67" t="s">
        <v>108</v>
      </c>
      <c r="K1007" s="67" t="s">
        <v>109</v>
      </c>
      <c r="L1007" s="67" t="s">
        <v>41</v>
      </c>
      <c r="M1007" s="67" t="s">
        <v>264</v>
      </c>
      <c r="N1007" s="67" t="s">
        <v>253</v>
      </c>
      <c r="O1007" s="67" t="s">
        <v>2117</v>
      </c>
      <c r="P1007" s="67" t="s">
        <v>19</v>
      </c>
      <c r="Q1007" s="192">
        <v>28.9</v>
      </c>
    </row>
    <row r="1008" spans="1:17" ht="11.1" hidden="1" customHeight="1" x14ac:dyDescent="0.2">
      <c r="A1008" s="3"/>
      <c r="B1008" s="3" t="str">
        <f ca="1">IF(A1008="В заказ",MAX($B$9:OFFSET(B1008,-1,0))+1,"")</f>
        <v/>
      </c>
      <c r="C1008" s="6" t="str">
        <f t="shared" si="33"/>
        <v>Кромка 0,8 H3157 ST12  (75 м бухта).</v>
      </c>
      <c r="D1008" s="67" t="s">
        <v>241</v>
      </c>
      <c r="E1008" s="67" t="s">
        <v>34</v>
      </c>
      <c r="F1008" s="67" t="s">
        <v>732</v>
      </c>
      <c r="G1008" s="68">
        <v>22859</v>
      </c>
      <c r="H1008" s="67" t="s">
        <v>330</v>
      </c>
      <c r="I1008" s="200"/>
      <c r="J1008" s="67" t="s">
        <v>108</v>
      </c>
      <c r="K1008" s="67" t="s">
        <v>109</v>
      </c>
      <c r="L1008" s="67" t="s">
        <v>41</v>
      </c>
      <c r="M1008" s="67" t="s">
        <v>252</v>
      </c>
      <c r="N1008" s="67" t="s">
        <v>10</v>
      </c>
      <c r="O1008" s="67" t="s">
        <v>2116</v>
      </c>
      <c r="P1008" s="67" t="s">
        <v>19</v>
      </c>
      <c r="Q1008" s="71">
        <v>35</v>
      </c>
    </row>
    <row r="1009" spans="1:17" ht="11.1" hidden="1" customHeight="1" x14ac:dyDescent="0.2">
      <c r="A1009" s="3"/>
      <c r="B1009" s="3" t="str">
        <f ca="1">IF(A1009="В заказ",MAX($B$9:OFFSET(B1009,-1,0))+1,"")</f>
        <v/>
      </c>
      <c r="C1009" s="6" t="str">
        <f t="shared" si="33"/>
        <v>Кромка 0,8 H3157 ST12  (75 м бухта).</v>
      </c>
      <c r="D1009" s="67" t="s">
        <v>241</v>
      </c>
      <c r="E1009" s="67" t="s">
        <v>34</v>
      </c>
      <c r="F1009" s="67" t="s">
        <v>733</v>
      </c>
      <c r="G1009" s="68">
        <v>24780</v>
      </c>
      <c r="H1009" s="67" t="s">
        <v>330</v>
      </c>
      <c r="I1009" s="200"/>
      <c r="J1009" s="67" t="s">
        <v>108</v>
      </c>
      <c r="K1009" s="67" t="s">
        <v>109</v>
      </c>
      <c r="L1009" s="67" t="s">
        <v>41</v>
      </c>
      <c r="M1009" s="67" t="s">
        <v>244</v>
      </c>
      <c r="N1009" s="67" t="s">
        <v>10</v>
      </c>
      <c r="O1009" s="67" t="s">
        <v>2116</v>
      </c>
      <c r="P1009" s="67" t="s">
        <v>19</v>
      </c>
      <c r="Q1009" s="192">
        <v>42.3</v>
      </c>
    </row>
    <row r="1010" spans="1:17" ht="11.1" hidden="1" customHeight="1" x14ac:dyDescent="0.2">
      <c r="A1010" s="3"/>
      <c r="B1010" s="3" t="str">
        <f ca="1">IF(A1010="В заказ",MAX($B$9:OFFSET(B1010,-1,0))+1,"")</f>
        <v/>
      </c>
      <c r="C1010" s="6" t="str">
        <f t="shared" si="33"/>
        <v>Кромка 2,0 H3157 ST12  (75 м бухта).</v>
      </c>
      <c r="D1010" s="67" t="s">
        <v>241</v>
      </c>
      <c r="E1010" s="67" t="s">
        <v>34</v>
      </c>
      <c r="F1010" s="67" t="s">
        <v>734</v>
      </c>
      <c r="G1010" s="68">
        <v>22421</v>
      </c>
      <c r="H1010" s="67" t="s">
        <v>330</v>
      </c>
      <c r="I1010" s="200"/>
      <c r="J1010" s="67" t="s">
        <v>108</v>
      </c>
      <c r="K1010" s="67" t="s">
        <v>109</v>
      </c>
      <c r="L1010" s="67" t="s">
        <v>41</v>
      </c>
      <c r="M1010" s="67" t="s">
        <v>252</v>
      </c>
      <c r="N1010" s="67" t="s">
        <v>259</v>
      </c>
      <c r="O1010" s="67" t="s">
        <v>2116</v>
      </c>
      <c r="P1010" s="67" t="s">
        <v>19</v>
      </c>
      <c r="Q1010" s="192">
        <v>62.6</v>
      </c>
    </row>
    <row r="1011" spans="1:17" ht="11.1" hidden="1" customHeight="1" x14ac:dyDescent="0.2">
      <c r="A1011" s="3"/>
      <c r="B1011" s="3" t="str">
        <f ca="1">IF(A1011="В заказ",MAX($B$9:OFFSET(B1011,-1,0))+1,"")</f>
        <v/>
      </c>
      <c r="C1011" s="6" t="str">
        <f t="shared" si="33"/>
        <v>Кромка 2,0 H3157 ST12  (75 м бухта).</v>
      </c>
      <c r="D1011" s="67" t="s">
        <v>241</v>
      </c>
      <c r="E1011" s="67" t="s">
        <v>34</v>
      </c>
      <c r="F1011" s="67" t="s">
        <v>735</v>
      </c>
      <c r="G1011" s="68">
        <v>19716</v>
      </c>
      <c r="H1011" s="67" t="s">
        <v>330</v>
      </c>
      <c r="I1011" s="200"/>
      <c r="J1011" s="67" t="s">
        <v>108</v>
      </c>
      <c r="K1011" s="67" t="s">
        <v>109</v>
      </c>
      <c r="L1011" s="67" t="s">
        <v>41</v>
      </c>
      <c r="M1011" s="67" t="s">
        <v>244</v>
      </c>
      <c r="N1011" s="67" t="s">
        <v>259</v>
      </c>
      <c r="O1011" s="67" t="s">
        <v>2116</v>
      </c>
      <c r="P1011" s="67" t="s">
        <v>19</v>
      </c>
      <c r="Q1011" s="192">
        <v>65.5</v>
      </c>
    </row>
    <row r="1012" spans="1:17" ht="11.1" hidden="1" customHeight="1" x14ac:dyDescent="0.2">
      <c r="A1012" s="3"/>
      <c r="B1012" s="3" t="str">
        <f ca="1">IF(A1012="В заказ",MAX($B$9:OFFSET(B1012,-1,0))+1,"")</f>
        <v/>
      </c>
      <c r="C1012" s="6" t="str">
        <f t="shared" si="33"/>
        <v>Кромка 2,0 H3157 ST12  (75 м бухта).</v>
      </c>
      <c r="D1012" s="67" t="s">
        <v>241</v>
      </c>
      <c r="E1012" s="67" t="s">
        <v>34</v>
      </c>
      <c r="F1012" s="67" t="s">
        <v>736</v>
      </c>
      <c r="G1012" s="68">
        <v>22423</v>
      </c>
      <c r="H1012" s="67" t="s">
        <v>330</v>
      </c>
      <c r="I1012" s="200"/>
      <c r="J1012" s="67" t="s">
        <v>108</v>
      </c>
      <c r="K1012" s="67" t="s">
        <v>109</v>
      </c>
      <c r="L1012" s="67" t="s">
        <v>41</v>
      </c>
      <c r="M1012" s="67" t="s">
        <v>264</v>
      </c>
      <c r="N1012" s="67" t="s">
        <v>259</v>
      </c>
      <c r="O1012" s="67" t="s">
        <v>2116</v>
      </c>
      <c r="P1012" s="67" t="s">
        <v>19</v>
      </c>
      <c r="Q1012" s="192">
        <v>94.1</v>
      </c>
    </row>
    <row r="1013" spans="1:17" ht="11.1" hidden="1" customHeight="1" x14ac:dyDescent="0.2">
      <c r="A1013" s="3"/>
      <c r="B1013" s="3" t="str">
        <f ca="1">IF(A1013="В заказ",MAX($B$9:OFFSET(B1013,-1,0))+1,"")</f>
        <v/>
      </c>
      <c r="C1013" s="6" t="str">
        <f t="shared" si="33"/>
        <v>Кромка 2,0 H3157 ST12  (75 м бухта).</v>
      </c>
      <c r="D1013" s="67" t="s">
        <v>241</v>
      </c>
      <c r="E1013" s="67" t="s">
        <v>34</v>
      </c>
      <c r="F1013" s="67" t="s">
        <v>2148</v>
      </c>
      <c r="G1013" s="68">
        <v>22833</v>
      </c>
      <c r="H1013" s="67" t="s">
        <v>330</v>
      </c>
      <c r="I1013" s="200"/>
      <c r="J1013" s="67" t="s">
        <v>108</v>
      </c>
      <c r="K1013" s="67" t="s">
        <v>109</v>
      </c>
      <c r="L1013" s="67" t="s">
        <v>41</v>
      </c>
      <c r="M1013" s="67" t="s">
        <v>270</v>
      </c>
      <c r="N1013" s="67" t="s">
        <v>259</v>
      </c>
      <c r="O1013" s="67" t="s">
        <v>2116</v>
      </c>
      <c r="P1013" s="67" t="s">
        <v>19</v>
      </c>
      <c r="Q1013" s="192">
        <v>127.6</v>
      </c>
    </row>
    <row r="1014" spans="1:17" ht="11.1" hidden="1" customHeight="1" x14ac:dyDescent="0.2">
      <c r="A1014" s="3"/>
      <c r="B1014" s="3" t="str">
        <f ca="1">IF(A1014="В заказ",MAX($B$9:OFFSET(B1014,-1,0))+1,"")</f>
        <v/>
      </c>
      <c r="C1014" s="6" t="str">
        <f t="shared" ref="C1014:C1077" si="34">D1014&amp;" "&amp;N1014&amp;" "&amp;IF(OR(D1014="ДСП",D1014="МДФ",D1014="Фанера",D1014="ХДФ"),M1014,J1014)&amp;" "&amp;IF(OR(D1014="ДСП",D1014="МДФ",D1014="Фанера",D1014="ХДФ"),O1014,L1014)&amp;" "&amp;IF(OR(D1014="ДСП",D1014="МДФ",D1014="Фанера",D1014="ХДФ"),"",IF(D1014="БСП",M1014,O1014))&amp;"."</f>
        <v>Кромка 0,4 H3170 ST12  (200 м бухта).</v>
      </c>
      <c r="D1014" s="67" t="s">
        <v>241</v>
      </c>
      <c r="E1014" s="67" t="s">
        <v>34</v>
      </c>
      <c r="F1014" s="67" t="s">
        <v>737</v>
      </c>
      <c r="G1014" s="68">
        <v>14919</v>
      </c>
      <c r="H1014" s="67" t="s">
        <v>330</v>
      </c>
      <c r="I1014" s="200"/>
      <c r="J1014" s="67" t="s">
        <v>110</v>
      </c>
      <c r="K1014" s="67" t="s">
        <v>111</v>
      </c>
      <c r="L1014" s="67" t="s">
        <v>41</v>
      </c>
      <c r="M1014" s="67" t="s">
        <v>252</v>
      </c>
      <c r="N1014" s="67" t="s">
        <v>253</v>
      </c>
      <c r="O1014" s="67" t="s">
        <v>2117</v>
      </c>
      <c r="P1014" s="67" t="s">
        <v>19</v>
      </c>
      <c r="Q1014" s="192">
        <v>17.899999999999999</v>
      </c>
    </row>
    <row r="1015" spans="1:17" ht="11.1" hidden="1" customHeight="1" x14ac:dyDescent="0.2">
      <c r="A1015" s="3"/>
      <c r="B1015" s="3" t="str">
        <f ca="1">IF(A1015="В заказ",MAX($B$9:OFFSET(B1015,-1,0))+1,"")</f>
        <v/>
      </c>
      <c r="C1015" s="6" t="str">
        <f t="shared" si="34"/>
        <v>Кромка 0,4 H3170 ST12  (200 м бухта).</v>
      </c>
      <c r="D1015" s="67" t="s">
        <v>241</v>
      </c>
      <c r="E1015" s="67" t="s">
        <v>34</v>
      </c>
      <c r="F1015" s="67" t="s">
        <v>738</v>
      </c>
      <c r="G1015" s="68">
        <v>24828</v>
      </c>
      <c r="H1015" s="67" t="s">
        <v>330</v>
      </c>
      <c r="I1015" s="200"/>
      <c r="J1015" s="67" t="s">
        <v>110</v>
      </c>
      <c r="K1015" s="67" t="s">
        <v>111</v>
      </c>
      <c r="L1015" s="67" t="s">
        <v>41</v>
      </c>
      <c r="M1015" s="67" t="s">
        <v>244</v>
      </c>
      <c r="N1015" s="67" t="s">
        <v>253</v>
      </c>
      <c r="O1015" s="67" t="s">
        <v>2117</v>
      </c>
      <c r="P1015" s="67" t="s">
        <v>19</v>
      </c>
      <c r="Q1015" s="71">
        <v>22</v>
      </c>
    </row>
    <row r="1016" spans="1:17" ht="11.1" hidden="1" customHeight="1" x14ac:dyDescent="0.2">
      <c r="A1016" s="3"/>
      <c r="B1016" s="3" t="str">
        <f ca="1">IF(A1016="В заказ",MAX($B$9:OFFSET(B1016,-1,0))+1,"")</f>
        <v/>
      </c>
      <c r="C1016" s="6" t="str">
        <f t="shared" si="34"/>
        <v>Кромка 0,4 H3170 ST12  (200 м бухта).</v>
      </c>
      <c r="D1016" s="67" t="s">
        <v>241</v>
      </c>
      <c r="E1016" s="67" t="s">
        <v>34</v>
      </c>
      <c r="F1016" s="67" t="s">
        <v>739</v>
      </c>
      <c r="G1016" s="68">
        <v>16888</v>
      </c>
      <c r="H1016" s="67" t="s">
        <v>330</v>
      </c>
      <c r="I1016" s="200"/>
      <c r="J1016" s="67" t="s">
        <v>110</v>
      </c>
      <c r="K1016" s="67" t="s">
        <v>111</v>
      </c>
      <c r="L1016" s="67" t="s">
        <v>41</v>
      </c>
      <c r="M1016" s="67" t="s">
        <v>264</v>
      </c>
      <c r="N1016" s="67" t="s">
        <v>253</v>
      </c>
      <c r="O1016" s="67" t="s">
        <v>2117</v>
      </c>
      <c r="P1016" s="67" t="s">
        <v>19</v>
      </c>
      <c r="Q1016" s="192">
        <v>28.9</v>
      </c>
    </row>
    <row r="1017" spans="1:17" ht="11.1" hidden="1" customHeight="1" x14ac:dyDescent="0.2">
      <c r="A1017" s="3"/>
      <c r="B1017" s="3" t="str">
        <f ca="1">IF(A1017="В заказ",MAX($B$9:OFFSET(B1017,-1,0))+1,"")</f>
        <v/>
      </c>
      <c r="C1017" s="6" t="str">
        <f t="shared" si="34"/>
        <v>Кромка 0,8 H3170 ST12  (75 м бухта).</v>
      </c>
      <c r="D1017" s="67" t="s">
        <v>241</v>
      </c>
      <c r="E1017" s="67" t="s">
        <v>34</v>
      </c>
      <c r="F1017" s="67" t="s">
        <v>740</v>
      </c>
      <c r="G1017" s="68">
        <v>13992</v>
      </c>
      <c r="H1017" s="67" t="s">
        <v>330</v>
      </c>
      <c r="I1017" s="200"/>
      <c r="J1017" s="67" t="s">
        <v>110</v>
      </c>
      <c r="K1017" s="67" t="s">
        <v>111</v>
      </c>
      <c r="L1017" s="67" t="s">
        <v>41</v>
      </c>
      <c r="M1017" s="67" t="s">
        <v>252</v>
      </c>
      <c r="N1017" s="67" t="s">
        <v>10</v>
      </c>
      <c r="O1017" s="67" t="s">
        <v>2116</v>
      </c>
      <c r="P1017" s="67" t="s">
        <v>19</v>
      </c>
      <c r="Q1017" s="71">
        <v>35</v>
      </c>
    </row>
    <row r="1018" spans="1:17" ht="11.1" hidden="1" customHeight="1" x14ac:dyDescent="0.2">
      <c r="A1018" s="3"/>
      <c r="B1018" s="3" t="str">
        <f ca="1">IF(A1018="В заказ",MAX($B$9:OFFSET(B1018,-1,0))+1,"")</f>
        <v/>
      </c>
      <c r="C1018" s="6" t="str">
        <f t="shared" si="34"/>
        <v>Кромка 0,8 H3170 ST12  (75 м бухта).</v>
      </c>
      <c r="D1018" s="67" t="s">
        <v>241</v>
      </c>
      <c r="E1018" s="67" t="s">
        <v>34</v>
      </c>
      <c r="F1018" s="67" t="s">
        <v>741</v>
      </c>
      <c r="G1018" s="68">
        <v>13993</v>
      </c>
      <c r="H1018" s="67" t="s">
        <v>330</v>
      </c>
      <c r="I1018" s="200"/>
      <c r="J1018" s="67" t="s">
        <v>110</v>
      </c>
      <c r="K1018" s="67" t="s">
        <v>111</v>
      </c>
      <c r="L1018" s="67" t="s">
        <v>41</v>
      </c>
      <c r="M1018" s="67" t="s">
        <v>244</v>
      </c>
      <c r="N1018" s="67" t="s">
        <v>10</v>
      </c>
      <c r="O1018" s="67" t="s">
        <v>2116</v>
      </c>
      <c r="P1018" s="67" t="s">
        <v>19</v>
      </c>
      <c r="Q1018" s="192">
        <v>42.3</v>
      </c>
    </row>
    <row r="1019" spans="1:17" ht="11.1" hidden="1" customHeight="1" x14ac:dyDescent="0.2">
      <c r="A1019" s="3"/>
      <c r="B1019" s="3" t="str">
        <f ca="1">IF(A1019="В заказ",MAX($B$9:OFFSET(B1019,-1,0))+1,"")</f>
        <v/>
      </c>
      <c r="C1019" s="6" t="str">
        <f t="shared" si="34"/>
        <v>Кромка 2,0 H3170 ST12  (75 м бухта).</v>
      </c>
      <c r="D1019" s="67" t="s">
        <v>241</v>
      </c>
      <c r="E1019" s="67" t="s">
        <v>34</v>
      </c>
      <c r="F1019" s="67" t="s">
        <v>742</v>
      </c>
      <c r="G1019" s="68">
        <v>14920</v>
      </c>
      <c r="H1019" s="67" t="s">
        <v>330</v>
      </c>
      <c r="I1019" s="200"/>
      <c r="J1019" s="67" t="s">
        <v>110</v>
      </c>
      <c r="K1019" s="67" t="s">
        <v>111</v>
      </c>
      <c r="L1019" s="67" t="s">
        <v>41</v>
      </c>
      <c r="M1019" s="67" t="s">
        <v>252</v>
      </c>
      <c r="N1019" s="67" t="s">
        <v>259</v>
      </c>
      <c r="O1019" s="67" t="s">
        <v>2116</v>
      </c>
      <c r="P1019" s="67" t="s">
        <v>19</v>
      </c>
      <c r="Q1019" s="192">
        <v>62.6</v>
      </c>
    </row>
    <row r="1020" spans="1:17" ht="11.1" hidden="1" customHeight="1" x14ac:dyDescent="0.2">
      <c r="A1020" s="3"/>
      <c r="B1020" s="3" t="str">
        <f ca="1">IF(A1020="В заказ",MAX($B$9:OFFSET(B1020,-1,0))+1,"")</f>
        <v/>
      </c>
      <c r="C1020" s="6" t="str">
        <f t="shared" si="34"/>
        <v>Кромка 2,0 H3170 ST12  (75 м бухта).</v>
      </c>
      <c r="D1020" s="67" t="s">
        <v>241</v>
      </c>
      <c r="E1020" s="67" t="s">
        <v>34</v>
      </c>
      <c r="F1020" s="67" t="s">
        <v>743</v>
      </c>
      <c r="G1020" s="68">
        <v>17506</v>
      </c>
      <c r="H1020" s="67" t="s">
        <v>330</v>
      </c>
      <c r="I1020" s="200"/>
      <c r="J1020" s="67" t="s">
        <v>110</v>
      </c>
      <c r="K1020" s="67" t="s">
        <v>111</v>
      </c>
      <c r="L1020" s="67" t="s">
        <v>41</v>
      </c>
      <c r="M1020" s="67" t="s">
        <v>244</v>
      </c>
      <c r="N1020" s="67" t="s">
        <v>259</v>
      </c>
      <c r="O1020" s="67" t="s">
        <v>2116</v>
      </c>
      <c r="P1020" s="67" t="s">
        <v>19</v>
      </c>
      <c r="Q1020" s="192">
        <v>65.5</v>
      </c>
    </row>
    <row r="1021" spans="1:17" ht="11.1" hidden="1" customHeight="1" x14ac:dyDescent="0.2">
      <c r="A1021" s="3"/>
      <c r="B1021" s="3" t="str">
        <f ca="1">IF(A1021="В заказ",MAX($B$9:OFFSET(B1021,-1,0))+1,"")</f>
        <v/>
      </c>
      <c r="C1021" s="6" t="str">
        <f t="shared" si="34"/>
        <v>Кромка 2,0 H3170 ST12  (75 м бухта).</v>
      </c>
      <c r="D1021" s="67" t="s">
        <v>241</v>
      </c>
      <c r="E1021" s="67" t="s">
        <v>34</v>
      </c>
      <c r="F1021" s="67" t="s">
        <v>744</v>
      </c>
      <c r="G1021" s="68">
        <v>16890</v>
      </c>
      <c r="H1021" s="67" t="s">
        <v>330</v>
      </c>
      <c r="I1021" s="200"/>
      <c r="J1021" s="67" t="s">
        <v>110</v>
      </c>
      <c r="K1021" s="67" t="s">
        <v>111</v>
      </c>
      <c r="L1021" s="67" t="s">
        <v>41</v>
      </c>
      <c r="M1021" s="67" t="s">
        <v>264</v>
      </c>
      <c r="N1021" s="67" t="s">
        <v>259</v>
      </c>
      <c r="O1021" s="67" t="s">
        <v>2116</v>
      </c>
      <c r="P1021" s="67" t="s">
        <v>19</v>
      </c>
      <c r="Q1021" s="192">
        <v>94.1</v>
      </c>
    </row>
    <row r="1022" spans="1:17" ht="11.1" hidden="1" customHeight="1" x14ac:dyDescent="0.2">
      <c r="A1022" s="3"/>
      <c r="B1022" s="3" t="str">
        <f ca="1">IF(A1022="В заказ",MAX($B$9:OFFSET(B1022,-1,0))+1,"")</f>
        <v/>
      </c>
      <c r="C1022" s="6" t="str">
        <f t="shared" si="34"/>
        <v>Кромка 2,0 H3170 ST12  (75 м бухта).</v>
      </c>
      <c r="D1022" s="67" t="s">
        <v>241</v>
      </c>
      <c r="E1022" s="67" t="s">
        <v>34</v>
      </c>
      <c r="F1022" s="67" t="s">
        <v>745</v>
      </c>
      <c r="G1022" s="68">
        <v>16280</v>
      </c>
      <c r="H1022" s="67" t="s">
        <v>330</v>
      </c>
      <c r="I1022" s="200"/>
      <c r="J1022" s="67" t="s">
        <v>110</v>
      </c>
      <c r="K1022" s="67" t="s">
        <v>111</v>
      </c>
      <c r="L1022" s="67" t="s">
        <v>41</v>
      </c>
      <c r="M1022" s="67" t="s">
        <v>270</v>
      </c>
      <c r="N1022" s="67" t="s">
        <v>259</v>
      </c>
      <c r="O1022" s="67" t="s">
        <v>2116</v>
      </c>
      <c r="P1022" s="67" t="s">
        <v>19</v>
      </c>
      <c r="Q1022" s="192">
        <v>127.6</v>
      </c>
    </row>
    <row r="1023" spans="1:17" ht="11.1" hidden="1" customHeight="1" x14ac:dyDescent="0.2">
      <c r="A1023" s="3"/>
      <c r="B1023" s="3" t="str">
        <f ca="1">IF(A1023="В заказ",MAX($B$9:OFFSET(B1023,-1,0))+1,"")</f>
        <v/>
      </c>
      <c r="C1023" s="6" t="str">
        <f t="shared" si="34"/>
        <v>Кромка 0,4 H3176 ST37  (200 м бухта).</v>
      </c>
      <c r="D1023" s="67" t="s">
        <v>241</v>
      </c>
      <c r="E1023" s="67" t="s">
        <v>34</v>
      </c>
      <c r="F1023" s="67" t="s">
        <v>746</v>
      </c>
      <c r="G1023" s="68">
        <v>21717</v>
      </c>
      <c r="H1023" s="67" t="s">
        <v>330</v>
      </c>
      <c r="I1023" s="200"/>
      <c r="J1023" s="67" t="s">
        <v>747</v>
      </c>
      <c r="K1023" s="67" t="s">
        <v>748</v>
      </c>
      <c r="L1023" s="67" t="s">
        <v>55</v>
      </c>
      <c r="M1023" s="67" t="s">
        <v>252</v>
      </c>
      <c r="N1023" s="67" t="s">
        <v>253</v>
      </c>
      <c r="O1023" s="67" t="s">
        <v>2117</v>
      </c>
      <c r="P1023" s="67" t="s">
        <v>19</v>
      </c>
      <c r="Q1023" s="192">
        <v>17.899999999999999</v>
      </c>
    </row>
    <row r="1024" spans="1:17" ht="11.1" hidden="1" customHeight="1" x14ac:dyDescent="0.2">
      <c r="A1024" s="3"/>
      <c r="B1024" s="3" t="str">
        <f ca="1">IF(A1024="В заказ",MAX($B$9:OFFSET(B1024,-1,0))+1,"")</f>
        <v/>
      </c>
      <c r="C1024" s="6" t="str">
        <f t="shared" si="34"/>
        <v>Кромка 0,4 H3176 ST37  (200 м бухта).</v>
      </c>
      <c r="D1024" s="67" t="s">
        <v>241</v>
      </c>
      <c r="E1024" s="67" t="s">
        <v>34</v>
      </c>
      <c r="F1024" s="67" t="s">
        <v>749</v>
      </c>
      <c r="G1024" s="68">
        <v>21720</v>
      </c>
      <c r="H1024" s="67" t="s">
        <v>330</v>
      </c>
      <c r="I1024" s="200"/>
      <c r="J1024" s="67" t="s">
        <v>747</v>
      </c>
      <c r="K1024" s="67" t="s">
        <v>748</v>
      </c>
      <c r="L1024" s="67" t="s">
        <v>55</v>
      </c>
      <c r="M1024" s="67" t="s">
        <v>264</v>
      </c>
      <c r="N1024" s="67" t="s">
        <v>253</v>
      </c>
      <c r="O1024" s="67" t="s">
        <v>2117</v>
      </c>
      <c r="P1024" s="67" t="s">
        <v>19</v>
      </c>
      <c r="Q1024" s="192">
        <v>28.9</v>
      </c>
    </row>
    <row r="1025" spans="1:17" ht="11.1" hidden="1" customHeight="1" x14ac:dyDescent="0.2">
      <c r="A1025" s="3"/>
      <c r="B1025" s="3" t="str">
        <f ca="1">IF(A1025="В заказ",MAX($B$9:OFFSET(B1025,-1,0))+1,"")</f>
        <v/>
      </c>
      <c r="C1025" s="6" t="str">
        <f t="shared" si="34"/>
        <v>Кромка 0,8 H3176 ST37  (75 м бухта).</v>
      </c>
      <c r="D1025" s="67" t="s">
        <v>241</v>
      </c>
      <c r="E1025" s="67" t="s">
        <v>34</v>
      </c>
      <c r="F1025" s="67" t="s">
        <v>750</v>
      </c>
      <c r="G1025" s="68">
        <v>21718</v>
      </c>
      <c r="H1025" s="67" t="s">
        <v>330</v>
      </c>
      <c r="I1025" s="200"/>
      <c r="J1025" s="67" t="s">
        <v>747</v>
      </c>
      <c r="K1025" s="67" t="s">
        <v>748</v>
      </c>
      <c r="L1025" s="67" t="s">
        <v>55</v>
      </c>
      <c r="M1025" s="67" t="s">
        <v>252</v>
      </c>
      <c r="N1025" s="67" t="s">
        <v>10</v>
      </c>
      <c r="O1025" s="67" t="s">
        <v>2116</v>
      </c>
      <c r="P1025" s="67" t="s">
        <v>19</v>
      </c>
      <c r="Q1025" s="71">
        <v>35</v>
      </c>
    </row>
    <row r="1026" spans="1:17" ht="11.1" hidden="1" customHeight="1" x14ac:dyDescent="0.2">
      <c r="A1026" s="3"/>
      <c r="B1026" s="3" t="str">
        <f ca="1">IF(A1026="В заказ",MAX($B$9:OFFSET(B1026,-1,0))+1,"")</f>
        <v/>
      </c>
      <c r="C1026" s="6" t="str">
        <f t="shared" si="34"/>
        <v>Кромка 2,0 H3176 ST37  (75 м бухта).</v>
      </c>
      <c r="D1026" s="67" t="s">
        <v>241</v>
      </c>
      <c r="E1026" s="67" t="s">
        <v>34</v>
      </c>
      <c r="F1026" s="67" t="s">
        <v>751</v>
      </c>
      <c r="G1026" s="68">
        <v>21719</v>
      </c>
      <c r="H1026" s="67" t="s">
        <v>330</v>
      </c>
      <c r="I1026" s="200"/>
      <c r="J1026" s="67" t="s">
        <v>747</v>
      </c>
      <c r="K1026" s="67" t="s">
        <v>748</v>
      </c>
      <c r="L1026" s="67" t="s">
        <v>55</v>
      </c>
      <c r="M1026" s="67" t="s">
        <v>252</v>
      </c>
      <c r="N1026" s="67" t="s">
        <v>259</v>
      </c>
      <c r="O1026" s="67" t="s">
        <v>2116</v>
      </c>
      <c r="P1026" s="67" t="s">
        <v>19</v>
      </c>
      <c r="Q1026" s="192">
        <v>62.6</v>
      </c>
    </row>
    <row r="1027" spans="1:17" ht="11.1" hidden="1" customHeight="1" x14ac:dyDescent="0.2">
      <c r="A1027" s="3"/>
      <c r="B1027" s="3" t="str">
        <f ca="1">IF(A1027="В заказ",MAX($B$9:OFFSET(B1027,-1,0))+1,"")</f>
        <v/>
      </c>
      <c r="C1027" s="6" t="str">
        <f t="shared" si="34"/>
        <v>Кромка 2,0 H3176 ST37  (75 м бухта).</v>
      </c>
      <c r="D1027" s="67" t="s">
        <v>241</v>
      </c>
      <c r="E1027" s="67" t="s">
        <v>34</v>
      </c>
      <c r="F1027" s="67" t="s">
        <v>752</v>
      </c>
      <c r="G1027" s="68">
        <v>21721</v>
      </c>
      <c r="H1027" s="67" t="s">
        <v>330</v>
      </c>
      <c r="I1027" s="200"/>
      <c r="J1027" s="67" t="s">
        <v>747</v>
      </c>
      <c r="K1027" s="67" t="s">
        <v>748</v>
      </c>
      <c r="L1027" s="67" t="s">
        <v>55</v>
      </c>
      <c r="M1027" s="67" t="s">
        <v>264</v>
      </c>
      <c r="N1027" s="67" t="s">
        <v>259</v>
      </c>
      <c r="O1027" s="67" t="s">
        <v>2116</v>
      </c>
      <c r="P1027" s="67" t="s">
        <v>19</v>
      </c>
      <c r="Q1027" s="192">
        <v>94.1</v>
      </c>
    </row>
    <row r="1028" spans="1:17" ht="11.1" hidden="1" customHeight="1" x14ac:dyDescent="0.2">
      <c r="A1028" s="3"/>
      <c r="B1028" s="3" t="str">
        <f ca="1">IF(A1028="В заказ",MAX($B$9:OFFSET(B1028,-1,0))+1,"")</f>
        <v/>
      </c>
      <c r="C1028" s="6" t="str">
        <f t="shared" si="34"/>
        <v>Кромка 2,0 H3176 ST37  (75 м бухта).</v>
      </c>
      <c r="D1028" s="67" t="s">
        <v>241</v>
      </c>
      <c r="E1028" s="67" t="s">
        <v>34</v>
      </c>
      <c r="F1028" s="67" t="s">
        <v>753</v>
      </c>
      <c r="G1028" s="68">
        <v>21722</v>
      </c>
      <c r="H1028" s="67" t="s">
        <v>330</v>
      </c>
      <c r="I1028" s="200"/>
      <c r="J1028" s="67" t="s">
        <v>747</v>
      </c>
      <c r="K1028" s="67" t="s">
        <v>748</v>
      </c>
      <c r="L1028" s="67" t="s">
        <v>55</v>
      </c>
      <c r="M1028" s="67" t="s">
        <v>270</v>
      </c>
      <c r="N1028" s="67" t="s">
        <v>259</v>
      </c>
      <c r="O1028" s="67" t="s">
        <v>2116</v>
      </c>
      <c r="P1028" s="67" t="s">
        <v>19</v>
      </c>
      <c r="Q1028" s="192">
        <v>127.6</v>
      </c>
    </row>
    <row r="1029" spans="1:17" ht="11.1" hidden="1" customHeight="1" x14ac:dyDescent="0.2">
      <c r="A1029" s="3"/>
      <c r="B1029" s="3" t="str">
        <f ca="1">IF(A1029="В заказ",MAX($B$9:OFFSET(B1029,-1,0))+1,"")</f>
        <v/>
      </c>
      <c r="C1029" s="6" t="str">
        <f t="shared" si="34"/>
        <v>Кромка 1,0 H3180 TM37  (75 м бухта).</v>
      </c>
      <c r="D1029" s="67" t="s">
        <v>241</v>
      </c>
      <c r="E1029" s="67" t="s">
        <v>34</v>
      </c>
      <c r="F1029" s="67" t="s">
        <v>754</v>
      </c>
      <c r="G1029" s="68">
        <v>24419</v>
      </c>
      <c r="H1029" s="67" t="s">
        <v>438</v>
      </c>
      <c r="I1029" s="200"/>
      <c r="J1029" s="67" t="s">
        <v>755</v>
      </c>
      <c r="K1029" s="67" t="s">
        <v>756</v>
      </c>
      <c r="L1029" s="67" t="s">
        <v>441</v>
      </c>
      <c r="M1029" s="67" t="s">
        <v>244</v>
      </c>
      <c r="N1029" s="67" t="s">
        <v>245</v>
      </c>
      <c r="O1029" s="67" t="s">
        <v>2116</v>
      </c>
      <c r="P1029" s="67" t="s">
        <v>19</v>
      </c>
      <c r="Q1029" s="192">
        <v>89.9</v>
      </c>
    </row>
    <row r="1030" spans="1:17" ht="11.1" hidden="1" customHeight="1" x14ac:dyDescent="0.2">
      <c r="A1030" s="3"/>
      <c r="B1030" s="3" t="str">
        <f ca="1">IF(A1030="В заказ",MAX($B$9:OFFSET(B1030,-1,0))+1,"")</f>
        <v/>
      </c>
      <c r="C1030" s="6" t="str">
        <f t="shared" si="34"/>
        <v>Кромка 0,4 H3190 ST19  (200 м бухта).</v>
      </c>
      <c r="D1030" s="67" t="s">
        <v>241</v>
      </c>
      <c r="E1030" s="67" t="s">
        <v>34</v>
      </c>
      <c r="F1030" s="67" t="s">
        <v>757</v>
      </c>
      <c r="G1030" s="68">
        <v>21729</v>
      </c>
      <c r="H1030" s="67" t="s">
        <v>330</v>
      </c>
      <c r="I1030" s="200"/>
      <c r="J1030" s="67" t="s">
        <v>758</v>
      </c>
      <c r="K1030" s="67" t="s">
        <v>759</v>
      </c>
      <c r="L1030" s="67" t="s">
        <v>251</v>
      </c>
      <c r="M1030" s="67" t="s">
        <v>252</v>
      </c>
      <c r="N1030" s="67" t="s">
        <v>253</v>
      </c>
      <c r="O1030" s="67" t="s">
        <v>2117</v>
      </c>
      <c r="P1030" s="67" t="s">
        <v>19</v>
      </c>
      <c r="Q1030" s="192">
        <v>17.899999999999999</v>
      </c>
    </row>
    <row r="1031" spans="1:17" ht="11.1" hidden="1" customHeight="1" x14ac:dyDescent="0.2">
      <c r="A1031" s="3"/>
      <c r="B1031" s="3" t="str">
        <f ca="1">IF(A1031="В заказ",MAX($B$9:OFFSET(B1031,-1,0))+1,"")</f>
        <v/>
      </c>
      <c r="C1031" s="6" t="str">
        <f t="shared" si="34"/>
        <v>Кромка 0,4 H3190 ST19  (200 м бухта).</v>
      </c>
      <c r="D1031" s="67" t="s">
        <v>241</v>
      </c>
      <c r="E1031" s="67" t="s">
        <v>34</v>
      </c>
      <c r="F1031" s="67" t="s">
        <v>760</v>
      </c>
      <c r="G1031" s="68">
        <v>24515</v>
      </c>
      <c r="H1031" s="67" t="s">
        <v>330</v>
      </c>
      <c r="I1031" s="200"/>
      <c r="J1031" s="67" t="s">
        <v>758</v>
      </c>
      <c r="K1031" s="67" t="s">
        <v>759</v>
      </c>
      <c r="L1031" s="67" t="s">
        <v>251</v>
      </c>
      <c r="M1031" s="67" t="s">
        <v>244</v>
      </c>
      <c r="N1031" s="67" t="s">
        <v>253</v>
      </c>
      <c r="O1031" s="67" t="s">
        <v>2117</v>
      </c>
      <c r="P1031" s="67" t="s">
        <v>19</v>
      </c>
      <c r="Q1031" s="71">
        <v>22</v>
      </c>
    </row>
    <row r="1032" spans="1:17" ht="11.1" hidden="1" customHeight="1" x14ac:dyDescent="0.2">
      <c r="A1032" s="3"/>
      <c r="B1032" s="3" t="str">
        <f ca="1">IF(A1032="В заказ",MAX($B$9:OFFSET(B1032,-1,0))+1,"")</f>
        <v/>
      </c>
      <c r="C1032" s="6" t="str">
        <f t="shared" si="34"/>
        <v>Кромка 0,4 H3190 ST19  (200 м бухта).</v>
      </c>
      <c r="D1032" s="67" t="s">
        <v>241</v>
      </c>
      <c r="E1032" s="67" t="s">
        <v>34</v>
      </c>
      <c r="F1032" s="67" t="s">
        <v>761</v>
      </c>
      <c r="G1032" s="68">
        <v>21733</v>
      </c>
      <c r="H1032" s="67" t="s">
        <v>330</v>
      </c>
      <c r="I1032" s="200"/>
      <c r="J1032" s="67" t="s">
        <v>758</v>
      </c>
      <c r="K1032" s="67" t="s">
        <v>759</v>
      </c>
      <c r="L1032" s="67" t="s">
        <v>251</v>
      </c>
      <c r="M1032" s="67" t="s">
        <v>264</v>
      </c>
      <c r="N1032" s="67" t="s">
        <v>253</v>
      </c>
      <c r="O1032" s="67" t="s">
        <v>2117</v>
      </c>
      <c r="P1032" s="67" t="s">
        <v>19</v>
      </c>
      <c r="Q1032" s="192">
        <v>28.9</v>
      </c>
    </row>
    <row r="1033" spans="1:17" ht="11.1" hidden="1" customHeight="1" x14ac:dyDescent="0.2">
      <c r="A1033" s="3"/>
      <c r="B1033" s="3" t="str">
        <f ca="1">IF(A1033="В заказ",MAX($B$9:OFFSET(B1033,-1,0))+1,"")</f>
        <v/>
      </c>
      <c r="C1033" s="6" t="str">
        <f t="shared" si="34"/>
        <v>Кромка 0,8 H3190 ST19  (75 м бухта).</v>
      </c>
      <c r="D1033" s="67" t="s">
        <v>241</v>
      </c>
      <c r="E1033" s="67" t="s">
        <v>34</v>
      </c>
      <c r="F1033" s="67" t="s">
        <v>762</v>
      </c>
      <c r="G1033" s="68">
        <v>21731</v>
      </c>
      <c r="H1033" s="67" t="s">
        <v>330</v>
      </c>
      <c r="I1033" s="200"/>
      <c r="J1033" s="67" t="s">
        <v>758</v>
      </c>
      <c r="K1033" s="67" t="s">
        <v>759</v>
      </c>
      <c r="L1033" s="67" t="s">
        <v>251</v>
      </c>
      <c r="M1033" s="67" t="s">
        <v>252</v>
      </c>
      <c r="N1033" s="67" t="s">
        <v>10</v>
      </c>
      <c r="O1033" s="67" t="s">
        <v>2116</v>
      </c>
      <c r="P1033" s="67" t="s">
        <v>19</v>
      </c>
      <c r="Q1033" s="71">
        <v>35</v>
      </c>
    </row>
    <row r="1034" spans="1:17" ht="11.1" hidden="1" customHeight="1" x14ac:dyDescent="0.2">
      <c r="A1034" s="3"/>
      <c r="B1034" s="3" t="str">
        <f ca="1">IF(A1034="В заказ",MAX($B$9:OFFSET(B1034,-1,0))+1,"")</f>
        <v/>
      </c>
      <c r="C1034" s="6" t="str">
        <f t="shared" si="34"/>
        <v>Кромка 0,8 H3190 ST19  (75 м бухта).</v>
      </c>
      <c r="D1034" s="67" t="s">
        <v>241</v>
      </c>
      <c r="E1034" s="67" t="s">
        <v>34</v>
      </c>
      <c r="F1034" s="67" t="s">
        <v>763</v>
      </c>
      <c r="G1034" s="68">
        <v>24516</v>
      </c>
      <c r="H1034" s="67" t="s">
        <v>330</v>
      </c>
      <c r="I1034" s="200"/>
      <c r="J1034" s="67" t="s">
        <v>758</v>
      </c>
      <c r="K1034" s="67" t="s">
        <v>759</v>
      </c>
      <c r="L1034" s="67" t="s">
        <v>251</v>
      </c>
      <c r="M1034" s="67" t="s">
        <v>244</v>
      </c>
      <c r="N1034" s="67" t="s">
        <v>10</v>
      </c>
      <c r="O1034" s="67" t="s">
        <v>2116</v>
      </c>
      <c r="P1034" s="67" t="s">
        <v>19</v>
      </c>
      <c r="Q1034" s="192">
        <v>42.3</v>
      </c>
    </row>
    <row r="1035" spans="1:17" ht="11.1" hidden="1" customHeight="1" x14ac:dyDescent="0.2">
      <c r="A1035" s="3"/>
      <c r="B1035" s="3" t="str">
        <f ca="1">IF(A1035="В заказ",MAX($B$9:OFFSET(B1035,-1,0))+1,"")</f>
        <v/>
      </c>
      <c r="C1035" s="6" t="str">
        <f t="shared" si="34"/>
        <v>Кромка 2,0 H3190 ST19  (75 м бухта).</v>
      </c>
      <c r="D1035" s="67" t="s">
        <v>241</v>
      </c>
      <c r="E1035" s="67" t="s">
        <v>34</v>
      </c>
      <c r="F1035" s="67" t="s">
        <v>764</v>
      </c>
      <c r="G1035" s="68">
        <v>21732</v>
      </c>
      <c r="H1035" s="67" t="s">
        <v>330</v>
      </c>
      <c r="I1035" s="200"/>
      <c r="J1035" s="67" t="s">
        <v>758</v>
      </c>
      <c r="K1035" s="67" t="s">
        <v>759</v>
      </c>
      <c r="L1035" s="67" t="s">
        <v>251</v>
      </c>
      <c r="M1035" s="67" t="s">
        <v>252</v>
      </c>
      <c r="N1035" s="67" t="s">
        <v>259</v>
      </c>
      <c r="O1035" s="67" t="s">
        <v>2116</v>
      </c>
      <c r="P1035" s="67" t="s">
        <v>19</v>
      </c>
      <c r="Q1035" s="192">
        <v>62.6</v>
      </c>
    </row>
    <row r="1036" spans="1:17" ht="11.1" hidden="1" customHeight="1" x14ac:dyDescent="0.2">
      <c r="A1036" s="3"/>
      <c r="B1036" s="3" t="str">
        <f ca="1">IF(A1036="В заказ",MAX($B$9:OFFSET(B1036,-1,0))+1,"")</f>
        <v/>
      </c>
      <c r="C1036" s="6" t="str">
        <f t="shared" si="34"/>
        <v>Кромка 2,0 H3190 ST19  (75 м бухта).</v>
      </c>
      <c r="D1036" s="67" t="s">
        <v>241</v>
      </c>
      <c r="E1036" s="67" t="s">
        <v>34</v>
      </c>
      <c r="F1036" s="67" t="s">
        <v>765</v>
      </c>
      <c r="G1036" s="68">
        <v>23309</v>
      </c>
      <c r="H1036" s="67" t="s">
        <v>330</v>
      </c>
      <c r="I1036" s="200"/>
      <c r="J1036" s="67" t="s">
        <v>758</v>
      </c>
      <c r="K1036" s="67" t="s">
        <v>759</v>
      </c>
      <c r="L1036" s="67" t="s">
        <v>251</v>
      </c>
      <c r="M1036" s="67" t="s">
        <v>244</v>
      </c>
      <c r="N1036" s="67" t="s">
        <v>259</v>
      </c>
      <c r="O1036" s="67" t="s">
        <v>2116</v>
      </c>
      <c r="P1036" s="67" t="s">
        <v>19</v>
      </c>
      <c r="Q1036" s="192">
        <v>65.5</v>
      </c>
    </row>
    <row r="1037" spans="1:17" ht="11.1" hidden="1" customHeight="1" x14ac:dyDescent="0.2">
      <c r="A1037" s="3"/>
      <c r="B1037" s="3" t="str">
        <f ca="1">IF(A1037="В заказ",MAX($B$9:OFFSET(B1037,-1,0))+1,"")</f>
        <v/>
      </c>
      <c r="C1037" s="6" t="str">
        <f t="shared" si="34"/>
        <v>Кромка 2,0 H3190 ST19  (75 м бухта).</v>
      </c>
      <c r="D1037" s="67" t="s">
        <v>241</v>
      </c>
      <c r="E1037" s="67" t="s">
        <v>34</v>
      </c>
      <c r="F1037" s="67" t="s">
        <v>766</v>
      </c>
      <c r="G1037" s="68">
        <v>21734</v>
      </c>
      <c r="H1037" s="67" t="s">
        <v>330</v>
      </c>
      <c r="I1037" s="200"/>
      <c r="J1037" s="67" t="s">
        <v>758</v>
      </c>
      <c r="K1037" s="67" t="s">
        <v>759</v>
      </c>
      <c r="L1037" s="67" t="s">
        <v>251</v>
      </c>
      <c r="M1037" s="67" t="s">
        <v>264</v>
      </c>
      <c r="N1037" s="67" t="s">
        <v>259</v>
      </c>
      <c r="O1037" s="67" t="s">
        <v>2116</v>
      </c>
      <c r="P1037" s="67" t="s">
        <v>19</v>
      </c>
      <c r="Q1037" s="192">
        <v>94.1</v>
      </c>
    </row>
    <row r="1038" spans="1:17" ht="11.1" hidden="1" customHeight="1" x14ac:dyDescent="0.2">
      <c r="A1038" s="3"/>
      <c r="B1038" s="3" t="str">
        <f ca="1">IF(A1038="В заказ",MAX($B$9:OFFSET(B1038,-1,0))+1,"")</f>
        <v/>
      </c>
      <c r="C1038" s="6" t="str">
        <f t="shared" si="34"/>
        <v>Кромка 2,0 H3190 ST19  (75 м бухта).</v>
      </c>
      <c r="D1038" s="67" t="s">
        <v>241</v>
      </c>
      <c r="E1038" s="67" t="s">
        <v>34</v>
      </c>
      <c r="F1038" s="67" t="s">
        <v>767</v>
      </c>
      <c r="G1038" s="68">
        <v>21735</v>
      </c>
      <c r="H1038" s="67" t="s">
        <v>330</v>
      </c>
      <c r="I1038" s="200"/>
      <c r="J1038" s="67" t="s">
        <v>758</v>
      </c>
      <c r="K1038" s="67" t="s">
        <v>759</v>
      </c>
      <c r="L1038" s="67" t="s">
        <v>251</v>
      </c>
      <c r="M1038" s="67" t="s">
        <v>270</v>
      </c>
      <c r="N1038" s="67" t="s">
        <v>259</v>
      </c>
      <c r="O1038" s="67" t="s">
        <v>2116</v>
      </c>
      <c r="P1038" s="67" t="s">
        <v>19</v>
      </c>
      <c r="Q1038" s="192">
        <v>127.6</v>
      </c>
    </row>
    <row r="1039" spans="1:17" ht="11.1" hidden="1" customHeight="1" x14ac:dyDescent="0.2">
      <c r="A1039" s="3"/>
      <c r="B1039" s="3" t="str">
        <f ca="1">IF(A1039="В заказ",MAX($B$9:OFFSET(B1039,-1,0))+1,"")</f>
        <v/>
      </c>
      <c r="C1039" s="6" t="str">
        <f t="shared" si="34"/>
        <v>Кромка 0,4 H3192 ST19  (200 м бухта).</v>
      </c>
      <c r="D1039" s="67" t="s">
        <v>241</v>
      </c>
      <c r="E1039" s="67" t="s">
        <v>34</v>
      </c>
      <c r="F1039" s="67" t="s">
        <v>768</v>
      </c>
      <c r="G1039" s="68">
        <v>21736</v>
      </c>
      <c r="H1039" s="67" t="s">
        <v>330</v>
      </c>
      <c r="I1039" s="200"/>
      <c r="J1039" s="67" t="s">
        <v>769</v>
      </c>
      <c r="K1039" s="67" t="s">
        <v>770</v>
      </c>
      <c r="L1039" s="67" t="s">
        <v>251</v>
      </c>
      <c r="M1039" s="67" t="s">
        <v>252</v>
      </c>
      <c r="N1039" s="67" t="s">
        <v>253</v>
      </c>
      <c r="O1039" s="67" t="s">
        <v>2117</v>
      </c>
      <c r="P1039" s="67" t="s">
        <v>19</v>
      </c>
      <c r="Q1039" s="192">
        <v>17.899999999999999</v>
      </c>
    </row>
    <row r="1040" spans="1:17" ht="11.1" hidden="1" customHeight="1" x14ac:dyDescent="0.2">
      <c r="A1040" s="3"/>
      <c r="B1040" s="3" t="str">
        <f ca="1">IF(A1040="В заказ",MAX($B$9:OFFSET(B1040,-1,0))+1,"")</f>
        <v/>
      </c>
      <c r="C1040" s="6" t="str">
        <f t="shared" si="34"/>
        <v>Кромка 0,4 H3192 ST19  (200 м бухта).</v>
      </c>
      <c r="D1040" s="67" t="s">
        <v>241</v>
      </c>
      <c r="E1040" s="67" t="s">
        <v>34</v>
      </c>
      <c r="F1040" s="67" t="s">
        <v>771</v>
      </c>
      <c r="G1040" s="68">
        <v>24512</v>
      </c>
      <c r="H1040" s="67" t="s">
        <v>330</v>
      </c>
      <c r="I1040" s="200"/>
      <c r="J1040" s="67" t="s">
        <v>769</v>
      </c>
      <c r="K1040" s="67" t="s">
        <v>770</v>
      </c>
      <c r="L1040" s="67" t="s">
        <v>251</v>
      </c>
      <c r="M1040" s="67" t="s">
        <v>244</v>
      </c>
      <c r="N1040" s="67" t="s">
        <v>253</v>
      </c>
      <c r="O1040" s="67" t="s">
        <v>2117</v>
      </c>
      <c r="P1040" s="67" t="s">
        <v>19</v>
      </c>
      <c r="Q1040" s="71">
        <v>22</v>
      </c>
    </row>
    <row r="1041" spans="1:17" ht="11.1" hidden="1" customHeight="1" x14ac:dyDescent="0.2">
      <c r="A1041" s="3"/>
      <c r="B1041" s="3" t="str">
        <f ca="1">IF(A1041="В заказ",MAX($B$9:OFFSET(B1041,-1,0))+1,"")</f>
        <v/>
      </c>
      <c r="C1041" s="6" t="str">
        <f t="shared" si="34"/>
        <v>Кромка 0,4 H3192 ST19  (200 м бухта).</v>
      </c>
      <c r="D1041" s="67" t="s">
        <v>241</v>
      </c>
      <c r="E1041" s="67" t="s">
        <v>34</v>
      </c>
      <c r="F1041" s="67" t="s">
        <v>772</v>
      </c>
      <c r="G1041" s="68">
        <v>21739</v>
      </c>
      <c r="H1041" s="67" t="s">
        <v>330</v>
      </c>
      <c r="I1041" s="200"/>
      <c r="J1041" s="67" t="s">
        <v>769</v>
      </c>
      <c r="K1041" s="67" t="s">
        <v>770</v>
      </c>
      <c r="L1041" s="67" t="s">
        <v>251</v>
      </c>
      <c r="M1041" s="67" t="s">
        <v>264</v>
      </c>
      <c r="N1041" s="67" t="s">
        <v>253</v>
      </c>
      <c r="O1041" s="67" t="s">
        <v>2117</v>
      </c>
      <c r="P1041" s="67" t="s">
        <v>19</v>
      </c>
      <c r="Q1041" s="192">
        <v>28.9</v>
      </c>
    </row>
    <row r="1042" spans="1:17" ht="11.1" hidden="1" customHeight="1" x14ac:dyDescent="0.2">
      <c r="A1042" s="3"/>
      <c r="B1042" s="3" t="str">
        <f ca="1">IF(A1042="В заказ",MAX($B$9:OFFSET(B1042,-1,0))+1,"")</f>
        <v/>
      </c>
      <c r="C1042" s="6" t="str">
        <f t="shared" si="34"/>
        <v>Кромка 0,8 H3192 ST19  (75 м бухта).</v>
      </c>
      <c r="D1042" s="67" t="s">
        <v>241</v>
      </c>
      <c r="E1042" s="67" t="s">
        <v>34</v>
      </c>
      <c r="F1042" s="67" t="s">
        <v>773</v>
      </c>
      <c r="G1042" s="68">
        <v>21737</v>
      </c>
      <c r="H1042" s="67" t="s">
        <v>330</v>
      </c>
      <c r="I1042" s="200"/>
      <c r="J1042" s="67" t="s">
        <v>769</v>
      </c>
      <c r="K1042" s="67" t="s">
        <v>770</v>
      </c>
      <c r="L1042" s="67" t="s">
        <v>251</v>
      </c>
      <c r="M1042" s="67" t="s">
        <v>252</v>
      </c>
      <c r="N1042" s="67" t="s">
        <v>10</v>
      </c>
      <c r="O1042" s="67" t="s">
        <v>2116</v>
      </c>
      <c r="P1042" s="67" t="s">
        <v>19</v>
      </c>
      <c r="Q1042" s="71">
        <v>35</v>
      </c>
    </row>
    <row r="1043" spans="1:17" ht="11.1" hidden="1" customHeight="1" x14ac:dyDescent="0.2">
      <c r="A1043" s="3"/>
      <c r="B1043" s="3" t="str">
        <f ca="1">IF(A1043="В заказ",MAX($B$9:OFFSET(B1043,-1,0))+1,"")</f>
        <v/>
      </c>
      <c r="C1043" s="6" t="str">
        <f t="shared" si="34"/>
        <v>Кромка 0,8 H3192 ST19  (75 м бухта).</v>
      </c>
      <c r="D1043" s="67" t="s">
        <v>241</v>
      </c>
      <c r="E1043" s="67" t="s">
        <v>34</v>
      </c>
      <c r="F1043" s="67" t="s">
        <v>774</v>
      </c>
      <c r="G1043" s="68">
        <v>24513</v>
      </c>
      <c r="H1043" s="67" t="s">
        <v>330</v>
      </c>
      <c r="I1043" s="200"/>
      <c r="J1043" s="67" t="s">
        <v>769</v>
      </c>
      <c r="K1043" s="67" t="s">
        <v>770</v>
      </c>
      <c r="L1043" s="67" t="s">
        <v>251</v>
      </c>
      <c r="M1043" s="67" t="s">
        <v>244</v>
      </c>
      <c r="N1043" s="67" t="s">
        <v>10</v>
      </c>
      <c r="O1043" s="67" t="s">
        <v>2116</v>
      </c>
      <c r="P1043" s="67" t="s">
        <v>19</v>
      </c>
      <c r="Q1043" s="192">
        <v>42.3</v>
      </c>
    </row>
    <row r="1044" spans="1:17" ht="11.1" hidden="1" customHeight="1" x14ac:dyDescent="0.2">
      <c r="A1044" s="3"/>
      <c r="B1044" s="3" t="str">
        <f ca="1">IF(A1044="В заказ",MAX($B$9:OFFSET(B1044,-1,0))+1,"")</f>
        <v/>
      </c>
      <c r="C1044" s="6" t="str">
        <f t="shared" si="34"/>
        <v>Кромка 2,0 H3192 ST19  (75 м бухта).</v>
      </c>
      <c r="D1044" s="67" t="s">
        <v>241</v>
      </c>
      <c r="E1044" s="67" t="s">
        <v>34</v>
      </c>
      <c r="F1044" s="67" t="s">
        <v>775</v>
      </c>
      <c r="G1044" s="68">
        <v>21738</v>
      </c>
      <c r="H1044" s="67" t="s">
        <v>330</v>
      </c>
      <c r="I1044" s="200"/>
      <c r="J1044" s="67" t="s">
        <v>769</v>
      </c>
      <c r="K1044" s="67" t="s">
        <v>770</v>
      </c>
      <c r="L1044" s="67" t="s">
        <v>251</v>
      </c>
      <c r="M1044" s="67" t="s">
        <v>252</v>
      </c>
      <c r="N1044" s="67" t="s">
        <v>259</v>
      </c>
      <c r="O1044" s="67" t="s">
        <v>2116</v>
      </c>
      <c r="P1044" s="67" t="s">
        <v>19</v>
      </c>
      <c r="Q1044" s="192">
        <v>62.6</v>
      </c>
    </row>
    <row r="1045" spans="1:17" ht="11.1" hidden="1" customHeight="1" x14ac:dyDescent="0.2">
      <c r="A1045" s="3"/>
      <c r="B1045" s="3" t="str">
        <f ca="1">IF(A1045="В заказ",MAX($B$9:OFFSET(B1045,-1,0))+1,"")</f>
        <v/>
      </c>
      <c r="C1045" s="6" t="str">
        <f t="shared" si="34"/>
        <v>Кромка 2,0 H3192 ST19  (75 м бухта).</v>
      </c>
      <c r="D1045" s="67" t="s">
        <v>241</v>
      </c>
      <c r="E1045" s="67" t="s">
        <v>34</v>
      </c>
      <c r="F1045" s="67" t="s">
        <v>776</v>
      </c>
      <c r="G1045" s="68">
        <v>24514</v>
      </c>
      <c r="H1045" s="67" t="s">
        <v>330</v>
      </c>
      <c r="I1045" s="200"/>
      <c r="J1045" s="67" t="s">
        <v>769</v>
      </c>
      <c r="K1045" s="67" t="s">
        <v>770</v>
      </c>
      <c r="L1045" s="67" t="s">
        <v>251</v>
      </c>
      <c r="M1045" s="67" t="s">
        <v>244</v>
      </c>
      <c r="N1045" s="67" t="s">
        <v>259</v>
      </c>
      <c r="O1045" s="67" t="s">
        <v>2116</v>
      </c>
      <c r="P1045" s="67" t="s">
        <v>19</v>
      </c>
      <c r="Q1045" s="192">
        <v>65.5</v>
      </c>
    </row>
    <row r="1046" spans="1:17" ht="11.1" hidden="1" customHeight="1" x14ac:dyDescent="0.2">
      <c r="A1046" s="3"/>
      <c r="B1046" s="3" t="str">
        <f ca="1">IF(A1046="В заказ",MAX($B$9:OFFSET(B1046,-1,0))+1,"")</f>
        <v/>
      </c>
      <c r="C1046" s="6" t="str">
        <f t="shared" si="34"/>
        <v>Кромка 2,0 H3192 ST19  (75 м бухта).</v>
      </c>
      <c r="D1046" s="67" t="s">
        <v>241</v>
      </c>
      <c r="E1046" s="67" t="s">
        <v>34</v>
      </c>
      <c r="F1046" s="67" t="s">
        <v>777</v>
      </c>
      <c r="G1046" s="68">
        <v>21740</v>
      </c>
      <c r="H1046" s="67" t="s">
        <v>330</v>
      </c>
      <c r="I1046" s="200"/>
      <c r="J1046" s="67" t="s">
        <v>769</v>
      </c>
      <c r="K1046" s="67" t="s">
        <v>770</v>
      </c>
      <c r="L1046" s="67" t="s">
        <v>251</v>
      </c>
      <c r="M1046" s="67" t="s">
        <v>264</v>
      </c>
      <c r="N1046" s="67" t="s">
        <v>259</v>
      </c>
      <c r="O1046" s="67" t="s">
        <v>2116</v>
      </c>
      <c r="P1046" s="67" t="s">
        <v>19</v>
      </c>
      <c r="Q1046" s="192">
        <v>94.1</v>
      </c>
    </row>
    <row r="1047" spans="1:17" ht="11.1" hidden="1" customHeight="1" x14ac:dyDescent="0.2">
      <c r="A1047" s="3"/>
      <c r="B1047" s="3" t="str">
        <f ca="1">IF(A1047="В заказ",MAX($B$9:OFFSET(B1047,-1,0))+1,"")</f>
        <v/>
      </c>
      <c r="C1047" s="6" t="str">
        <f t="shared" si="34"/>
        <v>Кромка 2,0 H3192 ST19  (75 м бухта).</v>
      </c>
      <c r="D1047" s="67" t="s">
        <v>241</v>
      </c>
      <c r="E1047" s="67" t="s">
        <v>34</v>
      </c>
      <c r="F1047" s="67" t="s">
        <v>778</v>
      </c>
      <c r="G1047" s="68">
        <v>21741</v>
      </c>
      <c r="H1047" s="67" t="s">
        <v>330</v>
      </c>
      <c r="I1047" s="200"/>
      <c r="J1047" s="67" t="s">
        <v>769</v>
      </c>
      <c r="K1047" s="67" t="s">
        <v>770</v>
      </c>
      <c r="L1047" s="67" t="s">
        <v>251</v>
      </c>
      <c r="M1047" s="67" t="s">
        <v>270</v>
      </c>
      <c r="N1047" s="67" t="s">
        <v>259</v>
      </c>
      <c r="O1047" s="67" t="s">
        <v>2116</v>
      </c>
      <c r="P1047" s="67" t="s">
        <v>19</v>
      </c>
      <c r="Q1047" s="192">
        <v>127.6</v>
      </c>
    </row>
    <row r="1048" spans="1:17" ht="11.1" hidden="1" customHeight="1" x14ac:dyDescent="0.2">
      <c r="A1048" s="3"/>
      <c r="B1048" s="3" t="str">
        <f ca="1">IF(A1048="В заказ",MAX($B$9:OFFSET(B1048,-1,0))+1,"")</f>
        <v/>
      </c>
      <c r="C1048" s="6" t="str">
        <f t="shared" si="34"/>
        <v>Кромка 0,4 H3303 ST10 (200 м бухта).</v>
      </c>
      <c r="D1048" s="67" t="s">
        <v>241</v>
      </c>
      <c r="E1048" s="67" t="s">
        <v>34</v>
      </c>
      <c r="F1048" s="67" t="s">
        <v>779</v>
      </c>
      <c r="G1048" s="68">
        <v>12630</v>
      </c>
      <c r="H1048" s="67" t="s">
        <v>330</v>
      </c>
      <c r="I1048" s="200"/>
      <c r="J1048" s="67" t="s">
        <v>112</v>
      </c>
      <c r="K1048" s="67" t="s">
        <v>113</v>
      </c>
      <c r="L1048" s="67" t="s">
        <v>38</v>
      </c>
      <c r="M1048" s="67" t="s">
        <v>252</v>
      </c>
      <c r="N1048" s="67" t="s">
        <v>253</v>
      </c>
      <c r="O1048" s="67" t="s">
        <v>254</v>
      </c>
      <c r="P1048" s="67" t="s">
        <v>19</v>
      </c>
      <c r="Q1048" s="192">
        <v>17.899999999999999</v>
      </c>
    </row>
    <row r="1049" spans="1:17" ht="11.1" hidden="1" customHeight="1" x14ac:dyDescent="0.2">
      <c r="A1049" s="3"/>
      <c r="B1049" s="3" t="str">
        <f ca="1">IF(A1049="В заказ",MAX($B$9:OFFSET(B1049,-1,0))+1,"")</f>
        <v/>
      </c>
      <c r="C1049" s="6" t="str">
        <f t="shared" si="34"/>
        <v>Кромка 0,4 H3303 ST10  (200 м бухта).</v>
      </c>
      <c r="D1049" s="67" t="s">
        <v>241</v>
      </c>
      <c r="E1049" s="67" t="s">
        <v>34</v>
      </c>
      <c r="F1049" s="67" t="s">
        <v>780</v>
      </c>
      <c r="G1049" s="68">
        <v>24510</v>
      </c>
      <c r="H1049" s="67" t="s">
        <v>330</v>
      </c>
      <c r="I1049" s="200"/>
      <c r="J1049" s="67" t="s">
        <v>112</v>
      </c>
      <c r="K1049" s="67" t="s">
        <v>113</v>
      </c>
      <c r="L1049" s="67" t="s">
        <v>38</v>
      </c>
      <c r="M1049" s="67" t="s">
        <v>244</v>
      </c>
      <c r="N1049" s="67" t="s">
        <v>253</v>
      </c>
      <c r="O1049" s="67" t="s">
        <v>2117</v>
      </c>
      <c r="P1049" s="67" t="s">
        <v>19</v>
      </c>
      <c r="Q1049" s="71">
        <v>22</v>
      </c>
    </row>
    <row r="1050" spans="1:17" ht="11.1" hidden="1" customHeight="1" x14ac:dyDescent="0.2">
      <c r="A1050" s="3"/>
      <c r="B1050" s="3" t="str">
        <f ca="1">IF(A1050="В заказ",MAX($B$9:OFFSET(B1050,-1,0))+1,"")</f>
        <v/>
      </c>
      <c r="C1050" s="6" t="str">
        <f t="shared" si="34"/>
        <v>Кромка 0,4 H3303 ST10  (200 м бухта).</v>
      </c>
      <c r="D1050" s="67" t="s">
        <v>241</v>
      </c>
      <c r="E1050" s="67" t="s">
        <v>34</v>
      </c>
      <c r="F1050" s="67" t="s">
        <v>781</v>
      </c>
      <c r="G1050" s="68">
        <v>15111</v>
      </c>
      <c r="H1050" s="67" t="s">
        <v>330</v>
      </c>
      <c r="I1050" s="200"/>
      <c r="J1050" s="67" t="s">
        <v>112</v>
      </c>
      <c r="K1050" s="67" t="s">
        <v>113</v>
      </c>
      <c r="L1050" s="67" t="s">
        <v>38</v>
      </c>
      <c r="M1050" s="67" t="s">
        <v>264</v>
      </c>
      <c r="N1050" s="67" t="s">
        <v>253</v>
      </c>
      <c r="O1050" s="67" t="s">
        <v>2117</v>
      </c>
      <c r="P1050" s="67" t="s">
        <v>19</v>
      </c>
      <c r="Q1050" s="192">
        <v>28.9</v>
      </c>
    </row>
    <row r="1051" spans="1:17" ht="11.1" hidden="1" customHeight="1" x14ac:dyDescent="0.2">
      <c r="A1051" s="3"/>
      <c r="B1051" s="3" t="str">
        <f ca="1">IF(A1051="В заказ",MAX($B$9:OFFSET(B1051,-1,0))+1,"")</f>
        <v/>
      </c>
      <c r="C1051" s="6" t="str">
        <f t="shared" si="34"/>
        <v>Кромка 0,8 H3303 ST10  (75 м бухта).</v>
      </c>
      <c r="D1051" s="67" t="s">
        <v>241</v>
      </c>
      <c r="E1051" s="67" t="s">
        <v>34</v>
      </c>
      <c r="F1051" s="67" t="s">
        <v>782</v>
      </c>
      <c r="G1051" s="68">
        <v>15184</v>
      </c>
      <c r="H1051" s="67" t="s">
        <v>330</v>
      </c>
      <c r="I1051" s="200"/>
      <c r="J1051" s="67" t="s">
        <v>112</v>
      </c>
      <c r="K1051" s="67" t="s">
        <v>113</v>
      </c>
      <c r="L1051" s="67" t="s">
        <v>38</v>
      </c>
      <c r="M1051" s="67" t="s">
        <v>252</v>
      </c>
      <c r="N1051" s="67" t="s">
        <v>10</v>
      </c>
      <c r="O1051" s="67" t="s">
        <v>2116</v>
      </c>
      <c r="P1051" s="67" t="s">
        <v>19</v>
      </c>
      <c r="Q1051" s="71">
        <v>35</v>
      </c>
    </row>
    <row r="1052" spans="1:17" ht="11.1" hidden="1" customHeight="1" x14ac:dyDescent="0.2">
      <c r="A1052" s="3"/>
      <c r="B1052" s="3" t="str">
        <f ca="1">IF(A1052="В заказ",MAX($B$9:OFFSET(B1052,-1,0))+1,"")</f>
        <v/>
      </c>
      <c r="C1052" s="6" t="str">
        <f t="shared" si="34"/>
        <v>Кромка 0,8 H3303 ST10  (75 м бухта).</v>
      </c>
      <c r="D1052" s="67" t="s">
        <v>241</v>
      </c>
      <c r="E1052" s="67" t="s">
        <v>34</v>
      </c>
      <c r="F1052" s="67" t="s">
        <v>783</v>
      </c>
      <c r="G1052" s="68">
        <v>24511</v>
      </c>
      <c r="H1052" s="67" t="s">
        <v>330</v>
      </c>
      <c r="I1052" s="200"/>
      <c r="J1052" s="67" t="s">
        <v>112</v>
      </c>
      <c r="K1052" s="67" t="s">
        <v>113</v>
      </c>
      <c r="L1052" s="67" t="s">
        <v>38</v>
      </c>
      <c r="M1052" s="67" t="s">
        <v>244</v>
      </c>
      <c r="N1052" s="67" t="s">
        <v>10</v>
      </c>
      <c r="O1052" s="67" t="s">
        <v>2116</v>
      </c>
      <c r="P1052" s="67" t="s">
        <v>19</v>
      </c>
      <c r="Q1052" s="192">
        <v>42.3</v>
      </c>
    </row>
    <row r="1053" spans="1:17" ht="11.1" hidden="1" customHeight="1" x14ac:dyDescent="0.2">
      <c r="A1053" s="3"/>
      <c r="B1053" s="3" t="str">
        <f ca="1">IF(A1053="В заказ",MAX($B$9:OFFSET(B1053,-1,0))+1,"")</f>
        <v/>
      </c>
      <c r="C1053" s="6" t="str">
        <f t="shared" si="34"/>
        <v>Кромка 2,0 H3303 ST10 (75 м бухта).</v>
      </c>
      <c r="D1053" s="67" t="s">
        <v>241</v>
      </c>
      <c r="E1053" s="67" t="s">
        <v>34</v>
      </c>
      <c r="F1053" s="67" t="s">
        <v>784</v>
      </c>
      <c r="G1053" s="68">
        <v>12709</v>
      </c>
      <c r="H1053" s="67" t="s">
        <v>330</v>
      </c>
      <c r="I1053" s="200"/>
      <c r="J1053" s="67" t="s">
        <v>112</v>
      </c>
      <c r="K1053" s="67" t="s">
        <v>113</v>
      </c>
      <c r="L1053" s="67" t="s">
        <v>38</v>
      </c>
      <c r="M1053" s="67" t="s">
        <v>252</v>
      </c>
      <c r="N1053" s="67" t="s">
        <v>259</v>
      </c>
      <c r="O1053" s="67" t="s">
        <v>246</v>
      </c>
      <c r="P1053" s="67" t="s">
        <v>19</v>
      </c>
      <c r="Q1053" s="192">
        <v>62.6</v>
      </c>
    </row>
    <row r="1054" spans="1:17" ht="11.1" hidden="1" customHeight="1" x14ac:dyDescent="0.2">
      <c r="A1054" s="3"/>
      <c r="B1054" s="3" t="str">
        <f ca="1">IF(A1054="В заказ",MAX($B$9:OFFSET(B1054,-1,0))+1,"")</f>
        <v/>
      </c>
      <c r="C1054" s="6" t="str">
        <f t="shared" si="34"/>
        <v>Кромка 2,0 H3303 ST10  (75 м бухта).</v>
      </c>
      <c r="D1054" s="67" t="s">
        <v>241</v>
      </c>
      <c r="E1054" s="67" t="s">
        <v>34</v>
      </c>
      <c r="F1054" s="67" t="s">
        <v>785</v>
      </c>
      <c r="G1054" s="68">
        <v>22927</v>
      </c>
      <c r="H1054" s="67" t="s">
        <v>330</v>
      </c>
      <c r="I1054" s="200"/>
      <c r="J1054" s="67" t="s">
        <v>112</v>
      </c>
      <c r="K1054" s="67" t="s">
        <v>113</v>
      </c>
      <c r="L1054" s="67" t="s">
        <v>38</v>
      </c>
      <c r="M1054" s="67" t="s">
        <v>244</v>
      </c>
      <c r="N1054" s="67" t="s">
        <v>259</v>
      </c>
      <c r="O1054" s="67" t="s">
        <v>2116</v>
      </c>
      <c r="P1054" s="67" t="s">
        <v>19</v>
      </c>
      <c r="Q1054" s="192">
        <v>65.5</v>
      </c>
    </row>
    <row r="1055" spans="1:17" ht="11.1" hidden="1" customHeight="1" x14ac:dyDescent="0.2">
      <c r="A1055" s="3"/>
      <c r="B1055" s="3" t="str">
        <f ca="1">IF(A1055="В заказ",MAX($B$9:OFFSET(B1055,-1,0))+1,"")</f>
        <v/>
      </c>
      <c r="C1055" s="6" t="str">
        <f t="shared" si="34"/>
        <v>Кромка 2,0 H3303 ST10  (75 м бухта).</v>
      </c>
      <c r="D1055" s="67" t="s">
        <v>241</v>
      </c>
      <c r="E1055" s="67" t="s">
        <v>34</v>
      </c>
      <c r="F1055" s="67" t="s">
        <v>786</v>
      </c>
      <c r="G1055" s="68">
        <v>15112</v>
      </c>
      <c r="H1055" s="67" t="s">
        <v>330</v>
      </c>
      <c r="I1055" s="200"/>
      <c r="J1055" s="67" t="s">
        <v>112</v>
      </c>
      <c r="K1055" s="67" t="s">
        <v>113</v>
      </c>
      <c r="L1055" s="67" t="s">
        <v>38</v>
      </c>
      <c r="M1055" s="67" t="s">
        <v>264</v>
      </c>
      <c r="N1055" s="67" t="s">
        <v>259</v>
      </c>
      <c r="O1055" s="67" t="s">
        <v>2116</v>
      </c>
      <c r="P1055" s="67" t="s">
        <v>19</v>
      </c>
      <c r="Q1055" s="192">
        <v>94.1</v>
      </c>
    </row>
    <row r="1056" spans="1:17" ht="11.1" hidden="1" customHeight="1" x14ac:dyDescent="0.2">
      <c r="A1056" s="3"/>
      <c r="B1056" s="3" t="str">
        <f ca="1">IF(A1056="В заказ",MAX($B$9:OFFSET(B1056,-1,0))+1,"")</f>
        <v/>
      </c>
      <c r="C1056" s="6" t="str">
        <f t="shared" si="34"/>
        <v>Кромка 2,0 H3303 ST10  (75 м бухта).</v>
      </c>
      <c r="D1056" s="67" t="s">
        <v>241</v>
      </c>
      <c r="E1056" s="67" t="s">
        <v>34</v>
      </c>
      <c r="F1056" s="67" t="s">
        <v>787</v>
      </c>
      <c r="G1056" s="68">
        <v>14894</v>
      </c>
      <c r="H1056" s="67" t="s">
        <v>330</v>
      </c>
      <c r="I1056" s="200"/>
      <c r="J1056" s="67" t="s">
        <v>112</v>
      </c>
      <c r="K1056" s="67" t="s">
        <v>113</v>
      </c>
      <c r="L1056" s="67" t="s">
        <v>38</v>
      </c>
      <c r="M1056" s="67" t="s">
        <v>270</v>
      </c>
      <c r="N1056" s="67" t="s">
        <v>259</v>
      </c>
      <c r="O1056" s="67" t="s">
        <v>2116</v>
      </c>
      <c r="P1056" s="67" t="s">
        <v>19</v>
      </c>
      <c r="Q1056" s="192">
        <v>127.6</v>
      </c>
    </row>
    <row r="1057" spans="1:17" ht="11.1" hidden="1" customHeight="1" x14ac:dyDescent="0.2">
      <c r="A1057" s="3"/>
      <c r="B1057" s="3" t="str">
        <f ca="1">IF(A1057="В заказ",MAX($B$9:OFFSET(B1057,-1,0))+1,"")</f>
        <v/>
      </c>
      <c r="C1057" s="6" t="str">
        <f t="shared" si="34"/>
        <v>Кромка 0,4 H3309 ST28  (200 м бухта).</v>
      </c>
      <c r="D1057" s="67" t="s">
        <v>241</v>
      </c>
      <c r="E1057" s="67" t="s">
        <v>34</v>
      </c>
      <c r="F1057" s="67" t="s">
        <v>788</v>
      </c>
      <c r="G1057" s="68">
        <v>9946</v>
      </c>
      <c r="H1057" s="67" t="s">
        <v>330</v>
      </c>
      <c r="I1057" s="200"/>
      <c r="J1057" s="67" t="s">
        <v>114</v>
      </c>
      <c r="K1057" s="67" t="s">
        <v>115</v>
      </c>
      <c r="L1057" s="67" t="s">
        <v>116</v>
      </c>
      <c r="M1057" s="67" t="s">
        <v>252</v>
      </c>
      <c r="N1057" s="67" t="s">
        <v>253</v>
      </c>
      <c r="O1057" s="67" t="s">
        <v>2117</v>
      </c>
      <c r="P1057" s="67" t="s">
        <v>19</v>
      </c>
      <c r="Q1057" s="192">
        <v>17.899999999999999</v>
      </c>
    </row>
    <row r="1058" spans="1:17" ht="11.1" hidden="1" customHeight="1" x14ac:dyDescent="0.2">
      <c r="A1058" s="3"/>
      <c r="B1058" s="3" t="str">
        <f ca="1">IF(A1058="В заказ",MAX($B$9:OFFSET(B1058,-1,0))+1,"")</f>
        <v/>
      </c>
      <c r="C1058" s="6" t="str">
        <f t="shared" si="34"/>
        <v>Кромка 0,4 H3309 ST28  (200 м бухта).</v>
      </c>
      <c r="D1058" s="67" t="s">
        <v>241</v>
      </c>
      <c r="E1058" s="67" t="s">
        <v>34</v>
      </c>
      <c r="F1058" s="67" t="s">
        <v>789</v>
      </c>
      <c r="G1058" s="68">
        <v>24836</v>
      </c>
      <c r="H1058" s="67" t="s">
        <v>330</v>
      </c>
      <c r="I1058" s="200"/>
      <c r="J1058" s="67" t="s">
        <v>114</v>
      </c>
      <c r="K1058" s="67" t="s">
        <v>115</v>
      </c>
      <c r="L1058" s="67" t="s">
        <v>116</v>
      </c>
      <c r="M1058" s="67" t="s">
        <v>244</v>
      </c>
      <c r="N1058" s="67" t="s">
        <v>253</v>
      </c>
      <c r="O1058" s="67" t="s">
        <v>2117</v>
      </c>
      <c r="P1058" s="67" t="s">
        <v>19</v>
      </c>
      <c r="Q1058" s="71">
        <v>22</v>
      </c>
    </row>
    <row r="1059" spans="1:17" ht="11.1" hidden="1" customHeight="1" x14ac:dyDescent="0.2">
      <c r="A1059" s="3"/>
      <c r="B1059" s="3" t="str">
        <f ca="1">IF(A1059="В заказ",MAX($B$9:OFFSET(B1059,-1,0))+1,"")</f>
        <v/>
      </c>
      <c r="C1059" s="6" t="str">
        <f t="shared" si="34"/>
        <v>Кромка 0,4 H3309 ST28  (200 м бухта).</v>
      </c>
      <c r="D1059" s="67" t="s">
        <v>241</v>
      </c>
      <c r="E1059" s="67" t="s">
        <v>34</v>
      </c>
      <c r="F1059" s="67" t="s">
        <v>790</v>
      </c>
      <c r="G1059" s="68">
        <v>16893</v>
      </c>
      <c r="H1059" s="67" t="s">
        <v>330</v>
      </c>
      <c r="I1059" s="200"/>
      <c r="J1059" s="67" t="s">
        <v>114</v>
      </c>
      <c r="K1059" s="67" t="s">
        <v>115</v>
      </c>
      <c r="L1059" s="67" t="s">
        <v>116</v>
      </c>
      <c r="M1059" s="67" t="s">
        <v>264</v>
      </c>
      <c r="N1059" s="67" t="s">
        <v>253</v>
      </c>
      <c r="O1059" s="67" t="s">
        <v>2117</v>
      </c>
      <c r="P1059" s="67" t="s">
        <v>19</v>
      </c>
      <c r="Q1059" s="192">
        <v>28.9</v>
      </c>
    </row>
    <row r="1060" spans="1:17" ht="11.1" hidden="1" customHeight="1" x14ac:dyDescent="0.2">
      <c r="A1060" s="3"/>
      <c r="B1060" s="3" t="str">
        <f ca="1">IF(A1060="В заказ",MAX($B$9:OFFSET(B1060,-1,0))+1,"")</f>
        <v/>
      </c>
      <c r="C1060" s="6" t="str">
        <f t="shared" si="34"/>
        <v>Кромка 0,8 H3309 ST28  (75 м бухта).</v>
      </c>
      <c r="D1060" s="67" t="s">
        <v>241</v>
      </c>
      <c r="E1060" s="67" t="s">
        <v>34</v>
      </c>
      <c r="F1060" s="67" t="s">
        <v>791</v>
      </c>
      <c r="G1060" s="68">
        <v>14255</v>
      </c>
      <c r="H1060" s="67" t="s">
        <v>330</v>
      </c>
      <c r="I1060" s="200"/>
      <c r="J1060" s="67" t="s">
        <v>114</v>
      </c>
      <c r="K1060" s="67" t="s">
        <v>115</v>
      </c>
      <c r="L1060" s="67" t="s">
        <v>116</v>
      </c>
      <c r="M1060" s="67" t="s">
        <v>252</v>
      </c>
      <c r="N1060" s="67" t="s">
        <v>10</v>
      </c>
      <c r="O1060" s="67" t="s">
        <v>2116</v>
      </c>
      <c r="P1060" s="67" t="s">
        <v>19</v>
      </c>
      <c r="Q1060" s="71">
        <v>35</v>
      </c>
    </row>
    <row r="1061" spans="1:17" ht="11.1" hidden="1" customHeight="1" x14ac:dyDescent="0.2">
      <c r="A1061" s="3"/>
      <c r="B1061" s="3" t="str">
        <f ca="1">IF(A1061="В заказ",MAX($B$9:OFFSET(B1061,-1,0))+1,"")</f>
        <v/>
      </c>
      <c r="C1061" s="6" t="str">
        <f t="shared" si="34"/>
        <v>Кромка 0,8 H3309 ST28  (75 м бухта).</v>
      </c>
      <c r="D1061" s="67" t="s">
        <v>241</v>
      </c>
      <c r="E1061" s="67" t="s">
        <v>34</v>
      </c>
      <c r="F1061" s="67" t="s">
        <v>792</v>
      </c>
      <c r="G1061" s="68">
        <v>19882</v>
      </c>
      <c r="H1061" s="67" t="s">
        <v>330</v>
      </c>
      <c r="I1061" s="200"/>
      <c r="J1061" s="67" t="s">
        <v>114</v>
      </c>
      <c r="K1061" s="67" t="s">
        <v>115</v>
      </c>
      <c r="L1061" s="67" t="s">
        <v>116</v>
      </c>
      <c r="M1061" s="67" t="s">
        <v>244</v>
      </c>
      <c r="N1061" s="67" t="s">
        <v>10</v>
      </c>
      <c r="O1061" s="67" t="s">
        <v>2116</v>
      </c>
      <c r="P1061" s="67" t="s">
        <v>19</v>
      </c>
      <c r="Q1061" s="192">
        <v>42.3</v>
      </c>
    </row>
    <row r="1062" spans="1:17" ht="11.1" hidden="1" customHeight="1" x14ac:dyDescent="0.2">
      <c r="A1062" s="3"/>
      <c r="B1062" s="3" t="str">
        <f ca="1">IF(A1062="В заказ",MAX($B$9:OFFSET(B1062,-1,0))+1,"")</f>
        <v/>
      </c>
      <c r="C1062" s="6" t="str">
        <f t="shared" si="34"/>
        <v>Кромка 0,8 H3309 ST28  (75 м бухта).</v>
      </c>
      <c r="D1062" s="67" t="s">
        <v>241</v>
      </c>
      <c r="E1062" s="67" t="s">
        <v>34</v>
      </c>
      <c r="F1062" s="67" t="s">
        <v>793</v>
      </c>
      <c r="G1062" s="68">
        <v>16892</v>
      </c>
      <c r="H1062" s="67" t="s">
        <v>330</v>
      </c>
      <c r="I1062" s="200"/>
      <c r="J1062" s="67" t="s">
        <v>114</v>
      </c>
      <c r="K1062" s="67" t="s">
        <v>115</v>
      </c>
      <c r="L1062" s="67" t="s">
        <v>116</v>
      </c>
      <c r="M1062" s="67" t="s">
        <v>264</v>
      </c>
      <c r="N1062" s="67" t="s">
        <v>10</v>
      </c>
      <c r="O1062" s="67" t="s">
        <v>2116</v>
      </c>
      <c r="P1062" s="67" t="s">
        <v>19</v>
      </c>
      <c r="Q1062" s="192">
        <v>66.900000000000006</v>
      </c>
    </row>
    <row r="1063" spans="1:17" ht="11.1" hidden="1" customHeight="1" x14ac:dyDescent="0.2">
      <c r="A1063" s="3"/>
      <c r="B1063" s="3" t="str">
        <f ca="1">IF(A1063="В заказ",MAX($B$9:OFFSET(B1063,-1,0))+1,"")</f>
        <v/>
      </c>
      <c r="C1063" s="6" t="str">
        <f t="shared" si="34"/>
        <v>Кромка 2,0 H3309 ST28  (75 м бухта).</v>
      </c>
      <c r="D1063" s="67" t="s">
        <v>241</v>
      </c>
      <c r="E1063" s="67" t="s">
        <v>34</v>
      </c>
      <c r="F1063" s="67" t="s">
        <v>794</v>
      </c>
      <c r="G1063" s="68">
        <v>9947</v>
      </c>
      <c r="H1063" s="67" t="s">
        <v>330</v>
      </c>
      <c r="I1063" s="200"/>
      <c r="J1063" s="67" t="s">
        <v>114</v>
      </c>
      <c r="K1063" s="67" t="s">
        <v>115</v>
      </c>
      <c r="L1063" s="67" t="s">
        <v>116</v>
      </c>
      <c r="M1063" s="67" t="s">
        <v>252</v>
      </c>
      <c r="N1063" s="67" t="s">
        <v>259</v>
      </c>
      <c r="O1063" s="67" t="s">
        <v>2116</v>
      </c>
      <c r="P1063" s="67" t="s">
        <v>19</v>
      </c>
      <c r="Q1063" s="192">
        <v>62.6</v>
      </c>
    </row>
    <row r="1064" spans="1:17" ht="11.1" hidden="1" customHeight="1" x14ac:dyDescent="0.2">
      <c r="A1064" s="3"/>
      <c r="B1064" s="3" t="str">
        <f ca="1">IF(A1064="В заказ",MAX($B$9:OFFSET(B1064,-1,0))+1,"")</f>
        <v/>
      </c>
      <c r="C1064" s="6" t="str">
        <f t="shared" si="34"/>
        <v>Кромка 2,0 H3309 ST28  (75 м бухта).</v>
      </c>
      <c r="D1064" s="67" t="s">
        <v>241</v>
      </c>
      <c r="E1064" s="67" t="s">
        <v>34</v>
      </c>
      <c r="F1064" s="67" t="s">
        <v>795</v>
      </c>
      <c r="G1064" s="68">
        <v>24837</v>
      </c>
      <c r="H1064" s="67" t="s">
        <v>330</v>
      </c>
      <c r="I1064" s="200"/>
      <c r="J1064" s="67" t="s">
        <v>114</v>
      </c>
      <c r="K1064" s="67" t="s">
        <v>115</v>
      </c>
      <c r="L1064" s="67" t="s">
        <v>116</v>
      </c>
      <c r="M1064" s="67" t="s">
        <v>244</v>
      </c>
      <c r="N1064" s="67" t="s">
        <v>259</v>
      </c>
      <c r="O1064" s="67" t="s">
        <v>2116</v>
      </c>
      <c r="P1064" s="67" t="s">
        <v>19</v>
      </c>
      <c r="Q1064" s="192">
        <v>65.5</v>
      </c>
    </row>
    <row r="1065" spans="1:17" ht="11.1" hidden="1" customHeight="1" x14ac:dyDescent="0.2">
      <c r="A1065" s="3"/>
      <c r="B1065" s="3" t="str">
        <f ca="1">IF(A1065="В заказ",MAX($B$9:OFFSET(B1065,-1,0))+1,"")</f>
        <v/>
      </c>
      <c r="C1065" s="6" t="str">
        <f t="shared" si="34"/>
        <v>Кромка 2,0 H3309 ST28  (75 м бухта).</v>
      </c>
      <c r="D1065" s="67" t="s">
        <v>241</v>
      </c>
      <c r="E1065" s="67" t="s">
        <v>34</v>
      </c>
      <c r="F1065" s="67" t="s">
        <v>796</v>
      </c>
      <c r="G1065" s="68">
        <v>16894</v>
      </c>
      <c r="H1065" s="67" t="s">
        <v>330</v>
      </c>
      <c r="I1065" s="200"/>
      <c r="J1065" s="67" t="s">
        <v>114</v>
      </c>
      <c r="K1065" s="67" t="s">
        <v>115</v>
      </c>
      <c r="L1065" s="67" t="s">
        <v>116</v>
      </c>
      <c r="M1065" s="67" t="s">
        <v>264</v>
      </c>
      <c r="N1065" s="67" t="s">
        <v>259</v>
      </c>
      <c r="O1065" s="67" t="s">
        <v>2116</v>
      </c>
      <c r="P1065" s="67" t="s">
        <v>19</v>
      </c>
      <c r="Q1065" s="192">
        <v>94.1</v>
      </c>
    </row>
    <row r="1066" spans="1:17" ht="11.1" hidden="1" customHeight="1" x14ac:dyDescent="0.2">
      <c r="A1066" s="3"/>
      <c r="B1066" s="3" t="str">
        <f ca="1">IF(A1066="В заказ",MAX($B$9:OFFSET(B1066,-1,0))+1,"")</f>
        <v/>
      </c>
      <c r="C1066" s="6" t="str">
        <f t="shared" si="34"/>
        <v>Кромка 2,0 H3309 ST28  (75 м бухта).</v>
      </c>
      <c r="D1066" s="67" t="s">
        <v>241</v>
      </c>
      <c r="E1066" s="67" t="s">
        <v>34</v>
      </c>
      <c r="F1066" s="67" t="s">
        <v>797</v>
      </c>
      <c r="G1066" s="68">
        <v>15740</v>
      </c>
      <c r="H1066" s="67" t="s">
        <v>330</v>
      </c>
      <c r="I1066" s="200"/>
      <c r="J1066" s="67" t="s">
        <v>114</v>
      </c>
      <c r="K1066" s="67" t="s">
        <v>115</v>
      </c>
      <c r="L1066" s="67" t="s">
        <v>116</v>
      </c>
      <c r="M1066" s="67" t="s">
        <v>270</v>
      </c>
      <c r="N1066" s="67" t="s">
        <v>259</v>
      </c>
      <c r="O1066" s="67" t="s">
        <v>2116</v>
      </c>
      <c r="P1066" s="67" t="s">
        <v>19</v>
      </c>
      <c r="Q1066" s="192">
        <v>127.6</v>
      </c>
    </row>
    <row r="1067" spans="1:17" ht="11.1" hidden="1" customHeight="1" x14ac:dyDescent="0.2">
      <c r="A1067" s="3"/>
      <c r="B1067" s="3" t="str">
        <f ca="1">IF(A1067="В заказ",MAX($B$9:OFFSET(B1067,-1,0))+1,"")</f>
        <v/>
      </c>
      <c r="C1067" s="6" t="str">
        <f t="shared" si="34"/>
        <v>Кромка 1,0 H3311 TM28  (75 м бухта).</v>
      </c>
      <c r="D1067" s="67" t="s">
        <v>241</v>
      </c>
      <c r="E1067" s="67" t="s">
        <v>34</v>
      </c>
      <c r="F1067" s="67" t="s">
        <v>798</v>
      </c>
      <c r="G1067" s="68">
        <v>24416</v>
      </c>
      <c r="H1067" s="67" t="s">
        <v>438</v>
      </c>
      <c r="I1067" s="200"/>
      <c r="J1067" s="67" t="s">
        <v>799</v>
      </c>
      <c r="K1067" s="67" t="s">
        <v>800</v>
      </c>
      <c r="L1067" s="67" t="s">
        <v>656</v>
      </c>
      <c r="M1067" s="67" t="s">
        <v>244</v>
      </c>
      <c r="N1067" s="67" t="s">
        <v>245</v>
      </c>
      <c r="O1067" s="67" t="s">
        <v>2116</v>
      </c>
      <c r="P1067" s="67" t="s">
        <v>19</v>
      </c>
      <c r="Q1067" s="192">
        <v>73.8</v>
      </c>
    </row>
    <row r="1068" spans="1:17" ht="11.1" hidden="1" customHeight="1" x14ac:dyDescent="0.2">
      <c r="A1068" s="3"/>
      <c r="B1068" s="3" t="str">
        <f ca="1">IF(A1068="В заказ",MAX($B$9:OFFSET(B1068,-1,0))+1,"")</f>
        <v/>
      </c>
      <c r="C1068" s="6" t="str">
        <f t="shared" si="34"/>
        <v>Кромка 0,4 H3325 ST28  (200 м бухта).</v>
      </c>
      <c r="D1068" s="67" t="s">
        <v>241</v>
      </c>
      <c r="E1068" s="67" t="s">
        <v>34</v>
      </c>
      <c r="F1068" s="67" t="s">
        <v>801</v>
      </c>
      <c r="G1068" s="68">
        <v>9444</v>
      </c>
      <c r="H1068" s="67" t="s">
        <v>330</v>
      </c>
      <c r="I1068" s="200"/>
      <c r="J1068" s="67" t="s">
        <v>117</v>
      </c>
      <c r="K1068" s="67" t="s">
        <v>118</v>
      </c>
      <c r="L1068" s="67" t="s">
        <v>116</v>
      </c>
      <c r="M1068" s="67" t="s">
        <v>252</v>
      </c>
      <c r="N1068" s="67" t="s">
        <v>253</v>
      </c>
      <c r="O1068" s="67" t="s">
        <v>2117</v>
      </c>
      <c r="P1068" s="67" t="s">
        <v>19</v>
      </c>
      <c r="Q1068" s="192">
        <v>17.899999999999999</v>
      </c>
    </row>
    <row r="1069" spans="1:17" ht="11.1" hidden="1" customHeight="1" x14ac:dyDescent="0.2">
      <c r="A1069" s="3"/>
      <c r="B1069" s="3" t="str">
        <f ca="1">IF(A1069="В заказ",MAX($B$9:OFFSET(B1069,-1,0))+1,"")</f>
        <v/>
      </c>
      <c r="C1069" s="6" t="str">
        <f t="shared" si="34"/>
        <v>Кромка 0,4 H3325 ST28  (200 м бухта).</v>
      </c>
      <c r="D1069" s="67" t="s">
        <v>241</v>
      </c>
      <c r="E1069" s="67" t="s">
        <v>34</v>
      </c>
      <c r="F1069" s="67" t="s">
        <v>802</v>
      </c>
      <c r="G1069" s="68">
        <v>24838</v>
      </c>
      <c r="H1069" s="67" t="s">
        <v>330</v>
      </c>
      <c r="I1069" s="200"/>
      <c r="J1069" s="67" t="s">
        <v>117</v>
      </c>
      <c r="K1069" s="67" t="s">
        <v>118</v>
      </c>
      <c r="L1069" s="67" t="s">
        <v>116</v>
      </c>
      <c r="M1069" s="67" t="s">
        <v>244</v>
      </c>
      <c r="N1069" s="67" t="s">
        <v>253</v>
      </c>
      <c r="O1069" s="67" t="s">
        <v>2117</v>
      </c>
      <c r="P1069" s="67" t="s">
        <v>19</v>
      </c>
      <c r="Q1069" s="71">
        <v>22</v>
      </c>
    </row>
    <row r="1070" spans="1:17" ht="11.1" hidden="1" customHeight="1" x14ac:dyDescent="0.2">
      <c r="A1070" s="3"/>
      <c r="B1070" s="3" t="str">
        <f ca="1">IF(A1070="В заказ",MAX($B$9:OFFSET(B1070,-1,0))+1,"")</f>
        <v/>
      </c>
      <c r="C1070" s="6" t="str">
        <f t="shared" si="34"/>
        <v>Кромка 0,8 H3325 ST28  (75 м бухта).</v>
      </c>
      <c r="D1070" s="67" t="s">
        <v>241</v>
      </c>
      <c r="E1070" s="67" t="s">
        <v>34</v>
      </c>
      <c r="F1070" s="67" t="s">
        <v>803</v>
      </c>
      <c r="G1070" s="68">
        <v>14152</v>
      </c>
      <c r="H1070" s="67" t="s">
        <v>330</v>
      </c>
      <c r="I1070" s="200"/>
      <c r="J1070" s="67" t="s">
        <v>117</v>
      </c>
      <c r="K1070" s="67" t="s">
        <v>118</v>
      </c>
      <c r="L1070" s="67" t="s">
        <v>116</v>
      </c>
      <c r="M1070" s="67" t="s">
        <v>252</v>
      </c>
      <c r="N1070" s="67" t="s">
        <v>10</v>
      </c>
      <c r="O1070" s="67" t="s">
        <v>2116</v>
      </c>
      <c r="P1070" s="67" t="s">
        <v>19</v>
      </c>
      <c r="Q1070" s="71">
        <v>35</v>
      </c>
    </row>
    <row r="1071" spans="1:17" ht="11.1" hidden="1" customHeight="1" x14ac:dyDescent="0.2">
      <c r="A1071" s="3"/>
      <c r="B1071" s="3" t="str">
        <f ca="1">IF(A1071="В заказ",MAX($B$9:OFFSET(B1071,-1,0))+1,"")</f>
        <v/>
      </c>
      <c r="C1071" s="6" t="str">
        <f t="shared" si="34"/>
        <v>Кромка 0,8 H3325 ST28  (75 м бухта).</v>
      </c>
      <c r="D1071" s="67" t="s">
        <v>241</v>
      </c>
      <c r="E1071" s="67" t="s">
        <v>34</v>
      </c>
      <c r="F1071" s="67" t="s">
        <v>804</v>
      </c>
      <c r="G1071" s="68">
        <v>19883</v>
      </c>
      <c r="H1071" s="67" t="s">
        <v>330</v>
      </c>
      <c r="I1071" s="200"/>
      <c r="J1071" s="67" t="s">
        <v>117</v>
      </c>
      <c r="K1071" s="67" t="s">
        <v>118</v>
      </c>
      <c r="L1071" s="67" t="s">
        <v>116</v>
      </c>
      <c r="M1071" s="67" t="s">
        <v>244</v>
      </c>
      <c r="N1071" s="67" t="s">
        <v>10</v>
      </c>
      <c r="O1071" s="67" t="s">
        <v>2116</v>
      </c>
      <c r="P1071" s="67" t="s">
        <v>19</v>
      </c>
      <c r="Q1071" s="192">
        <v>42.3</v>
      </c>
    </row>
    <row r="1072" spans="1:17" ht="11.1" hidden="1" customHeight="1" x14ac:dyDescent="0.2">
      <c r="A1072" s="3"/>
      <c r="B1072" s="3" t="str">
        <f ca="1">IF(A1072="В заказ",MAX($B$9:OFFSET(B1072,-1,0))+1,"")</f>
        <v/>
      </c>
      <c r="C1072" s="6" t="str">
        <f t="shared" si="34"/>
        <v>Кромка 2,0 H3325 ST28  (75 м бухта).</v>
      </c>
      <c r="D1072" s="67" t="s">
        <v>241</v>
      </c>
      <c r="E1072" s="67" t="s">
        <v>34</v>
      </c>
      <c r="F1072" s="67" t="s">
        <v>805</v>
      </c>
      <c r="G1072" s="68">
        <v>9195</v>
      </c>
      <c r="H1072" s="67" t="s">
        <v>330</v>
      </c>
      <c r="I1072" s="200"/>
      <c r="J1072" s="67" t="s">
        <v>117</v>
      </c>
      <c r="K1072" s="67" t="s">
        <v>118</v>
      </c>
      <c r="L1072" s="67" t="s">
        <v>116</v>
      </c>
      <c r="M1072" s="67" t="s">
        <v>252</v>
      </c>
      <c r="N1072" s="67" t="s">
        <v>259</v>
      </c>
      <c r="O1072" s="67" t="s">
        <v>2116</v>
      </c>
      <c r="P1072" s="67" t="s">
        <v>19</v>
      </c>
      <c r="Q1072" s="192">
        <v>62.6</v>
      </c>
    </row>
    <row r="1073" spans="1:17" ht="11.1" hidden="1" customHeight="1" x14ac:dyDescent="0.2">
      <c r="A1073" s="3"/>
      <c r="B1073" s="3" t="str">
        <f ca="1">IF(A1073="В заказ",MAX($B$9:OFFSET(B1073,-1,0))+1,"")</f>
        <v/>
      </c>
      <c r="C1073" s="6" t="str">
        <f t="shared" si="34"/>
        <v>Кромка 2,0 H3325 ST28  (75 м бухта).</v>
      </c>
      <c r="D1073" s="67" t="s">
        <v>241</v>
      </c>
      <c r="E1073" s="67" t="s">
        <v>34</v>
      </c>
      <c r="F1073" s="67" t="s">
        <v>806</v>
      </c>
      <c r="G1073" s="68">
        <v>24839</v>
      </c>
      <c r="H1073" s="67" t="s">
        <v>330</v>
      </c>
      <c r="I1073" s="200"/>
      <c r="J1073" s="67" t="s">
        <v>117</v>
      </c>
      <c r="K1073" s="67" t="s">
        <v>118</v>
      </c>
      <c r="L1073" s="67" t="s">
        <v>116</v>
      </c>
      <c r="M1073" s="67" t="s">
        <v>244</v>
      </c>
      <c r="N1073" s="67" t="s">
        <v>259</v>
      </c>
      <c r="O1073" s="67" t="s">
        <v>2116</v>
      </c>
      <c r="P1073" s="67" t="s">
        <v>19</v>
      </c>
      <c r="Q1073" s="192">
        <v>65.5</v>
      </c>
    </row>
    <row r="1074" spans="1:17" ht="11.1" hidden="1" customHeight="1" x14ac:dyDescent="0.2">
      <c r="A1074" s="3"/>
      <c r="B1074" s="3" t="str">
        <f ca="1">IF(A1074="В заказ",MAX($B$9:OFFSET(B1074,-1,0))+1,"")</f>
        <v/>
      </c>
      <c r="C1074" s="6" t="str">
        <f t="shared" si="34"/>
        <v>Кромка 2,0 H3325 ST28  (75 м бухта).</v>
      </c>
      <c r="D1074" s="67" t="s">
        <v>241</v>
      </c>
      <c r="E1074" s="67" t="s">
        <v>34</v>
      </c>
      <c r="F1074" s="67" t="s">
        <v>807</v>
      </c>
      <c r="G1074" s="68">
        <v>14553</v>
      </c>
      <c r="H1074" s="67" t="s">
        <v>330</v>
      </c>
      <c r="I1074" s="200"/>
      <c r="J1074" s="67" t="s">
        <v>117</v>
      </c>
      <c r="K1074" s="67" t="s">
        <v>118</v>
      </c>
      <c r="L1074" s="67" t="s">
        <v>116</v>
      </c>
      <c r="M1074" s="67" t="s">
        <v>264</v>
      </c>
      <c r="N1074" s="67" t="s">
        <v>259</v>
      </c>
      <c r="O1074" s="67" t="s">
        <v>2116</v>
      </c>
      <c r="P1074" s="67" t="s">
        <v>19</v>
      </c>
      <c r="Q1074" s="192">
        <v>94.1</v>
      </c>
    </row>
    <row r="1075" spans="1:17" ht="11.1" hidden="1" customHeight="1" x14ac:dyDescent="0.2">
      <c r="A1075" s="3"/>
      <c r="B1075" s="3" t="str">
        <f ca="1">IF(A1075="В заказ",MAX($B$9:OFFSET(B1075,-1,0))+1,"")</f>
        <v/>
      </c>
      <c r="C1075" s="6" t="str">
        <f t="shared" si="34"/>
        <v>Кромка 2,0 H3325 ST28  (75 м бухта).</v>
      </c>
      <c r="D1075" s="67" t="s">
        <v>241</v>
      </c>
      <c r="E1075" s="67" t="s">
        <v>34</v>
      </c>
      <c r="F1075" s="67" t="s">
        <v>808</v>
      </c>
      <c r="G1075" s="68">
        <v>14405</v>
      </c>
      <c r="H1075" s="67" t="s">
        <v>330</v>
      </c>
      <c r="I1075" s="200"/>
      <c r="J1075" s="67" t="s">
        <v>117</v>
      </c>
      <c r="K1075" s="67" t="s">
        <v>118</v>
      </c>
      <c r="L1075" s="67" t="s">
        <v>116</v>
      </c>
      <c r="M1075" s="67" t="s">
        <v>270</v>
      </c>
      <c r="N1075" s="67" t="s">
        <v>259</v>
      </c>
      <c r="O1075" s="67" t="s">
        <v>2116</v>
      </c>
      <c r="P1075" s="67" t="s">
        <v>19</v>
      </c>
      <c r="Q1075" s="192">
        <v>127.6</v>
      </c>
    </row>
    <row r="1076" spans="1:17" ht="11.1" hidden="1" customHeight="1" x14ac:dyDescent="0.2">
      <c r="A1076" s="3"/>
      <c r="B1076" s="3" t="str">
        <f ca="1">IF(A1076="В заказ",MAX($B$9:OFFSET(B1076,-1,0))+1,"")</f>
        <v/>
      </c>
      <c r="C1076" s="6" t="str">
        <f t="shared" si="34"/>
        <v>Кромка 0,4 H3326 ST28  (200 м бухта).</v>
      </c>
      <c r="D1076" s="67" t="s">
        <v>241</v>
      </c>
      <c r="E1076" s="67" t="s">
        <v>34</v>
      </c>
      <c r="F1076" s="67" t="s">
        <v>809</v>
      </c>
      <c r="G1076" s="68">
        <v>9206</v>
      </c>
      <c r="H1076" s="67" t="s">
        <v>330</v>
      </c>
      <c r="I1076" s="200"/>
      <c r="J1076" s="67" t="s">
        <v>810</v>
      </c>
      <c r="K1076" s="67" t="s">
        <v>811</v>
      </c>
      <c r="L1076" s="67" t="s">
        <v>116</v>
      </c>
      <c r="M1076" s="67" t="s">
        <v>252</v>
      </c>
      <c r="N1076" s="67" t="s">
        <v>253</v>
      </c>
      <c r="O1076" s="67" t="s">
        <v>2117</v>
      </c>
      <c r="P1076" s="67" t="s">
        <v>19</v>
      </c>
      <c r="Q1076" s="192">
        <v>17.899999999999999</v>
      </c>
    </row>
    <row r="1077" spans="1:17" ht="11.1" hidden="1" customHeight="1" x14ac:dyDescent="0.2">
      <c r="A1077" s="3"/>
      <c r="B1077" s="3" t="str">
        <f ca="1">IF(A1077="В заказ",MAX($B$9:OFFSET(B1077,-1,0))+1,"")</f>
        <v/>
      </c>
      <c r="C1077" s="6" t="str">
        <f t="shared" si="34"/>
        <v>Кромка 0,4 H3326 ST28  (200 м бухта).</v>
      </c>
      <c r="D1077" s="67" t="s">
        <v>241</v>
      </c>
      <c r="E1077" s="67" t="s">
        <v>34</v>
      </c>
      <c r="F1077" s="67" t="s">
        <v>812</v>
      </c>
      <c r="G1077" s="68">
        <v>16865</v>
      </c>
      <c r="H1077" s="67" t="s">
        <v>330</v>
      </c>
      <c r="I1077" s="200"/>
      <c r="J1077" s="67" t="s">
        <v>810</v>
      </c>
      <c r="K1077" s="67" t="s">
        <v>811</v>
      </c>
      <c r="L1077" s="67" t="s">
        <v>116</v>
      </c>
      <c r="M1077" s="67" t="s">
        <v>264</v>
      </c>
      <c r="N1077" s="67" t="s">
        <v>253</v>
      </c>
      <c r="O1077" s="67" t="s">
        <v>2117</v>
      </c>
      <c r="P1077" s="67" t="s">
        <v>19</v>
      </c>
      <c r="Q1077" s="192">
        <v>28.9</v>
      </c>
    </row>
    <row r="1078" spans="1:17" ht="11.1" hidden="1" customHeight="1" x14ac:dyDescent="0.2">
      <c r="A1078" s="3"/>
      <c r="B1078" s="3" t="str">
        <f ca="1">IF(A1078="В заказ",MAX($B$9:OFFSET(B1078,-1,0))+1,"")</f>
        <v/>
      </c>
      <c r="C1078" s="6" t="str">
        <f t="shared" ref="C1078:C1141" si="35">D1078&amp;" "&amp;N1078&amp;" "&amp;IF(OR(D1078="ДСП",D1078="МДФ",D1078="Фанера",D1078="ХДФ"),M1078,J1078)&amp;" "&amp;IF(OR(D1078="ДСП",D1078="МДФ",D1078="Фанера",D1078="ХДФ"),O1078,L1078)&amp;" "&amp;IF(OR(D1078="ДСП",D1078="МДФ",D1078="Фанера",D1078="ХДФ"),"",IF(D1078="БСП",M1078,O1078))&amp;"."</f>
        <v>Кромка 0,8 H3326 ST28  (75 м бухта).</v>
      </c>
      <c r="D1078" s="67" t="s">
        <v>241</v>
      </c>
      <c r="E1078" s="67" t="s">
        <v>34</v>
      </c>
      <c r="F1078" s="67" t="s">
        <v>813</v>
      </c>
      <c r="G1078" s="68">
        <v>14256</v>
      </c>
      <c r="H1078" s="67" t="s">
        <v>330</v>
      </c>
      <c r="I1078" s="200"/>
      <c r="J1078" s="67" t="s">
        <v>810</v>
      </c>
      <c r="K1078" s="67" t="s">
        <v>811</v>
      </c>
      <c r="L1078" s="67" t="s">
        <v>116</v>
      </c>
      <c r="M1078" s="67" t="s">
        <v>252</v>
      </c>
      <c r="N1078" s="67" t="s">
        <v>10</v>
      </c>
      <c r="O1078" s="67" t="s">
        <v>2116</v>
      </c>
      <c r="P1078" s="67" t="s">
        <v>19</v>
      </c>
      <c r="Q1078" s="71">
        <v>35</v>
      </c>
    </row>
    <row r="1079" spans="1:17" ht="11.1" hidden="1" customHeight="1" x14ac:dyDescent="0.2">
      <c r="A1079" s="3"/>
      <c r="B1079" s="3" t="str">
        <f ca="1">IF(A1079="В заказ",MAX($B$9:OFFSET(B1079,-1,0))+1,"")</f>
        <v/>
      </c>
      <c r="C1079" s="6" t="str">
        <f t="shared" si="35"/>
        <v>Кромка 0,8 H3326 ST28  (75 м бухта).</v>
      </c>
      <c r="D1079" s="67" t="s">
        <v>241</v>
      </c>
      <c r="E1079" s="67" t="s">
        <v>34</v>
      </c>
      <c r="F1079" s="67" t="s">
        <v>814</v>
      </c>
      <c r="G1079" s="68">
        <v>16866</v>
      </c>
      <c r="H1079" s="67" t="s">
        <v>330</v>
      </c>
      <c r="I1079" s="200"/>
      <c r="J1079" s="67" t="s">
        <v>810</v>
      </c>
      <c r="K1079" s="67" t="s">
        <v>811</v>
      </c>
      <c r="L1079" s="67" t="s">
        <v>116</v>
      </c>
      <c r="M1079" s="67" t="s">
        <v>264</v>
      </c>
      <c r="N1079" s="67" t="s">
        <v>10</v>
      </c>
      <c r="O1079" s="67" t="s">
        <v>2116</v>
      </c>
      <c r="P1079" s="67" t="s">
        <v>19</v>
      </c>
      <c r="Q1079" s="192">
        <v>66.900000000000006</v>
      </c>
    </row>
    <row r="1080" spans="1:17" ht="11.1" hidden="1" customHeight="1" x14ac:dyDescent="0.2">
      <c r="A1080" s="3"/>
      <c r="B1080" s="3" t="str">
        <f ca="1">IF(A1080="В заказ",MAX($B$9:OFFSET(B1080,-1,0))+1,"")</f>
        <v/>
      </c>
      <c r="C1080" s="6" t="str">
        <f t="shared" si="35"/>
        <v>Кромка 2,0 H3326 ST28  (75 м бухта).</v>
      </c>
      <c r="D1080" s="67" t="s">
        <v>241</v>
      </c>
      <c r="E1080" s="67" t="s">
        <v>34</v>
      </c>
      <c r="F1080" s="67" t="s">
        <v>815</v>
      </c>
      <c r="G1080" s="68">
        <v>8342</v>
      </c>
      <c r="H1080" s="67" t="s">
        <v>330</v>
      </c>
      <c r="I1080" s="200"/>
      <c r="J1080" s="67" t="s">
        <v>810</v>
      </c>
      <c r="K1080" s="67" t="s">
        <v>811</v>
      </c>
      <c r="L1080" s="67" t="s">
        <v>116</v>
      </c>
      <c r="M1080" s="67" t="s">
        <v>252</v>
      </c>
      <c r="N1080" s="67" t="s">
        <v>259</v>
      </c>
      <c r="O1080" s="67" t="s">
        <v>2116</v>
      </c>
      <c r="P1080" s="67" t="s">
        <v>19</v>
      </c>
      <c r="Q1080" s="192">
        <v>62.6</v>
      </c>
    </row>
    <row r="1081" spans="1:17" ht="11.1" hidden="1" customHeight="1" x14ac:dyDescent="0.2">
      <c r="A1081" s="3"/>
      <c r="B1081" s="3" t="str">
        <f ca="1">IF(A1081="В заказ",MAX($B$9:OFFSET(B1081,-1,0))+1,"")</f>
        <v/>
      </c>
      <c r="C1081" s="6" t="str">
        <f t="shared" si="35"/>
        <v>Кромка 2,0 H3326 ST28  (75 м бухта).</v>
      </c>
      <c r="D1081" s="67" t="s">
        <v>241</v>
      </c>
      <c r="E1081" s="67" t="s">
        <v>34</v>
      </c>
      <c r="F1081" s="67" t="s">
        <v>816</v>
      </c>
      <c r="G1081" s="68">
        <v>16867</v>
      </c>
      <c r="H1081" s="67" t="s">
        <v>330</v>
      </c>
      <c r="I1081" s="200"/>
      <c r="J1081" s="67" t="s">
        <v>810</v>
      </c>
      <c r="K1081" s="67" t="s">
        <v>811</v>
      </c>
      <c r="L1081" s="67" t="s">
        <v>116</v>
      </c>
      <c r="M1081" s="67" t="s">
        <v>264</v>
      </c>
      <c r="N1081" s="67" t="s">
        <v>259</v>
      </c>
      <c r="O1081" s="67" t="s">
        <v>2116</v>
      </c>
      <c r="P1081" s="67" t="s">
        <v>19</v>
      </c>
      <c r="Q1081" s="192">
        <v>94.1</v>
      </c>
    </row>
    <row r="1082" spans="1:17" ht="11.1" hidden="1" customHeight="1" x14ac:dyDescent="0.2">
      <c r="A1082" s="3"/>
      <c r="B1082" s="3" t="str">
        <f ca="1">IF(A1082="В заказ",MAX($B$9:OFFSET(B1082,-1,0))+1,"")</f>
        <v/>
      </c>
      <c r="C1082" s="6" t="str">
        <f t="shared" si="35"/>
        <v>Кромка 2,0 H3326 ST28  (75 м бухта).</v>
      </c>
      <c r="D1082" s="67" t="s">
        <v>241</v>
      </c>
      <c r="E1082" s="67" t="s">
        <v>34</v>
      </c>
      <c r="F1082" s="67" t="s">
        <v>817</v>
      </c>
      <c r="G1082" s="68">
        <v>16868</v>
      </c>
      <c r="H1082" s="67" t="s">
        <v>330</v>
      </c>
      <c r="I1082" s="200"/>
      <c r="J1082" s="67" t="s">
        <v>810</v>
      </c>
      <c r="K1082" s="67" t="s">
        <v>811</v>
      </c>
      <c r="L1082" s="67" t="s">
        <v>116</v>
      </c>
      <c r="M1082" s="67" t="s">
        <v>270</v>
      </c>
      <c r="N1082" s="67" t="s">
        <v>259</v>
      </c>
      <c r="O1082" s="67" t="s">
        <v>2116</v>
      </c>
      <c r="P1082" s="67" t="s">
        <v>19</v>
      </c>
      <c r="Q1082" s="192">
        <v>127.6</v>
      </c>
    </row>
    <row r="1083" spans="1:17" ht="11.1" hidden="1" customHeight="1" x14ac:dyDescent="0.2">
      <c r="A1083" s="3"/>
      <c r="B1083" s="3" t="str">
        <f ca="1">IF(A1083="В заказ",MAX($B$9:OFFSET(B1083,-1,0))+1,"")</f>
        <v/>
      </c>
      <c r="C1083" s="6" t="str">
        <f t="shared" si="35"/>
        <v>Кромка 0,4 H3330 ST36  (200 м бухта).</v>
      </c>
      <c r="D1083" s="67" t="s">
        <v>241</v>
      </c>
      <c r="E1083" s="67" t="s">
        <v>34</v>
      </c>
      <c r="F1083" s="67" t="s">
        <v>818</v>
      </c>
      <c r="G1083" s="68">
        <v>21742</v>
      </c>
      <c r="H1083" s="67" t="s">
        <v>330</v>
      </c>
      <c r="I1083" s="200"/>
      <c r="J1083" s="67" t="s">
        <v>819</v>
      </c>
      <c r="K1083" s="67" t="s">
        <v>820</v>
      </c>
      <c r="L1083" s="67" t="s">
        <v>64</v>
      </c>
      <c r="M1083" s="67" t="s">
        <v>252</v>
      </c>
      <c r="N1083" s="67" t="s">
        <v>253</v>
      </c>
      <c r="O1083" s="67" t="s">
        <v>2117</v>
      </c>
      <c r="P1083" s="67" t="s">
        <v>19</v>
      </c>
      <c r="Q1083" s="192">
        <v>17.899999999999999</v>
      </c>
    </row>
    <row r="1084" spans="1:17" ht="11.1" hidden="1" customHeight="1" x14ac:dyDescent="0.2">
      <c r="A1084" s="3"/>
      <c r="B1084" s="3" t="str">
        <f ca="1">IF(A1084="В заказ",MAX($B$9:OFFSET(B1084,-1,0))+1,"")</f>
        <v/>
      </c>
      <c r="C1084" s="6" t="str">
        <f t="shared" si="35"/>
        <v>Кромка 0,4 H3330 ST36  (200 м бухта).</v>
      </c>
      <c r="D1084" s="67" t="s">
        <v>241</v>
      </c>
      <c r="E1084" s="67" t="s">
        <v>34</v>
      </c>
      <c r="F1084" s="67" t="s">
        <v>821</v>
      </c>
      <c r="G1084" s="68">
        <v>24507</v>
      </c>
      <c r="H1084" s="67" t="s">
        <v>330</v>
      </c>
      <c r="I1084" s="200"/>
      <c r="J1084" s="67" t="s">
        <v>819</v>
      </c>
      <c r="K1084" s="67" t="s">
        <v>820</v>
      </c>
      <c r="L1084" s="67" t="s">
        <v>64</v>
      </c>
      <c r="M1084" s="67" t="s">
        <v>244</v>
      </c>
      <c r="N1084" s="67" t="s">
        <v>253</v>
      </c>
      <c r="O1084" s="67" t="s">
        <v>2117</v>
      </c>
      <c r="P1084" s="67" t="s">
        <v>19</v>
      </c>
      <c r="Q1084" s="71">
        <v>22</v>
      </c>
    </row>
    <row r="1085" spans="1:17" ht="11.1" hidden="1" customHeight="1" x14ac:dyDescent="0.2">
      <c r="A1085" s="3"/>
      <c r="B1085" s="3" t="str">
        <f ca="1">IF(A1085="В заказ",MAX($B$9:OFFSET(B1085,-1,0))+1,"")</f>
        <v/>
      </c>
      <c r="C1085" s="6" t="str">
        <f t="shared" si="35"/>
        <v>Кромка 0,4 H3330 ST36  (200 м бухта).</v>
      </c>
      <c r="D1085" s="67" t="s">
        <v>241</v>
      </c>
      <c r="E1085" s="67" t="s">
        <v>34</v>
      </c>
      <c r="F1085" s="67" t="s">
        <v>822</v>
      </c>
      <c r="G1085" s="68">
        <v>21745</v>
      </c>
      <c r="H1085" s="67" t="s">
        <v>330</v>
      </c>
      <c r="I1085" s="200"/>
      <c r="J1085" s="67" t="s">
        <v>819</v>
      </c>
      <c r="K1085" s="67" t="s">
        <v>820</v>
      </c>
      <c r="L1085" s="67" t="s">
        <v>64</v>
      </c>
      <c r="M1085" s="67" t="s">
        <v>264</v>
      </c>
      <c r="N1085" s="67" t="s">
        <v>253</v>
      </c>
      <c r="O1085" s="67" t="s">
        <v>2117</v>
      </c>
      <c r="P1085" s="67" t="s">
        <v>19</v>
      </c>
      <c r="Q1085" s="192">
        <v>28.9</v>
      </c>
    </row>
    <row r="1086" spans="1:17" ht="11.1" hidden="1" customHeight="1" x14ac:dyDescent="0.2">
      <c r="A1086" s="3"/>
      <c r="B1086" s="3" t="str">
        <f ca="1">IF(A1086="В заказ",MAX($B$9:OFFSET(B1086,-1,0))+1,"")</f>
        <v/>
      </c>
      <c r="C1086" s="6" t="str">
        <f t="shared" si="35"/>
        <v>Кромка 0,8 H3330 ST36  (75 м бухта).</v>
      </c>
      <c r="D1086" s="67" t="s">
        <v>241</v>
      </c>
      <c r="E1086" s="67" t="s">
        <v>34</v>
      </c>
      <c r="F1086" s="67" t="s">
        <v>823</v>
      </c>
      <c r="G1086" s="68">
        <v>21743</v>
      </c>
      <c r="H1086" s="67" t="s">
        <v>330</v>
      </c>
      <c r="I1086" s="200"/>
      <c r="J1086" s="67" t="s">
        <v>819</v>
      </c>
      <c r="K1086" s="67" t="s">
        <v>820</v>
      </c>
      <c r="L1086" s="67" t="s">
        <v>64</v>
      </c>
      <c r="M1086" s="67" t="s">
        <v>252</v>
      </c>
      <c r="N1086" s="67" t="s">
        <v>10</v>
      </c>
      <c r="O1086" s="67" t="s">
        <v>2116</v>
      </c>
      <c r="P1086" s="67" t="s">
        <v>19</v>
      </c>
      <c r="Q1086" s="71">
        <v>35</v>
      </c>
    </row>
    <row r="1087" spans="1:17" ht="11.1" hidden="1" customHeight="1" x14ac:dyDescent="0.2">
      <c r="A1087" s="3"/>
      <c r="B1087" s="3" t="str">
        <f ca="1">IF(A1087="В заказ",MAX($B$9:OFFSET(B1087,-1,0))+1,"")</f>
        <v/>
      </c>
      <c r="C1087" s="6" t="str">
        <f t="shared" si="35"/>
        <v>Кромка 0,8 H3330 ST36  (75 м бухта).</v>
      </c>
      <c r="D1087" s="67" t="s">
        <v>241</v>
      </c>
      <c r="E1087" s="67" t="s">
        <v>34</v>
      </c>
      <c r="F1087" s="67" t="s">
        <v>824</v>
      </c>
      <c r="G1087" s="68">
        <v>24508</v>
      </c>
      <c r="H1087" s="67" t="s">
        <v>330</v>
      </c>
      <c r="I1087" s="200"/>
      <c r="J1087" s="67" t="s">
        <v>819</v>
      </c>
      <c r="K1087" s="67" t="s">
        <v>820</v>
      </c>
      <c r="L1087" s="67" t="s">
        <v>64</v>
      </c>
      <c r="M1087" s="67" t="s">
        <v>244</v>
      </c>
      <c r="N1087" s="67" t="s">
        <v>10</v>
      </c>
      <c r="O1087" s="67" t="s">
        <v>2116</v>
      </c>
      <c r="P1087" s="67" t="s">
        <v>19</v>
      </c>
      <c r="Q1087" s="192">
        <v>42.3</v>
      </c>
    </row>
    <row r="1088" spans="1:17" ht="11.1" hidden="1" customHeight="1" x14ac:dyDescent="0.2">
      <c r="A1088" s="3"/>
      <c r="B1088" s="3" t="str">
        <f ca="1">IF(A1088="В заказ",MAX($B$9:OFFSET(B1088,-1,0))+1,"")</f>
        <v/>
      </c>
      <c r="C1088" s="6" t="str">
        <f t="shared" si="35"/>
        <v>Кромка 2,0 H3330 ST36  (75 м бухта).</v>
      </c>
      <c r="D1088" s="67" t="s">
        <v>241</v>
      </c>
      <c r="E1088" s="67" t="s">
        <v>34</v>
      </c>
      <c r="F1088" s="67" t="s">
        <v>825</v>
      </c>
      <c r="G1088" s="68">
        <v>21744</v>
      </c>
      <c r="H1088" s="67" t="s">
        <v>330</v>
      </c>
      <c r="I1088" s="200"/>
      <c r="J1088" s="67" t="s">
        <v>819</v>
      </c>
      <c r="K1088" s="67" t="s">
        <v>820</v>
      </c>
      <c r="L1088" s="67" t="s">
        <v>64</v>
      </c>
      <c r="M1088" s="67" t="s">
        <v>252</v>
      </c>
      <c r="N1088" s="67" t="s">
        <v>259</v>
      </c>
      <c r="O1088" s="67" t="s">
        <v>2116</v>
      </c>
      <c r="P1088" s="67" t="s">
        <v>19</v>
      </c>
      <c r="Q1088" s="192">
        <v>62.6</v>
      </c>
    </row>
    <row r="1089" spans="1:17" ht="11.1" hidden="1" customHeight="1" x14ac:dyDescent="0.2">
      <c r="A1089" s="3"/>
      <c r="B1089" s="3" t="str">
        <f ca="1">IF(A1089="В заказ",MAX($B$9:OFFSET(B1089,-1,0))+1,"")</f>
        <v/>
      </c>
      <c r="C1089" s="6" t="str">
        <f t="shared" si="35"/>
        <v>Кромка 2,0 H3330 ST36  (75 м бухта).</v>
      </c>
      <c r="D1089" s="67" t="s">
        <v>241</v>
      </c>
      <c r="E1089" s="67" t="s">
        <v>34</v>
      </c>
      <c r="F1089" s="67" t="s">
        <v>826</v>
      </c>
      <c r="G1089" s="68">
        <v>24509</v>
      </c>
      <c r="H1089" s="67" t="s">
        <v>330</v>
      </c>
      <c r="I1089" s="200"/>
      <c r="J1089" s="67" t="s">
        <v>819</v>
      </c>
      <c r="K1089" s="67" t="s">
        <v>820</v>
      </c>
      <c r="L1089" s="67" t="s">
        <v>64</v>
      </c>
      <c r="M1089" s="67" t="s">
        <v>244</v>
      </c>
      <c r="N1089" s="67" t="s">
        <v>259</v>
      </c>
      <c r="O1089" s="67" t="s">
        <v>2116</v>
      </c>
      <c r="P1089" s="67" t="s">
        <v>19</v>
      </c>
      <c r="Q1089" s="192">
        <v>65.5</v>
      </c>
    </row>
    <row r="1090" spans="1:17" ht="11.1" hidden="1" customHeight="1" x14ac:dyDescent="0.2">
      <c r="A1090" s="3"/>
      <c r="B1090" s="3" t="str">
        <f ca="1">IF(A1090="В заказ",MAX($B$9:OFFSET(B1090,-1,0))+1,"")</f>
        <v/>
      </c>
      <c r="C1090" s="6" t="str">
        <f t="shared" si="35"/>
        <v>Кромка 2,0 H3330 ST36  (75 м бухта).</v>
      </c>
      <c r="D1090" s="67" t="s">
        <v>241</v>
      </c>
      <c r="E1090" s="67" t="s">
        <v>34</v>
      </c>
      <c r="F1090" s="67" t="s">
        <v>827</v>
      </c>
      <c r="G1090" s="68">
        <v>21747</v>
      </c>
      <c r="H1090" s="67" t="s">
        <v>330</v>
      </c>
      <c r="I1090" s="200"/>
      <c r="J1090" s="67" t="s">
        <v>819</v>
      </c>
      <c r="K1090" s="67" t="s">
        <v>820</v>
      </c>
      <c r="L1090" s="67" t="s">
        <v>64</v>
      </c>
      <c r="M1090" s="67" t="s">
        <v>264</v>
      </c>
      <c r="N1090" s="67" t="s">
        <v>259</v>
      </c>
      <c r="O1090" s="67" t="s">
        <v>2116</v>
      </c>
      <c r="P1090" s="67" t="s">
        <v>19</v>
      </c>
      <c r="Q1090" s="192">
        <v>94.1</v>
      </c>
    </row>
    <row r="1091" spans="1:17" ht="11.1" hidden="1" customHeight="1" x14ac:dyDescent="0.2">
      <c r="A1091" s="3"/>
      <c r="B1091" s="3" t="str">
        <f ca="1">IF(A1091="В заказ",MAX($B$9:OFFSET(B1091,-1,0))+1,"")</f>
        <v/>
      </c>
      <c r="C1091" s="6" t="str">
        <f t="shared" si="35"/>
        <v>Кромка 2,0 H3330 ST36  (75 м бухта).</v>
      </c>
      <c r="D1091" s="67" t="s">
        <v>241</v>
      </c>
      <c r="E1091" s="67" t="s">
        <v>34</v>
      </c>
      <c r="F1091" s="67" t="s">
        <v>828</v>
      </c>
      <c r="G1091" s="68">
        <v>21746</v>
      </c>
      <c r="H1091" s="67" t="s">
        <v>330</v>
      </c>
      <c r="I1091" s="200"/>
      <c r="J1091" s="67" t="s">
        <v>819</v>
      </c>
      <c r="K1091" s="67" t="s">
        <v>820</v>
      </c>
      <c r="L1091" s="67" t="s">
        <v>64</v>
      </c>
      <c r="M1091" s="67" t="s">
        <v>270</v>
      </c>
      <c r="N1091" s="67" t="s">
        <v>259</v>
      </c>
      <c r="O1091" s="67" t="s">
        <v>2116</v>
      </c>
      <c r="P1091" s="67" t="s">
        <v>19</v>
      </c>
      <c r="Q1091" s="192">
        <v>127.6</v>
      </c>
    </row>
    <row r="1092" spans="1:17" ht="11.1" hidden="1" customHeight="1" x14ac:dyDescent="0.2">
      <c r="A1092" s="3"/>
      <c r="B1092" s="3" t="str">
        <f ca="1">IF(A1092="В заказ",MAX($B$9:OFFSET(B1092,-1,0))+1,"")</f>
        <v/>
      </c>
      <c r="C1092" s="6" t="str">
        <f t="shared" si="35"/>
        <v>Кромка 0,4 H3331 ST10  (200 м бухта).</v>
      </c>
      <c r="D1092" s="67" t="s">
        <v>241</v>
      </c>
      <c r="E1092" s="67" t="s">
        <v>34</v>
      </c>
      <c r="F1092" s="67" t="s">
        <v>829</v>
      </c>
      <c r="G1092" s="68">
        <v>13093</v>
      </c>
      <c r="H1092" s="67" t="s">
        <v>330</v>
      </c>
      <c r="I1092" s="200"/>
      <c r="J1092" s="67" t="s">
        <v>119</v>
      </c>
      <c r="K1092" s="67" t="s">
        <v>120</v>
      </c>
      <c r="L1092" s="67" t="s">
        <v>38</v>
      </c>
      <c r="M1092" s="67" t="s">
        <v>252</v>
      </c>
      <c r="N1092" s="67" t="s">
        <v>253</v>
      </c>
      <c r="O1092" s="67" t="s">
        <v>2117</v>
      </c>
      <c r="P1092" s="67" t="s">
        <v>19</v>
      </c>
      <c r="Q1092" s="192">
        <v>17.899999999999999</v>
      </c>
    </row>
    <row r="1093" spans="1:17" ht="11.1" hidden="1" customHeight="1" x14ac:dyDescent="0.2">
      <c r="A1093" s="3"/>
      <c r="B1093" s="3" t="str">
        <f ca="1">IF(A1093="В заказ",MAX($B$9:OFFSET(B1093,-1,0))+1,"")</f>
        <v/>
      </c>
      <c r="C1093" s="6" t="str">
        <f t="shared" si="35"/>
        <v>Кромка 0,4 H3331 ST10  (200 м бухта).</v>
      </c>
      <c r="D1093" s="67" t="s">
        <v>241</v>
      </c>
      <c r="E1093" s="67" t="s">
        <v>34</v>
      </c>
      <c r="F1093" s="67" t="s">
        <v>830</v>
      </c>
      <c r="G1093" s="68">
        <v>24506</v>
      </c>
      <c r="H1093" s="67" t="s">
        <v>330</v>
      </c>
      <c r="I1093" s="200"/>
      <c r="J1093" s="67" t="s">
        <v>119</v>
      </c>
      <c r="K1093" s="67" t="s">
        <v>120</v>
      </c>
      <c r="L1093" s="67" t="s">
        <v>38</v>
      </c>
      <c r="M1093" s="67" t="s">
        <v>244</v>
      </c>
      <c r="N1093" s="67" t="s">
        <v>253</v>
      </c>
      <c r="O1093" s="67" t="s">
        <v>2117</v>
      </c>
      <c r="P1093" s="67" t="s">
        <v>19</v>
      </c>
      <c r="Q1093" s="71">
        <v>22</v>
      </c>
    </row>
    <row r="1094" spans="1:17" ht="11.1" hidden="1" customHeight="1" x14ac:dyDescent="0.2">
      <c r="A1094" s="3"/>
      <c r="B1094" s="3" t="str">
        <f ca="1">IF(A1094="В заказ",MAX($B$9:OFFSET(B1094,-1,0))+1,"")</f>
        <v/>
      </c>
      <c r="C1094" s="6" t="str">
        <f t="shared" si="35"/>
        <v>Кромка 0,4 H3331 ST10  (200 м бухта).</v>
      </c>
      <c r="D1094" s="67" t="s">
        <v>241</v>
      </c>
      <c r="E1094" s="67" t="s">
        <v>34</v>
      </c>
      <c r="F1094" s="67" t="s">
        <v>831</v>
      </c>
      <c r="G1094" s="68">
        <v>13244</v>
      </c>
      <c r="H1094" s="67" t="s">
        <v>330</v>
      </c>
      <c r="I1094" s="200"/>
      <c r="J1094" s="67" t="s">
        <v>119</v>
      </c>
      <c r="K1094" s="67" t="s">
        <v>120</v>
      </c>
      <c r="L1094" s="67" t="s">
        <v>38</v>
      </c>
      <c r="M1094" s="67" t="s">
        <v>264</v>
      </c>
      <c r="N1094" s="67" t="s">
        <v>253</v>
      </c>
      <c r="O1094" s="67" t="s">
        <v>2117</v>
      </c>
      <c r="P1094" s="67" t="s">
        <v>19</v>
      </c>
      <c r="Q1094" s="192">
        <v>28.9</v>
      </c>
    </row>
    <row r="1095" spans="1:17" ht="11.1" hidden="1" customHeight="1" x14ac:dyDescent="0.2">
      <c r="A1095" s="3"/>
      <c r="B1095" s="3" t="str">
        <f ca="1">IF(A1095="В заказ",MAX($B$9:OFFSET(B1095,-1,0))+1,"")</f>
        <v/>
      </c>
      <c r="C1095" s="6" t="str">
        <f t="shared" si="35"/>
        <v>Кромка 0,8 H3331 ST10  (75 м бухта).</v>
      </c>
      <c r="D1095" s="67" t="s">
        <v>241</v>
      </c>
      <c r="E1095" s="67" t="s">
        <v>34</v>
      </c>
      <c r="F1095" s="67" t="s">
        <v>832</v>
      </c>
      <c r="G1095" s="68">
        <v>14230</v>
      </c>
      <c r="H1095" s="67" t="s">
        <v>330</v>
      </c>
      <c r="I1095" s="200"/>
      <c r="J1095" s="67" t="s">
        <v>119</v>
      </c>
      <c r="K1095" s="67" t="s">
        <v>120</v>
      </c>
      <c r="L1095" s="67" t="s">
        <v>38</v>
      </c>
      <c r="M1095" s="67" t="s">
        <v>252</v>
      </c>
      <c r="N1095" s="67" t="s">
        <v>10</v>
      </c>
      <c r="O1095" s="67" t="s">
        <v>2116</v>
      </c>
      <c r="P1095" s="67" t="s">
        <v>19</v>
      </c>
      <c r="Q1095" s="71">
        <v>35</v>
      </c>
    </row>
    <row r="1096" spans="1:17" ht="11.1" hidden="1" customHeight="1" x14ac:dyDescent="0.2">
      <c r="A1096" s="3"/>
      <c r="B1096" s="3" t="str">
        <f ca="1">IF(A1096="В заказ",MAX($B$9:OFFSET(B1096,-1,0))+1,"")</f>
        <v/>
      </c>
      <c r="C1096" s="6" t="str">
        <f t="shared" si="35"/>
        <v>Кромка 0,8 H3331 ST10  (75 м бухта).</v>
      </c>
      <c r="D1096" s="67" t="s">
        <v>241</v>
      </c>
      <c r="E1096" s="67" t="s">
        <v>34</v>
      </c>
      <c r="F1096" s="67" t="s">
        <v>833</v>
      </c>
      <c r="G1096" s="68">
        <v>20703</v>
      </c>
      <c r="H1096" s="67" t="s">
        <v>330</v>
      </c>
      <c r="I1096" s="200"/>
      <c r="J1096" s="67" t="s">
        <v>119</v>
      </c>
      <c r="K1096" s="67" t="s">
        <v>120</v>
      </c>
      <c r="L1096" s="67" t="s">
        <v>38</v>
      </c>
      <c r="M1096" s="67" t="s">
        <v>244</v>
      </c>
      <c r="N1096" s="67" t="s">
        <v>10</v>
      </c>
      <c r="O1096" s="67" t="s">
        <v>2116</v>
      </c>
      <c r="P1096" s="67" t="s">
        <v>19</v>
      </c>
      <c r="Q1096" s="192">
        <v>42.3</v>
      </c>
    </row>
    <row r="1097" spans="1:17" ht="11.1" hidden="1" customHeight="1" x14ac:dyDescent="0.2">
      <c r="A1097" s="3"/>
      <c r="B1097" s="3" t="str">
        <f ca="1">IF(A1097="В заказ",MAX($B$9:OFFSET(B1097,-1,0))+1,"")</f>
        <v/>
      </c>
      <c r="C1097" s="6" t="str">
        <f t="shared" si="35"/>
        <v>Кромка 0,8 H3331 ST10  (75 м бухта).</v>
      </c>
      <c r="D1097" s="67" t="s">
        <v>241</v>
      </c>
      <c r="E1097" s="67" t="s">
        <v>34</v>
      </c>
      <c r="F1097" s="67" t="s">
        <v>834</v>
      </c>
      <c r="G1097" s="68">
        <v>14996</v>
      </c>
      <c r="H1097" s="67" t="s">
        <v>330</v>
      </c>
      <c r="I1097" s="200"/>
      <c r="J1097" s="67" t="s">
        <v>119</v>
      </c>
      <c r="K1097" s="67" t="s">
        <v>120</v>
      </c>
      <c r="L1097" s="67" t="s">
        <v>38</v>
      </c>
      <c r="M1097" s="67" t="s">
        <v>264</v>
      </c>
      <c r="N1097" s="67" t="s">
        <v>10</v>
      </c>
      <c r="O1097" s="67" t="s">
        <v>2116</v>
      </c>
      <c r="P1097" s="67" t="s">
        <v>19</v>
      </c>
      <c r="Q1097" s="192">
        <v>66.900000000000006</v>
      </c>
    </row>
    <row r="1098" spans="1:17" ht="11.1" hidden="1" customHeight="1" x14ac:dyDescent="0.2">
      <c r="A1098" s="3"/>
      <c r="B1098" s="3" t="str">
        <f ca="1">IF(A1098="В заказ",MAX($B$9:OFFSET(B1098,-1,0))+1,"")</f>
        <v/>
      </c>
      <c r="C1098" s="6" t="str">
        <f t="shared" si="35"/>
        <v>Кромка 2,0 H3331 ST10  (75 м бухта).</v>
      </c>
      <c r="D1098" s="67" t="s">
        <v>241</v>
      </c>
      <c r="E1098" s="67" t="s">
        <v>34</v>
      </c>
      <c r="F1098" s="67" t="s">
        <v>835</v>
      </c>
      <c r="G1098" s="68">
        <v>13094</v>
      </c>
      <c r="H1098" s="67" t="s">
        <v>330</v>
      </c>
      <c r="I1098" s="200"/>
      <c r="J1098" s="67" t="s">
        <v>119</v>
      </c>
      <c r="K1098" s="67" t="s">
        <v>120</v>
      </c>
      <c r="L1098" s="67" t="s">
        <v>38</v>
      </c>
      <c r="M1098" s="67" t="s">
        <v>252</v>
      </c>
      <c r="N1098" s="67" t="s">
        <v>259</v>
      </c>
      <c r="O1098" s="67" t="s">
        <v>2116</v>
      </c>
      <c r="P1098" s="67" t="s">
        <v>19</v>
      </c>
      <c r="Q1098" s="192">
        <v>62.6</v>
      </c>
    </row>
    <row r="1099" spans="1:17" ht="11.1" hidden="1" customHeight="1" x14ac:dyDescent="0.2">
      <c r="A1099" s="3"/>
      <c r="B1099" s="3" t="str">
        <f ca="1">IF(A1099="В заказ",MAX($B$9:OFFSET(B1099,-1,0))+1,"")</f>
        <v/>
      </c>
      <c r="C1099" s="6" t="str">
        <f t="shared" si="35"/>
        <v>Кромка 2,0 H3331 ST10 (75 м бухта).</v>
      </c>
      <c r="D1099" s="67" t="s">
        <v>241</v>
      </c>
      <c r="E1099" s="67" t="s">
        <v>34</v>
      </c>
      <c r="F1099" s="67" t="s">
        <v>836</v>
      </c>
      <c r="G1099" s="68">
        <v>14068</v>
      </c>
      <c r="H1099" s="67" t="s">
        <v>330</v>
      </c>
      <c r="I1099" s="200"/>
      <c r="J1099" s="67" t="s">
        <v>119</v>
      </c>
      <c r="K1099" s="67" t="s">
        <v>120</v>
      </c>
      <c r="L1099" s="67" t="s">
        <v>38</v>
      </c>
      <c r="M1099" s="67" t="s">
        <v>244</v>
      </c>
      <c r="N1099" s="67" t="s">
        <v>259</v>
      </c>
      <c r="O1099" s="67" t="s">
        <v>246</v>
      </c>
      <c r="P1099" s="67" t="s">
        <v>19</v>
      </c>
      <c r="Q1099" s="192">
        <v>65.5</v>
      </c>
    </row>
    <row r="1100" spans="1:17" ht="11.1" hidden="1" customHeight="1" x14ac:dyDescent="0.2">
      <c r="A1100" s="3"/>
      <c r="B1100" s="3" t="str">
        <f ca="1">IF(A1100="В заказ",MAX($B$9:OFFSET(B1100,-1,0))+1,"")</f>
        <v/>
      </c>
      <c r="C1100" s="6" t="str">
        <f t="shared" si="35"/>
        <v>Кромка 2,0 H3331 ST10  (75 м бухта).</v>
      </c>
      <c r="D1100" s="67" t="s">
        <v>241</v>
      </c>
      <c r="E1100" s="67" t="s">
        <v>34</v>
      </c>
      <c r="F1100" s="67" t="s">
        <v>837</v>
      </c>
      <c r="G1100" s="68">
        <v>13095</v>
      </c>
      <c r="H1100" s="67" t="s">
        <v>330</v>
      </c>
      <c r="I1100" s="200"/>
      <c r="J1100" s="67" t="s">
        <v>119</v>
      </c>
      <c r="K1100" s="67" t="s">
        <v>120</v>
      </c>
      <c r="L1100" s="67" t="s">
        <v>38</v>
      </c>
      <c r="M1100" s="67" t="s">
        <v>264</v>
      </c>
      <c r="N1100" s="67" t="s">
        <v>259</v>
      </c>
      <c r="O1100" s="67" t="s">
        <v>2116</v>
      </c>
      <c r="P1100" s="67" t="s">
        <v>19</v>
      </c>
      <c r="Q1100" s="192">
        <v>94.1</v>
      </c>
    </row>
    <row r="1101" spans="1:17" ht="11.1" hidden="1" customHeight="1" x14ac:dyDescent="0.2">
      <c r="A1101" s="3"/>
      <c r="B1101" s="3" t="str">
        <f ca="1">IF(A1101="В заказ",MAX($B$9:OFFSET(B1101,-1,0))+1,"")</f>
        <v/>
      </c>
      <c r="C1101" s="6" t="str">
        <f t="shared" si="35"/>
        <v>Кромка 2,0 H3331 ST10  (75 м бухта).</v>
      </c>
      <c r="D1101" s="67" t="s">
        <v>241</v>
      </c>
      <c r="E1101" s="67" t="s">
        <v>34</v>
      </c>
      <c r="F1101" s="67" t="s">
        <v>838</v>
      </c>
      <c r="G1101" s="68">
        <v>13243</v>
      </c>
      <c r="H1101" s="67" t="s">
        <v>330</v>
      </c>
      <c r="I1101" s="200"/>
      <c r="J1101" s="67" t="s">
        <v>119</v>
      </c>
      <c r="K1101" s="67" t="s">
        <v>120</v>
      </c>
      <c r="L1101" s="67" t="s">
        <v>38</v>
      </c>
      <c r="M1101" s="67" t="s">
        <v>270</v>
      </c>
      <c r="N1101" s="67" t="s">
        <v>259</v>
      </c>
      <c r="O1101" s="67" t="s">
        <v>2116</v>
      </c>
      <c r="P1101" s="67" t="s">
        <v>19</v>
      </c>
      <c r="Q1101" s="192">
        <v>127.6</v>
      </c>
    </row>
    <row r="1102" spans="1:17" ht="11.1" hidden="1" customHeight="1" x14ac:dyDescent="0.2">
      <c r="A1102" s="3"/>
      <c r="B1102" s="3" t="str">
        <f ca="1">IF(A1102="В заказ",MAX($B$9:OFFSET(B1102,-1,0))+1,"")</f>
        <v/>
      </c>
      <c r="C1102" s="6" t="str">
        <f t="shared" si="35"/>
        <v>Кромка 2,0 H3331 ST10  (75 м бухта).</v>
      </c>
      <c r="D1102" s="67" t="s">
        <v>241</v>
      </c>
      <c r="E1102" s="67" t="s">
        <v>34</v>
      </c>
      <c r="F1102" s="67" t="s">
        <v>839</v>
      </c>
      <c r="G1102" s="68">
        <v>21482</v>
      </c>
      <c r="H1102" s="67" t="s">
        <v>330</v>
      </c>
      <c r="I1102" s="200"/>
      <c r="J1102" s="67" t="s">
        <v>119</v>
      </c>
      <c r="K1102" s="67" t="s">
        <v>120</v>
      </c>
      <c r="L1102" s="67" t="s">
        <v>38</v>
      </c>
      <c r="M1102" s="67" t="s">
        <v>282</v>
      </c>
      <c r="N1102" s="67" t="s">
        <v>259</v>
      </c>
      <c r="O1102" s="67" t="s">
        <v>2116</v>
      </c>
      <c r="P1102" s="67" t="s">
        <v>19</v>
      </c>
      <c r="Q1102" s="192">
        <v>187.5</v>
      </c>
    </row>
    <row r="1103" spans="1:17" ht="11.1" hidden="1" customHeight="1" x14ac:dyDescent="0.2">
      <c r="A1103" s="3"/>
      <c r="B1103" s="3" t="str">
        <f ca="1">IF(A1103="В заказ",MAX($B$9:OFFSET(B1103,-1,0))+1,"")</f>
        <v/>
      </c>
      <c r="C1103" s="6" t="str">
        <f t="shared" si="35"/>
        <v>Кромка 0,4 H3395 ST12  (200 м бухта).</v>
      </c>
      <c r="D1103" s="67" t="s">
        <v>241</v>
      </c>
      <c r="E1103" s="67" t="s">
        <v>34</v>
      </c>
      <c r="F1103" s="67" t="s">
        <v>840</v>
      </c>
      <c r="G1103" s="68">
        <v>12536</v>
      </c>
      <c r="H1103" s="67" t="s">
        <v>330</v>
      </c>
      <c r="I1103" s="200"/>
      <c r="J1103" s="67" t="s">
        <v>123</v>
      </c>
      <c r="K1103" s="67" t="s">
        <v>124</v>
      </c>
      <c r="L1103" s="67" t="s">
        <v>41</v>
      </c>
      <c r="M1103" s="67" t="s">
        <v>252</v>
      </c>
      <c r="N1103" s="67" t="s">
        <v>253</v>
      </c>
      <c r="O1103" s="67" t="s">
        <v>2117</v>
      </c>
      <c r="P1103" s="67" t="s">
        <v>19</v>
      </c>
      <c r="Q1103" s="192">
        <v>17.899999999999999</v>
      </c>
    </row>
    <row r="1104" spans="1:17" ht="11.1" hidden="1" customHeight="1" x14ac:dyDescent="0.2">
      <c r="A1104" s="3"/>
      <c r="B1104" s="3" t="str">
        <f ca="1">IF(A1104="В заказ",MAX($B$9:OFFSET(B1104,-1,0))+1,"")</f>
        <v/>
      </c>
      <c r="C1104" s="6" t="str">
        <f t="shared" si="35"/>
        <v>Кромка 0,4 H3395 ST12  (200 м бухта).</v>
      </c>
      <c r="D1104" s="67" t="s">
        <v>241</v>
      </c>
      <c r="E1104" s="67" t="s">
        <v>34</v>
      </c>
      <c r="F1104" s="67" t="s">
        <v>841</v>
      </c>
      <c r="G1104" s="68">
        <v>24816</v>
      </c>
      <c r="H1104" s="67" t="s">
        <v>330</v>
      </c>
      <c r="I1104" s="200"/>
      <c r="J1104" s="67" t="s">
        <v>123</v>
      </c>
      <c r="K1104" s="67" t="s">
        <v>124</v>
      </c>
      <c r="L1104" s="67" t="s">
        <v>41</v>
      </c>
      <c r="M1104" s="67" t="s">
        <v>244</v>
      </c>
      <c r="N1104" s="67" t="s">
        <v>253</v>
      </c>
      <c r="O1104" s="67" t="s">
        <v>2117</v>
      </c>
      <c r="P1104" s="67" t="s">
        <v>19</v>
      </c>
      <c r="Q1104" s="71">
        <v>22</v>
      </c>
    </row>
    <row r="1105" spans="1:17" ht="11.1" hidden="1" customHeight="1" x14ac:dyDescent="0.2">
      <c r="A1105" s="3"/>
      <c r="B1105" s="3" t="str">
        <f ca="1">IF(A1105="В заказ",MAX($B$9:OFFSET(B1105,-1,0))+1,"")</f>
        <v/>
      </c>
      <c r="C1105" s="6" t="str">
        <f t="shared" si="35"/>
        <v>Кромка 0,4 H3395 ST12  (200 м бухта).</v>
      </c>
      <c r="D1105" s="67" t="s">
        <v>241</v>
      </c>
      <c r="E1105" s="67" t="s">
        <v>34</v>
      </c>
      <c r="F1105" s="67" t="s">
        <v>842</v>
      </c>
      <c r="G1105" s="68">
        <v>14194</v>
      </c>
      <c r="H1105" s="67" t="s">
        <v>330</v>
      </c>
      <c r="I1105" s="200"/>
      <c r="J1105" s="67" t="s">
        <v>123</v>
      </c>
      <c r="K1105" s="67" t="s">
        <v>124</v>
      </c>
      <c r="L1105" s="67" t="s">
        <v>41</v>
      </c>
      <c r="M1105" s="67" t="s">
        <v>264</v>
      </c>
      <c r="N1105" s="67" t="s">
        <v>253</v>
      </c>
      <c r="O1105" s="67" t="s">
        <v>2117</v>
      </c>
      <c r="P1105" s="67" t="s">
        <v>19</v>
      </c>
      <c r="Q1105" s="192">
        <v>28.9</v>
      </c>
    </row>
    <row r="1106" spans="1:17" ht="11.1" hidden="1" customHeight="1" x14ac:dyDescent="0.2">
      <c r="A1106" s="3"/>
      <c r="B1106" s="3" t="str">
        <f ca="1">IF(A1106="В заказ",MAX($B$9:OFFSET(B1106,-1,0))+1,"")</f>
        <v/>
      </c>
      <c r="C1106" s="6" t="str">
        <f t="shared" si="35"/>
        <v>Кромка 0,8 H3395 ST12  (75 м бухта).</v>
      </c>
      <c r="D1106" s="67" t="s">
        <v>241</v>
      </c>
      <c r="E1106" s="67" t="s">
        <v>34</v>
      </c>
      <c r="F1106" s="67" t="s">
        <v>843</v>
      </c>
      <c r="G1106" s="68">
        <v>13419</v>
      </c>
      <c r="H1106" s="67" t="s">
        <v>330</v>
      </c>
      <c r="I1106" s="200"/>
      <c r="J1106" s="67" t="s">
        <v>123</v>
      </c>
      <c r="K1106" s="67" t="s">
        <v>124</v>
      </c>
      <c r="L1106" s="67" t="s">
        <v>41</v>
      </c>
      <c r="M1106" s="67" t="s">
        <v>252</v>
      </c>
      <c r="N1106" s="67" t="s">
        <v>10</v>
      </c>
      <c r="O1106" s="67" t="s">
        <v>2116</v>
      </c>
      <c r="P1106" s="67" t="s">
        <v>19</v>
      </c>
      <c r="Q1106" s="71">
        <v>35</v>
      </c>
    </row>
    <row r="1107" spans="1:17" ht="11.1" hidden="1" customHeight="1" x14ac:dyDescent="0.2">
      <c r="A1107" s="3"/>
      <c r="B1107" s="3" t="str">
        <f ca="1">IF(A1107="В заказ",MAX($B$9:OFFSET(B1107,-1,0))+1,"")</f>
        <v/>
      </c>
      <c r="C1107" s="6" t="str">
        <f t="shared" si="35"/>
        <v>Кромка 0,8 H3395 ST12  (75 м бухта).</v>
      </c>
      <c r="D1107" s="67" t="s">
        <v>241</v>
      </c>
      <c r="E1107" s="67" t="s">
        <v>34</v>
      </c>
      <c r="F1107" s="67" t="s">
        <v>844</v>
      </c>
      <c r="G1107" s="68">
        <v>15457</v>
      </c>
      <c r="H1107" s="67" t="s">
        <v>330</v>
      </c>
      <c r="I1107" s="200"/>
      <c r="J1107" s="67" t="s">
        <v>123</v>
      </c>
      <c r="K1107" s="67" t="s">
        <v>124</v>
      </c>
      <c r="L1107" s="67" t="s">
        <v>41</v>
      </c>
      <c r="M1107" s="67" t="s">
        <v>244</v>
      </c>
      <c r="N1107" s="67" t="s">
        <v>10</v>
      </c>
      <c r="O1107" s="67" t="s">
        <v>2116</v>
      </c>
      <c r="P1107" s="67" t="s">
        <v>19</v>
      </c>
      <c r="Q1107" s="192">
        <v>42.3</v>
      </c>
    </row>
    <row r="1108" spans="1:17" ht="11.1" hidden="1" customHeight="1" x14ac:dyDescent="0.2">
      <c r="A1108" s="3"/>
      <c r="B1108" s="3" t="str">
        <f ca="1">IF(A1108="В заказ",MAX($B$9:OFFSET(B1108,-1,0))+1,"")</f>
        <v/>
      </c>
      <c r="C1108" s="6" t="str">
        <f t="shared" si="35"/>
        <v>Кромка 0,8 H3395 ST12  (75 м бухта).</v>
      </c>
      <c r="D1108" s="67" t="s">
        <v>241</v>
      </c>
      <c r="E1108" s="67" t="s">
        <v>34</v>
      </c>
      <c r="F1108" s="67" t="s">
        <v>845</v>
      </c>
      <c r="G1108" s="68">
        <v>16047</v>
      </c>
      <c r="H1108" s="67" t="s">
        <v>330</v>
      </c>
      <c r="I1108" s="200"/>
      <c r="J1108" s="67" t="s">
        <v>123</v>
      </c>
      <c r="K1108" s="67" t="s">
        <v>124</v>
      </c>
      <c r="L1108" s="67" t="s">
        <v>41</v>
      </c>
      <c r="M1108" s="67" t="s">
        <v>264</v>
      </c>
      <c r="N1108" s="67" t="s">
        <v>10</v>
      </c>
      <c r="O1108" s="67" t="s">
        <v>2116</v>
      </c>
      <c r="P1108" s="67" t="s">
        <v>19</v>
      </c>
      <c r="Q1108" s="192">
        <v>66.900000000000006</v>
      </c>
    </row>
    <row r="1109" spans="1:17" ht="11.1" hidden="1" customHeight="1" x14ac:dyDescent="0.2">
      <c r="A1109" s="3"/>
      <c r="B1109" s="3" t="str">
        <f ca="1">IF(A1109="В заказ",MAX($B$9:OFFSET(B1109,-1,0))+1,"")</f>
        <v/>
      </c>
      <c r="C1109" s="6" t="str">
        <f t="shared" si="35"/>
        <v>Кромка 2,0 H3395 ST12  (75 м бухта).</v>
      </c>
      <c r="D1109" s="67" t="s">
        <v>241</v>
      </c>
      <c r="E1109" s="67" t="s">
        <v>34</v>
      </c>
      <c r="F1109" s="67" t="s">
        <v>846</v>
      </c>
      <c r="G1109" s="68">
        <v>12535</v>
      </c>
      <c r="H1109" s="67" t="s">
        <v>330</v>
      </c>
      <c r="I1109" s="200"/>
      <c r="J1109" s="67" t="s">
        <v>123</v>
      </c>
      <c r="K1109" s="67" t="s">
        <v>124</v>
      </c>
      <c r="L1109" s="67" t="s">
        <v>41</v>
      </c>
      <c r="M1109" s="67" t="s">
        <v>252</v>
      </c>
      <c r="N1109" s="67" t="s">
        <v>259</v>
      </c>
      <c r="O1109" s="67" t="s">
        <v>2116</v>
      </c>
      <c r="P1109" s="67" t="s">
        <v>19</v>
      </c>
      <c r="Q1109" s="192">
        <v>62.6</v>
      </c>
    </row>
    <row r="1110" spans="1:17" ht="11.1" hidden="1" customHeight="1" x14ac:dyDescent="0.2">
      <c r="A1110" s="3"/>
      <c r="B1110" s="3" t="str">
        <f ca="1">IF(A1110="В заказ",MAX($B$9:OFFSET(B1110,-1,0))+1,"")</f>
        <v/>
      </c>
      <c r="C1110" s="6" t="str">
        <f t="shared" si="35"/>
        <v>Кромка 2,0 H3395 ST12 (75 м бухта).</v>
      </c>
      <c r="D1110" s="67" t="s">
        <v>241</v>
      </c>
      <c r="E1110" s="67" t="s">
        <v>34</v>
      </c>
      <c r="F1110" s="67" t="s">
        <v>847</v>
      </c>
      <c r="G1110" s="68">
        <v>14275</v>
      </c>
      <c r="H1110" s="67" t="s">
        <v>330</v>
      </c>
      <c r="I1110" s="200"/>
      <c r="J1110" s="67" t="s">
        <v>123</v>
      </c>
      <c r="K1110" s="67" t="s">
        <v>124</v>
      </c>
      <c r="L1110" s="67" t="s">
        <v>41</v>
      </c>
      <c r="M1110" s="67" t="s">
        <v>244</v>
      </c>
      <c r="N1110" s="67" t="s">
        <v>259</v>
      </c>
      <c r="O1110" s="67" t="s">
        <v>246</v>
      </c>
      <c r="P1110" s="67" t="s">
        <v>19</v>
      </c>
      <c r="Q1110" s="192">
        <v>65.5</v>
      </c>
    </row>
    <row r="1111" spans="1:17" ht="11.1" hidden="1" customHeight="1" x14ac:dyDescent="0.2">
      <c r="A1111" s="3"/>
      <c r="B1111" s="3" t="str">
        <f ca="1">IF(A1111="В заказ",MAX($B$9:OFFSET(B1111,-1,0))+1,"")</f>
        <v/>
      </c>
      <c r="C1111" s="6" t="str">
        <f t="shared" si="35"/>
        <v>Кромка 2,0 H3395 ST12  (75 м бухта).</v>
      </c>
      <c r="D1111" s="67" t="s">
        <v>241</v>
      </c>
      <c r="E1111" s="67" t="s">
        <v>34</v>
      </c>
      <c r="F1111" s="67" t="s">
        <v>848</v>
      </c>
      <c r="G1111" s="68">
        <v>14193</v>
      </c>
      <c r="H1111" s="67" t="s">
        <v>330</v>
      </c>
      <c r="I1111" s="200"/>
      <c r="J1111" s="67" t="s">
        <v>123</v>
      </c>
      <c r="K1111" s="67" t="s">
        <v>124</v>
      </c>
      <c r="L1111" s="67" t="s">
        <v>41</v>
      </c>
      <c r="M1111" s="67" t="s">
        <v>264</v>
      </c>
      <c r="N1111" s="67" t="s">
        <v>259</v>
      </c>
      <c r="O1111" s="67" t="s">
        <v>2116</v>
      </c>
      <c r="P1111" s="67" t="s">
        <v>19</v>
      </c>
      <c r="Q1111" s="192">
        <v>94.1</v>
      </c>
    </row>
    <row r="1112" spans="1:17" ht="11.1" hidden="1" customHeight="1" x14ac:dyDescent="0.2">
      <c r="A1112" s="3"/>
      <c r="B1112" s="3" t="str">
        <f ca="1">IF(A1112="В заказ",MAX($B$9:OFFSET(B1112,-1,0))+1,"")</f>
        <v/>
      </c>
      <c r="C1112" s="6" t="str">
        <f t="shared" si="35"/>
        <v>Кромка 2,0 H3395 ST12  (75 м бухта).</v>
      </c>
      <c r="D1112" s="67" t="s">
        <v>241</v>
      </c>
      <c r="E1112" s="67" t="s">
        <v>34</v>
      </c>
      <c r="F1112" s="67" t="s">
        <v>849</v>
      </c>
      <c r="G1112" s="68">
        <v>15030</v>
      </c>
      <c r="H1112" s="67" t="s">
        <v>330</v>
      </c>
      <c r="I1112" s="200"/>
      <c r="J1112" s="67" t="s">
        <v>123</v>
      </c>
      <c r="K1112" s="67" t="s">
        <v>124</v>
      </c>
      <c r="L1112" s="67" t="s">
        <v>41</v>
      </c>
      <c r="M1112" s="67" t="s">
        <v>270</v>
      </c>
      <c r="N1112" s="67" t="s">
        <v>259</v>
      </c>
      <c r="O1112" s="67" t="s">
        <v>2116</v>
      </c>
      <c r="P1112" s="67" t="s">
        <v>19</v>
      </c>
      <c r="Q1112" s="192">
        <v>127.6</v>
      </c>
    </row>
    <row r="1113" spans="1:17" ht="11.1" hidden="1" customHeight="1" x14ac:dyDescent="0.2">
      <c r="A1113" s="3"/>
      <c r="B1113" s="3" t="str">
        <f ca="1">IF(A1113="В заказ",MAX($B$9:OFFSET(B1113,-1,0))+1,"")</f>
        <v/>
      </c>
      <c r="C1113" s="6" t="str">
        <f t="shared" si="35"/>
        <v>Кромка 0,4 H3398 ST12  (200 м бухта).</v>
      </c>
      <c r="D1113" s="67" t="s">
        <v>241</v>
      </c>
      <c r="E1113" s="67" t="s">
        <v>34</v>
      </c>
      <c r="F1113" s="67" t="s">
        <v>850</v>
      </c>
      <c r="G1113" s="68">
        <v>13856</v>
      </c>
      <c r="H1113" s="67" t="s">
        <v>330</v>
      </c>
      <c r="I1113" s="200"/>
      <c r="J1113" s="67" t="s">
        <v>125</v>
      </c>
      <c r="K1113" s="67" t="s">
        <v>126</v>
      </c>
      <c r="L1113" s="67" t="s">
        <v>41</v>
      </c>
      <c r="M1113" s="67" t="s">
        <v>252</v>
      </c>
      <c r="N1113" s="67" t="s">
        <v>253</v>
      </c>
      <c r="O1113" s="67" t="s">
        <v>2117</v>
      </c>
      <c r="P1113" s="67" t="s">
        <v>19</v>
      </c>
      <c r="Q1113" s="192">
        <v>17.899999999999999</v>
      </c>
    </row>
    <row r="1114" spans="1:17" ht="11.1" hidden="1" customHeight="1" x14ac:dyDescent="0.2">
      <c r="A1114" s="3"/>
      <c r="B1114" s="3" t="str">
        <f ca="1">IF(A1114="В заказ",MAX($B$9:OFFSET(B1114,-1,0))+1,"")</f>
        <v/>
      </c>
      <c r="C1114" s="6" t="str">
        <f t="shared" si="35"/>
        <v>Кромка 0,4 H3398 ST12  (200 м бухта).</v>
      </c>
      <c r="D1114" s="67" t="s">
        <v>241</v>
      </c>
      <c r="E1114" s="67" t="s">
        <v>34</v>
      </c>
      <c r="F1114" s="67" t="s">
        <v>851</v>
      </c>
      <c r="G1114" s="68">
        <v>24825</v>
      </c>
      <c r="H1114" s="67" t="s">
        <v>330</v>
      </c>
      <c r="I1114" s="200"/>
      <c r="J1114" s="67" t="s">
        <v>125</v>
      </c>
      <c r="K1114" s="67" t="s">
        <v>126</v>
      </c>
      <c r="L1114" s="67" t="s">
        <v>41</v>
      </c>
      <c r="M1114" s="67" t="s">
        <v>244</v>
      </c>
      <c r="N1114" s="67" t="s">
        <v>253</v>
      </c>
      <c r="O1114" s="67" t="s">
        <v>2117</v>
      </c>
      <c r="P1114" s="67" t="s">
        <v>19</v>
      </c>
      <c r="Q1114" s="71">
        <v>22</v>
      </c>
    </row>
    <row r="1115" spans="1:17" ht="11.1" hidden="1" customHeight="1" x14ac:dyDescent="0.2">
      <c r="A1115" s="3"/>
      <c r="B1115" s="3" t="str">
        <f ca="1">IF(A1115="В заказ",MAX($B$9:OFFSET(B1115,-1,0))+1,"")</f>
        <v/>
      </c>
      <c r="C1115" s="6" t="str">
        <f t="shared" si="35"/>
        <v>Кромка 0,4 H3398 ST12  (200 м бухта).</v>
      </c>
      <c r="D1115" s="67" t="s">
        <v>241</v>
      </c>
      <c r="E1115" s="67" t="s">
        <v>34</v>
      </c>
      <c r="F1115" s="67" t="s">
        <v>852</v>
      </c>
      <c r="G1115" s="68">
        <v>14195</v>
      </c>
      <c r="H1115" s="67" t="s">
        <v>330</v>
      </c>
      <c r="I1115" s="200"/>
      <c r="J1115" s="67" t="s">
        <v>125</v>
      </c>
      <c r="K1115" s="67" t="s">
        <v>126</v>
      </c>
      <c r="L1115" s="67" t="s">
        <v>41</v>
      </c>
      <c r="M1115" s="67" t="s">
        <v>264</v>
      </c>
      <c r="N1115" s="67" t="s">
        <v>253</v>
      </c>
      <c r="O1115" s="67" t="s">
        <v>2117</v>
      </c>
      <c r="P1115" s="67" t="s">
        <v>19</v>
      </c>
      <c r="Q1115" s="192">
        <v>28.9</v>
      </c>
    </row>
    <row r="1116" spans="1:17" ht="11.1" hidden="1" customHeight="1" x14ac:dyDescent="0.2">
      <c r="A1116" s="3"/>
      <c r="B1116" s="3" t="str">
        <f ca="1">IF(A1116="В заказ",MAX($B$9:OFFSET(B1116,-1,0))+1,"")</f>
        <v/>
      </c>
      <c r="C1116" s="6" t="str">
        <f t="shared" si="35"/>
        <v>Кромка 0,8 H3398 ST12  (75 м бухта).</v>
      </c>
      <c r="D1116" s="67" t="s">
        <v>241</v>
      </c>
      <c r="E1116" s="67" t="s">
        <v>34</v>
      </c>
      <c r="F1116" s="67" t="s">
        <v>853</v>
      </c>
      <c r="G1116" s="68">
        <v>13998</v>
      </c>
      <c r="H1116" s="67" t="s">
        <v>330</v>
      </c>
      <c r="I1116" s="200"/>
      <c r="J1116" s="67" t="s">
        <v>125</v>
      </c>
      <c r="K1116" s="67" t="s">
        <v>126</v>
      </c>
      <c r="L1116" s="67" t="s">
        <v>41</v>
      </c>
      <c r="M1116" s="67" t="s">
        <v>252</v>
      </c>
      <c r="N1116" s="67" t="s">
        <v>10</v>
      </c>
      <c r="O1116" s="67" t="s">
        <v>2116</v>
      </c>
      <c r="P1116" s="67" t="s">
        <v>19</v>
      </c>
      <c r="Q1116" s="71">
        <v>35</v>
      </c>
    </row>
    <row r="1117" spans="1:17" ht="11.1" hidden="1" customHeight="1" x14ac:dyDescent="0.2">
      <c r="A1117" s="3"/>
      <c r="B1117" s="3" t="str">
        <f ca="1">IF(A1117="В заказ",MAX($B$9:OFFSET(B1117,-1,0))+1,"")</f>
        <v/>
      </c>
      <c r="C1117" s="6" t="str">
        <f t="shared" si="35"/>
        <v>Кромка 0,8 H3398 ST12  (75 м бухта).</v>
      </c>
      <c r="D1117" s="67" t="s">
        <v>241</v>
      </c>
      <c r="E1117" s="67" t="s">
        <v>34</v>
      </c>
      <c r="F1117" s="67" t="s">
        <v>854</v>
      </c>
      <c r="G1117" s="68">
        <v>24826</v>
      </c>
      <c r="H1117" s="67" t="s">
        <v>330</v>
      </c>
      <c r="I1117" s="200"/>
      <c r="J1117" s="67" t="s">
        <v>125</v>
      </c>
      <c r="K1117" s="67" t="s">
        <v>126</v>
      </c>
      <c r="L1117" s="67" t="s">
        <v>41</v>
      </c>
      <c r="M1117" s="67" t="s">
        <v>244</v>
      </c>
      <c r="N1117" s="67" t="s">
        <v>10</v>
      </c>
      <c r="O1117" s="67" t="s">
        <v>2116</v>
      </c>
      <c r="P1117" s="67" t="s">
        <v>19</v>
      </c>
      <c r="Q1117" s="192">
        <v>42.3</v>
      </c>
    </row>
    <row r="1118" spans="1:17" ht="11.1" hidden="1" customHeight="1" x14ac:dyDescent="0.2">
      <c r="A1118" s="3"/>
      <c r="B1118" s="3" t="str">
        <f ca="1">IF(A1118="В заказ",MAX($B$9:OFFSET(B1118,-1,0))+1,"")</f>
        <v/>
      </c>
      <c r="C1118" s="6" t="str">
        <f t="shared" si="35"/>
        <v>Кромка 2,0 H3398 ST12  (75 м бухта).</v>
      </c>
      <c r="D1118" s="67" t="s">
        <v>241</v>
      </c>
      <c r="E1118" s="67" t="s">
        <v>34</v>
      </c>
      <c r="F1118" s="67" t="s">
        <v>855</v>
      </c>
      <c r="G1118" s="68">
        <v>13630</v>
      </c>
      <c r="H1118" s="67" t="s">
        <v>330</v>
      </c>
      <c r="I1118" s="200"/>
      <c r="J1118" s="67" t="s">
        <v>125</v>
      </c>
      <c r="K1118" s="67" t="s">
        <v>126</v>
      </c>
      <c r="L1118" s="67" t="s">
        <v>41</v>
      </c>
      <c r="M1118" s="67" t="s">
        <v>252</v>
      </c>
      <c r="N1118" s="67" t="s">
        <v>259</v>
      </c>
      <c r="O1118" s="67" t="s">
        <v>2116</v>
      </c>
      <c r="P1118" s="67" t="s">
        <v>19</v>
      </c>
      <c r="Q1118" s="192">
        <v>62.6</v>
      </c>
    </row>
    <row r="1119" spans="1:17" ht="11.1" hidden="1" customHeight="1" x14ac:dyDescent="0.2">
      <c r="A1119" s="3"/>
      <c r="B1119" s="3" t="str">
        <f ca="1">IF(A1119="В заказ",MAX($B$9:OFFSET(B1119,-1,0))+1,"")</f>
        <v/>
      </c>
      <c r="C1119" s="6" t="str">
        <f t="shared" si="35"/>
        <v>Кромка 2,0 H3398 ST12  (75 м бухта).</v>
      </c>
      <c r="D1119" s="67" t="s">
        <v>241</v>
      </c>
      <c r="E1119" s="67" t="s">
        <v>34</v>
      </c>
      <c r="F1119" s="67" t="s">
        <v>856</v>
      </c>
      <c r="G1119" s="68">
        <v>13999</v>
      </c>
      <c r="H1119" s="67" t="s">
        <v>330</v>
      </c>
      <c r="I1119" s="200"/>
      <c r="J1119" s="67" t="s">
        <v>125</v>
      </c>
      <c r="K1119" s="67" t="s">
        <v>126</v>
      </c>
      <c r="L1119" s="67" t="s">
        <v>41</v>
      </c>
      <c r="M1119" s="67" t="s">
        <v>244</v>
      </c>
      <c r="N1119" s="67" t="s">
        <v>259</v>
      </c>
      <c r="O1119" s="67" t="s">
        <v>2116</v>
      </c>
      <c r="P1119" s="67" t="s">
        <v>19</v>
      </c>
      <c r="Q1119" s="192">
        <v>65.5</v>
      </c>
    </row>
    <row r="1120" spans="1:17" ht="11.1" hidden="1" customHeight="1" x14ac:dyDescent="0.2">
      <c r="A1120" s="3"/>
      <c r="B1120" s="3" t="str">
        <f ca="1">IF(A1120="В заказ",MAX($B$9:OFFSET(B1120,-1,0))+1,"")</f>
        <v/>
      </c>
      <c r="C1120" s="6" t="str">
        <f t="shared" si="35"/>
        <v>Кромка 2,0 H3398 ST12  (75 м бухта).</v>
      </c>
      <c r="D1120" s="67" t="s">
        <v>241</v>
      </c>
      <c r="E1120" s="67" t="s">
        <v>34</v>
      </c>
      <c r="F1120" s="67" t="s">
        <v>857</v>
      </c>
      <c r="G1120" s="68">
        <v>14359</v>
      </c>
      <c r="H1120" s="67" t="s">
        <v>330</v>
      </c>
      <c r="I1120" s="200"/>
      <c r="J1120" s="67" t="s">
        <v>125</v>
      </c>
      <c r="K1120" s="67" t="s">
        <v>126</v>
      </c>
      <c r="L1120" s="67" t="s">
        <v>41</v>
      </c>
      <c r="M1120" s="67" t="s">
        <v>264</v>
      </c>
      <c r="N1120" s="67" t="s">
        <v>259</v>
      </c>
      <c r="O1120" s="67" t="s">
        <v>2116</v>
      </c>
      <c r="P1120" s="67" t="s">
        <v>19</v>
      </c>
      <c r="Q1120" s="192">
        <v>94.1</v>
      </c>
    </row>
    <row r="1121" spans="1:17" ht="11.1" hidden="1" customHeight="1" x14ac:dyDescent="0.2">
      <c r="A1121" s="3"/>
      <c r="B1121" s="3" t="str">
        <f ca="1">IF(A1121="В заказ",MAX($B$9:OFFSET(B1121,-1,0))+1,"")</f>
        <v/>
      </c>
      <c r="C1121" s="6" t="str">
        <f t="shared" si="35"/>
        <v>Кромка 2,0 H3398 ST12  (75 м бухта).</v>
      </c>
      <c r="D1121" s="67" t="s">
        <v>241</v>
      </c>
      <c r="E1121" s="67" t="s">
        <v>34</v>
      </c>
      <c r="F1121" s="67" t="s">
        <v>858</v>
      </c>
      <c r="G1121" s="68">
        <v>14564</v>
      </c>
      <c r="H1121" s="67" t="s">
        <v>330</v>
      </c>
      <c r="I1121" s="200"/>
      <c r="J1121" s="67" t="s">
        <v>125</v>
      </c>
      <c r="K1121" s="67" t="s">
        <v>126</v>
      </c>
      <c r="L1121" s="67" t="s">
        <v>41</v>
      </c>
      <c r="M1121" s="67" t="s">
        <v>270</v>
      </c>
      <c r="N1121" s="67" t="s">
        <v>259</v>
      </c>
      <c r="O1121" s="67" t="s">
        <v>2116</v>
      </c>
      <c r="P1121" s="67" t="s">
        <v>19</v>
      </c>
      <c r="Q1121" s="192">
        <v>127.6</v>
      </c>
    </row>
    <row r="1122" spans="1:17" ht="11.1" hidden="1" customHeight="1" x14ac:dyDescent="0.2">
      <c r="A1122" s="3"/>
      <c r="B1122" s="3" t="str">
        <f ca="1">IF(A1122="В заказ",MAX($B$9:OFFSET(B1122,-1,0))+1,"")</f>
        <v/>
      </c>
      <c r="C1122" s="6" t="str">
        <f t="shared" si="35"/>
        <v>Кромка 0,4 H3408 ST38  (200 м бухта).</v>
      </c>
      <c r="D1122" s="67" t="s">
        <v>241</v>
      </c>
      <c r="E1122" s="67" t="s">
        <v>34</v>
      </c>
      <c r="F1122" s="67" t="s">
        <v>859</v>
      </c>
      <c r="G1122" s="68">
        <v>21748</v>
      </c>
      <c r="H1122" s="67" t="s">
        <v>330</v>
      </c>
      <c r="I1122" s="200"/>
      <c r="J1122" s="67" t="s">
        <v>860</v>
      </c>
      <c r="K1122" s="67" t="s">
        <v>861</v>
      </c>
      <c r="L1122" s="67" t="s">
        <v>21</v>
      </c>
      <c r="M1122" s="67" t="s">
        <v>252</v>
      </c>
      <c r="N1122" s="67" t="s">
        <v>253</v>
      </c>
      <c r="O1122" s="67" t="s">
        <v>2117</v>
      </c>
      <c r="P1122" s="67" t="s">
        <v>19</v>
      </c>
      <c r="Q1122" s="192">
        <v>17.899999999999999</v>
      </c>
    </row>
    <row r="1123" spans="1:17" ht="11.1" hidden="1" customHeight="1" x14ac:dyDescent="0.2">
      <c r="A1123" s="3"/>
      <c r="B1123" s="3" t="str">
        <f ca="1">IF(A1123="В заказ",MAX($B$9:OFFSET(B1123,-1,0))+1,"")</f>
        <v/>
      </c>
      <c r="C1123" s="6" t="str">
        <f t="shared" si="35"/>
        <v>Кромка 0,4 H3408 ST38  (200 м бухта).</v>
      </c>
      <c r="D1123" s="67" t="s">
        <v>241</v>
      </c>
      <c r="E1123" s="67" t="s">
        <v>34</v>
      </c>
      <c r="F1123" s="67" t="s">
        <v>862</v>
      </c>
      <c r="G1123" s="68">
        <v>22798</v>
      </c>
      <c r="H1123" s="67" t="s">
        <v>330</v>
      </c>
      <c r="I1123" s="200"/>
      <c r="J1123" s="67" t="s">
        <v>860</v>
      </c>
      <c r="K1123" s="67" t="s">
        <v>861</v>
      </c>
      <c r="L1123" s="67" t="s">
        <v>21</v>
      </c>
      <c r="M1123" s="67" t="s">
        <v>244</v>
      </c>
      <c r="N1123" s="67" t="s">
        <v>253</v>
      </c>
      <c r="O1123" s="67" t="s">
        <v>2117</v>
      </c>
      <c r="P1123" s="67" t="s">
        <v>19</v>
      </c>
      <c r="Q1123" s="71">
        <v>22</v>
      </c>
    </row>
    <row r="1124" spans="1:17" ht="11.1" hidden="1" customHeight="1" x14ac:dyDescent="0.2">
      <c r="A1124" s="3"/>
      <c r="B1124" s="3" t="str">
        <f ca="1">IF(A1124="В заказ",MAX($B$9:OFFSET(B1124,-1,0))+1,"")</f>
        <v/>
      </c>
      <c r="C1124" s="6" t="str">
        <f t="shared" si="35"/>
        <v>Кромка 0,4 H3408 ST38  (200 м бухта).</v>
      </c>
      <c r="D1124" s="67" t="s">
        <v>241</v>
      </c>
      <c r="E1124" s="67" t="s">
        <v>34</v>
      </c>
      <c r="F1124" s="67" t="s">
        <v>863</v>
      </c>
      <c r="G1124" s="68">
        <v>21751</v>
      </c>
      <c r="H1124" s="67" t="s">
        <v>330</v>
      </c>
      <c r="I1124" s="200"/>
      <c r="J1124" s="67" t="s">
        <v>860</v>
      </c>
      <c r="K1124" s="67" t="s">
        <v>861</v>
      </c>
      <c r="L1124" s="67" t="s">
        <v>21</v>
      </c>
      <c r="M1124" s="67" t="s">
        <v>264</v>
      </c>
      <c r="N1124" s="67" t="s">
        <v>253</v>
      </c>
      <c r="O1124" s="67" t="s">
        <v>2117</v>
      </c>
      <c r="P1124" s="67" t="s">
        <v>19</v>
      </c>
      <c r="Q1124" s="192">
        <v>28.9</v>
      </c>
    </row>
    <row r="1125" spans="1:17" ht="11.1" hidden="1" customHeight="1" x14ac:dyDescent="0.2">
      <c r="A1125" s="3"/>
      <c r="B1125" s="3" t="str">
        <f ca="1">IF(A1125="В заказ",MAX($B$9:OFFSET(B1125,-1,0))+1,"")</f>
        <v/>
      </c>
      <c r="C1125" s="6" t="str">
        <f t="shared" si="35"/>
        <v>Кромка 0,8 H3408 ST38  (75 м бухта).</v>
      </c>
      <c r="D1125" s="67" t="s">
        <v>241</v>
      </c>
      <c r="E1125" s="67" t="s">
        <v>34</v>
      </c>
      <c r="F1125" s="67" t="s">
        <v>864</v>
      </c>
      <c r="G1125" s="68">
        <v>21749</v>
      </c>
      <c r="H1125" s="67" t="s">
        <v>330</v>
      </c>
      <c r="I1125" s="200"/>
      <c r="J1125" s="67" t="s">
        <v>860</v>
      </c>
      <c r="K1125" s="67" t="s">
        <v>861</v>
      </c>
      <c r="L1125" s="67" t="s">
        <v>21</v>
      </c>
      <c r="M1125" s="67" t="s">
        <v>252</v>
      </c>
      <c r="N1125" s="67" t="s">
        <v>10</v>
      </c>
      <c r="O1125" s="67" t="s">
        <v>2116</v>
      </c>
      <c r="P1125" s="67" t="s">
        <v>19</v>
      </c>
      <c r="Q1125" s="71">
        <v>35</v>
      </c>
    </row>
    <row r="1126" spans="1:17" ht="11.1" hidden="1" customHeight="1" x14ac:dyDescent="0.2">
      <c r="A1126" s="3"/>
      <c r="B1126" s="3" t="str">
        <f ca="1">IF(A1126="В заказ",MAX($B$9:OFFSET(B1126,-1,0))+1,"")</f>
        <v/>
      </c>
      <c r="C1126" s="6" t="str">
        <f t="shared" si="35"/>
        <v>Кромка 0,8 H3408 ST38  (75 м бухта).</v>
      </c>
      <c r="D1126" s="67" t="s">
        <v>241</v>
      </c>
      <c r="E1126" s="67" t="s">
        <v>34</v>
      </c>
      <c r="F1126" s="67" t="s">
        <v>865</v>
      </c>
      <c r="G1126" s="68">
        <v>22799</v>
      </c>
      <c r="H1126" s="67" t="s">
        <v>330</v>
      </c>
      <c r="I1126" s="200"/>
      <c r="J1126" s="67" t="s">
        <v>860</v>
      </c>
      <c r="K1126" s="67" t="s">
        <v>861</v>
      </c>
      <c r="L1126" s="67" t="s">
        <v>21</v>
      </c>
      <c r="M1126" s="67" t="s">
        <v>244</v>
      </c>
      <c r="N1126" s="67" t="s">
        <v>10</v>
      </c>
      <c r="O1126" s="67" t="s">
        <v>2116</v>
      </c>
      <c r="P1126" s="67" t="s">
        <v>19</v>
      </c>
      <c r="Q1126" s="192">
        <v>42.3</v>
      </c>
    </row>
    <row r="1127" spans="1:17" ht="21.95" hidden="1" customHeight="1" x14ac:dyDescent="0.2">
      <c r="A1127" s="3"/>
      <c r="B1127" s="3" t="str">
        <f ca="1">IF(A1127="В заказ",MAX($B$9:OFFSET(B1127,-1,0))+1,"")</f>
        <v/>
      </c>
      <c r="C1127" s="6" t="str">
        <f t="shared" si="35"/>
        <v>Кромка 2,0 H3408 ST38  (75 м бухта).</v>
      </c>
      <c r="D1127" s="67" t="s">
        <v>241</v>
      </c>
      <c r="E1127" s="67" t="s">
        <v>34</v>
      </c>
      <c r="F1127" s="67" t="s">
        <v>866</v>
      </c>
      <c r="G1127" s="68">
        <v>24558</v>
      </c>
      <c r="H1127" s="67" t="s">
        <v>330</v>
      </c>
      <c r="I1127" s="200"/>
      <c r="J1127" s="67" t="s">
        <v>860</v>
      </c>
      <c r="K1127" s="67" t="s">
        <v>861</v>
      </c>
      <c r="L1127" s="67" t="s">
        <v>21</v>
      </c>
      <c r="M1127" s="67" t="s">
        <v>244</v>
      </c>
      <c r="N1127" s="67" t="s">
        <v>259</v>
      </c>
      <c r="O1127" s="67" t="s">
        <v>2116</v>
      </c>
      <c r="P1127" s="67" t="s">
        <v>19</v>
      </c>
      <c r="Q1127" s="192">
        <v>65.5</v>
      </c>
    </row>
    <row r="1128" spans="1:17" ht="21.95" hidden="1" customHeight="1" x14ac:dyDescent="0.2">
      <c r="A1128" s="3"/>
      <c r="B1128" s="3" t="str">
        <f ca="1">IF(A1128="В заказ",MAX($B$9:OFFSET(B1128,-1,0))+1,"")</f>
        <v/>
      </c>
      <c r="C1128" s="6" t="str">
        <f t="shared" si="35"/>
        <v>Кромка 2,0 H3408 ST38  (75 м бухта).</v>
      </c>
      <c r="D1128" s="67" t="s">
        <v>241</v>
      </c>
      <c r="E1128" s="67" t="s">
        <v>34</v>
      </c>
      <c r="F1128" s="67" t="s">
        <v>867</v>
      </c>
      <c r="G1128" s="68">
        <v>21755</v>
      </c>
      <c r="H1128" s="67" t="s">
        <v>330</v>
      </c>
      <c r="I1128" s="200"/>
      <c r="J1128" s="67" t="s">
        <v>860</v>
      </c>
      <c r="K1128" s="67" t="s">
        <v>861</v>
      </c>
      <c r="L1128" s="67" t="s">
        <v>21</v>
      </c>
      <c r="M1128" s="67" t="s">
        <v>270</v>
      </c>
      <c r="N1128" s="67" t="s">
        <v>259</v>
      </c>
      <c r="O1128" s="67" t="s">
        <v>2116</v>
      </c>
      <c r="P1128" s="67" t="s">
        <v>19</v>
      </c>
      <c r="Q1128" s="192">
        <v>127.6</v>
      </c>
    </row>
    <row r="1129" spans="1:17" ht="21.95" hidden="1" customHeight="1" x14ac:dyDescent="0.2">
      <c r="A1129" s="3"/>
      <c r="B1129" s="3" t="str">
        <f ca="1">IF(A1129="В заказ",MAX($B$9:OFFSET(B1129,-1,0))+1,"")</f>
        <v/>
      </c>
      <c r="C1129" s="6" t="str">
        <f t="shared" si="35"/>
        <v>Кромка 0,4 H3430 ST22  (200 м бухта).</v>
      </c>
      <c r="D1129" s="67" t="s">
        <v>241</v>
      </c>
      <c r="E1129" s="67" t="s">
        <v>34</v>
      </c>
      <c r="F1129" s="67" t="s">
        <v>868</v>
      </c>
      <c r="G1129" s="68">
        <v>13460</v>
      </c>
      <c r="H1129" s="67" t="s">
        <v>330</v>
      </c>
      <c r="I1129" s="200"/>
      <c r="J1129" s="67" t="s">
        <v>129</v>
      </c>
      <c r="K1129" s="67" t="s">
        <v>130</v>
      </c>
      <c r="L1129" s="67" t="s">
        <v>44</v>
      </c>
      <c r="M1129" s="67" t="s">
        <v>252</v>
      </c>
      <c r="N1129" s="67" t="s">
        <v>253</v>
      </c>
      <c r="O1129" s="67" t="s">
        <v>2117</v>
      </c>
      <c r="P1129" s="67" t="s">
        <v>19</v>
      </c>
      <c r="Q1129" s="192">
        <v>17.899999999999999</v>
      </c>
    </row>
    <row r="1130" spans="1:17" ht="21.95" hidden="1" customHeight="1" x14ac:dyDescent="0.2">
      <c r="A1130" s="3"/>
      <c r="B1130" s="3" t="str">
        <f ca="1">IF(A1130="В заказ",MAX($B$9:OFFSET(B1130,-1,0))+1,"")</f>
        <v/>
      </c>
      <c r="C1130" s="6" t="str">
        <f t="shared" si="35"/>
        <v>Кромка 0,4 H3430 ST22  (200 м бухта).</v>
      </c>
      <c r="D1130" s="67" t="s">
        <v>241</v>
      </c>
      <c r="E1130" s="67" t="s">
        <v>34</v>
      </c>
      <c r="F1130" s="67" t="s">
        <v>869</v>
      </c>
      <c r="G1130" s="68">
        <v>24505</v>
      </c>
      <c r="H1130" s="67" t="s">
        <v>330</v>
      </c>
      <c r="I1130" s="200"/>
      <c r="J1130" s="67" t="s">
        <v>129</v>
      </c>
      <c r="K1130" s="67" t="s">
        <v>130</v>
      </c>
      <c r="L1130" s="67" t="s">
        <v>44</v>
      </c>
      <c r="M1130" s="67" t="s">
        <v>244</v>
      </c>
      <c r="N1130" s="67" t="s">
        <v>253</v>
      </c>
      <c r="O1130" s="67" t="s">
        <v>2117</v>
      </c>
      <c r="P1130" s="67" t="s">
        <v>19</v>
      </c>
      <c r="Q1130" s="71">
        <v>22</v>
      </c>
    </row>
    <row r="1131" spans="1:17" ht="21.95" hidden="1" customHeight="1" x14ac:dyDescent="0.2">
      <c r="A1131" s="3"/>
      <c r="B1131" s="3" t="str">
        <f ca="1">IF(A1131="В заказ",MAX($B$9:OFFSET(B1131,-1,0))+1,"")</f>
        <v/>
      </c>
      <c r="C1131" s="6" t="str">
        <f t="shared" si="35"/>
        <v>Кромка 0,4 H3430 ST22  (200 м бухта).</v>
      </c>
      <c r="D1131" s="67" t="s">
        <v>241</v>
      </c>
      <c r="E1131" s="67" t="s">
        <v>34</v>
      </c>
      <c r="F1131" s="67" t="s">
        <v>870</v>
      </c>
      <c r="G1131" s="68">
        <v>15780</v>
      </c>
      <c r="H1131" s="67" t="s">
        <v>330</v>
      </c>
      <c r="I1131" s="200"/>
      <c r="J1131" s="67" t="s">
        <v>129</v>
      </c>
      <c r="K1131" s="67" t="s">
        <v>130</v>
      </c>
      <c r="L1131" s="67" t="s">
        <v>44</v>
      </c>
      <c r="M1131" s="67" t="s">
        <v>264</v>
      </c>
      <c r="N1131" s="67" t="s">
        <v>253</v>
      </c>
      <c r="O1131" s="67" t="s">
        <v>2117</v>
      </c>
      <c r="P1131" s="67" t="s">
        <v>19</v>
      </c>
      <c r="Q1131" s="192">
        <v>28.9</v>
      </c>
    </row>
    <row r="1132" spans="1:17" ht="21.95" hidden="1" customHeight="1" x14ac:dyDescent="0.2">
      <c r="A1132" s="3"/>
      <c r="B1132" s="3" t="str">
        <f ca="1">IF(A1132="В заказ",MAX($B$9:OFFSET(B1132,-1,0))+1,"")</f>
        <v/>
      </c>
      <c r="C1132" s="6" t="str">
        <f t="shared" si="35"/>
        <v>Кромка 0,8 H3430 ST22  (75 м бухта).</v>
      </c>
      <c r="D1132" s="67" t="s">
        <v>241</v>
      </c>
      <c r="E1132" s="67" t="s">
        <v>34</v>
      </c>
      <c r="F1132" s="67" t="s">
        <v>871</v>
      </c>
      <c r="G1132" s="68">
        <v>16233</v>
      </c>
      <c r="H1132" s="67" t="s">
        <v>330</v>
      </c>
      <c r="I1132" s="200"/>
      <c r="J1132" s="67" t="s">
        <v>129</v>
      </c>
      <c r="K1132" s="67" t="s">
        <v>130</v>
      </c>
      <c r="L1132" s="67" t="s">
        <v>44</v>
      </c>
      <c r="M1132" s="67" t="s">
        <v>252</v>
      </c>
      <c r="N1132" s="67" t="s">
        <v>10</v>
      </c>
      <c r="O1132" s="67" t="s">
        <v>2116</v>
      </c>
      <c r="P1132" s="67" t="s">
        <v>19</v>
      </c>
      <c r="Q1132" s="71">
        <v>35</v>
      </c>
    </row>
    <row r="1133" spans="1:17" ht="21.95" hidden="1" customHeight="1" x14ac:dyDescent="0.2">
      <c r="A1133" s="3"/>
      <c r="B1133" s="3" t="str">
        <f ca="1">IF(A1133="В заказ",MAX($B$9:OFFSET(B1133,-1,0))+1,"")</f>
        <v/>
      </c>
      <c r="C1133" s="6" t="str">
        <f t="shared" si="35"/>
        <v>Кромка 0,8 H3430 ST22  (75 м бухта).</v>
      </c>
      <c r="D1133" s="67" t="s">
        <v>241</v>
      </c>
      <c r="E1133" s="67" t="s">
        <v>34</v>
      </c>
      <c r="F1133" s="67" t="s">
        <v>872</v>
      </c>
      <c r="G1133" s="68">
        <v>20463</v>
      </c>
      <c r="H1133" s="67" t="s">
        <v>330</v>
      </c>
      <c r="I1133" s="200"/>
      <c r="J1133" s="67" t="s">
        <v>129</v>
      </c>
      <c r="K1133" s="67" t="s">
        <v>130</v>
      </c>
      <c r="L1133" s="67" t="s">
        <v>44</v>
      </c>
      <c r="M1133" s="67" t="s">
        <v>244</v>
      </c>
      <c r="N1133" s="67" t="s">
        <v>10</v>
      </c>
      <c r="O1133" s="67" t="s">
        <v>2116</v>
      </c>
      <c r="P1133" s="67" t="s">
        <v>19</v>
      </c>
      <c r="Q1133" s="192">
        <v>42.3</v>
      </c>
    </row>
    <row r="1134" spans="1:17" ht="11.1" hidden="1" customHeight="1" x14ac:dyDescent="0.2">
      <c r="A1134" s="3"/>
      <c r="B1134" s="3" t="str">
        <f ca="1">IF(A1134="В заказ",MAX($B$9:OFFSET(B1134,-1,0))+1,"")</f>
        <v/>
      </c>
      <c r="C1134" s="6" t="str">
        <f t="shared" si="35"/>
        <v>Кромка 2,0 H3430 ST22  (75 м бухта).</v>
      </c>
      <c r="D1134" s="67" t="s">
        <v>241</v>
      </c>
      <c r="E1134" s="67" t="s">
        <v>34</v>
      </c>
      <c r="F1134" s="67" t="s">
        <v>873</v>
      </c>
      <c r="G1134" s="68">
        <v>13461</v>
      </c>
      <c r="H1134" s="67" t="s">
        <v>330</v>
      </c>
      <c r="I1134" s="200"/>
      <c r="J1134" s="67" t="s">
        <v>129</v>
      </c>
      <c r="K1134" s="67" t="s">
        <v>130</v>
      </c>
      <c r="L1134" s="67" t="s">
        <v>44</v>
      </c>
      <c r="M1134" s="67" t="s">
        <v>252</v>
      </c>
      <c r="N1134" s="67" t="s">
        <v>259</v>
      </c>
      <c r="O1134" s="67" t="s">
        <v>2116</v>
      </c>
      <c r="P1134" s="67" t="s">
        <v>19</v>
      </c>
      <c r="Q1134" s="192">
        <v>62.6</v>
      </c>
    </row>
    <row r="1135" spans="1:17" ht="11.1" hidden="1" customHeight="1" x14ac:dyDescent="0.2">
      <c r="A1135" s="3"/>
      <c r="B1135" s="3" t="str">
        <f ca="1">IF(A1135="В заказ",MAX($B$9:OFFSET(B1135,-1,0))+1,"")</f>
        <v/>
      </c>
      <c r="C1135" s="6" t="str">
        <f t="shared" si="35"/>
        <v>Кромка 2,0 H3430 ST22  (75 м бухта).</v>
      </c>
      <c r="D1135" s="67" t="s">
        <v>241</v>
      </c>
      <c r="E1135" s="67" t="s">
        <v>34</v>
      </c>
      <c r="F1135" s="67" t="s">
        <v>874</v>
      </c>
      <c r="G1135" s="68">
        <v>14034</v>
      </c>
      <c r="H1135" s="67" t="s">
        <v>330</v>
      </c>
      <c r="I1135" s="200"/>
      <c r="J1135" s="67" t="s">
        <v>129</v>
      </c>
      <c r="K1135" s="67" t="s">
        <v>130</v>
      </c>
      <c r="L1135" s="67" t="s">
        <v>44</v>
      </c>
      <c r="M1135" s="67" t="s">
        <v>244</v>
      </c>
      <c r="N1135" s="67" t="s">
        <v>259</v>
      </c>
      <c r="O1135" s="67" t="s">
        <v>2116</v>
      </c>
      <c r="P1135" s="67" t="s">
        <v>19</v>
      </c>
      <c r="Q1135" s="192">
        <v>65.5</v>
      </c>
    </row>
    <row r="1136" spans="1:17" ht="11.1" hidden="1" customHeight="1" x14ac:dyDescent="0.2">
      <c r="A1136" s="3"/>
      <c r="B1136" s="3" t="str">
        <f ca="1">IF(A1136="В заказ",MAX($B$9:OFFSET(B1136,-1,0))+1,"")</f>
        <v/>
      </c>
      <c r="C1136" s="6" t="str">
        <f t="shared" si="35"/>
        <v>Кромка 2,0 H3430 ST22  (75 м бухта).</v>
      </c>
      <c r="D1136" s="67" t="s">
        <v>241</v>
      </c>
      <c r="E1136" s="67" t="s">
        <v>34</v>
      </c>
      <c r="F1136" s="67" t="s">
        <v>875</v>
      </c>
      <c r="G1136" s="68">
        <v>14797</v>
      </c>
      <c r="H1136" s="67" t="s">
        <v>330</v>
      </c>
      <c r="I1136" s="200"/>
      <c r="J1136" s="67" t="s">
        <v>129</v>
      </c>
      <c r="K1136" s="67" t="s">
        <v>130</v>
      </c>
      <c r="L1136" s="67" t="s">
        <v>44</v>
      </c>
      <c r="M1136" s="67" t="s">
        <v>264</v>
      </c>
      <c r="N1136" s="67" t="s">
        <v>259</v>
      </c>
      <c r="O1136" s="67" t="s">
        <v>2116</v>
      </c>
      <c r="P1136" s="67" t="s">
        <v>19</v>
      </c>
      <c r="Q1136" s="192">
        <v>94.1</v>
      </c>
    </row>
    <row r="1137" spans="1:17" ht="11.1" hidden="1" customHeight="1" x14ac:dyDescent="0.2">
      <c r="A1137" s="3"/>
      <c r="B1137" s="3" t="str">
        <f ca="1">IF(A1137="В заказ",MAX($B$9:OFFSET(B1137,-1,0))+1,"")</f>
        <v/>
      </c>
      <c r="C1137" s="6" t="str">
        <f t="shared" si="35"/>
        <v>Кромка 2,0 H3430 ST22  (75 м бухта).</v>
      </c>
      <c r="D1137" s="67" t="s">
        <v>241</v>
      </c>
      <c r="E1137" s="67" t="s">
        <v>34</v>
      </c>
      <c r="F1137" s="67" t="s">
        <v>876</v>
      </c>
      <c r="G1137" s="68">
        <v>13462</v>
      </c>
      <c r="H1137" s="67" t="s">
        <v>330</v>
      </c>
      <c r="I1137" s="200"/>
      <c r="J1137" s="67" t="s">
        <v>129</v>
      </c>
      <c r="K1137" s="67" t="s">
        <v>130</v>
      </c>
      <c r="L1137" s="67" t="s">
        <v>44</v>
      </c>
      <c r="M1137" s="67" t="s">
        <v>270</v>
      </c>
      <c r="N1137" s="67" t="s">
        <v>259</v>
      </c>
      <c r="O1137" s="67" t="s">
        <v>2116</v>
      </c>
      <c r="P1137" s="67" t="s">
        <v>19</v>
      </c>
      <c r="Q1137" s="192">
        <v>127.6</v>
      </c>
    </row>
    <row r="1138" spans="1:17" ht="11.1" hidden="1" customHeight="1" x14ac:dyDescent="0.2">
      <c r="A1138" s="3"/>
      <c r="B1138" s="3" t="str">
        <f ca="1">IF(A1138="В заказ",MAX($B$9:OFFSET(B1138,-1,0))+1,"")</f>
        <v/>
      </c>
      <c r="C1138" s="6" t="str">
        <f t="shared" si="35"/>
        <v>Кромка 0,4 H3433 ST22  (200 м бухта).</v>
      </c>
      <c r="D1138" s="67" t="s">
        <v>241</v>
      </c>
      <c r="E1138" s="67" t="s">
        <v>34</v>
      </c>
      <c r="F1138" s="67" t="s">
        <v>877</v>
      </c>
      <c r="G1138" s="68">
        <v>13917</v>
      </c>
      <c r="H1138" s="67" t="s">
        <v>330</v>
      </c>
      <c r="I1138" s="200"/>
      <c r="J1138" s="67" t="s">
        <v>131</v>
      </c>
      <c r="K1138" s="67" t="s">
        <v>132</v>
      </c>
      <c r="L1138" s="67" t="s">
        <v>44</v>
      </c>
      <c r="M1138" s="67" t="s">
        <v>252</v>
      </c>
      <c r="N1138" s="67" t="s">
        <v>253</v>
      </c>
      <c r="O1138" s="67" t="s">
        <v>2117</v>
      </c>
      <c r="P1138" s="67" t="s">
        <v>19</v>
      </c>
      <c r="Q1138" s="192">
        <v>17.899999999999999</v>
      </c>
    </row>
    <row r="1139" spans="1:17" ht="11.1" hidden="1" customHeight="1" x14ac:dyDescent="0.2">
      <c r="A1139" s="3"/>
      <c r="B1139" s="3" t="str">
        <f ca="1">IF(A1139="В заказ",MAX($B$9:OFFSET(B1139,-1,0))+1,"")</f>
        <v/>
      </c>
      <c r="C1139" s="6" t="str">
        <f t="shared" si="35"/>
        <v>Кромка 0,4 H3433 ST22  (200 м бухта).</v>
      </c>
      <c r="D1139" s="67" t="s">
        <v>241</v>
      </c>
      <c r="E1139" s="67" t="s">
        <v>34</v>
      </c>
      <c r="F1139" s="67" t="s">
        <v>878</v>
      </c>
      <c r="G1139" s="68">
        <v>24504</v>
      </c>
      <c r="H1139" s="67" t="s">
        <v>330</v>
      </c>
      <c r="I1139" s="200"/>
      <c r="J1139" s="67" t="s">
        <v>131</v>
      </c>
      <c r="K1139" s="67" t="s">
        <v>132</v>
      </c>
      <c r="L1139" s="67" t="s">
        <v>44</v>
      </c>
      <c r="M1139" s="67" t="s">
        <v>244</v>
      </c>
      <c r="N1139" s="67" t="s">
        <v>253</v>
      </c>
      <c r="O1139" s="67" t="s">
        <v>2117</v>
      </c>
      <c r="P1139" s="67" t="s">
        <v>19</v>
      </c>
      <c r="Q1139" s="71">
        <v>22</v>
      </c>
    </row>
    <row r="1140" spans="1:17" ht="11.1" hidden="1" customHeight="1" x14ac:dyDescent="0.2">
      <c r="A1140" s="3"/>
      <c r="B1140" s="3" t="str">
        <f ca="1">IF(A1140="В заказ",MAX($B$9:OFFSET(B1140,-1,0))+1,"")</f>
        <v/>
      </c>
      <c r="C1140" s="6" t="str">
        <f t="shared" si="35"/>
        <v>Кромка 0,4 H3433 ST22  (200 м бухта).</v>
      </c>
      <c r="D1140" s="67" t="s">
        <v>241</v>
      </c>
      <c r="E1140" s="67" t="s">
        <v>34</v>
      </c>
      <c r="F1140" s="67" t="s">
        <v>879</v>
      </c>
      <c r="G1140" s="68">
        <v>16820</v>
      </c>
      <c r="H1140" s="67" t="s">
        <v>330</v>
      </c>
      <c r="I1140" s="200"/>
      <c r="J1140" s="67" t="s">
        <v>131</v>
      </c>
      <c r="K1140" s="67" t="s">
        <v>132</v>
      </c>
      <c r="L1140" s="67" t="s">
        <v>44</v>
      </c>
      <c r="M1140" s="67" t="s">
        <v>264</v>
      </c>
      <c r="N1140" s="67" t="s">
        <v>253</v>
      </c>
      <c r="O1140" s="67" t="s">
        <v>2117</v>
      </c>
      <c r="P1140" s="67" t="s">
        <v>19</v>
      </c>
      <c r="Q1140" s="192">
        <v>28.9</v>
      </c>
    </row>
    <row r="1141" spans="1:17" ht="11.1" hidden="1" customHeight="1" x14ac:dyDescent="0.2">
      <c r="A1141" s="3"/>
      <c r="B1141" s="3" t="str">
        <f ca="1">IF(A1141="В заказ",MAX($B$9:OFFSET(B1141,-1,0))+1,"")</f>
        <v/>
      </c>
      <c r="C1141" s="6" t="str">
        <f t="shared" si="35"/>
        <v>Кромка 0,8 H3433 ST22  (75 м бухта).</v>
      </c>
      <c r="D1141" s="67" t="s">
        <v>241</v>
      </c>
      <c r="E1141" s="67" t="s">
        <v>34</v>
      </c>
      <c r="F1141" s="67" t="s">
        <v>880</v>
      </c>
      <c r="G1141" s="68">
        <v>13980</v>
      </c>
      <c r="H1141" s="67" t="s">
        <v>330</v>
      </c>
      <c r="I1141" s="200"/>
      <c r="J1141" s="67" t="s">
        <v>131</v>
      </c>
      <c r="K1141" s="67" t="s">
        <v>132</v>
      </c>
      <c r="L1141" s="67" t="s">
        <v>44</v>
      </c>
      <c r="M1141" s="67" t="s">
        <v>252</v>
      </c>
      <c r="N1141" s="67" t="s">
        <v>10</v>
      </c>
      <c r="O1141" s="67" t="s">
        <v>2116</v>
      </c>
      <c r="P1141" s="67" t="s">
        <v>19</v>
      </c>
      <c r="Q1141" s="71">
        <v>35</v>
      </c>
    </row>
    <row r="1142" spans="1:17" ht="11.1" hidden="1" customHeight="1" x14ac:dyDescent="0.2">
      <c r="A1142" s="3"/>
      <c r="B1142" s="3" t="str">
        <f ca="1">IF(A1142="В заказ",MAX($B$9:OFFSET(B1142,-1,0))+1,"")</f>
        <v/>
      </c>
      <c r="C1142" s="6" t="str">
        <f t="shared" ref="C1142:C1205" si="36">D1142&amp;" "&amp;N1142&amp;" "&amp;IF(OR(D1142="ДСП",D1142="МДФ",D1142="Фанера",D1142="ХДФ"),M1142,J1142)&amp;" "&amp;IF(OR(D1142="ДСП",D1142="МДФ",D1142="Фанера",D1142="ХДФ"),O1142,L1142)&amp;" "&amp;IF(OR(D1142="ДСП",D1142="МДФ",D1142="Фанера",D1142="ХДФ"),"",IF(D1142="БСП",M1142,O1142))&amp;"."</f>
        <v>Кромка 0,8 H3433 ST22  (75 м бухта) .</v>
      </c>
      <c r="D1142" s="67" t="s">
        <v>241</v>
      </c>
      <c r="E1142" s="67" t="s">
        <v>34</v>
      </c>
      <c r="F1142" s="67" t="s">
        <v>881</v>
      </c>
      <c r="G1142" s="68">
        <v>22630</v>
      </c>
      <c r="H1142" s="67" t="s">
        <v>330</v>
      </c>
      <c r="I1142" s="200"/>
      <c r="J1142" s="67" t="s">
        <v>131</v>
      </c>
      <c r="K1142" s="67" t="s">
        <v>132</v>
      </c>
      <c r="L1142" s="67" t="s">
        <v>44</v>
      </c>
      <c r="M1142" s="67" t="s">
        <v>244</v>
      </c>
      <c r="N1142" s="67" t="s">
        <v>10</v>
      </c>
      <c r="O1142" s="67" t="s">
        <v>2118</v>
      </c>
      <c r="P1142" s="67" t="s">
        <v>19</v>
      </c>
      <c r="Q1142" s="192">
        <v>42.3</v>
      </c>
    </row>
    <row r="1143" spans="1:17" ht="11.1" hidden="1" customHeight="1" x14ac:dyDescent="0.2">
      <c r="A1143" s="3"/>
      <c r="B1143" s="3" t="str">
        <f ca="1">IF(A1143="В заказ",MAX($B$9:OFFSET(B1143,-1,0))+1,"")</f>
        <v/>
      </c>
      <c r="C1143" s="6" t="str">
        <f t="shared" si="36"/>
        <v>Кромка 2,0 H3433 ST22  (75 м бухта).</v>
      </c>
      <c r="D1143" s="67" t="s">
        <v>241</v>
      </c>
      <c r="E1143" s="67" t="s">
        <v>34</v>
      </c>
      <c r="F1143" s="67" t="s">
        <v>882</v>
      </c>
      <c r="G1143" s="68">
        <v>14021</v>
      </c>
      <c r="H1143" s="67" t="s">
        <v>330</v>
      </c>
      <c r="I1143" s="200"/>
      <c r="J1143" s="67" t="s">
        <v>131</v>
      </c>
      <c r="K1143" s="67" t="s">
        <v>132</v>
      </c>
      <c r="L1143" s="67" t="s">
        <v>44</v>
      </c>
      <c r="M1143" s="67" t="s">
        <v>252</v>
      </c>
      <c r="N1143" s="67" t="s">
        <v>259</v>
      </c>
      <c r="O1143" s="67" t="s">
        <v>2116</v>
      </c>
      <c r="P1143" s="67" t="s">
        <v>19</v>
      </c>
      <c r="Q1143" s="192">
        <v>62.6</v>
      </c>
    </row>
    <row r="1144" spans="1:17" ht="11.1" hidden="1" customHeight="1" x14ac:dyDescent="0.2">
      <c r="A1144" s="3"/>
      <c r="B1144" s="3" t="str">
        <f ca="1">IF(A1144="В заказ",MAX($B$9:OFFSET(B1144,-1,0))+1,"")</f>
        <v/>
      </c>
      <c r="C1144" s="6" t="str">
        <f t="shared" si="36"/>
        <v>Кромка 2,0 H3433 ST22  (75 м бухта).</v>
      </c>
      <c r="D1144" s="67" t="s">
        <v>241</v>
      </c>
      <c r="E1144" s="67" t="s">
        <v>34</v>
      </c>
      <c r="F1144" s="67" t="s">
        <v>883</v>
      </c>
      <c r="G1144" s="68">
        <v>14035</v>
      </c>
      <c r="H1144" s="67" t="s">
        <v>330</v>
      </c>
      <c r="I1144" s="200"/>
      <c r="J1144" s="67" t="s">
        <v>131</v>
      </c>
      <c r="K1144" s="67" t="s">
        <v>132</v>
      </c>
      <c r="L1144" s="67" t="s">
        <v>44</v>
      </c>
      <c r="M1144" s="67" t="s">
        <v>244</v>
      </c>
      <c r="N1144" s="67" t="s">
        <v>259</v>
      </c>
      <c r="O1144" s="67" t="s">
        <v>2116</v>
      </c>
      <c r="P1144" s="67" t="s">
        <v>19</v>
      </c>
      <c r="Q1144" s="192">
        <v>65.5</v>
      </c>
    </row>
    <row r="1145" spans="1:17" ht="11.1" hidden="1" customHeight="1" x14ac:dyDescent="0.2">
      <c r="A1145" s="3"/>
      <c r="B1145" s="3" t="str">
        <f ca="1">IF(A1145="В заказ",MAX($B$9:OFFSET(B1145,-1,0))+1,"")</f>
        <v/>
      </c>
      <c r="C1145" s="6" t="str">
        <f t="shared" si="36"/>
        <v>Кромка 2,0 H3433 ST22  (75 м бухта).</v>
      </c>
      <c r="D1145" s="67" t="s">
        <v>241</v>
      </c>
      <c r="E1145" s="67" t="s">
        <v>34</v>
      </c>
      <c r="F1145" s="67" t="s">
        <v>884</v>
      </c>
      <c r="G1145" s="68">
        <v>16708</v>
      </c>
      <c r="H1145" s="67" t="s">
        <v>330</v>
      </c>
      <c r="I1145" s="200"/>
      <c r="J1145" s="67" t="s">
        <v>131</v>
      </c>
      <c r="K1145" s="67" t="s">
        <v>132</v>
      </c>
      <c r="L1145" s="67" t="s">
        <v>44</v>
      </c>
      <c r="M1145" s="67" t="s">
        <v>264</v>
      </c>
      <c r="N1145" s="67" t="s">
        <v>259</v>
      </c>
      <c r="O1145" s="67" t="s">
        <v>2116</v>
      </c>
      <c r="P1145" s="67" t="s">
        <v>19</v>
      </c>
      <c r="Q1145" s="192">
        <v>94.1</v>
      </c>
    </row>
    <row r="1146" spans="1:17" ht="11.1" hidden="1" customHeight="1" x14ac:dyDescent="0.2">
      <c r="A1146" s="3"/>
      <c r="B1146" s="3" t="str">
        <f ca="1">IF(A1146="В заказ",MAX($B$9:OFFSET(B1146,-1,0))+1,"")</f>
        <v/>
      </c>
      <c r="C1146" s="6" t="str">
        <f t="shared" si="36"/>
        <v>Кромка 2,0 H3433 ST22  (75 м бухта).</v>
      </c>
      <c r="D1146" s="67" t="s">
        <v>241</v>
      </c>
      <c r="E1146" s="67" t="s">
        <v>34</v>
      </c>
      <c r="F1146" s="67" t="s">
        <v>885</v>
      </c>
      <c r="G1146" s="68">
        <v>14910</v>
      </c>
      <c r="H1146" s="67" t="s">
        <v>330</v>
      </c>
      <c r="I1146" s="200"/>
      <c r="J1146" s="67" t="s">
        <v>131</v>
      </c>
      <c r="K1146" s="67" t="s">
        <v>132</v>
      </c>
      <c r="L1146" s="67" t="s">
        <v>44</v>
      </c>
      <c r="M1146" s="67" t="s">
        <v>270</v>
      </c>
      <c r="N1146" s="67" t="s">
        <v>259</v>
      </c>
      <c r="O1146" s="67" t="s">
        <v>2116</v>
      </c>
      <c r="P1146" s="67" t="s">
        <v>19</v>
      </c>
      <c r="Q1146" s="192">
        <v>127.6</v>
      </c>
    </row>
    <row r="1147" spans="1:17" ht="11.1" hidden="1" customHeight="1" x14ac:dyDescent="0.2">
      <c r="A1147" s="3"/>
      <c r="B1147" s="3" t="str">
        <f ca="1">IF(A1147="В заказ",MAX($B$9:OFFSET(B1147,-1,0))+1,"")</f>
        <v/>
      </c>
      <c r="C1147" s="6" t="str">
        <f t="shared" si="36"/>
        <v>Кромка 0,4 H3450 ST22  (200 м бухта).</v>
      </c>
      <c r="D1147" s="67" t="s">
        <v>241</v>
      </c>
      <c r="E1147" s="67" t="s">
        <v>34</v>
      </c>
      <c r="F1147" s="67" t="s">
        <v>886</v>
      </c>
      <c r="G1147" s="68">
        <v>14596</v>
      </c>
      <c r="H1147" s="67" t="s">
        <v>330</v>
      </c>
      <c r="I1147" s="200"/>
      <c r="J1147" s="67" t="s">
        <v>133</v>
      </c>
      <c r="K1147" s="67" t="s">
        <v>134</v>
      </c>
      <c r="L1147" s="67" t="s">
        <v>44</v>
      </c>
      <c r="M1147" s="67" t="s">
        <v>252</v>
      </c>
      <c r="N1147" s="67" t="s">
        <v>253</v>
      </c>
      <c r="O1147" s="67" t="s">
        <v>2117</v>
      </c>
      <c r="P1147" s="67" t="s">
        <v>19</v>
      </c>
      <c r="Q1147" s="192">
        <v>17.899999999999999</v>
      </c>
    </row>
    <row r="1148" spans="1:17" ht="11.1" hidden="1" customHeight="1" x14ac:dyDescent="0.2">
      <c r="A1148" s="3"/>
      <c r="B1148" s="3" t="str">
        <f ca="1">IF(A1148="В заказ",MAX($B$9:OFFSET(B1148,-1,0))+1,"")</f>
        <v/>
      </c>
      <c r="C1148" s="6" t="str">
        <f t="shared" si="36"/>
        <v>Кромка 0,4 H3450 ST22  (200 м бухта).</v>
      </c>
      <c r="D1148" s="67" t="s">
        <v>241</v>
      </c>
      <c r="E1148" s="67" t="s">
        <v>34</v>
      </c>
      <c r="F1148" s="67" t="s">
        <v>887</v>
      </c>
      <c r="G1148" s="68">
        <v>24548</v>
      </c>
      <c r="H1148" s="67" t="s">
        <v>330</v>
      </c>
      <c r="I1148" s="200"/>
      <c r="J1148" s="67" t="s">
        <v>133</v>
      </c>
      <c r="K1148" s="67" t="s">
        <v>134</v>
      </c>
      <c r="L1148" s="67" t="s">
        <v>44</v>
      </c>
      <c r="M1148" s="67" t="s">
        <v>244</v>
      </c>
      <c r="N1148" s="67" t="s">
        <v>253</v>
      </c>
      <c r="O1148" s="67" t="s">
        <v>2117</v>
      </c>
      <c r="P1148" s="67" t="s">
        <v>19</v>
      </c>
      <c r="Q1148" s="71">
        <v>22</v>
      </c>
    </row>
    <row r="1149" spans="1:17" ht="11.1" hidden="1" customHeight="1" x14ac:dyDescent="0.2">
      <c r="A1149" s="3"/>
      <c r="B1149" s="3" t="str">
        <f ca="1">IF(A1149="В заказ",MAX($B$9:OFFSET(B1149,-1,0))+1,"")</f>
        <v/>
      </c>
      <c r="C1149" s="6" t="str">
        <f t="shared" si="36"/>
        <v>Кромка 0,4 H3450 ST22  (200 м бухта).</v>
      </c>
      <c r="D1149" s="67" t="s">
        <v>241</v>
      </c>
      <c r="E1149" s="67" t="s">
        <v>34</v>
      </c>
      <c r="F1149" s="67" t="s">
        <v>888</v>
      </c>
      <c r="G1149" s="68">
        <v>16822</v>
      </c>
      <c r="H1149" s="67" t="s">
        <v>330</v>
      </c>
      <c r="I1149" s="200"/>
      <c r="J1149" s="67" t="s">
        <v>133</v>
      </c>
      <c r="K1149" s="67" t="s">
        <v>134</v>
      </c>
      <c r="L1149" s="67" t="s">
        <v>44</v>
      </c>
      <c r="M1149" s="67" t="s">
        <v>264</v>
      </c>
      <c r="N1149" s="67" t="s">
        <v>253</v>
      </c>
      <c r="O1149" s="67" t="s">
        <v>2117</v>
      </c>
      <c r="P1149" s="67" t="s">
        <v>19</v>
      </c>
      <c r="Q1149" s="192">
        <v>28.9</v>
      </c>
    </row>
    <row r="1150" spans="1:17" ht="11.1" hidden="1" customHeight="1" x14ac:dyDescent="0.2">
      <c r="A1150" s="3"/>
      <c r="B1150" s="3" t="str">
        <f ca="1">IF(A1150="В заказ",MAX($B$9:OFFSET(B1150,-1,0))+1,"")</f>
        <v/>
      </c>
      <c r="C1150" s="6" t="str">
        <f t="shared" si="36"/>
        <v>Кромка 0,8 H3450 ST22  (75 м бухта).</v>
      </c>
      <c r="D1150" s="67" t="s">
        <v>241</v>
      </c>
      <c r="E1150" s="67" t="s">
        <v>34</v>
      </c>
      <c r="F1150" s="67" t="s">
        <v>889</v>
      </c>
      <c r="G1150" s="68">
        <v>15412</v>
      </c>
      <c r="H1150" s="67" t="s">
        <v>330</v>
      </c>
      <c r="I1150" s="200"/>
      <c r="J1150" s="67" t="s">
        <v>133</v>
      </c>
      <c r="K1150" s="67" t="s">
        <v>134</v>
      </c>
      <c r="L1150" s="67" t="s">
        <v>44</v>
      </c>
      <c r="M1150" s="67" t="s">
        <v>252</v>
      </c>
      <c r="N1150" s="67" t="s">
        <v>10</v>
      </c>
      <c r="O1150" s="67" t="s">
        <v>2116</v>
      </c>
      <c r="P1150" s="67" t="s">
        <v>19</v>
      </c>
      <c r="Q1150" s="71">
        <v>35</v>
      </c>
    </row>
    <row r="1151" spans="1:17" ht="11.1" hidden="1" customHeight="1" x14ac:dyDescent="0.2">
      <c r="A1151" s="3"/>
      <c r="B1151" s="3" t="str">
        <f ca="1">IF(A1151="В заказ",MAX($B$9:OFFSET(B1151,-1,0))+1,"")</f>
        <v/>
      </c>
      <c r="C1151" s="6" t="str">
        <f t="shared" si="36"/>
        <v>Кромка 0,8 H3450 ST22  (75 м бухта).</v>
      </c>
      <c r="D1151" s="67" t="s">
        <v>241</v>
      </c>
      <c r="E1151" s="67" t="s">
        <v>34</v>
      </c>
      <c r="F1151" s="67" t="s">
        <v>890</v>
      </c>
      <c r="G1151" s="68">
        <v>20247</v>
      </c>
      <c r="H1151" s="67" t="s">
        <v>330</v>
      </c>
      <c r="I1151" s="200"/>
      <c r="J1151" s="67" t="s">
        <v>133</v>
      </c>
      <c r="K1151" s="67" t="s">
        <v>134</v>
      </c>
      <c r="L1151" s="67" t="s">
        <v>44</v>
      </c>
      <c r="M1151" s="67" t="s">
        <v>244</v>
      </c>
      <c r="N1151" s="67" t="s">
        <v>10</v>
      </c>
      <c r="O1151" s="67" t="s">
        <v>2116</v>
      </c>
      <c r="P1151" s="67" t="s">
        <v>19</v>
      </c>
      <c r="Q1151" s="192">
        <v>42.3</v>
      </c>
    </row>
    <row r="1152" spans="1:17" ht="11.1" hidden="1" customHeight="1" x14ac:dyDescent="0.2">
      <c r="A1152" s="3"/>
      <c r="B1152" s="3" t="str">
        <f ca="1">IF(A1152="В заказ",MAX($B$9:OFFSET(B1152,-1,0))+1,"")</f>
        <v/>
      </c>
      <c r="C1152" s="6" t="str">
        <f t="shared" si="36"/>
        <v>Кромка 2,0 H3450 ST22  (75 м бухта).</v>
      </c>
      <c r="D1152" s="67" t="s">
        <v>241</v>
      </c>
      <c r="E1152" s="67" t="s">
        <v>34</v>
      </c>
      <c r="F1152" s="67" t="s">
        <v>891</v>
      </c>
      <c r="G1152" s="68">
        <v>14595</v>
      </c>
      <c r="H1152" s="67" t="s">
        <v>330</v>
      </c>
      <c r="I1152" s="200"/>
      <c r="J1152" s="67" t="s">
        <v>133</v>
      </c>
      <c r="K1152" s="67" t="s">
        <v>134</v>
      </c>
      <c r="L1152" s="67" t="s">
        <v>44</v>
      </c>
      <c r="M1152" s="67" t="s">
        <v>252</v>
      </c>
      <c r="N1152" s="67" t="s">
        <v>259</v>
      </c>
      <c r="O1152" s="67" t="s">
        <v>2116</v>
      </c>
      <c r="P1152" s="67" t="s">
        <v>19</v>
      </c>
      <c r="Q1152" s="192">
        <v>62.6</v>
      </c>
    </row>
    <row r="1153" spans="1:17" ht="11.1" hidden="1" customHeight="1" x14ac:dyDescent="0.2">
      <c r="A1153" s="3"/>
      <c r="B1153" s="3" t="str">
        <f ca="1">IF(A1153="В заказ",MAX($B$9:OFFSET(B1153,-1,0))+1,"")</f>
        <v/>
      </c>
      <c r="C1153" s="6" t="str">
        <f t="shared" si="36"/>
        <v>Кромка 2,0 H3450 ST22  (75 м бухта).</v>
      </c>
      <c r="D1153" s="67" t="s">
        <v>241</v>
      </c>
      <c r="E1153" s="67" t="s">
        <v>34</v>
      </c>
      <c r="F1153" s="67" t="s">
        <v>892</v>
      </c>
      <c r="G1153" s="68">
        <v>24549</v>
      </c>
      <c r="H1153" s="67" t="s">
        <v>330</v>
      </c>
      <c r="I1153" s="200"/>
      <c r="J1153" s="67" t="s">
        <v>133</v>
      </c>
      <c r="K1153" s="67" t="s">
        <v>134</v>
      </c>
      <c r="L1153" s="67" t="s">
        <v>44</v>
      </c>
      <c r="M1153" s="67" t="s">
        <v>244</v>
      </c>
      <c r="N1153" s="67" t="s">
        <v>259</v>
      </c>
      <c r="O1153" s="67" t="s">
        <v>2116</v>
      </c>
      <c r="P1153" s="67" t="s">
        <v>19</v>
      </c>
      <c r="Q1153" s="192">
        <v>65.5</v>
      </c>
    </row>
    <row r="1154" spans="1:17" ht="11.1" hidden="1" customHeight="1" x14ac:dyDescent="0.2">
      <c r="A1154" s="3"/>
      <c r="B1154" s="3" t="str">
        <f ca="1">IF(A1154="В заказ",MAX($B$9:OFFSET(B1154,-1,0))+1,"")</f>
        <v/>
      </c>
      <c r="C1154" s="6" t="str">
        <f t="shared" si="36"/>
        <v>Кромка 2,0 H3450 ST22  (75 м бухта).</v>
      </c>
      <c r="D1154" s="67" t="s">
        <v>241</v>
      </c>
      <c r="E1154" s="67" t="s">
        <v>34</v>
      </c>
      <c r="F1154" s="67" t="s">
        <v>893</v>
      </c>
      <c r="G1154" s="68">
        <v>14597</v>
      </c>
      <c r="H1154" s="67" t="s">
        <v>330</v>
      </c>
      <c r="I1154" s="200"/>
      <c r="J1154" s="67" t="s">
        <v>133</v>
      </c>
      <c r="K1154" s="67" t="s">
        <v>134</v>
      </c>
      <c r="L1154" s="67" t="s">
        <v>44</v>
      </c>
      <c r="M1154" s="67" t="s">
        <v>264</v>
      </c>
      <c r="N1154" s="67" t="s">
        <v>259</v>
      </c>
      <c r="O1154" s="67" t="s">
        <v>2116</v>
      </c>
      <c r="P1154" s="67" t="s">
        <v>19</v>
      </c>
      <c r="Q1154" s="192">
        <v>94.1</v>
      </c>
    </row>
    <row r="1155" spans="1:17" ht="11.1" hidden="1" customHeight="1" x14ac:dyDescent="0.2">
      <c r="A1155" s="3"/>
      <c r="B1155" s="3" t="str">
        <f ca="1">IF(A1155="В заказ",MAX($B$9:OFFSET(B1155,-1,0))+1,"")</f>
        <v/>
      </c>
      <c r="C1155" s="6" t="str">
        <f t="shared" si="36"/>
        <v>Кромка 2,0 H3450 ST22  (75 м бухта).</v>
      </c>
      <c r="D1155" s="67" t="s">
        <v>241</v>
      </c>
      <c r="E1155" s="67" t="s">
        <v>34</v>
      </c>
      <c r="F1155" s="67" t="s">
        <v>894</v>
      </c>
      <c r="G1155" s="68">
        <v>14617</v>
      </c>
      <c r="H1155" s="67" t="s">
        <v>330</v>
      </c>
      <c r="I1155" s="200"/>
      <c r="J1155" s="67" t="s">
        <v>133</v>
      </c>
      <c r="K1155" s="67" t="s">
        <v>134</v>
      </c>
      <c r="L1155" s="67" t="s">
        <v>44</v>
      </c>
      <c r="M1155" s="67" t="s">
        <v>270</v>
      </c>
      <c r="N1155" s="67" t="s">
        <v>259</v>
      </c>
      <c r="O1155" s="67" t="s">
        <v>2116</v>
      </c>
      <c r="P1155" s="67" t="s">
        <v>19</v>
      </c>
      <c r="Q1155" s="192">
        <v>127.6</v>
      </c>
    </row>
    <row r="1156" spans="1:17" ht="11.1" hidden="1" customHeight="1" x14ac:dyDescent="0.2">
      <c r="A1156" s="3"/>
      <c r="B1156" s="3" t="str">
        <f ca="1">IF(A1156="В заказ",MAX($B$9:OFFSET(B1156,-1,0))+1,"")</f>
        <v/>
      </c>
      <c r="C1156" s="6" t="str">
        <f t="shared" si="36"/>
        <v>Кромка 0,4 H3451 ST22  (200 м бухта).</v>
      </c>
      <c r="D1156" s="67" t="s">
        <v>241</v>
      </c>
      <c r="E1156" s="67" t="s">
        <v>34</v>
      </c>
      <c r="F1156" s="67" t="s">
        <v>895</v>
      </c>
      <c r="G1156" s="68">
        <v>14618</v>
      </c>
      <c r="H1156" s="67" t="s">
        <v>330</v>
      </c>
      <c r="I1156" s="200"/>
      <c r="J1156" s="67" t="s">
        <v>135</v>
      </c>
      <c r="K1156" s="67" t="s">
        <v>136</v>
      </c>
      <c r="L1156" s="67" t="s">
        <v>44</v>
      </c>
      <c r="M1156" s="67" t="s">
        <v>252</v>
      </c>
      <c r="N1156" s="67" t="s">
        <v>253</v>
      </c>
      <c r="O1156" s="67" t="s">
        <v>2117</v>
      </c>
      <c r="P1156" s="67" t="s">
        <v>19</v>
      </c>
      <c r="Q1156" s="192">
        <v>17.899999999999999</v>
      </c>
    </row>
    <row r="1157" spans="1:17" ht="11.1" hidden="1" customHeight="1" x14ac:dyDescent="0.2">
      <c r="A1157" s="3"/>
      <c r="B1157" s="3" t="str">
        <f ca="1">IF(A1157="В заказ",MAX($B$9:OFFSET(B1157,-1,0))+1,"")</f>
        <v/>
      </c>
      <c r="C1157" s="6" t="str">
        <f t="shared" si="36"/>
        <v>Кромка 0,4 H3451 ST22  (200 м бухта).</v>
      </c>
      <c r="D1157" s="67" t="s">
        <v>241</v>
      </c>
      <c r="E1157" s="67" t="s">
        <v>34</v>
      </c>
      <c r="F1157" s="67" t="s">
        <v>896</v>
      </c>
      <c r="G1157" s="68">
        <v>22830</v>
      </c>
      <c r="H1157" s="67" t="s">
        <v>330</v>
      </c>
      <c r="I1157" s="200"/>
      <c r="J1157" s="67" t="s">
        <v>135</v>
      </c>
      <c r="K1157" s="67" t="s">
        <v>136</v>
      </c>
      <c r="L1157" s="67" t="s">
        <v>44</v>
      </c>
      <c r="M1157" s="67" t="s">
        <v>244</v>
      </c>
      <c r="N1157" s="67" t="s">
        <v>253</v>
      </c>
      <c r="O1157" s="67" t="s">
        <v>2117</v>
      </c>
      <c r="P1157" s="67" t="s">
        <v>19</v>
      </c>
      <c r="Q1157" s="71">
        <v>22</v>
      </c>
    </row>
    <row r="1158" spans="1:17" ht="11.1" hidden="1" customHeight="1" x14ac:dyDescent="0.2">
      <c r="A1158" s="3"/>
      <c r="B1158" s="3" t="str">
        <f ca="1">IF(A1158="В заказ",MAX($B$9:OFFSET(B1158,-1,0))+1,"")</f>
        <v/>
      </c>
      <c r="C1158" s="6" t="str">
        <f t="shared" si="36"/>
        <v>Кромка 0,4 H3451 ST22  (200 м бухта).</v>
      </c>
      <c r="D1158" s="67" t="s">
        <v>241</v>
      </c>
      <c r="E1158" s="67" t="s">
        <v>34</v>
      </c>
      <c r="F1158" s="67" t="s">
        <v>897</v>
      </c>
      <c r="G1158" s="68">
        <v>15673</v>
      </c>
      <c r="H1158" s="67" t="s">
        <v>330</v>
      </c>
      <c r="I1158" s="200"/>
      <c r="J1158" s="67" t="s">
        <v>135</v>
      </c>
      <c r="K1158" s="67" t="s">
        <v>136</v>
      </c>
      <c r="L1158" s="67" t="s">
        <v>44</v>
      </c>
      <c r="M1158" s="67" t="s">
        <v>264</v>
      </c>
      <c r="N1158" s="67" t="s">
        <v>253</v>
      </c>
      <c r="O1158" s="67" t="s">
        <v>2117</v>
      </c>
      <c r="P1158" s="67" t="s">
        <v>19</v>
      </c>
      <c r="Q1158" s="192">
        <v>28.9</v>
      </c>
    </row>
    <row r="1159" spans="1:17" ht="11.1" hidden="1" customHeight="1" x14ac:dyDescent="0.2">
      <c r="A1159" s="3"/>
      <c r="B1159" s="3" t="str">
        <f ca="1">IF(A1159="В заказ",MAX($B$9:OFFSET(B1159,-1,0))+1,"")</f>
        <v/>
      </c>
      <c r="C1159" s="6" t="str">
        <f t="shared" si="36"/>
        <v>Кромка 0,8 H3451 ST22  (75 м бухта).</v>
      </c>
      <c r="D1159" s="67" t="s">
        <v>241</v>
      </c>
      <c r="E1159" s="67" t="s">
        <v>34</v>
      </c>
      <c r="F1159" s="67" t="s">
        <v>898</v>
      </c>
      <c r="G1159" s="68">
        <v>15659</v>
      </c>
      <c r="H1159" s="67" t="s">
        <v>330</v>
      </c>
      <c r="I1159" s="200"/>
      <c r="J1159" s="67" t="s">
        <v>135</v>
      </c>
      <c r="K1159" s="67" t="s">
        <v>136</v>
      </c>
      <c r="L1159" s="67" t="s">
        <v>44</v>
      </c>
      <c r="M1159" s="67" t="s">
        <v>252</v>
      </c>
      <c r="N1159" s="67" t="s">
        <v>10</v>
      </c>
      <c r="O1159" s="67" t="s">
        <v>2116</v>
      </c>
      <c r="P1159" s="67" t="s">
        <v>19</v>
      </c>
      <c r="Q1159" s="71">
        <v>35</v>
      </c>
    </row>
    <row r="1160" spans="1:17" ht="11.1" hidden="1" customHeight="1" x14ac:dyDescent="0.2">
      <c r="A1160" s="3"/>
      <c r="B1160" s="3" t="str">
        <f ca="1">IF(A1160="В заказ",MAX($B$9:OFFSET(B1160,-1,0))+1,"")</f>
        <v/>
      </c>
      <c r="C1160" s="6" t="str">
        <f t="shared" si="36"/>
        <v>Кромка 0,8 H3451 ST22  (75 м бухта).</v>
      </c>
      <c r="D1160" s="67" t="s">
        <v>241</v>
      </c>
      <c r="E1160" s="67" t="s">
        <v>34</v>
      </c>
      <c r="F1160" s="67" t="s">
        <v>899</v>
      </c>
      <c r="G1160" s="68">
        <v>22829</v>
      </c>
      <c r="H1160" s="67" t="s">
        <v>330</v>
      </c>
      <c r="I1160" s="200"/>
      <c r="J1160" s="67" t="s">
        <v>135</v>
      </c>
      <c r="K1160" s="67" t="s">
        <v>136</v>
      </c>
      <c r="L1160" s="67" t="s">
        <v>44</v>
      </c>
      <c r="M1160" s="67" t="s">
        <v>244</v>
      </c>
      <c r="N1160" s="67" t="s">
        <v>10</v>
      </c>
      <c r="O1160" s="67" t="s">
        <v>2116</v>
      </c>
      <c r="P1160" s="67" t="s">
        <v>19</v>
      </c>
      <c r="Q1160" s="192">
        <v>42.3</v>
      </c>
    </row>
    <row r="1161" spans="1:17" ht="11.1" hidden="1" customHeight="1" x14ac:dyDescent="0.2">
      <c r="A1161" s="3"/>
      <c r="B1161" s="3" t="str">
        <f ca="1">IF(A1161="В заказ",MAX($B$9:OFFSET(B1161,-1,0))+1,"")</f>
        <v/>
      </c>
      <c r="C1161" s="6" t="str">
        <f t="shared" si="36"/>
        <v>Кромка 0,8 H3451 ST22  (75 м бухта).</v>
      </c>
      <c r="D1161" s="67" t="s">
        <v>241</v>
      </c>
      <c r="E1161" s="67" t="s">
        <v>34</v>
      </c>
      <c r="F1161" s="67" t="s">
        <v>900</v>
      </c>
      <c r="G1161" s="68">
        <v>16824</v>
      </c>
      <c r="H1161" s="67" t="s">
        <v>330</v>
      </c>
      <c r="I1161" s="200"/>
      <c r="J1161" s="67" t="s">
        <v>135</v>
      </c>
      <c r="K1161" s="67" t="s">
        <v>136</v>
      </c>
      <c r="L1161" s="67" t="s">
        <v>44</v>
      </c>
      <c r="M1161" s="67" t="s">
        <v>264</v>
      </c>
      <c r="N1161" s="67" t="s">
        <v>10</v>
      </c>
      <c r="O1161" s="67" t="s">
        <v>2116</v>
      </c>
      <c r="P1161" s="67" t="s">
        <v>19</v>
      </c>
      <c r="Q1161" s="192">
        <v>66.900000000000006</v>
      </c>
    </row>
    <row r="1162" spans="1:17" ht="11.1" hidden="1" customHeight="1" x14ac:dyDescent="0.2">
      <c r="A1162" s="3"/>
      <c r="B1162" s="3" t="str">
        <f ca="1">IF(A1162="В заказ",MAX($B$9:OFFSET(B1162,-1,0))+1,"")</f>
        <v/>
      </c>
      <c r="C1162" s="6" t="str">
        <f t="shared" si="36"/>
        <v>Кромка 2,0 H3451 ST22  (75 м бухта).</v>
      </c>
      <c r="D1162" s="67" t="s">
        <v>241</v>
      </c>
      <c r="E1162" s="67" t="s">
        <v>34</v>
      </c>
      <c r="F1162" s="67" t="s">
        <v>901</v>
      </c>
      <c r="G1162" s="68">
        <v>14151</v>
      </c>
      <c r="H1162" s="67" t="s">
        <v>330</v>
      </c>
      <c r="I1162" s="200"/>
      <c r="J1162" s="67" t="s">
        <v>135</v>
      </c>
      <c r="K1162" s="67" t="s">
        <v>136</v>
      </c>
      <c r="L1162" s="67" t="s">
        <v>44</v>
      </c>
      <c r="M1162" s="67" t="s">
        <v>252</v>
      </c>
      <c r="N1162" s="67" t="s">
        <v>259</v>
      </c>
      <c r="O1162" s="67" t="s">
        <v>2116</v>
      </c>
      <c r="P1162" s="67" t="s">
        <v>19</v>
      </c>
      <c r="Q1162" s="192">
        <v>62.6</v>
      </c>
    </row>
    <row r="1163" spans="1:17" ht="11.1" hidden="1" customHeight="1" x14ac:dyDescent="0.2">
      <c r="A1163" s="3"/>
      <c r="B1163" s="3" t="str">
        <f ca="1">IF(A1163="В заказ",MAX($B$9:OFFSET(B1163,-1,0))+1,"")</f>
        <v/>
      </c>
      <c r="C1163" s="6" t="str">
        <f t="shared" si="36"/>
        <v>Кромка 2,0 H3451 ST22  (75 м бухта).</v>
      </c>
      <c r="D1163" s="67" t="s">
        <v>241</v>
      </c>
      <c r="E1163" s="67" t="s">
        <v>34</v>
      </c>
      <c r="F1163" s="67" t="s">
        <v>902</v>
      </c>
      <c r="G1163" s="68">
        <v>18399</v>
      </c>
      <c r="H1163" s="67" t="s">
        <v>330</v>
      </c>
      <c r="I1163" s="200"/>
      <c r="J1163" s="67" t="s">
        <v>135</v>
      </c>
      <c r="K1163" s="67" t="s">
        <v>136</v>
      </c>
      <c r="L1163" s="67" t="s">
        <v>44</v>
      </c>
      <c r="M1163" s="67" t="s">
        <v>244</v>
      </c>
      <c r="N1163" s="67" t="s">
        <v>259</v>
      </c>
      <c r="O1163" s="67" t="s">
        <v>2116</v>
      </c>
      <c r="P1163" s="67" t="s">
        <v>19</v>
      </c>
      <c r="Q1163" s="192">
        <v>65.5</v>
      </c>
    </row>
    <row r="1164" spans="1:17" ht="11.1" hidden="1" customHeight="1" x14ac:dyDescent="0.2">
      <c r="A1164" s="3"/>
      <c r="B1164" s="3" t="str">
        <f ca="1">IF(A1164="В заказ",MAX($B$9:OFFSET(B1164,-1,0))+1,"")</f>
        <v/>
      </c>
      <c r="C1164" s="6" t="str">
        <f t="shared" si="36"/>
        <v>Кромка 2,0 H3451 ST22  (75 м бухта).</v>
      </c>
      <c r="D1164" s="67" t="s">
        <v>241</v>
      </c>
      <c r="E1164" s="67" t="s">
        <v>34</v>
      </c>
      <c r="F1164" s="67" t="s">
        <v>903</v>
      </c>
      <c r="G1164" s="68">
        <v>14619</v>
      </c>
      <c r="H1164" s="67" t="s">
        <v>330</v>
      </c>
      <c r="I1164" s="200"/>
      <c r="J1164" s="67" t="s">
        <v>135</v>
      </c>
      <c r="K1164" s="67" t="s">
        <v>136</v>
      </c>
      <c r="L1164" s="67" t="s">
        <v>44</v>
      </c>
      <c r="M1164" s="67" t="s">
        <v>264</v>
      </c>
      <c r="N1164" s="67" t="s">
        <v>259</v>
      </c>
      <c r="O1164" s="67" t="s">
        <v>2116</v>
      </c>
      <c r="P1164" s="67" t="s">
        <v>19</v>
      </c>
      <c r="Q1164" s="192">
        <v>94.1</v>
      </c>
    </row>
    <row r="1165" spans="1:17" ht="11.1" hidden="1" customHeight="1" x14ac:dyDescent="0.2">
      <c r="A1165" s="3"/>
      <c r="B1165" s="3" t="str">
        <f ca="1">IF(A1165="В заказ",MAX($B$9:OFFSET(B1165,-1,0))+1,"")</f>
        <v/>
      </c>
      <c r="C1165" s="6" t="str">
        <f t="shared" si="36"/>
        <v>Кромка 2,0 H3451 ST22  (75 м бухта).</v>
      </c>
      <c r="D1165" s="67" t="s">
        <v>241</v>
      </c>
      <c r="E1165" s="67" t="s">
        <v>34</v>
      </c>
      <c r="F1165" s="67" t="s">
        <v>904</v>
      </c>
      <c r="G1165" s="68">
        <v>15575</v>
      </c>
      <c r="H1165" s="67" t="s">
        <v>330</v>
      </c>
      <c r="I1165" s="200"/>
      <c r="J1165" s="67" t="s">
        <v>135</v>
      </c>
      <c r="K1165" s="67" t="s">
        <v>136</v>
      </c>
      <c r="L1165" s="67" t="s">
        <v>44</v>
      </c>
      <c r="M1165" s="67" t="s">
        <v>270</v>
      </c>
      <c r="N1165" s="67" t="s">
        <v>259</v>
      </c>
      <c r="O1165" s="67" t="s">
        <v>2116</v>
      </c>
      <c r="P1165" s="67" t="s">
        <v>19</v>
      </c>
      <c r="Q1165" s="192">
        <v>127.6</v>
      </c>
    </row>
    <row r="1166" spans="1:17" ht="11.1" hidden="1" customHeight="1" x14ac:dyDescent="0.2">
      <c r="A1166" s="3"/>
      <c r="B1166" s="3" t="str">
        <f ca="1">IF(A1166="В заказ",MAX($B$9:OFFSET(B1166,-1,0))+1,"")</f>
        <v/>
      </c>
      <c r="C1166" s="6" t="str">
        <f t="shared" si="36"/>
        <v>Кромка 0,4 H3453 ST22  (200 м бухта).</v>
      </c>
      <c r="D1166" s="67" t="s">
        <v>241</v>
      </c>
      <c r="E1166" s="67" t="s">
        <v>34</v>
      </c>
      <c r="F1166" s="67" t="s">
        <v>905</v>
      </c>
      <c r="G1166" s="68">
        <v>14011</v>
      </c>
      <c r="H1166" s="67" t="s">
        <v>330</v>
      </c>
      <c r="I1166" s="200"/>
      <c r="J1166" s="67" t="s">
        <v>137</v>
      </c>
      <c r="K1166" s="67" t="s">
        <v>138</v>
      </c>
      <c r="L1166" s="67" t="s">
        <v>44</v>
      </c>
      <c r="M1166" s="67" t="s">
        <v>252</v>
      </c>
      <c r="N1166" s="67" t="s">
        <v>253</v>
      </c>
      <c r="O1166" s="67" t="s">
        <v>2117</v>
      </c>
      <c r="P1166" s="67" t="s">
        <v>19</v>
      </c>
      <c r="Q1166" s="192">
        <v>17.899999999999999</v>
      </c>
    </row>
    <row r="1167" spans="1:17" ht="11.1" hidden="1" customHeight="1" x14ac:dyDescent="0.2">
      <c r="A1167" s="3"/>
      <c r="B1167" s="3" t="str">
        <f ca="1">IF(A1167="В заказ",MAX($B$9:OFFSET(B1167,-1,0))+1,"")</f>
        <v/>
      </c>
      <c r="C1167" s="6" t="str">
        <f t="shared" si="36"/>
        <v>Кромка 0,4 H3453 ST22  (200 м бухта).</v>
      </c>
      <c r="D1167" s="67" t="s">
        <v>241</v>
      </c>
      <c r="E1167" s="67" t="s">
        <v>34</v>
      </c>
      <c r="F1167" s="67" t="s">
        <v>906</v>
      </c>
      <c r="G1167" s="68">
        <v>24546</v>
      </c>
      <c r="H1167" s="67" t="s">
        <v>330</v>
      </c>
      <c r="I1167" s="200"/>
      <c r="J1167" s="67" t="s">
        <v>137</v>
      </c>
      <c r="K1167" s="67" t="s">
        <v>138</v>
      </c>
      <c r="L1167" s="67" t="s">
        <v>44</v>
      </c>
      <c r="M1167" s="67" t="s">
        <v>244</v>
      </c>
      <c r="N1167" s="67" t="s">
        <v>253</v>
      </c>
      <c r="O1167" s="67" t="s">
        <v>2117</v>
      </c>
      <c r="P1167" s="67" t="s">
        <v>19</v>
      </c>
      <c r="Q1167" s="71">
        <v>22</v>
      </c>
    </row>
    <row r="1168" spans="1:17" ht="11.1" hidden="1" customHeight="1" x14ac:dyDescent="0.2">
      <c r="A1168" s="3"/>
      <c r="B1168" s="3" t="str">
        <f ca="1">IF(A1168="В заказ",MAX($B$9:OFFSET(B1168,-1,0))+1,"")</f>
        <v/>
      </c>
      <c r="C1168" s="6" t="str">
        <f t="shared" si="36"/>
        <v>Кромка 0,4 H3453 ST22  (200 м бухта).</v>
      </c>
      <c r="D1168" s="67" t="s">
        <v>241</v>
      </c>
      <c r="E1168" s="67" t="s">
        <v>34</v>
      </c>
      <c r="F1168" s="67" t="s">
        <v>907</v>
      </c>
      <c r="G1168" s="68">
        <v>16828</v>
      </c>
      <c r="H1168" s="67" t="s">
        <v>330</v>
      </c>
      <c r="I1168" s="200"/>
      <c r="J1168" s="67" t="s">
        <v>137</v>
      </c>
      <c r="K1168" s="67" t="s">
        <v>138</v>
      </c>
      <c r="L1168" s="67" t="s">
        <v>44</v>
      </c>
      <c r="M1168" s="67" t="s">
        <v>264</v>
      </c>
      <c r="N1168" s="67" t="s">
        <v>253</v>
      </c>
      <c r="O1168" s="67" t="s">
        <v>2117</v>
      </c>
      <c r="P1168" s="67" t="s">
        <v>19</v>
      </c>
      <c r="Q1168" s="192">
        <v>28.9</v>
      </c>
    </row>
    <row r="1169" spans="1:17" ht="11.1" hidden="1" customHeight="1" x14ac:dyDescent="0.2">
      <c r="A1169" s="3"/>
      <c r="B1169" s="3" t="str">
        <f ca="1">IF(A1169="В заказ",MAX($B$9:OFFSET(B1169,-1,0))+1,"")</f>
        <v/>
      </c>
      <c r="C1169" s="6" t="str">
        <f t="shared" si="36"/>
        <v>Кромка 0,8 H3453 ST22  (75 м бухта).</v>
      </c>
      <c r="D1169" s="67" t="s">
        <v>241</v>
      </c>
      <c r="E1169" s="67" t="s">
        <v>34</v>
      </c>
      <c r="F1169" s="67" t="s">
        <v>908</v>
      </c>
      <c r="G1169" s="68">
        <v>16282</v>
      </c>
      <c r="H1169" s="67" t="s">
        <v>330</v>
      </c>
      <c r="I1169" s="200"/>
      <c r="J1169" s="67" t="s">
        <v>137</v>
      </c>
      <c r="K1169" s="67" t="s">
        <v>138</v>
      </c>
      <c r="L1169" s="67" t="s">
        <v>44</v>
      </c>
      <c r="M1169" s="67" t="s">
        <v>252</v>
      </c>
      <c r="N1169" s="67" t="s">
        <v>10</v>
      </c>
      <c r="O1169" s="67" t="s">
        <v>2116</v>
      </c>
      <c r="P1169" s="67" t="s">
        <v>19</v>
      </c>
      <c r="Q1169" s="71">
        <v>35</v>
      </c>
    </row>
    <row r="1170" spans="1:17" ht="11.1" hidden="1" customHeight="1" x14ac:dyDescent="0.2">
      <c r="A1170" s="3"/>
      <c r="B1170" s="3" t="str">
        <f ca="1">IF(A1170="В заказ",MAX($B$9:OFFSET(B1170,-1,0))+1,"")</f>
        <v/>
      </c>
      <c r="C1170" s="6" t="str">
        <f t="shared" si="36"/>
        <v>Кромка 0,8 H3453 ST22  (75 м бухта).</v>
      </c>
      <c r="D1170" s="67" t="s">
        <v>241</v>
      </c>
      <c r="E1170" s="67" t="s">
        <v>34</v>
      </c>
      <c r="F1170" s="67" t="s">
        <v>909</v>
      </c>
      <c r="G1170" s="68">
        <v>24547</v>
      </c>
      <c r="H1170" s="67" t="s">
        <v>330</v>
      </c>
      <c r="I1170" s="200"/>
      <c r="J1170" s="67" t="s">
        <v>137</v>
      </c>
      <c r="K1170" s="67" t="s">
        <v>138</v>
      </c>
      <c r="L1170" s="67" t="s">
        <v>44</v>
      </c>
      <c r="M1170" s="67" t="s">
        <v>244</v>
      </c>
      <c r="N1170" s="67" t="s">
        <v>10</v>
      </c>
      <c r="O1170" s="67" t="s">
        <v>2116</v>
      </c>
      <c r="P1170" s="67" t="s">
        <v>19</v>
      </c>
      <c r="Q1170" s="192">
        <v>42.3</v>
      </c>
    </row>
    <row r="1171" spans="1:17" ht="11.1" hidden="1" customHeight="1" x14ac:dyDescent="0.2">
      <c r="A1171" s="3"/>
      <c r="B1171" s="3" t="str">
        <f ca="1">IF(A1171="В заказ",MAX($B$9:OFFSET(B1171,-1,0))+1,"")</f>
        <v/>
      </c>
      <c r="C1171" s="6" t="str">
        <f t="shared" si="36"/>
        <v>Кромка 0,8 H3453 ST22  (75 м бухта).</v>
      </c>
      <c r="D1171" s="67" t="s">
        <v>241</v>
      </c>
      <c r="E1171" s="67" t="s">
        <v>34</v>
      </c>
      <c r="F1171" s="67" t="s">
        <v>910</v>
      </c>
      <c r="G1171" s="68">
        <v>16827</v>
      </c>
      <c r="H1171" s="67" t="s">
        <v>330</v>
      </c>
      <c r="I1171" s="200"/>
      <c r="J1171" s="67" t="s">
        <v>137</v>
      </c>
      <c r="K1171" s="67" t="s">
        <v>138</v>
      </c>
      <c r="L1171" s="67" t="s">
        <v>44</v>
      </c>
      <c r="M1171" s="67" t="s">
        <v>264</v>
      </c>
      <c r="N1171" s="67" t="s">
        <v>10</v>
      </c>
      <c r="O1171" s="67" t="s">
        <v>2116</v>
      </c>
      <c r="P1171" s="67" t="s">
        <v>19</v>
      </c>
      <c r="Q1171" s="192">
        <v>66.900000000000006</v>
      </c>
    </row>
    <row r="1172" spans="1:17" ht="11.1" hidden="1" customHeight="1" x14ac:dyDescent="0.2">
      <c r="A1172" s="3"/>
      <c r="B1172" s="3" t="str">
        <f ca="1">IF(A1172="В заказ",MAX($B$9:OFFSET(B1172,-1,0))+1,"")</f>
        <v/>
      </c>
      <c r="C1172" s="6" t="str">
        <f t="shared" si="36"/>
        <v>Кромка 2,0 H3453 ST22  (75 м бухта).</v>
      </c>
      <c r="D1172" s="67" t="s">
        <v>241</v>
      </c>
      <c r="E1172" s="67" t="s">
        <v>34</v>
      </c>
      <c r="F1172" s="67" t="s">
        <v>911</v>
      </c>
      <c r="G1172" s="68">
        <v>14012</v>
      </c>
      <c r="H1172" s="67" t="s">
        <v>330</v>
      </c>
      <c r="I1172" s="200"/>
      <c r="J1172" s="67" t="s">
        <v>137</v>
      </c>
      <c r="K1172" s="67" t="s">
        <v>138</v>
      </c>
      <c r="L1172" s="67" t="s">
        <v>44</v>
      </c>
      <c r="M1172" s="67" t="s">
        <v>252</v>
      </c>
      <c r="N1172" s="67" t="s">
        <v>259</v>
      </c>
      <c r="O1172" s="67" t="s">
        <v>2116</v>
      </c>
      <c r="P1172" s="67" t="s">
        <v>19</v>
      </c>
      <c r="Q1172" s="192">
        <v>62.6</v>
      </c>
    </row>
    <row r="1173" spans="1:17" ht="11.1" hidden="1" customHeight="1" x14ac:dyDescent="0.2">
      <c r="A1173" s="3"/>
      <c r="B1173" s="3" t="str">
        <f ca="1">IF(A1173="В заказ",MAX($B$9:OFFSET(B1173,-1,0))+1,"")</f>
        <v/>
      </c>
      <c r="C1173" s="6" t="str">
        <f t="shared" si="36"/>
        <v>Кромка 2,0 H3453 ST22  (75 м бухта).</v>
      </c>
      <c r="D1173" s="67" t="s">
        <v>241</v>
      </c>
      <c r="E1173" s="67" t="s">
        <v>34</v>
      </c>
      <c r="F1173" s="67" t="s">
        <v>912</v>
      </c>
      <c r="G1173" s="68">
        <v>14033</v>
      </c>
      <c r="H1173" s="67" t="s">
        <v>330</v>
      </c>
      <c r="I1173" s="200"/>
      <c r="J1173" s="67" t="s">
        <v>137</v>
      </c>
      <c r="K1173" s="67" t="s">
        <v>138</v>
      </c>
      <c r="L1173" s="67" t="s">
        <v>44</v>
      </c>
      <c r="M1173" s="67" t="s">
        <v>244</v>
      </c>
      <c r="N1173" s="67" t="s">
        <v>259</v>
      </c>
      <c r="O1173" s="67" t="s">
        <v>2116</v>
      </c>
      <c r="P1173" s="67" t="s">
        <v>19</v>
      </c>
      <c r="Q1173" s="192">
        <v>65.5</v>
      </c>
    </row>
    <row r="1174" spans="1:17" ht="11.1" hidden="1" customHeight="1" x14ac:dyDescent="0.2">
      <c r="A1174" s="3"/>
      <c r="B1174" s="3" t="str">
        <f ca="1">IF(A1174="В заказ",MAX($B$9:OFFSET(B1174,-1,0))+1,"")</f>
        <v/>
      </c>
      <c r="C1174" s="6" t="str">
        <f t="shared" si="36"/>
        <v>Кромка 2,0 H3453 ST22  (75 м бухта).</v>
      </c>
      <c r="D1174" s="67" t="s">
        <v>241</v>
      </c>
      <c r="E1174" s="67" t="s">
        <v>34</v>
      </c>
      <c r="F1174" s="67" t="s">
        <v>913</v>
      </c>
      <c r="G1174" s="68">
        <v>14401</v>
      </c>
      <c r="H1174" s="67" t="s">
        <v>330</v>
      </c>
      <c r="I1174" s="200"/>
      <c r="J1174" s="67" t="s">
        <v>137</v>
      </c>
      <c r="K1174" s="67" t="s">
        <v>138</v>
      </c>
      <c r="L1174" s="67" t="s">
        <v>44</v>
      </c>
      <c r="M1174" s="67" t="s">
        <v>270</v>
      </c>
      <c r="N1174" s="67" t="s">
        <v>259</v>
      </c>
      <c r="O1174" s="67" t="s">
        <v>2116</v>
      </c>
      <c r="P1174" s="67" t="s">
        <v>19</v>
      </c>
      <c r="Q1174" s="192">
        <v>127.6</v>
      </c>
    </row>
    <row r="1175" spans="1:17" ht="11.1" hidden="1" customHeight="1" x14ac:dyDescent="0.2">
      <c r="A1175" s="3"/>
      <c r="B1175" s="3" t="str">
        <f ca="1">IF(A1175="В заказ",MAX($B$9:OFFSET(B1175,-1,0))+1,"")</f>
        <v/>
      </c>
      <c r="C1175" s="6" t="str">
        <f t="shared" si="36"/>
        <v>Кромка 0,4 H3700 ST10  (200 м бухта).</v>
      </c>
      <c r="D1175" s="67" t="s">
        <v>241</v>
      </c>
      <c r="E1175" s="67" t="s">
        <v>34</v>
      </c>
      <c r="F1175" s="67" t="s">
        <v>914</v>
      </c>
      <c r="G1175" s="68">
        <v>13096</v>
      </c>
      <c r="H1175" s="67" t="s">
        <v>330</v>
      </c>
      <c r="I1175" s="200"/>
      <c r="J1175" s="67" t="s">
        <v>139</v>
      </c>
      <c r="K1175" s="67" t="s">
        <v>140</v>
      </c>
      <c r="L1175" s="67" t="s">
        <v>38</v>
      </c>
      <c r="M1175" s="67" t="s">
        <v>252</v>
      </c>
      <c r="N1175" s="67" t="s">
        <v>253</v>
      </c>
      <c r="O1175" s="67" t="s">
        <v>2117</v>
      </c>
      <c r="P1175" s="67" t="s">
        <v>19</v>
      </c>
      <c r="Q1175" s="192">
        <v>17.899999999999999</v>
      </c>
    </row>
    <row r="1176" spans="1:17" ht="11.1" hidden="1" customHeight="1" x14ac:dyDescent="0.2">
      <c r="A1176" s="3"/>
      <c r="B1176" s="3" t="str">
        <f ca="1">IF(A1176="В заказ",MAX($B$9:OFFSET(B1176,-1,0))+1,"")</f>
        <v/>
      </c>
      <c r="C1176" s="6" t="str">
        <f t="shared" si="36"/>
        <v>Кромка 0,4 H3700 ST10  (200 м бухта).</v>
      </c>
      <c r="D1176" s="67" t="s">
        <v>241</v>
      </c>
      <c r="E1176" s="67" t="s">
        <v>34</v>
      </c>
      <c r="F1176" s="67" t="s">
        <v>915</v>
      </c>
      <c r="G1176" s="68">
        <v>24775</v>
      </c>
      <c r="H1176" s="67" t="s">
        <v>330</v>
      </c>
      <c r="I1176" s="200"/>
      <c r="J1176" s="67" t="s">
        <v>139</v>
      </c>
      <c r="K1176" s="67" t="s">
        <v>140</v>
      </c>
      <c r="L1176" s="67" t="s">
        <v>38</v>
      </c>
      <c r="M1176" s="67" t="s">
        <v>244</v>
      </c>
      <c r="N1176" s="67" t="s">
        <v>253</v>
      </c>
      <c r="O1176" s="67" t="s">
        <v>2117</v>
      </c>
      <c r="P1176" s="67" t="s">
        <v>19</v>
      </c>
      <c r="Q1176" s="71">
        <v>22</v>
      </c>
    </row>
    <row r="1177" spans="1:17" ht="11.1" hidden="1" customHeight="1" x14ac:dyDescent="0.2">
      <c r="A1177" s="3"/>
      <c r="B1177" s="3" t="str">
        <f ca="1">IF(A1177="В заказ",MAX($B$9:OFFSET(B1177,-1,0))+1,"")</f>
        <v/>
      </c>
      <c r="C1177" s="6" t="str">
        <f t="shared" si="36"/>
        <v>Кромка 0,4 H3700 ST10  (200 м бухта).</v>
      </c>
      <c r="D1177" s="67" t="s">
        <v>241</v>
      </c>
      <c r="E1177" s="67" t="s">
        <v>34</v>
      </c>
      <c r="F1177" s="67" t="s">
        <v>916</v>
      </c>
      <c r="G1177" s="68">
        <v>16830</v>
      </c>
      <c r="H1177" s="67" t="s">
        <v>330</v>
      </c>
      <c r="I1177" s="200"/>
      <c r="J1177" s="67" t="s">
        <v>139</v>
      </c>
      <c r="K1177" s="67" t="s">
        <v>140</v>
      </c>
      <c r="L1177" s="67" t="s">
        <v>38</v>
      </c>
      <c r="M1177" s="67" t="s">
        <v>264</v>
      </c>
      <c r="N1177" s="67" t="s">
        <v>253</v>
      </c>
      <c r="O1177" s="67" t="s">
        <v>2117</v>
      </c>
      <c r="P1177" s="67" t="s">
        <v>19</v>
      </c>
      <c r="Q1177" s="192">
        <v>28.9</v>
      </c>
    </row>
    <row r="1178" spans="1:17" ht="11.1" hidden="1" customHeight="1" x14ac:dyDescent="0.2">
      <c r="A1178" s="3"/>
      <c r="B1178" s="3" t="str">
        <f ca="1">IF(A1178="В заказ",MAX($B$9:OFFSET(B1178,-1,0))+1,"")</f>
        <v/>
      </c>
      <c r="C1178" s="6" t="str">
        <f t="shared" si="36"/>
        <v>Кромка 0,8 H3700 ST10  (75 м бухта).</v>
      </c>
      <c r="D1178" s="67" t="s">
        <v>241</v>
      </c>
      <c r="E1178" s="67" t="s">
        <v>34</v>
      </c>
      <c r="F1178" s="67" t="s">
        <v>917</v>
      </c>
      <c r="G1178" s="68">
        <v>14568</v>
      </c>
      <c r="H1178" s="67" t="s">
        <v>330</v>
      </c>
      <c r="I1178" s="200"/>
      <c r="J1178" s="67" t="s">
        <v>139</v>
      </c>
      <c r="K1178" s="67" t="s">
        <v>140</v>
      </c>
      <c r="L1178" s="67" t="s">
        <v>38</v>
      </c>
      <c r="M1178" s="67" t="s">
        <v>252</v>
      </c>
      <c r="N1178" s="67" t="s">
        <v>10</v>
      </c>
      <c r="O1178" s="67" t="s">
        <v>2116</v>
      </c>
      <c r="P1178" s="67" t="s">
        <v>19</v>
      </c>
      <c r="Q1178" s="71">
        <v>35</v>
      </c>
    </row>
    <row r="1179" spans="1:17" ht="11.1" hidden="1" customHeight="1" x14ac:dyDescent="0.2">
      <c r="A1179" s="3"/>
      <c r="B1179" s="3" t="str">
        <f ca="1">IF(A1179="В заказ",MAX($B$9:OFFSET(B1179,-1,0))+1,"")</f>
        <v/>
      </c>
      <c r="C1179" s="6" t="str">
        <f t="shared" si="36"/>
        <v>Кромка 0,8 H3700 ST10  (75 м бухта).</v>
      </c>
      <c r="D1179" s="67" t="s">
        <v>241</v>
      </c>
      <c r="E1179" s="67" t="s">
        <v>34</v>
      </c>
      <c r="F1179" s="67" t="s">
        <v>918</v>
      </c>
      <c r="G1179" s="68">
        <v>24822</v>
      </c>
      <c r="H1179" s="67" t="s">
        <v>330</v>
      </c>
      <c r="I1179" s="200"/>
      <c r="J1179" s="67" t="s">
        <v>139</v>
      </c>
      <c r="K1179" s="67" t="s">
        <v>140</v>
      </c>
      <c r="L1179" s="67" t="s">
        <v>38</v>
      </c>
      <c r="M1179" s="67" t="s">
        <v>244</v>
      </c>
      <c r="N1179" s="67" t="s">
        <v>10</v>
      </c>
      <c r="O1179" s="67" t="s">
        <v>2116</v>
      </c>
      <c r="P1179" s="67" t="s">
        <v>19</v>
      </c>
      <c r="Q1179" s="192">
        <v>42.3</v>
      </c>
    </row>
    <row r="1180" spans="1:17" ht="11.1" hidden="1" customHeight="1" x14ac:dyDescent="0.2">
      <c r="A1180" s="3"/>
      <c r="B1180" s="3" t="str">
        <f ca="1">IF(A1180="В заказ",MAX($B$9:OFFSET(B1180,-1,0))+1,"")</f>
        <v/>
      </c>
      <c r="C1180" s="6" t="str">
        <f t="shared" si="36"/>
        <v>Кромка 2,0 H3700 ST10  (75 м бухта).</v>
      </c>
      <c r="D1180" s="67" t="s">
        <v>241</v>
      </c>
      <c r="E1180" s="67" t="s">
        <v>34</v>
      </c>
      <c r="F1180" s="67" t="s">
        <v>919</v>
      </c>
      <c r="G1180" s="68">
        <v>13097</v>
      </c>
      <c r="H1180" s="67" t="s">
        <v>330</v>
      </c>
      <c r="I1180" s="200"/>
      <c r="J1180" s="67" t="s">
        <v>139</v>
      </c>
      <c r="K1180" s="67" t="s">
        <v>140</v>
      </c>
      <c r="L1180" s="67" t="s">
        <v>38</v>
      </c>
      <c r="M1180" s="67" t="s">
        <v>252</v>
      </c>
      <c r="N1180" s="67" t="s">
        <v>259</v>
      </c>
      <c r="O1180" s="67" t="s">
        <v>2116</v>
      </c>
      <c r="P1180" s="67" t="s">
        <v>19</v>
      </c>
      <c r="Q1180" s="192">
        <v>62.6</v>
      </c>
    </row>
    <row r="1181" spans="1:17" ht="11.1" hidden="1" customHeight="1" x14ac:dyDescent="0.2">
      <c r="A1181" s="3"/>
      <c r="B1181" s="3" t="str">
        <f ca="1">IF(A1181="В заказ",MAX($B$9:OFFSET(B1181,-1,0))+1,"")</f>
        <v/>
      </c>
      <c r="C1181" s="6" t="str">
        <f t="shared" si="36"/>
        <v>Кромка 2,0 H3700 ST10  (75 м бухта).</v>
      </c>
      <c r="D1181" s="67" t="s">
        <v>241</v>
      </c>
      <c r="E1181" s="67" t="s">
        <v>34</v>
      </c>
      <c r="F1181" s="67" t="s">
        <v>920</v>
      </c>
      <c r="G1181" s="68">
        <v>24823</v>
      </c>
      <c r="H1181" s="67" t="s">
        <v>330</v>
      </c>
      <c r="I1181" s="200"/>
      <c r="J1181" s="67" t="s">
        <v>139</v>
      </c>
      <c r="K1181" s="67" t="s">
        <v>140</v>
      </c>
      <c r="L1181" s="67" t="s">
        <v>38</v>
      </c>
      <c r="M1181" s="67" t="s">
        <v>244</v>
      </c>
      <c r="N1181" s="67" t="s">
        <v>259</v>
      </c>
      <c r="O1181" s="67" t="s">
        <v>2116</v>
      </c>
      <c r="P1181" s="67" t="s">
        <v>19</v>
      </c>
      <c r="Q1181" s="192">
        <v>65.5</v>
      </c>
    </row>
    <row r="1182" spans="1:17" ht="11.1" hidden="1" customHeight="1" x14ac:dyDescent="0.2">
      <c r="A1182" s="3"/>
      <c r="B1182" s="3" t="str">
        <f ca="1">IF(A1182="В заказ",MAX($B$9:OFFSET(B1182,-1,0))+1,"")</f>
        <v/>
      </c>
      <c r="C1182" s="6" t="str">
        <f t="shared" si="36"/>
        <v>Кромка 2,0 H3700 ST10  (75 м бухта).</v>
      </c>
      <c r="D1182" s="67" t="s">
        <v>241</v>
      </c>
      <c r="E1182" s="67" t="s">
        <v>34</v>
      </c>
      <c r="F1182" s="67" t="s">
        <v>921</v>
      </c>
      <c r="G1182" s="68">
        <v>16100</v>
      </c>
      <c r="H1182" s="67" t="s">
        <v>330</v>
      </c>
      <c r="I1182" s="200"/>
      <c r="J1182" s="67" t="s">
        <v>139</v>
      </c>
      <c r="K1182" s="67" t="s">
        <v>140</v>
      </c>
      <c r="L1182" s="67" t="s">
        <v>38</v>
      </c>
      <c r="M1182" s="67" t="s">
        <v>264</v>
      </c>
      <c r="N1182" s="67" t="s">
        <v>259</v>
      </c>
      <c r="O1182" s="67" t="s">
        <v>2116</v>
      </c>
      <c r="P1182" s="67" t="s">
        <v>19</v>
      </c>
      <c r="Q1182" s="192">
        <v>94.1</v>
      </c>
    </row>
    <row r="1183" spans="1:17" ht="11.1" hidden="1" customHeight="1" x14ac:dyDescent="0.2">
      <c r="A1183" s="3"/>
      <c r="B1183" s="3" t="str">
        <f ca="1">IF(A1183="В заказ",MAX($B$9:OFFSET(B1183,-1,0))+1,"")</f>
        <v/>
      </c>
      <c r="C1183" s="6" t="str">
        <f t="shared" si="36"/>
        <v>Кромка 2,0 H3700 ST10 (75 м бухта).</v>
      </c>
      <c r="D1183" s="67" t="s">
        <v>241</v>
      </c>
      <c r="E1183" s="67" t="s">
        <v>34</v>
      </c>
      <c r="F1183" s="67" t="s">
        <v>922</v>
      </c>
      <c r="G1183" s="68">
        <v>13719</v>
      </c>
      <c r="H1183" s="67" t="s">
        <v>330</v>
      </c>
      <c r="I1183" s="200"/>
      <c r="J1183" s="67" t="s">
        <v>139</v>
      </c>
      <c r="K1183" s="67" t="s">
        <v>140</v>
      </c>
      <c r="L1183" s="67" t="s">
        <v>38</v>
      </c>
      <c r="M1183" s="67" t="s">
        <v>270</v>
      </c>
      <c r="N1183" s="67" t="s">
        <v>259</v>
      </c>
      <c r="O1183" s="67" t="s">
        <v>246</v>
      </c>
      <c r="P1183" s="67" t="s">
        <v>19</v>
      </c>
      <c r="Q1183" s="192">
        <v>127.6</v>
      </c>
    </row>
    <row r="1184" spans="1:17" ht="11.1" hidden="1" customHeight="1" x14ac:dyDescent="0.2">
      <c r="A1184" s="3"/>
      <c r="B1184" s="3" t="str">
        <f ca="1">IF(A1184="В заказ",MAX($B$9:OFFSET(B1184,-1,0))+1,"")</f>
        <v/>
      </c>
      <c r="C1184" s="6" t="str">
        <f t="shared" si="36"/>
        <v>Кромка 0,4 H3702 ST10  (200 м бухта).</v>
      </c>
      <c r="D1184" s="67" t="s">
        <v>241</v>
      </c>
      <c r="E1184" s="67" t="s">
        <v>34</v>
      </c>
      <c r="F1184" s="67" t="s">
        <v>923</v>
      </c>
      <c r="G1184" s="68">
        <v>6118</v>
      </c>
      <c r="H1184" s="67" t="s">
        <v>330</v>
      </c>
      <c r="I1184" s="200"/>
      <c r="J1184" s="67" t="s">
        <v>141</v>
      </c>
      <c r="K1184" s="67" t="s">
        <v>142</v>
      </c>
      <c r="L1184" s="67" t="s">
        <v>38</v>
      </c>
      <c r="M1184" s="67" t="s">
        <v>252</v>
      </c>
      <c r="N1184" s="67" t="s">
        <v>253</v>
      </c>
      <c r="O1184" s="67" t="s">
        <v>2117</v>
      </c>
      <c r="P1184" s="67" t="s">
        <v>19</v>
      </c>
      <c r="Q1184" s="192">
        <v>17.899999999999999</v>
      </c>
    </row>
    <row r="1185" spans="1:17" ht="11.1" hidden="1" customHeight="1" x14ac:dyDescent="0.2">
      <c r="A1185" s="3"/>
      <c r="B1185" s="3" t="str">
        <f ca="1">IF(A1185="В заказ",MAX($B$9:OFFSET(B1185,-1,0))+1,"")</f>
        <v/>
      </c>
      <c r="C1185" s="6" t="str">
        <f t="shared" si="36"/>
        <v>Кромка 0,4 H3702 ST10  (200 м бухта).</v>
      </c>
      <c r="D1185" s="67" t="s">
        <v>241</v>
      </c>
      <c r="E1185" s="67" t="s">
        <v>34</v>
      </c>
      <c r="F1185" s="67" t="s">
        <v>924</v>
      </c>
      <c r="G1185" s="68">
        <v>24832</v>
      </c>
      <c r="H1185" s="67" t="s">
        <v>330</v>
      </c>
      <c r="I1185" s="200"/>
      <c r="J1185" s="67" t="s">
        <v>141</v>
      </c>
      <c r="K1185" s="67" t="s">
        <v>142</v>
      </c>
      <c r="L1185" s="67" t="s">
        <v>38</v>
      </c>
      <c r="M1185" s="67" t="s">
        <v>244</v>
      </c>
      <c r="N1185" s="67" t="s">
        <v>253</v>
      </c>
      <c r="O1185" s="67" t="s">
        <v>2117</v>
      </c>
      <c r="P1185" s="67" t="s">
        <v>19</v>
      </c>
      <c r="Q1185" s="71">
        <v>22</v>
      </c>
    </row>
    <row r="1186" spans="1:17" ht="11.1" hidden="1" customHeight="1" x14ac:dyDescent="0.2">
      <c r="A1186" s="3"/>
      <c r="B1186" s="3" t="str">
        <f ca="1">IF(A1186="В заказ",MAX($B$9:OFFSET(B1186,-1,0))+1,"")</f>
        <v/>
      </c>
      <c r="C1186" s="6" t="str">
        <f t="shared" si="36"/>
        <v>Кромка 0,4 H3702 ST10  (200 м бухта).</v>
      </c>
      <c r="D1186" s="67" t="s">
        <v>241</v>
      </c>
      <c r="E1186" s="67" t="s">
        <v>34</v>
      </c>
      <c r="F1186" s="67" t="s">
        <v>925</v>
      </c>
      <c r="G1186" s="68">
        <v>10244</v>
      </c>
      <c r="H1186" s="67" t="s">
        <v>330</v>
      </c>
      <c r="I1186" s="200"/>
      <c r="J1186" s="67" t="s">
        <v>141</v>
      </c>
      <c r="K1186" s="67" t="s">
        <v>142</v>
      </c>
      <c r="L1186" s="67" t="s">
        <v>38</v>
      </c>
      <c r="M1186" s="67" t="s">
        <v>264</v>
      </c>
      <c r="N1186" s="67" t="s">
        <v>253</v>
      </c>
      <c r="O1186" s="67" t="s">
        <v>2117</v>
      </c>
      <c r="P1186" s="67" t="s">
        <v>19</v>
      </c>
      <c r="Q1186" s="192">
        <v>28.9</v>
      </c>
    </row>
    <row r="1187" spans="1:17" ht="11.1" hidden="1" customHeight="1" x14ac:dyDescent="0.2">
      <c r="A1187" s="3"/>
      <c r="B1187" s="3" t="str">
        <f ca="1">IF(A1187="В заказ",MAX($B$9:OFFSET(B1187,-1,0))+1,"")</f>
        <v/>
      </c>
      <c r="C1187" s="6" t="str">
        <f t="shared" si="36"/>
        <v>Кромка 0,8 H3702 ST10  (75 м бухта).</v>
      </c>
      <c r="D1187" s="67" t="s">
        <v>241</v>
      </c>
      <c r="E1187" s="67" t="s">
        <v>34</v>
      </c>
      <c r="F1187" s="67" t="s">
        <v>926</v>
      </c>
      <c r="G1187" s="68">
        <v>15410</v>
      </c>
      <c r="H1187" s="67" t="s">
        <v>330</v>
      </c>
      <c r="I1187" s="200"/>
      <c r="J1187" s="67" t="s">
        <v>141</v>
      </c>
      <c r="K1187" s="67" t="s">
        <v>142</v>
      </c>
      <c r="L1187" s="67" t="s">
        <v>38</v>
      </c>
      <c r="M1187" s="67" t="s">
        <v>252</v>
      </c>
      <c r="N1187" s="67" t="s">
        <v>10</v>
      </c>
      <c r="O1187" s="67" t="s">
        <v>2116</v>
      </c>
      <c r="P1187" s="67" t="s">
        <v>19</v>
      </c>
      <c r="Q1187" s="71">
        <v>35</v>
      </c>
    </row>
    <row r="1188" spans="1:17" ht="11.1" hidden="1" customHeight="1" x14ac:dyDescent="0.2">
      <c r="A1188" s="3"/>
      <c r="B1188" s="3" t="str">
        <f ca="1">IF(A1188="В заказ",MAX($B$9:OFFSET(B1188,-1,0))+1,"")</f>
        <v/>
      </c>
      <c r="C1188" s="6" t="str">
        <f t="shared" si="36"/>
        <v>Кромка 0,8 H3702 ST10  (75 м бухта).</v>
      </c>
      <c r="D1188" s="67" t="s">
        <v>241</v>
      </c>
      <c r="E1188" s="67" t="s">
        <v>34</v>
      </c>
      <c r="F1188" s="67" t="s">
        <v>927</v>
      </c>
      <c r="G1188" s="68">
        <v>18895</v>
      </c>
      <c r="H1188" s="67" t="s">
        <v>330</v>
      </c>
      <c r="I1188" s="200"/>
      <c r="J1188" s="67" t="s">
        <v>141</v>
      </c>
      <c r="K1188" s="67" t="s">
        <v>142</v>
      </c>
      <c r="L1188" s="67" t="s">
        <v>38</v>
      </c>
      <c r="M1188" s="67" t="s">
        <v>244</v>
      </c>
      <c r="N1188" s="67" t="s">
        <v>10</v>
      </c>
      <c r="O1188" s="67" t="s">
        <v>2116</v>
      </c>
      <c r="P1188" s="67" t="s">
        <v>19</v>
      </c>
      <c r="Q1188" s="192">
        <v>42.3</v>
      </c>
    </row>
    <row r="1189" spans="1:17" ht="11.1" hidden="1" customHeight="1" x14ac:dyDescent="0.2">
      <c r="A1189" s="3"/>
      <c r="B1189" s="3" t="str">
        <f ca="1">IF(A1189="В заказ",MAX($B$9:OFFSET(B1189,-1,0))+1,"")</f>
        <v/>
      </c>
      <c r="C1189" s="6" t="str">
        <f t="shared" si="36"/>
        <v>Кромка 2,0 H3702 ST10  (75 м бухта).</v>
      </c>
      <c r="D1189" s="67" t="s">
        <v>241</v>
      </c>
      <c r="E1189" s="67" t="s">
        <v>34</v>
      </c>
      <c r="F1189" s="67" t="s">
        <v>928</v>
      </c>
      <c r="G1189" s="68">
        <v>6117</v>
      </c>
      <c r="H1189" s="67" t="s">
        <v>330</v>
      </c>
      <c r="I1189" s="200"/>
      <c r="J1189" s="67" t="s">
        <v>141</v>
      </c>
      <c r="K1189" s="67" t="s">
        <v>142</v>
      </c>
      <c r="L1189" s="67" t="s">
        <v>38</v>
      </c>
      <c r="M1189" s="67" t="s">
        <v>252</v>
      </c>
      <c r="N1189" s="67" t="s">
        <v>259</v>
      </c>
      <c r="O1189" s="67" t="s">
        <v>2116</v>
      </c>
      <c r="P1189" s="67" t="s">
        <v>19</v>
      </c>
      <c r="Q1189" s="192">
        <v>62.6</v>
      </c>
    </row>
    <row r="1190" spans="1:17" ht="11.1" hidden="1" customHeight="1" x14ac:dyDescent="0.2">
      <c r="A1190" s="3"/>
      <c r="B1190" s="3" t="str">
        <f ca="1">IF(A1190="В заказ",MAX($B$9:OFFSET(B1190,-1,0))+1,"")</f>
        <v/>
      </c>
      <c r="C1190" s="6" t="str">
        <f t="shared" si="36"/>
        <v>Кромка 2,0 H3702 ST10  (75 м бухта).</v>
      </c>
      <c r="D1190" s="67" t="s">
        <v>241</v>
      </c>
      <c r="E1190" s="67" t="s">
        <v>34</v>
      </c>
      <c r="F1190" s="67" t="s">
        <v>929</v>
      </c>
      <c r="G1190" s="68">
        <v>24833</v>
      </c>
      <c r="H1190" s="67" t="s">
        <v>330</v>
      </c>
      <c r="I1190" s="200"/>
      <c r="J1190" s="67" t="s">
        <v>141</v>
      </c>
      <c r="K1190" s="67" t="s">
        <v>142</v>
      </c>
      <c r="L1190" s="67" t="s">
        <v>38</v>
      </c>
      <c r="M1190" s="67" t="s">
        <v>244</v>
      </c>
      <c r="N1190" s="67" t="s">
        <v>259</v>
      </c>
      <c r="O1190" s="67" t="s">
        <v>2116</v>
      </c>
      <c r="P1190" s="67" t="s">
        <v>19</v>
      </c>
      <c r="Q1190" s="192">
        <v>65.5</v>
      </c>
    </row>
    <row r="1191" spans="1:17" ht="11.1" hidden="1" customHeight="1" x14ac:dyDescent="0.2">
      <c r="A1191" s="3"/>
      <c r="B1191" s="3" t="str">
        <f ca="1">IF(A1191="В заказ",MAX($B$9:OFFSET(B1191,-1,0))+1,"")</f>
        <v/>
      </c>
      <c r="C1191" s="6" t="str">
        <f t="shared" si="36"/>
        <v>Кромка 2,0 H3702 ST10  (75 м бухта).</v>
      </c>
      <c r="D1191" s="67" t="s">
        <v>241</v>
      </c>
      <c r="E1191" s="67" t="s">
        <v>34</v>
      </c>
      <c r="F1191" s="67" t="s">
        <v>930</v>
      </c>
      <c r="G1191" s="68">
        <v>10243</v>
      </c>
      <c r="H1191" s="67" t="s">
        <v>330</v>
      </c>
      <c r="I1191" s="200"/>
      <c r="J1191" s="67" t="s">
        <v>141</v>
      </c>
      <c r="K1191" s="67" t="s">
        <v>142</v>
      </c>
      <c r="L1191" s="67" t="s">
        <v>38</v>
      </c>
      <c r="M1191" s="67" t="s">
        <v>264</v>
      </c>
      <c r="N1191" s="67" t="s">
        <v>259</v>
      </c>
      <c r="O1191" s="67" t="s">
        <v>2116</v>
      </c>
      <c r="P1191" s="67" t="s">
        <v>19</v>
      </c>
      <c r="Q1191" s="192">
        <v>94.1</v>
      </c>
    </row>
    <row r="1192" spans="1:17" ht="11.1" hidden="1" customHeight="1" x14ac:dyDescent="0.2">
      <c r="A1192" s="3"/>
      <c r="B1192" s="3" t="str">
        <f ca="1">IF(A1192="В заказ",MAX($B$9:OFFSET(B1192,-1,0))+1,"")</f>
        <v/>
      </c>
      <c r="C1192" s="6" t="str">
        <f t="shared" si="36"/>
        <v>Кромка 2,0 H3702 ST10  (75 м бухта).</v>
      </c>
      <c r="D1192" s="67" t="s">
        <v>241</v>
      </c>
      <c r="E1192" s="67" t="s">
        <v>34</v>
      </c>
      <c r="F1192" s="67" t="s">
        <v>931</v>
      </c>
      <c r="G1192" s="68">
        <v>10242</v>
      </c>
      <c r="H1192" s="67" t="s">
        <v>330</v>
      </c>
      <c r="I1192" s="200"/>
      <c r="J1192" s="67" t="s">
        <v>141</v>
      </c>
      <c r="K1192" s="67" t="s">
        <v>142</v>
      </c>
      <c r="L1192" s="67" t="s">
        <v>38</v>
      </c>
      <c r="M1192" s="67" t="s">
        <v>270</v>
      </c>
      <c r="N1192" s="67" t="s">
        <v>259</v>
      </c>
      <c r="O1192" s="67" t="s">
        <v>2116</v>
      </c>
      <c r="P1192" s="67" t="s">
        <v>19</v>
      </c>
      <c r="Q1192" s="192">
        <v>127.6</v>
      </c>
    </row>
    <row r="1193" spans="1:17" ht="11.1" hidden="1" customHeight="1" x14ac:dyDescent="0.2">
      <c r="A1193" s="3"/>
      <c r="B1193" s="3" t="str">
        <f ca="1">IF(A1193="В заказ",MAX($B$9:OFFSET(B1193,-1,0))+1,"")</f>
        <v/>
      </c>
      <c r="C1193" s="6" t="str">
        <f t="shared" si="36"/>
        <v>Кромка 0,4 H3710 ST12  (200 м бухта).</v>
      </c>
      <c r="D1193" s="67" t="s">
        <v>241</v>
      </c>
      <c r="E1193" s="67" t="s">
        <v>34</v>
      </c>
      <c r="F1193" s="67" t="s">
        <v>932</v>
      </c>
      <c r="G1193" s="68">
        <v>22192</v>
      </c>
      <c r="H1193" s="67" t="s">
        <v>330</v>
      </c>
      <c r="I1193" s="200"/>
      <c r="J1193" s="67" t="s">
        <v>933</v>
      </c>
      <c r="K1193" s="67" t="s">
        <v>934</v>
      </c>
      <c r="L1193" s="67" t="s">
        <v>41</v>
      </c>
      <c r="M1193" s="67" t="s">
        <v>252</v>
      </c>
      <c r="N1193" s="67" t="s">
        <v>253</v>
      </c>
      <c r="O1193" s="67" t="s">
        <v>2117</v>
      </c>
      <c r="P1193" s="67" t="s">
        <v>19</v>
      </c>
      <c r="Q1193" s="192">
        <v>17.899999999999999</v>
      </c>
    </row>
    <row r="1194" spans="1:17" ht="11.1" hidden="1" customHeight="1" x14ac:dyDescent="0.2">
      <c r="A1194" s="3"/>
      <c r="B1194" s="3" t="str">
        <f ca="1">IF(A1194="В заказ",MAX($B$9:OFFSET(B1194,-1,0))+1,"")</f>
        <v/>
      </c>
      <c r="C1194" s="6" t="str">
        <f t="shared" si="36"/>
        <v>Кромка 0,4 H3710 ST12  (200 м бухта).</v>
      </c>
      <c r="D1194" s="67" t="s">
        <v>241</v>
      </c>
      <c r="E1194" s="67" t="s">
        <v>34</v>
      </c>
      <c r="F1194" s="67" t="s">
        <v>935</v>
      </c>
      <c r="G1194" s="68">
        <v>24827</v>
      </c>
      <c r="H1194" s="67" t="s">
        <v>330</v>
      </c>
      <c r="I1194" s="200"/>
      <c r="J1194" s="67" t="s">
        <v>933</v>
      </c>
      <c r="K1194" s="67" t="s">
        <v>934</v>
      </c>
      <c r="L1194" s="67" t="s">
        <v>41</v>
      </c>
      <c r="M1194" s="67" t="s">
        <v>244</v>
      </c>
      <c r="N1194" s="67" t="s">
        <v>253</v>
      </c>
      <c r="O1194" s="67" t="s">
        <v>2117</v>
      </c>
      <c r="P1194" s="67" t="s">
        <v>19</v>
      </c>
      <c r="Q1194" s="71">
        <v>22</v>
      </c>
    </row>
    <row r="1195" spans="1:17" ht="11.1" hidden="1" customHeight="1" x14ac:dyDescent="0.2">
      <c r="A1195" s="3"/>
      <c r="B1195" s="3" t="str">
        <f ca="1">IF(A1195="В заказ",MAX($B$9:OFFSET(B1195,-1,0))+1,"")</f>
        <v/>
      </c>
      <c r="C1195" s="6" t="str">
        <f t="shared" si="36"/>
        <v>Кромка 0,4 H3710 ST12  (200 м бухта).</v>
      </c>
      <c r="D1195" s="67" t="s">
        <v>241</v>
      </c>
      <c r="E1195" s="67" t="s">
        <v>34</v>
      </c>
      <c r="F1195" s="67" t="s">
        <v>936</v>
      </c>
      <c r="G1195" s="68">
        <v>22519</v>
      </c>
      <c r="H1195" s="67" t="s">
        <v>330</v>
      </c>
      <c r="I1195" s="200"/>
      <c r="J1195" s="67" t="s">
        <v>933</v>
      </c>
      <c r="K1195" s="67" t="s">
        <v>934</v>
      </c>
      <c r="L1195" s="67" t="s">
        <v>41</v>
      </c>
      <c r="M1195" s="67" t="s">
        <v>264</v>
      </c>
      <c r="N1195" s="67" t="s">
        <v>253</v>
      </c>
      <c r="O1195" s="67" t="s">
        <v>2117</v>
      </c>
      <c r="P1195" s="67" t="s">
        <v>19</v>
      </c>
      <c r="Q1195" s="192">
        <v>28.9</v>
      </c>
    </row>
    <row r="1196" spans="1:17" ht="11.1" hidden="1" customHeight="1" x14ac:dyDescent="0.2">
      <c r="A1196" s="3"/>
      <c r="B1196" s="3" t="str">
        <f ca="1">IF(A1196="В заказ",MAX($B$9:OFFSET(B1196,-1,0))+1,"")</f>
        <v/>
      </c>
      <c r="C1196" s="6" t="str">
        <f t="shared" si="36"/>
        <v>Кромка 0,8 H3710 ST12  (75 м бухта).</v>
      </c>
      <c r="D1196" s="67" t="s">
        <v>241</v>
      </c>
      <c r="E1196" s="67" t="s">
        <v>34</v>
      </c>
      <c r="F1196" s="67" t="s">
        <v>937</v>
      </c>
      <c r="G1196" s="68">
        <v>22618</v>
      </c>
      <c r="H1196" s="67" t="s">
        <v>330</v>
      </c>
      <c r="I1196" s="200"/>
      <c r="J1196" s="67" t="s">
        <v>933</v>
      </c>
      <c r="K1196" s="67" t="s">
        <v>934</v>
      </c>
      <c r="L1196" s="67" t="s">
        <v>41</v>
      </c>
      <c r="M1196" s="67" t="s">
        <v>252</v>
      </c>
      <c r="N1196" s="67" t="s">
        <v>10</v>
      </c>
      <c r="O1196" s="67" t="s">
        <v>2116</v>
      </c>
      <c r="P1196" s="67" t="s">
        <v>19</v>
      </c>
      <c r="Q1196" s="71">
        <v>35</v>
      </c>
    </row>
    <row r="1197" spans="1:17" ht="11.1" hidden="1" customHeight="1" x14ac:dyDescent="0.2">
      <c r="A1197" s="3"/>
      <c r="B1197" s="3" t="str">
        <f ca="1">IF(A1197="В заказ",MAX($B$9:OFFSET(B1197,-1,0))+1,"")</f>
        <v/>
      </c>
      <c r="C1197" s="6" t="str">
        <f t="shared" si="36"/>
        <v>Кромка 0,8 H3710 ST12  (75 м бухта).</v>
      </c>
      <c r="D1197" s="67" t="s">
        <v>241</v>
      </c>
      <c r="E1197" s="67" t="s">
        <v>34</v>
      </c>
      <c r="F1197" s="67" t="s">
        <v>938</v>
      </c>
      <c r="G1197" s="68">
        <v>22906</v>
      </c>
      <c r="H1197" s="67" t="s">
        <v>330</v>
      </c>
      <c r="I1197" s="200"/>
      <c r="J1197" s="67" t="s">
        <v>933</v>
      </c>
      <c r="K1197" s="67" t="s">
        <v>934</v>
      </c>
      <c r="L1197" s="67" t="s">
        <v>41</v>
      </c>
      <c r="M1197" s="67" t="s">
        <v>244</v>
      </c>
      <c r="N1197" s="67" t="s">
        <v>10</v>
      </c>
      <c r="O1197" s="67" t="s">
        <v>2116</v>
      </c>
      <c r="P1197" s="67" t="s">
        <v>19</v>
      </c>
      <c r="Q1197" s="192">
        <v>42.3</v>
      </c>
    </row>
    <row r="1198" spans="1:17" ht="11.1" hidden="1" customHeight="1" x14ac:dyDescent="0.2">
      <c r="A1198" s="3"/>
      <c r="B1198" s="3" t="str">
        <f ca="1">IF(A1198="В заказ",MAX($B$9:OFFSET(B1198,-1,0))+1,"")</f>
        <v/>
      </c>
      <c r="C1198" s="6" t="str">
        <f t="shared" si="36"/>
        <v>Кромка 2,0 H3710 ST12  (75 м бухта).</v>
      </c>
      <c r="D1198" s="67" t="s">
        <v>241</v>
      </c>
      <c r="E1198" s="67" t="s">
        <v>34</v>
      </c>
      <c r="F1198" s="67" t="s">
        <v>939</v>
      </c>
      <c r="G1198" s="68">
        <v>22193</v>
      </c>
      <c r="H1198" s="67" t="s">
        <v>330</v>
      </c>
      <c r="I1198" s="200"/>
      <c r="J1198" s="67" t="s">
        <v>933</v>
      </c>
      <c r="K1198" s="67" t="s">
        <v>934</v>
      </c>
      <c r="L1198" s="67" t="s">
        <v>41</v>
      </c>
      <c r="M1198" s="67" t="s">
        <v>252</v>
      </c>
      <c r="N1198" s="67" t="s">
        <v>259</v>
      </c>
      <c r="O1198" s="67" t="s">
        <v>2116</v>
      </c>
      <c r="P1198" s="67" t="s">
        <v>19</v>
      </c>
      <c r="Q1198" s="192">
        <v>62.6</v>
      </c>
    </row>
    <row r="1199" spans="1:17" ht="11.1" hidden="1" customHeight="1" x14ac:dyDescent="0.2">
      <c r="A1199" s="3"/>
      <c r="B1199" s="3" t="str">
        <f ca="1">IF(A1199="В заказ",MAX($B$9:OFFSET(B1199,-1,0))+1,"")</f>
        <v/>
      </c>
      <c r="C1199" s="6" t="str">
        <f t="shared" si="36"/>
        <v>Кромка 2,0 H3710 ST12  (75 м бухта).</v>
      </c>
      <c r="D1199" s="67" t="s">
        <v>241</v>
      </c>
      <c r="E1199" s="67" t="s">
        <v>34</v>
      </c>
      <c r="F1199" s="67" t="s">
        <v>940</v>
      </c>
      <c r="G1199" s="68">
        <v>22202</v>
      </c>
      <c r="H1199" s="67" t="s">
        <v>330</v>
      </c>
      <c r="I1199" s="200"/>
      <c r="J1199" s="67" t="s">
        <v>933</v>
      </c>
      <c r="K1199" s="67" t="s">
        <v>934</v>
      </c>
      <c r="L1199" s="67" t="s">
        <v>41</v>
      </c>
      <c r="M1199" s="67" t="s">
        <v>244</v>
      </c>
      <c r="N1199" s="67" t="s">
        <v>259</v>
      </c>
      <c r="O1199" s="67" t="s">
        <v>2116</v>
      </c>
      <c r="P1199" s="67" t="s">
        <v>19</v>
      </c>
      <c r="Q1199" s="192">
        <v>65.5</v>
      </c>
    </row>
    <row r="1200" spans="1:17" ht="11.1" hidden="1" customHeight="1" x14ac:dyDescent="0.2">
      <c r="A1200" s="3"/>
      <c r="B1200" s="3" t="str">
        <f ca="1">IF(A1200="В заказ",MAX($B$9:OFFSET(B1200,-1,0))+1,"")</f>
        <v/>
      </c>
      <c r="C1200" s="6" t="str">
        <f t="shared" si="36"/>
        <v>Кромка 2,0 H3710 ST12  (75 м бухта).</v>
      </c>
      <c r="D1200" s="67" t="s">
        <v>241</v>
      </c>
      <c r="E1200" s="67" t="s">
        <v>34</v>
      </c>
      <c r="F1200" s="67" t="s">
        <v>941</v>
      </c>
      <c r="G1200" s="68">
        <v>22517</v>
      </c>
      <c r="H1200" s="67" t="s">
        <v>330</v>
      </c>
      <c r="I1200" s="200"/>
      <c r="J1200" s="67" t="s">
        <v>933</v>
      </c>
      <c r="K1200" s="67" t="s">
        <v>934</v>
      </c>
      <c r="L1200" s="67" t="s">
        <v>41</v>
      </c>
      <c r="M1200" s="67" t="s">
        <v>264</v>
      </c>
      <c r="N1200" s="67" t="s">
        <v>259</v>
      </c>
      <c r="O1200" s="67" t="s">
        <v>2116</v>
      </c>
      <c r="P1200" s="67" t="s">
        <v>19</v>
      </c>
      <c r="Q1200" s="192">
        <v>94.1</v>
      </c>
    </row>
    <row r="1201" spans="1:17" ht="11.1" hidden="1" customHeight="1" x14ac:dyDescent="0.2">
      <c r="A1201" s="3"/>
      <c r="B1201" s="3" t="str">
        <f ca="1">IF(A1201="В заказ",MAX($B$9:OFFSET(B1201,-1,0))+1,"")</f>
        <v/>
      </c>
      <c r="C1201" s="6" t="str">
        <f t="shared" si="36"/>
        <v>Кромка 2,0 H3710 ST12  (75 м бухта).</v>
      </c>
      <c r="D1201" s="67" t="s">
        <v>241</v>
      </c>
      <c r="E1201" s="67" t="s">
        <v>34</v>
      </c>
      <c r="F1201" s="67" t="s">
        <v>2149</v>
      </c>
      <c r="G1201" s="68">
        <v>23133</v>
      </c>
      <c r="H1201" s="67" t="s">
        <v>330</v>
      </c>
      <c r="I1201" s="200"/>
      <c r="J1201" s="67" t="s">
        <v>933</v>
      </c>
      <c r="K1201" s="67" t="s">
        <v>934</v>
      </c>
      <c r="L1201" s="67" t="s">
        <v>41</v>
      </c>
      <c r="M1201" s="67" t="s">
        <v>270</v>
      </c>
      <c r="N1201" s="67" t="s">
        <v>259</v>
      </c>
      <c r="O1201" s="67" t="s">
        <v>2116</v>
      </c>
      <c r="P1201" s="67" t="s">
        <v>19</v>
      </c>
      <c r="Q1201" s="192">
        <v>127.6</v>
      </c>
    </row>
    <row r="1202" spans="1:17" ht="11.1" hidden="1" customHeight="1" x14ac:dyDescent="0.2">
      <c r="A1202" s="3"/>
      <c r="B1202" s="3" t="str">
        <f ca="1">IF(A1202="В заказ",MAX($B$9:OFFSET(B1202,-1,0))+1,"")</f>
        <v/>
      </c>
      <c r="C1202" s="6" t="str">
        <f t="shared" si="36"/>
        <v>Кромка 0,4 H3730 ST10  (200 м бухта).</v>
      </c>
      <c r="D1202" s="67" t="s">
        <v>241</v>
      </c>
      <c r="E1202" s="67" t="s">
        <v>34</v>
      </c>
      <c r="F1202" s="67" t="s">
        <v>942</v>
      </c>
      <c r="G1202" s="68">
        <v>13660</v>
      </c>
      <c r="H1202" s="67" t="s">
        <v>330</v>
      </c>
      <c r="I1202" s="200"/>
      <c r="J1202" s="67" t="s">
        <v>143</v>
      </c>
      <c r="K1202" s="67" t="s">
        <v>144</v>
      </c>
      <c r="L1202" s="67" t="s">
        <v>38</v>
      </c>
      <c r="M1202" s="67" t="s">
        <v>252</v>
      </c>
      <c r="N1202" s="67" t="s">
        <v>253</v>
      </c>
      <c r="O1202" s="67" t="s">
        <v>2117</v>
      </c>
      <c r="P1202" s="67" t="s">
        <v>19</v>
      </c>
      <c r="Q1202" s="192">
        <v>17.899999999999999</v>
      </c>
    </row>
    <row r="1203" spans="1:17" ht="11.1" hidden="1" customHeight="1" x14ac:dyDescent="0.2">
      <c r="A1203" s="3"/>
      <c r="B1203" s="3" t="str">
        <f ca="1">IF(A1203="В заказ",MAX($B$9:OFFSET(B1203,-1,0))+1,"")</f>
        <v/>
      </c>
      <c r="C1203" s="6" t="str">
        <f t="shared" si="36"/>
        <v>Кромка 0,4 H3730 ST10  (200 м бухта).</v>
      </c>
      <c r="D1203" s="67" t="s">
        <v>241</v>
      </c>
      <c r="E1203" s="67" t="s">
        <v>34</v>
      </c>
      <c r="F1203" s="67" t="s">
        <v>943</v>
      </c>
      <c r="G1203" s="68">
        <v>24820</v>
      </c>
      <c r="H1203" s="67" t="s">
        <v>330</v>
      </c>
      <c r="I1203" s="200"/>
      <c r="J1203" s="67" t="s">
        <v>143</v>
      </c>
      <c r="K1203" s="67" t="s">
        <v>144</v>
      </c>
      <c r="L1203" s="67" t="s">
        <v>38</v>
      </c>
      <c r="M1203" s="67" t="s">
        <v>244</v>
      </c>
      <c r="N1203" s="67" t="s">
        <v>253</v>
      </c>
      <c r="O1203" s="67" t="s">
        <v>2117</v>
      </c>
      <c r="P1203" s="67" t="s">
        <v>19</v>
      </c>
      <c r="Q1203" s="71">
        <v>22</v>
      </c>
    </row>
    <row r="1204" spans="1:17" ht="11.1" hidden="1" customHeight="1" x14ac:dyDescent="0.2">
      <c r="A1204" s="3"/>
      <c r="B1204" s="3" t="str">
        <f ca="1">IF(A1204="В заказ",MAX($B$9:OFFSET(B1204,-1,0))+1,"")</f>
        <v/>
      </c>
      <c r="C1204" s="6" t="str">
        <f t="shared" si="36"/>
        <v>Кромка 0,4 H3730 ST10  (200 м бухта).</v>
      </c>
      <c r="D1204" s="67" t="s">
        <v>241</v>
      </c>
      <c r="E1204" s="67" t="s">
        <v>34</v>
      </c>
      <c r="F1204" s="67" t="s">
        <v>944</v>
      </c>
      <c r="G1204" s="68">
        <v>16845</v>
      </c>
      <c r="H1204" s="67" t="s">
        <v>330</v>
      </c>
      <c r="I1204" s="200"/>
      <c r="J1204" s="67" t="s">
        <v>143</v>
      </c>
      <c r="K1204" s="67" t="s">
        <v>144</v>
      </c>
      <c r="L1204" s="67" t="s">
        <v>38</v>
      </c>
      <c r="M1204" s="67" t="s">
        <v>264</v>
      </c>
      <c r="N1204" s="67" t="s">
        <v>253</v>
      </c>
      <c r="O1204" s="67" t="s">
        <v>2117</v>
      </c>
      <c r="P1204" s="67" t="s">
        <v>19</v>
      </c>
      <c r="Q1204" s="192">
        <v>28.9</v>
      </c>
    </row>
    <row r="1205" spans="1:17" ht="11.1" hidden="1" customHeight="1" x14ac:dyDescent="0.2">
      <c r="A1205" s="3"/>
      <c r="B1205" s="3" t="str">
        <f ca="1">IF(A1205="В заказ",MAX($B$9:OFFSET(B1205,-1,0))+1,"")</f>
        <v/>
      </c>
      <c r="C1205" s="6" t="str">
        <f t="shared" si="36"/>
        <v>Кромка 0,8 H3730 ST10  (75 м бухта).</v>
      </c>
      <c r="D1205" s="67" t="s">
        <v>241</v>
      </c>
      <c r="E1205" s="67" t="s">
        <v>34</v>
      </c>
      <c r="F1205" s="67" t="s">
        <v>945</v>
      </c>
      <c r="G1205" s="68">
        <v>16846</v>
      </c>
      <c r="H1205" s="67" t="s">
        <v>330</v>
      </c>
      <c r="I1205" s="200"/>
      <c r="J1205" s="67" t="s">
        <v>143</v>
      </c>
      <c r="K1205" s="67" t="s">
        <v>144</v>
      </c>
      <c r="L1205" s="67" t="s">
        <v>38</v>
      </c>
      <c r="M1205" s="67" t="s">
        <v>252</v>
      </c>
      <c r="N1205" s="67" t="s">
        <v>10</v>
      </c>
      <c r="O1205" s="67" t="s">
        <v>2116</v>
      </c>
      <c r="P1205" s="67" t="s">
        <v>19</v>
      </c>
      <c r="Q1205" s="71">
        <v>35</v>
      </c>
    </row>
    <row r="1206" spans="1:17" ht="11.1" hidden="1" customHeight="1" x14ac:dyDescent="0.2">
      <c r="A1206" s="3"/>
      <c r="B1206" s="3" t="str">
        <f ca="1">IF(A1206="В заказ",MAX($B$9:OFFSET(B1206,-1,0))+1,"")</f>
        <v/>
      </c>
      <c r="C1206" s="6" t="str">
        <f t="shared" ref="C1206:C1269" si="37">D1206&amp;" "&amp;N1206&amp;" "&amp;IF(OR(D1206="ДСП",D1206="МДФ",D1206="Фанера",D1206="ХДФ"),M1206,J1206)&amp;" "&amp;IF(OR(D1206="ДСП",D1206="МДФ",D1206="Фанера",D1206="ХДФ"),O1206,L1206)&amp;" "&amp;IF(OR(D1206="ДСП",D1206="МДФ",D1206="Фанера",D1206="ХДФ"),"",IF(D1206="БСП",M1206,O1206))&amp;"."</f>
        <v>Кромка 0,8 H3730 ST10  (75 м бухта).</v>
      </c>
      <c r="D1206" s="67" t="s">
        <v>241</v>
      </c>
      <c r="E1206" s="67" t="s">
        <v>34</v>
      </c>
      <c r="F1206" s="67" t="s">
        <v>946</v>
      </c>
      <c r="G1206" s="68">
        <v>24312</v>
      </c>
      <c r="H1206" s="67" t="s">
        <v>330</v>
      </c>
      <c r="I1206" s="200"/>
      <c r="J1206" s="67" t="s">
        <v>143</v>
      </c>
      <c r="K1206" s="67" t="s">
        <v>144</v>
      </c>
      <c r="L1206" s="67" t="s">
        <v>38</v>
      </c>
      <c r="M1206" s="67" t="s">
        <v>244</v>
      </c>
      <c r="N1206" s="67" t="s">
        <v>10</v>
      </c>
      <c r="O1206" s="67" t="s">
        <v>2116</v>
      </c>
      <c r="P1206" s="67" t="s">
        <v>19</v>
      </c>
      <c r="Q1206" s="192">
        <v>42.3</v>
      </c>
    </row>
    <row r="1207" spans="1:17" ht="11.1" hidden="1" customHeight="1" x14ac:dyDescent="0.2">
      <c r="A1207" s="3"/>
      <c r="B1207" s="3" t="str">
        <f ca="1">IF(A1207="В заказ",MAX($B$9:OFFSET(B1207,-1,0))+1,"")</f>
        <v/>
      </c>
      <c r="C1207" s="6" t="str">
        <f t="shared" si="37"/>
        <v>Кромка 2,0 H3730 ST10  (75 м бухта).</v>
      </c>
      <c r="D1207" s="67" t="s">
        <v>241</v>
      </c>
      <c r="E1207" s="67" t="s">
        <v>34</v>
      </c>
      <c r="F1207" s="67" t="s">
        <v>947</v>
      </c>
      <c r="G1207" s="68">
        <v>13661</v>
      </c>
      <c r="H1207" s="67" t="s">
        <v>330</v>
      </c>
      <c r="I1207" s="200"/>
      <c r="J1207" s="67" t="s">
        <v>143</v>
      </c>
      <c r="K1207" s="67" t="s">
        <v>144</v>
      </c>
      <c r="L1207" s="67" t="s">
        <v>38</v>
      </c>
      <c r="M1207" s="67" t="s">
        <v>252</v>
      </c>
      <c r="N1207" s="67" t="s">
        <v>259</v>
      </c>
      <c r="O1207" s="67" t="s">
        <v>2116</v>
      </c>
      <c r="P1207" s="67" t="s">
        <v>19</v>
      </c>
      <c r="Q1207" s="192">
        <v>62.6</v>
      </c>
    </row>
    <row r="1208" spans="1:17" ht="11.1" hidden="1" customHeight="1" x14ac:dyDescent="0.2">
      <c r="A1208" s="3"/>
      <c r="B1208" s="3" t="str">
        <f ca="1">IF(A1208="В заказ",MAX($B$9:OFFSET(B1208,-1,0))+1,"")</f>
        <v/>
      </c>
      <c r="C1208" s="6" t="str">
        <f t="shared" si="37"/>
        <v>Кромка 2,0 H3730 ST10  (75 м бухта).</v>
      </c>
      <c r="D1208" s="67" t="s">
        <v>241</v>
      </c>
      <c r="E1208" s="67" t="s">
        <v>34</v>
      </c>
      <c r="F1208" s="67" t="s">
        <v>948</v>
      </c>
      <c r="G1208" s="68">
        <v>14735</v>
      </c>
      <c r="H1208" s="67" t="s">
        <v>330</v>
      </c>
      <c r="I1208" s="200"/>
      <c r="J1208" s="67" t="s">
        <v>143</v>
      </c>
      <c r="K1208" s="67" t="s">
        <v>144</v>
      </c>
      <c r="L1208" s="67" t="s">
        <v>38</v>
      </c>
      <c r="M1208" s="67" t="s">
        <v>244</v>
      </c>
      <c r="N1208" s="67" t="s">
        <v>259</v>
      </c>
      <c r="O1208" s="67" t="s">
        <v>2116</v>
      </c>
      <c r="P1208" s="67" t="s">
        <v>19</v>
      </c>
      <c r="Q1208" s="192">
        <v>65.5</v>
      </c>
    </row>
    <row r="1209" spans="1:17" ht="11.1" hidden="1" customHeight="1" x14ac:dyDescent="0.2">
      <c r="A1209" s="3"/>
      <c r="B1209" s="3" t="str">
        <f ca="1">IF(A1209="В заказ",MAX($B$9:OFFSET(B1209,-1,0))+1,"")</f>
        <v/>
      </c>
      <c r="C1209" s="6" t="str">
        <f t="shared" si="37"/>
        <v>Кромка 2,0 H3730 ST10  (75 м бухта).</v>
      </c>
      <c r="D1209" s="67" t="s">
        <v>241</v>
      </c>
      <c r="E1209" s="67" t="s">
        <v>34</v>
      </c>
      <c r="F1209" s="67" t="s">
        <v>949</v>
      </c>
      <c r="G1209" s="68">
        <v>14085</v>
      </c>
      <c r="H1209" s="67" t="s">
        <v>330</v>
      </c>
      <c r="I1209" s="200"/>
      <c r="J1209" s="67" t="s">
        <v>143</v>
      </c>
      <c r="K1209" s="67" t="s">
        <v>144</v>
      </c>
      <c r="L1209" s="67" t="s">
        <v>38</v>
      </c>
      <c r="M1209" s="67" t="s">
        <v>264</v>
      </c>
      <c r="N1209" s="67" t="s">
        <v>259</v>
      </c>
      <c r="O1209" s="67" t="s">
        <v>2116</v>
      </c>
      <c r="P1209" s="67" t="s">
        <v>19</v>
      </c>
      <c r="Q1209" s="192">
        <v>94.1</v>
      </c>
    </row>
    <row r="1210" spans="1:17" ht="11.1" hidden="1" customHeight="1" x14ac:dyDescent="0.2">
      <c r="A1210" s="3"/>
      <c r="B1210" s="3" t="str">
        <f ca="1">IF(A1210="В заказ",MAX($B$9:OFFSET(B1210,-1,0))+1,"")</f>
        <v/>
      </c>
      <c r="C1210" s="6" t="str">
        <f t="shared" si="37"/>
        <v>Кромка 2,0 H3730 ST10  (75 м бухта).</v>
      </c>
      <c r="D1210" s="67" t="s">
        <v>241</v>
      </c>
      <c r="E1210" s="67" t="s">
        <v>34</v>
      </c>
      <c r="F1210" s="67" t="s">
        <v>950</v>
      </c>
      <c r="G1210" s="68">
        <v>14700</v>
      </c>
      <c r="H1210" s="67" t="s">
        <v>330</v>
      </c>
      <c r="I1210" s="200"/>
      <c r="J1210" s="67" t="s">
        <v>143</v>
      </c>
      <c r="K1210" s="67" t="s">
        <v>144</v>
      </c>
      <c r="L1210" s="67" t="s">
        <v>38</v>
      </c>
      <c r="M1210" s="67" t="s">
        <v>270</v>
      </c>
      <c r="N1210" s="67" t="s">
        <v>259</v>
      </c>
      <c r="O1210" s="67" t="s">
        <v>2116</v>
      </c>
      <c r="P1210" s="67" t="s">
        <v>19</v>
      </c>
      <c r="Q1210" s="192">
        <v>127.6</v>
      </c>
    </row>
    <row r="1211" spans="1:17" ht="11.1" hidden="1" customHeight="1" x14ac:dyDescent="0.2">
      <c r="A1211" s="3"/>
      <c r="B1211" s="3" t="str">
        <f ca="1">IF(A1211="В заказ",MAX($B$9:OFFSET(B1211,-1,0))+1,"")</f>
        <v/>
      </c>
      <c r="C1211" s="6" t="str">
        <f t="shared" si="37"/>
        <v>Кромка 2,0 H3730 ST10  (75 м бухта).</v>
      </c>
      <c r="D1211" s="67" t="s">
        <v>241</v>
      </c>
      <c r="E1211" s="67" t="s">
        <v>34</v>
      </c>
      <c r="F1211" s="67" t="s">
        <v>951</v>
      </c>
      <c r="G1211" s="68">
        <v>22334</v>
      </c>
      <c r="H1211" s="67" t="s">
        <v>330</v>
      </c>
      <c r="I1211" s="200"/>
      <c r="J1211" s="67" t="s">
        <v>143</v>
      </c>
      <c r="K1211" s="67" t="s">
        <v>144</v>
      </c>
      <c r="L1211" s="67" t="s">
        <v>38</v>
      </c>
      <c r="M1211" s="67" t="s">
        <v>282</v>
      </c>
      <c r="N1211" s="67" t="s">
        <v>259</v>
      </c>
      <c r="O1211" s="67" t="s">
        <v>2116</v>
      </c>
      <c r="P1211" s="67" t="s">
        <v>19</v>
      </c>
      <c r="Q1211" s="192">
        <v>187.5</v>
      </c>
    </row>
    <row r="1212" spans="1:17" ht="11.1" hidden="1" customHeight="1" x14ac:dyDescent="0.2">
      <c r="A1212" s="3"/>
      <c r="B1212" s="3" t="str">
        <f ca="1">IF(A1212="В заказ",MAX($B$9:OFFSET(B1212,-1,0))+1,"")</f>
        <v/>
      </c>
      <c r="C1212" s="6" t="str">
        <f t="shared" si="37"/>
        <v>Кромка 0,4 H3734 ST9  (200 м бухта).</v>
      </c>
      <c r="D1212" s="67" t="s">
        <v>241</v>
      </c>
      <c r="E1212" s="67" t="s">
        <v>34</v>
      </c>
      <c r="F1212" s="67" t="s">
        <v>952</v>
      </c>
      <c r="G1212" s="68">
        <v>7603</v>
      </c>
      <c r="H1212" s="67" t="s">
        <v>330</v>
      </c>
      <c r="I1212" s="200"/>
      <c r="J1212" s="67" t="s">
        <v>145</v>
      </c>
      <c r="K1212" s="67" t="s">
        <v>146</v>
      </c>
      <c r="L1212" s="67" t="s">
        <v>22</v>
      </c>
      <c r="M1212" s="67" t="s">
        <v>252</v>
      </c>
      <c r="N1212" s="67" t="s">
        <v>253</v>
      </c>
      <c r="O1212" s="67" t="s">
        <v>2117</v>
      </c>
      <c r="P1212" s="67" t="s">
        <v>19</v>
      </c>
      <c r="Q1212" s="192">
        <v>17.899999999999999</v>
      </c>
    </row>
    <row r="1213" spans="1:17" ht="11.1" hidden="1" customHeight="1" x14ac:dyDescent="0.2">
      <c r="A1213" s="3"/>
      <c r="B1213" s="3" t="str">
        <f ca="1">IF(A1213="В заказ",MAX($B$9:OFFSET(B1213,-1,0))+1,"")</f>
        <v/>
      </c>
      <c r="C1213" s="6" t="str">
        <f t="shared" si="37"/>
        <v>Кромка 0,4 H3734 ST9  (200 м бухта).</v>
      </c>
      <c r="D1213" s="67" t="s">
        <v>241</v>
      </c>
      <c r="E1213" s="67" t="s">
        <v>34</v>
      </c>
      <c r="F1213" s="67" t="s">
        <v>953</v>
      </c>
      <c r="G1213" s="68">
        <v>21055</v>
      </c>
      <c r="H1213" s="67" t="s">
        <v>330</v>
      </c>
      <c r="I1213" s="200"/>
      <c r="J1213" s="67" t="s">
        <v>145</v>
      </c>
      <c r="K1213" s="67" t="s">
        <v>146</v>
      </c>
      <c r="L1213" s="67" t="s">
        <v>22</v>
      </c>
      <c r="M1213" s="67" t="s">
        <v>244</v>
      </c>
      <c r="N1213" s="67" t="s">
        <v>253</v>
      </c>
      <c r="O1213" s="67" t="s">
        <v>2117</v>
      </c>
      <c r="P1213" s="67" t="s">
        <v>19</v>
      </c>
      <c r="Q1213" s="71">
        <v>22</v>
      </c>
    </row>
    <row r="1214" spans="1:17" ht="11.1" hidden="1" customHeight="1" x14ac:dyDescent="0.2">
      <c r="A1214" s="3"/>
      <c r="B1214" s="3" t="str">
        <f ca="1">IF(A1214="В заказ",MAX($B$9:OFFSET(B1214,-1,0))+1,"")</f>
        <v/>
      </c>
      <c r="C1214" s="6" t="str">
        <f t="shared" si="37"/>
        <v>Кромка 0,4 H3734 ST9  (200 м бухта).</v>
      </c>
      <c r="D1214" s="67" t="s">
        <v>241</v>
      </c>
      <c r="E1214" s="67" t="s">
        <v>34</v>
      </c>
      <c r="F1214" s="67" t="s">
        <v>954</v>
      </c>
      <c r="G1214" s="68">
        <v>5635</v>
      </c>
      <c r="H1214" s="67" t="s">
        <v>330</v>
      </c>
      <c r="I1214" s="200"/>
      <c r="J1214" s="67" t="s">
        <v>145</v>
      </c>
      <c r="K1214" s="67" t="s">
        <v>146</v>
      </c>
      <c r="L1214" s="67" t="s">
        <v>22</v>
      </c>
      <c r="M1214" s="67" t="s">
        <v>264</v>
      </c>
      <c r="N1214" s="67" t="s">
        <v>253</v>
      </c>
      <c r="O1214" s="67" t="s">
        <v>2117</v>
      </c>
      <c r="P1214" s="67" t="s">
        <v>19</v>
      </c>
      <c r="Q1214" s="192">
        <v>28.9</v>
      </c>
    </row>
    <row r="1215" spans="1:17" ht="11.1" hidden="1" customHeight="1" x14ac:dyDescent="0.2">
      <c r="A1215" s="3"/>
      <c r="B1215" s="3" t="str">
        <f ca="1">IF(A1215="В заказ",MAX($B$9:OFFSET(B1215,-1,0))+1,"")</f>
        <v/>
      </c>
      <c r="C1215" s="6" t="str">
        <f t="shared" si="37"/>
        <v>Кромка 0,8 H3734 ST9  (75 м бухта).</v>
      </c>
      <c r="D1215" s="67" t="s">
        <v>241</v>
      </c>
      <c r="E1215" s="67" t="s">
        <v>34</v>
      </c>
      <c r="F1215" s="67" t="s">
        <v>955</v>
      </c>
      <c r="G1215" s="68">
        <v>13099</v>
      </c>
      <c r="H1215" s="67" t="s">
        <v>330</v>
      </c>
      <c r="I1215" s="200"/>
      <c r="J1215" s="67" t="s">
        <v>145</v>
      </c>
      <c r="K1215" s="67" t="s">
        <v>146</v>
      </c>
      <c r="L1215" s="67" t="s">
        <v>22</v>
      </c>
      <c r="M1215" s="67" t="s">
        <v>252</v>
      </c>
      <c r="N1215" s="67" t="s">
        <v>10</v>
      </c>
      <c r="O1215" s="67" t="s">
        <v>2116</v>
      </c>
      <c r="P1215" s="67" t="s">
        <v>19</v>
      </c>
      <c r="Q1215" s="71">
        <v>35</v>
      </c>
    </row>
    <row r="1216" spans="1:17" ht="11.1" hidden="1" customHeight="1" x14ac:dyDescent="0.2">
      <c r="A1216" s="3"/>
      <c r="B1216" s="3" t="str">
        <f ca="1">IF(A1216="В заказ",MAX($B$9:OFFSET(B1216,-1,0))+1,"")</f>
        <v/>
      </c>
      <c r="C1216" s="6" t="str">
        <f t="shared" si="37"/>
        <v>Кромка 0,8 H3734 ST9  (75 м бухта) .</v>
      </c>
      <c r="D1216" s="67" t="s">
        <v>241</v>
      </c>
      <c r="E1216" s="67" t="s">
        <v>34</v>
      </c>
      <c r="F1216" s="67" t="s">
        <v>956</v>
      </c>
      <c r="G1216" s="68">
        <v>24182</v>
      </c>
      <c r="H1216" s="67" t="s">
        <v>330</v>
      </c>
      <c r="I1216" s="200"/>
      <c r="J1216" s="67" t="s">
        <v>145</v>
      </c>
      <c r="K1216" s="67" t="s">
        <v>146</v>
      </c>
      <c r="L1216" s="67" t="s">
        <v>22</v>
      </c>
      <c r="M1216" s="67" t="s">
        <v>244</v>
      </c>
      <c r="N1216" s="67" t="s">
        <v>10</v>
      </c>
      <c r="O1216" s="67" t="s">
        <v>2118</v>
      </c>
      <c r="P1216" s="67" t="s">
        <v>19</v>
      </c>
      <c r="Q1216" s="192">
        <v>42.3</v>
      </c>
    </row>
    <row r="1217" spans="1:17" ht="11.1" hidden="1" customHeight="1" x14ac:dyDescent="0.2">
      <c r="A1217" s="3"/>
      <c r="B1217" s="3" t="str">
        <f ca="1">IF(A1217="В заказ",MAX($B$9:OFFSET(B1217,-1,0))+1,"")</f>
        <v/>
      </c>
      <c r="C1217" s="6" t="str">
        <f t="shared" si="37"/>
        <v>Кромка 2,0 H3734 ST9 (75 м бухта).</v>
      </c>
      <c r="D1217" s="67" t="s">
        <v>241</v>
      </c>
      <c r="E1217" s="67" t="s">
        <v>34</v>
      </c>
      <c r="F1217" s="67" t="s">
        <v>957</v>
      </c>
      <c r="G1217" s="68">
        <v>10327</v>
      </c>
      <c r="H1217" s="67" t="s">
        <v>330</v>
      </c>
      <c r="I1217" s="200"/>
      <c r="J1217" s="67" t="s">
        <v>145</v>
      </c>
      <c r="K1217" s="67" t="s">
        <v>146</v>
      </c>
      <c r="L1217" s="67" t="s">
        <v>22</v>
      </c>
      <c r="M1217" s="67" t="s">
        <v>252</v>
      </c>
      <c r="N1217" s="67" t="s">
        <v>259</v>
      </c>
      <c r="O1217" s="67" t="s">
        <v>246</v>
      </c>
      <c r="P1217" s="67" t="s">
        <v>19</v>
      </c>
      <c r="Q1217" s="192">
        <v>62.6</v>
      </c>
    </row>
    <row r="1218" spans="1:17" ht="11.1" hidden="1" customHeight="1" x14ac:dyDescent="0.2">
      <c r="A1218" s="3"/>
      <c r="B1218" s="3" t="str">
        <f ca="1">IF(A1218="В заказ",MAX($B$9:OFFSET(B1218,-1,0))+1,"")</f>
        <v/>
      </c>
      <c r="C1218" s="6" t="str">
        <f t="shared" si="37"/>
        <v>Кромка 2,0 H3734 ST9 (75 м бухта).</v>
      </c>
      <c r="D1218" s="67" t="s">
        <v>241</v>
      </c>
      <c r="E1218" s="67" t="s">
        <v>34</v>
      </c>
      <c r="F1218" s="67" t="s">
        <v>958</v>
      </c>
      <c r="G1218" s="68">
        <v>21056</v>
      </c>
      <c r="H1218" s="67" t="s">
        <v>330</v>
      </c>
      <c r="I1218" s="200"/>
      <c r="J1218" s="67" t="s">
        <v>145</v>
      </c>
      <c r="K1218" s="67" t="s">
        <v>146</v>
      </c>
      <c r="L1218" s="67" t="s">
        <v>22</v>
      </c>
      <c r="M1218" s="67" t="s">
        <v>244</v>
      </c>
      <c r="N1218" s="67" t="s">
        <v>259</v>
      </c>
      <c r="O1218" s="67" t="s">
        <v>246</v>
      </c>
      <c r="P1218" s="67" t="s">
        <v>19</v>
      </c>
      <c r="Q1218" s="192">
        <v>65.5</v>
      </c>
    </row>
    <row r="1219" spans="1:17" ht="11.1" hidden="1" customHeight="1" x14ac:dyDescent="0.2">
      <c r="A1219" s="3"/>
      <c r="B1219" s="3" t="str">
        <f ca="1">IF(A1219="В заказ",MAX($B$9:OFFSET(B1219,-1,0))+1,"")</f>
        <v/>
      </c>
      <c r="C1219" s="6" t="str">
        <f t="shared" si="37"/>
        <v>Кромка 2,0 H3734 ST9  (75 м бухта).</v>
      </c>
      <c r="D1219" s="67" t="s">
        <v>241</v>
      </c>
      <c r="E1219" s="67" t="s">
        <v>34</v>
      </c>
      <c r="F1219" s="67" t="s">
        <v>959</v>
      </c>
      <c r="G1219" s="68">
        <v>10189</v>
      </c>
      <c r="H1219" s="67" t="s">
        <v>330</v>
      </c>
      <c r="I1219" s="200"/>
      <c r="J1219" s="67" t="s">
        <v>145</v>
      </c>
      <c r="K1219" s="67" t="s">
        <v>146</v>
      </c>
      <c r="L1219" s="67" t="s">
        <v>22</v>
      </c>
      <c r="M1219" s="67" t="s">
        <v>264</v>
      </c>
      <c r="N1219" s="67" t="s">
        <v>259</v>
      </c>
      <c r="O1219" s="67" t="s">
        <v>2116</v>
      </c>
      <c r="P1219" s="67" t="s">
        <v>19</v>
      </c>
      <c r="Q1219" s="192">
        <v>94.1</v>
      </c>
    </row>
    <row r="1220" spans="1:17" ht="11.1" hidden="1" customHeight="1" x14ac:dyDescent="0.2">
      <c r="A1220" s="3"/>
      <c r="B1220" s="3" t="str">
        <f ca="1">IF(A1220="В заказ",MAX($B$9:OFFSET(B1220,-1,0))+1,"")</f>
        <v/>
      </c>
      <c r="C1220" s="6" t="str">
        <f t="shared" si="37"/>
        <v>Кромка 2,0 H3734 ST9  (75 м бухта).</v>
      </c>
      <c r="D1220" s="67" t="s">
        <v>241</v>
      </c>
      <c r="E1220" s="67" t="s">
        <v>34</v>
      </c>
      <c r="F1220" s="67" t="s">
        <v>960</v>
      </c>
      <c r="G1220" s="68">
        <v>7783</v>
      </c>
      <c r="H1220" s="67" t="s">
        <v>330</v>
      </c>
      <c r="I1220" s="200"/>
      <c r="J1220" s="67" t="s">
        <v>145</v>
      </c>
      <c r="K1220" s="67" t="s">
        <v>146</v>
      </c>
      <c r="L1220" s="67" t="s">
        <v>22</v>
      </c>
      <c r="M1220" s="67" t="s">
        <v>270</v>
      </c>
      <c r="N1220" s="67" t="s">
        <v>259</v>
      </c>
      <c r="O1220" s="67" t="s">
        <v>2116</v>
      </c>
      <c r="P1220" s="67" t="s">
        <v>19</v>
      </c>
      <c r="Q1220" s="192">
        <v>127.6</v>
      </c>
    </row>
    <row r="1221" spans="1:17" ht="11.1" hidden="1" customHeight="1" x14ac:dyDescent="0.2">
      <c r="A1221" s="3"/>
      <c r="B1221" s="3" t="str">
        <f ca="1">IF(A1221="В заказ",MAX($B$9:OFFSET(B1221,-1,0))+1,"")</f>
        <v/>
      </c>
      <c r="C1221" s="6" t="str">
        <f t="shared" si="37"/>
        <v>Кромка 2,0 H3734 ST9  (75 м бухта).</v>
      </c>
      <c r="D1221" s="67" t="s">
        <v>241</v>
      </c>
      <c r="E1221" s="67" t="s">
        <v>34</v>
      </c>
      <c r="F1221" s="67" t="s">
        <v>961</v>
      </c>
      <c r="G1221" s="68">
        <v>21318</v>
      </c>
      <c r="H1221" s="67" t="s">
        <v>330</v>
      </c>
      <c r="I1221" s="200"/>
      <c r="J1221" s="67" t="s">
        <v>145</v>
      </c>
      <c r="K1221" s="67" t="s">
        <v>146</v>
      </c>
      <c r="L1221" s="67" t="s">
        <v>22</v>
      </c>
      <c r="M1221" s="67" t="s">
        <v>282</v>
      </c>
      <c r="N1221" s="67" t="s">
        <v>259</v>
      </c>
      <c r="O1221" s="67" t="s">
        <v>2116</v>
      </c>
      <c r="P1221" s="67" t="s">
        <v>19</v>
      </c>
      <c r="Q1221" s="192">
        <v>187.5</v>
      </c>
    </row>
    <row r="1222" spans="1:17" ht="11.1" hidden="1" customHeight="1" x14ac:dyDescent="0.2">
      <c r="A1222" s="3"/>
      <c r="B1222" s="3" t="str">
        <f ca="1">IF(A1222="В заказ",MAX($B$9:OFFSET(B1222,-1,0))+1,"")</f>
        <v/>
      </c>
      <c r="C1222" s="6" t="str">
        <f t="shared" si="37"/>
        <v>Кромка 0,4 H3840 ST9  (200 м бухта).</v>
      </c>
      <c r="D1222" s="67" t="s">
        <v>241</v>
      </c>
      <c r="E1222" s="67" t="s">
        <v>34</v>
      </c>
      <c r="F1222" s="67" t="s">
        <v>962</v>
      </c>
      <c r="G1222" s="68">
        <v>14166</v>
      </c>
      <c r="H1222" s="67" t="s">
        <v>330</v>
      </c>
      <c r="I1222" s="200"/>
      <c r="J1222" s="67" t="s">
        <v>147</v>
      </c>
      <c r="K1222" s="67" t="s">
        <v>148</v>
      </c>
      <c r="L1222" s="67" t="s">
        <v>22</v>
      </c>
      <c r="M1222" s="67" t="s">
        <v>252</v>
      </c>
      <c r="N1222" s="67" t="s">
        <v>253</v>
      </c>
      <c r="O1222" s="67" t="s">
        <v>2117</v>
      </c>
      <c r="P1222" s="67" t="s">
        <v>19</v>
      </c>
      <c r="Q1222" s="192">
        <v>17.899999999999999</v>
      </c>
    </row>
    <row r="1223" spans="1:17" ht="11.1" hidden="1" customHeight="1" x14ac:dyDescent="0.2">
      <c r="A1223" s="3"/>
      <c r="B1223" s="3" t="str">
        <f ca="1">IF(A1223="В заказ",MAX($B$9:OFFSET(B1223,-1,0))+1,"")</f>
        <v/>
      </c>
      <c r="C1223" s="6" t="str">
        <f t="shared" si="37"/>
        <v>Кромка 0,4 H3840 ST9  (200 м бухта).</v>
      </c>
      <c r="D1223" s="67" t="s">
        <v>241</v>
      </c>
      <c r="E1223" s="67" t="s">
        <v>34</v>
      </c>
      <c r="F1223" s="67" t="s">
        <v>963</v>
      </c>
      <c r="G1223" s="68">
        <v>16856</v>
      </c>
      <c r="H1223" s="67" t="s">
        <v>330</v>
      </c>
      <c r="I1223" s="200"/>
      <c r="J1223" s="67" t="s">
        <v>147</v>
      </c>
      <c r="K1223" s="67" t="s">
        <v>148</v>
      </c>
      <c r="L1223" s="67" t="s">
        <v>22</v>
      </c>
      <c r="M1223" s="67" t="s">
        <v>264</v>
      </c>
      <c r="N1223" s="67" t="s">
        <v>253</v>
      </c>
      <c r="O1223" s="67" t="s">
        <v>2117</v>
      </c>
      <c r="P1223" s="67" t="s">
        <v>19</v>
      </c>
      <c r="Q1223" s="192">
        <v>28.9</v>
      </c>
    </row>
    <row r="1224" spans="1:17" ht="11.1" hidden="1" customHeight="1" x14ac:dyDescent="0.2">
      <c r="A1224" s="3"/>
      <c r="B1224" s="3" t="str">
        <f ca="1">IF(A1224="В заказ",MAX($B$9:OFFSET(B1224,-1,0))+1,"")</f>
        <v/>
      </c>
      <c r="C1224" s="6" t="str">
        <f t="shared" si="37"/>
        <v>Кромка 0,8 H3840 ST9  (75 м бухта).</v>
      </c>
      <c r="D1224" s="67" t="s">
        <v>241</v>
      </c>
      <c r="E1224" s="67" t="s">
        <v>34</v>
      </c>
      <c r="F1224" s="67" t="s">
        <v>964</v>
      </c>
      <c r="G1224" s="68">
        <v>16857</v>
      </c>
      <c r="H1224" s="67" t="s">
        <v>330</v>
      </c>
      <c r="I1224" s="200"/>
      <c r="J1224" s="67" t="s">
        <v>147</v>
      </c>
      <c r="K1224" s="67" t="s">
        <v>148</v>
      </c>
      <c r="L1224" s="67" t="s">
        <v>22</v>
      </c>
      <c r="M1224" s="67" t="s">
        <v>252</v>
      </c>
      <c r="N1224" s="67" t="s">
        <v>10</v>
      </c>
      <c r="O1224" s="67" t="s">
        <v>2116</v>
      </c>
      <c r="P1224" s="67" t="s">
        <v>19</v>
      </c>
      <c r="Q1224" s="71">
        <v>35</v>
      </c>
    </row>
    <row r="1225" spans="1:17" ht="11.1" hidden="1" customHeight="1" x14ac:dyDescent="0.2">
      <c r="A1225" s="3"/>
      <c r="B1225" s="3" t="str">
        <f ca="1">IF(A1225="В заказ",MAX($B$9:OFFSET(B1225,-1,0))+1,"")</f>
        <v/>
      </c>
      <c r="C1225" s="6" t="str">
        <f t="shared" si="37"/>
        <v>Кромка 2,0 H3840 ST9  (75 м бухта).</v>
      </c>
      <c r="D1225" s="67" t="s">
        <v>241</v>
      </c>
      <c r="E1225" s="67" t="s">
        <v>34</v>
      </c>
      <c r="F1225" s="67" t="s">
        <v>965</v>
      </c>
      <c r="G1225" s="68">
        <v>15342</v>
      </c>
      <c r="H1225" s="67" t="s">
        <v>330</v>
      </c>
      <c r="I1225" s="200"/>
      <c r="J1225" s="67" t="s">
        <v>147</v>
      </c>
      <c r="K1225" s="67" t="s">
        <v>148</v>
      </c>
      <c r="L1225" s="67" t="s">
        <v>22</v>
      </c>
      <c r="M1225" s="67" t="s">
        <v>252</v>
      </c>
      <c r="N1225" s="67" t="s">
        <v>259</v>
      </c>
      <c r="O1225" s="67" t="s">
        <v>2116</v>
      </c>
      <c r="P1225" s="67" t="s">
        <v>19</v>
      </c>
      <c r="Q1225" s="192">
        <v>62.6</v>
      </c>
    </row>
    <row r="1226" spans="1:17" ht="11.1" hidden="1" customHeight="1" x14ac:dyDescent="0.2">
      <c r="A1226" s="3"/>
      <c r="B1226" s="3" t="str">
        <f ca="1">IF(A1226="В заказ",MAX($B$9:OFFSET(B1226,-1,0))+1,"")</f>
        <v/>
      </c>
      <c r="C1226" s="6" t="str">
        <f t="shared" si="37"/>
        <v>Кромка 2,0 H3840 ST9  (75 м бухта).</v>
      </c>
      <c r="D1226" s="67" t="s">
        <v>241</v>
      </c>
      <c r="E1226" s="67" t="s">
        <v>34</v>
      </c>
      <c r="F1226" s="67" t="s">
        <v>966</v>
      </c>
      <c r="G1226" s="68">
        <v>14802</v>
      </c>
      <c r="H1226" s="67" t="s">
        <v>330</v>
      </c>
      <c r="I1226" s="200"/>
      <c r="J1226" s="67" t="s">
        <v>147</v>
      </c>
      <c r="K1226" s="67" t="s">
        <v>148</v>
      </c>
      <c r="L1226" s="67" t="s">
        <v>22</v>
      </c>
      <c r="M1226" s="67" t="s">
        <v>264</v>
      </c>
      <c r="N1226" s="67" t="s">
        <v>259</v>
      </c>
      <c r="O1226" s="67" t="s">
        <v>2116</v>
      </c>
      <c r="P1226" s="67" t="s">
        <v>19</v>
      </c>
      <c r="Q1226" s="192">
        <v>94.1</v>
      </c>
    </row>
    <row r="1227" spans="1:17" ht="11.1" hidden="1" customHeight="1" x14ac:dyDescent="0.2">
      <c r="A1227" s="3"/>
      <c r="B1227" s="3" t="str">
        <f ca="1">IF(A1227="В заказ",MAX($B$9:OFFSET(B1227,-1,0))+1,"")</f>
        <v/>
      </c>
      <c r="C1227" s="6" t="str">
        <f t="shared" si="37"/>
        <v>Кромка 2,0 H3840 ST9  (75 м бухта).</v>
      </c>
      <c r="D1227" s="67" t="s">
        <v>241</v>
      </c>
      <c r="E1227" s="67" t="s">
        <v>34</v>
      </c>
      <c r="F1227" s="67" t="s">
        <v>967</v>
      </c>
      <c r="G1227" s="68">
        <v>16554</v>
      </c>
      <c r="H1227" s="67" t="s">
        <v>330</v>
      </c>
      <c r="I1227" s="200"/>
      <c r="J1227" s="67" t="s">
        <v>147</v>
      </c>
      <c r="K1227" s="67" t="s">
        <v>148</v>
      </c>
      <c r="L1227" s="67" t="s">
        <v>22</v>
      </c>
      <c r="M1227" s="67" t="s">
        <v>270</v>
      </c>
      <c r="N1227" s="67" t="s">
        <v>259</v>
      </c>
      <c r="O1227" s="67" t="s">
        <v>2116</v>
      </c>
      <c r="P1227" s="67" t="s">
        <v>19</v>
      </c>
      <c r="Q1227" s="192">
        <v>127.6</v>
      </c>
    </row>
    <row r="1228" spans="1:17" ht="11.1" hidden="1" customHeight="1" x14ac:dyDescent="0.2">
      <c r="A1228" s="3"/>
      <c r="B1228" s="3" t="str">
        <f ca="1">IF(A1228="В заказ",MAX($B$9:OFFSET(B1228,-1,0))+1,"")</f>
        <v/>
      </c>
      <c r="C1228" s="6" t="str">
        <f t="shared" si="37"/>
        <v>Кромка 0,4 H3860 ST9  (200 м бухта).</v>
      </c>
      <c r="D1228" s="67" t="s">
        <v>241</v>
      </c>
      <c r="E1228" s="67" t="s">
        <v>34</v>
      </c>
      <c r="F1228" s="67" t="s">
        <v>968</v>
      </c>
      <c r="G1228" s="68">
        <v>13490</v>
      </c>
      <c r="H1228" s="67" t="s">
        <v>330</v>
      </c>
      <c r="I1228" s="200"/>
      <c r="J1228" s="67" t="s">
        <v>149</v>
      </c>
      <c r="K1228" s="67" t="s">
        <v>150</v>
      </c>
      <c r="L1228" s="67" t="s">
        <v>22</v>
      </c>
      <c r="M1228" s="67" t="s">
        <v>252</v>
      </c>
      <c r="N1228" s="67" t="s">
        <v>253</v>
      </c>
      <c r="O1228" s="67" t="s">
        <v>2117</v>
      </c>
      <c r="P1228" s="67" t="s">
        <v>19</v>
      </c>
      <c r="Q1228" s="192">
        <v>17.899999999999999</v>
      </c>
    </row>
    <row r="1229" spans="1:17" ht="11.1" hidden="1" customHeight="1" x14ac:dyDescent="0.2">
      <c r="A1229" s="3"/>
      <c r="B1229" s="3" t="str">
        <f ca="1">IF(A1229="В заказ",MAX($B$9:OFFSET(B1229,-1,0))+1,"")</f>
        <v/>
      </c>
      <c r="C1229" s="6" t="str">
        <f t="shared" si="37"/>
        <v>Кромка 0,4 H3860 ST9  (200 м бухта).</v>
      </c>
      <c r="D1229" s="67" t="s">
        <v>241</v>
      </c>
      <c r="E1229" s="67" t="s">
        <v>34</v>
      </c>
      <c r="F1229" s="67" t="s">
        <v>969</v>
      </c>
      <c r="G1229" s="68">
        <v>14361</v>
      </c>
      <c r="H1229" s="67" t="s">
        <v>330</v>
      </c>
      <c r="I1229" s="200"/>
      <c r="J1229" s="67" t="s">
        <v>149</v>
      </c>
      <c r="K1229" s="67" t="s">
        <v>150</v>
      </c>
      <c r="L1229" s="67" t="s">
        <v>22</v>
      </c>
      <c r="M1229" s="67" t="s">
        <v>264</v>
      </c>
      <c r="N1229" s="67" t="s">
        <v>253</v>
      </c>
      <c r="O1229" s="67" t="s">
        <v>2117</v>
      </c>
      <c r="P1229" s="67" t="s">
        <v>19</v>
      </c>
      <c r="Q1229" s="192">
        <v>28.9</v>
      </c>
    </row>
    <row r="1230" spans="1:17" ht="11.1" hidden="1" customHeight="1" x14ac:dyDescent="0.2">
      <c r="A1230" s="3"/>
      <c r="B1230" s="3" t="str">
        <f ca="1">IF(A1230="В заказ",MAX($B$9:OFFSET(B1230,-1,0))+1,"")</f>
        <v/>
      </c>
      <c r="C1230" s="6" t="str">
        <f t="shared" si="37"/>
        <v>Кромка 0,8 H3860 ST9  (75 м бухта).</v>
      </c>
      <c r="D1230" s="67" t="s">
        <v>241</v>
      </c>
      <c r="E1230" s="67" t="s">
        <v>34</v>
      </c>
      <c r="F1230" s="67" t="s">
        <v>970</v>
      </c>
      <c r="G1230" s="68">
        <v>14921</v>
      </c>
      <c r="H1230" s="67" t="s">
        <v>330</v>
      </c>
      <c r="I1230" s="200"/>
      <c r="J1230" s="67" t="s">
        <v>149</v>
      </c>
      <c r="K1230" s="67" t="s">
        <v>150</v>
      </c>
      <c r="L1230" s="67" t="s">
        <v>22</v>
      </c>
      <c r="M1230" s="67" t="s">
        <v>252</v>
      </c>
      <c r="N1230" s="67" t="s">
        <v>10</v>
      </c>
      <c r="O1230" s="67" t="s">
        <v>2116</v>
      </c>
      <c r="P1230" s="67" t="s">
        <v>19</v>
      </c>
      <c r="Q1230" s="71">
        <v>35</v>
      </c>
    </row>
    <row r="1231" spans="1:17" ht="11.1" hidden="1" customHeight="1" x14ac:dyDescent="0.2">
      <c r="A1231" s="3"/>
      <c r="B1231" s="3" t="str">
        <f ca="1">IF(A1231="В заказ",MAX($B$9:OFFSET(B1231,-1,0))+1,"")</f>
        <v/>
      </c>
      <c r="C1231" s="6" t="str">
        <f t="shared" si="37"/>
        <v>Кромка 0,8 H3860 ST9  (75 м бухта).</v>
      </c>
      <c r="D1231" s="67" t="s">
        <v>241</v>
      </c>
      <c r="E1231" s="67" t="s">
        <v>34</v>
      </c>
      <c r="F1231" s="67" t="s">
        <v>971</v>
      </c>
      <c r="G1231" s="68">
        <v>16859</v>
      </c>
      <c r="H1231" s="67" t="s">
        <v>330</v>
      </c>
      <c r="I1231" s="200"/>
      <c r="J1231" s="67" t="s">
        <v>149</v>
      </c>
      <c r="K1231" s="67" t="s">
        <v>150</v>
      </c>
      <c r="L1231" s="67" t="s">
        <v>22</v>
      </c>
      <c r="M1231" s="67" t="s">
        <v>264</v>
      </c>
      <c r="N1231" s="67" t="s">
        <v>10</v>
      </c>
      <c r="O1231" s="67" t="s">
        <v>2116</v>
      </c>
      <c r="P1231" s="67" t="s">
        <v>19</v>
      </c>
      <c r="Q1231" s="192">
        <v>66.900000000000006</v>
      </c>
    </row>
    <row r="1232" spans="1:17" ht="11.1" hidden="1" customHeight="1" x14ac:dyDescent="0.2">
      <c r="A1232" s="3"/>
      <c r="B1232" s="3" t="str">
        <f ca="1">IF(A1232="В заказ",MAX($B$9:OFFSET(B1232,-1,0))+1,"")</f>
        <v/>
      </c>
      <c r="C1232" s="6" t="str">
        <f t="shared" si="37"/>
        <v>Кромка 2,0 H3860 ST9  (75 м бухта).</v>
      </c>
      <c r="D1232" s="67" t="s">
        <v>241</v>
      </c>
      <c r="E1232" s="67" t="s">
        <v>34</v>
      </c>
      <c r="F1232" s="67" t="s">
        <v>972</v>
      </c>
      <c r="G1232" s="68">
        <v>13489</v>
      </c>
      <c r="H1232" s="67" t="s">
        <v>330</v>
      </c>
      <c r="I1232" s="200"/>
      <c r="J1232" s="67" t="s">
        <v>149</v>
      </c>
      <c r="K1232" s="67" t="s">
        <v>150</v>
      </c>
      <c r="L1232" s="67" t="s">
        <v>22</v>
      </c>
      <c r="M1232" s="67" t="s">
        <v>252</v>
      </c>
      <c r="N1232" s="67" t="s">
        <v>259</v>
      </c>
      <c r="O1232" s="67" t="s">
        <v>2116</v>
      </c>
      <c r="P1232" s="67" t="s">
        <v>19</v>
      </c>
      <c r="Q1232" s="192">
        <v>62.6</v>
      </c>
    </row>
    <row r="1233" spans="1:17" ht="11.1" hidden="1" customHeight="1" x14ac:dyDescent="0.2">
      <c r="A1233" s="3"/>
      <c r="B1233" s="3" t="str">
        <f ca="1">IF(A1233="В заказ",MAX($B$9:OFFSET(B1233,-1,0))+1,"")</f>
        <v/>
      </c>
      <c r="C1233" s="6" t="str">
        <f t="shared" si="37"/>
        <v>Кромка 2,0 H3860 ST9  (75 м бухта).</v>
      </c>
      <c r="D1233" s="67" t="s">
        <v>241</v>
      </c>
      <c r="E1233" s="67" t="s">
        <v>34</v>
      </c>
      <c r="F1233" s="67" t="s">
        <v>973</v>
      </c>
      <c r="G1233" s="68">
        <v>14360</v>
      </c>
      <c r="H1233" s="67" t="s">
        <v>330</v>
      </c>
      <c r="I1233" s="200"/>
      <c r="J1233" s="67" t="s">
        <v>149</v>
      </c>
      <c r="K1233" s="67" t="s">
        <v>150</v>
      </c>
      <c r="L1233" s="67" t="s">
        <v>22</v>
      </c>
      <c r="M1233" s="67" t="s">
        <v>264</v>
      </c>
      <c r="N1233" s="67" t="s">
        <v>259</v>
      </c>
      <c r="O1233" s="67" t="s">
        <v>2116</v>
      </c>
      <c r="P1233" s="67" t="s">
        <v>19</v>
      </c>
      <c r="Q1233" s="192">
        <v>94.1</v>
      </c>
    </row>
    <row r="1234" spans="1:17" ht="11.1" hidden="1" customHeight="1" x14ac:dyDescent="0.2">
      <c r="A1234" s="3"/>
      <c r="B1234" s="3" t="str">
        <f ca="1">IF(A1234="В заказ",MAX($B$9:OFFSET(B1234,-1,0))+1,"")</f>
        <v/>
      </c>
      <c r="C1234" s="6" t="str">
        <f t="shared" si="37"/>
        <v>Кромка 2,0 H3860 ST9  (75 м бухта).</v>
      </c>
      <c r="D1234" s="67" t="s">
        <v>241</v>
      </c>
      <c r="E1234" s="67" t="s">
        <v>34</v>
      </c>
      <c r="F1234" s="67" t="s">
        <v>974</v>
      </c>
      <c r="G1234" s="68">
        <v>14956</v>
      </c>
      <c r="H1234" s="67" t="s">
        <v>330</v>
      </c>
      <c r="I1234" s="200"/>
      <c r="J1234" s="67" t="s">
        <v>149</v>
      </c>
      <c r="K1234" s="67" t="s">
        <v>150</v>
      </c>
      <c r="L1234" s="67" t="s">
        <v>22</v>
      </c>
      <c r="M1234" s="67" t="s">
        <v>270</v>
      </c>
      <c r="N1234" s="67" t="s">
        <v>259</v>
      </c>
      <c r="O1234" s="67" t="s">
        <v>2116</v>
      </c>
      <c r="P1234" s="67" t="s">
        <v>19</v>
      </c>
      <c r="Q1234" s="192">
        <v>127.6</v>
      </c>
    </row>
    <row r="1235" spans="1:17" ht="11.1" hidden="1" customHeight="1" x14ac:dyDescent="0.2">
      <c r="A1235" s="3"/>
      <c r="B1235" s="3" t="str">
        <f ca="1">IF(A1235="В заказ",MAX($B$9:OFFSET(B1235,-1,0))+1,"")</f>
        <v/>
      </c>
      <c r="C1235" s="6" t="str">
        <f t="shared" si="37"/>
        <v>Кромка 0,8 Q1176 RO  (75 м бухта).</v>
      </c>
      <c r="D1235" s="67" t="s">
        <v>241</v>
      </c>
      <c r="E1235" s="67" t="s">
        <v>34</v>
      </c>
      <c r="F1235" s="67" t="s">
        <v>2067</v>
      </c>
      <c r="G1235" s="68">
        <v>14242</v>
      </c>
      <c r="H1235" s="67" t="s">
        <v>2068</v>
      </c>
      <c r="I1235" s="200"/>
      <c r="J1235" s="67" t="s">
        <v>2069</v>
      </c>
      <c r="K1235" s="67" t="s">
        <v>54</v>
      </c>
      <c r="L1235" s="67" t="s">
        <v>2070</v>
      </c>
      <c r="M1235" s="67" t="s">
        <v>244</v>
      </c>
      <c r="N1235" s="67" t="s">
        <v>10</v>
      </c>
      <c r="O1235" s="67" t="s">
        <v>2116</v>
      </c>
      <c r="P1235" s="67" t="s">
        <v>19</v>
      </c>
      <c r="Q1235" s="192">
        <v>43.4</v>
      </c>
    </row>
    <row r="1236" spans="1:17" ht="11.1" hidden="1" customHeight="1" x14ac:dyDescent="0.2">
      <c r="A1236" s="3"/>
      <c r="B1236" s="3" t="str">
        <f ca="1">IF(A1236="В заказ",MAX($B$9:OFFSET(B1236,-1,0))+1,"")</f>
        <v/>
      </c>
      <c r="C1236" s="6" t="str">
        <f t="shared" si="37"/>
        <v>Кромка 0,8 Q1180 RO  (75 м бухта).</v>
      </c>
      <c r="D1236" s="67" t="s">
        <v>241</v>
      </c>
      <c r="E1236" s="67" t="s">
        <v>34</v>
      </c>
      <c r="F1236" s="67" t="s">
        <v>2071</v>
      </c>
      <c r="G1236" s="68">
        <v>14250</v>
      </c>
      <c r="H1236" s="67" t="s">
        <v>2068</v>
      </c>
      <c r="I1236" s="200"/>
      <c r="J1236" s="67" t="s">
        <v>2072</v>
      </c>
      <c r="K1236" s="67" t="s">
        <v>57</v>
      </c>
      <c r="L1236" s="67" t="s">
        <v>2070</v>
      </c>
      <c r="M1236" s="67" t="s">
        <v>244</v>
      </c>
      <c r="N1236" s="67" t="s">
        <v>10</v>
      </c>
      <c r="O1236" s="67" t="s">
        <v>2116</v>
      </c>
      <c r="P1236" s="67" t="s">
        <v>19</v>
      </c>
      <c r="Q1236" s="192">
        <v>43.4</v>
      </c>
    </row>
    <row r="1237" spans="1:17" ht="11.1" hidden="1" customHeight="1" x14ac:dyDescent="0.2">
      <c r="A1237" s="3"/>
      <c r="B1237" s="3" t="str">
        <f ca="1">IF(A1237="В заказ",MAX($B$9:OFFSET(B1237,-1,0))+1,"")</f>
        <v/>
      </c>
      <c r="C1237" s="6" t="str">
        <f t="shared" si="37"/>
        <v>Кромка 0,8 Q1181 RO  (75 м бухта).</v>
      </c>
      <c r="D1237" s="67" t="s">
        <v>241</v>
      </c>
      <c r="E1237" s="67" t="s">
        <v>34</v>
      </c>
      <c r="F1237" s="67" t="s">
        <v>2073</v>
      </c>
      <c r="G1237" s="68">
        <v>14251</v>
      </c>
      <c r="H1237" s="67" t="s">
        <v>2068</v>
      </c>
      <c r="I1237" s="200"/>
      <c r="J1237" s="67" t="s">
        <v>2074</v>
      </c>
      <c r="K1237" s="67" t="s">
        <v>59</v>
      </c>
      <c r="L1237" s="67" t="s">
        <v>2070</v>
      </c>
      <c r="M1237" s="67" t="s">
        <v>244</v>
      </c>
      <c r="N1237" s="67" t="s">
        <v>10</v>
      </c>
      <c r="O1237" s="67" t="s">
        <v>2116</v>
      </c>
      <c r="P1237" s="67" t="s">
        <v>19</v>
      </c>
      <c r="Q1237" s="192">
        <v>43.4</v>
      </c>
    </row>
    <row r="1238" spans="1:17" ht="11.1" hidden="1" customHeight="1" x14ac:dyDescent="0.2">
      <c r="A1238" s="3"/>
      <c r="B1238" s="3" t="str">
        <f ca="1">IF(A1238="В заказ",MAX($B$9:OFFSET(B1238,-1,0))+1,"")</f>
        <v/>
      </c>
      <c r="C1238" s="6" t="str">
        <f t="shared" si="37"/>
        <v>Кромка 0,8 Q1344 RO  (75 м бухта).</v>
      </c>
      <c r="D1238" s="67" t="s">
        <v>241</v>
      </c>
      <c r="E1238" s="67" t="s">
        <v>34</v>
      </c>
      <c r="F1238" s="67" t="s">
        <v>2075</v>
      </c>
      <c r="G1238" s="68">
        <v>22438</v>
      </c>
      <c r="H1238" s="67" t="s">
        <v>2068</v>
      </c>
      <c r="I1238" s="200"/>
      <c r="J1238" s="67" t="s">
        <v>2076</v>
      </c>
      <c r="K1238" s="67" t="s">
        <v>535</v>
      </c>
      <c r="L1238" s="67" t="s">
        <v>2070</v>
      </c>
      <c r="M1238" s="67" t="s">
        <v>244</v>
      </c>
      <c r="N1238" s="67" t="s">
        <v>10</v>
      </c>
      <c r="O1238" s="67" t="s">
        <v>2116</v>
      </c>
      <c r="P1238" s="67" t="s">
        <v>19</v>
      </c>
      <c r="Q1238" s="192">
        <v>43.4</v>
      </c>
    </row>
    <row r="1239" spans="1:17" ht="11.1" hidden="1" customHeight="1" x14ac:dyDescent="0.2">
      <c r="A1239" s="3"/>
      <c r="B1239" s="3" t="str">
        <f ca="1">IF(A1239="В заказ",MAX($B$9:OFFSET(B1239,-1,0))+1,"")</f>
        <v/>
      </c>
      <c r="C1239" s="6" t="str">
        <f t="shared" si="37"/>
        <v>Кромка 0,8 Q1345 RO  (75 м бухта).</v>
      </c>
      <c r="D1239" s="67" t="s">
        <v>241</v>
      </c>
      <c r="E1239" s="67" t="s">
        <v>34</v>
      </c>
      <c r="F1239" s="67" t="s">
        <v>2077</v>
      </c>
      <c r="G1239" s="68">
        <v>25234</v>
      </c>
      <c r="H1239" s="67" t="s">
        <v>2068</v>
      </c>
      <c r="I1239" s="200"/>
      <c r="J1239" s="67" t="s">
        <v>2078</v>
      </c>
      <c r="K1239" s="67" t="s">
        <v>547</v>
      </c>
      <c r="L1239" s="67" t="s">
        <v>2070</v>
      </c>
      <c r="M1239" s="67" t="s">
        <v>244</v>
      </c>
      <c r="N1239" s="67" t="s">
        <v>10</v>
      </c>
      <c r="O1239" s="67" t="s">
        <v>2116</v>
      </c>
      <c r="P1239" s="67" t="s">
        <v>19</v>
      </c>
      <c r="Q1239" s="192">
        <v>43.4</v>
      </c>
    </row>
    <row r="1240" spans="1:17" ht="11.1" hidden="1" customHeight="1" x14ac:dyDescent="0.2">
      <c r="A1240" s="3"/>
      <c r="B1240" s="3" t="str">
        <f ca="1">IF(A1240="В заказ",MAX($B$9:OFFSET(B1240,-1,0))+1,"")</f>
        <v/>
      </c>
      <c r="C1240" s="6" t="str">
        <f t="shared" si="37"/>
        <v>Кромка 0,8 Q1346 RO  (75 м бухта).</v>
      </c>
      <c r="D1240" s="67" t="s">
        <v>241</v>
      </c>
      <c r="E1240" s="67" t="s">
        <v>34</v>
      </c>
      <c r="F1240" s="67" t="s">
        <v>2079</v>
      </c>
      <c r="G1240" s="68">
        <v>25235</v>
      </c>
      <c r="H1240" s="67" t="s">
        <v>2068</v>
      </c>
      <c r="I1240" s="200"/>
      <c r="J1240" s="67" t="s">
        <v>2080</v>
      </c>
      <c r="K1240" s="67" t="s">
        <v>556</v>
      </c>
      <c r="L1240" s="67" t="s">
        <v>2070</v>
      </c>
      <c r="M1240" s="67" t="s">
        <v>244</v>
      </c>
      <c r="N1240" s="67" t="s">
        <v>10</v>
      </c>
      <c r="O1240" s="67" t="s">
        <v>2116</v>
      </c>
      <c r="P1240" s="67" t="s">
        <v>19</v>
      </c>
      <c r="Q1240" s="192">
        <v>43.4</v>
      </c>
    </row>
    <row r="1241" spans="1:17" ht="11.1" hidden="1" customHeight="1" x14ac:dyDescent="0.2">
      <c r="A1241" s="3"/>
      <c r="B1241" s="3" t="str">
        <f ca="1">IF(A1241="В заказ",MAX($B$9:OFFSET(B1241,-1,0))+1,"")</f>
        <v/>
      </c>
      <c r="C1241" s="6" t="str">
        <f t="shared" si="37"/>
        <v>Кромка 0,8 Q1486 RO  (75 м бухта).</v>
      </c>
      <c r="D1241" s="67" t="s">
        <v>241</v>
      </c>
      <c r="E1241" s="67" t="s">
        <v>34</v>
      </c>
      <c r="F1241" s="67" t="s">
        <v>2081</v>
      </c>
      <c r="G1241" s="68">
        <v>16725</v>
      </c>
      <c r="H1241" s="67" t="s">
        <v>2068</v>
      </c>
      <c r="I1241" s="200"/>
      <c r="J1241" s="67" t="s">
        <v>2082</v>
      </c>
      <c r="K1241" s="67" t="s">
        <v>80</v>
      </c>
      <c r="L1241" s="67" t="s">
        <v>2070</v>
      </c>
      <c r="M1241" s="67" t="s">
        <v>244</v>
      </c>
      <c r="N1241" s="67" t="s">
        <v>10</v>
      </c>
      <c r="O1241" s="67" t="s">
        <v>2116</v>
      </c>
      <c r="P1241" s="67" t="s">
        <v>19</v>
      </c>
      <c r="Q1241" s="192">
        <v>43.4</v>
      </c>
    </row>
    <row r="1242" spans="1:17" ht="11.1" hidden="1" customHeight="1" x14ac:dyDescent="0.2">
      <c r="A1242" s="3"/>
      <c r="B1242" s="3" t="str">
        <f ca="1">IF(A1242="В заказ",MAX($B$9:OFFSET(B1242,-1,0))+1,"")</f>
        <v/>
      </c>
      <c r="C1242" s="6" t="str">
        <f t="shared" si="37"/>
        <v>Кромка 0,8 Q3176 RO  (75 м бухта).</v>
      </c>
      <c r="D1242" s="67" t="s">
        <v>241</v>
      </c>
      <c r="E1242" s="67" t="s">
        <v>34</v>
      </c>
      <c r="F1242" s="67" t="s">
        <v>2083</v>
      </c>
      <c r="G1242" s="68">
        <v>22769</v>
      </c>
      <c r="H1242" s="67" t="s">
        <v>2068</v>
      </c>
      <c r="I1242" s="200"/>
      <c r="J1242" s="67" t="s">
        <v>2084</v>
      </c>
      <c r="K1242" s="67" t="s">
        <v>748</v>
      </c>
      <c r="L1242" s="67" t="s">
        <v>2070</v>
      </c>
      <c r="M1242" s="67" t="s">
        <v>244</v>
      </c>
      <c r="N1242" s="67" t="s">
        <v>10</v>
      </c>
      <c r="O1242" s="67" t="s">
        <v>2116</v>
      </c>
      <c r="P1242" s="67" t="s">
        <v>19</v>
      </c>
      <c r="Q1242" s="192">
        <v>43.4</v>
      </c>
    </row>
    <row r="1243" spans="1:17" ht="11.1" hidden="1" customHeight="1" x14ac:dyDescent="0.2">
      <c r="A1243" s="3"/>
      <c r="B1243" s="3" t="str">
        <f ca="1">IF(A1243="В заказ",MAX($B$9:OFFSET(B1243,-1,0))+1,"")</f>
        <v/>
      </c>
      <c r="C1243" s="6" t="str">
        <f t="shared" si="37"/>
        <v>Кромка 0,8 Q3309 RO  (75 м бухта).</v>
      </c>
      <c r="D1243" s="67" t="s">
        <v>241</v>
      </c>
      <c r="E1243" s="67" t="s">
        <v>34</v>
      </c>
      <c r="F1243" s="67" t="s">
        <v>2085</v>
      </c>
      <c r="G1243" s="68">
        <v>17230</v>
      </c>
      <c r="H1243" s="67" t="s">
        <v>2068</v>
      </c>
      <c r="I1243" s="200"/>
      <c r="J1243" s="67" t="s">
        <v>2086</v>
      </c>
      <c r="K1243" s="67" t="s">
        <v>115</v>
      </c>
      <c r="L1243" s="67" t="s">
        <v>2070</v>
      </c>
      <c r="M1243" s="67" t="s">
        <v>244</v>
      </c>
      <c r="N1243" s="67" t="s">
        <v>10</v>
      </c>
      <c r="O1243" s="67" t="s">
        <v>2116</v>
      </c>
      <c r="P1243" s="67" t="s">
        <v>19</v>
      </c>
      <c r="Q1243" s="192">
        <v>43.4</v>
      </c>
    </row>
    <row r="1244" spans="1:17" ht="11.1" hidden="1" customHeight="1" x14ac:dyDescent="0.2">
      <c r="A1244" s="3"/>
      <c r="B1244" s="3" t="str">
        <f ca="1">IF(A1244="В заказ",MAX($B$9:OFFSET(B1244,-1,0))+1,"")</f>
        <v/>
      </c>
      <c r="C1244" s="6" t="str">
        <f t="shared" si="37"/>
        <v>Кромка 0,8 Q3325 RO  (75 м бухта).</v>
      </c>
      <c r="D1244" s="67" t="s">
        <v>241</v>
      </c>
      <c r="E1244" s="67" t="s">
        <v>34</v>
      </c>
      <c r="F1244" s="67" t="s">
        <v>2087</v>
      </c>
      <c r="G1244" s="68">
        <v>14247</v>
      </c>
      <c r="H1244" s="67" t="s">
        <v>2068</v>
      </c>
      <c r="I1244" s="200"/>
      <c r="J1244" s="67" t="s">
        <v>2088</v>
      </c>
      <c r="K1244" s="67" t="s">
        <v>118</v>
      </c>
      <c r="L1244" s="67" t="s">
        <v>2070</v>
      </c>
      <c r="M1244" s="67" t="s">
        <v>244</v>
      </c>
      <c r="N1244" s="67" t="s">
        <v>10</v>
      </c>
      <c r="O1244" s="67" t="s">
        <v>2116</v>
      </c>
      <c r="P1244" s="67" t="s">
        <v>19</v>
      </c>
      <c r="Q1244" s="192">
        <v>43.4</v>
      </c>
    </row>
    <row r="1245" spans="1:17" ht="11.1" hidden="1" customHeight="1" x14ac:dyDescent="0.2">
      <c r="A1245" s="3"/>
      <c r="B1245" s="3" t="str">
        <f ca="1">IF(A1245="В заказ",MAX($B$9:OFFSET(B1245,-1,0))+1,"")</f>
        <v/>
      </c>
      <c r="C1245" s="6" t="str">
        <f t="shared" si="37"/>
        <v>Кромка 0,8 Q3326 RO  (75 м бухта).</v>
      </c>
      <c r="D1245" s="67" t="s">
        <v>241</v>
      </c>
      <c r="E1245" s="67" t="s">
        <v>34</v>
      </c>
      <c r="F1245" s="67" t="s">
        <v>2089</v>
      </c>
      <c r="G1245" s="68">
        <v>17231</v>
      </c>
      <c r="H1245" s="67" t="s">
        <v>2068</v>
      </c>
      <c r="I1245" s="200"/>
      <c r="J1245" s="67" t="s">
        <v>2090</v>
      </c>
      <c r="K1245" s="67" t="s">
        <v>811</v>
      </c>
      <c r="L1245" s="67" t="s">
        <v>2070</v>
      </c>
      <c r="M1245" s="67" t="s">
        <v>244</v>
      </c>
      <c r="N1245" s="67" t="s">
        <v>10</v>
      </c>
      <c r="O1245" s="67" t="s">
        <v>2116</v>
      </c>
      <c r="P1245" s="67" t="s">
        <v>19</v>
      </c>
      <c r="Q1245" s="192">
        <v>43.4</v>
      </c>
    </row>
    <row r="1246" spans="1:17" ht="11.1" hidden="1" customHeight="1" x14ac:dyDescent="0.2">
      <c r="A1246" s="3"/>
      <c r="B1246" s="3" t="str">
        <f ca="1">IF(A1246="В заказ",MAX($B$9:OFFSET(B1246,-1,0))+1,"")</f>
        <v/>
      </c>
      <c r="C1246" s="6" t="str">
        <f t="shared" si="37"/>
        <v>Кромка 0,8 Q3408 RO  (75 м бухта).</v>
      </c>
      <c r="D1246" s="67" t="s">
        <v>241</v>
      </c>
      <c r="E1246" s="67" t="s">
        <v>34</v>
      </c>
      <c r="F1246" s="67" t="s">
        <v>2091</v>
      </c>
      <c r="G1246" s="68">
        <v>25236</v>
      </c>
      <c r="H1246" s="67" t="s">
        <v>2068</v>
      </c>
      <c r="I1246" s="200"/>
      <c r="J1246" s="67" t="s">
        <v>2092</v>
      </c>
      <c r="K1246" s="67" t="s">
        <v>861</v>
      </c>
      <c r="L1246" s="67" t="s">
        <v>2070</v>
      </c>
      <c r="M1246" s="67" t="s">
        <v>244</v>
      </c>
      <c r="N1246" s="67" t="s">
        <v>10</v>
      </c>
      <c r="O1246" s="67" t="s">
        <v>2116</v>
      </c>
      <c r="P1246" s="67" t="s">
        <v>19</v>
      </c>
      <c r="Q1246" s="192">
        <v>43.4</v>
      </c>
    </row>
    <row r="1247" spans="1:17" ht="11.1" hidden="1" customHeight="1" x14ac:dyDescent="0.2">
      <c r="A1247" s="3"/>
      <c r="B1247" s="3" t="str">
        <f ca="1">IF(A1247="В заказ",MAX($B$9:OFFSET(B1247,-1,0))+1,"")</f>
        <v/>
      </c>
      <c r="C1247" s="6" t="str">
        <f t="shared" si="37"/>
        <v>Кромка 0,4 U104 ST9  (200 м бухта).</v>
      </c>
      <c r="D1247" s="67" t="s">
        <v>241</v>
      </c>
      <c r="E1247" s="67" t="s">
        <v>151</v>
      </c>
      <c r="F1247" s="67" t="s">
        <v>975</v>
      </c>
      <c r="G1247" s="68">
        <v>13059</v>
      </c>
      <c r="H1247" s="67" t="s">
        <v>976</v>
      </c>
      <c r="I1247" s="200"/>
      <c r="J1247" s="67" t="s">
        <v>153</v>
      </c>
      <c r="K1247" s="67" t="s">
        <v>154</v>
      </c>
      <c r="L1247" s="67" t="s">
        <v>22</v>
      </c>
      <c r="M1247" s="67" t="s">
        <v>252</v>
      </c>
      <c r="N1247" s="67" t="s">
        <v>253</v>
      </c>
      <c r="O1247" s="67" t="s">
        <v>2117</v>
      </c>
      <c r="P1247" s="67" t="s">
        <v>19</v>
      </c>
      <c r="Q1247" s="71">
        <v>11</v>
      </c>
    </row>
    <row r="1248" spans="1:17" ht="11.1" hidden="1" customHeight="1" x14ac:dyDescent="0.2">
      <c r="A1248" s="3"/>
      <c r="B1248" s="3" t="str">
        <f ca="1">IF(A1248="В заказ",MAX($B$9:OFFSET(B1248,-1,0))+1,"")</f>
        <v/>
      </c>
      <c r="C1248" s="6" t="str">
        <f t="shared" si="37"/>
        <v>Кромка 0,4 U104 ST9  (200 м бухта).</v>
      </c>
      <c r="D1248" s="67" t="s">
        <v>241</v>
      </c>
      <c r="E1248" s="67" t="s">
        <v>151</v>
      </c>
      <c r="F1248" s="67" t="s">
        <v>977</v>
      </c>
      <c r="G1248" s="68">
        <v>23042</v>
      </c>
      <c r="H1248" s="67" t="s">
        <v>976</v>
      </c>
      <c r="I1248" s="200"/>
      <c r="J1248" s="67" t="s">
        <v>153</v>
      </c>
      <c r="K1248" s="67" t="s">
        <v>154</v>
      </c>
      <c r="L1248" s="67" t="s">
        <v>22</v>
      </c>
      <c r="M1248" s="67" t="s">
        <v>244</v>
      </c>
      <c r="N1248" s="67" t="s">
        <v>253</v>
      </c>
      <c r="O1248" s="67" t="s">
        <v>2117</v>
      </c>
      <c r="P1248" s="67" t="s">
        <v>19</v>
      </c>
      <c r="Q1248" s="192">
        <v>13.2</v>
      </c>
    </row>
    <row r="1249" spans="1:17" ht="11.1" hidden="1" customHeight="1" x14ac:dyDescent="0.2">
      <c r="A1249" s="3"/>
      <c r="B1249" s="3" t="str">
        <f ca="1">IF(A1249="В заказ",MAX($B$9:OFFSET(B1249,-1,0))+1,"")</f>
        <v/>
      </c>
      <c r="C1249" s="6" t="str">
        <f t="shared" si="37"/>
        <v>Кромка 0,4 U104 ST9  (200 м бухта).</v>
      </c>
      <c r="D1249" s="67" t="s">
        <v>241</v>
      </c>
      <c r="E1249" s="67" t="s">
        <v>151</v>
      </c>
      <c r="F1249" s="67" t="s">
        <v>978</v>
      </c>
      <c r="G1249" s="68">
        <v>14223</v>
      </c>
      <c r="H1249" s="67" t="s">
        <v>976</v>
      </c>
      <c r="I1249" s="200"/>
      <c r="J1249" s="67" t="s">
        <v>153</v>
      </c>
      <c r="K1249" s="67" t="s">
        <v>154</v>
      </c>
      <c r="L1249" s="67" t="s">
        <v>22</v>
      </c>
      <c r="M1249" s="67" t="s">
        <v>264</v>
      </c>
      <c r="N1249" s="67" t="s">
        <v>253</v>
      </c>
      <c r="O1249" s="67" t="s">
        <v>2117</v>
      </c>
      <c r="P1249" s="67" t="s">
        <v>19</v>
      </c>
      <c r="Q1249" s="192">
        <v>17.100000000000001</v>
      </c>
    </row>
    <row r="1250" spans="1:17" ht="11.1" hidden="1" customHeight="1" x14ac:dyDescent="0.2">
      <c r="A1250" s="3"/>
      <c r="B1250" s="3" t="str">
        <f ca="1">IF(A1250="В заказ",MAX($B$9:OFFSET(B1250,-1,0))+1,"")</f>
        <v/>
      </c>
      <c r="C1250" s="6" t="str">
        <f t="shared" si="37"/>
        <v>Кромка 0,8 U104 ST9  (75 м бухта).</v>
      </c>
      <c r="D1250" s="67" t="s">
        <v>241</v>
      </c>
      <c r="E1250" s="67" t="s">
        <v>151</v>
      </c>
      <c r="F1250" s="67" t="s">
        <v>979</v>
      </c>
      <c r="G1250" s="68">
        <v>13340</v>
      </c>
      <c r="H1250" s="67" t="s">
        <v>976</v>
      </c>
      <c r="I1250" s="200"/>
      <c r="J1250" s="67" t="s">
        <v>153</v>
      </c>
      <c r="K1250" s="67" t="s">
        <v>154</v>
      </c>
      <c r="L1250" s="67" t="s">
        <v>22</v>
      </c>
      <c r="M1250" s="67" t="s">
        <v>252</v>
      </c>
      <c r="N1250" s="67" t="s">
        <v>10</v>
      </c>
      <c r="O1250" s="67" t="s">
        <v>2116</v>
      </c>
      <c r="P1250" s="67" t="s">
        <v>19</v>
      </c>
      <c r="Q1250" s="192">
        <v>25.7</v>
      </c>
    </row>
    <row r="1251" spans="1:17" ht="11.1" hidden="1" customHeight="1" x14ac:dyDescent="0.2">
      <c r="A1251" s="3"/>
      <c r="B1251" s="3" t="str">
        <f ca="1">IF(A1251="В заказ",MAX($B$9:OFFSET(B1251,-1,0))+1,"")</f>
        <v/>
      </c>
      <c r="C1251" s="6" t="str">
        <f t="shared" si="37"/>
        <v>Кромка 0,8 U104 ST9  (75 м бухта).</v>
      </c>
      <c r="D1251" s="67" t="s">
        <v>241</v>
      </c>
      <c r="E1251" s="67" t="s">
        <v>151</v>
      </c>
      <c r="F1251" s="67" t="s">
        <v>980</v>
      </c>
      <c r="G1251" s="68">
        <v>22681</v>
      </c>
      <c r="H1251" s="67" t="s">
        <v>976</v>
      </c>
      <c r="I1251" s="200"/>
      <c r="J1251" s="67" t="s">
        <v>153</v>
      </c>
      <c r="K1251" s="67" t="s">
        <v>154</v>
      </c>
      <c r="L1251" s="67" t="s">
        <v>22</v>
      </c>
      <c r="M1251" s="67" t="s">
        <v>244</v>
      </c>
      <c r="N1251" s="67" t="s">
        <v>10</v>
      </c>
      <c r="O1251" s="67" t="s">
        <v>2116</v>
      </c>
      <c r="P1251" s="67" t="s">
        <v>19</v>
      </c>
      <c r="Q1251" s="71">
        <v>31</v>
      </c>
    </row>
    <row r="1252" spans="1:17" ht="11.1" hidden="1" customHeight="1" x14ac:dyDescent="0.2">
      <c r="A1252" s="3"/>
      <c r="B1252" s="3" t="str">
        <f ca="1">IF(A1252="В заказ",MAX($B$9:OFFSET(B1252,-1,0))+1,"")</f>
        <v/>
      </c>
      <c r="C1252" s="6" t="str">
        <f t="shared" si="37"/>
        <v>Кромка 2,0 U104 ST9  (75 м бухта).</v>
      </c>
      <c r="D1252" s="67" t="s">
        <v>241</v>
      </c>
      <c r="E1252" s="67" t="s">
        <v>151</v>
      </c>
      <c r="F1252" s="67" t="s">
        <v>981</v>
      </c>
      <c r="G1252" s="68">
        <v>13058</v>
      </c>
      <c r="H1252" s="67" t="s">
        <v>976</v>
      </c>
      <c r="I1252" s="200"/>
      <c r="J1252" s="67" t="s">
        <v>153</v>
      </c>
      <c r="K1252" s="67" t="s">
        <v>154</v>
      </c>
      <c r="L1252" s="67" t="s">
        <v>22</v>
      </c>
      <c r="M1252" s="67" t="s">
        <v>252</v>
      </c>
      <c r="N1252" s="67" t="s">
        <v>259</v>
      </c>
      <c r="O1252" s="67" t="s">
        <v>2116</v>
      </c>
      <c r="P1252" s="67" t="s">
        <v>19</v>
      </c>
      <c r="Q1252" s="192">
        <v>48.1</v>
      </c>
    </row>
    <row r="1253" spans="1:17" ht="11.1" hidden="1" customHeight="1" x14ac:dyDescent="0.2">
      <c r="A1253" s="3"/>
      <c r="B1253" s="3" t="str">
        <f ca="1">IF(A1253="В заказ",MAX($B$9:OFFSET(B1253,-1,0))+1,"")</f>
        <v/>
      </c>
      <c r="C1253" s="6" t="str">
        <f t="shared" si="37"/>
        <v>Кромка 2,0 U104 ST9  (75 м бухта).</v>
      </c>
      <c r="D1253" s="67" t="s">
        <v>241</v>
      </c>
      <c r="E1253" s="67" t="s">
        <v>151</v>
      </c>
      <c r="F1253" s="67" t="s">
        <v>982</v>
      </c>
      <c r="G1253" s="68">
        <v>14287</v>
      </c>
      <c r="H1253" s="67" t="s">
        <v>976</v>
      </c>
      <c r="I1253" s="200"/>
      <c r="J1253" s="67" t="s">
        <v>153</v>
      </c>
      <c r="K1253" s="67" t="s">
        <v>154</v>
      </c>
      <c r="L1253" s="67" t="s">
        <v>22</v>
      </c>
      <c r="M1253" s="67" t="s">
        <v>244</v>
      </c>
      <c r="N1253" s="67" t="s">
        <v>259</v>
      </c>
      <c r="O1253" s="67" t="s">
        <v>2116</v>
      </c>
      <c r="P1253" s="67" t="s">
        <v>19</v>
      </c>
      <c r="Q1253" s="192">
        <v>53.1</v>
      </c>
    </row>
    <row r="1254" spans="1:17" ht="11.1" hidden="1" customHeight="1" x14ac:dyDescent="0.2">
      <c r="A1254" s="3"/>
      <c r="B1254" s="3" t="str">
        <f ca="1">IF(A1254="В заказ",MAX($B$9:OFFSET(B1254,-1,0))+1,"")</f>
        <v/>
      </c>
      <c r="C1254" s="6" t="str">
        <f t="shared" si="37"/>
        <v>Кромка 2,0 U104 ST9  (75 м бухта).</v>
      </c>
      <c r="D1254" s="67" t="s">
        <v>241</v>
      </c>
      <c r="E1254" s="67" t="s">
        <v>151</v>
      </c>
      <c r="F1254" s="67" t="s">
        <v>983</v>
      </c>
      <c r="G1254" s="68">
        <v>13542</v>
      </c>
      <c r="H1254" s="67" t="s">
        <v>976</v>
      </c>
      <c r="I1254" s="200"/>
      <c r="J1254" s="67" t="s">
        <v>153</v>
      </c>
      <c r="K1254" s="67" t="s">
        <v>154</v>
      </c>
      <c r="L1254" s="67" t="s">
        <v>22</v>
      </c>
      <c r="M1254" s="67" t="s">
        <v>264</v>
      </c>
      <c r="N1254" s="67" t="s">
        <v>259</v>
      </c>
      <c r="O1254" s="67" t="s">
        <v>2116</v>
      </c>
      <c r="P1254" s="67" t="s">
        <v>19</v>
      </c>
      <c r="Q1254" s="192">
        <v>72.400000000000006</v>
      </c>
    </row>
    <row r="1255" spans="1:17" ht="11.1" hidden="1" customHeight="1" x14ac:dyDescent="0.2">
      <c r="A1255" s="3"/>
      <c r="B1255" s="3" t="str">
        <f ca="1">IF(A1255="В заказ",MAX($B$9:OFFSET(B1255,-1,0))+1,"")</f>
        <v/>
      </c>
      <c r="C1255" s="6" t="str">
        <f t="shared" si="37"/>
        <v>Кромка 2,0 U104 ST9  (75 м бухта).</v>
      </c>
      <c r="D1255" s="67" t="s">
        <v>241</v>
      </c>
      <c r="E1255" s="67" t="s">
        <v>151</v>
      </c>
      <c r="F1255" s="67" t="s">
        <v>984</v>
      </c>
      <c r="G1255" s="68">
        <v>14043</v>
      </c>
      <c r="H1255" s="67" t="s">
        <v>976</v>
      </c>
      <c r="I1255" s="200"/>
      <c r="J1255" s="67" t="s">
        <v>153</v>
      </c>
      <c r="K1255" s="67" t="s">
        <v>154</v>
      </c>
      <c r="L1255" s="67" t="s">
        <v>22</v>
      </c>
      <c r="M1255" s="67" t="s">
        <v>270</v>
      </c>
      <c r="N1255" s="67" t="s">
        <v>259</v>
      </c>
      <c r="O1255" s="67" t="s">
        <v>2116</v>
      </c>
      <c r="P1255" s="67" t="s">
        <v>19</v>
      </c>
      <c r="Q1255" s="192">
        <v>97.2</v>
      </c>
    </row>
    <row r="1256" spans="1:17" ht="11.1" hidden="1" customHeight="1" x14ac:dyDescent="0.2">
      <c r="A1256" s="3"/>
      <c r="B1256" s="3" t="str">
        <f ca="1">IF(A1256="В заказ",MAX($B$9:OFFSET(B1256,-1,0))+1,"")</f>
        <v/>
      </c>
      <c r="C1256" s="6" t="str">
        <f t="shared" si="37"/>
        <v>Кромка 0,4 U108 ST9  (200 м бухта).</v>
      </c>
      <c r="D1256" s="67" t="s">
        <v>241</v>
      </c>
      <c r="E1256" s="67" t="s">
        <v>151</v>
      </c>
      <c r="F1256" s="67" t="s">
        <v>985</v>
      </c>
      <c r="G1256" s="68">
        <v>13060</v>
      </c>
      <c r="H1256" s="67" t="s">
        <v>976</v>
      </c>
      <c r="I1256" s="200"/>
      <c r="J1256" s="67" t="s">
        <v>155</v>
      </c>
      <c r="K1256" s="67" t="s">
        <v>156</v>
      </c>
      <c r="L1256" s="67" t="s">
        <v>22</v>
      </c>
      <c r="M1256" s="67" t="s">
        <v>252</v>
      </c>
      <c r="N1256" s="67" t="s">
        <v>253</v>
      </c>
      <c r="O1256" s="67" t="s">
        <v>2117</v>
      </c>
      <c r="P1256" s="67" t="s">
        <v>19</v>
      </c>
      <c r="Q1256" s="71">
        <v>11</v>
      </c>
    </row>
    <row r="1257" spans="1:17" ht="11.1" hidden="1" customHeight="1" x14ac:dyDescent="0.2">
      <c r="A1257" s="3"/>
      <c r="B1257" s="3" t="str">
        <f ca="1">IF(A1257="В заказ",MAX($B$9:OFFSET(B1257,-1,0))+1,"")</f>
        <v/>
      </c>
      <c r="C1257" s="6" t="str">
        <f t="shared" si="37"/>
        <v>Кромка 0,4 U108 ST9  (200 м бухта).</v>
      </c>
      <c r="D1257" s="67" t="s">
        <v>241</v>
      </c>
      <c r="E1257" s="67" t="s">
        <v>151</v>
      </c>
      <c r="F1257" s="67" t="s">
        <v>986</v>
      </c>
      <c r="G1257" s="68">
        <v>24172</v>
      </c>
      <c r="H1257" s="67" t="s">
        <v>976</v>
      </c>
      <c r="I1257" s="200"/>
      <c r="J1257" s="67" t="s">
        <v>155</v>
      </c>
      <c r="K1257" s="67" t="s">
        <v>156</v>
      </c>
      <c r="L1257" s="67" t="s">
        <v>22</v>
      </c>
      <c r="M1257" s="67" t="s">
        <v>244</v>
      </c>
      <c r="N1257" s="67" t="s">
        <v>253</v>
      </c>
      <c r="O1257" s="67" t="s">
        <v>2117</v>
      </c>
      <c r="P1257" s="67" t="s">
        <v>19</v>
      </c>
      <c r="Q1257" s="192">
        <v>13.2</v>
      </c>
    </row>
    <row r="1258" spans="1:17" ht="11.1" hidden="1" customHeight="1" x14ac:dyDescent="0.2">
      <c r="A1258" s="3"/>
      <c r="B1258" s="3" t="str">
        <f ca="1">IF(A1258="В заказ",MAX($B$9:OFFSET(B1258,-1,0))+1,"")</f>
        <v/>
      </c>
      <c r="C1258" s="6" t="str">
        <f t="shared" si="37"/>
        <v>Кромка 0,4 U108 ST9  (200 м бухта).</v>
      </c>
      <c r="D1258" s="67" t="s">
        <v>241</v>
      </c>
      <c r="E1258" s="67" t="s">
        <v>151</v>
      </c>
      <c r="F1258" s="67" t="s">
        <v>987</v>
      </c>
      <c r="G1258" s="68">
        <v>13061</v>
      </c>
      <c r="H1258" s="67" t="s">
        <v>976</v>
      </c>
      <c r="I1258" s="200"/>
      <c r="J1258" s="67" t="s">
        <v>155</v>
      </c>
      <c r="K1258" s="67" t="s">
        <v>156</v>
      </c>
      <c r="L1258" s="67" t="s">
        <v>22</v>
      </c>
      <c r="M1258" s="67" t="s">
        <v>264</v>
      </c>
      <c r="N1258" s="67" t="s">
        <v>253</v>
      </c>
      <c r="O1258" s="67" t="s">
        <v>2117</v>
      </c>
      <c r="P1258" s="67" t="s">
        <v>19</v>
      </c>
      <c r="Q1258" s="192">
        <v>17.100000000000001</v>
      </c>
    </row>
    <row r="1259" spans="1:17" ht="11.1" hidden="1" customHeight="1" x14ac:dyDescent="0.2">
      <c r="A1259" s="3"/>
      <c r="B1259" s="3" t="str">
        <f ca="1">IF(A1259="В заказ",MAX($B$9:OFFSET(B1259,-1,0))+1,"")</f>
        <v/>
      </c>
      <c r="C1259" s="6" t="str">
        <f t="shared" si="37"/>
        <v>Кромка 0,8 U108 ST9  (75 м бухта).</v>
      </c>
      <c r="D1259" s="67" t="s">
        <v>241</v>
      </c>
      <c r="E1259" s="67" t="s">
        <v>151</v>
      </c>
      <c r="F1259" s="67" t="s">
        <v>988</v>
      </c>
      <c r="G1259" s="68">
        <v>12491</v>
      </c>
      <c r="H1259" s="67" t="s">
        <v>976</v>
      </c>
      <c r="I1259" s="200"/>
      <c r="J1259" s="67" t="s">
        <v>155</v>
      </c>
      <c r="K1259" s="67" t="s">
        <v>156</v>
      </c>
      <c r="L1259" s="67" t="s">
        <v>22</v>
      </c>
      <c r="M1259" s="67" t="s">
        <v>252</v>
      </c>
      <c r="N1259" s="67" t="s">
        <v>10</v>
      </c>
      <c r="O1259" s="67" t="s">
        <v>2116</v>
      </c>
      <c r="P1259" s="67" t="s">
        <v>19</v>
      </c>
      <c r="Q1259" s="192">
        <v>25.7</v>
      </c>
    </row>
    <row r="1260" spans="1:17" ht="11.1" hidden="1" customHeight="1" x14ac:dyDescent="0.2">
      <c r="A1260" s="3"/>
      <c r="B1260" s="3" t="str">
        <f ca="1">IF(A1260="В заказ",MAX($B$9:OFFSET(B1260,-1,0))+1,"")</f>
        <v/>
      </c>
      <c r="C1260" s="6" t="str">
        <f t="shared" si="37"/>
        <v>Кромка 0,8 U108 ST9  (75 м бухта).</v>
      </c>
      <c r="D1260" s="67" t="s">
        <v>241</v>
      </c>
      <c r="E1260" s="67" t="s">
        <v>151</v>
      </c>
      <c r="F1260" s="67" t="s">
        <v>989</v>
      </c>
      <c r="G1260" s="68">
        <v>14164</v>
      </c>
      <c r="H1260" s="67" t="s">
        <v>976</v>
      </c>
      <c r="I1260" s="200"/>
      <c r="J1260" s="67" t="s">
        <v>155</v>
      </c>
      <c r="K1260" s="67" t="s">
        <v>156</v>
      </c>
      <c r="L1260" s="67" t="s">
        <v>22</v>
      </c>
      <c r="M1260" s="67" t="s">
        <v>244</v>
      </c>
      <c r="N1260" s="67" t="s">
        <v>10</v>
      </c>
      <c r="O1260" s="67" t="s">
        <v>2116</v>
      </c>
      <c r="P1260" s="67" t="s">
        <v>19</v>
      </c>
      <c r="Q1260" s="71">
        <v>31</v>
      </c>
    </row>
    <row r="1261" spans="1:17" ht="11.1" hidden="1" customHeight="1" x14ac:dyDescent="0.2">
      <c r="A1261" s="3"/>
      <c r="B1261" s="3" t="str">
        <f ca="1">IF(A1261="В заказ",MAX($B$9:OFFSET(B1261,-1,0))+1,"")</f>
        <v/>
      </c>
      <c r="C1261" s="6" t="str">
        <f t="shared" si="37"/>
        <v>Кромка 0,8 U108 ST9  (75 м бухта).</v>
      </c>
      <c r="D1261" s="67" t="s">
        <v>241</v>
      </c>
      <c r="E1261" s="67" t="s">
        <v>151</v>
      </c>
      <c r="F1261" s="67" t="s">
        <v>990</v>
      </c>
      <c r="G1261" s="68">
        <v>14579</v>
      </c>
      <c r="H1261" s="67" t="s">
        <v>976</v>
      </c>
      <c r="I1261" s="200"/>
      <c r="J1261" s="67" t="s">
        <v>155</v>
      </c>
      <c r="K1261" s="67" t="s">
        <v>156</v>
      </c>
      <c r="L1261" s="67" t="s">
        <v>22</v>
      </c>
      <c r="M1261" s="67" t="s">
        <v>264</v>
      </c>
      <c r="N1261" s="67" t="s">
        <v>10</v>
      </c>
      <c r="O1261" s="67" t="s">
        <v>2116</v>
      </c>
      <c r="P1261" s="67" t="s">
        <v>19</v>
      </c>
      <c r="Q1261" s="192">
        <v>47.5</v>
      </c>
    </row>
    <row r="1262" spans="1:17" ht="11.1" hidden="1" customHeight="1" x14ac:dyDescent="0.2">
      <c r="A1262" s="3"/>
      <c r="B1262" s="3" t="str">
        <f ca="1">IF(A1262="В заказ",MAX($B$9:OFFSET(B1262,-1,0))+1,"")</f>
        <v/>
      </c>
      <c r="C1262" s="6" t="str">
        <f t="shared" si="37"/>
        <v>Кромка 2,0 U108 ST9  (75 м бухта).</v>
      </c>
      <c r="D1262" s="67" t="s">
        <v>241</v>
      </c>
      <c r="E1262" s="67" t="s">
        <v>151</v>
      </c>
      <c r="F1262" s="67" t="s">
        <v>991</v>
      </c>
      <c r="G1262" s="68">
        <v>13062</v>
      </c>
      <c r="H1262" s="67" t="s">
        <v>976</v>
      </c>
      <c r="I1262" s="200"/>
      <c r="J1262" s="67" t="s">
        <v>155</v>
      </c>
      <c r="K1262" s="67" t="s">
        <v>156</v>
      </c>
      <c r="L1262" s="67" t="s">
        <v>22</v>
      </c>
      <c r="M1262" s="67" t="s">
        <v>252</v>
      </c>
      <c r="N1262" s="67" t="s">
        <v>259</v>
      </c>
      <c r="O1262" s="67" t="s">
        <v>2116</v>
      </c>
      <c r="P1262" s="67" t="s">
        <v>19</v>
      </c>
      <c r="Q1262" s="192">
        <v>48.1</v>
      </c>
    </row>
    <row r="1263" spans="1:17" ht="11.1" hidden="1" customHeight="1" x14ac:dyDescent="0.2">
      <c r="A1263" s="3"/>
      <c r="B1263" s="3" t="str">
        <f ca="1">IF(A1263="В заказ",MAX($B$9:OFFSET(B1263,-1,0))+1,"")</f>
        <v/>
      </c>
      <c r="C1263" s="6" t="str">
        <f t="shared" si="37"/>
        <v>Кромка 2,0 U108 ST9  (75 м бухта).</v>
      </c>
      <c r="D1263" s="67" t="s">
        <v>241</v>
      </c>
      <c r="E1263" s="67" t="s">
        <v>151</v>
      </c>
      <c r="F1263" s="67" t="s">
        <v>992</v>
      </c>
      <c r="G1263" s="68">
        <v>14101</v>
      </c>
      <c r="H1263" s="67" t="s">
        <v>976</v>
      </c>
      <c r="I1263" s="200"/>
      <c r="J1263" s="67" t="s">
        <v>155</v>
      </c>
      <c r="K1263" s="67" t="s">
        <v>156</v>
      </c>
      <c r="L1263" s="67" t="s">
        <v>22</v>
      </c>
      <c r="M1263" s="67" t="s">
        <v>244</v>
      </c>
      <c r="N1263" s="67" t="s">
        <v>259</v>
      </c>
      <c r="O1263" s="67" t="s">
        <v>2116</v>
      </c>
      <c r="P1263" s="67" t="s">
        <v>19</v>
      </c>
      <c r="Q1263" s="192">
        <v>53.1</v>
      </c>
    </row>
    <row r="1264" spans="1:17" ht="11.1" hidden="1" customHeight="1" x14ac:dyDescent="0.2">
      <c r="A1264" s="3"/>
      <c r="B1264" s="3" t="str">
        <f ca="1">IF(A1264="В заказ",MAX($B$9:OFFSET(B1264,-1,0))+1,"")</f>
        <v/>
      </c>
      <c r="C1264" s="6" t="str">
        <f t="shared" si="37"/>
        <v>Кромка 2,0 U108 ST9  (75 м бухта).</v>
      </c>
      <c r="D1264" s="67" t="s">
        <v>241</v>
      </c>
      <c r="E1264" s="67" t="s">
        <v>151</v>
      </c>
      <c r="F1264" s="67" t="s">
        <v>993</v>
      </c>
      <c r="G1264" s="68">
        <v>13063</v>
      </c>
      <c r="H1264" s="67" t="s">
        <v>976</v>
      </c>
      <c r="I1264" s="200"/>
      <c r="J1264" s="67" t="s">
        <v>155</v>
      </c>
      <c r="K1264" s="67" t="s">
        <v>156</v>
      </c>
      <c r="L1264" s="67" t="s">
        <v>22</v>
      </c>
      <c r="M1264" s="67" t="s">
        <v>264</v>
      </c>
      <c r="N1264" s="67" t="s">
        <v>259</v>
      </c>
      <c r="O1264" s="67" t="s">
        <v>2116</v>
      </c>
      <c r="P1264" s="67" t="s">
        <v>19</v>
      </c>
      <c r="Q1264" s="192">
        <v>72.400000000000006</v>
      </c>
    </row>
    <row r="1265" spans="1:17" ht="11.1" hidden="1" customHeight="1" x14ac:dyDescent="0.2">
      <c r="A1265" s="3"/>
      <c r="B1265" s="3" t="str">
        <f ca="1">IF(A1265="В заказ",MAX($B$9:OFFSET(B1265,-1,0))+1,"")</f>
        <v/>
      </c>
      <c r="C1265" s="6" t="str">
        <f t="shared" si="37"/>
        <v>Кромка 2,0 U108 ST9  (75 м бухта).</v>
      </c>
      <c r="D1265" s="67" t="s">
        <v>241</v>
      </c>
      <c r="E1265" s="67" t="s">
        <v>151</v>
      </c>
      <c r="F1265" s="67" t="s">
        <v>994</v>
      </c>
      <c r="G1265" s="68">
        <v>13064</v>
      </c>
      <c r="H1265" s="67" t="s">
        <v>976</v>
      </c>
      <c r="I1265" s="200"/>
      <c r="J1265" s="67" t="s">
        <v>155</v>
      </c>
      <c r="K1265" s="67" t="s">
        <v>156</v>
      </c>
      <c r="L1265" s="67" t="s">
        <v>22</v>
      </c>
      <c r="M1265" s="67" t="s">
        <v>270</v>
      </c>
      <c r="N1265" s="67" t="s">
        <v>259</v>
      </c>
      <c r="O1265" s="67" t="s">
        <v>2116</v>
      </c>
      <c r="P1265" s="67" t="s">
        <v>19</v>
      </c>
      <c r="Q1265" s="192">
        <v>97.2</v>
      </c>
    </row>
    <row r="1266" spans="1:17" ht="11.1" hidden="1" customHeight="1" x14ac:dyDescent="0.2">
      <c r="A1266" s="3"/>
      <c r="B1266" s="3" t="str">
        <f ca="1">IF(A1266="В заказ",MAX($B$9:OFFSET(B1266,-1,0))+1,"")</f>
        <v/>
      </c>
      <c r="C1266" s="6" t="str">
        <f t="shared" si="37"/>
        <v>Кромка 0,4 U113 ST9  (200 м бухта).</v>
      </c>
      <c r="D1266" s="67" t="s">
        <v>241</v>
      </c>
      <c r="E1266" s="67" t="s">
        <v>151</v>
      </c>
      <c r="F1266" s="67" t="s">
        <v>995</v>
      </c>
      <c r="G1266" s="68">
        <v>13882</v>
      </c>
      <c r="H1266" s="67" t="s">
        <v>976</v>
      </c>
      <c r="I1266" s="200"/>
      <c r="J1266" s="67" t="s">
        <v>157</v>
      </c>
      <c r="K1266" s="67" t="s">
        <v>158</v>
      </c>
      <c r="L1266" s="67" t="s">
        <v>22</v>
      </c>
      <c r="M1266" s="67" t="s">
        <v>252</v>
      </c>
      <c r="N1266" s="67" t="s">
        <v>253</v>
      </c>
      <c r="O1266" s="67" t="s">
        <v>2117</v>
      </c>
      <c r="P1266" s="67" t="s">
        <v>19</v>
      </c>
      <c r="Q1266" s="71">
        <v>11</v>
      </c>
    </row>
    <row r="1267" spans="1:17" ht="11.1" hidden="1" customHeight="1" x14ac:dyDescent="0.2">
      <c r="A1267" s="3"/>
      <c r="B1267" s="3" t="str">
        <f ca="1">IF(A1267="В заказ",MAX($B$9:OFFSET(B1267,-1,0))+1,"")</f>
        <v/>
      </c>
      <c r="C1267" s="6" t="str">
        <f t="shared" si="37"/>
        <v>Кромка 0,4 U113 ST9  (200 м бухта).</v>
      </c>
      <c r="D1267" s="67" t="s">
        <v>241</v>
      </c>
      <c r="E1267" s="67" t="s">
        <v>151</v>
      </c>
      <c r="F1267" s="67" t="s">
        <v>996</v>
      </c>
      <c r="G1267" s="68">
        <v>24533</v>
      </c>
      <c r="H1267" s="67" t="s">
        <v>976</v>
      </c>
      <c r="I1267" s="200"/>
      <c r="J1267" s="67" t="s">
        <v>157</v>
      </c>
      <c r="K1267" s="67" t="s">
        <v>158</v>
      </c>
      <c r="L1267" s="67" t="s">
        <v>22</v>
      </c>
      <c r="M1267" s="67" t="s">
        <v>244</v>
      </c>
      <c r="N1267" s="67" t="s">
        <v>253</v>
      </c>
      <c r="O1267" s="67" t="s">
        <v>2117</v>
      </c>
      <c r="P1267" s="67" t="s">
        <v>19</v>
      </c>
      <c r="Q1267" s="192">
        <v>13.2</v>
      </c>
    </row>
    <row r="1268" spans="1:17" ht="11.1" hidden="1" customHeight="1" x14ac:dyDescent="0.2">
      <c r="A1268" s="3"/>
      <c r="B1268" s="3" t="str">
        <f ca="1">IF(A1268="В заказ",MAX($B$9:OFFSET(B1268,-1,0))+1,"")</f>
        <v/>
      </c>
      <c r="C1268" s="6" t="str">
        <f t="shared" si="37"/>
        <v>Кромка 0,4 U113 ST9  (200 м бухта).</v>
      </c>
      <c r="D1268" s="67" t="s">
        <v>241</v>
      </c>
      <c r="E1268" s="67" t="s">
        <v>151</v>
      </c>
      <c r="F1268" s="67" t="s">
        <v>997</v>
      </c>
      <c r="G1268" s="68">
        <v>16359</v>
      </c>
      <c r="H1268" s="67" t="s">
        <v>976</v>
      </c>
      <c r="I1268" s="200"/>
      <c r="J1268" s="67" t="s">
        <v>157</v>
      </c>
      <c r="K1268" s="67" t="s">
        <v>158</v>
      </c>
      <c r="L1268" s="67" t="s">
        <v>22</v>
      </c>
      <c r="M1268" s="67" t="s">
        <v>264</v>
      </c>
      <c r="N1268" s="67" t="s">
        <v>253</v>
      </c>
      <c r="O1268" s="67" t="s">
        <v>2117</v>
      </c>
      <c r="P1268" s="67" t="s">
        <v>19</v>
      </c>
      <c r="Q1268" s="192">
        <v>17.100000000000001</v>
      </c>
    </row>
    <row r="1269" spans="1:17" ht="11.1" hidden="1" customHeight="1" x14ac:dyDescent="0.2">
      <c r="A1269" s="3"/>
      <c r="B1269" s="3" t="str">
        <f ca="1">IF(A1269="В заказ",MAX($B$9:OFFSET(B1269,-1,0))+1,"")</f>
        <v/>
      </c>
      <c r="C1269" s="6" t="str">
        <f t="shared" si="37"/>
        <v>Кромка 0,8 U113 ST9  (75 м бухта).</v>
      </c>
      <c r="D1269" s="67" t="s">
        <v>241</v>
      </c>
      <c r="E1269" s="67" t="s">
        <v>151</v>
      </c>
      <c r="F1269" s="67" t="s">
        <v>998</v>
      </c>
      <c r="G1269" s="68">
        <v>15735</v>
      </c>
      <c r="H1269" s="67" t="s">
        <v>976</v>
      </c>
      <c r="I1269" s="200"/>
      <c r="J1269" s="67" t="s">
        <v>157</v>
      </c>
      <c r="K1269" s="67" t="s">
        <v>158</v>
      </c>
      <c r="L1269" s="67" t="s">
        <v>22</v>
      </c>
      <c r="M1269" s="67" t="s">
        <v>252</v>
      </c>
      <c r="N1269" s="67" t="s">
        <v>10</v>
      </c>
      <c r="O1269" s="67" t="s">
        <v>2116</v>
      </c>
      <c r="P1269" s="67" t="s">
        <v>19</v>
      </c>
      <c r="Q1269" s="192">
        <v>25.7</v>
      </c>
    </row>
    <row r="1270" spans="1:17" ht="11.1" hidden="1" customHeight="1" x14ac:dyDescent="0.2">
      <c r="A1270" s="3"/>
      <c r="B1270" s="3" t="str">
        <f ca="1">IF(A1270="В заказ",MAX($B$9:OFFSET(B1270,-1,0))+1,"")</f>
        <v/>
      </c>
      <c r="C1270" s="6" t="str">
        <f t="shared" ref="C1270:C1333" si="38">D1270&amp;" "&amp;N1270&amp;" "&amp;IF(OR(D1270="ДСП",D1270="МДФ",D1270="Фанера",D1270="ХДФ"),M1270,J1270)&amp;" "&amp;IF(OR(D1270="ДСП",D1270="МДФ",D1270="Фанера",D1270="ХДФ"),O1270,L1270)&amp;" "&amp;IF(OR(D1270="ДСП",D1270="МДФ",D1270="Фанера",D1270="ХДФ"),"",IF(D1270="БСП",M1270,O1270))&amp;"."</f>
        <v>Кромка 0,8 U113 ST9  (75 м бухта).</v>
      </c>
      <c r="D1270" s="67" t="s">
        <v>241</v>
      </c>
      <c r="E1270" s="67" t="s">
        <v>151</v>
      </c>
      <c r="F1270" s="67" t="s">
        <v>999</v>
      </c>
      <c r="G1270" s="68">
        <v>23142</v>
      </c>
      <c r="H1270" s="67" t="s">
        <v>976</v>
      </c>
      <c r="I1270" s="200"/>
      <c r="J1270" s="67" t="s">
        <v>157</v>
      </c>
      <c r="K1270" s="67" t="s">
        <v>158</v>
      </c>
      <c r="L1270" s="67" t="s">
        <v>22</v>
      </c>
      <c r="M1270" s="67" t="s">
        <v>244</v>
      </c>
      <c r="N1270" s="67" t="s">
        <v>10</v>
      </c>
      <c r="O1270" s="67" t="s">
        <v>2116</v>
      </c>
      <c r="P1270" s="67" t="s">
        <v>19</v>
      </c>
      <c r="Q1270" s="71">
        <v>31</v>
      </c>
    </row>
    <row r="1271" spans="1:17" ht="11.1" hidden="1" customHeight="1" x14ac:dyDescent="0.2">
      <c r="A1271" s="3"/>
      <c r="B1271" s="3" t="str">
        <f ca="1">IF(A1271="В заказ",MAX($B$9:OFFSET(B1271,-1,0))+1,"")</f>
        <v/>
      </c>
      <c r="C1271" s="6" t="str">
        <f t="shared" si="38"/>
        <v>Кромка 0,8 U113 ST9  (75 м бухта).</v>
      </c>
      <c r="D1271" s="67" t="s">
        <v>241</v>
      </c>
      <c r="E1271" s="67" t="s">
        <v>151</v>
      </c>
      <c r="F1271" s="67" t="s">
        <v>1000</v>
      </c>
      <c r="G1271" s="68">
        <v>16182</v>
      </c>
      <c r="H1271" s="67" t="s">
        <v>976</v>
      </c>
      <c r="I1271" s="200"/>
      <c r="J1271" s="67" t="s">
        <v>157</v>
      </c>
      <c r="K1271" s="67" t="s">
        <v>158</v>
      </c>
      <c r="L1271" s="67" t="s">
        <v>22</v>
      </c>
      <c r="M1271" s="67" t="s">
        <v>264</v>
      </c>
      <c r="N1271" s="67" t="s">
        <v>10</v>
      </c>
      <c r="O1271" s="67" t="s">
        <v>2116</v>
      </c>
      <c r="P1271" s="67" t="s">
        <v>19</v>
      </c>
      <c r="Q1271" s="192">
        <v>47.5</v>
      </c>
    </row>
    <row r="1272" spans="1:17" ht="11.1" hidden="1" customHeight="1" x14ac:dyDescent="0.2">
      <c r="A1272" s="3"/>
      <c r="B1272" s="3" t="str">
        <f ca="1">IF(A1272="В заказ",MAX($B$9:OFFSET(B1272,-1,0))+1,"")</f>
        <v/>
      </c>
      <c r="C1272" s="6" t="str">
        <f t="shared" si="38"/>
        <v>Кромка 2,0 U113 ST9 (75 м бухта).</v>
      </c>
      <c r="D1272" s="67" t="s">
        <v>241</v>
      </c>
      <c r="E1272" s="67" t="s">
        <v>151</v>
      </c>
      <c r="F1272" s="67" t="s">
        <v>1001</v>
      </c>
      <c r="G1272" s="68">
        <v>13883</v>
      </c>
      <c r="H1272" s="67" t="s">
        <v>976</v>
      </c>
      <c r="I1272" s="200"/>
      <c r="J1272" s="67" t="s">
        <v>157</v>
      </c>
      <c r="K1272" s="67" t="s">
        <v>158</v>
      </c>
      <c r="L1272" s="67" t="s">
        <v>22</v>
      </c>
      <c r="M1272" s="67" t="s">
        <v>252</v>
      </c>
      <c r="N1272" s="67" t="s">
        <v>259</v>
      </c>
      <c r="O1272" s="67" t="s">
        <v>246</v>
      </c>
      <c r="P1272" s="67" t="s">
        <v>19</v>
      </c>
      <c r="Q1272" s="192">
        <v>48.1</v>
      </c>
    </row>
    <row r="1273" spans="1:17" ht="11.1" hidden="1" customHeight="1" x14ac:dyDescent="0.2">
      <c r="A1273" s="3"/>
      <c r="B1273" s="3" t="str">
        <f ca="1">IF(A1273="В заказ",MAX($B$9:OFFSET(B1273,-1,0))+1,"")</f>
        <v/>
      </c>
      <c r="C1273" s="6" t="str">
        <f t="shared" si="38"/>
        <v>Кромка 2,0 U113 ST9  (75 м бухта).</v>
      </c>
      <c r="D1273" s="67" t="s">
        <v>241</v>
      </c>
      <c r="E1273" s="67" t="s">
        <v>151</v>
      </c>
      <c r="F1273" s="67" t="s">
        <v>1002</v>
      </c>
      <c r="G1273" s="68">
        <v>17651</v>
      </c>
      <c r="H1273" s="67" t="s">
        <v>976</v>
      </c>
      <c r="I1273" s="200"/>
      <c r="J1273" s="67" t="s">
        <v>157</v>
      </c>
      <c r="K1273" s="67" t="s">
        <v>158</v>
      </c>
      <c r="L1273" s="67" t="s">
        <v>22</v>
      </c>
      <c r="M1273" s="67" t="s">
        <v>244</v>
      </c>
      <c r="N1273" s="67" t="s">
        <v>259</v>
      </c>
      <c r="O1273" s="67" t="s">
        <v>2116</v>
      </c>
      <c r="P1273" s="67" t="s">
        <v>19</v>
      </c>
      <c r="Q1273" s="192">
        <v>53.1</v>
      </c>
    </row>
    <row r="1274" spans="1:17" ht="11.1" hidden="1" customHeight="1" x14ac:dyDescent="0.2">
      <c r="A1274" s="3"/>
      <c r="B1274" s="3" t="str">
        <f ca="1">IF(A1274="В заказ",MAX($B$9:OFFSET(B1274,-1,0))+1,"")</f>
        <v/>
      </c>
      <c r="C1274" s="6" t="str">
        <f t="shared" si="38"/>
        <v>Кромка 2,0 U113 ST9  (75 м бухта).</v>
      </c>
      <c r="D1274" s="67" t="s">
        <v>241</v>
      </c>
      <c r="E1274" s="67" t="s">
        <v>151</v>
      </c>
      <c r="F1274" s="67" t="s">
        <v>1003</v>
      </c>
      <c r="G1274" s="68">
        <v>15447</v>
      </c>
      <c r="H1274" s="67" t="s">
        <v>976</v>
      </c>
      <c r="I1274" s="200"/>
      <c r="J1274" s="67" t="s">
        <v>157</v>
      </c>
      <c r="K1274" s="67" t="s">
        <v>158</v>
      </c>
      <c r="L1274" s="67" t="s">
        <v>22</v>
      </c>
      <c r="M1274" s="67" t="s">
        <v>264</v>
      </c>
      <c r="N1274" s="67" t="s">
        <v>259</v>
      </c>
      <c r="O1274" s="67" t="s">
        <v>2116</v>
      </c>
      <c r="P1274" s="67" t="s">
        <v>19</v>
      </c>
      <c r="Q1274" s="192">
        <v>72.400000000000006</v>
      </c>
    </row>
    <row r="1275" spans="1:17" ht="11.1" hidden="1" customHeight="1" x14ac:dyDescent="0.2">
      <c r="A1275" s="3"/>
      <c r="B1275" s="3" t="str">
        <f ca="1">IF(A1275="В заказ",MAX($B$9:OFFSET(B1275,-1,0))+1,"")</f>
        <v/>
      </c>
      <c r="C1275" s="6" t="str">
        <f t="shared" si="38"/>
        <v>Кромка 2,0 U113 ST9  (75 м бухта).</v>
      </c>
      <c r="D1275" s="67" t="s">
        <v>241</v>
      </c>
      <c r="E1275" s="67" t="s">
        <v>151</v>
      </c>
      <c r="F1275" s="67" t="s">
        <v>1004</v>
      </c>
      <c r="G1275" s="68">
        <v>16743</v>
      </c>
      <c r="H1275" s="67" t="s">
        <v>976</v>
      </c>
      <c r="I1275" s="200"/>
      <c r="J1275" s="67" t="s">
        <v>157</v>
      </c>
      <c r="K1275" s="67" t="s">
        <v>158</v>
      </c>
      <c r="L1275" s="67" t="s">
        <v>22</v>
      </c>
      <c r="M1275" s="67" t="s">
        <v>270</v>
      </c>
      <c r="N1275" s="67" t="s">
        <v>259</v>
      </c>
      <c r="O1275" s="67" t="s">
        <v>2116</v>
      </c>
      <c r="P1275" s="67" t="s">
        <v>19</v>
      </c>
      <c r="Q1275" s="192">
        <v>97.2</v>
      </c>
    </row>
    <row r="1276" spans="1:17" ht="11.1" hidden="1" customHeight="1" x14ac:dyDescent="0.2">
      <c r="A1276" s="3"/>
      <c r="B1276" s="3" t="str">
        <f ca="1">IF(A1276="В заказ",MAX($B$9:OFFSET(B1276,-1,0))+1,"")</f>
        <v/>
      </c>
      <c r="C1276" s="6" t="str">
        <f t="shared" si="38"/>
        <v>Кромка 0,4 U114 ST9  (200 м бухта).</v>
      </c>
      <c r="D1276" s="67" t="s">
        <v>241</v>
      </c>
      <c r="E1276" s="67" t="s">
        <v>151</v>
      </c>
      <c r="F1276" s="67" t="s">
        <v>1005</v>
      </c>
      <c r="G1276" s="68">
        <v>13065</v>
      </c>
      <c r="H1276" s="67" t="s">
        <v>976</v>
      </c>
      <c r="I1276" s="200"/>
      <c r="J1276" s="67" t="s">
        <v>1006</v>
      </c>
      <c r="K1276" s="67" t="s">
        <v>1007</v>
      </c>
      <c r="L1276" s="67" t="s">
        <v>22</v>
      </c>
      <c r="M1276" s="67" t="s">
        <v>252</v>
      </c>
      <c r="N1276" s="67" t="s">
        <v>253</v>
      </c>
      <c r="O1276" s="67" t="s">
        <v>2117</v>
      </c>
      <c r="P1276" s="67" t="s">
        <v>19</v>
      </c>
      <c r="Q1276" s="71">
        <v>11</v>
      </c>
    </row>
    <row r="1277" spans="1:17" ht="11.1" hidden="1" customHeight="1" x14ac:dyDescent="0.2">
      <c r="A1277" s="3"/>
      <c r="B1277" s="3" t="str">
        <f ca="1">IF(A1277="В заказ",MAX($B$9:OFFSET(B1277,-1,0))+1,"")</f>
        <v/>
      </c>
      <c r="C1277" s="6" t="str">
        <f t="shared" si="38"/>
        <v>Кромка 0,8 U114 ST9  (75 м бухта).</v>
      </c>
      <c r="D1277" s="67" t="s">
        <v>241</v>
      </c>
      <c r="E1277" s="67" t="s">
        <v>151</v>
      </c>
      <c r="F1277" s="67" t="s">
        <v>1008</v>
      </c>
      <c r="G1277" s="68">
        <v>15844</v>
      </c>
      <c r="H1277" s="67" t="s">
        <v>976</v>
      </c>
      <c r="I1277" s="200"/>
      <c r="J1277" s="67" t="s">
        <v>1006</v>
      </c>
      <c r="K1277" s="67" t="s">
        <v>1007</v>
      </c>
      <c r="L1277" s="67" t="s">
        <v>22</v>
      </c>
      <c r="M1277" s="67" t="s">
        <v>252</v>
      </c>
      <c r="N1277" s="67" t="s">
        <v>10</v>
      </c>
      <c r="O1277" s="67" t="s">
        <v>2116</v>
      </c>
      <c r="P1277" s="67" t="s">
        <v>19</v>
      </c>
      <c r="Q1277" s="192">
        <v>25.7</v>
      </c>
    </row>
    <row r="1278" spans="1:17" ht="11.1" hidden="1" customHeight="1" x14ac:dyDescent="0.2">
      <c r="A1278" s="3"/>
      <c r="B1278" s="3" t="str">
        <f ca="1">IF(A1278="В заказ",MAX($B$9:OFFSET(B1278,-1,0))+1,"")</f>
        <v/>
      </c>
      <c r="C1278" s="6" t="str">
        <f t="shared" si="38"/>
        <v>Кромка 2,0 U114 ST9  (75 м бухта).</v>
      </c>
      <c r="D1278" s="67" t="s">
        <v>241</v>
      </c>
      <c r="E1278" s="67" t="s">
        <v>151</v>
      </c>
      <c r="F1278" s="67" t="s">
        <v>1009</v>
      </c>
      <c r="G1278" s="68">
        <v>13066</v>
      </c>
      <c r="H1278" s="67" t="s">
        <v>976</v>
      </c>
      <c r="I1278" s="200"/>
      <c r="J1278" s="67" t="s">
        <v>1006</v>
      </c>
      <c r="K1278" s="67" t="s">
        <v>1007</v>
      </c>
      <c r="L1278" s="67" t="s">
        <v>22</v>
      </c>
      <c r="M1278" s="67" t="s">
        <v>252</v>
      </c>
      <c r="N1278" s="67" t="s">
        <v>259</v>
      </c>
      <c r="O1278" s="67" t="s">
        <v>2116</v>
      </c>
      <c r="P1278" s="67" t="s">
        <v>19</v>
      </c>
      <c r="Q1278" s="192">
        <v>48.1</v>
      </c>
    </row>
    <row r="1279" spans="1:17" ht="11.1" hidden="1" customHeight="1" x14ac:dyDescent="0.2">
      <c r="A1279" s="3"/>
      <c r="B1279" s="3" t="str">
        <f ca="1">IF(A1279="В заказ",MAX($B$9:OFFSET(B1279,-1,0))+1,"")</f>
        <v/>
      </c>
      <c r="C1279" s="6" t="str">
        <f t="shared" si="38"/>
        <v>Кромка 2,0 U114 ST9  (75 м бухта).</v>
      </c>
      <c r="D1279" s="67" t="s">
        <v>241</v>
      </c>
      <c r="E1279" s="67" t="s">
        <v>151</v>
      </c>
      <c r="F1279" s="67" t="s">
        <v>1010</v>
      </c>
      <c r="G1279" s="68">
        <v>13528</v>
      </c>
      <c r="H1279" s="67" t="s">
        <v>976</v>
      </c>
      <c r="I1279" s="200"/>
      <c r="J1279" s="67" t="s">
        <v>1006</v>
      </c>
      <c r="K1279" s="67" t="s">
        <v>1007</v>
      </c>
      <c r="L1279" s="67" t="s">
        <v>22</v>
      </c>
      <c r="M1279" s="67" t="s">
        <v>270</v>
      </c>
      <c r="N1279" s="67" t="s">
        <v>259</v>
      </c>
      <c r="O1279" s="67" t="s">
        <v>2116</v>
      </c>
      <c r="P1279" s="67" t="s">
        <v>19</v>
      </c>
      <c r="Q1279" s="192">
        <v>97.2</v>
      </c>
    </row>
    <row r="1280" spans="1:17" ht="11.1" hidden="1" customHeight="1" x14ac:dyDescent="0.2">
      <c r="A1280" s="3"/>
      <c r="B1280" s="3" t="str">
        <f ca="1">IF(A1280="В заказ",MAX($B$9:OFFSET(B1280,-1,0))+1,"")</f>
        <v/>
      </c>
      <c r="C1280" s="6" t="str">
        <f t="shared" si="38"/>
        <v>Кромка 0,4 U156 ST9  (200 м бухта).</v>
      </c>
      <c r="D1280" s="67" t="s">
        <v>241</v>
      </c>
      <c r="E1280" s="67" t="s">
        <v>151</v>
      </c>
      <c r="F1280" s="67" t="s">
        <v>1011</v>
      </c>
      <c r="G1280" s="68">
        <v>8476</v>
      </c>
      <c r="H1280" s="67" t="s">
        <v>976</v>
      </c>
      <c r="I1280" s="200"/>
      <c r="J1280" s="67" t="s">
        <v>159</v>
      </c>
      <c r="K1280" s="67" t="s">
        <v>160</v>
      </c>
      <c r="L1280" s="67" t="s">
        <v>22</v>
      </c>
      <c r="M1280" s="67" t="s">
        <v>252</v>
      </c>
      <c r="N1280" s="67" t="s">
        <v>253</v>
      </c>
      <c r="O1280" s="67" t="s">
        <v>2117</v>
      </c>
      <c r="P1280" s="67" t="s">
        <v>19</v>
      </c>
      <c r="Q1280" s="71">
        <v>11</v>
      </c>
    </row>
    <row r="1281" spans="1:17" ht="11.1" hidden="1" customHeight="1" x14ac:dyDescent="0.2">
      <c r="A1281" s="3"/>
      <c r="B1281" s="3" t="str">
        <f ca="1">IF(A1281="В заказ",MAX($B$9:OFFSET(B1281,-1,0))+1,"")</f>
        <v/>
      </c>
      <c r="C1281" s="6" t="str">
        <f t="shared" si="38"/>
        <v>Кромка 0,4 U156 ST9  (200 м бухта).</v>
      </c>
      <c r="D1281" s="67" t="s">
        <v>241</v>
      </c>
      <c r="E1281" s="67" t="s">
        <v>151</v>
      </c>
      <c r="F1281" s="67" t="s">
        <v>1012</v>
      </c>
      <c r="G1281" s="68">
        <v>24009</v>
      </c>
      <c r="H1281" s="67" t="s">
        <v>976</v>
      </c>
      <c r="I1281" s="200"/>
      <c r="J1281" s="67" t="s">
        <v>159</v>
      </c>
      <c r="K1281" s="67" t="s">
        <v>160</v>
      </c>
      <c r="L1281" s="67" t="s">
        <v>22</v>
      </c>
      <c r="M1281" s="67" t="s">
        <v>244</v>
      </c>
      <c r="N1281" s="67" t="s">
        <v>253</v>
      </c>
      <c r="O1281" s="67" t="s">
        <v>2117</v>
      </c>
      <c r="P1281" s="67" t="s">
        <v>19</v>
      </c>
      <c r="Q1281" s="192">
        <v>13.2</v>
      </c>
    </row>
    <row r="1282" spans="1:17" ht="11.1" hidden="1" customHeight="1" x14ac:dyDescent="0.2">
      <c r="A1282" s="3"/>
      <c r="B1282" s="3" t="str">
        <f ca="1">IF(A1282="В заказ",MAX($B$9:OFFSET(B1282,-1,0))+1,"")</f>
        <v/>
      </c>
      <c r="C1282" s="6" t="str">
        <f t="shared" si="38"/>
        <v>Кромка 0,4 U156 ST9  (200 м бухта).</v>
      </c>
      <c r="D1282" s="67" t="s">
        <v>241</v>
      </c>
      <c r="E1282" s="67" t="s">
        <v>151</v>
      </c>
      <c r="F1282" s="67" t="s">
        <v>1013</v>
      </c>
      <c r="G1282" s="68">
        <v>8510</v>
      </c>
      <c r="H1282" s="67" t="s">
        <v>976</v>
      </c>
      <c r="I1282" s="200"/>
      <c r="J1282" s="67" t="s">
        <v>159</v>
      </c>
      <c r="K1282" s="67" t="s">
        <v>160</v>
      </c>
      <c r="L1282" s="67" t="s">
        <v>22</v>
      </c>
      <c r="M1282" s="67" t="s">
        <v>264</v>
      </c>
      <c r="N1282" s="67" t="s">
        <v>253</v>
      </c>
      <c r="O1282" s="67" t="s">
        <v>2117</v>
      </c>
      <c r="P1282" s="67" t="s">
        <v>19</v>
      </c>
      <c r="Q1282" s="192">
        <v>17.100000000000001</v>
      </c>
    </row>
    <row r="1283" spans="1:17" ht="11.1" hidden="1" customHeight="1" x14ac:dyDescent="0.2">
      <c r="A1283" s="3"/>
      <c r="B1283" s="3" t="str">
        <f ca="1">IF(A1283="В заказ",MAX($B$9:OFFSET(B1283,-1,0))+1,"")</f>
        <v/>
      </c>
      <c r="C1283" s="6" t="str">
        <f t="shared" si="38"/>
        <v>Кромка 0,8 U156 ST9  (75 м бухта).</v>
      </c>
      <c r="D1283" s="67" t="s">
        <v>241</v>
      </c>
      <c r="E1283" s="67" t="s">
        <v>151</v>
      </c>
      <c r="F1283" s="67" t="s">
        <v>1014</v>
      </c>
      <c r="G1283" s="68">
        <v>12492</v>
      </c>
      <c r="H1283" s="67" t="s">
        <v>976</v>
      </c>
      <c r="I1283" s="200"/>
      <c r="J1283" s="67" t="s">
        <v>159</v>
      </c>
      <c r="K1283" s="67" t="s">
        <v>160</v>
      </c>
      <c r="L1283" s="67" t="s">
        <v>22</v>
      </c>
      <c r="M1283" s="67" t="s">
        <v>252</v>
      </c>
      <c r="N1283" s="67" t="s">
        <v>10</v>
      </c>
      <c r="O1283" s="67" t="s">
        <v>2116</v>
      </c>
      <c r="P1283" s="67" t="s">
        <v>19</v>
      </c>
      <c r="Q1283" s="192">
        <v>25.7</v>
      </c>
    </row>
    <row r="1284" spans="1:17" ht="11.1" hidden="1" customHeight="1" x14ac:dyDescent="0.2">
      <c r="A1284" s="3"/>
      <c r="B1284" s="3" t="str">
        <f ca="1">IF(A1284="В заказ",MAX($B$9:OFFSET(B1284,-1,0))+1,"")</f>
        <v/>
      </c>
      <c r="C1284" s="6" t="str">
        <f t="shared" si="38"/>
        <v>Кромка 0,8 U156 ST9  (75 м бухта).</v>
      </c>
      <c r="D1284" s="67" t="s">
        <v>241</v>
      </c>
      <c r="E1284" s="67" t="s">
        <v>151</v>
      </c>
      <c r="F1284" s="67" t="s">
        <v>1015</v>
      </c>
      <c r="G1284" s="68">
        <v>24560</v>
      </c>
      <c r="H1284" s="67" t="s">
        <v>976</v>
      </c>
      <c r="I1284" s="200"/>
      <c r="J1284" s="67" t="s">
        <v>159</v>
      </c>
      <c r="K1284" s="67" t="s">
        <v>160</v>
      </c>
      <c r="L1284" s="67" t="s">
        <v>22</v>
      </c>
      <c r="M1284" s="67" t="s">
        <v>244</v>
      </c>
      <c r="N1284" s="67" t="s">
        <v>10</v>
      </c>
      <c r="O1284" s="67" t="s">
        <v>2116</v>
      </c>
      <c r="P1284" s="67" t="s">
        <v>19</v>
      </c>
      <c r="Q1284" s="71">
        <v>31</v>
      </c>
    </row>
    <row r="1285" spans="1:17" ht="11.1" hidden="1" customHeight="1" x14ac:dyDescent="0.2">
      <c r="A1285" s="3"/>
      <c r="B1285" s="3" t="str">
        <f ca="1">IF(A1285="В заказ",MAX($B$9:OFFSET(B1285,-1,0))+1,"")</f>
        <v/>
      </c>
      <c r="C1285" s="6" t="str">
        <f t="shared" si="38"/>
        <v>Кромка 0,8 U156 ST9  (75 м бухта).</v>
      </c>
      <c r="D1285" s="67" t="s">
        <v>241</v>
      </c>
      <c r="E1285" s="67" t="s">
        <v>151</v>
      </c>
      <c r="F1285" s="67" t="s">
        <v>1016</v>
      </c>
      <c r="G1285" s="68">
        <v>13922</v>
      </c>
      <c r="H1285" s="67" t="s">
        <v>976</v>
      </c>
      <c r="I1285" s="200"/>
      <c r="J1285" s="67" t="s">
        <v>159</v>
      </c>
      <c r="K1285" s="67" t="s">
        <v>160</v>
      </c>
      <c r="L1285" s="67" t="s">
        <v>22</v>
      </c>
      <c r="M1285" s="67" t="s">
        <v>264</v>
      </c>
      <c r="N1285" s="67" t="s">
        <v>10</v>
      </c>
      <c r="O1285" s="67" t="s">
        <v>2116</v>
      </c>
      <c r="P1285" s="67" t="s">
        <v>19</v>
      </c>
      <c r="Q1285" s="192">
        <v>47.5</v>
      </c>
    </row>
    <row r="1286" spans="1:17" ht="11.1" hidden="1" customHeight="1" x14ac:dyDescent="0.2">
      <c r="A1286" s="3"/>
      <c r="B1286" s="3" t="str">
        <f ca="1">IF(A1286="В заказ",MAX($B$9:OFFSET(B1286,-1,0))+1,"")</f>
        <v/>
      </c>
      <c r="C1286" s="6" t="str">
        <f t="shared" si="38"/>
        <v>Кромка 2,0 U156 ST9  (75 м бухта).</v>
      </c>
      <c r="D1286" s="67" t="s">
        <v>241</v>
      </c>
      <c r="E1286" s="67" t="s">
        <v>151</v>
      </c>
      <c r="F1286" s="67" t="s">
        <v>1017</v>
      </c>
      <c r="G1286" s="68">
        <v>7631</v>
      </c>
      <c r="H1286" s="67" t="s">
        <v>976</v>
      </c>
      <c r="I1286" s="200"/>
      <c r="J1286" s="67" t="s">
        <v>159</v>
      </c>
      <c r="K1286" s="67" t="s">
        <v>160</v>
      </c>
      <c r="L1286" s="67" t="s">
        <v>22</v>
      </c>
      <c r="M1286" s="67" t="s">
        <v>252</v>
      </c>
      <c r="N1286" s="67" t="s">
        <v>259</v>
      </c>
      <c r="O1286" s="67" t="s">
        <v>2116</v>
      </c>
      <c r="P1286" s="67" t="s">
        <v>19</v>
      </c>
      <c r="Q1286" s="192">
        <v>48.1</v>
      </c>
    </row>
    <row r="1287" spans="1:17" ht="11.1" hidden="1" customHeight="1" x14ac:dyDescent="0.2">
      <c r="A1287" s="3"/>
      <c r="B1287" s="3" t="str">
        <f ca="1">IF(A1287="В заказ",MAX($B$9:OFFSET(B1287,-1,0))+1,"")</f>
        <v/>
      </c>
      <c r="C1287" s="6" t="str">
        <f t="shared" si="38"/>
        <v>Кромка 2,0 U156 ST9  (75 м бухта).</v>
      </c>
      <c r="D1287" s="67" t="s">
        <v>241</v>
      </c>
      <c r="E1287" s="67" t="s">
        <v>151</v>
      </c>
      <c r="F1287" s="67" t="s">
        <v>1018</v>
      </c>
      <c r="G1287" s="68">
        <v>19595</v>
      </c>
      <c r="H1287" s="67" t="s">
        <v>976</v>
      </c>
      <c r="I1287" s="200"/>
      <c r="J1287" s="67" t="s">
        <v>159</v>
      </c>
      <c r="K1287" s="67" t="s">
        <v>160</v>
      </c>
      <c r="L1287" s="67" t="s">
        <v>22</v>
      </c>
      <c r="M1287" s="67" t="s">
        <v>244</v>
      </c>
      <c r="N1287" s="67" t="s">
        <v>259</v>
      </c>
      <c r="O1287" s="67" t="s">
        <v>2116</v>
      </c>
      <c r="P1287" s="67" t="s">
        <v>19</v>
      </c>
      <c r="Q1287" s="192">
        <v>53.1</v>
      </c>
    </row>
    <row r="1288" spans="1:17" ht="11.1" hidden="1" customHeight="1" x14ac:dyDescent="0.2">
      <c r="A1288" s="3"/>
      <c r="B1288" s="3" t="str">
        <f ca="1">IF(A1288="В заказ",MAX($B$9:OFFSET(B1288,-1,0))+1,"")</f>
        <v/>
      </c>
      <c r="C1288" s="6" t="str">
        <f t="shared" si="38"/>
        <v>Кромка 2,0 U156 ST9  (75 м бухта).</v>
      </c>
      <c r="D1288" s="67" t="s">
        <v>241</v>
      </c>
      <c r="E1288" s="67" t="s">
        <v>151</v>
      </c>
      <c r="F1288" s="67" t="s">
        <v>1019</v>
      </c>
      <c r="G1288" s="68">
        <v>8505</v>
      </c>
      <c r="H1288" s="67" t="s">
        <v>976</v>
      </c>
      <c r="I1288" s="200"/>
      <c r="J1288" s="67" t="s">
        <v>159</v>
      </c>
      <c r="K1288" s="67" t="s">
        <v>160</v>
      </c>
      <c r="L1288" s="67" t="s">
        <v>22</v>
      </c>
      <c r="M1288" s="67" t="s">
        <v>264</v>
      </c>
      <c r="N1288" s="67" t="s">
        <v>259</v>
      </c>
      <c r="O1288" s="67" t="s">
        <v>2116</v>
      </c>
      <c r="P1288" s="67" t="s">
        <v>19</v>
      </c>
      <c r="Q1288" s="192">
        <v>72.400000000000006</v>
      </c>
    </row>
    <row r="1289" spans="1:17" ht="11.1" hidden="1" customHeight="1" x14ac:dyDescent="0.2">
      <c r="A1289" s="3"/>
      <c r="B1289" s="3" t="str">
        <f ca="1">IF(A1289="В заказ",MAX($B$9:OFFSET(B1289,-1,0))+1,"")</f>
        <v/>
      </c>
      <c r="C1289" s="6" t="str">
        <f t="shared" si="38"/>
        <v>Кромка 2,0 U156 ST9  (75 м бухта).</v>
      </c>
      <c r="D1289" s="67" t="s">
        <v>241</v>
      </c>
      <c r="E1289" s="67" t="s">
        <v>151</v>
      </c>
      <c r="F1289" s="67" t="s">
        <v>1020</v>
      </c>
      <c r="G1289" s="68">
        <v>8886</v>
      </c>
      <c r="H1289" s="67" t="s">
        <v>976</v>
      </c>
      <c r="I1289" s="200"/>
      <c r="J1289" s="67" t="s">
        <v>159</v>
      </c>
      <c r="K1289" s="67" t="s">
        <v>160</v>
      </c>
      <c r="L1289" s="67" t="s">
        <v>22</v>
      </c>
      <c r="M1289" s="67" t="s">
        <v>270</v>
      </c>
      <c r="N1289" s="67" t="s">
        <v>259</v>
      </c>
      <c r="O1289" s="67" t="s">
        <v>2116</v>
      </c>
      <c r="P1289" s="67" t="s">
        <v>19</v>
      </c>
      <c r="Q1289" s="192">
        <v>97.2</v>
      </c>
    </row>
    <row r="1290" spans="1:17" ht="11.1" hidden="1" customHeight="1" x14ac:dyDescent="0.2">
      <c r="A1290" s="3"/>
      <c r="B1290" s="3" t="str">
        <f ca="1">IF(A1290="В заказ",MAX($B$9:OFFSET(B1290,-1,0))+1,"")</f>
        <v/>
      </c>
      <c r="C1290" s="6" t="str">
        <f t="shared" si="38"/>
        <v>Кромка 2,0 U156 ST9  (75 м бухта).</v>
      </c>
      <c r="D1290" s="67" t="s">
        <v>241</v>
      </c>
      <c r="E1290" s="67" t="s">
        <v>151</v>
      </c>
      <c r="F1290" s="67" t="s">
        <v>1021</v>
      </c>
      <c r="G1290" s="68">
        <v>21490</v>
      </c>
      <c r="H1290" s="67" t="s">
        <v>976</v>
      </c>
      <c r="I1290" s="200"/>
      <c r="J1290" s="67" t="s">
        <v>159</v>
      </c>
      <c r="K1290" s="67" t="s">
        <v>160</v>
      </c>
      <c r="L1290" s="67" t="s">
        <v>22</v>
      </c>
      <c r="M1290" s="67" t="s">
        <v>282</v>
      </c>
      <c r="N1290" s="67" t="s">
        <v>259</v>
      </c>
      <c r="O1290" s="67" t="s">
        <v>2116</v>
      </c>
      <c r="P1290" s="67" t="s">
        <v>19</v>
      </c>
      <c r="Q1290" s="192">
        <v>150.9</v>
      </c>
    </row>
    <row r="1291" spans="1:17" ht="11.1" hidden="1" customHeight="1" x14ac:dyDescent="0.2">
      <c r="A1291" s="3"/>
      <c r="B1291" s="3" t="str">
        <f ca="1">IF(A1291="В заказ",MAX($B$9:OFFSET(B1291,-1,0))+1,"")</f>
        <v/>
      </c>
      <c r="C1291" s="6" t="str">
        <f t="shared" si="38"/>
        <v>Кромка 0,4 U200 ST9  (200 м бухта).</v>
      </c>
      <c r="D1291" s="67" t="s">
        <v>241</v>
      </c>
      <c r="E1291" s="67" t="s">
        <v>151</v>
      </c>
      <c r="F1291" s="67" t="s">
        <v>1022</v>
      </c>
      <c r="G1291" s="68">
        <v>13633</v>
      </c>
      <c r="H1291" s="67" t="s">
        <v>976</v>
      </c>
      <c r="I1291" s="200"/>
      <c r="J1291" s="67" t="s">
        <v>161</v>
      </c>
      <c r="K1291" s="67" t="s">
        <v>162</v>
      </c>
      <c r="L1291" s="67" t="s">
        <v>22</v>
      </c>
      <c r="M1291" s="67" t="s">
        <v>252</v>
      </c>
      <c r="N1291" s="67" t="s">
        <v>253</v>
      </c>
      <c r="O1291" s="67" t="s">
        <v>2117</v>
      </c>
      <c r="P1291" s="67" t="s">
        <v>19</v>
      </c>
      <c r="Q1291" s="71">
        <v>11</v>
      </c>
    </row>
    <row r="1292" spans="1:17" ht="11.1" hidden="1" customHeight="1" x14ac:dyDescent="0.2">
      <c r="A1292" s="3"/>
      <c r="B1292" s="3" t="str">
        <f ca="1">IF(A1292="В заказ",MAX($B$9:OFFSET(B1292,-1,0))+1,"")</f>
        <v/>
      </c>
      <c r="C1292" s="6" t="str">
        <f t="shared" si="38"/>
        <v>Кромка 0,4 U200 ST9  (200 м бухта).</v>
      </c>
      <c r="D1292" s="67" t="s">
        <v>241</v>
      </c>
      <c r="E1292" s="67" t="s">
        <v>151</v>
      </c>
      <c r="F1292" s="67" t="s">
        <v>1023</v>
      </c>
      <c r="G1292" s="68">
        <v>24534</v>
      </c>
      <c r="H1292" s="67" t="s">
        <v>976</v>
      </c>
      <c r="I1292" s="200"/>
      <c r="J1292" s="67" t="s">
        <v>161</v>
      </c>
      <c r="K1292" s="67" t="s">
        <v>162</v>
      </c>
      <c r="L1292" s="67" t="s">
        <v>22</v>
      </c>
      <c r="M1292" s="67" t="s">
        <v>244</v>
      </c>
      <c r="N1292" s="67" t="s">
        <v>253</v>
      </c>
      <c r="O1292" s="67" t="s">
        <v>2117</v>
      </c>
      <c r="P1292" s="67" t="s">
        <v>19</v>
      </c>
      <c r="Q1292" s="192">
        <v>13.2</v>
      </c>
    </row>
    <row r="1293" spans="1:17" ht="11.1" hidden="1" customHeight="1" x14ac:dyDescent="0.2">
      <c r="A1293" s="3"/>
      <c r="B1293" s="3" t="str">
        <f ca="1">IF(A1293="В заказ",MAX($B$9:OFFSET(B1293,-1,0))+1,"")</f>
        <v/>
      </c>
      <c r="C1293" s="6" t="str">
        <f t="shared" si="38"/>
        <v>Кромка 0,4 U200 ST9  (200 м бухта).</v>
      </c>
      <c r="D1293" s="67" t="s">
        <v>241</v>
      </c>
      <c r="E1293" s="67" t="s">
        <v>151</v>
      </c>
      <c r="F1293" s="67" t="s">
        <v>1024</v>
      </c>
      <c r="G1293" s="68">
        <v>14364</v>
      </c>
      <c r="H1293" s="67" t="s">
        <v>976</v>
      </c>
      <c r="I1293" s="200"/>
      <c r="J1293" s="67" t="s">
        <v>161</v>
      </c>
      <c r="K1293" s="67" t="s">
        <v>162</v>
      </c>
      <c r="L1293" s="67" t="s">
        <v>22</v>
      </c>
      <c r="M1293" s="67" t="s">
        <v>264</v>
      </c>
      <c r="N1293" s="67" t="s">
        <v>253</v>
      </c>
      <c r="O1293" s="67" t="s">
        <v>2117</v>
      </c>
      <c r="P1293" s="67" t="s">
        <v>19</v>
      </c>
      <c r="Q1293" s="192">
        <v>17.100000000000001</v>
      </c>
    </row>
    <row r="1294" spans="1:17" ht="11.1" hidden="1" customHeight="1" x14ac:dyDescent="0.2">
      <c r="A1294" s="3"/>
      <c r="B1294" s="3" t="str">
        <f ca="1">IF(A1294="В заказ",MAX($B$9:OFFSET(B1294,-1,0))+1,"")</f>
        <v/>
      </c>
      <c r="C1294" s="6" t="str">
        <f t="shared" si="38"/>
        <v>Кромка 0,8 U200 ST9  (75 м бухта).</v>
      </c>
      <c r="D1294" s="67" t="s">
        <v>241</v>
      </c>
      <c r="E1294" s="67" t="s">
        <v>151</v>
      </c>
      <c r="F1294" s="67" t="s">
        <v>1025</v>
      </c>
      <c r="G1294" s="68">
        <v>14283</v>
      </c>
      <c r="H1294" s="67" t="s">
        <v>976</v>
      </c>
      <c r="I1294" s="200"/>
      <c r="J1294" s="67" t="s">
        <v>161</v>
      </c>
      <c r="K1294" s="67" t="s">
        <v>162</v>
      </c>
      <c r="L1294" s="67" t="s">
        <v>22</v>
      </c>
      <c r="M1294" s="67" t="s">
        <v>252</v>
      </c>
      <c r="N1294" s="67" t="s">
        <v>10</v>
      </c>
      <c r="O1294" s="67" t="s">
        <v>2116</v>
      </c>
      <c r="P1294" s="67" t="s">
        <v>19</v>
      </c>
      <c r="Q1294" s="192">
        <v>25.7</v>
      </c>
    </row>
    <row r="1295" spans="1:17" ht="11.1" hidden="1" customHeight="1" x14ac:dyDescent="0.2">
      <c r="A1295" s="3"/>
      <c r="B1295" s="3" t="str">
        <f ca="1">IF(A1295="В заказ",MAX($B$9:OFFSET(B1295,-1,0))+1,"")</f>
        <v/>
      </c>
      <c r="C1295" s="6" t="str">
        <f t="shared" si="38"/>
        <v>Кромка 0,8 U200 ST9  (75 м бухта).</v>
      </c>
      <c r="D1295" s="67" t="s">
        <v>241</v>
      </c>
      <c r="E1295" s="67" t="s">
        <v>151</v>
      </c>
      <c r="F1295" s="67" t="s">
        <v>1026</v>
      </c>
      <c r="G1295" s="68">
        <v>24535</v>
      </c>
      <c r="H1295" s="67" t="s">
        <v>976</v>
      </c>
      <c r="I1295" s="200"/>
      <c r="J1295" s="67" t="s">
        <v>161</v>
      </c>
      <c r="K1295" s="67" t="s">
        <v>162</v>
      </c>
      <c r="L1295" s="67" t="s">
        <v>22</v>
      </c>
      <c r="M1295" s="67" t="s">
        <v>244</v>
      </c>
      <c r="N1295" s="67" t="s">
        <v>10</v>
      </c>
      <c r="O1295" s="67" t="s">
        <v>2116</v>
      </c>
      <c r="P1295" s="67" t="s">
        <v>19</v>
      </c>
      <c r="Q1295" s="71">
        <v>31</v>
      </c>
    </row>
    <row r="1296" spans="1:17" ht="11.1" hidden="1" customHeight="1" x14ac:dyDescent="0.2">
      <c r="A1296" s="3"/>
      <c r="B1296" s="3" t="str">
        <f ca="1">IF(A1296="В заказ",MAX($B$9:OFFSET(B1296,-1,0))+1,"")</f>
        <v/>
      </c>
      <c r="C1296" s="6" t="str">
        <f t="shared" si="38"/>
        <v>Кромка 2,0 U200 ST9  (75 м бухта).</v>
      </c>
      <c r="D1296" s="67" t="s">
        <v>241</v>
      </c>
      <c r="E1296" s="67" t="s">
        <v>151</v>
      </c>
      <c r="F1296" s="67" t="s">
        <v>1027</v>
      </c>
      <c r="G1296" s="68">
        <v>13634</v>
      </c>
      <c r="H1296" s="67" t="s">
        <v>976</v>
      </c>
      <c r="I1296" s="200"/>
      <c r="J1296" s="67" t="s">
        <v>161</v>
      </c>
      <c r="K1296" s="67" t="s">
        <v>162</v>
      </c>
      <c r="L1296" s="67" t="s">
        <v>22</v>
      </c>
      <c r="M1296" s="67" t="s">
        <v>252</v>
      </c>
      <c r="N1296" s="67" t="s">
        <v>259</v>
      </c>
      <c r="O1296" s="67" t="s">
        <v>2116</v>
      </c>
      <c r="P1296" s="67" t="s">
        <v>19</v>
      </c>
      <c r="Q1296" s="192">
        <v>48.1</v>
      </c>
    </row>
    <row r="1297" spans="1:17" ht="11.1" hidden="1" customHeight="1" x14ac:dyDescent="0.2">
      <c r="A1297" s="3"/>
      <c r="B1297" s="3" t="str">
        <f ca="1">IF(A1297="В заказ",MAX($B$9:OFFSET(B1297,-1,0))+1,"")</f>
        <v/>
      </c>
      <c r="C1297" s="6" t="str">
        <f t="shared" si="38"/>
        <v>Кромка 2,0 U200 ST9 (75 м бухта).</v>
      </c>
      <c r="D1297" s="67" t="s">
        <v>241</v>
      </c>
      <c r="E1297" s="67" t="s">
        <v>151</v>
      </c>
      <c r="F1297" s="67" t="s">
        <v>1028</v>
      </c>
      <c r="G1297" s="68">
        <v>14865</v>
      </c>
      <c r="H1297" s="67" t="s">
        <v>976</v>
      </c>
      <c r="I1297" s="200"/>
      <c r="J1297" s="67" t="s">
        <v>161</v>
      </c>
      <c r="K1297" s="67" t="s">
        <v>162</v>
      </c>
      <c r="L1297" s="67" t="s">
        <v>22</v>
      </c>
      <c r="M1297" s="67" t="s">
        <v>244</v>
      </c>
      <c r="N1297" s="67" t="s">
        <v>259</v>
      </c>
      <c r="O1297" s="67" t="s">
        <v>246</v>
      </c>
      <c r="P1297" s="67" t="s">
        <v>19</v>
      </c>
      <c r="Q1297" s="192">
        <v>53.1</v>
      </c>
    </row>
    <row r="1298" spans="1:17" ht="11.1" hidden="1" customHeight="1" x14ac:dyDescent="0.2">
      <c r="A1298" s="3"/>
      <c r="B1298" s="3" t="str">
        <f ca="1">IF(A1298="В заказ",MAX($B$9:OFFSET(B1298,-1,0))+1,"")</f>
        <v/>
      </c>
      <c r="C1298" s="6" t="str">
        <f t="shared" si="38"/>
        <v>Кромка 2,0 U200 ST9  (75 м бухта).</v>
      </c>
      <c r="D1298" s="67" t="s">
        <v>241</v>
      </c>
      <c r="E1298" s="67" t="s">
        <v>151</v>
      </c>
      <c r="F1298" s="67" t="s">
        <v>1029</v>
      </c>
      <c r="G1298" s="68">
        <v>14365</v>
      </c>
      <c r="H1298" s="67" t="s">
        <v>976</v>
      </c>
      <c r="I1298" s="200"/>
      <c r="J1298" s="67" t="s">
        <v>161</v>
      </c>
      <c r="K1298" s="67" t="s">
        <v>162</v>
      </c>
      <c r="L1298" s="67" t="s">
        <v>22</v>
      </c>
      <c r="M1298" s="67" t="s">
        <v>264</v>
      </c>
      <c r="N1298" s="67" t="s">
        <v>259</v>
      </c>
      <c r="O1298" s="67" t="s">
        <v>2116</v>
      </c>
      <c r="P1298" s="67" t="s">
        <v>19</v>
      </c>
      <c r="Q1298" s="192">
        <v>72.400000000000006</v>
      </c>
    </row>
    <row r="1299" spans="1:17" ht="11.1" hidden="1" customHeight="1" x14ac:dyDescent="0.2">
      <c r="A1299" s="3"/>
      <c r="B1299" s="3" t="str">
        <f ca="1">IF(A1299="В заказ",MAX($B$9:OFFSET(B1299,-1,0))+1,"")</f>
        <v/>
      </c>
      <c r="C1299" s="6" t="str">
        <f t="shared" si="38"/>
        <v>Кромка 2,0 U200 ST9  (75 м бухта).</v>
      </c>
      <c r="D1299" s="67" t="s">
        <v>241</v>
      </c>
      <c r="E1299" s="67" t="s">
        <v>151</v>
      </c>
      <c r="F1299" s="67" t="s">
        <v>1030</v>
      </c>
      <c r="G1299" s="68">
        <v>14963</v>
      </c>
      <c r="H1299" s="67" t="s">
        <v>976</v>
      </c>
      <c r="I1299" s="200"/>
      <c r="J1299" s="67" t="s">
        <v>161</v>
      </c>
      <c r="K1299" s="67" t="s">
        <v>162</v>
      </c>
      <c r="L1299" s="67" t="s">
        <v>22</v>
      </c>
      <c r="M1299" s="67" t="s">
        <v>270</v>
      </c>
      <c r="N1299" s="67" t="s">
        <v>259</v>
      </c>
      <c r="O1299" s="67" t="s">
        <v>2116</v>
      </c>
      <c r="P1299" s="67" t="s">
        <v>19</v>
      </c>
      <c r="Q1299" s="192">
        <v>97.2</v>
      </c>
    </row>
    <row r="1300" spans="1:17" ht="11.1" hidden="1" customHeight="1" x14ac:dyDescent="0.2">
      <c r="A1300" s="3"/>
      <c r="B1300" s="3" t="str">
        <f ca="1">IF(A1300="В заказ",MAX($B$9:OFFSET(B1300,-1,0))+1,"")</f>
        <v/>
      </c>
      <c r="C1300" s="6" t="str">
        <f t="shared" si="38"/>
        <v>Кромка 0,4 U201 ST9  (200 м бухта).</v>
      </c>
      <c r="D1300" s="67" t="s">
        <v>241</v>
      </c>
      <c r="E1300" s="67" t="s">
        <v>151</v>
      </c>
      <c r="F1300" s="67" t="s">
        <v>1031</v>
      </c>
      <c r="G1300" s="68">
        <v>15777</v>
      </c>
      <c r="H1300" s="67" t="s">
        <v>976</v>
      </c>
      <c r="I1300" s="200"/>
      <c r="J1300" s="67" t="s">
        <v>163</v>
      </c>
      <c r="K1300" s="67" t="s">
        <v>164</v>
      </c>
      <c r="L1300" s="67" t="s">
        <v>22</v>
      </c>
      <c r="M1300" s="67" t="s">
        <v>252</v>
      </c>
      <c r="N1300" s="67" t="s">
        <v>253</v>
      </c>
      <c r="O1300" s="67" t="s">
        <v>2117</v>
      </c>
      <c r="P1300" s="67" t="s">
        <v>19</v>
      </c>
      <c r="Q1300" s="71">
        <v>11</v>
      </c>
    </row>
    <row r="1301" spans="1:17" ht="11.1" hidden="1" customHeight="1" x14ac:dyDescent="0.2">
      <c r="A1301" s="3"/>
      <c r="B1301" s="3" t="str">
        <f ca="1">IF(A1301="В заказ",MAX($B$9:OFFSET(B1301,-1,0))+1,"")</f>
        <v/>
      </c>
      <c r="C1301" s="6" t="str">
        <f t="shared" si="38"/>
        <v>Кромка 0,4 U201 ST9  (200 м бухта).</v>
      </c>
      <c r="D1301" s="67" t="s">
        <v>241</v>
      </c>
      <c r="E1301" s="67" t="s">
        <v>151</v>
      </c>
      <c r="F1301" s="67" t="s">
        <v>1032</v>
      </c>
      <c r="G1301" s="68">
        <v>23935</v>
      </c>
      <c r="H1301" s="67" t="s">
        <v>976</v>
      </c>
      <c r="I1301" s="200"/>
      <c r="J1301" s="67" t="s">
        <v>163</v>
      </c>
      <c r="K1301" s="67" t="s">
        <v>164</v>
      </c>
      <c r="L1301" s="67" t="s">
        <v>22</v>
      </c>
      <c r="M1301" s="67" t="s">
        <v>244</v>
      </c>
      <c r="N1301" s="67" t="s">
        <v>253</v>
      </c>
      <c r="O1301" s="67" t="s">
        <v>2117</v>
      </c>
      <c r="P1301" s="67" t="s">
        <v>19</v>
      </c>
      <c r="Q1301" s="192">
        <v>13.2</v>
      </c>
    </row>
    <row r="1302" spans="1:17" ht="11.1" hidden="1" customHeight="1" x14ac:dyDescent="0.2">
      <c r="A1302" s="3"/>
      <c r="B1302" s="3" t="str">
        <f ca="1">IF(A1302="В заказ",MAX($B$9:OFFSET(B1302,-1,0))+1,"")</f>
        <v/>
      </c>
      <c r="C1302" s="6" t="str">
        <f t="shared" si="38"/>
        <v>Кромка 0,8 U201 ST9  (75 м бухта).</v>
      </c>
      <c r="D1302" s="67" t="s">
        <v>241</v>
      </c>
      <c r="E1302" s="67" t="s">
        <v>151</v>
      </c>
      <c r="F1302" s="67" t="s">
        <v>1033</v>
      </c>
      <c r="G1302" s="68">
        <v>16747</v>
      </c>
      <c r="H1302" s="67" t="s">
        <v>976</v>
      </c>
      <c r="I1302" s="200"/>
      <c r="J1302" s="67" t="s">
        <v>163</v>
      </c>
      <c r="K1302" s="67" t="s">
        <v>164</v>
      </c>
      <c r="L1302" s="67" t="s">
        <v>22</v>
      </c>
      <c r="M1302" s="67" t="s">
        <v>252</v>
      </c>
      <c r="N1302" s="67" t="s">
        <v>10</v>
      </c>
      <c r="O1302" s="67" t="s">
        <v>2116</v>
      </c>
      <c r="P1302" s="67" t="s">
        <v>19</v>
      </c>
      <c r="Q1302" s="192">
        <v>25.7</v>
      </c>
    </row>
    <row r="1303" spans="1:17" ht="11.1" hidden="1" customHeight="1" x14ac:dyDescent="0.2">
      <c r="A1303" s="3"/>
      <c r="B1303" s="3" t="str">
        <f ca="1">IF(A1303="В заказ",MAX($B$9:OFFSET(B1303,-1,0))+1,"")</f>
        <v/>
      </c>
      <c r="C1303" s="6" t="str">
        <f t="shared" si="38"/>
        <v>Кромка 0,8 U201 ST9  (75 м бухта).</v>
      </c>
      <c r="D1303" s="67" t="s">
        <v>241</v>
      </c>
      <c r="E1303" s="67" t="s">
        <v>151</v>
      </c>
      <c r="F1303" s="67" t="s">
        <v>1034</v>
      </c>
      <c r="G1303" s="68">
        <v>24503</v>
      </c>
      <c r="H1303" s="67" t="s">
        <v>976</v>
      </c>
      <c r="I1303" s="200"/>
      <c r="J1303" s="67" t="s">
        <v>163</v>
      </c>
      <c r="K1303" s="67" t="s">
        <v>164</v>
      </c>
      <c r="L1303" s="67" t="s">
        <v>22</v>
      </c>
      <c r="M1303" s="67" t="s">
        <v>244</v>
      </c>
      <c r="N1303" s="67" t="s">
        <v>10</v>
      </c>
      <c r="O1303" s="67" t="s">
        <v>2116</v>
      </c>
      <c r="P1303" s="67" t="s">
        <v>19</v>
      </c>
      <c r="Q1303" s="71">
        <v>31</v>
      </c>
    </row>
    <row r="1304" spans="1:17" ht="11.1" hidden="1" customHeight="1" x14ac:dyDescent="0.2">
      <c r="A1304" s="3"/>
      <c r="B1304" s="3" t="str">
        <f ca="1">IF(A1304="В заказ",MAX($B$9:OFFSET(B1304,-1,0))+1,"")</f>
        <v/>
      </c>
      <c r="C1304" s="6" t="str">
        <f t="shared" si="38"/>
        <v>Кромка 2,0 U201 ST9 (75 м бухта).</v>
      </c>
      <c r="D1304" s="67" t="s">
        <v>241</v>
      </c>
      <c r="E1304" s="67" t="s">
        <v>151</v>
      </c>
      <c r="F1304" s="67" t="s">
        <v>1035</v>
      </c>
      <c r="G1304" s="68">
        <v>15778</v>
      </c>
      <c r="H1304" s="67" t="s">
        <v>976</v>
      </c>
      <c r="I1304" s="200"/>
      <c r="J1304" s="67" t="s">
        <v>163</v>
      </c>
      <c r="K1304" s="67" t="s">
        <v>164</v>
      </c>
      <c r="L1304" s="67" t="s">
        <v>22</v>
      </c>
      <c r="M1304" s="67" t="s">
        <v>252</v>
      </c>
      <c r="N1304" s="67" t="s">
        <v>259</v>
      </c>
      <c r="O1304" s="67" t="s">
        <v>246</v>
      </c>
      <c r="P1304" s="67" t="s">
        <v>19</v>
      </c>
      <c r="Q1304" s="192">
        <v>48.1</v>
      </c>
    </row>
    <row r="1305" spans="1:17" ht="11.1" hidden="1" customHeight="1" x14ac:dyDescent="0.2">
      <c r="A1305" s="3"/>
      <c r="B1305" s="3" t="str">
        <f ca="1">IF(A1305="В заказ",MAX($B$9:OFFSET(B1305,-1,0))+1,"")</f>
        <v/>
      </c>
      <c r="C1305" s="6" t="str">
        <f t="shared" si="38"/>
        <v>Кромка 2,0 U201 ST9  (75 м бухта).</v>
      </c>
      <c r="D1305" s="67" t="s">
        <v>241</v>
      </c>
      <c r="E1305" s="67" t="s">
        <v>151</v>
      </c>
      <c r="F1305" s="67" t="s">
        <v>1036</v>
      </c>
      <c r="G1305" s="68">
        <v>18071</v>
      </c>
      <c r="H1305" s="67" t="s">
        <v>976</v>
      </c>
      <c r="I1305" s="200"/>
      <c r="J1305" s="67" t="s">
        <v>163</v>
      </c>
      <c r="K1305" s="67" t="s">
        <v>164</v>
      </c>
      <c r="L1305" s="67" t="s">
        <v>22</v>
      </c>
      <c r="M1305" s="67" t="s">
        <v>244</v>
      </c>
      <c r="N1305" s="67" t="s">
        <v>259</v>
      </c>
      <c r="O1305" s="67" t="s">
        <v>2116</v>
      </c>
      <c r="P1305" s="67" t="s">
        <v>19</v>
      </c>
      <c r="Q1305" s="192">
        <v>53.1</v>
      </c>
    </row>
    <row r="1306" spans="1:17" ht="11.1" hidden="1" customHeight="1" x14ac:dyDescent="0.2">
      <c r="A1306" s="3"/>
      <c r="B1306" s="3" t="str">
        <f ca="1">IF(A1306="В заказ",MAX($B$9:OFFSET(B1306,-1,0))+1,"")</f>
        <v/>
      </c>
      <c r="C1306" s="6" t="str">
        <f t="shared" si="38"/>
        <v>Кромка 2,0 U201 ST9  (75 м бухта).</v>
      </c>
      <c r="D1306" s="67" t="s">
        <v>241</v>
      </c>
      <c r="E1306" s="67" t="s">
        <v>151</v>
      </c>
      <c r="F1306" s="67" t="s">
        <v>1037</v>
      </c>
      <c r="G1306" s="68">
        <v>15779</v>
      </c>
      <c r="H1306" s="67" t="s">
        <v>976</v>
      </c>
      <c r="I1306" s="200"/>
      <c r="J1306" s="67" t="s">
        <v>163</v>
      </c>
      <c r="K1306" s="67" t="s">
        <v>164</v>
      </c>
      <c r="L1306" s="67" t="s">
        <v>22</v>
      </c>
      <c r="M1306" s="67" t="s">
        <v>264</v>
      </c>
      <c r="N1306" s="67" t="s">
        <v>259</v>
      </c>
      <c r="O1306" s="67" t="s">
        <v>2116</v>
      </c>
      <c r="P1306" s="67" t="s">
        <v>19</v>
      </c>
      <c r="Q1306" s="192">
        <v>72.400000000000006</v>
      </c>
    </row>
    <row r="1307" spans="1:17" ht="11.1" hidden="1" customHeight="1" x14ac:dyDescent="0.2">
      <c r="A1307" s="3"/>
      <c r="B1307" s="3" t="str">
        <f ca="1">IF(A1307="В заказ",MAX($B$9:OFFSET(B1307,-1,0))+1,"")</f>
        <v/>
      </c>
      <c r="C1307" s="6" t="str">
        <f t="shared" si="38"/>
        <v>Кромка 2,0 U201 ST9  (75 м бухта).</v>
      </c>
      <c r="D1307" s="67" t="s">
        <v>241</v>
      </c>
      <c r="E1307" s="67" t="s">
        <v>151</v>
      </c>
      <c r="F1307" s="67" t="s">
        <v>1038</v>
      </c>
      <c r="G1307" s="68">
        <v>16746</v>
      </c>
      <c r="H1307" s="67" t="s">
        <v>976</v>
      </c>
      <c r="I1307" s="200"/>
      <c r="J1307" s="67" t="s">
        <v>163</v>
      </c>
      <c r="K1307" s="67" t="s">
        <v>164</v>
      </c>
      <c r="L1307" s="67" t="s">
        <v>22</v>
      </c>
      <c r="M1307" s="67" t="s">
        <v>270</v>
      </c>
      <c r="N1307" s="67" t="s">
        <v>259</v>
      </c>
      <c r="O1307" s="67" t="s">
        <v>2116</v>
      </c>
      <c r="P1307" s="67" t="s">
        <v>19</v>
      </c>
      <c r="Q1307" s="192">
        <v>97.2</v>
      </c>
    </row>
    <row r="1308" spans="1:17" ht="11.1" hidden="1" customHeight="1" x14ac:dyDescent="0.2">
      <c r="A1308" s="3"/>
      <c r="B1308" s="3" t="str">
        <f ca="1">IF(A1308="В заказ",MAX($B$9:OFFSET(B1308,-1,0))+1,"")</f>
        <v/>
      </c>
      <c r="C1308" s="6" t="str">
        <f t="shared" si="38"/>
        <v>Кромка 0,4 U216 ST9  (200 м бухта).</v>
      </c>
      <c r="D1308" s="67" t="s">
        <v>241</v>
      </c>
      <c r="E1308" s="67" t="s">
        <v>151</v>
      </c>
      <c r="F1308" s="67" t="s">
        <v>1039</v>
      </c>
      <c r="G1308" s="68">
        <v>14168</v>
      </c>
      <c r="H1308" s="67" t="s">
        <v>976</v>
      </c>
      <c r="I1308" s="200"/>
      <c r="J1308" s="67" t="s">
        <v>1040</v>
      </c>
      <c r="K1308" s="67" t="s">
        <v>1041</v>
      </c>
      <c r="L1308" s="67" t="s">
        <v>22</v>
      </c>
      <c r="M1308" s="67" t="s">
        <v>252</v>
      </c>
      <c r="N1308" s="67" t="s">
        <v>253</v>
      </c>
      <c r="O1308" s="67" t="s">
        <v>2117</v>
      </c>
      <c r="P1308" s="67" t="s">
        <v>19</v>
      </c>
      <c r="Q1308" s="71">
        <v>11</v>
      </c>
    </row>
    <row r="1309" spans="1:17" ht="11.1" hidden="1" customHeight="1" x14ac:dyDescent="0.2">
      <c r="A1309" s="3"/>
      <c r="B1309" s="3" t="str">
        <f ca="1">IF(A1309="В заказ",MAX($B$9:OFFSET(B1309,-1,0))+1,"")</f>
        <v/>
      </c>
      <c r="C1309" s="6" t="str">
        <f t="shared" si="38"/>
        <v>Кромка 0,4 U216 ST9  (200 м бухта).</v>
      </c>
      <c r="D1309" s="67" t="s">
        <v>241</v>
      </c>
      <c r="E1309" s="67" t="s">
        <v>151</v>
      </c>
      <c r="F1309" s="67" t="s">
        <v>1042</v>
      </c>
      <c r="G1309" s="68">
        <v>24528</v>
      </c>
      <c r="H1309" s="67" t="s">
        <v>976</v>
      </c>
      <c r="I1309" s="200"/>
      <c r="J1309" s="67" t="s">
        <v>1040</v>
      </c>
      <c r="K1309" s="67" t="s">
        <v>1041</v>
      </c>
      <c r="L1309" s="67" t="s">
        <v>22</v>
      </c>
      <c r="M1309" s="67" t="s">
        <v>244</v>
      </c>
      <c r="N1309" s="67" t="s">
        <v>253</v>
      </c>
      <c r="O1309" s="67" t="s">
        <v>2117</v>
      </c>
      <c r="P1309" s="67" t="s">
        <v>19</v>
      </c>
      <c r="Q1309" s="192">
        <v>13.2</v>
      </c>
    </row>
    <row r="1310" spans="1:17" ht="11.1" hidden="1" customHeight="1" x14ac:dyDescent="0.2">
      <c r="A1310" s="3"/>
      <c r="B1310" s="3" t="str">
        <f ca="1">IF(A1310="В заказ",MAX($B$9:OFFSET(B1310,-1,0))+1,"")</f>
        <v/>
      </c>
      <c r="C1310" s="6" t="str">
        <f t="shared" si="38"/>
        <v>Кромка 0,8 U216 ST9  (75 м бухта).</v>
      </c>
      <c r="D1310" s="67" t="s">
        <v>241</v>
      </c>
      <c r="E1310" s="67" t="s">
        <v>151</v>
      </c>
      <c r="F1310" s="67" t="s">
        <v>1043</v>
      </c>
      <c r="G1310" s="68">
        <v>15879</v>
      </c>
      <c r="H1310" s="67" t="s">
        <v>976</v>
      </c>
      <c r="I1310" s="200"/>
      <c r="J1310" s="67" t="s">
        <v>1040</v>
      </c>
      <c r="K1310" s="67" t="s">
        <v>1041</v>
      </c>
      <c r="L1310" s="67" t="s">
        <v>22</v>
      </c>
      <c r="M1310" s="67" t="s">
        <v>252</v>
      </c>
      <c r="N1310" s="67" t="s">
        <v>10</v>
      </c>
      <c r="O1310" s="67" t="s">
        <v>2116</v>
      </c>
      <c r="P1310" s="67" t="s">
        <v>19</v>
      </c>
      <c r="Q1310" s="192">
        <v>25.7</v>
      </c>
    </row>
    <row r="1311" spans="1:17" ht="11.1" hidden="1" customHeight="1" x14ac:dyDescent="0.2">
      <c r="A1311" s="3"/>
      <c r="B1311" s="3" t="str">
        <f ca="1">IF(A1311="В заказ",MAX($B$9:OFFSET(B1311,-1,0))+1,"")</f>
        <v/>
      </c>
      <c r="C1311" s="6" t="str">
        <f t="shared" si="38"/>
        <v>Кромка 0,8 U216 ST9  (75 м бухта).</v>
      </c>
      <c r="D1311" s="67" t="s">
        <v>241</v>
      </c>
      <c r="E1311" s="67" t="s">
        <v>151</v>
      </c>
      <c r="F1311" s="67" t="s">
        <v>1044</v>
      </c>
      <c r="G1311" s="68">
        <v>18975</v>
      </c>
      <c r="H1311" s="67" t="s">
        <v>976</v>
      </c>
      <c r="I1311" s="200"/>
      <c r="J1311" s="67" t="s">
        <v>1040</v>
      </c>
      <c r="K1311" s="67" t="s">
        <v>1041</v>
      </c>
      <c r="L1311" s="67" t="s">
        <v>22</v>
      </c>
      <c r="M1311" s="67" t="s">
        <v>244</v>
      </c>
      <c r="N1311" s="67" t="s">
        <v>10</v>
      </c>
      <c r="O1311" s="67" t="s">
        <v>2116</v>
      </c>
      <c r="P1311" s="67" t="s">
        <v>19</v>
      </c>
      <c r="Q1311" s="71">
        <v>31</v>
      </c>
    </row>
    <row r="1312" spans="1:17" ht="11.1" hidden="1" customHeight="1" x14ac:dyDescent="0.2">
      <c r="A1312" s="3"/>
      <c r="B1312" s="3" t="str">
        <f ca="1">IF(A1312="В заказ",MAX($B$9:OFFSET(B1312,-1,0))+1,"")</f>
        <v/>
      </c>
      <c r="C1312" s="6" t="str">
        <f t="shared" si="38"/>
        <v>Кромка 0,8 U216 ST9  (75 м бухта).</v>
      </c>
      <c r="D1312" s="67" t="s">
        <v>241</v>
      </c>
      <c r="E1312" s="67" t="s">
        <v>151</v>
      </c>
      <c r="F1312" s="67" t="s">
        <v>1045</v>
      </c>
      <c r="G1312" s="68">
        <v>19896</v>
      </c>
      <c r="H1312" s="67" t="s">
        <v>976</v>
      </c>
      <c r="I1312" s="200"/>
      <c r="J1312" s="67" t="s">
        <v>1040</v>
      </c>
      <c r="K1312" s="67" t="s">
        <v>1041</v>
      </c>
      <c r="L1312" s="67" t="s">
        <v>22</v>
      </c>
      <c r="M1312" s="67" t="s">
        <v>264</v>
      </c>
      <c r="N1312" s="67" t="s">
        <v>10</v>
      </c>
      <c r="O1312" s="67" t="s">
        <v>2116</v>
      </c>
      <c r="P1312" s="67" t="s">
        <v>19</v>
      </c>
      <c r="Q1312" s="192">
        <v>47.5</v>
      </c>
    </row>
    <row r="1313" spans="1:17" ht="11.1" hidden="1" customHeight="1" x14ac:dyDescent="0.2">
      <c r="A1313" s="3"/>
      <c r="B1313" s="3" t="str">
        <f ca="1">IF(A1313="В заказ",MAX($B$9:OFFSET(B1313,-1,0))+1,"")</f>
        <v/>
      </c>
      <c r="C1313" s="6" t="str">
        <f t="shared" si="38"/>
        <v>Кромка 2,0 U216 ST9  (75 м бухта).</v>
      </c>
      <c r="D1313" s="67" t="s">
        <v>241</v>
      </c>
      <c r="E1313" s="67" t="s">
        <v>151</v>
      </c>
      <c r="F1313" s="67" t="s">
        <v>1046</v>
      </c>
      <c r="G1313" s="68">
        <v>14273</v>
      </c>
      <c r="H1313" s="67" t="s">
        <v>976</v>
      </c>
      <c r="I1313" s="200"/>
      <c r="J1313" s="67" t="s">
        <v>1040</v>
      </c>
      <c r="K1313" s="67" t="s">
        <v>1041</v>
      </c>
      <c r="L1313" s="67" t="s">
        <v>22</v>
      </c>
      <c r="M1313" s="67" t="s">
        <v>252</v>
      </c>
      <c r="N1313" s="67" t="s">
        <v>259</v>
      </c>
      <c r="O1313" s="67" t="s">
        <v>2116</v>
      </c>
      <c r="P1313" s="67" t="s">
        <v>19</v>
      </c>
      <c r="Q1313" s="192">
        <v>48.1</v>
      </c>
    </row>
    <row r="1314" spans="1:17" ht="11.1" hidden="1" customHeight="1" x14ac:dyDescent="0.2">
      <c r="A1314" s="3"/>
      <c r="B1314" s="3" t="str">
        <f ca="1">IF(A1314="В заказ",MAX($B$9:OFFSET(B1314,-1,0))+1,"")</f>
        <v/>
      </c>
      <c r="C1314" s="6" t="str">
        <f t="shared" si="38"/>
        <v>Кромка 2,0 U216 ST9  (75 м бухта).</v>
      </c>
      <c r="D1314" s="67" t="s">
        <v>241</v>
      </c>
      <c r="E1314" s="67" t="s">
        <v>151</v>
      </c>
      <c r="F1314" s="67" t="s">
        <v>1047</v>
      </c>
      <c r="G1314" s="68">
        <v>18350</v>
      </c>
      <c r="H1314" s="67" t="s">
        <v>976</v>
      </c>
      <c r="I1314" s="200"/>
      <c r="J1314" s="67" t="s">
        <v>1040</v>
      </c>
      <c r="K1314" s="67" t="s">
        <v>1041</v>
      </c>
      <c r="L1314" s="67" t="s">
        <v>22</v>
      </c>
      <c r="M1314" s="67" t="s">
        <v>244</v>
      </c>
      <c r="N1314" s="67" t="s">
        <v>259</v>
      </c>
      <c r="O1314" s="67" t="s">
        <v>2116</v>
      </c>
      <c r="P1314" s="67" t="s">
        <v>19</v>
      </c>
      <c r="Q1314" s="192">
        <v>53.1</v>
      </c>
    </row>
    <row r="1315" spans="1:17" ht="11.1" hidden="1" customHeight="1" x14ac:dyDescent="0.2">
      <c r="A1315" s="3"/>
      <c r="B1315" s="3" t="str">
        <f ca="1">IF(A1315="В заказ",MAX($B$9:OFFSET(B1315,-1,0))+1,"")</f>
        <v/>
      </c>
      <c r="C1315" s="6" t="str">
        <f t="shared" si="38"/>
        <v>Кромка 2,0 U216 ST9  (75 м бухта).</v>
      </c>
      <c r="D1315" s="67" t="s">
        <v>241</v>
      </c>
      <c r="E1315" s="67" t="s">
        <v>151</v>
      </c>
      <c r="F1315" s="67" t="s">
        <v>1048</v>
      </c>
      <c r="G1315" s="68">
        <v>16487</v>
      </c>
      <c r="H1315" s="67" t="s">
        <v>976</v>
      </c>
      <c r="I1315" s="200"/>
      <c r="J1315" s="67" t="s">
        <v>1040</v>
      </c>
      <c r="K1315" s="67" t="s">
        <v>1041</v>
      </c>
      <c r="L1315" s="67" t="s">
        <v>22</v>
      </c>
      <c r="M1315" s="67" t="s">
        <v>270</v>
      </c>
      <c r="N1315" s="67" t="s">
        <v>259</v>
      </c>
      <c r="O1315" s="67" t="s">
        <v>2116</v>
      </c>
      <c r="P1315" s="67" t="s">
        <v>19</v>
      </c>
      <c r="Q1315" s="192">
        <v>97.2</v>
      </c>
    </row>
    <row r="1316" spans="1:17" ht="11.1" hidden="1" customHeight="1" x14ac:dyDescent="0.2">
      <c r="A1316" s="3"/>
      <c r="B1316" s="3" t="str">
        <f ca="1">IF(A1316="В заказ",MAX($B$9:OFFSET(B1316,-1,0))+1,"")</f>
        <v/>
      </c>
      <c r="C1316" s="6" t="str">
        <f t="shared" si="38"/>
        <v>Кромка 0,4 U222 ST9  (200 м бухта).</v>
      </c>
      <c r="D1316" s="67" t="s">
        <v>241</v>
      </c>
      <c r="E1316" s="67" t="s">
        <v>151</v>
      </c>
      <c r="F1316" s="67" t="s">
        <v>1049</v>
      </c>
      <c r="G1316" s="68">
        <v>13311</v>
      </c>
      <c r="H1316" s="67" t="s">
        <v>976</v>
      </c>
      <c r="I1316" s="200"/>
      <c r="J1316" s="67" t="s">
        <v>165</v>
      </c>
      <c r="K1316" s="67" t="s">
        <v>166</v>
      </c>
      <c r="L1316" s="67" t="s">
        <v>22</v>
      </c>
      <c r="M1316" s="67" t="s">
        <v>252</v>
      </c>
      <c r="N1316" s="67" t="s">
        <v>253</v>
      </c>
      <c r="O1316" s="67" t="s">
        <v>2117</v>
      </c>
      <c r="P1316" s="67" t="s">
        <v>19</v>
      </c>
      <c r="Q1316" s="71">
        <v>11</v>
      </c>
    </row>
    <row r="1317" spans="1:17" ht="11.1" hidden="1" customHeight="1" x14ac:dyDescent="0.2">
      <c r="A1317" s="3"/>
      <c r="B1317" s="3" t="str">
        <f ca="1">IF(A1317="В заказ",MAX($B$9:OFFSET(B1317,-1,0))+1,"")</f>
        <v/>
      </c>
      <c r="C1317" s="6" t="str">
        <f t="shared" si="38"/>
        <v>Кромка 0,4 U222 ST9  (200 м бухта).</v>
      </c>
      <c r="D1317" s="67" t="s">
        <v>241</v>
      </c>
      <c r="E1317" s="67" t="s">
        <v>151</v>
      </c>
      <c r="F1317" s="67" t="s">
        <v>1050</v>
      </c>
      <c r="G1317" s="68">
        <v>22973</v>
      </c>
      <c r="H1317" s="67" t="s">
        <v>976</v>
      </c>
      <c r="I1317" s="200"/>
      <c r="J1317" s="67" t="s">
        <v>165</v>
      </c>
      <c r="K1317" s="67" t="s">
        <v>166</v>
      </c>
      <c r="L1317" s="67" t="s">
        <v>22</v>
      </c>
      <c r="M1317" s="67" t="s">
        <v>244</v>
      </c>
      <c r="N1317" s="67" t="s">
        <v>253</v>
      </c>
      <c r="O1317" s="67" t="s">
        <v>2117</v>
      </c>
      <c r="P1317" s="67" t="s">
        <v>19</v>
      </c>
      <c r="Q1317" s="192">
        <v>13.2</v>
      </c>
    </row>
    <row r="1318" spans="1:17" ht="11.1" hidden="1" customHeight="1" x14ac:dyDescent="0.2">
      <c r="A1318" s="3"/>
      <c r="B1318" s="3" t="str">
        <f ca="1">IF(A1318="В заказ",MAX($B$9:OFFSET(B1318,-1,0))+1,"")</f>
        <v/>
      </c>
      <c r="C1318" s="6" t="str">
        <f t="shared" si="38"/>
        <v>Кромка 0,4 U222 ST9  (200 м бухта).</v>
      </c>
      <c r="D1318" s="67" t="s">
        <v>241</v>
      </c>
      <c r="E1318" s="67" t="s">
        <v>151</v>
      </c>
      <c r="F1318" s="67" t="s">
        <v>1051</v>
      </c>
      <c r="G1318" s="68">
        <v>14366</v>
      </c>
      <c r="H1318" s="67" t="s">
        <v>976</v>
      </c>
      <c r="I1318" s="200"/>
      <c r="J1318" s="67" t="s">
        <v>165</v>
      </c>
      <c r="K1318" s="67" t="s">
        <v>166</v>
      </c>
      <c r="L1318" s="67" t="s">
        <v>22</v>
      </c>
      <c r="M1318" s="67" t="s">
        <v>264</v>
      </c>
      <c r="N1318" s="67" t="s">
        <v>253</v>
      </c>
      <c r="O1318" s="67" t="s">
        <v>2117</v>
      </c>
      <c r="P1318" s="67" t="s">
        <v>19</v>
      </c>
      <c r="Q1318" s="192">
        <v>17.100000000000001</v>
      </c>
    </row>
    <row r="1319" spans="1:17" ht="11.1" hidden="1" customHeight="1" x14ac:dyDescent="0.2">
      <c r="A1319" s="3"/>
      <c r="B1319" s="3" t="str">
        <f ca="1">IF(A1319="В заказ",MAX($B$9:OFFSET(B1319,-1,0))+1,"")</f>
        <v/>
      </c>
      <c r="C1319" s="6" t="str">
        <f t="shared" si="38"/>
        <v>Кромка 0,8 U222 ST9  (75 м бухта).</v>
      </c>
      <c r="D1319" s="67" t="s">
        <v>241</v>
      </c>
      <c r="E1319" s="67" t="s">
        <v>151</v>
      </c>
      <c r="F1319" s="67" t="s">
        <v>1052</v>
      </c>
      <c r="G1319" s="68">
        <v>14006</v>
      </c>
      <c r="H1319" s="67" t="s">
        <v>976</v>
      </c>
      <c r="I1319" s="200"/>
      <c r="J1319" s="67" t="s">
        <v>165</v>
      </c>
      <c r="K1319" s="67" t="s">
        <v>166</v>
      </c>
      <c r="L1319" s="67" t="s">
        <v>22</v>
      </c>
      <c r="M1319" s="67" t="s">
        <v>252</v>
      </c>
      <c r="N1319" s="67" t="s">
        <v>10</v>
      </c>
      <c r="O1319" s="67" t="s">
        <v>2116</v>
      </c>
      <c r="P1319" s="67" t="s">
        <v>19</v>
      </c>
      <c r="Q1319" s="192">
        <v>25.7</v>
      </c>
    </row>
    <row r="1320" spans="1:17" ht="11.1" hidden="1" customHeight="1" x14ac:dyDescent="0.2">
      <c r="A1320" s="3"/>
      <c r="B1320" s="3" t="str">
        <f ca="1">IF(A1320="В заказ",MAX($B$9:OFFSET(B1320,-1,0))+1,"")</f>
        <v/>
      </c>
      <c r="C1320" s="6" t="str">
        <f t="shared" si="38"/>
        <v>Кромка 0,8 U222 ST9  (75 м бухта).</v>
      </c>
      <c r="D1320" s="67" t="s">
        <v>241</v>
      </c>
      <c r="E1320" s="67" t="s">
        <v>151</v>
      </c>
      <c r="F1320" s="67" t="s">
        <v>1053</v>
      </c>
      <c r="G1320" s="68">
        <v>24572</v>
      </c>
      <c r="H1320" s="67" t="s">
        <v>976</v>
      </c>
      <c r="I1320" s="200"/>
      <c r="J1320" s="67" t="s">
        <v>165</v>
      </c>
      <c r="K1320" s="67" t="s">
        <v>166</v>
      </c>
      <c r="L1320" s="67" t="s">
        <v>22</v>
      </c>
      <c r="M1320" s="67" t="s">
        <v>244</v>
      </c>
      <c r="N1320" s="67" t="s">
        <v>10</v>
      </c>
      <c r="O1320" s="67" t="s">
        <v>2116</v>
      </c>
      <c r="P1320" s="67" t="s">
        <v>19</v>
      </c>
      <c r="Q1320" s="71">
        <v>31</v>
      </c>
    </row>
    <row r="1321" spans="1:17" ht="11.1" hidden="1" customHeight="1" x14ac:dyDescent="0.2">
      <c r="A1321" s="3"/>
      <c r="B1321" s="3" t="str">
        <f ca="1">IF(A1321="В заказ",MAX($B$9:OFFSET(B1321,-1,0))+1,"")</f>
        <v/>
      </c>
      <c r="C1321" s="6" t="str">
        <f t="shared" si="38"/>
        <v>Кромка 2,0 U222 ST9  (75 м бухта).</v>
      </c>
      <c r="D1321" s="67" t="s">
        <v>241</v>
      </c>
      <c r="E1321" s="67" t="s">
        <v>151</v>
      </c>
      <c r="F1321" s="67" t="s">
        <v>1054</v>
      </c>
      <c r="G1321" s="68">
        <v>13248</v>
      </c>
      <c r="H1321" s="67" t="s">
        <v>976</v>
      </c>
      <c r="I1321" s="200"/>
      <c r="J1321" s="67" t="s">
        <v>165</v>
      </c>
      <c r="K1321" s="67" t="s">
        <v>166</v>
      </c>
      <c r="L1321" s="67" t="s">
        <v>22</v>
      </c>
      <c r="M1321" s="67" t="s">
        <v>252</v>
      </c>
      <c r="N1321" s="67" t="s">
        <v>259</v>
      </c>
      <c r="O1321" s="67" t="s">
        <v>2116</v>
      </c>
      <c r="P1321" s="67" t="s">
        <v>19</v>
      </c>
      <c r="Q1321" s="192">
        <v>48.1</v>
      </c>
    </row>
    <row r="1322" spans="1:17" ht="11.1" hidden="1" customHeight="1" x14ac:dyDescent="0.2">
      <c r="A1322" s="3"/>
      <c r="B1322" s="3" t="str">
        <f ca="1">IF(A1322="В заказ",MAX($B$9:OFFSET(B1322,-1,0))+1,"")</f>
        <v/>
      </c>
      <c r="C1322" s="6" t="str">
        <f t="shared" si="38"/>
        <v>Кромка 2,0 U222 ST9  (75 м бухта).</v>
      </c>
      <c r="D1322" s="67" t="s">
        <v>241</v>
      </c>
      <c r="E1322" s="67" t="s">
        <v>151</v>
      </c>
      <c r="F1322" s="67" t="s">
        <v>1055</v>
      </c>
      <c r="G1322" s="68">
        <v>14008</v>
      </c>
      <c r="H1322" s="67" t="s">
        <v>976</v>
      </c>
      <c r="I1322" s="200"/>
      <c r="J1322" s="67" t="s">
        <v>165</v>
      </c>
      <c r="K1322" s="67" t="s">
        <v>166</v>
      </c>
      <c r="L1322" s="67" t="s">
        <v>22</v>
      </c>
      <c r="M1322" s="67" t="s">
        <v>244</v>
      </c>
      <c r="N1322" s="67" t="s">
        <v>259</v>
      </c>
      <c r="O1322" s="67" t="s">
        <v>2116</v>
      </c>
      <c r="P1322" s="67" t="s">
        <v>19</v>
      </c>
      <c r="Q1322" s="192">
        <v>53.1</v>
      </c>
    </row>
    <row r="1323" spans="1:17" ht="11.1" hidden="1" customHeight="1" x14ac:dyDescent="0.2">
      <c r="A1323" s="3"/>
      <c r="B1323" s="3" t="str">
        <f ca="1">IF(A1323="В заказ",MAX($B$9:OFFSET(B1323,-1,0))+1,"")</f>
        <v/>
      </c>
      <c r="C1323" s="6" t="str">
        <f t="shared" si="38"/>
        <v>Кромка 2,0 U222 ST9  (75 м бухта).</v>
      </c>
      <c r="D1323" s="67" t="s">
        <v>241</v>
      </c>
      <c r="E1323" s="67" t="s">
        <v>151</v>
      </c>
      <c r="F1323" s="67" t="s">
        <v>1056</v>
      </c>
      <c r="G1323" s="68">
        <v>13312</v>
      </c>
      <c r="H1323" s="67" t="s">
        <v>976</v>
      </c>
      <c r="I1323" s="200"/>
      <c r="J1323" s="67" t="s">
        <v>165</v>
      </c>
      <c r="K1323" s="67" t="s">
        <v>166</v>
      </c>
      <c r="L1323" s="67" t="s">
        <v>22</v>
      </c>
      <c r="M1323" s="67" t="s">
        <v>264</v>
      </c>
      <c r="N1323" s="67" t="s">
        <v>259</v>
      </c>
      <c r="O1323" s="67" t="s">
        <v>2116</v>
      </c>
      <c r="P1323" s="67" t="s">
        <v>19</v>
      </c>
      <c r="Q1323" s="192">
        <v>72.400000000000006</v>
      </c>
    </row>
    <row r="1324" spans="1:17" ht="11.1" hidden="1" customHeight="1" x14ac:dyDescent="0.2">
      <c r="A1324" s="3"/>
      <c r="B1324" s="3" t="str">
        <f ca="1">IF(A1324="В заказ",MAX($B$9:OFFSET(B1324,-1,0))+1,"")</f>
        <v/>
      </c>
      <c r="C1324" s="6" t="str">
        <f t="shared" si="38"/>
        <v>Кромка 2,0 U222 ST9  (75 м бухта).</v>
      </c>
      <c r="D1324" s="67" t="s">
        <v>241</v>
      </c>
      <c r="E1324" s="67" t="s">
        <v>151</v>
      </c>
      <c r="F1324" s="67" t="s">
        <v>1057</v>
      </c>
      <c r="G1324" s="68">
        <v>15029</v>
      </c>
      <c r="H1324" s="67" t="s">
        <v>976</v>
      </c>
      <c r="I1324" s="200"/>
      <c r="J1324" s="67" t="s">
        <v>165</v>
      </c>
      <c r="K1324" s="67" t="s">
        <v>166</v>
      </c>
      <c r="L1324" s="67" t="s">
        <v>22</v>
      </c>
      <c r="M1324" s="67" t="s">
        <v>270</v>
      </c>
      <c r="N1324" s="67" t="s">
        <v>259</v>
      </c>
      <c r="O1324" s="67" t="s">
        <v>2116</v>
      </c>
      <c r="P1324" s="67" t="s">
        <v>19</v>
      </c>
      <c r="Q1324" s="192">
        <v>97.2</v>
      </c>
    </row>
    <row r="1325" spans="1:17" ht="11.1" hidden="1" customHeight="1" x14ac:dyDescent="0.2">
      <c r="A1325" s="3"/>
      <c r="B1325" s="3" t="str">
        <f ca="1">IF(A1325="В заказ",MAX($B$9:OFFSET(B1325,-1,0))+1,"")</f>
        <v/>
      </c>
      <c r="C1325" s="6" t="str">
        <f t="shared" si="38"/>
        <v>Кромка 0,4 U311 ST9  (200 м бухта).</v>
      </c>
      <c r="D1325" s="67" t="s">
        <v>241</v>
      </c>
      <c r="E1325" s="67" t="s">
        <v>151</v>
      </c>
      <c r="F1325" s="67" t="s">
        <v>1058</v>
      </c>
      <c r="G1325" s="68">
        <v>13275</v>
      </c>
      <c r="H1325" s="67" t="s">
        <v>976</v>
      </c>
      <c r="I1325" s="200"/>
      <c r="J1325" s="67" t="s">
        <v>167</v>
      </c>
      <c r="K1325" s="67" t="s">
        <v>168</v>
      </c>
      <c r="L1325" s="67" t="s">
        <v>22</v>
      </c>
      <c r="M1325" s="67" t="s">
        <v>252</v>
      </c>
      <c r="N1325" s="67" t="s">
        <v>253</v>
      </c>
      <c r="O1325" s="67" t="s">
        <v>2117</v>
      </c>
      <c r="P1325" s="67" t="s">
        <v>19</v>
      </c>
      <c r="Q1325" s="71">
        <v>11</v>
      </c>
    </row>
    <row r="1326" spans="1:17" ht="11.1" hidden="1" customHeight="1" x14ac:dyDescent="0.2">
      <c r="A1326" s="3"/>
      <c r="B1326" s="3" t="str">
        <f ca="1">IF(A1326="В заказ",MAX($B$9:OFFSET(B1326,-1,0))+1,"")</f>
        <v/>
      </c>
      <c r="C1326" s="6" t="str">
        <f t="shared" si="38"/>
        <v>Кромка 0,8 U311 ST9  (75 м бухта).</v>
      </c>
      <c r="D1326" s="67" t="s">
        <v>241</v>
      </c>
      <c r="E1326" s="67" t="s">
        <v>151</v>
      </c>
      <c r="F1326" s="67" t="s">
        <v>1059</v>
      </c>
      <c r="G1326" s="68">
        <v>16750</v>
      </c>
      <c r="H1326" s="67" t="s">
        <v>976</v>
      </c>
      <c r="I1326" s="200"/>
      <c r="J1326" s="67" t="s">
        <v>167</v>
      </c>
      <c r="K1326" s="67" t="s">
        <v>168</v>
      </c>
      <c r="L1326" s="67" t="s">
        <v>22</v>
      </c>
      <c r="M1326" s="67" t="s">
        <v>252</v>
      </c>
      <c r="N1326" s="67" t="s">
        <v>10</v>
      </c>
      <c r="O1326" s="67" t="s">
        <v>2116</v>
      </c>
      <c r="P1326" s="67" t="s">
        <v>19</v>
      </c>
      <c r="Q1326" s="192">
        <v>25.7</v>
      </c>
    </row>
    <row r="1327" spans="1:17" ht="11.1" hidden="1" customHeight="1" x14ac:dyDescent="0.2">
      <c r="A1327" s="3"/>
      <c r="B1327" s="3" t="str">
        <f ca="1">IF(A1327="В заказ",MAX($B$9:OFFSET(B1327,-1,0))+1,"")</f>
        <v/>
      </c>
      <c r="C1327" s="6" t="str">
        <f t="shared" si="38"/>
        <v>Кромка 2,0 U311 ST9  (75 м бухта).</v>
      </c>
      <c r="D1327" s="67" t="s">
        <v>241</v>
      </c>
      <c r="E1327" s="67" t="s">
        <v>151</v>
      </c>
      <c r="F1327" s="67" t="s">
        <v>1060</v>
      </c>
      <c r="G1327" s="68">
        <v>13276</v>
      </c>
      <c r="H1327" s="67" t="s">
        <v>976</v>
      </c>
      <c r="I1327" s="200"/>
      <c r="J1327" s="67" t="s">
        <v>167</v>
      </c>
      <c r="K1327" s="67" t="s">
        <v>168</v>
      </c>
      <c r="L1327" s="67" t="s">
        <v>22</v>
      </c>
      <c r="M1327" s="67" t="s">
        <v>252</v>
      </c>
      <c r="N1327" s="67" t="s">
        <v>259</v>
      </c>
      <c r="O1327" s="67" t="s">
        <v>2116</v>
      </c>
      <c r="P1327" s="67" t="s">
        <v>19</v>
      </c>
      <c r="Q1327" s="192">
        <v>48.1</v>
      </c>
    </row>
    <row r="1328" spans="1:17" ht="11.1" hidden="1" customHeight="1" x14ac:dyDescent="0.2">
      <c r="A1328" s="3"/>
      <c r="B1328" s="3" t="str">
        <f ca="1">IF(A1328="В заказ",MAX($B$9:OFFSET(B1328,-1,0))+1,"")</f>
        <v/>
      </c>
      <c r="C1328" s="6" t="str">
        <f t="shared" si="38"/>
        <v>Кромка 0,4 U321 ST9  (200 м бухта).</v>
      </c>
      <c r="D1328" s="67" t="s">
        <v>241</v>
      </c>
      <c r="E1328" s="67" t="s">
        <v>151</v>
      </c>
      <c r="F1328" s="67" t="s">
        <v>1061</v>
      </c>
      <c r="G1328" s="68">
        <v>13018</v>
      </c>
      <c r="H1328" s="67" t="s">
        <v>976</v>
      </c>
      <c r="I1328" s="200"/>
      <c r="J1328" s="67" t="s">
        <v>169</v>
      </c>
      <c r="K1328" s="67" t="s">
        <v>170</v>
      </c>
      <c r="L1328" s="67" t="s">
        <v>22</v>
      </c>
      <c r="M1328" s="67" t="s">
        <v>252</v>
      </c>
      <c r="N1328" s="67" t="s">
        <v>253</v>
      </c>
      <c r="O1328" s="67" t="s">
        <v>2117</v>
      </c>
      <c r="P1328" s="67" t="s">
        <v>19</v>
      </c>
      <c r="Q1328" s="71">
        <v>11</v>
      </c>
    </row>
    <row r="1329" spans="1:17" ht="11.1" hidden="1" customHeight="1" x14ac:dyDescent="0.2">
      <c r="A1329" s="3"/>
      <c r="B1329" s="3" t="str">
        <f ca="1">IF(A1329="В заказ",MAX($B$9:OFFSET(B1329,-1,0))+1,"")</f>
        <v/>
      </c>
      <c r="C1329" s="6" t="str">
        <f t="shared" si="38"/>
        <v>Кромка 0,4 U321 ST9  (200 м бухта).</v>
      </c>
      <c r="D1329" s="67" t="s">
        <v>241</v>
      </c>
      <c r="E1329" s="67" t="s">
        <v>151</v>
      </c>
      <c r="F1329" s="67" t="s">
        <v>1062</v>
      </c>
      <c r="G1329" s="68">
        <v>14333</v>
      </c>
      <c r="H1329" s="67" t="s">
        <v>976</v>
      </c>
      <c r="I1329" s="200"/>
      <c r="J1329" s="67" t="s">
        <v>169</v>
      </c>
      <c r="K1329" s="67" t="s">
        <v>170</v>
      </c>
      <c r="L1329" s="67" t="s">
        <v>22</v>
      </c>
      <c r="M1329" s="67" t="s">
        <v>264</v>
      </c>
      <c r="N1329" s="67" t="s">
        <v>253</v>
      </c>
      <c r="O1329" s="67" t="s">
        <v>2117</v>
      </c>
      <c r="P1329" s="67" t="s">
        <v>19</v>
      </c>
      <c r="Q1329" s="192">
        <v>17.100000000000001</v>
      </c>
    </row>
    <row r="1330" spans="1:17" ht="11.1" hidden="1" customHeight="1" x14ac:dyDescent="0.2">
      <c r="A1330" s="3"/>
      <c r="B1330" s="3" t="str">
        <f ca="1">IF(A1330="В заказ",MAX($B$9:OFFSET(B1330,-1,0))+1,"")</f>
        <v/>
      </c>
      <c r="C1330" s="6" t="str">
        <f t="shared" si="38"/>
        <v>Кромка 0,8 U321 ST9  (75 м бухта).</v>
      </c>
      <c r="D1330" s="67" t="s">
        <v>241</v>
      </c>
      <c r="E1330" s="67" t="s">
        <v>151</v>
      </c>
      <c r="F1330" s="67" t="s">
        <v>1063</v>
      </c>
      <c r="G1330" s="68">
        <v>14332</v>
      </c>
      <c r="H1330" s="67" t="s">
        <v>976</v>
      </c>
      <c r="I1330" s="200"/>
      <c r="J1330" s="67" t="s">
        <v>169</v>
      </c>
      <c r="K1330" s="67" t="s">
        <v>170</v>
      </c>
      <c r="L1330" s="67" t="s">
        <v>22</v>
      </c>
      <c r="M1330" s="67" t="s">
        <v>252</v>
      </c>
      <c r="N1330" s="67" t="s">
        <v>10</v>
      </c>
      <c r="O1330" s="67" t="s">
        <v>2116</v>
      </c>
      <c r="P1330" s="67" t="s">
        <v>19</v>
      </c>
      <c r="Q1330" s="192">
        <v>25.7</v>
      </c>
    </row>
    <row r="1331" spans="1:17" ht="11.1" hidden="1" customHeight="1" x14ac:dyDescent="0.2">
      <c r="A1331" s="3"/>
      <c r="B1331" s="3" t="str">
        <f ca="1">IF(A1331="В заказ",MAX($B$9:OFFSET(B1331,-1,0))+1,"")</f>
        <v/>
      </c>
      <c r="C1331" s="6" t="str">
        <f t="shared" si="38"/>
        <v>Кромка 2,0 U321 ST9  (75 м бухта).</v>
      </c>
      <c r="D1331" s="67" t="s">
        <v>241</v>
      </c>
      <c r="E1331" s="67" t="s">
        <v>151</v>
      </c>
      <c r="F1331" s="67" t="s">
        <v>1064</v>
      </c>
      <c r="G1331" s="68">
        <v>13019</v>
      </c>
      <c r="H1331" s="67" t="s">
        <v>976</v>
      </c>
      <c r="I1331" s="200"/>
      <c r="J1331" s="67" t="s">
        <v>169</v>
      </c>
      <c r="K1331" s="67" t="s">
        <v>170</v>
      </c>
      <c r="L1331" s="67" t="s">
        <v>22</v>
      </c>
      <c r="M1331" s="67" t="s">
        <v>252</v>
      </c>
      <c r="N1331" s="67" t="s">
        <v>259</v>
      </c>
      <c r="O1331" s="67" t="s">
        <v>2116</v>
      </c>
      <c r="P1331" s="67" t="s">
        <v>19</v>
      </c>
      <c r="Q1331" s="192">
        <v>48.1</v>
      </c>
    </row>
    <row r="1332" spans="1:17" ht="11.1" hidden="1" customHeight="1" x14ac:dyDescent="0.2">
      <c r="A1332" s="3"/>
      <c r="B1332" s="3" t="str">
        <f ca="1">IF(A1332="В заказ",MAX($B$9:OFFSET(B1332,-1,0))+1,"")</f>
        <v/>
      </c>
      <c r="C1332" s="6" t="str">
        <f t="shared" si="38"/>
        <v>Кромка 2,0 U321 ST9  (75 м бухта).</v>
      </c>
      <c r="D1332" s="67" t="s">
        <v>241</v>
      </c>
      <c r="E1332" s="67" t="s">
        <v>151</v>
      </c>
      <c r="F1332" s="67" t="s">
        <v>1065</v>
      </c>
      <c r="G1332" s="68">
        <v>13069</v>
      </c>
      <c r="H1332" s="67" t="s">
        <v>976</v>
      </c>
      <c r="I1332" s="200"/>
      <c r="J1332" s="67" t="s">
        <v>169</v>
      </c>
      <c r="K1332" s="67" t="s">
        <v>170</v>
      </c>
      <c r="L1332" s="67" t="s">
        <v>22</v>
      </c>
      <c r="M1332" s="67" t="s">
        <v>264</v>
      </c>
      <c r="N1332" s="67" t="s">
        <v>259</v>
      </c>
      <c r="O1332" s="67" t="s">
        <v>2116</v>
      </c>
      <c r="P1332" s="67" t="s">
        <v>19</v>
      </c>
      <c r="Q1332" s="192">
        <v>72.400000000000006</v>
      </c>
    </row>
    <row r="1333" spans="1:17" ht="11.1" hidden="1" customHeight="1" x14ac:dyDescent="0.2">
      <c r="A1333" s="3"/>
      <c r="B1333" s="3" t="str">
        <f ca="1">IF(A1333="В заказ",MAX($B$9:OFFSET(B1333,-1,0))+1,"")</f>
        <v/>
      </c>
      <c r="C1333" s="6" t="str">
        <f t="shared" si="38"/>
        <v>Кромка 2,0 U321 ST9  (75 м бухта).</v>
      </c>
      <c r="D1333" s="67" t="s">
        <v>241</v>
      </c>
      <c r="E1333" s="67" t="s">
        <v>151</v>
      </c>
      <c r="F1333" s="67" t="s">
        <v>1066</v>
      </c>
      <c r="G1333" s="68">
        <v>13070</v>
      </c>
      <c r="H1333" s="67" t="s">
        <v>976</v>
      </c>
      <c r="I1333" s="200"/>
      <c r="J1333" s="67" t="s">
        <v>169</v>
      </c>
      <c r="K1333" s="67" t="s">
        <v>170</v>
      </c>
      <c r="L1333" s="67" t="s">
        <v>22</v>
      </c>
      <c r="M1333" s="67" t="s">
        <v>270</v>
      </c>
      <c r="N1333" s="67" t="s">
        <v>259</v>
      </c>
      <c r="O1333" s="67" t="s">
        <v>2116</v>
      </c>
      <c r="P1333" s="67" t="s">
        <v>19</v>
      </c>
      <c r="Q1333" s="192">
        <v>97.2</v>
      </c>
    </row>
    <row r="1334" spans="1:17" ht="11.1" hidden="1" customHeight="1" x14ac:dyDescent="0.2">
      <c r="A1334" s="3"/>
      <c r="B1334" s="3" t="str">
        <f ca="1">IF(A1334="В заказ",MAX($B$9:OFFSET(B1334,-1,0))+1,"")</f>
        <v/>
      </c>
      <c r="C1334" s="6" t="str">
        <f t="shared" ref="C1334:C1397" si="39">D1334&amp;" "&amp;N1334&amp;" "&amp;IF(OR(D1334="ДСП",D1334="МДФ",D1334="Фанера",D1334="ХДФ"),M1334,J1334)&amp;" "&amp;IF(OR(D1334="ДСП",D1334="МДФ",D1334="Фанера",D1334="ХДФ"),O1334,L1334)&amp;" "&amp;IF(OR(D1334="ДСП",D1334="МДФ",D1334="Фанера",D1334="ХДФ"),"",IF(D1334="БСП",M1334,O1334))&amp;"."</f>
        <v>Кромка 1,0 U323 PG  (75 м бухта).</v>
      </c>
      <c r="D1334" s="67" t="s">
        <v>241</v>
      </c>
      <c r="E1334" s="67" t="s">
        <v>151</v>
      </c>
      <c r="F1334" s="67" t="s">
        <v>1067</v>
      </c>
      <c r="G1334" s="68">
        <v>15304</v>
      </c>
      <c r="H1334" s="67" t="s">
        <v>243</v>
      </c>
      <c r="I1334" s="200"/>
      <c r="J1334" s="67" t="s">
        <v>171</v>
      </c>
      <c r="K1334" s="67" t="s">
        <v>172</v>
      </c>
      <c r="L1334" s="67" t="s">
        <v>18</v>
      </c>
      <c r="M1334" s="67" t="s">
        <v>244</v>
      </c>
      <c r="N1334" s="67" t="s">
        <v>245</v>
      </c>
      <c r="O1334" s="67" t="s">
        <v>2116</v>
      </c>
      <c r="P1334" s="67" t="s">
        <v>19</v>
      </c>
      <c r="Q1334" s="192">
        <v>73.8</v>
      </c>
    </row>
    <row r="1335" spans="1:17" ht="11.1" hidden="1" customHeight="1" x14ac:dyDescent="0.2">
      <c r="A1335" s="3"/>
      <c r="B1335" s="3" t="str">
        <f ca="1">IF(A1335="В заказ",MAX($B$9:OFFSET(B1335,-1,0))+1,"")</f>
        <v/>
      </c>
      <c r="C1335" s="6" t="str">
        <f t="shared" si="39"/>
        <v>Кромка 0,4 U325 ST9  (200 м бухта).</v>
      </c>
      <c r="D1335" s="67" t="s">
        <v>241</v>
      </c>
      <c r="E1335" s="67" t="s">
        <v>151</v>
      </c>
      <c r="F1335" s="67" t="s">
        <v>1068</v>
      </c>
      <c r="G1335" s="68">
        <v>21593</v>
      </c>
      <c r="H1335" s="67" t="s">
        <v>976</v>
      </c>
      <c r="I1335" s="200"/>
      <c r="J1335" s="67" t="s">
        <v>1069</v>
      </c>
      <c r="K1335" s="67" t="s">
        <v>1070</v>
      </c>
      <c r="L1335" s="67" t="s">
        <v>22</v>
      </c>
      <c r="M1335" s="67" t="s">
        <v>252</v>
      </c>
      <c r="N1335" s="67" t="s">
        <v>253</v>
      </c>
      <c r="O1335" s="67" t="s">
        <v>2117</v>
      </c>
      <c r="P1335" s="67" t="s">
        <v>19</v>
      </c>
      <c r="Q1335" s="71">
        <v>11</v>
      </c>
    </row>
    <row r="1336" spans="1:17" ht="11.1" hidden="1" customHeight="1" x14ac:dyDescent="0.2">
      <c r="A1336" s="3"/>
      <c r="B1336" s="3" t="str">
        <f ca="1">IF(A1336="В заказ",MAX($B$9:OFFSET(B1336,-1,0))+1,"")</f>
        <v/>
      </c>
      <c r="C1336" s="6" t="str">
        <f t="shared" si="39"/>
        <v>Кромка 0,8 U325 ST9  (75 м бухта).</v>
      </c>
      <c r="D1336" s="67" t="s">
        <v>241</v>
      </c>
      <c r="E1336" s="67" t="s">
        <v>151</v>
      </c>
      <c r="F1336" s="67" t="s">
        <v>1071</v>
      </c>
      <c r="G1336" s="68">
        <v>21594</v>
      </c>
      <c r="H1336" s="67" t="s">
        <v>976</v>
      </c>
      <c r="I1336" s="200"/>
      <c r="J1336" s="67" t="s">
        <v>1069</v>
      </c>
      <c r="K1336" s="67" t="s">
        <v>1070</v>
      </c>
      <c r="L1336" s="67" t="s">
        <v>22</v>
      </c>
      <c r="M1336" s="67" t="s">
        <v>252</v>
      </c>
      <c r="N1336" s="67" t="s">
        <v>10</v>
      </c>
      <c r="O1336" s="67" t="s">
        <v>2116</v>
      </c>
      <c r="P1336" s="67" t="s">
        <v>19</v>
      </c>
      <c r="Q1336" s="192">
        <v>25.7</v>
      </c>
    </row>
    <row r="1337" spans="1:17" ht="11.1" hidden="1" customHeight="1" x14ac:dyDescent="0.2">
      <c r="A1337" s="3"/>
      <c r="B1337" s="3" t="str">
        <f ca="1">IF(A1337="В заказ",MAX($B$9:OFFSET(B1337,-1,0))+1,"")</f>
        <v/>
      </c>
      <c r="C1337" s="6" t="str">
        <f t="shared" si="39"/>
        <v>Кромка 2,0 U325 ST9  (75 м бухта).</v>
      </c>
      <c r="D1337" s="67" t="s">
        <v>241</v>
      </c>
      <c r="E1337" s="67" t="s">
        <v>151</v>
      </c>
      <c r="F1337" s="67" t="s">
        <v>1072</v>
      </c>
      <c r="G1337" s="68">
        <v>21597</v>
      </c>
      <c r="H1337" s="67" t="s">
        <v>976</v>
      </c>
      <c r="I1337" s="200"/>
      <c r="J1337" s="67" t="s">
        <v>1069</v>
      </c>
      <c r="K1337" s="67" t="s">
        <v>1070</v>
      </c>
      <c r="L1337" s="67" t="s">
        <v>22</v>
      </c>
      <c r="M1337" s="67" t="s">
        <v>252</v>
      </c>
      <c r="N1337" s="67" t="s">
        <v>259</v>
      </c>
      <c r="O1337" s="67" t="s">
        <v>2116</v>
      </c>
      <c r="P1337" s="67" t="s">
        <v>19</v>
      </c>
      <c r="Q1337" s="192">
        <v>48.1</v>
      </c>
    </row>
    <row r="1338" spans="1:17" ht="11.1" hidden="1" customHeight="1" x14ac:dyDescent="0.2">
      <c r="A1338" s="3"/>
      <c r="B1338" s="3" t="str">
        <f ca="1">IF(A1338="В заказ",MAX($B$9:OFFSET(B1338,-1,0))+1,"")</f>
        <v/>
      </c>
      <c r="C1338" s="6" t="str">
        <f t="shared" si="39"/>
        <v>Кромка 0,4 U332 ST9  (200 м бухта).</v>
      </c>
      <c r="D1338" s="67" t="s">
        <v>241</v>
      </c>
      <c r="E1338" s="67" t="s">
        <v>151</v>
      </c>
      <c r="F1338" s="67" t="s">
        <v>1073</v>
      </c>
      <c r="G1338" s="68">
        <v>13794</v>
      </c>
      <c r="H1338" s="67" t="s">
        <v>976</v>
      </c>
      <c r="I1338" s="200"/>
      <c r="J1338" s="67" t="s">
        <v>173</v>
      </c>
      <c r="K1338" s="67" t="s">
        <v>174</v>
      </c>
      <c r="L1338" s="67" t="s">
        <v>22</v>
      </c>
      <c r="M1338" s="67" t="s">
        <v>252</v>
      </c>
      <c r="N1338" s="67" t="s">
        <v>253</v>
      </c>
      <c r="O1338" s="67" t="s">
        <v>2117</v>
      </c>
      <c r="P1338" s="67" t="s">
        <v>19</v>
      </c>
      <c r="Q1338" s="71">
        <v>11</v>
      </c>
    </row>
    <row r="1339" spans="1:17" ht="11.1" hidden="1" customHeight="1" x14ac:dyDescent="0.2">
      <c r="A1339" s="3"/>
      <c r="B1339" s="3" t="str">
        <f ca="1">IF(A1339="В заказ",MAX($B$9:OFFSET(B1339,-1,0))+1,"")</f>
        <v/>
      </c>
      <c r="C1339" s="6" t="str">
        <f t="shared" si="39"/>
        <v>Кромка 0,8 U332 ST9  (75 м бухта).</v>
      </c>
      <c r="D1339" s="67" t="s">
        <v>241</v>
      </c>
      <c r="E1339" s="67" t="s">
        <v>151</v>
      </c>
      <c r="F1339" s="67" t="s">
        <v>1074</v>
      </c>
      <c r="G1339" s="68">
        <v>14435</v>
      </c>
      <c r="H1339" s="67" t="s">
        <v>976</v>
      </c>
      <c r="I1339" s="200"/>
      <c r="J1339" s="67" t="s">
        <v>173</v>
      </c>
      <c r="K1339" s="67" t="s">
        <v>174</v>
      </c>
      <c r="L1339" s="67" t="s">
        <v>22</v>
      </c>
      <c r="M1339" s="67" t="s">
        <v>252</v>
      </c>
      <c r="N1339" s="67" t="s">
        <v>10</v>
      </c>
      <c r="O1339" s="67" t="s">
        <v>2116</v>
      </c>
      <c r="P1339" s="67" t="s">
        <v>19</v>
      </c>
      <c r="Q1339" s="192">
        <v>25.7</v>
      </c>
    </row>
    <row r="1340" spans="1:17" ht="11.1" hidden="1" customHeight="1" x14ac:dyDescent="0.2">
      <c r="A1340" s="3"/>
      <c r="B1340" s="3" t="str">
        <f ca="1">IF(A1340="В заказ",MAX($B$9:OFFSET(B1340,-1,0))+1,"")</f>
        <v/>
      </c>
      <c r="C1340" s="6" t="str">
        <f t="shared" si="39"/>
        <v>Кромка 2,0 U332 ST9  (75 м бухта).</v>
      </c>
      <c r="D1340" s="67" t="s">
        <v>241</v>
      </c>
      <c r="E1340" s="67" t="s">
        <v>151</v>
      </c>
      <c r="F1340" s="67" t="s">
        <v>1075</v>
      </c>
      <c r="G1340" s="68">
        <v>13279</v>
      </c>
      <c r="H1340" s="67" t="s">
        <v>976</v>
      </c>
      <c r="I1340" s="200"/>
      <c r="J1340" s="67" t="s">
        <v>173</v>
      </c>
      <c r="K1340" s="67" t="s">
        <v>174</v>
      </c>
      <c r="L1340" s="67" t="s">
        <v>22</v>
      </c>
      <c r="M1340" s="67" t="s">
        <v>252</v>
      </c>
      <c r="N1340" s="67" t="s">
        <v>259</v>
      </c>
      <c r="O1340" s="67" t="s">
        <v>2116</v>
      </c>
      <c r="P1340" s="67" t="s">
        <v>19</v>
      </c>
      <c r="Q1340" s="192">
        <v>48.1</v>
      </c>
    </row>
    <row r="1341" spans="1:17" ht="11.1" hidden="1" customHeight="1" x14ac:dyDescent="0.2">
      <c r="A1341" s="3"/>
      <c r="B1341" s="3" t="str">
        <f ca="1">IF(A1341="В заказ",MAX($B$9:OFFSET(B1341,-1,0))+1,"")</f>
        <v/>
      </c>
      <c r="C1341" s="6" t="str">
        <f t="shared" si="39"/>
        <v>Кромка 2,0 U332 ST9  (75 м бухта).</v>
      </c>
      <c r="D1341" s="67" t="s">
        <v>241</v>
      </c>
      <c r="E1341" s="67" t="s">
        <v>151</v>
      </c>
      <c r="F1341" s="67" t="s">
        <v>1076</v>
      </c>
      <c r="G1341" s="68">
        <v>14481</v>
      </c>
      <c r="H1341" s="67" t="s">
        <v>976</v>
      </c>
      <c r="I1341" s="200"/>
      <c r="J1341" s="67" t="s">
        <v>173</v>
      </c>
      <c r="K1341" s="67" t="s">
        <v>174</v>
      </c>
      <c r="L1341" s="67" t="s">
        <v>22</v>
      </c>
      <c r="M1341" s="67" t="s">
        <v>270</v>
      </c>
      <c r="N1341" s="67" t="s">
        <v>259</v>
      </c>
      <c r="O1341" s="67" t="s">
        <v>2116</v>
      </c>
      <c r="P1341" s="67" t="s">
        <v>19</v>
      </c>
      <c r="Q1341" s="192">
        <v>97.2</v>
      </c>
    </row>
    <row r="1342" spans="1:17" ht="11.1" hidden="1" customHeight="1" x14ac:dyDescent="0.2">
      <c r="A1342" s="3"/>
      <c r="B1342" s="3" t="str">
        <f ca="1">IF(A1342="В заказ",MAX($B$9:OFFSET(B1342,-1,0))+1,"")</f>
        <v/>
      </c>
      <c r="C1342" s="6" t="str">
        <f t="shared" si="39"/>
        <v>Кромка 0,4 U337 ST9  (200 м бухта).</v>
      </c>
      <c r="D1342" s="67" t="s">
        <v>241</v>
      </c>
      <c r="E1342" s="67" t="s">
        <v>151</v>
      </c>
      <c r="F1342" s="67" t="s">
        <v>1077</v>
      </c>
      <c r="G1342" s="68">
        <v>12854</v>
      </c>
      <c r="H1342" s="67" t="s">
        <v>976</v>
      </c>
      <c r="I1342" s="200"/>
      <c r="J1342" s="67" t="s">
        <v>175</v>
      </c>
      <c r="K1342" s="67" t="s">
        <v>176</v>
      </c>
      <c r="L1342" s="67" t="s">
        <v>22</v>
      </c>
      <c r="M1342" s="67" t="s">
        <v>252</v>
      </c>
      <c r="N1342" s="67" t="s">
        <v>253</v>
      </c>
      <c r="O1342" s="67" t="s">
        <v>2117</v>
      </c>
      <c r="P1342" s="67" t="s">
        <v>19</v>
      </c>
      <c r="Q1342" s="71">
        <v>11</v>
      </c>
    </row>
    <row r="1343" spans="1:17" ht="11.1" hidden="1" customHeight="1" x14ac:dyDescent="0.2">
      <c r="A1343" s="3"/>
      <c r="B1343" s="3" t="str">
        <f ca="1">IF(A1343="В заказ",MAX($B$9:OFFSET(B1343,-1,0))+1,"")</f>
        <v/>
      </c>
      <c r="C1343" s="6" t="str">
        <f t="shared" si="39"/>
        <v>Кромка 0,8 U337 ST9  (75 м бухта).</v>
      </c>
      <c r="D1343" s="67" t="s">
        <v>241</v>
      </c>
      <c r="E1343" s="67" t="s">
        <v>151</v>
      </c>
      <c r="F1343" s="67" t="s">
        <v>1078</v>
      </c>
      <c r="G1343" s="68">
        <v>14005</v>
      </c>
      <c r="H1343" s="67" t="s">
        <v>976</v>
      </c>
      <c r="I1343" s="200"/>
      <c r="J1343" s="67" t="s">
        <v>175</v>
      </c>
      <c r="K1343" s="67" t="s">
        <v>176</v>
      </c>
      <c r="L1343" s="67" t="s">
        <v>22</v>
      </c>
      <c r="M1343" s="67" t="s">
        <v>252</v>
      </c>
      <c r="N1343" s="67" t="s">
        <v>10</v>
      </c>
      <c r="O1343" s="67" t="s">
        <v>2116</v>
      </c>
      <c r="P1343" s="67" t="s">
        <v>19</v>
      </c>
      <c r="Q1343" s="192">
        <v>25.7</v>
      </c>
    </row>
    <row r="1344" spans="1:17" ht="11.1" hidden="1" customHeight="1" x14ac:dyDescent="0.2">
      <c r="A1344" s="3"/>
      <c r="B1344" s="3" t="str">
        <f ca="1">IF(A1344="В заказ",MAX($B$9:OFFSET(B1344,-1,0))+1,"")</f>
        <v/>
      </c>
      <c r="C1344" s="6" t="str">
        <f t="shared" si="39"/>
        <v>Кромка 2,0 U337 ST9  (75 м бухта).</v>
      </c>
      <c r="D1344" s="67" t="s">
        <v>241</v>
      </c>
      <c r="E1344" s="67" t="s">
        <v>151</v>
      </c>
      <c r="F1344" s="67" t="s">
        <v>1079</v>
      </c>
      <c r="G1344" s="68">
        <v>12853</v>
      </c>
      <c r="H1344" s="67" t="s">
        <v>976</v>
      </c>
      <c r="I1344" s="200"/>
      <c r="J1344" s="67" t="s">
        <v>175</v>
      </c>
      <c r="K1344" s="67" t="s">
        <v>176</v>
      </c>
      <c r="L1344" s="67" t="s">
        <v>22</v>
      </c>
      <c r="M1344" s="67" t="s">
        <v>252</v>
      </c>
      <c r="N1344" s="67" t="s">
        <v>259</v>
      </c>
      <c r="O1344" s="67" t="s">
        <v>2116</v>
      </c>
      <c r="P1344" s="67" t="s">
        <v>19</v>
      </c>
      <c r="Q1344" s="192">
        <v>48.1</v>
      </c>
    </row>
    <row r="1345" spans="1:17" ht="11.1" hidden="1" customHeight="1" x14ac:dyDescent="0.2">
      <c r="A1345" s="3"/>
      <c r="B1345" s="3" t="str">
        <f ca="1">IF(A1345="В заказ",MAX($B$9:OFFSET(B1345,-1,0))+1,"")</f>
        <v/>
      </c>
      <c r="C1345" s="6" t="str">
        <f t="shared" si="39"/>
        <v>Кромка 2,0 U337 ST9  (75 м бухта).</v>
      </c>
      <c r="D1345" s="67" t="s">
        <v>241</v>
      </c>
      <c r="E1345" s="67" t="s">
        <v>151</v>
      </c>
      <c r="F1345" s="67" t="s">
        <v>1080</v>
      </c>
      <c r="G1345" s="68">
        <v>15417</v>
      </c>
      <c r="H1345" s="67" t="s">
        <v>976</v>
      </c>
      <c r="I1345" s="200"/>
      <c r="J1345" s="67" t="s">
        <v>175</v>
      </c>
      <c r="K1345" s="67" t="s">
        <v>176</v>
      </c>
      <c r="L1345" s="67" t="s">
        <v>22</v>
      </c>
      <c r="M1345" s="67" t="s">
        <v>270</v>
      </c>
      <c r="N1345" s="67" t="s">
        <v>259</v>
      </c>
      <c r="O1345" s="67" t="s">
        <v>2116</v>
      </c>
      <c r="P1345" s="67" t="s">
        <v>19</v>
      </c>
      <c r="Q1345" s="192">
        <v>97.2</v>
      </c>
    </row>
    <row r="1346" spans="1:17" ht="11.1" hidden="1" customHeight="1" x14ac:dyDescent="0.2">
      <c r="A1346" s="3"/>
      <c r="B1346" s="3" t="str">
        <f ca="1">IF(A1346="В заказ",MAX($B$9:OFFSET(B1346,-1,0))+1,"")</f>
        <v/>
      </c>
      <c r="C1346" s="6" t="str">
        <f t="shared" si="39"/>
        <v>Кромка 2,0 U337 ST9  (25 м бухта).</v>
      </c>
      <c r="D1346" s="67" t="s">
        <v>241</v>
      </c>
      <c r="E1346" s="67" t="s">
        <v>151</v>
      </c>
      <c r="F1346" s="67" t="s">
        <v>1081</v>
      </c>
      <c r="G1346" s="68">
        <v>22976</v>
      </c>
      <c r="H1346" s="67" t="s">
        <v>976</v>
      </c>
      <c r="I1346" s="200"/>
      <c r="J1346" s="67" t="s">
        <v>175</v>
      </c>
      <c r="K1346" s="67" t="s">
        <v>176</v>
      </c>
      <c r="L1346" s="67" t="s">
        <v>22</v>
      </c>
      <c r="M1346" s="67" t="s">
        <v>282</v>
      </c>
      <c r="N1346" s="67" t="s">
        <v>259</v>
      </c>
      <c r="O1346" s="67" t="s">
        <v>2119</v>
      </c>
      <c r="P1346" s="67" t="s">
        <v>19</v>
      </c>
      <c r="Q1346" s="192">
        <v>150.9</v>
      </c>
    </row>
    <row r="1347" spans="1:17" ht="11.1" hidden="1" customHeight="1" x14ac:dyDescent="0.2">
      <c r="A1347" s="3"/>
      <c r="B1347" s="3" t="str">
        <f ca="1">IF(A1347="В заказ",MAX($B$9:OFFSET(B1347,-1,0))+1,"")</f>
        <v/>
      </c>
      <c r="C1347" s="6" t="str">
        <f t="shared" si="39"/>
        <v>Кромка 2,0 U337 ST9  (75 м бухта).</v>
      </c>
      <c r="D1347" s="67" t="s">
        <v>241</v>
      </c>
      <c r="E1347" s="67" t="s">
        <v>151</v>
      </c>
      <c r="F1347" s="67" t="s">
        <v>1082</v>
      </c>
      <c r="G1347" s="68">
        <v>23890</v>
      </c>
      <c r="H1347" s="67" t="s">
        <v>976</v>
      </c>
      <c r="I1347" s="200"/>
      <c r="J1347" s="67" t="s">
        <v>175</v>
      </c>
      <c r="K1347" s="67" t="s">
        <v>176</v>
      </c>
      <c r="L1347" s="67" t="s">
        <v>22</v>
      </c>
      <c r="M1347" s="67" t="s">
        <v>282</v>
      </c>
      <c r="N1347" s="67" t="s">
        <v>259</v>
      </c>
      <c r="O1347" s="67" t="s">
        <v>2116</v>
      </c>
      <c r="P1347" s="67" t="s">
        <v>19</v>
      </c>
      <c r="Q1347" s="192">
        <v>150.9</v>
      </c>
    </row>
    <row r="1348" spans="1:17" ht="11.1" hidden="1" customHeight="1" x14ac:dyDescent="0.2">
      <c r="A1348" s="3"/>
      <c r="B1348" s="3" t="str">
        <f ca="1">IF(A1348="В заказ",MAX($B$9:OFFSET(B1348,-1,0))+1,"")</f>
        <v/>
      </c>
      <c r="C1348" s="6" t="str">
        <f t="shared" si="39"/>
        <v>Кромка 2,0 U363 ST9  (25 м бухта).</v>
      </c>
      <c r="D1348" s="67" t="s">
        <v>241</v>
      </c>
      <c r="E1348" s="67" t="s">
        <v>151</v>
      </c>
      <c r="F1348" s="67" t="s">
        <v>1085</v>
      </c>
      <c r="G1348" s="68">
        <v>14159</v>
      </c>
      <c r="H1348" s="67" t="s">
        <v>976</v>
      </c>
      <c r="I1348" s="200"/>
      <c r="J1348" s="67" t="s">
        <v>1083</v>
      </c>
      <c r="K1348" s="67" t="s">
        <v>1084</v>
      </c>
      <c r="L1348" s="67" t="s">
        <v>22</v>
      </c>
      <c r="M1348" s="67" t="s">
        <v>282</v>
      </c>
      <c r="N1348" s="67" t="s">
        <v>259</v>
      </c>
      <c r="O1348" s="67" t="s">
        <v>2119</v>
      </c>
      <c r="P1348" s="67" t="s">
        <v>19</v>
      </c>
      <c r="Q1348" s="192">
        <v>150.9</v>
      </c>
    </row>
    <row r="1349" spans="1:17" ht="11.1" hidden="1" customHeight="1" x14ac:dyDescent="0.2">
      <c r="A1349" s="3"/>
      <c r="B1349" s="3" t="str">
        <f ca="1">IF(A1349="В заказ",MAX($B$9:OFFSET(B1349,-1,0))+1,"")</f>
        <v/>
      </c>
      <c r="C1349" s="6" t="str">
        <f t="shared" si="39"/>
        <v>Кромка 0,4 U504 ST9  (200 м бухта).</v>
      </c>
      <c r="D1349" s="67" t="s">
        <v>241</v>
      </c>
      <c r="E1349" s="67" t="s">
        <v>151</v>
      </c>
      <c r="F1349" s="67" t="s">
        <v>1086</v>
      </c>
      <c r="G1349" s="68">
        <v>14648</v>
      </c>
      <c r="H1349" s="67" t="s">
        <v>976</v>
      </c>
      <c r="I1349" s="200"/>
      <c r="J1349" s="67" t="s">
        <v>177</v>
      </c>
      <c r="K1349" s="67" t="s">
        <v>178</v>
      </c>
      <c r="L1349" s="67" t="s">
        <v>22</v>
      </c>
      <c r="M1349" s="67" t="s">
        <v>252</v>
      </c>
      <c r="N1349" s="67" t="s">
        <v>253</v>
      </c>
      <c r="O1349" s="67" t="s">
        <v>2117</v>
      </c>
      <c r="P1349" s="67" t="s">
        <v>19</v>
      </c>
      <c r="Q1349" s="71">
        <v>11</v>
      </c>
    </row>
    <row r="1350" spans="1:17" ht="11.1" hidden="1" customHeight="1" x14ac:dyDescent="0.2">
      <c r="A1350" s="3"/>
      <c r="B1350" s="3" t="str">
        <f ca="1">IF(A1350="В заказ",MAX($B$9:OFFSET(B1350,-1,0))+1,"")</f>
        <v/>
      </c>
      <c r="C1350" s="6" t="str">
        <f t="shared" si="39"/>
        <v>Кромка 0,8 U504 ST9  (75 м бухта).</v>
      </c>
      <c r="D1350" s="67" t="s">
        <v>241</v>
      </c>
      <c r="E1350" s="67" t="s">
        <v>151</v>
      </c>
      <c r="F1350" s="67" t="s">
        <v>1087</v>
      </c>
      <c r="G1350" s="68">
        <v>16755</v>
      </c>
      <c r="H1350" s="67" t="s">
        <v>976</v>
      </c>
      <c r="I1350" s="200"/>
      <c r="J1350" s="67" t="s">
        <v>177</v>
      </c>
      <c r="K1350" s="67" t="s">
        <v>178</v>
      </c>
      <c r="L1350" s="67" t="s">
        <v>22</v>
      </c>
      <c r="M1350" s="67" t="s">
        <v>252</v>
      </c>
      <c r="N1350" s="67" t="s">
        <v>10</v>
      </c>
      <c r="O1350" s="67" t="s">
        <v>2116</v>
      </c>
      <c r="P1350" s="67" t="s">
        <v>19</v>
      </c>
      <c r="Q1350" s="192">
        <v>25.7</v>
      </c>
    </row>
    <row r="1351" spans="1:17" ht="11.1" hidden="1" customHeight="1" x14ac:dyDescent="0.2">
      <c r="A1351" s="3"/>
      <c r="B1351" s="3" t="str">
        <f ca="1">IF(A1351="В заказ",MAX($B$9:OFFSET(B1351,-1,0))+1,"")</f>
        <v/>
      </c>
      <c r="C1351" s="6" t="str">
        <f t="shared" si="39"/>
        <v>Кромка 2,0 U504 ST9  (75 м бухта).</v>
      </c>
      <c r="D1351" s="67" t="s">
        <v>241</v>
      </c>
      <c r="E1351" s="67" t="s">
        <v>151</v>
      </c>
      <c r="F1351" s="67" t="s">
        <v>1088</v>
      </c>
      <c r="G1351" s="68">
        <v>14649</v>
      </c>
      <c r="H1351" s="67" t="s">
        <v>976</v>
      </c>
      <c r="I1351" s="200"/>
      <c r="J1351" s="67" t="s">
        <v>177</v>
      </c>
      <c r="K1351" s="67" t="s">
        <v>178</v>
      </c>
      <c r="L1351" s="67" t="s">
        <v>22</v>
      </c>
      <c r="M1351" s="67" t="s">
        <v>252</v>
      </c>
      <c r="N1351" s="67" t="s">
        <v>259</v>
      </c>
      <c r="O1351" s="67" t="s">
        <v>2116</v>
      </c>
      <c r="P1351" s="67" t="s">
        <v>19</v>
      </c>
      <c r="Q1351" s="192">
        <v>48.1</v>
      </c>
    </row>
    <row r="1352" spans="1:17" ht="11.1" hidden="1" customHeight="1" x14ac:dyDescent="0.2">
      <c r="A1352" s="3"/>
      <c r="B1352" s="3" t="str">
        <f ca="1">IF(A1352="В заказ",MAX($B$9:OFFSET(B1352,-1,0))+1,"")</f>
        <v/>
      </c>
      <c r="C1352" s="6" t="str">
        <f t="shared" si="39"/>
        <v>Кромка 2,0 U504 ST9  (75 м бухта).</v>
      </c>
      <c r="D1352" s="67" t="s">
        <v>241</v>
      </c>
      <c r="E1352" s="67" t="s">
        <v>151</v>
      </c>
      <c r="F1352" s="67" t="s">
        <v>1089</v>
      </c>
      <c r="G1352" s="68">
        <v>18364</v>
      </c>
      <c r="H1352" s="67" t="s">
        <v>976</v>
      </c>
      <c r="I1352" s="200"/>
      <c r="J1352" s="67" t="s">
        <v>177</v>
      </c>
      <c r="K1352" s="67" t="s">
        <v>178</v>
      </c>
      <c r="L1352" s="67" t="s">
        <v>22</v>
      </c>
      <c r="M1352" s="67" t="s">
        <v>264</v>
      </c>
      <c r="N1352" s="67" t="s">
        <v>259</v>
      </c>
      <c r="O1352" s="67" t="s">
        <v>2116</v>
      </c>
      <c r="P1352" s="67" t="s">
        <v>19</v>
      </c>
      <c r="Q1352" s="192">
        <v>72.400000000000006</v>
      </c>
    </row>
    <row r="1353" spans="1:17" ht="11.1" hidden="1" customHeight="1" x14ac:dyDescent="0.2">
      <c r="A1353" s="3"/>
      <c r="B1353" s="3" t="str">
        <f ca="1">IF(A1353="В заказ",MAX($B$9:OFFSET(B1353,-1,0))+1,"")</f>
        <v/>
      </c>
      <c r="C1353" s="6" t="str">
        <f t="shared" si="39"/>
        <v>Кромка 2,0 U504 ST9  (75 м бухта).</v>
      </c>
      <c r="D1353" s="67" t="s">
        <v>241</v>
      </c>
      <c r="E1353" s="67" t="s">
        <v>151</v>
      </c>
      <c r="F1353" s="67" t="s">
        <v>1090</v>
      </c>
      <c r="G1353" s="68">
        <v>14759</v>
      </c>
      <c r="H1353" s="67" t="s">
        <v>976</v>
      </c>
      <c r="I1353" s="200"/>
      <c r="J1353" s="67" t="s">
        <v>177</v>
      </c>
      <c r="K1353" s="67" t="s">
        <v>178</v>
      </c>
      <c r="L1353" s="67" t="s">
        <v>22</v>
      </c>
      <c r="M1353" s="67" t="s">
        <v>270</v>
      </c>
      <c r="N1353" s="67" t="s">
        <v>259</v>
      </c>
      <c r="O1353" s="67" t="s">
        <v>2116</v>
      </c>
      <c r="P1353" s="67" t="s">
        <v>19</v>
      </c>
      <c r="Q1353" s="192">
        <v>97.2</v>
      </c>
    </row>
    <row r="1354" spans="1:17" ht="11.1" hidden="1" customHeight="1" x14ac:dyDescent="0.2">
      <c r="A1354" s="3"/>
      <c r="B1354" s="3" t="str">
        <f ca="1">IF(A1354="В заказ",MAX($B$9:OFFSET(B1354,-1,0))+1,"")</f>
        <v/>
      </c>
      <c r="C1354" s="6" t="str">
        <f t="shared" si="39"/>
        <v>Кромка 0,4 U525 ST9  (200 м бухта).</v>
      </c>
      <c r="D1354" s="67" t="s">
        <v>241</v>
      </c>
      <c r="E1354" s="67" t="s">
        <v>151</v>
      </c>
      <c r="F1354" s="67" t="s">
        <v>1091</v>
      </c>
      <c r="G1354" s="68">
        <v>13071</v>
      </c>
      <c r="H1354" s="67" t="s">
        <v>976</v>
      </c>
      <c r="I1354" s="200"/>
      <c r="J1354" s="67" t="s">
        <v>179</v>
      </c>
      <c r="K1354" s="67" t="s">
        <v>180</v>
      </c>
      <c r="L1354" s="67" t="s">
        <v>22</v>
      </c>
      <c r="M1354" s="67" t="s">
        <v>252</v>
      </c>
      <c r="N1354" s="67" t="s">
        <v>253</v>
      </c>
      <c r="O1354" s="67" t="s">
        <v>2117</v>
      </c>
      <c r="P1354" s="67" t="s">
        <v>19</v>
      </c>
      <c r="Q1354" s="71">
        <v>11</v>
      </c>
    </row>
    <row r="1355" spans="1:17" ht="11.1" hidden="1" customHeight="1" x14ac:dyDescent="0.2">
      <c r="A1355" s="3"/>
      <c r="B1355" s="3" t="str">
        <f ca="1">IF(A1355="В заказ",MAX($B$9:OFFSET(B1355,-1,0))+1,"")</f>
        <v/>
      </c>
      <c r="C1355" s="6" t="str">
        <f t="shared" si="39"/>
        <v>Кромка 0,4 U525 ST9  (200 м бухта).</v>
      </c>
      <c r="D1355" s="67" t="s">
        <v>241</v>
      </c>
      <c r="E1355" s="67" t="s">
        <v>151</v>
      </c>
      <c r="F1355" s="67" t="s">
        <v>1092</v>
      </c>
      <c r="G1355" s="68">
        <v>16758</v>
      </c>
      <c r="H1355" s="67" t="s">
        <v>976</v>
      </c>
      <c r="I1355" s="200"/>
      <c r="J1355" s="67" t="s">
        <v>179</v>
      </c>
      <c r="K1355" s="67" t="s">
        <v>180</v>
      </c>
      <c r="L1355" s="67" t="s">
        <v>22</v>
      </c>
      <c r="M1355" s="67" t="s">
        <v>264</v>
      </c>
      <c r="N1355" s="67" t="s">
        <v>253</v>
      </c>
      <c r="O1355" s="67" t="s">
        <v>2117</v>
      </c>
      <c r="P1355" s="67" t="s">
        <v>19</v>
      </c>
      <c r="Q1355" s="192">
        <v>17.100000000000001</v>
      </c>
    </row>
    <row r="1356" spans="1:17" ht="11.1" hidden="1" customHeight="1" x14ac:dyDescent="0.2">
      <c r="A1356" s="3"/>
      <c r="B1356" s="3" t="str">
        <f ca="1">IF(A1356="В заказ",MAX($B$9:OFFSET(B1356,-1,0))+1,"")</f>
        <v/>
      </c>
      <c r="C1356" s="6" t="str">
        <f t="shared" si="39"/>
        <v>Кромка 0,8 U525 ST9  (75 м бухта).</v>
      </c>
      <c r="D1356" s="67" t="s">
        <v>241</v>
      </c>
      <c r="E1356" s="67" t="s">
        <v>151</v>
      </c>
      <c r="F1356" s="67" t="s">
        <v>1093</v>
      </c>
      <c r="G1356" s="68">
        <v>13934</v>
      </c>
      <c r="H1356" s="67" t="s">
        <v>976</v>
      </c>
      <c r="I1356" s="200"/>
      <c r="J1356" s="67" t="s">
        <v>179</v>
      </c>
      <c r="K1356" s="67" t="s">
        <v>180</v>
      </c>
      <c r="L1356" s="67" t="s">
        <v>22</v>
      </c>
      <c r="M1356" s="67" t="s">
        <v>252</v>
      </c>
      <c r="N1356" s="67" t="s">
        <v>10</v>
      </c>
      <c r="O1356" s="67" t="s">
        <v>2116</v>
      </c>
      <c r="P1356" s="67" t="s">
        <v>19</v>
      </c>
      <c r="Q1356" s="192">
        <v>25.7</v>
      </c>
    </row>
    <row r="1357" spans="1:17" ht="11.1" hidden="1" customHeight="1" x14ac:dyDescent="0.2">
      <c r="A1357" s="3"/>
      <c r="B1357" s="3" t="str">
        <f ca="1">IF(A1357="В заказ",MAX($B$9:OFFSET(B1357,-1,0))+1,"")</f>
        <v/>
      </c>
      <c r="C1357" s="6" t="str">
        <f t="shared" si="39"/>
        <v>Кромка 2,0 U525 ST9  (75 м бухта).</v>
      </c>
      <c r="D1357" s="67" t="s">
        <v>241</v>
      </c>
      <c r="E1357" s="67" t="s">
        <v>151</v>
      </c>
      <c r="F1357" s="67" t="s">
        <v>1094</v>
      </c>
      <c r="G1357" s="68">
        <v>13072</v>
      </c>
      <c r="H1357" s="67" t="s">
        <v>976</v>
      </c>
      <c r="I1357" s="200"/>
      <c r="J1357" s="67" t="s">
        <v>179</v>
      </c>
      <c r="K1357" s="67" t="s">
        <v>180</v>
      </c>
      <c r="L1357" s="67" t="s">
        <v>22</v>
      </c>
      <c r="M1357" s="67" t="s">
        <v>252</v>
      </c>
      <c r="N1357" s="67" t="s">
        <v>259</v>
      </c>
      <c r="O1357" s="67" t="s">
        <v>2116</v>
      </c>
      <c r="P1357" s="67" t="s">
        <v>19</v>
      </c>
      <c r="Q1357" s="192">
        <v>48.1</v>
      </c>
    </row>
    <row r="1358" spans="1:17" ht="11.1" hidden="1" customHeight="1" x14ac:dyDescent="0.2">
      <c r="A1358" s="3"/>
      <c r="B1358" s="3" t="str">
        <f ca="1">IF(A1358="В заказ",MAX($B$9:OFFSET(B1358,-1,0))+1,"")</f>
        <v/>
      </c>
      <c r="C1358" s="6" t="str">
        <f t="shared" si="39"/>
        <v>Кромка 2,0 U525 ST9  (75 м бухта).</v>
      </c>
      <c r="D1358" s="67" t="s">
        <v>241</v>
      </c>
      <c r="E1358" s="67" t="s">
        <v>151</v>
      </c>
      <c r="F1358" s="67" t="s">
        <v>1095</v>
      </c>
      <c r="G1358" s="68">
        <v>14655</v>
      </c>
      <c r="H1358" s="67" t="s">
        <v>976</v>
      </c>
      <c r="I1358" s="200"/>
      <c r="J1358" s="67" t="s">
        <v>179</v>
      </c>
      <c r="K1358" s="67" t="s">
        <v>180</v>
      </c>
      <c r="L1358" s="67" t="s">
        <v>22</v>
      </c>
      <c r="M1358" s="67" t="s">
        <v>264</v>
      </c>
      <c r="N1358" s="67" t="s">
        <v>259</v>
      </c>
      <c r="O1358" s="67" t="s">
        <v>2116</v>
      </c>
      <c r="P1358" s="67" t="s">
        <v>19</v>
      </c>
      <c r="Q1358" s="192">
        <v>72.400000000000006</v>
      </c>
    </row>
    <row r="1359" spans="1:17" ht="11.1" hidden="1" customHeight="1" x14ac:dyDescent="0.2">
      <c r="A1359" s="3"/>
      <c r="B1359" s="3" t="str">
        <f ca="1">IF(A1359="В заказ",MAX($B$9:OFFSET(B1359,-1,0))+1,"")</f>
        <v/>
      </c>
      <c r="C1359" s="6" t="str">
        <f t="shared" si="39"/>
        <v>Кромка 1,0 U599 PM  (75 м бухта).</v>
      </c>
      <c r="D1359" s="67" t="s">
        <v>241</v>
      </c>
      <c r="E1359" s="67" t="s">
        <v>151</v>
      </c>
      <c r="F1359" s="67" t="s">
        <v>1096</v>
      </c>
      <c r="G1359" s="68">
        <v>22258</v>
      </c>
      <c r="H1359" s="67" t="s">
        <v>243</v>
      </c>
      <c r="I1359" s="200"/>
      <c r="J1359" s="67" t="s">
        <v>1097</v>
      </c>
      <c r="K1359" s="67" t="s">
        <v>1098</v>
      </c>
      <c r="L1359" s="67" t="s">
        <v>248</v>
      </c>
      <c r="M1359" s="67" t="s">
        <v>244</v>
      </c>
      <c r="N1359" s="67" t="s">
        <v>245</v>
      </c>
      <c r="O1359" s="67" t="s">
        <v>2116</v>
      </c>
      <c r="P1359" s="67" t="s">
        <v>19</v>
      </c>
      <c r="Q1359" s="192">
        <v>73.8</v>
      </c>
    </row>
    <row r="1360" spans="1:17" ht="11.1" hidden="1" customHeight="1" x14ac:dyDescent="0.2">
      <c r="A1360" s="3"/>
      <c r="B1360" s="3" t="str">
        <f ca="1">IF(A1360="В заказ",MAX($B$9:OFFSET(B1360,-1,0))+1,"")</f>
        <v/>
      </c>
      <c r="C1360" s="6" t="str">
        <f t="shared" si="39"/>
        <v>Кромка 0,4 U626 ST9  (200 м бухта).</v>
      </c>
      <c r="D1360" s="67" t="s">
        <v>241</v>
      </c>
      <c r="E1360" s="67" t="s">
        <v>151</v>
      </c>
      <c r="F1360" s="67" t="s">
        <v>1099</v>
      </c>
      <c r="G1360" s="68">
        <v>15504</v>
      </c>
      <c r="H1360" s="67" t="s">
        <v>976</v>
      </c>
      <c r="I1360" s="200"/>
      <c r="J1360" s="67" t="s">
        <v>181</v>
      </c>
      <c r="K1360" s="67" t="s">
        <v>182</v>
      </c>
      <c r="L1360" s="67" t="s">
        <v>22</v>
      </c>
      <c r="M1360" s="67" t="s">
        <v>252</v>
      </c>
      <c r="N1360" s="67" t="s">
        <v>253</v>
      </c>
      <c r="O1360" s="67" t="s">
        <v>2117</v>
      </c>
      <c r="P1360" s="67" t="s">
        <v>19</v>
      </c>
      <c r="Q1360" s="71">
        <v>11</v>
      </c>
    </row>
    <row r="1361" spans="1:17" ht="11.1" hidden="1" customHeight="1" x14ac:dyDescent="0.2">
      <c r="A1361" s="3"/>
      <c r="B1361" s="3" t="str">
        <f ca="1">IF(A1361="В заказ",MAX($B$9:OFFSET(B1361,-1,0))+1,"")</f>
        <v/>
      </c>
      <c r="C1361" s="6" t="str">
        <f t="shared" si="39"/>
        <v>Кромка 0,8 U626 ST9  (75 м бухта).</v>
      </c>
      <c r="D1361" s="67" t="s">
        <v>241</v>
      </c>
      <c r="E1361" s="67" t="s">
        <v>151</v>
      </c>
      <c r="F1361" s="67" t="s">
        <v>1100</v>
      </c>
      <c r="G1361" s="68">
        <v>16762</v>
      </c>
      <c r="H1361" s="67" t="s">
        <v>976</v>
      </c>
      <c r="I1361" s="200"/>
      <c r="J1361" s="67" t="s">
        <v>181</v>
      </c>
      <c r="K1361" s="67" t="s">
        <v>182</v>
      </c>
      <c r="L1361" s="67" t="s">
        <v>22</v>
      </c>
      <c r="M1361" s="67" t="s">
        <v>252</v>
      </c>
      <c r="N1361" s="67" t="s">
        <v>10</v>
      </c>
      <c r="O1361" s="67" t="s">
        <v>2116</v>
      </c>
      <c r="P1361" s="67" t="s">
        <v>19</v>
      </c>
      <c r="Q1361" s="192">
        <v>25.7</v>
      </c>
    </row>
    <row r="1362" spans="1:17" ht="11.1" hidden="1" customHeight="1" x14ac:dyDescent="0.2">
      <c r="A1362" s="3"/>
      <c r="B1362" s="3" t="str">
        <f ca="1">IF(A1362="В заказ",MAX($B$9:OFFSET(B1362,-1,0))+1,"")</f>
        <v/>
      </c>
      <c r="C1362" s="6" t="str">
        <f t="shared" si="39"/>
        <v>Кромка 2,0 U626 ST9  (75 м бухта).</v>
      </c>
      <c r="D1362" s="67" t="s">
        <v>241</v>
      </c>
      <c r="E1362" s="67" t="s">
        <v>151</v>
      </c>
      <c r="F1362" s="67" t="s">
        <v>1101</v>
      </c>
      <c r="G1362" s="68">
        <v>12929</v>
      </c>
      <c r="H1362" s="67" t="s">
        <v>976</v>
      </c>
      <c r="I1362" s="200"/>
      <c r="J1362" s="67" t="s">
        <v>181</v>
      </c>
      <c r="K1362" s="67" t="s">
        <v>182</v>
      </c>
      <c r="L1362" s="67" t="s">
        <v>22</v>
      </c>
      <c r="M1362" s="67" t="s">
        <v>252</v>
      </c>
      <c r="N1362" s="67" t="s">
        <v>259</v>
      </c>
      <c r="O1362" s="67" t="s">
        <v>2116</v>
      </c>
      <c r="P1362" s="67" t="s">
        <v>19</v>
      </c>
      <c r="Q1362" s="192">
        <v>48.1</v>
      </c>
    </row>
    <row r="1363" spans="1:17" ht="11.1" hidden="1" customHeight="1" x14ac:dyDescent="0.2">
      <c r="A1363" s="3"/>
      <c r="B1363" s="3" t="str">
        <f ca="1">IF(A1363="В заказ",MAX($B$9:OFFSET(B1363,-1,0))+1,"")</f>
        <v/>
      </c>
      <c r="C1363" s="6" t="str">
        <f t="shared" si="39"/>
        <v>Кромка 2,0 U626 ST9  (75 м бухта).</v>
      </c>
      <c r="D1363" s="67" t="s">
        <v>241</v>
      </c>
      <c r="E1363" s="67" t="s">
        <v>151</v>
      </c>
      <c r="F1363" s="67" t="s">
        <v>1102</v>
      </c>
      <c r="G1363" s="68">
        <v>15859</v>
      </c>
      <c r="H1363" s="67" t="s">
        <v>976</v>
      </c>
      <c r="I1363" s="200"/>
      <c r="J1363" s="67" t="s">
        <v>181</v>
      </c>
      <c r="K1363" s="67" t="s">
        <v>182</v>
      </c>
      <c r="L1363" s="67" t="s">
        <v>22</v>
      </c>
      <c r="M1363" s="67" t="s">
        <v>270</v>
      </c>
      <c r="N1363" s="67" t="s">
        <v>259</v>
      </c>
      <c r="O1363" s="67" t="s">
        <v>2116</v>
      </c>
      <c r="P1363" s="67" t="s">
        <v>19</v>
      </c>
      <c r="Q1363" s="192">
        <v>97.2</v>
      </c>
    </row>
    <row r="1364" spans="1:17" ht="11.1" hidden="1" customHeight="1" x14ac:dyDescent="0.2">
      <c r="A1364" s="3"/>
      <c r="B1364" s="3" t="str">
        <f ca="1">IF(A1364="В заказ",MAX($B$9:OFFSET(B1364,-1,0))+1,"")</f>
        <v/>
      </c>
      <c r="C1364" s="6" t="str">
        <f t="shared" si="39"/>
        <v>Кромка 2,0 U636 ST9  (75 м бухта).</v>
      </c>
      <c r="D1364" s="67" t="s">
        <v>241</v>
      </c>
      <c r="E1364" s="67" t="s">
        <v>151</v>
      </c>
      <c r="F1364" s="67" t="s">
        <v>1103</v>
      </c>
      <c r="G1364" s="68">
        <v>22064</v>
      </c>
      <c r="H1364" s="67" t="s">
        <v>976</v>
      </c>
      <c r="I1364" s="200"/>
      <c r="J1364" s="67" t="s">
        <v>183</v>
      </c>
      <c r="K1364" s="67" t="s">
        <v>184</v>
      </c>
      <c r="L1364" s="67" t="s">
        <v>22</v>
      </c>
      <c r="M1364" s="67" t="s">
        <v>244</v>
      </c>
      <c r="N1364" s="67" t="s">
        <v>259</v>
      </c>
      <c r="O1364" s="67" t="s">
        <v>2116</v>
      </c>
      <c r="P1364" s="67" t="s">
        <v>19</v>
      </c>
      <c r="Q1364" s="192">
        <v>53.1</v>
      </c>
    </row>
    <row r="1365" spans="1:17" ht="11.1" hidden="1" customHeight="1" x14ac:dyDescent="0.2">
      <c r="A1365" s="3"/>
      <c r="B1365" s="3" t="str">
        <f ca="1">IF(A1365="В заказ",MAX($B$9:OFFSET(B1365,-1,0))+1,"")</f>
        <v/>
      </c>
      <c r="C1365" s="6" t="str">
        <f t="shared" si="39"/>
        <v>Кромка 1,0 U702 PG  (75 м бухта).</v>
      </c>
      <c r="D1365" s="67" t="s">
        <v>241</v>
      </c>
      <c r="E1365" s="67" t="s">
        <v>151</v>
      </c>
      <c r="F1365" s="67" t="s">
        <v>1104</v>
      </c>
      <c r="G1365" s="68">
        <v>22151</v>
      </c>
      <c r="H1365" s="67" t="s">
        <v>243</v>
      </c>
      <c r="I1365" s="200"/>
      <c r="J1365" s="67" t="s">
        <v>185</v>
      </c>
      <c r="K1365" s="67" t="s">
        <v>186</v>
      </c>
      <c r="L1365" s="67" t="s">
        <v>18</v>
      </c>
      <c r="M1365" s="67" t="s">
        <v>244</v>
      </c>
      <c r="N1365" s="67" t="s">
        <v>245</v>
      </c>
      <c r="O1365" s="67" t="s">
        <v>2116</v>
      </c>
      <c r="P1365" s="67" t="s">
        <v>19</v>
      </c>
      <c r="Q1365" s="192">
        <v>73.8</v>
      </c>
    </row>
    <row r="1366" spans="1:17" ht="11.1" hidden="1" customHeight="1" x14ac:dyDescent="0.2">
      <c r="A1366" s="3"/>
      <c r="B1366" s="3" t="str">
        <f ca="1">IF(A1366="В заказ",MAX($B$9:OFFSET(B1366,-1,0))+1,"")</f>
        <v/>
      </c>
      <c r="C1366" s="6" t="str">
        <f t="shared" si="39"/>
        <v>Кромка 1,0 U702 PM  (75 м бухта).</v>
      </c>
      <c r="D1366" s="67" t="s">
        <v>241</v>
      </c>
      <c r="E1366" s="67" t="s">
        <v>151</v>
      </c>
      <c r="F1366" s="67" t="s">
        <v>1105</v>
      </c>
      <c r="G1366" s="68">
        <v>15302</v>
      </c>
      <c r="H1366" s="67" t="s">
        <v>243</v>
      </c>
      <c r="I1366" s="200"/>
      <c r="J1366" s="67" t="s">
        <v>185</v>
      </c>
      <c r="K1366" s="67" t="s">
        <v>186</v>
      </c>
      <c r="L1366" s="67" t="s">
        <v>248</v>
      </c>
      <c r="M1366" s="67" t="s">
        <v>244</v>
      </c>
      <c r="N1366" s="67" t="s">
        <v>245</v>
      </c>
      <c r="O1366" s="67" t="s">
        <v>2116</v>
      </c>
      <c r="P1366" s="67" t="s">
        <v>19</v>
      </c>
      <c r="Q1366" s="192">
        <v>73.8</v>
      </c>
    </row>
    <row r="1367" spans="1:17" ht="11.1" hidden="1" customHeight="1" x14ac:dyDescent="0.2">
      <c r="A1367" s="3"/>
      <c r="B1367" s="3" t="str">
        <f ca="1">IF(A1367="В заказ",MAX($B$9:OFFSET(B1367,-1,0))+1,"")</f>
        <v/>
      </c>
      <c r="C1367" s="6" t="str">
        <f t="shared" si="39"/>
        <v>Кромка 0,4 U702 ST9  (200 м бухта).</v>
      </c>
      <c r="D1367" s="67" t="s">
        <v>241</v>
      </c>
      <c r="E1367" s="67" t="s">
        <v>151</v>
      </c>
      <c r="F1367" s="67" t="s">
        <v>1106</v>
      </c>
      <c r="G1367" s="68">
        <v>8905</v>
      </c>
      <c r="H1367" s="67" t="s">
        <v>976</v>
      </c>
      <c r="I1367" s="200"/>
      <c r="J1367" s="67" t="s">
        <v>185</v>
      </c>
      <c r="K1367" s="67" t="s">
        <v>186</v>
      </c>
      <c r="L1367" s="67" t="s">
        <v>22</v>
      </c>
      <c r="M1367" s="67" t="s">
        <v>252</v>
      </c>
      <c r="N1367" s="67" t="s">
        <v>253</v>
      </c>
      <c r="O1367" s="67" t="s">
        <v>2117</v>
      </c>
      <c r="P1367" s="67" t="s">
        <v>19</v>
      </c>
      <c r="Q1367" s="71">
        <v>11</v>
      </c>
    </row>
    <row r="1368" spans="1:17" ht="11.1" hidden="1" customHeight="1" x14ac:dyDescent="0.2">
      <c r="A1368" s="3"/>
      <c r="B1368" s="3" t="str">
        <f ca="1">IF(A1368="В заказ",MAX($B$9:OFFSET(B1368,-1,0))+1,"")</f>
        <v/>
      </c>
      <c r="C1368" s="6" t="str">
        <f t="shared" si="39"/>
        <v>Кромка 0,4 U702 ST9  (200 м бухта).</v>
      </c>
      <c r="D1368" s="67" t="s">
        <v>241</v>
      </c>
      <c r="E1368" s="67" t="s">
        <v>151</v>
      </c>
      <c r="F1368" s="67" t="s">
        <v>1107</v>
      </c>
      <c r="G1368" s="68">
        <v>19416</v>
      </c>
      <c r="H1368" s="67" t="s">
        <v>976</v>
      </c>
      <c r="I1368" s="200"/>
      <c r="J1368" s="67" t="s">
        <v>185</v>
      </c>
      <c r="K1368" s="67" t="s">
        <v>186</v>
      </c>
      <c r="L1368" s="67" t="s">
        <v>22</v>
      </c>
      <c r="M1368" s="67" t="s">
        <v>244</v>
      </c>
      <c r="N1368" s="67" t="s">
        <v>253</v>
      </c>
      <c r="O1368" s="67" t="s">
        <v>2117</v>
      </c>
      <c r="P1368" s="67" t="s">
        <v>19</v>
      </c>
      <c r="Q1368" s="192">
        <v>13.2</v>
      </c>
    </row>
    <row r="1369" spans="1:17" ht="11.1" hidden="1" customHeight="1" x14ac:dyDescent="0.2">
      <c r="A1369" s="3"/>
      <c r="B1369" s="3" t="str">
        <f ca="1">IF(A1369="В заказ",MAX($B$9:OFFSET(B1369,-1,0))+1,"")</f>
        <v/>
      </c>
      <c r="C1369" s="6" t="str">
        <f t="shared" si="39"/>
        <v>Кромка 0,4 U702 ST9  (200 м бухта).</v>
      </c>
      <c r="D1369" s="67" t="s">
        <v>241</v>
      </c>
      <c r="E1369" s="67" t="s">
        <v>151</v>
      </c>
      <c r="F1369" s="67" t="s">
        <v>1108</v>
      </c>
      <c r="G1369" s="68">
        <v>15672</v>
      </c>
      <c r="H1369" s="67" t="s">
        <v>976</v>
      </c>
      <c r="I1369" s="200"/>
      <c r="J1369" s="67" t="s">
        <v>185</v>
      </c>
      <c r="K1369" s="67" t="s">
        <v>186</v>
      </c>
      <c r="L1369" s="67" t="s">
        <v>22</v>
      </c>
      <c r="M1369" s="67" t="s">
        <v>264</v>
      </c>
      <c r="N1369" s="67" t="s">
        <v>253</v>
      </c>
      <c r="O1369" s="67" t="s">
        <v>2117</v>
      </c>
      <c r="P1369" s="67" t="s">
        <v>19</v>
      </c>
      <c r="Q1369" s="192">
        <v>17.100000000000001</v>
      </c>
    </row>
    <row r="1370" spans="1:17" ht="11.1" hidden="1" customHeight="1" x14ac:dyDescent="0.2">
      <c r="A1370" s="3"/>
      <c r="B1370" s="3" t="str">
        <f ca="1">IF(A1370="В заказ",MAX($B$9:OFFSET(B1370,-1,0))+1,"")</f>
        <v/>
      </c>
      <c r="C1370" s="6" t="str">
        <f t="shared" si="39"/>
        <v>Кромка 0,8 U702 ST9  (75 м бухта).</v>
      </c>
      <c r="D1370" s="67" t="s">
        <v>241</v>
      </c>
      <c r="E1370" s="67" t="s">
        <v>151</v>
      </c>
      <c r="F1370" s="67" t="s">
        <v>1109</v>
      </c>
      <c r="G1370" s="68">
        <v>13098</v>
      </c>
      <c r="H1370" s="67" t="s">
        <v>976</v>
      </c>
      <c r="I1370" s="200"/>
      <c r="J1370" s="67" t="s">
        <v>185</v>
      </c>
      <c r="K1370" s="67" t="s">
        <v>186</v>
      </c>
      <c r="L1370" s="67" t="s">
        <v>22</v>
      </c>
      <c r="M1370" s="67" t="s">
        <v>252</v>
      </c>
      <c r="N1370" s="67" t="s">
        <v>10</v>
      </c>
      <c r="O1370" s="67" t="s">
        <v>2116</v>
      </c>
      <c r="P1370" s="67" t="s">
        <v>19</v>
      </c>
      <c r="Q1370" s="192">
        <v>25.7</v>
      </c>
    </row>
    <row r="1371" spans="1:17" ht="11.1" hidden="1" customHeight="1" x14ac:dyDescent="0.2">
      <c r="A1371" s="3"/>
      <c r="B1371" s="3" t="str">
        <f ca="1">IF(A1371="В заказ",MAX($B$9:OFFSET(B1371,-1,0))+1,"")</f>
        <v/>
      </c>
      <c r="C1371" s="6" t="str">
        <f t="shared" si="39"/>
        <v>Кромка 0,8 U702 ST9  (75 м бухта).</v>
      </c>
      <c r="D1371" s="67" t="s">
        <v>241</v>
      </c>
      <c r="E1371" s="67" t="s">
        <v>151</v>
      </c>
      <c r="F1371" s="67" t="s">
        <v>1110</v>
      </c>
      <c r="G1371" s="68">
        <v>22455</v>
      </c>
      <c r="H1371" s="67" t="s">
        <v>976</v>
      </c>
      <c r="I1371" s="200"/>
      <c r="J1371" s="67" t="s">
        <v>185</v>
      </c>
      <c r="K1371" s="67" t="s">
        <v>186</v>
      </c>
      <c r="L1371" s="67" t="s">
        <v>22</v>
      </c>
      <c r="M1371" s="67" t="s">
        <v>244</v>
      </c>
      <c r="N1371" s="67" t="s">
        <v>10</v>
      </c>
      <c r="O1371" s="67" t="s">
        <v>2116</v>
      </c>
      <c r="P1371" s="67" t="s">
        <v>19</v>
      </c>
      <c r="Q1371" s="71">
        <v>31</v>
      </c>
    </row>
    <row r="1372" spans="1:17" ht="11.1" hidden="1" customHeight="1" x14ac:dyDescent="0.2">
      <c r="A1372" s="3"/>
      <c r="B1372" s="3" t="str">
        <f ca="1">IF(A1372="В заказ",MAX($B$9:OFFSET(B1372,-1,0))+1,"")</f>
        <v/>
      </c>
      <c r="C1372" s="6" t="str">
        <f t="shared" si="39"/>
        <v>Кромка 0,8 U702 ST9  (75 м бухта).</v>
      </c>
      <c r="D1372" s="67" t="s">
        <v>241</v>
      </c>
      <c r="E1372" s="67" t="s">
        <v>151</v>
      </c>
      <c r="F1372" s="67" t="s">
        <v>1111</v>
      </c>
      <c r="G1372" s="68">
        <v>14808</v>
      </c>
      <c r="H1372" s="67" t="s">
        <v>976</v>
      </c>
      <c r="I1372" s="200"/>
      <c r="J1372" s="67" t="s">
        <v>185</v>
      </c>
      <c r="K1372" s="67" t="s">
        <v>186</v>
      </c>
      <c r="L1372" s="67" t="s">
        <v>22</v>
      </c>
      <c r="M1372" s="67" t="s">
        <v>264</v>
      </c>
      <c r="N1372" s="67" t="s">
        <v>10</v>
      </c>
      <c r="O1372" s="67" t="s">
        <v>2116</v>
      </c>
      <c r="P1372" s="67" t="s">
        <v>19</v>
      </c>
      <c r="Q1372" s="192">
        <v>47.5</v>
      </c>
    </row>
    <row r="1373" spans="1:17" ht="11.1" hidden="1" customHeight="1" x14ac:dyDescent="0.2">
      <c r="A1373" s="3"/>
      <c r="B1373" s="3" t="str">
        <f ca="1">IF(A1373="В заказ",MAX($B$9:OFFSET(B1373,-1,0))+1,"")</f>
        <v/>
      </c>
      <c r="C1373" s="6" t="str">
        <f t="shared" si="39"/>
        <v>Кромка 2,0 U702 ST9  (75 м бухта).</v>
      </c>
      <c r="D1373" s="67" t="s">
        <v>241</v>
      </c>
      <c r="E1373" s="67" t="s">
        <v>151</v>
      </c>
      <c r="F1373" s="67" t="s">
        <v>1112</v>
      </c>
      <c r="G1373" s="68">
        <v>6419</v>
      </c>
      <c r="H1373" s="67" t="s">
        <v>976</v>
      </c>
      <c r="I1373" s="200"/>
      <c r="J1373" s="67" t="s">
        <v>185</v>
      </c>
      <c r="K1373" s="67" t="s">
        <v>186</v>
      </c>
      <c r="L1373" s="67" t="s">
        <v>22</v>
      </c>
      <c r="M1373" s="67" t="s">
        <v>252</v>
      </c>
      <c r="N1373" s="67" t="s">
        <v>259</v>
      </c>
      <c r="O1373" s="67" t="s">
        <v>2116</v>
      </c>
      <c r="P1373" s="67" t="s">
        <v>19</v>
      </c>
      <c r="Q1373" s="192">
        <v>48.1</v>
      </c>
    </row>
    <row r="1374" spans="1:17" ht="11.1" hidden="1" customHeight="1" x14ac:dyDescent="0.2">
      <c r="A1374" s="3"/>
      <c r="B1374" s="3" t="str">
        <f ca="1">IF(A1374="В заказ",MAX($B$9:OFFSET(B1374,-1,0))+1,"")</f>
        <v/>
      </c>
      <c r="C1374" s="6" t="str">
        <f t="shared" si="39"/>
        <v>Кромка 2,0 U702 ST9  (75 м бухта).</v>
      </c>
      <c r="D1374" s="67" t="s">
        <v>241</v>
      </c>
      <c r="E1374" s="67" t="s">
        <v>151</v>
      </c>
      <c r="F1374" s="67" t="s">
        <v>1113</v>
      </c>
      <c r="G1374" s="68">
        <v>18027</v>
      </c>
      <c r="H1374" s="67" t="s">
        <v>976</v>
      </c>
      <c r="I1374" s="200"/>
      <c r="J1374" s="67" t="s">
        <v>185</v>
      </c>
      <c r="K1374" s="67" t="s">
        <v>186</v>
      </c>
      <c r="L1374" s="67" t="s">
        <v>22</v>
      </c>
      <c r="M1374" s="67" t="s">
        <v>244</v>
      </c>
      <c r="N1374" s="67" t="s">
        <v>259</v>
      </c>
      <c r="O1374" s="67" t="s">
        <v>2116</v>
      </c>
      <c r="P1374" s="67" t="s">
        <v>19</v>
      </c>
      <c r="Q1374" s="192">
        <v>53.1</v>
      </c>
    </row>
    <row r="1375" spans="1:17" ht="11.1" hidden="1" customHeight="1" x14ac:dyDescent="0.2">
      <c r="A1375" s="3"/>
      <c r="B1375" s="3" t="str">
        <f ca="1">IF(A1375="В заказ",MAX($B$9:OFFSET(B1375,-1,0))+1,"")</f>
        <v/>
      </c>
      <c r="C1375" s="6" t="str">
        <f t="shared" si="39"/>
        <v>Кромка 2,0 U702 ST9  (75 м бухта).</v>
      </c>
      <c r="D1375" s="67" t="s">
        <v>241</v>
      </c>
      <c r="E1375" s="67" t="s">
        <v>151</v>
      </c>
      <c r="F1375" s="67" t="s">
        <v>1114</v>
      </c>
      <c r="G1375" s="68">
        <v>14269</v>
      </c>
      <c r="H1375" s="67" t="s">
        <v>976</v>
      </c>
      <c r="I1375" s="200"/>
      <c r="J1375" s="67" t="s">
        <v>185</v>
      </c>
      <c r="K1375" s="67" t="s">
        <v>186</v>
      </c>
      <c r="L1375" s="67" t="s">
        <v>22</v>
      </c>
      <c r="M1375" s="67" t="s">
        <v>264</v>
      </c>
      <c r="N1375" s="67" t="s">
        <v>259</v>
      </c>
      <c r="O1375" s="67" t="s">
        <v>2116</v>
      </c>
      <c r="P1375" s="67" t="s">
        <v>19</v>
      </c>
      <c r="Q1375" s="192">
        <v>72.400000000000006</v>
      </c>
    </row>
    <row r="1376" spans="1:17" ht="11.1" hidden="1" customHeight="1" x14ac:dyDescent="0.2">
      <c r="A1376" s="3"/>
      <c r="B1376" s="3" t="str">
        <f ca="1">IF(A1376="В заказ",MAX($B$9:OFFSET(B1376,-1,0))+1,"")</f>
        <v/>
      </c>
      <c r="C1376" s="6" t="str">
        <f t="shared" si="39"/>
        <v>Кромка 2,0 U702 ST9  (75 м бухта).</v>
      </c>
      <c r="D1376" s="67" t="s">
        <v>241</v>
      </c>
      <c r="E1376" s="67" t="s">
        <v>151</v>
      </c>
      <c r="F1376" s="67" t="s">
        <v>1115</v>
      </c>
      <c r="G1376" s="68">
        <v>13262</v>
      </c>
      <c r="H1376" s="67" t="s">
        <v>976</v>
      </c>
      <c r="I1376" s="200"/>
      <c r="J1376" s="67" t="s">
        <v>185</v>
      </c>
      <c r="K1376" s="67" t="s">
        <v>186</v>
      </c>
      <c r="L1376" s="67" t="s">
        <v>22</v>
      </c>
      <c r="M1376" s="67" t="s">
        <v>270</v>
      </c>
      <c r="N1376" s="67" t="s">
        <v>259</v>
      </c>
      <c r="O1376" s="67" t="s">
        <v>2116</v>
      </c>
      <c r="P1376" s="67" t="s">
        <v>19</v>
      </c>
      <c r="Q1376" s="192">
        <v>97.2</v>
      </c>
    </row>
    <row r="1377" spans="1:17" ht="11.1" hidden="1" customHeight="1" x14ac:dyDescent="0.2">
      <c r="A1377" s="3"/>
      <c r="B1377" s="3" t="str">
        <f ca="1">IF(A1377="В заказ",MAX($B$9:OFFSET(B1377,-1,0))+1,"")</f>
        <v/>
      </c>
      <c r="C1377" s="6" t="str">
        <f t="shared" si="39"/>
        <v>Кромка 2,0 U702 ST9  (75 м бухта).</v>
      </c>
      <c r="D1377" s="67" t="s">
        <v>241</v>
      </c>
      <c r="E1377" s="67" t="s">
        <v>151</v>
      </c>
      <c r="F1377" s="67" t="s">
        <v>1116</v>
      </c>
      <c r="G1377" s="68">
        <v>22270</v>
      </c>
      <c r="H1377" s="67" t="s">
        <v>976</v>
      </c>
      <c r="I1377" s="200"/>
      <c r="J1377" s="67" t="s">
        <v>185</v>
      </c>
      <c r="K1377" s="67" t="s">
        <v>186</v>
      </c>
      <c r="L1377" s="67" t="s">
        <v>22</v>
      </c>
      <c r="M1377" s="67" t="s">
        <v>282</v>
      </c>
      <c r="N1377" s="67" t="s">
        <v>259</v>
      </c>
      <c r="O1377" s="67" t="s">
        <v>2116</v>
      </c>
      <c r="P1377" s="67" t="s">
        <v>19</v>
      </c>
      <c r="Q1377" s="192">
        <v>150.9</v>
      </c>
    </row>
    <row r="1378" spans="1:17" ht="11.1" hidden="1" customHeight="1" x14ac:dyDescent="0.2">
      <c r="A1378" s="3"/>
      <c r="B1378" s="3" t="str">
        <f ca="1">IF(A1378="В заказ",MAX($B$9:OFFSET(B1378,-1,0))+1,"")</f>
        <v/>
      </c>
      <c r="C1378" s="6" t="str">
        <f t="shared" si="39"/>
        <v>Кромка 0,4 U707 ST9  (200 м бухта).</v>
      </c>
      <c r="D1378" s="67" t="s">
        <v>241</v>
      </c>
      <c r="E1378" s="67" t="s">
        <v>151</v>
      </c>
      <c r="F1378" s="67" t="s">
        <v>1117</v>
      </c>
      <c r="G1378" s="68">
        <v>15862</v>
      </c>
      <c r="H1378" s="67" t="s">
        <v>976</v>
      </c>
      <c r="I1378" s="200"/>
      <c r="J1378" s="67" t="s">
        <v>187</v>
      </c>
      <c r="K1378" s="67" t="s">
        <v>188</v>
      </c>
      <c r="L1378" s="67" t="s">
        <v>22</v>
      </c>
      <c r="M1378" s="67" t="s">
        <v>252</v>
      </c>
      <c r="N1378" s="67" t="s">
        <v>253</v>
      </c>
      <c r="O1378" s="67" t="s">
        <v>2117</v>
      </c>
      <c r="P1378" s="67" t="s">
        <v>19</v>
      </c>
      <c r="Q1378" s="71">
        <v>11</v>
      </c>
    </row>
    <row r="1379" spans="1:17" ht="11.1" hidden="1" customHeight="1" x14ac:dyDescent="0.2">
      <c r="A1379" s="3"/>
      <c r="B1379" s="3" t="str">
        <f ca="1">IF(A1379="В заказ",MAX($B$9:OFFSET(B1379,-1,0))+1,"")</f>
        <v/>
      </c>
      <c r="C1379" s="6" t="str">
        <f t="shared" si="39"/>
        <v>Кромка 0,4 U707 ST9  (200 м бухта).</v>
      </c>
      <c r="D1379" s="67" t="s">
        <v>241</v>
      </c>
      <c r="E1379" s="67" t="s">
        <v>151</v>
      </c>
      <c r="F1379" s="67" t="s">
        <v>1118</v>
      </c>
      <c r="G1379" s="68">
        <v>24570</v>
      </c>
      <c r="H1379" s="67" t="s">
        <v>976</v>
      </c>
      <c r="I1379" s="200"/>
      <c r="J1379" s="67" t="s">
        <v>187</v>
      </c>
      <c r="K1379" s="67" t="s">
        <v>188</v>
      </c>
      <c r="L1379" s="67" t="s">
        <v>22</v>
      </c>
      <c r="M1379" s="67" t="s">
        <v>244</v>
      </c>
      <c r="N1379" s="67" t="s">
        <v>253</v>
      </c>
      <c r="O1379" s="67" t="s">
        <v>2117</v>
      </c>
      <c r="P1379" s="67" t="s">
        <v>19</v>
      </c>
      <c r="Q1379" s="192">
        <v>13.2</v>
      </c>
    </row>
    <row r="1380" spans="1:17" ht="11.1" hidden="1" customHeight="1" x14ac:dyDescent="0.2">
      <c r="A1380" s="3"/>
      <c r="B1380" s="3" t="str">
        <f ca="1">IF(A1380="В заказ",MAX($B$9:OFFSET(B1380,-1,0))+1,"")</f>
        <v/>
      </c>
      <c r="C1380" s="6" t="str">
        <f t="shared" si="39"/>
        <v>Кромка 0,4 U707 ST9  (200 м бухта).</v>
      </c>
      <c r="D1380" s="67" t="s">
        <v>241</v>
      </c>
      <c r="E1380" s="67" t="s">
        <v>151</v>
      </c>
      <c r="F1380" s="67" t="s">
        <v>1119</v>
      </c>
      <c r="G1380" s="68">
        <v>18944</v>
      </c>
      <c r="H1380" s="67" t="s">
        <v>976</v>
      </c>
      <c r="I1380" s="200"/>
      <c r="J1380" s="67" t="s">
        <v>187</v>
      </c>
      <c r="K1380" s="67" t="s">
        <v>188</v>
      </c>
      <c r="L1380" s="67" t="s">
        <v>22</v>
      </c>
      <c r="M1380" s="67" t="s">
        <v>264</v>
      </c>
      <c r="N1380" s="67" t="s">
        <v>253</v>
      </c>
      <c r="O1380" s="67" t="s">
        <v>2117</v>
      </c>
      <c r="P1380" s="67" t="s">
        <v>19</v>
      </c>
      <c r="Q1380" s="192">
        <v>17.100000000000001</v>
      </c>
    </row>
    <row r="1381" spans="1:17" ht="11.1" hidden="1" customHeight="1" x14ac:dyDescent="0.2">
      <c r="A1381" s="3"/>
      <c r="B1381" s="3" t="str">
        <f ca="1">IF(A1381="В заказ",MAX($B$9:OFFSET(B1381,-1,0))+1,"")</f>
        <v/>
      </c>
      <c r="C1381" s="6" t="str">
        <f t="shared" si="39"/>
        <v>Кромка 0,8 U707 ST9  (75 м бухта).</v>
      </c>
      <c r="D1381" s="67" t="s">
        <v>241</v>
      </c>
      <c r="E1381" s="67" t="s">
        <v>151</v>
      </c>
      <c r="F1381" s="67" t="s">
        <v>1120</v>
      </c>
      <c r="G1381" s="68">
        <v>16764</v>
      </c>
      <c r="H1381" s="67" t="s">
        <v>976</v>
      </c>
      <c r="I1381" s="200"/>
      <c r="J1381" s="67" t="s">
        <v>187</v>
      </c>
      <c r="K1381" s="67" t="s">
        <v>188</v>
      </c>
      <c r="L1381" s="67" t="s">
        <v>22</v>
      </c>
      <c r="M1381" s="67" t="s">
        <v>252</v>
      </c>
      <c r="N1381" s="67" t="s">
        <v>10</v>
      </c>
      <c r="O1381" s="67" t="s">
        <v>2116</v>
      </c>
      <c r="P1381" s="67" t="s">
        <v>19</v>
      </c>
      <c r="Q1381" s="192">
        <v>25.7</v>
      </c>
    </row>
    <row r="1382" spans="1:17" ht="11.1" hidden="1" customHeight="1" x14ac:dyDescent="0.2">
      <c r="A1382" s="3"/>
      <c r="B1382" s="3" t="str">
        <f ca="1">IF(A1382="В заказ",MAX($B$9:OFFSET(B1382,-1,0))+1,"")</f>
        <v/>
      </c>
      <c r="C1382" s="6" t="str">
        <f t="shared" si="39"/>
        <v>Кромка 0,8 U707 ST9  (75 м бухта).</v>
      </c>
      <c r="D1382" s="67" t="s">
        <v>241</v>
      </c>
      <c r="E1382" s="67" t="s">
        <v>151</v>
      </c>
      <c r="F1382" s="67" t="s">
        <v>1121</v>
      </c>
      <c r="G1382" s="68">
        <v>24571</v>
      </c>
      <c r="H1382" s="67" t="s">
        <v>976</v>
      </c>
      <c r="I1382" s="200"/>
      <c r="J1382" s="67" t="s">
        <v>187</v>
      </c>
      <c r="K1382" s="67" t="s">
        <v>188</v>
      </c>
      <c r="L1382" s="67" t="s">
        <v>22</v>
      </c>
      <c r="M1382" s="67" t="s">
        <v>244</v>
      </c>
      <c r="N1382" s="67" t="s">
        <v>10</v>
      </c>
      <c r="O1382" s="67" t="s">
        <v>2116</v>
      </c>
      <c r="P1382" s="67" t="s">
        <v>19</v>
      </c>
      <c r="Q1382" s="71">
        <v>31</v>
      </c>
    </row>
    <row r="1383" spans="1:17" ht="11.1" hidden="1" customHeight="1" x14ac:dyDescent="0.2">
      <c r="A1383" s="3"/>
      <c r="B1383" s="3" t="str">
        <f ca="1">IF(A1383="В заказ",MAX($B$9:OFFSET(B1383,-1,0))+1,"")</f>
        <v/>
      </c>
      <c r="C1383" s="6" t="str">
        <f t="shared" si="39"/>
        <v>Кромка 2,0 U707 ST9  (75 м бухта).</v>
      </c>
      <c r="D1383" s="67" t="s">
        <v>241</v>
      </c>
      <c r="E1383" s="67" t="s">
        <v>151</v>
      </c>
      <c r="F1383" s="67" t="s">
        <v>1122</v>
      </c>
      <c r="G1383" s="68">
        <v>15863</v>
      </c>
      <c r="H1383" s="67" t="s">
        <v>976</v>
      </c>
      <c r="I1383" s="200"/>
      <c r="J1383" s="67" t="s">
        <v>187</v>
      </c>
      <c r="K1383" s="67" t="s">
        <v>188</v>
      </c>
      <c r="L1383" s="67" t="s">
        <v>22</v>
      </c>
      <c r="M1383" s="67" t="s">
        <v>252</v>
      </c>
      <c r="N1383" s="67" t="s">
        <v>259</v>
      </c>
      <c r="O1383" s="67" t="s">
        <v>2116</v>
      </c>
      <c r="P1383" s="67" t="s">
        <v>19</v>
      </c>
      <c r="Q1383" s="192">
        <v>48.1</v>
      </c>
    </row>
    <row r="1384" spans="1:17" ht="11.1" hidden="1" customHeight="1" x14ac:dyDescent="0.2">
      <c r="A1384" s="3"/>
      <c r="B1384" s="3" t="str">
        <f ca="1">IF(A1384="В заказ",MAX($B$9:OFFSET(B1384,-1,0))+1,"")</f>
        <v/>
      </c>
      <c r="C1384" s="6" t="str">
        <f t="shared" si="39"/>
        <v>Кромка 2,0 U707 ST9  (75 м бухта).</v>
      </c>
      <c r="D1384" s="67" t="s">
        <v>241</v>
      </c>
      <c r="E1384" s="67" t="s">
        <v>151</v>
      </c>
      <c r="F1384" s="67" t="s">
        <v>1123</v>
      </c>
      <c r="G1384" s="68">
        <v>18277</v>
      </c>
      <c r="H1384" s="67" t="s">
        <v>976</v>
      </c>
      <c r="I1384" s="200"/>
      <c r="J1384" s="67" t="s">
        <v>187</v>
      </c>
      <c r="K1384" s="67" t="s">
        <v>188</v>
      </c>
      <c r="L1384" s="67" t="s">
        <v>22</v>
      </c>
      <c r="M1384" s="67" t="s">
        <v>244</v>
      </c>
      <c r="N1384" s="67" t="s">
        <v>259</v>
      </c>
      <c r="O1384" s="67" t="s">
        <v>2116</v>
      </c>
      <c r="P1384" s="67" t="s">
        <v>19</v>
      </c>
      <c r="Q1384" s="192">
        <v>53.1</v>
      </c>
    </row>
    <row r="1385" spans="1:17" ht="11.1" hidden="1" customHeight="1" x14ac:dyDescent="0.2">
      <c r="A1385" s="3"/>
      <c r="B1385" s="3" t="str">
        <f ca="1">IF(A1385="В заказ",MAX($B$9:OFFSET(B1385,-1,0))+1,"")</f>
        <v/>
      </c>
      <c r="C1385" s="6" t="str">
        <f t="shared" si="39"/>
        <v>Кромка 2,0 U707 ST9  (75 м бухта).</v>
      </c>
      <c r="D1385" s="67" t="s">
        <v>241</v>
      </c>
      <c r="E1385" s="67" t="s">
        <v>151</v>
      </c>
      <c r="F1385" s="67" t="s">
        <v>1124</v>
      </c>
      <c r="G1385" s="68">
        <v>18297</v>
      </c>
      <c r="H1385" s="67" t="s">
        <v>976</v>
      </c>
      <c r="I1385" s="200"/>
      <c r="J1385" s="67" t="s">
        <v>187</v>
      </c>
      <c r="K1385" s="67" t="s">
        <v>188</v>
      </c>
      <c r="L1385" s="67" t="s">
        <v>22</v>
      </c>
      <c r="M1385" s="67" t="s">
        <v>264</v>
      </c>
      <c r="N1385" s="67" t="s">
        <v>259</v>
      </c>
      <c r="O1385" s="67" t="s">
        <v>2116</v>
      </c>
      <c r="P1385" s="67" t="s">
        <v>19</v>
      </c>
      <c r="Q1385" s="192">
        <v>72.400000000000006</v>
      </c>
    </row>
    <row r="1386" spans="1:17" ht="11.1" hidden="1" customHeight="1" x14ac:dyDescent="0.2">
      <c r="A1386" s="3"/>
      <c r="B1386" s="3" t="str">
        <f ca="1">IF(A1386="В заказ",MAX($B$9:OFFSET(B1386,-1,0))+1,"")</f>
        <v/>
      </c>
      <c r="C1386" s="6" t="str">
        <f t="shared" si="39"/>
        <v>Кромка 2,0 U707 ST9  (75 м бухта).</v>
      </c>
      <c r="D1386" s="67" t="s">
        <v>241</v>
      </c>
      <c r="E1386" s="67" t="s">
        <v>151</v>
      </c>
      <c r="F1386" s="67" t="s">
        <v>1125</v>
      </c>
      <c r="G1386" s="68">
        <v>16501</v>
      </c>
      <c r="H1386" s="67" t="s">
        <v>976</v>
      </c>
      <c r="I1386" s="200"/>
      <c r="J1386" s="67" t="s">
        <v>187</v>
      </c>
      <c r="K1386" s="67" t="s">
        <v>188</v>
      </c>
      <c r="L1386" s="67" t="s">
        <v>22</v>
      </c>
      <c r="M1386" s="67" t="s">
        <v>270</v>
      </c>
      <c r="N1386" s="67" t="s">
        <v>259</v>
      </c>
      <c r="O1386" s="67" t="s">
        <v>2116</v>
      </c>
      <c r="P1386" s="67" t="s">
        <v>19</v>
      </c>
      <c r="Q1386" s="192">
        <v>97.2</v>
      </c>
    </row>
    <row r="1387" spans="1:17" ht="11.1" hidden="1" customHeight="1" x14ac:dyDescent="0.2">
      <c r="A1387" s="3"/>
      <c r="B1387" s="3" t="str">
        <f ca="1">IF(A1387="В заказ",MAX($B$9:OFFSET(B1387,-1,0))+1,"")</f>
        <v/>
      </c>
      <c r="C1387" s="6" t="str">
        <f t="shared" si="39"/>
        <v>Кромка 2,0 U707 ST9  (75 м бухта).</v>
      </c>
      <c r="D1387" s="67" t="s">
        <v>241</v>
      </c>
      <c r="E1387" s="67" t="s">
        <v>151</v>
      </c>
      <c r="F1387" s="67" t="s">
        <v>1126</v>
      </c>
      <c r="G1387" s="68">
        <v>22054</v>
      </c>
      <c r="H1387" s="67" t="s">
        <v>976</v>
      </c>
      <c r="I1387" s="200"/>
      <c r="J1387" s="67" t="s">
        <v>187</v>
      </c>
      <c r="K1387" s="67" t="s">
        <v>188</v>
      </c>
      <c r="L1387" s="67" t="s">
        <v>22</v>
      </c>
      <c r="M1387" s="67" t="s">
        <v>282</v>
      </c>
      <c r="N1387" s="67" t="s">
        <v>259</v>
      </c>
      <c r="O1387" s="67" t="s">
        <v>2116</v>
      </c>
      <c r="P1387" s="67" t="s">
        <v>19</v>
      </c>
      <c r="Q1387" s="192">
        <v>150.9</v>
      </c>
    </row>
    <row r="1388" spans="1:17" ht="11.1" hidden="1" customHeight="1" x14ac:dyDescent="0.2">
      <c r="A1388" s="3"/>
      <c r="B1388" s="3" t="str">
        <f ca="1">IF(A1388="В заказ",MAX($B$9:OFFSET(B1388,-1,0))+1,"")</f>
        <v/>
      </c>
      <c r="C1388" s="6" t="str">
        <f t="shared" si="39"/>
        <v>Кромка 1,0 U708 PG  (75 м бухта).</v>
      </c>
      <c r="D1388" s="67" t="s">
        <v>241</v>
      </c>
      <c r="E1388" s="67" t="s">
        <v>151</v>
      </c>
      <c r="F1388" s="67" t="s">
        <v>1127</v>
      </c>
      <c r="G1388" s="68">
        <v>21532</v>
      </c>
      <c r="H1388" s="67" t="s">
        <v>243</v>
      </c>
      <c r="I1388" s="200"/>
      <c r="J1388" s="67" t="s">
        <v>189</v>
      </c>
      <c r="K1388" s="67" t="s">
        <v>190</v>
      </c>
      <c r="L1388" s="67" t="s">
        <v>18</v>
      </c>
      <c r="M1388" s="67" t="s">
        <v>244</v>
      </c>
      <c r="N1388" s="67" t="s">
        <v>245</v>
      </c>
      <c r="O1388" s="67" t="s">
        <v>2116</v>
      </c>
      <c r="P1388" s="67" t="s">
        <v>19</v>
      </c>
      <c r="Q1388" s="192">
        <v>73.8</v>
      </c>
    </row>
    <row r="1389" spans="1:17" ht="11.1" hidden="1" customHeight="1" x14ac:dyDescent="0.2">
      <c r="A1389" s="3"/>
      <c r="B1389" s="3" t="str">
        <f ca="1">IF(A1389="В заказ",MAX($B$9:OFFSET(B1389,-1,0))+1,"")</f>
        <v/>
      </c>
      <c r="C1389" s="6" t="str">
        <f t="shared" si="39"/>
        <v>Кромка 1,0 U708 PM  (75 м бухта).</v>
      </c>
      <c r="D1389" s="67" t="s">
        <v>241</v>
      </c>
      <c r="E1389" s="67" t="s">
        <v>151</v>
      </c>
      <c r="F1389" s="67" t="s">
        <v>1128</v>
      </c>
      <c r="G1389" s="68">
        <v>15300</v>
      </c>
      <c r="H1389" s="67" t="s">
        <v>243</v>
      </c>
      <c r="I1389" s="200"/>
      <c r="J1389" s="67" t="s">
        <v>189</v>
      </c>
      <c r="K1389" s="67" t="s">
        <v>190</v>
      </c>
      <c r="L1389" s="67" t="s">
        <v>248</v>
      </c>
      <c r="M1389" s="67" t="s">
        <v>244</v>
      </c>
      <c r="N1389" s="67" t="s">
        <v>245</v>
      </c>
      <c r="O1389" s="67" t="s">
        <v>2116</v>
      </c>
      <c r="P1389" s="67" t="s">
        <v>19</v>
      </c>
      <c r="Q1389" s="192">
        <v>73.8</v>
      </c>
    </row>
    <row r="1390" spans="1:17" ht="11.1" hidden="1" customHeight="1" x14ac:dyDescent="0.2">
      <c r="A1390" s="3"/>
      <c r="B1390" s="3" t="str">
        <f ca="1">IF(A1390="В заказ",MAX($B$9:OFFSET(B1390,-1,0))+1,"")</f>
        <v/>
      </c>
      <c r="C1390" s="6" t="str">
        <f t="shared" si="39"/>
        <v>Кромка 0,4 U708 ST9  (200 м бухта).</v>
      </c>
      <c r="D1390" s="67" t="s">
        <v>241</v>
      </c>
      <c r="E1390" s="67" t="s">
        <v>151</v>
      </c>
      <c r="F1390" s="67" t="s">
        <v>1129</v>
      </c>
      <c r="G1390" s="68">
        <v>13077</v>
      </c>
      <c r="H1390" s="67" t="s">
        <v>976</v>
      </c>
      <c r="I1390" s="200"/>
      <c r="J1390" s="67" t="s">
        <v>189</v>
      </c>
      <c r="K1390" s="67" t="s">
        <v>190</v>
      </c>
      <c r="L1390" s="67" t="s">
        <v>22</v>
      </c>
      <c r="M1390" s="67" t="s">
        <v>252</v>
      </c>
      <c r="N1390" s="67" t="s">
        <v>253</v>
      </c>
      <c r="O1390" s="67" t="s">
        <v>2117</v>
      </c>
      <c r="P1390" s="67" t="s">
        <v>19</v>
      </c>
      <c r="Q1390" s="71">
        <v>11</v>
      </c>
    </row>
    <row r="1391" spans="1:17" ht="11.1" hidden="1" customHeight="1" x14ac:dyDescent="0.2">
      <c r="A1391" s="3"/>
      <c r="B1391" s="3" t="str">
        <f ca="1">IF(A1391="В заказ",MAX($B$9:OFFSET(B1391,-1,0))+1,"")</f>
        <v/>
      </c>
      <c r="C1391" s="6" t="str">
        <f t="shared" si="39"/>
        <v>Кромка 0,4 U708 ST9  (200 м бухта).</v>
      </c>
      <c r="D1391" s="67" t="s">
        <v>241</v>
      </c>
      <c r="E1391" s="67" t="s">
        <v>151</v>
      </c>
      <c r="F1391" s="67" t="s">
        <v>1130</v>
      </c>
      <c r="G1391" s="68">
        <v>21339</v>
      </c>
      <c r="H1391" s="67" t="s">
        <v>976</v>
      </c>
      <c r="I1391" s="200"/>
      <c r="J1391" s="67" t="s">
        <v>189</v>
      </c>
      <c r="K1391" s="67" t="s">
        <v>190</v>
      </c>
      <c r="L1391" s="67" t="s">
        <v>22</v>
      </c>
      <c r="M1391" s="67" t="s">
        <v>244</v>
      </c>
      <c r="N1391" s="67" t="s">
        <v>253</v>
      </c>
      <c r="O1391" s="67" t="s">
        <v>2117</v>
      </c>
      <c r="P1391" s="67" t="s">
        <v>19</v>
      </c>
      <c r="Q1391" s="192">
        <v>13.2</v>
      </c>
    </row>
    <row r="1392" spans="1:17" ht="11.1" hidden="1" customHeight="1" x14ac:dyDescent="0.2">
      <c r="A1392" s="3"/>
      <c r="B1392" s="3" t="str">
        <f ca="1">IF(A1392="В заказ",MAX($B$9:OFFSET(B1392,-1,0))+1,"")</f>
        <v/>
      </c>
      <c r="C1392" s="6" t="str">
        <f t="shared" si="39"/>
        <v>Кромка 0,4 U708 ST9  (200 м бухта).</v>
      </c>
      <c r="D1392" s="67" t="s">
        <v>241</v>
      </c>
      <c r="E1392" s="67" t="s">
        <v>151</v>
      </c>
      <c r="F1392" s="67" t="s">
        <v>1131</v>
      </c>
      <c r="G1392" s="68">
        <v>13078</v>
      </c>
      <c r="H1392" s="67" t="s">
        <v>976</v>
      </c>
      <c r="I1392" s="200"/>
      <c r="J1392" s="67" t="s">
        <v>189</v>
      </c>
      <c r="K1392" s="67" t="s">
        <v>190</v>
      </c>
      <c r="L1392" s="67" t="s">
        <v>22</v>
      </c>
      <c r="M1392" s="67" t="s">
        <v>264</v>
      </c>
      <c r="N1392" s="67" t="s">
        <v>253</v>
      </c>
      <c r="O1392" s="67" t="s">
        <v>2117</v>
      </c>
      <c r="P1392" s="67" t="s">
        <v>19</v>
      </c>
      <c r="Q1392" s="192">
        <v>17.100000000000001</v>
      </c>
    </row>
    <row r="1393" spans="1:17" ht="11.1" hidden="1" customHeight="1" x14ac:dyDescent="0.2">
      <c r="A1393" s="3"/>
      <c r="B1393" s="3" t="str">
        <f ca="1">IF(A1393="В заказ",MAX($B$9:OFFSET(B1393,-1,0))+1,"")</f>
        <v/>
      </c>
      <c r="C1393" s="6" t="str">
        <f t="shared" si="39"/>
        <v>Кромка 0,8 U708 ST9  (75 м бухта).</v>
      </c>
      <c r="D1393" s="67" t="s">
        <v>241</v>
      </c>
      <c r="E1393" s="67" t="s">
        <v>151</v>
      </c>
      <c r="F1393" s="67" t="s">
        <v>1132</v>
      </c>
      <c r="G1393" s="68">
        <v>12495</v>
      </c>
      <c r="H1393" s="67" t="s">
        <v>976</v>
      </c>
      <c r="I1393" s="200"/>
      <c r="J1393" s="67" t="s">
        <v>189</v>
      </c>
      <c r="K1393" s="67" t="s">
        <v>190</v>
      </c>
      <c r="L1393" s="67" t="s">
        <v>22</v>
      </c>
      <c r="M1393" s="67" t="s">
        <v>252</v>
      </c>
      <c r="N1393" s="67" t="s">
        <v>10</v>
      </c>
      <c r="O1393" s="67" t="s">
        <v>2116</v>
      </c>
      <c r="P1393" s="67" t="s">
        <v>19</v>
      </c>
      <c r="Q1393" s="192">
        <v>25.7</v>
      </c>
    </row>
    <row r="1394" spans="1:17" ht="11.1" hidden="1" customHeight="1" x14ac:dyDescent="0.2">
      <c r="A1394" s="3"/>
      <c r="B1394" s="3" t="str">
        <f ca="1">IF(A1394="В заказ",MAX($B$9:OFFSET(B1394,-1,0))+1,"")</f>
        <v/>
      </c>
      <c r="C1394" s="6" t="str">
        <f t="shared" si="39"/>
        <v>Кромка 0,8 U708 ST9  (75 м бухта).</v>
      </c>
      <c r="D1394" s="67" t="s">
        <v>241</v>
      </c>
      <c r="E1394" s="67" t="s">
        <v>151</v>
      </c>
      <c r="F1394" s="67" t="s">
        <v>1133</v>
      </c>
      <c r="G1394" s="68">
        <v>15605</v>
      </c>
      <c r="H1394" s="67" t="s">
        <v>976</v>
      </c>
      <c r="I1394" s="200"/>
      <c r="J1394" s="67" t="s">
        <v>189</v>
      </c>
      <c r="K1394" s="67" t="s">
        <v>190</v>
      </c>
      <c r="L1394" s="67" t="s">
        <v>22</v>
      </c>
      <c r="M1394" s="67" t="s">
        <v>244</v>
      </c>
      <c r="N1394" s="67" t="s">
        <v>10</v>
      </c>
      <c r="O1394" s="67" t="s">
        <v>2116</v>
      </c>
      <c r="P1394" s="67" t="s">
        <v>19</v>
      </c>
      <c r="Q1394" s="71">
        <v>31</v>
      </c>
    </row>
    <row r="1395" spans="1:17" ht="11.1" hidden="1" customHeight="1" x14ac:dyDescent="0.2">
      <c r="A1395" s="3"/>
      <c r="B1395" s="3" t="str">
        <f ca="1">IF(A1395="В заказ",MAX($B$9:OFFSET(B1395,-1,0))+1,"")</f>
        <v/>
      </c>
      <c r="C1395" s="6" t="str">
        <f t="shared" si="39"/>
        <v>Кромка 0,8 U708 ST9  (75 м бухта).</v>
      </c>
      <c r="D1395" s="67" t="s">
        <v>241</v>
      </c>
      <c r="E1395" s="67" t="s">
        <v>151</v>
      </c>
      <c r="F1395" s="67" t="s">
        <v>1134</v>
      </c>
      <c r="G1395" s="68">
        <v>14578</v>
      </c>
      <c r="H1395" s="67" t="s">
        <v>976</v>
      </c>
      <c r="I1395" s="200"/>
      <c r="J1395" s="67" t="s">
        <v>189</v>
      </c>
      <c r="K1395" s="67" t="s">
        <v>190</v>
      </c>
      <c r="L1395" s="67" t="s">
        <v>22</v>
      </c>
      <c r="M1395" s="67" t="s">
        <v>264</v>
      </c>
      <c r="N1395" s="67" t="s">
        <v>10</v>
      </c>
      <c r="O1395" s="67" t="s">
        <v>2116</v>
      </c>
      <c r="P1395" s="67" t="s">
        <v>19</v>
      </c>
      <c r="Q1395" s="192">
        <v>47.5</v>
      </c>
    </row>
    <row r="1396" spans="1:17" ht="11.1" hidden="1" customHeight="1" x14ac:dyDescent="0.2">
      <c r="A1396" s="3"/>
      <c r="B1396" s="3" t="str">
        <f ca="1">IF(A1396="В заказ",MAX($B$9:OFFSET(B1396,-1,0))+1,"")</f>
        <v/>
      </c>
      <c r="C1396" s="6" t="str">
        <f t="shared" si="39"/>
        <v>Кромка 2,0 U708 ST9  (75 м бухта).</v>
      </c>
      <c r="D1396" s="67" t="s">
        <v>241</v>
      </c>
      <c r="E1396" s="67" t="s">
        <v>151</v>
      </c>
      <c r="F1396" s="67" t="s">
        <v>1135</v>
      </c>
      <c r="G1396" s="68">
        <v>13079</v>
      </c>
      <c r="H1396" s="67" t="s">
        <v>976</v>
      </c>
      <c r="I1396" s="200"/>
      <c r="J1396" s="67" t="s">
        <v>189</v>
      </c>
      <c r="K1396" s="67" t="s">
        <v>190</v>
      </c>
      <c r="L1396" s="67" t="s">
        <v>22</v>
      </c>
      <c r="M1396" s="67" t="s">
        <v>252</v>
      </c>
      <c r="N1396" s="67" t="s">
        <v>259</v>
      </c>
      <c r="O1396" s="67" t="s">
        <v>2116</v>
      </c>
      <c r="P1396" s="67" t="s">
        <v>19</v>
      </c>
      <c r="Q1396" s="192">
        <v>48.1</v>
      </c>
    </row>
    <row r="1397" spans="1:17" ht="11.1" hidden="1" customHeight="1" x14ac:dyDescent="0.2">
      <c r="A1397" s="3"/>
      <c r="B1397" s="3" t="str">
        <f ca="1">IF(A1397="В заказ",MAX($B$9:OFFSET(B1397,-1,0))+1,"")</f>
        <v/>
      </c>
      <c r="C1397" s="6" t="str">
        <f t="shared" si="39"/>
        <v>Кромка 2,0 U708 ST9  (75 м бухта).</v>
      </c>
      <c r="D1397" s="67" t="s">
        <v>241</v>
      </c>
      <c r="E1397" s="67" t="s">
        <v>151</v>
      </c>
      <c r="F1397" s="67" t="s">
        <v>1136</v>
      </c>
      <c r="G1397" s="68">
        <v>14429</v>
      </c>
      <c r="H1397" s="67" t="s">
        <v>976</v>
      </c>
      <c r="I1397" s="200"/>
      <c r="J1397" s="67" t="s">
        <v>189</v>
      </c>
      <c r="K1397" s="67" t="s">
        <v>190</v>
      </c>
      <c r="L1397" s="67" t="s">
        <v>22</v>
      </c>
      <c r="M1397" s="67" t="s">
        <v>244</v>
      </c>
      <c r="N1397" s="67" t="s">
        <v>259</v>
      </c>
      <c r="O1397" s="67" t="s">
        <v>2116</v>
      </c>
      <c r="P1397" s="67" t="s">
        <v>19</v>
      </c>
      <c r="Q1397" s="192">
        <v>53.1</v>
      </c>
    </row>
    <row r="1398" spans="1:17" ht="11.1" hidden="1" customHeight="1" x14ac:dyDescent="0.2">
      <c r="A1398" s="3"/>
      <c r="B1398" s="3" t="str">
        <f ca="1">IF(A1398="В заказ",MAX($B$9:OFFSET(B1398,-1,0))+1,"")</f>
        <v/>
      </c>
      <c r="C1398" s="6" t="str">
        <f t="shared" ref="C1398:C1461" si="40">D1398&amp;" "&amp;N1398&amp;" "&amp;IF(OR(D1398="ДСП",D1398="МДФ",D1398="Фанера",D1398="ХДФ"),M1398,J1398)&amp;" "&amp;IF(OR(D1398="ДСП",D1398="МДФ",D1398="Фанера",D1398="ХДФ"),O1398,L1398)&amp;" "&amp;IF(OR(D1398="ДСП",D1398="МДФ",D1398="Фанера",D1398="ХДФ"),"",IF(D1398="БСП",M1398,O1398))&amp;"."</f>
        <v>Кромка 2,0 U708 ST9 (75 м бухта).</v>
      </c>
      <c r="D1398" s="67" t="s">
        <v>241</v>
      </c>
      <c r="E1398" s="67" t="s">
        <v>151</v>
      </c>
      <c r="F1398" s="67" t="s">
        <v>1137</v>
      </c>
      <c r="G1398" s="68">
        <v>13080</v>
      </c>
      <c r="H1398" s="67" t="s">
        <v>976</v>
      </c>
      <c r="I1398" s="200"/>
      <c r="J1398" s="67" t="s">
        <v>189</v>
      </c>
      <c r="K1398" s="67" t="s">
        <v>190</v>
      </c>
      <c r="L1398" s="67" t="s">
        <v>22</v>
      </c>
      <c r="M1398" s="67" t="s">
        <v>264</v>
      </c>
      <c r="N1398" s="67" t="s">
        <v>259</v>
      </c>
      <c r="O1398" s="67" t="s">
        <v>246</v>
      </c>
      <c r="P1398" s="67" t="s">
        <v>19</v>
      </c>
      <c r="Q1398" s="192">
        <v>72.400000000000006</v>
      </c>
    </row>
    <row r="1399" spans="1:17" ht="11.1" hidden="1" customHeight="1" x14ac:dyDescent="0.2">
      <c r="A1399" s="3"/>
      <c r="B1399" s="3" t="str">
        <f ca="1">IF(A1399="В заказ",MAX($B$9:OFFSET(B1399,-1,0))+1,"")</f>
        <v/>
      </c>
      <c r="C1399" s="6" t="str">
        <f t="shared" si="40"/>
        <v>Кромка 2,0 U708 ST9  (75 м бухта).</v>
      </c>
      <c r="D1399" s="67" t="s">
        <v>241</v>
      </c>
      <c r="E1399" s="67" t="s">
        <v>151</v>
      </c>
      <c r="F1399" s="67" t="s">
        <v>1138</v>
      </c>
      <c r="G1399" s="68">
        <v>13081</v>
      </c>
      <c r="H1399" s="67" t="s">
        <v>976</v>
      </c>
      <c r="I1399" s="200"/>
      <c r="J1399" s="67" t="s">
        <v>189</v>
      </c>
      <c r="K1399" s="67" t="s">
        <v>190</v>
      </c>
      <c r="L1399" s="67" t="s">
        <v>22</v>
      </c>
      <c r="M1399" s="67" t="s">
        <v>270</v>
      </c>
      <c r="N1399" s="67" t="s">
        <v>259</v>
      </c>
      <c r="O1399" s="67" t="s">
        <v>2116</v>
      </c>
      <c r="P1399" s="67" t="s">
        <v>19</v>
      </c>
      <c r="Q1399" s="192">
        <v>97.2</v>
      </c>
    </row>
    <row r="1400" spans="1:17" ht="11.1" hidden="1" customHeight="1" x14ac:dyDescent="0.2">
      <c r="A1400" s="3"/>
      <c r="B1400" s="3" t="str">
        <f ca="1">IF(A1400="В заказ",MAX($B$9:OFFSET(B1400,-1,0))+1,"")</f>
        <v/>
      </c>
      <c r="C1400" s="6" t="str">
        <f t="shared" si="40"/>
        <v>Кромка 2,0 U708 ST9  (75 м бухта).</v>
      </c>
      <c r="D1400" s="67" t="s">
        <v>241</v>
      </c>
      <c r="E1400" s="67" t="s">
        <v>151</v>
      </c>
      <c r="F1400" s="67" t="s">
        <v>1139</v>
      </c>
      <c r="G1400" s="68">
        <v>21484</v>
      </c>
      <c r="H1400" s="67" t="s">
        <v>976</v>
      </c>
      <c r="I1400" s="200"/>
      <c r="J1400" s="67" t="s">
        <v>189</v>
      </c>
      <c r="K1400" s="67" t="s">
        <v>190</v>
      </c>
      <c r="L1400" s="67" t="s">
        <v>22</v>
      </c>
      <c r="M1400" s="67" t="s">
        <v>282</v>
      </c>
      <c r="N1400" s="67" t="s">
        <v>259</v>
      </c>
      <c r="O1400" s="67" t="s">
        <v>2116</v>
      </c>
      <c r="P1400" s="67" t="s">
        <v>19</v>
      </c>
      <c r="Q1400" s="192">
        <v>150.9</v>
      </c>
    </row>
    <row r="1401" spans="1:17" ht="11.1" hidden="1" customHeight="1" x14ac:dyDescent="0.2">
      <c r="A1401" s="3"/>
      <c r="B1401" s="3" t="str">
        <f ca="1">IF(A1401="В заказ",MAX($B$9:OFFSET(B1401,-1,0))+1,"")</f>
        <v/>
      </c>
      <c r="C1401" s="6" t="str">
        <f t="shared" si="40"/>
        <v>Кромка 1,0 U727 PM  (75 м бухта).</v>
      </c>
      <c r="D1401" s="67" t="s">
        <v>241</v>
      </c>
      <c r="E1401" s="67" t="s">
        <v>151</v>
      </c>
      <c r="F1401" s="67" t="s">
        <v>1140</v>
      </c>
      <c r="G1401" s="68">
        <v>15041</v>
      </c>
      <c r="H1401" s="67" t="s">
        <v>243</v>
      </c>
      <c r="I1401" s="200"/>
      <c r="J1401" s="67" t="s">
        <v>191</v>
      </c>
      <c r="K1401" s="67" t="s">
        <v>192</v>
      </c>
      <c r="L1401" s="67" t="s">
        <v>248</v>
      </c>
      <c r="M1401" s="67" t="s">
        <v>244</v>
      </c>
      <c r="N1401" s="67" t="s">
        <v>245</v>
      </c>
      <c r="O1401" s="67" t="s">
        <v>2116</v>
      </c>
      <c r="P1401" s="67" t="s">
        <v>19</v>
      </c>
      <c r="Q1401" s="192">
        <v>73.8</v>
      </c>
    </row>
    <row r="1402" spans="1:17" ht="11.1" hidden="1" customHeight="1" x14ac:dyDescent="0.2">
      <c r="A1402" s="3"/>
      <c r="B1402" s="3" t="str">
        <f ca="1">IF(A1402="В заказ",MAX($B$9:OFFSET(B1402,-1,0))+1,"")</f>
        <v/>
      </c>
      <c r="C1402" s="6" t="str">
        <f t="shared" si="40"/>
        <v>Кромка 0,4 U727 ST9  (200 м бухта).</v>
      </c>
      <c r="D1402" s="67" t="s">
        <v>241</v>
      </c>
      <c r="E1402" s="67" t="s">
        <v>151</v>
      </c>
      <c r="F1402" s="67" t="s">
        <v>1141</v>
      </c>
      <c r="G1402" s="68">
        <v>13423</v>
      </c>
      <c r="H1402" s="67" t="s">
        <v>976</v>
      </c>
      <c r="I1402" s="200"/>
      <c r="J1402" s="67" t="s">
        <v>191</v>
      </c>
      <c r="K1402" s="67" t="s">
        <v>192</v>
      </c>
      <c r="L1402" s="67" t="s">
        <v>22</v>
      </c>
      <c r="M1402" s="67" t="s">
        <v>252</v>
      </c>
      <c r="N1402" s="67" t="s">
        <v>253</v>
      </c>
      <c r="O1402" s="67" t="s">
        <v>2117</v>
      </c>
      <c r="P1402" s="67" t="s">
        <v>19</v>
      </c>
      <c r="Q1402" s="71">
        <v>11</v>
      </c>
    </row>
    <row r="1403" spans="1:17" ht="11.1" hidden="1" customHeight="1" x14ac:dyDescent="0.2">
      <c r="A1403" s="3"/>
      <c r="B1403" s="3" t="str">
        <f ca="1">IF(A1403="В заказ",MAX($B$9:OFFSET(B1403,-1,0))+1,"")</f>
        <v/>
      </c>
      <c r="C1403" s="6" t="str">
        <f t="shared" si="40"/>
        <v>Кромка 0,4 U727 ST9  (200 м бухта).</v>
      </c>
      <c r="D1403" s="67" t="s">
        <v>241</v>
      </c>
      <c r="E1403" s="67" t="s">
        <v>151</v>
      </c>
      <c r="F1403" s="67" t="s">
        <v>1142</v>
      </c>
      <c r="G1403" s="68">
        <v>18797</v>
      </c>
      <c r="H1403" s="67" t="s">
        <v>976</v>
      </c>
      <c r="I1403" s="200"/>
      <c r="J1403" s="67" t="s">
        <v>191</v>
      </c>
      <c r="K1403" s="67" t="s">
        <v>192</v>
      </c>
      <c r="L1403" s="67" t="s">
        <v>22</v>
      </c>
      <c r="M1403" s="67" t="s">
        <v>244</v>
      </c>
      <c r="N1403" s="67" t="s">
        <v>253</v>
      </c>
      <c r="O1403" s="67" t="s">
        <v>2117</v>
      </c>
      <c r="P1403" s="67" t="s">
        <v>19</v>
      </c>
      <c r="Q1403" s="192">
        <v>13.2</v>
      </c>
    </row>
    <row r="1404" spans="1:17" ht="11.1" hidden="1" customHeight="1" x14ac:dyDescent="0.2">
      <c r="A1404" s="3"/>
      <c r="B1404" s="3" t="str">
        <f ca="1">IF(A1404="В заказ",MAX($B$9:OFFSET(B1404,-1,0))+1,"")</f>
        <v/>
      </c>
      <c r="C1404" s="6" t="str">
        <f t="shared" si="40"/>
        <v>Кромка 0,4 U727 ST9  (200 м бухта).</v>
      </c>
      <c r="D1404" s="67" t="s">
        <v>241</v>
      </c>
      <c r="E1404" s="67" t="s">
        <v>151</v>
      </c>
      <c r="F1404" s="67" t="s">
        <v>1143</v>
      </c>
      <c r="G1404" s="68">
        <v>16559</v>
      </c>
      <c r="H1404" s="67" t="s">
        <v>976</v>
      </c>
      <c r="I1404" s="200"/>
      <c r="J1404" s="67" t="s">
        <v>191</v>
      </c>
      <c r="K1404" s="67" t="s">
        <v>192</v>
      </c>
      <c r="L1404" s="67" t="s">
        <v>22</v>
      </c>
      <c r="M1404" s="67" t="s">
        <v>264</v>
      </c>
      <c r="N1404" s="67" t="s">
        <v>253</v>
      </c>
      <c r="O1404" s="67" t="s">
        <v>2117</v>
      </c>
      <c r="P1404" s="67" t="s">
        <v>19</v>
      </c>
      <c r="Q1404" s="192">
        <v>17.100000000000001</v>
      </c>
    </row>
    <row r="1405" spans="1:17" ht="11.1" hidden="1" customHeight="1" x14ac:dyDescent="0.2">
      <c r="A1405" s="3"/>
      <c r="B1405" s="3" t="str">
        <f ca="1">IF(A1405="В заказ",MAX($B$9:OFFSET(B1405,-1,0))+1,"")</f>
        <v/>
      </c>
      <c r="C1405" s="6" t="str">
        <f t="shared" si="40"/>
        <v>Кромка 0,8 U727 ST9  (75 м бухта).</v>
      </c>
      <c r="D1405" s="67" t="s">
        <v>241</v>
      </c>
      <c r="E1405" s="67" t="s">
        <v>151</v>
      </c>
      <c r="F1405" s="67" t="s">
        <v>1144</v>
      </c>
      <c r="G1405" s="68">
        <v>14286</v>
      </c>
      <c r="H1405" s="67" t="s">
        <v>976</v>
      </c>
      <c r="I1405" s="200"/>
      <c r="J1405" s="67" t="s">
        <v>191</v>
      </c>
      <c r="K1405" s="67" t="s">
        <v>192</v>
      </c>
      <c r="L1405" s="67" t="s">
        <v>22</v>
      </c>
      <c r="M1405" s="67" t="s">
        <v>252</v>
      </c>
      <c r="N1405" s="67" t="s">
        <v>10</v>
      </c>
      <c r="O1405" s="67" t="s">
        <v>2116</v>
      </c>
      <c r="P1405" s="67" t="s">
        <v>19</v>
      </c>
      <c r="Q1405" s="192">
        <v>25.7</v>
      </c>
    </row>
    <row r="1406" spans="1:17" ht="11.1" hidden="1" customHeight="1" x14ac:dyDescent="0.2">
      <c r="A1406" s="3"/>
      <c r="B1406" s="3" t="str">
        <f ca="1">IF(A1406="В заказ",MAX($B$9:OFFSET(B1406,-1,0))+1,"")</f>
        <v/>
      </c>
      <c r="C1406" s="6" t="str">
        <f t="shared" si="40"/>
        <v>Кромка 0,8 U727 ST9  (75 м бухта).</v>
      </c>
      <c r="D1406" s="67" t="s">
        <v>241</v>
      </c>
      <c r="E1406" s="67" t="s">
        <v>151</v>
      </c>
      <c r="F1406" s="67" t="s">
        <v>1145</v>
      </c>
      <c r="G1406" s="68">
        <v>16715</v>
      </c>
      <c r="H1406" s="67" t="s">
        <v>976</v>
      </c>
      <c r="I1406" s="200"/>
      <c r="J1406" s="67" t="s">
        <v>191</v>
      </c>
      <c r="K1406" s="67" t="s">
        <v>192</v>
      </c>
      <c r="L1406" s="67" t="s">
        <v>22</v>
      </c>
      <c r="M1406" s="67" t="s">
        <v>244</v>
      </c>
      <c r="N1406" s="67" t="s">
        <v>10</v>
      </c>
      <c r="O1406" s="67" t="s">
        <v>2116</v>
      </c>
      <c r="P1406" s="67" t="s">
        <v>19</v>
      </c>
      <c r="Q1406" s="71">
        <v>31</v>
      </c>
    </row>
    <row r="1407" spans="1:17" ht="11.1" hidden="1" customHeight="1" x14ac:dyDescent="0.2">
      <c r="A1407" s="3"/>
      <c r="B1407" s="3" t="str">
        <f ca="1">IF(A1407="В заказ",MAX($B$9:OFFSET(B1407,-1,0))+1,"")</f>
        <v/>
      </c>
      <c r="C1407" s="6" t="str">
        <f t="shared" si="40"/>
        <v>Кромка 2,0 U727 ST9  (75 м бухта).</v>
      </c>
      <c r="D1407" s="67" t="s">
        <v>241</v>
      </c>
      <c r="E1407" s="67" t="s">
        <v>151</v>
      </c>
      <c r="F1407" s="67" t="s">
        <v>1146</v>
      </c>
      <c r="G1407" s="68">
        <v>13422</v>
      </c>
      <c r="H1407" s="67" t="s">
        <v>976</v>
      </c>
      <c r="I1407" s="200"/>
      <c r="J1407" s="67" t="s">
        <v>191</v>
      </c>
      <c r="K1407" s="67" t="s">
        <v>192</v>
      </c>
      <c r="L1407" s="67" t="s">
        <v>22</v>
      </c>
      <c r="M1407" s="67" t="s">
        <v>252</v>
      </c>
      <c r="N1407" s="67" t="s">
        <v>259</v>
      </c>
      <c r="O1407" s="67" t="s">
        <v>2116</v>
      </c>
      <c r="P1407" s="67" t="s">
        <v>19</v>
      </c>
      <c r="Q1407" s="192">
        <v>48.1</v>
      </c>
    </row>
    <row r="1408" spans="1:17" ht="11.1" hidden="1" customHeight="1" x14ac:dyDescent="0.2">
      <c r="A1408" s="3"/>
      <c r="B1408" s="3" t="str">
        <f ca="1">IF(A1408="В заказ",MAX($B$9:OFFSET(B1408,-1,0))+1,"")</f>
        <v/>
      </c>
      <c r="C1408" s="6" t="str">
        <f t="shared" si="40"/>
        <v>Кромка 2,0 U727 ST9  (75 м бухта).</v>
      </c>
      <c r="D1408" s="67" t="s">
        <v>241</v>
      </c>
      <c r="E1408" s="67" t="s">
        <v>151</v>
      </c>
      <c r="F1408" s="67" t="s">
        <v>1147</v>
      </c>
      <c r="G1408" s="68">
        <v>18798</v>
      </c>
      <c r="H1408" s="67" t="s">
        <v>976</v>
      </c>
      <c r="I1408" s="200"/>
      <c r="J1408" s="67" t="s">
        <v>191</v>
      </c>
      <c r="K1408" s="67" t="s">
        <v>192</v>
      </c>
      <c r="L1408" s="67" t="s">
        <v>22</v>
      </c>
      <c r="M1408" s="67" t="s">
        <v>244</v>
      </c>
      <c r="N1408" s="67" t="s">
        <v>259</v>
      </c>
      <c r="O1408" s="67" t="s">
        <v>2116</v>
      </c>
      <c r="P1408" s="67" t="s">
        <v>19</v>
      </c>
      <c r="Q1408" s="192">
        <v>53.1</v>
      </c>
    </row>
    <row r="1409" spans="1:17" ht="11.1" hidden="1" customHeight="1" x14ac:dyDescent="0.2">
      <c r="A1409" s="3"/>
      <c r="B1409" s="3" t="str">
        <f ca="1">IF(A1409="В заказ",MAX($B$9:OFFSET(B1409,-1,0))+1,"")</f>
        <v/>
      </c>
      <c r="C1409" s="6" t="str">
        <f t="shared" si="40"/>
        <v>Кромка 2,0 U727 ST9  (75 м бухта).</v>
      </c>
      <c r="D1409" s="67" t="s">
        <v>241</v>
      </c>
      <c r="E1409" s="67" t="s">
        <v>151</v>
      </c>
      <c r="F1409" s="67" t="s">
        <v>1148</v>
      </c>
      <c r="G1409" s="68">
        <v>15352</v>
      </c>
      <c r="H1409" s="67" t="s">
        <v>976</v>
      </c>
      <c r="I1409" s="200"/>
      <c r="J1409" s="67" t="s">
        <v>191</v>
      </c>
      <c r="K1409" s="67" t="s">
        <v>192</v>
      </c>
      <c r="L1409" s="67" t="s">
        <v>22</v>
      </c>
      <c r="M1409" s="67" t="s">
        <v>264</v>
      </c>
      <c r="N1409" s="67" t="s">
        <v>259</v>
      </c>
      <c r="O1409" s="67" t="s">
        <v>2116</v>
      </c>
      <c r="P1409" s="67" t="s">
        <v>19</v>
      </c>
      <c r="Q1409" s="192">
        <v>72.400000000000006</v>
      </c>
    </row>
    <row r="1410" spans="1:17" ht="11.1" hidden="1" customHeight="1" x14ac:dyDescent="0.2">
      <c r="A1410" s="3"/>
      <c r="B1410" s="3" t="str">
        <f ca="1">IF(A1410="В заказ",MAX($B$9:OFFSET(B1410,-1,0))+1,"")</f>
        <v/>
      </c>
      <c r="C1410" s="6" t="str">
        <f t="shared" si="40"/>
        <v>Кромка 2,0 U727 ST9  (75 м бухта).</v>
      </c>
      <c r="D1410" s="67" t="s">
        <v>241</v>
      </c>
      <c r="E1410" s="67" t="s">
        <v>151</v>
      </c>
      <c r="F1410" s="67" t="s">
        <v>1149</v>
      </c>
      <c r="G1410" s="68">
        <v>14400</v>
      </c>
      <c r="H1410" s="67" t="s">
        <v>976</v>
      </c>
      <c r="I1410" s="200"/>
      <c r="J1410" s="67" t="s">
        <v>191</v>
      </c>
      <c r="K1410" s="67" t="s">
        <v>192</v>
      </c>
      <c r="L1410" s="67" t="s">
        <v>22</v>
      </c>
      <c r="M1410" s="67" t="s">
        <v>270</v>
      </c>
      <c r="N1410" s="67" t="s">
        <v>259</v>
      </c>
      <c r="O1410" s="67" t="s">
        <v>2116</v>
      </c>
      <c r="P1410" s="67" t="s">
        <v>19</v>
      </c>
      <c r="Q1410" s="192">
        <v>97.2</v>
      </c>
    </row>
    <row r="1411" spans="1:17" ht="11.1" hidden="1" customHeight="1" x14ac:dyDescent="0.2">
      <c r="A1411" s="3"/>
      <c r="B1411" s="3" t="str">
        <f ca="1">IF(A1411="В заказ",MAX($B$9:OFFSET(B1411,-1,0))+1,"")</f>
        <v/>
      </c>
      <c r="C1411" s="6" t="str">
        <f t="shared" si="40"/>
        <v>Кромка 1,0 U732 PG  (75 м бухта).</v>
      </c>
      <c r="D1411" s="67" t="s">
        <v>241</v>
      </c>
      <c r="E1411" s="67" t="s">
        <v>151</v>
      </c>
      <c r="F1411" s="67" t="s">
        <v>1150</v>
      </c>
      <c r="G1411" s="68">
        <v>14985</v>
      </c>
      <c r="H1411" s="67" t="s">
        <v>243</v>
      </c>
      <c r="I1411" s="200"/>
      <c r="J1411" s="67" t="s">
        <v>193</v>
      </c>
      <c r="K1411" s="67" t="s">
        <v>194</v>
      </c>
      <c r="L1411" s="67" t="s">
        <v>18</v>
      </c>
      <c r="M1411" s="67" t="s">
        <v>244</v>
      </c>
      <c r="N1411" s="67" t="s">
        <v>245</v>
      </c>
      <c r="O1411" s="67" t="s">
        <v>2116</v>
      </c>
      <c r="P1411" s="67" t="s">
        <v>19</v>
      </c>
      <c r="Q1411" s="192">
        <v>73.8</v>
      </c>
    </row>
    <row r="1412" spans="1:17" ht="11.1" hidden="1" customHeight="1" x14ac:dyDescent="0.2">
      <c r="A1412" s="3"/>
      <c r="B1412" s="3" t="str">
        <f ca="1">IF(A1412="В заказ",MAX($B$9:OFFSET(B1412,-1,0))+1,"")</f>
        <v/>
      </c>
      <c r="C1412" s="6" t="str">
        <f t="shared" si="40"/>
        <v>Кромка 1,0 U732 PM  (75 м бухта).</v>
      </c>
      <c r="D1412" s="67" t="s">
        <v>241</v>
      </c>
      <c r="E1412" s="67" t="s">
        <v>151</v>
      </c>
      <c r="F1412" s="67" t="s">
        <v>1151</v>
      </c>
      <c r="G1412" s="68">
        <v>14984</v>
      </c>
      <c r="H1412" s="67" t="s">
        <v>243</v>
      </c>
      <c r="I1412" s="200"/>
      <c r="J1412" s="67" t="s">
        <v>193</v>
      </c>
      <c r="K1412" s="67" t="s">
        <v>194</v>
      </c>
      <c r="L1412" s="67" t="s">
        <v>248</v>
      </c>
      <c r="M1412" s="67" t="s">
        <v>244</v>
      </c>
      <c r="N1412" s="67" t="s">
        <v>245</v>
      </c>
      <c r="O1412" s="67" t="s">
        <v>2116</v>
      </c>
      <c r="P1412" s="67" t="s">
        <v>19</v>
      </c>
      <c r="Q1412" s="192">
        <v>73.8</v>
      </c>
    </row>
    <row r="1413" spans="1:17" ht="11.1" hidden="1" customHeight="1" x14ac:dyDescent="0.2">
      <c r="A1413" s="3"/>
      <c r="B1413" s="3" t="str">
        <f ca="1">IF(A1413="В заказ",MAX($B$9:OFFSET(B1413,-1,0))+1,"")</f>
        <v/>
      </c>
      <c r="C1413" s="6" t="str">
        <f t="shared" si="40"/>
        <v>Кромка 0,4 U732 ST9  (200 м бухта).</v>
      </c>
      <c r="D1413" s="67" t="s">
        <v>241</v>
      </c>
      <c r="E1413" s="67" t="s">
        <v>151</v>
      </c>
      <c r="F1413" s="67" t="s">
        <v>1152</v>
      </c>
      <c r="G1413" s="68">
        <v>13082</v>
      </c>
      <c r="H1413" s="67" t="s">
        <v>976</v>
      </c>
      <c r="I1413" s="200"/>
      <c r="J1413" s="67" t="s">
        <v>193</v>
      </c>
      <c r="K1413" s="67" t="s">
        <v>194</v>
      </c>
      <c r="L1413" s="67" t="s">
        <v>22</v>
      </c>
      <c r="M1413" s="67" t="s">
        <v>252</v>
      </c>
      <c r="N1413" s="67" t="s">
        <v>253</v>
      </c>
      <c r="O1413" s="67" t="s">
        <v>2117</v>
      </c>
      <c r="P1413" s="67" t="s">
        <v>19</v>
      </c>
      <c r="Q1413" s="71">
        <v>11</v>
      </c>
    </row>
    <row r="1414" spans="1:17" ht="11.1" hidden="1" customHeight="1" x14ac:dyDescent="0.2">
      <c r="A1414" s="3"/>
      <c r="B1414" s="3" t="str">
        <f ca="1">IF(A1414="В заказ",MAX($B$9:OFFSET(B1414,-1,0))+1,"")</f>
        <v/>
      </c>
      <c r="C1414" s="6" t="str">
        <f t="shared" si="40"/>
        <v>Кромка 0,4 U732 ST9  (200 м бухта).</v>
      </c>
      <c r="D1414" s="67" t="s">
        <v>241</v>
      </c>
      <c r="E1414" s="67" t="s">
        <v>151</v>
      </c>
      <c r="F1414" s="67" t="s">
        <v>1153</v>
      </c>
      <c r="G1414" s="68">
        <v>22911</v>
      </c>
      <c r="H1414" s="67" t="s">
        <v>976</v>
      </c>
      <c r="I1414" s="200"/>
      <c r="J1414" s="67" t="s">
        <v>193</v>
      </c>
      <c r="K1414" s="67" t="s">
        <v>194</v>
      </c>
      <c r="L1414" s="67" t="s">
        <v>22</v>
      </c>
      <c r="M1414" s="67" t="s">
        <v>244</v>
      </c>
      <c r="N1414" s="67" t="s">
        <v>253</v>
      </c>
      <c r="O1414" s="67" t="s">
        <v>2117</v>
      </c>
      <c r="P1414" s="67" t="s">
        <v>19</v>
      </c>
      <c r="Q1414" s="192">
        <v>13.2</v>
      </c>
    </row>
    <row r="1415" spans="1:17" ht="11.1" hidden="1" customHeight="1" x14ac:dyDescent="0.2">
      <c r="A1415" s="3"/>
      <c r="B1415" s="3" t="str">
        <f ca="1">IF(A1415="В заказ",MAX($B$9:OFFSET(B1415,-1,0))+1,"")</f>
        <v/>
      </c>
      <c r="C1415" s="6" t="str">
        <f t="shared" si="40"/>
        <v>Кромка 0,4 U732 ST9  (200 м бухта).</v>
      </c>
      <c r="D1415" s="67" t="s">
        <v>241</v>
      </c>
      <c r="E1415" s="67" t="s">
        <v>151</v>
      </c>
      <c r="F1415" s="67" t="s">
        <v>1154</v>
      </c>
      <c r="G1415" s="68">
        <v>16765</v>
      </c>
      <c r="H1415" s="67" t="s">
        <v>976</v>
      </c>
      <c r="I1415" s="200"/>
      <c r="J1415" s="67" t="s">
        <v>193</v>
      </c>
      <c r="K1415" s="67" t="s">
        <v>194</v>
      </c>
      <c r="L1415" s="67" t="s">
        <v>22</v>
      </c>
      <c r="M1415" s="67" t="s">
        <v>264</v>
      </c>
      <c r="N1415" s="67" t="s">
        <v>253</v>
      </c>
      <c r="O1415" s="67" t="s">
        <v>2117</v>
      </c>
      <c r="P1415" s="67" t="s">
        <v>19</v>
      </c>
      <c r="Q1415" s="192">
        <v>17.100000000000001</v>
      </c>
    </row>
    <row r="1416" spans="1:17" ht="11.1" hidden="1" customHeight="1" x14ac:dyDescent="0.2">
      <c r="A1416" s="3"/>
      <c r="B1416" s="3" t="str">
        <f ca="1">IF(A1416="В заказ",MAX($B$9:OFFSET(B1416,-1,0))+1,"")</f>
        <v/>
      </c>
      <c r="C1416" s="6" t="str">
        <f t="shared" si="40"/>
        <v>Кромка 0,8 U732 ST9  (75 м бухта).</v>
      </c>
      <c r="D1416" s="67" t="s">
        <v>241</v>
      </c>
      <c r="E1416" s="67" t="s">
        <v>151</v>
      </c>
      <c r="F1416" s="67" t="s">
        <v>1155</v>
      </c>
      <c r="G1416" s="68">
        <v>13665</v>
      </c>
      <c r="H1416" s="67" t="s">
        <v>976</v>
      </c>
      <c r="I1416" s="200"/>
      <c r="J1416" s="67" t="s">
        <v>193</v>
      </c>
      <c r="K1416" s="67" t="s">
        <v>194</v>
      </c>
      <c r="L1416" s="67" t="s">
        <v>22</v>
      </c>
      <c r="M1416" s="67" t="s">
        <v>252</v>
      </c>
      <c r="N1416" s="67" t="s">
        <v>10</v>
      </c>
      <c r="O1416" s="67" t="s">
        <v>2116</v>
      </c>
      <c r="P1416" s="67" t="s">
        <v>19</v>
      </c>
      <c r="Q1416" s="192">
        <v>25.7</v>
      </c>
    </row>
    <row r="1417" spans="1:17" ht="11.1" hidden="1" customHeight="1" x14ac:dyDescent="0.2">
      <c r="A1417" s="3"/>
      <c r="B1417" s="3" t="str">
        <f ca="1">IF(A1417="В заказ",MAX($B$9:OFFSET(B1417,-1,0))+1,"")</f>
        <v/>
      </c>
      <c r="C1417" s="6" t="str">
        <f t="shared" si="40"/>
        <v>Кромка 0,8 U732 ST9  (75 м бухта).</v>
      </c>
      <c r="D1417" s="67" t="s">
        <v>241</v>
      </c>
      <c r="E1417" s="67" t="s">
        <v>151</v>
      </c>
      <c r="F1417" s="67" t="s">
        <v>1156</v>
      </c>
      <c r="G1417" s="68">
        <v>23808</v>
      </c>
      <c r="H1417" s="67" t="s">
        <v>976</v>
      </c>
      <c r="I1417" s="200"/>
      <c r="J1417" s="67" t="s">
        <v>193</v>
      </c>
      <c r="K1417" s="67" t="s">
        <v>194</v>
      </c>
      <c r="L1417" s="67" t="s">
        <v>22</v>
      </c>
      <c r="M1417" s="67" t="s">
        <v>244</v>
      </c>
      <c r="N1417" s="67" t="s">
        <v>10</v>
      </c>
      <c r="O1417" s="67" t="s">
        <v>2116</v>
      </c>
      <c r="P1417" s="67" t="s">
        <v>19</v>
      </c>
      <c r="Q1417" s="71">
        <v>31</v>
      </c>
    </row>
    <row r="1418" spans="1:17" ht="11.1" hidden="1" customHeight="1" x14ac:dyDescent="0.2">
      <c r="A1418" s="3"/>
      <c r="B1418" s="3" t="str">
        <f ca="1">IF(A1418="В заказ",MAX($B$9:OFFSET(B1418,-1,0))+1,"")</f>
        <v/>
      </c>
      <c r="C1418" s="6" t="str">
        <f t="shared" si="40"/>
        <v>Кромка 2,0 U732 ST9  (75 м бухта).</v>
      </c>
      <c r="D1418" s="67" t="s">
        <v>241</v>
      </c>
      <c r="E1418" s="67" t="s">
        <v>151</v>
      </c>
      <c r="F1418" s="67" t="s">
        <v>1157</v>
      </c>
      <c r="G1418" s="68">
        <v>13083</v>
      </c>
      <c r="H1418" s="67" t="s">
        <v>976</v>
      </c>
      <c r="I1418" s="200"/>
      <c r="J1418" s="67" t="s">
        <v>193</v>
      </c>
      <c r="K1418" s="67" t="s">
        <v>194</v>
      </c>
      <c r="L1418" s="67" t="s">
        <v>22</v>
      </c>
      <c r="M1418" s="67" t="s">
        <v>252</v>
      </c>
      <c r="N1418" s="67" t="s">
        <v>259</v>
      </c>
      <c r="O1418" s="67" t="s">
        <v>2116</v>
      </c>
      <c r="P1418" s="67" t="s">
        <v>19</v>
      </c>
      <c r="Q1418" s="192">
        <v>48.1</v>
      </c>
    </row>
    <row r="1419" spans="1:17" ht="11.1" hidden="1" customHeight="1" x14ac:dyDescent="0.2">
      <c r="A1419" s="3"/>
      <c r="B1419" s="3" t="str">
        <f ca="1">IF(A1419="В заказ",MAX($B$9:OFFSET(B1419,-1,0))+1,"")</f>
        <v/>
      </c>
      <c r="C1419" s="6" t="str">
        <f t="shared" si="40"/>
        <v>Кромка 2,0 U732 ST9  (75 м бухта).</v>
      </c>
      <c r="D1419" s="67" t="s">
        <v>241</v>
      </c>
      <c r="E1419" s="67" t="s">
        <v>151</v>
      </c>
      <c r="F1419" s="67" t="s">
        <v>1158</v>
      </c>
      <c r="G1419" s="68">
        <v>14171</v>
      </c>
      <c r="H1419" s="67" t="s">
        <v>976</v>
      </c>
      <c r="I1419" s="200"/>
      <c r="J1419" s="67" t="s">
        <v>193</v>
      </c>
      <c r="K1419" s="67" t="s">
        <v>194</v>
      </c>
      <c r="L1419" s="67" t="s">
        <v>22</v>
      </c>
      <c r="M1419" s="67" t="s">
        <v>244</v>
      </c>
      <c r="N1419" s="67" t="s">
        <v>259</v>
      </c>
      <c r="O1419" s="67" t="s">
        <v>2116</v>
      </c>
      <c r="P1419" s="67" t="s">
        <v>19</v>
      </c>
      <c r="Q1419" s="192">
        <v>53.1</v>
      </c>
    </row>
    <row r="1420" spans="1:17" ht="11.1" hidden="1" customHeight="1" x14ac:dyDescent="0.2">
      <c r="A1420" s="3"/>
      <c r="B1420" s="3" t="str">
        <f ca="1">IF(A1420="В заказ",MAX($B$9:OFFSET(B1420,-1,0))+1,"")</f>
        <v/>
      </c>
      <c r="C1420" s="6" t="str">
        <f t="shared" si="40"/>
        <v>Кромка 2,0 U732 ST9  (75 м бухта).</v>
      </c>
      <c r="D1420" s="67" t="s">
        <v>241</v>
      </c>
      <c r="E1420" s="67" t="s">
        <v>151</v>
      </c>
      <c r="F1420" s="67" t="s">
        <v>1159</v>
      </c>
      <c r="G1420" s="68">
        <v>13280</v>
      </c>
      <c r="H1420" s="67" t="s">
        <v>976</v>
      </c>
      <c r="I1420" s="200"/>
      <c r="J1420" s="67" t="s">
        <v>193</v>
      </c>
      <c r="K1420" s="67" t="s">
        <v>194</v>
      </c>
      <c r="L1420" s="67" t="s">
        <v>22</v>
      </c>
      <c r="M1420" s="67" t="s">
        <v>264</v>
      </c>
      <c r="N1420" s="67" t="s">
        <v>259</v>
      </c>
      <c r="O1420" s="67" t="s">
        <v>2116</v>
      </c>
      <c r="P1420" s="67" t="s">
        <v>19</v>
      </c>
      <c r="Q1420" s="192">
        <v>72.400000000000006</v>
      </c>
    </row>
    <row r="1421" spans="1:17" ht="11.1" hidden="1" customHeight="1" x14ac:dyDescent="0.2">
      <c r="A1421" s="3"/>
      <c r="B1421" s="3" t="str">
        <f ca="1">IF(A1421="В заказ",MAX($B$9:OFFSET(B1421,-1,0))+1,"")</f>
        <v/>
      </c>
      <c r="C1421" s="6" t="str">
        <f t="shared" si="40"/>
        <v>Кромка 2,0 U732 ST9  (75 м бухта).</v>
      </c>
      <c r="D1421" s="67" t="s">
        <v>241</v>
      </c>
      <c r="E1421" s="67" t="s">
        <v>151</v>
      </c>
      <c r="F1421" s="67" t="s">
        <v>1160</v>
      </c>
      <c r="G1421" s="68">
        <v>15332</v>
      </c>
      <c r="H1421" s="67" t="s">
        <v>976</v>
      </c>
      <c r="I1421" s="200"/>
      <c r="J1421" s="67" t="s">
        <v>193</v>
      </c>
      <c r="K1421" s="67" t="s">
        <v>194</v>
      </c>
      <c r="L1421" s="67" t="s">
        <v>22</v>
      </c>
      <c r="M1421" s="67" t="s">
        <v>270</v>
      </c>
      <c r="N1421" s="67" t="s">
        <v>259</v>
      </c>
      <c r="O1421" s="67" t="s">
        <v>2116</v>
      </c>
      <c r="P1421" s="67" t="s">
        <v>19</v>
      </c>
      <c r="Q1421" s="192">
        <v>97.2</v>
      </c>
    </row>
    <row r="1422" spans="1:17" ht="11.1" hidden="1" customHeight="1" x14ac:dyDescent="0.2">
      <c r="A1422" s="3"/>
      <c r="B1422" s="3" t="str">
        <f ca="1">IF(A1422="В заказ",MAX($B$9:OFFSET(B1422,-1,0))+1,"")</f>
        <v/>
      </c>
      <c r="C1422" s="6" t="str">
        <f t="shared" si="40"/>
        <v>Кромка 2,0 U732 ST9  (75 м бухта).</v>
      </c>
      <c r="D1422" s="67" t="s">
        <v>241</v>
      </c>
      <c r="E1422" s="67" t="s">
        <v>151</v>
      </c>
      <c r="F1422" s="67" t="s">
        <v>1161</v>
      </c>
      <c r="G1422" s="68">
        <v>21485</v>
      </c>
      <c r="H1422" s="67" t="s">
        <v>976</v>
      </c>
      <c r="I1422" s="200"/>
      <c r="J1422" s="67" t="s">
        <v>193</v>
      </c>
      <c r="K1422" s="67" t="s">
        <v>194</v>
      </c>
      <c r="L1422" s="67" t="s">
        <v>22</v>
      </c>
      <c r="M1422" s="67" t="s">
        <v>282</v>
      </c>
      <c r="N1422" s="67" t="s">
        <v>259</v>
      </c>
      <c r="O1422" s="67" t="s">
        <v>2116</v>
      </c>
      <c r="P1422" s="67" t="s">
        <v>19</v>
      </c>
      <c r="Q1422" s="192">
        <v>150.9</v>
      </c>
    </row>
    <row r="1423" spans="1:17" ht="11.1" hidden="1" customHeight="1" x14ac:dyDescent="0.2">
      <c r="A1423" s="3"/>
      <c r="B1423" s="3" t="str">
        <f ca="1">IF(A1423="В заказ",MAX($B$9:OFFSET(B1423,-1,0))+1,"")</f>
        <v/>
      </c>
      <c r="C1423" s="6" t="str">
        <f t="shared" si="40"/>
        <v>Кромка 0,4 U741 ST9  (200 м бухта).</v>
      </c>
      <c r="D1423" s="67" t="s">
        <v>241</v>
      </c>
      <c r="E1423" s="67" t="s">
        <v>151</v>
      </c>
      <c r="F1423" s="67" t="s">
        <v>1162</v>
      </c>
      <c r="G1423" s="68">
        <v>12672</v>
      </c>
      <c r="H1423" s="67" t="s">
        <v>976</v>
      </c>
      <c r="I1423" s="200"/>
      <c r="J1423" s="67" t="s">
        <v>195</v>
      </c>
      <c r="K1423" s="67" t="s">
        <v>196</v>
      </c>
      <c r="L1423" s="67" t="s">
        <v>22</v>
      </c>
      <c r="M1423" s="67" t="s">
        <v>252</v>
      </c>
      <c r="N1423" s="67" t="s">
        <v>253</v>
      </c>
      <c r="O1423" s="67" t="s">
        <v>2117</v>
      </c>
      <c r="P1423" s="67" t="s">
        <v>19</v>
      </c>
      <c r="Q1423" s="71">
        <v>11</v>
      </c>
    </row>
    <row r="1424" spans="1:17" ht="11.1" hidden="1" customHeight="1" x14ac:dyDescent="0.2">
      <c r="A1424" s="3"/>
      <c r="B1424" s="3" t="str">
        <f ca="1">IF(A1424="В заказ",MAX($B$9:OFFSET(B1424,-1,0))+1,"")</f>
        <v/>
      </c>
      <c r="C1424" s="6" t="str">
        <f t="shared" si="40"/>
        <v>Кромка 0,8 U741 ST9  (75 м бухта).</v>
      </c>
      <c r="D1424" s="67" t="s">
        <v>241</v>
      </c>
      <c r="E1424" s="67" t="s">
        <v>151</v>
      </c>
      <c r="F1424" s="67" t="s">
        <v>1163</v>
      </c>
      <c r="G1424" s="68">
        <v>16179</v>
      </c>
      <c r="H1424" s="67" t="s">
        <v>976</v>
      </c>
      <c r="I1424" s="200"/>
      <c r="J1424" s="67" t="s">
        <v>195</v>
      </c>
      <c r="K1424" s="67" t="s">
        <v>196</v>
      </c>
      <c r="L1424" s="67" t="s">
        <v>22</v>
      </c>
      <c r="M1424" s="67" t="s">
        <v>252</v>
      </c>
      <c r="N1424" s="67" t="s">
        <v>10</v>
      </c>
      <c r="O1424" s="67" t="s">
        <v>2116</v>
      </c>
      <c r="P1424" s="67" t="s">
        <v>19</v>
      </c>
      <c r="Q1424" s="192">
        <v>25.7</v>
      </c>
    </row>
    <row r="1425" spans="1:17" ht="11.1" hidden="1" customHeight="1" x14ac:dyDescent="0.2">
      <c r="A1425" s="3"/>
      <c r="B1425" s="3" t="str">
        <f ca="1">IF(A1425="В заказ",MAX($B$9:OFFSET(B1425,-1,0))+1,"")</f>
        <v/>
      </c>
      <c r="C1425" s="6" t="str">
        <f t="shared" si="40"/>
        <v>Кромка 0,8 U741 ST9  (75 м бухта).</v>
      </c>
      <c r="D1425" s="67" t="s">
        <v>241</v>
      </c>
      <c r="E1425" s="67" t="s">
        <v>151</v>
      </c>
      <c r="F1425" s="67" t="s">
        <v>1164</v>
      </c>
      <c r="G1425" s="68">
        <v>22926</v>
      </c>
      <c r="H1425" s="67" t="s">
        <v>976</v>
      </c>
      <c r="I1425" s="200"/>
      <c r="J1425" s="67" t="s">
        <v>195</v>
      </c>
      <c r="K1425" s="67" t="s">
        <v>196</v>
      </c>
      <c r="L1425" s="67" t="s">
        <v>22</v>
      </c>
      <c r="M1425" s="67" t="s">
        <v>264</v>
      </c>
      <c r="N1425" s="67" t="s">
        <v>10</v>
      </c>
      <c r="O1425" s="67" t="s">
        <v>2116</v>
      </c>
      <c r="P1425" s="67" t="s">
        <v>19</v>
      </c>
      <c r="Q1425" s="192">
        <v>47.5</v>
      </c>
    </row>
    <row r="1426" spans="1:17" ht="11.1" hidden="1" customHeight="1" x14ac:dyDescent="0.2">
      <c r="A1426" s="3"/>
      <c r="B1426" s="3" t="str">
        <f ca="1">IF(A1426="В заказ",MAX($B$9:OFFSET(B1426,-1,0))+1,"")</f>
        <v/>
      </c>
      <c r="C1426" s="6" t="str">
        <f t="shared" si="40"/>
        <v>Кромка 2,0 U741 ST9  (75 м бухта).</v>
      </c>
      <c r="D1426" s="67" t="s">
        <v>241</v>
      </c>
      <c r="E1426" s="67" t="s">
        <v>151</v>
      </c>
      <c r="F1426" s="67" t="s">
        <v>1165</v>
      </c>
      <c r="G1426" s="68">
        <v>12673</v>
      </c>
      <c r="H1426" s="67" t="s">
        <v>976</v>
      </c>
      <c r="I1426" s="200"/>
      <c r="J1426" s="67" t="s">
        <v>195</v>
      </c>
      <c r="K1426" s="67" t="s">
        <v>196</v>
      </c>
      <c r="L1426" s="67" t="s">
        <v>22</v>
      </c>
      <c r="M1426" s="67" t="s">
        <v>252</v>
      </c>
      <c r="N1426" s="67" t="s">
        <v>259</v>
      </c>
      <c r="O1426" s="67" t="s">
        <v>2116</v>
      </c>
      <c r="P1426" s="67" t="s">
        <v>19</v>
      </c>
      <c r="Q1426" s="192">
        <v>48.1</v>
      </c>
    </row>
    <row r="1427" spans="1:17" ht="11.1" hidden="1" customHeight="1" x14ac:dyDescent="0.2">
      <c r="A1427" s="3"/>
      <c r="B1427" s="3" t="str">
        <f ca="1">IF(A1427="В заказ",MAX($B$9:OFFSET(B1427,-1,0))+1,"")</f>
        <v/>
      </c>
      <c r="C1427" s="6" t="str">
        <f t="shared" si="40"/>
        <v>Кромка 2,0 U741 ST9  (75 м бухта).</v>
      </c>
      <c r="D1427" s="67" t="s">
        <v>241</v>
      </c>
      <c r="E1427" s="67" t="s">
        <v>151</v>
      </c>
      <c r="F1427" s="67" t="s">
        <v>1166</v>
      </c>
      <c r="G1427" s="68">
        <v>16077</v>
      </c>
      <c r="H1427" s="67" t="s">
        <v>976</v>
      </c>
      <c r="I1427" s="200"/>
      <c r="J1427" s="67" t="s">
        <v>195</v>
      </c>
      <c r="K1427" s="67" t="s">
        <v>196</v>
      </c>
      <c r="L1427" s="67" t="s">
        <v>22</v>
      </c>
      <c r="M1427" s="67" t="s">
        <v>270</v>
      </c>
      <c r="N1427" s="67" t="s">
        <v>259</v>
      </c>
      <c r="O1427" s="67" t="s">
        <v>2116</v>
      </c>
      <c r="P1427" s="67" t="s">
        <v>19</v>
      </c>
      <c r="Q1427" s="192">
        <v>97.2</v>
      </c>
    </row>
    <row r="1428" spans="1:17" ht="11.1" hidden="1" customHeight="1" x14ac:dyDescent="0.2">
      <c r="A1428" s="3"/>
      <c r="B1428" s="3" t="str">
        <f ca="1">IF(A1428="В заказ",MAX($B$9:OFFSET(B1428,-1,0))+1,"")</f>
        <v/>
      </c>
      <c r="C1428" s="6" t="str">
        <f t="shared" si="40"/>
        <v>Кромка 0,4 U748 ST9  (200 м бухта).</v>
      </c>
      <c r="D1428" s="67" t="s">
        <v>241</v>
      </c>
      <c r="E1428" s="67" t="s">
        <v>151</v>
      </c>
      <c r="F1428" s="67" t="s">
        <v>1167</v>
      </c>
      <c r="G1428" s="68">
        <v>8751</v>
      </c>
      <c r="H1428" s="67" t="s">
        <v>976</v>
      </c>
      <c r="I1428" s="200"/>
      <c r="J1428" s="67" t="s">
        <v>197</v>
      </c>
      <c r="K1428" s="67" t="s">
        <v>198</v>
      </c>
      <c r="L1428" s="67" t="s">
        <v>22</v>
      </c>
      <c r="M1428" s="67" t="s">
        <v>252</v>
      </c>
      <c r="N1428" s="67" t="s">
        <v>253</v>
      </c>
      <c r="O1428" s="67" t="s">
        <v>2117</v>
      </c>
      <c r="P1428" s="67" t="s">
        <v>19</v>
      </c>
      <c r="Q1428" s="71">
        <v>11</v>
      </c>
    </row>
    <row r="1429" spans="1:17" ht="11.1" hidden="1" customHeight="1" x14ac:dyDescent="0.2">
      <c r="A1429" s="3"/>
      <c r="B1429" s="3" t="str">
        <f ca="1">IF(A1429="В заказ",MAX($B$9:OFFSET(B1429,-1,0))+1,"")</f>
        <v/>
      </c>
      <c r="C1429" s="6" t="str">
        <f t="shared" si="40"/>
        <v>Кромка 0,4 U748 ST9 (200 м бухта).</v>
      </c>
      <c r="D1429" s="67" t="s">
        <v>241</v>
      </c>
      <c r="E1429" s="67" t="s">
        <v>151</v>
      </c>
      <c r="F1429" s="67" t="s">
        <v>1168</v>
      </c>
      <c r="G1429" s="68">
        <v>23961</v>
      </c>
      <c r="H1429" s="67" t="s">
        <v>976</v>
      </c>
      <c r="I1429" s="200"/>
      <c r="J1429" s="67" t="s">
        <v>197</v>
      </c>
      <c r="K1429" s="67" t="s">
        <v>198</v>
      </c>
      <c r="L1429" s="67" t="s">
        <v>22</v>
      </c>
      <c r="M1429" s="67" t="s">
        <v>244</v>
      </c>
      <c r="N1429" s="67" t="s">
        <v>253</v>
      </c>
      <c r="O1429" s="67" t="s">
        <v>254</v>
      </c>
      <c r="P1429" s="67" t="s">
        <v>19</v>
      </c>
      <c r="Q1429" s="192">
        <v>13.2</v>
      </c>
    </row>
    <row r="1430" spans="1:17" ht="11.1" hidden="1" customHeight="1" x14ac:dyDescent="0.2">
      <c r="A1430" s="3"/>
      <c r="B1430" s="3" t="str">
        <f ca="1">IF(A1430="В заказ",MAX($B$9:OFFSET(B1430,-1,0))+1,"")</f>
        <v/>
      </c>
      <c r="C1430" s="6" t="str">
        <f t="shared" si="40"/>
        <v>Кромка 0,4 U748 ST9  (200 м бухта).</v>
      </c>
      <c r="D1430" s="67" t="s">
        <v>241</v>
      </c>
      <c r="E1430" s="67" t="s">
        <v>151</v>
      </c>
      <c r="F1430" s="67" t="s">
        <v>1169</v>
      </c>
      <c r="G1430" s="68">
        <v>12690</v>
      </c>
      <c r="H1430" s="67" t="s">
        <v>976</v>
      </c>
      <c r="I1430" s="200"/>
      <c r="J1430" s="67" t="s">
        <v>197</v>
      </c>
      <c r="K1430" s="67" t="s">
        <v>198</v>
      </c>
      <c r="L1430" s="67" t="s">
        <v>22</v>
      </c>
      <c r="M1430" s="67" t="s">
        <v>264</v>
      </c>
      <c r="N1430" s="67" t="s">
        <v>253</v>
      </c>
      <c r="O1430" s="67" t="s">
        <v>2117</v>
      </c>
      <c r="P1430" s="67" t="s">
        <v>19</v>
      </c>
      <c r="Q1430" s="192">
        <v>17.100000000000001</v>
      </c>
    </row>
    <row r="1431" spans="1:17" ht="11.1" hidden="1" customHeight="1" x14ac:dyDescent="0.2">
      <c r="A1431" s="3"/>
      <c r="B1431" s="3" t="str">
        <f ca="1">IF(A1431="В заказ",MAX($B$9:OFFSET(B1431,-1,0))+1,"")</f>
        <v/>
      </c>
      <c r="C1431" s="6" t="str">
        <f t="shared" si="40"/>
        <v>Кромка 0,8 U748 ST9  (75 м бухта).</v>
      </c>
      <c r="D1431" s="67" t="s">
        <v>241</v>
      </c>
      <c r="E1431" s="67" t="s">
        <v>151</v>
      </c>
      <c r="F1431" s="67" t="s">
        <v>1170</v>
      </c>
      <c r="G1431" s="68">
        <v>16721</v>
      </c>
      <c r="H1431" s="67" t="s">
        <v>976</v>
      </c>
      <c r="I1431" s="200"/>
      <c r="J1431" s="67" t="s">
        <v>197</v>
      </c>
      <c r="K1431" s="67" t="s">
        <v>198</v>
      </c>
      <c r="L1431" s="67" t="s">
        <v>22</v>
      </c>
      <c r="M1431" s="67" t="s">
        <v>252</v>
      </c>
      <c r="N1431" s="67" t="s">
        <v>10</v>
      </c>
      <c r="O1431" s="67" t="s">
        <v>2116</v>
      </c>
      <c r="P1431" s="67" t="s">
        <v>19</v>
      </c>
      <c r="Q1431" s="192">
        <v>25.7</v>
      </c>
    </row>
    <row r="1432" spans="1:17" ht="11.1" hidden="1" customHeight="1" x14ac:dyDescent="0.2">
      <c r="A1432" s="3"/>
      <c r="B1432" s="3" t="str">
        <f ca="1">IF(A1432="В заказ",MAX($B$9:OFFSET(B1432,-1,0))+1,"")</f>
        <v/>
      </c>
      <c r="C1432" s="6" t="str">
        <f t="shared" si="40"/>
        <v>Кромка 0,8 U748 ST9  (75 м бухта).</v>
      </c>
      <c r="D1432" s="67" t="s">
        <v>241</v>
      </c>
      <c r="E1432" s="67" t="s">
        <v>151</v>
      </c>
      <c r="F1432" s="67" t="s">
        <v>1171</v>
      </c>
      <c r="G1432" s="68">
        <v>9110</v>
      </c>
      <c r="H1432" s="67" t="s">
        <v>976</v>
      </c>
      <c r="I1432" s="200"/>
      <c r="J1432" s="67" t="s">
        <v>197</v>
      </c>
      <c r="K1432" s="67" t="s">
        <v>198</v>
      </c>
      <c r="L1432" s="67" t="s">
        <v>22</v>
      </c>
      <c r="M1432" s="67" t="s">
        <v>244</v>
      </c>
      <c r="N1432" s="67" t="s">
        <v>10</v>
      </c>
      <c r="O1432" s="67" t="s">
        <v>2116</v>
      </c>
      <c r="P1432" s="67" t="s">
        <v>19</v>
      </c>
      <c r="Q1432" s="71">
        <v>31</v>
      </c>
    </row>
    <row r="1433" spans="1:17" ht="11.1" hidden="1" customHeight="1" x14ac:dyDescent="0.2">
      <c r="A1433" s="3"/>
      <c r="B1433" s="3" t="str">
        <f ca="1">IF(A1433="В заказ",MAX($B$9:OFFSET(B1433,-1,0))+1,"")</f>
        <v/>
      </c>
      <c r="C1433" s="6" t="str">
        <f t="shared" si="40"/>
        <v>Кромка 0,8 U748 ST9  (75 м бухта).</v>
      </c>
      <c r="D1433" s="67" t="s">
        <v>241</v>
      </c>
      <c r="E1433" s="67" t="s">
        <v>151</v>
      </c>
      <c r="F1433" s="67" t="s">
        <v>1172</v>
      </c>
      <c r="G1433" s="68">
        <v>16766</v>
      </c>
      <c r="H1433" s="67" t="s">
        <v>976</v>
      </c>
      <c r="I1433" s="200"/>
      <c r="J1433" s="67" t="s">
        <v>197</v>
      </c>
      <c r="K1433" s="67" t="s">
        <v>198</v>
      </c>
      <c r="L1433" s="67" t="s">
        <v>22</v>
      </c>
      <c r="M1433" s="67" t="s">
        <v>264</v>
      </c>
      <c r="N1433" s="67" t="s">
        <v>10</v>
      </c>
      <c r="O1433" s="67" t="s">
        <v>2116</v>
      </c>
      <c r="P1433" s="67" t="s">
        <v>19</v>
      </c>
      <c r="Q1433" s="192">
        <v>47.5</v>
      </c>
    </row>
    <row r="1434" spans="1:17" ht="11.1" hidden="1" customHeight="1" x14ac:dyDescent="0.2">
      <c r="A1434" s="3"/>
      <c r="B1434" s="3" t="str">
        <f ca="1">IF(A1434="В заказ",MAX($B$9:OFFSET(B1434,-1,0))+1,"")</f>
        <v/>
      </c>
      <c r="C1434" s="6" t="str">
        <f t="shared" si="40"/>
        <v>Кромка 2,0 U748 ST9 (75 м бухта).</v>
      </c>
      <c r="D1434" s="67" t="s">
        <v>241</v>
      </c>
      <c r="E1434" s="67" t="s">
        <v>151</v>
      </c>
      <c r="F1434" s="67" t="s">
        <v>1173</v>
      </c>
      <c r="G1434" s="68">
        <v>8339</v>
      </c>
      <c r="H1434" s="67" t="s">
        <v>976</v>
      </c>
      <c r="I1434" s="200"/>
      <c r="J1434" s="67" t="s">
        <v>197</v>
      </c>
      <c r="K1434" s="67" t="s">
        <v>198</v>
      </c>
      <c r="L1434" s="67" t="s">
        <v>22</v>
      </c>
      <c r="M1434" s="67" t="s">
        <v>252</v>
      </c>
      <c r="N1434" s="67" t="s">
        <v>259</v>
      </c>
      <c r="O1434" s="67" t="s">
        <v>246</v>
      </c>
      <c r="P1434" s="67" t="s">
        <v>19</v>
      </c>
      <c r="Q1434" s="192">
        <v>48.1</v>
      </c>
    </row>
    <row r="1435" spans="1:17" ht="11.1" hidden="1" customHeight="1" x14ac:dyDescent="0.2">
      <c r="A1435" s="3"/>
      <c r="B1435" s="3" t="str">
        <f ca="1">IF(A1435="В заказ",MAX($B$9:OFFSET(B1435,-1,0))+1,"")</f>
        <v/>
      </c>
      <c r="C1435" s="6" t="str">
        <f t="shared" si="40"/>
        <v>Кромка 2,0 U748 ST9  (75 м бухта).</v>
      </c>
      <c r="D1435" s="67" t="s">
        <v>241</v>
      </c>
      <c r="E1435" s="67" t="s">
        <v>151</v>
      </c>
      <c r="F1435" s="67" t="s">
        <v>1174</v>
      </c>
      <c r="G1435" s="68">
        <v>9111</v>
      </c>
      <c r="H1435" s="67" t="s">
        <v>976</v>
      </c>
      <c r="I1435" s="200"/>
      <c r="J1435" s="67" t="s">
        <v>197</v>
      </c>
      <c r="K1435" s="67" t="s">
        <v>198</v>
      </c>
      <c r="L1435" s="67" t="s">
        <v>22</v>
      </c>
      <c r="M1435" s="67" t="s">
        <v>244</v>
      </c>
      <c r="N1435" s="67" t="s">
        <v>259</v>
      </c>
      <c r="O1435" s="67" t="s">
        <v>2116</v>
      </c>
      <c r="P1435" s="67" t="s">
        <v>19</v>
      </c>
      <c r="Q1435" s="192">
        <v>53.1</v>
      </c>
    </row>
    <row r="1436" spans="1:17" ht="11.1" hidden="1" customHeight="1" x14ac:dyDescent="0.2">
      <c r="A1436" s="3"/>
      <c r="B1436" s="3" t="str">
        <f ca="1">IF(A1436="В заказ",MAX($B$9:OFFSET(B1436,-1,0))+1,"")</f>
        <v/>
      </c>
      <c r="C1436" s="6" t="str">
        <f t="shared" si="40"/>
        <v>Кромка 2,0 U748 ST9  (75 м бухта).</v>
      </c>
      <c r="D1436" s="67" t="s">
        <v>241</v>
      </c>
      <c r="E1436" s="67" t="s">
        <v>151</v>
      </c>
      <c r="F1436" s="67" t="s">
        <v>1175</v>
      </c>
      <c r="G1436" s="68">
        <v>12689</v>
      </c>
      <c r="H1436" s="67" t="s">
        <v>976</v>
      </c>
      <c r="I1436" s="200"/>
      <c r="J1436" s="67" t="s">
        <v>197</v>
      </c>
      <c r="K1436" s="67" t="s">
        <v>198</v>
      </c>
      <c r="L1436" s="67" t="s">
        <v>22</v>
      </c>
      <c r="M1436" s="67" t="s">
        <v>264</v>
      </c>
      <c r="N1436" s="67" t="s">
        <v>259</v>
      </c>
      <c r="O1436" s="67" t="s">
        <v>2116</v>
      </c>
      <c r="P1436" s="67" t="s">
        <v>19</v>
      </c>
      <c r="Q1436" s="192">
        <v>72.400000000000006</v>
      </c>
    </row>
    <row r="1437" spans="1:17" ht="11.1" hidden="1" customHeight="1" x14ac:dyDescent="0.2">
      <c r="A1437" s="3"/>
      <c r="B1437" s="3" t="str">
        <f ca="1">IF(A1437="В заказ",MAX($B$9:OFFSET(B1437,-1,0))+1,"")</f>
        <v/>
      </c>
      <c r="C1437" s="6" t="str">
        <f t="shared" si="40"/>
        <v>Кромка 2,0 U748 ST9  (75 м бухта).</v>
      </c>
      <c r="D1437" s="67" t="s">
        <v>241</v>
      </c>
      <c r="E1437" s="67" t="s">
        <v>151</v>
      </c>
      <c r="F1437" s="67" t="s">
        <v>1176</v>
      </c>
      <c r="G1437" s="68">
        <v>13896</v>
      </c>
      <c r="H1437" s="67" t="s">
        <v>976</v>
      </c>
      <c r="I1437" s="200"/>
      <c r="J1437" s="67" t="s">
        <v>197</v>
      </c>
      <c r="K1437" s="67" t="s">
        <v>198</v>
      </c>
      <c r="L1437" s="67" t="s">
        <v>22</v>
      </c>
      <c r="M1437" s="67" t="s">
        <v>270</v>
      </c>
      <c r="N1437" s="67" t="s">
        <v>259</v>
      </c>
      <c r="O1437" s="67" t="s">
        <v>2116</v>
      </c>
      <c r="P1437" s="67" t="s">
        <v>19</v>
      </c>
      <c r="Q1437" s="192">
        <v>97.2</v>
      </c>
    </row>
    <row r="1438" spans="1:17" ht="11.1" hidden="1" customHeight="1" x14ac:dyDescent="0.2">
      <c r="A1438" s="3"/>
      <c r="B1438" s="3" t="str">
        <f ca="1">IF(A1438="В заказ",MAX($B$9:OFFSET(B1438,-1,0))+1,"")</f>
        <v/>
      </c>
      <c r="C1438" s="6" t="str">
        <f t="shared" si="40"/>
        <v>Кромка 0,4 U750 ST9  (200 м бухта).</v>
      </c>
      <c r="D1438" s="67" t="s">
        <v>241</v>
      </c>
      <c r="E1438" s="67" t="s">
        <v>151</v>
      </c>
      <c r="F1438" s="67" t="s">
        <v>1177</v>
      </c>
      <c r="G1438" s="68">
        <v>15865</v>
      </c>
      <c r="H1438" s="67" t="s">
        <v>976</v>
      </c>
      <c r="I1438" s="200"/>
      <c r="J1438" s="67" t="s">
        <v>199</v>
      </c>
      <c r="K1438" s="67" t="s">
        <v>200</v>
      </c>
      <c r="L1438" s="67" t="s">
        <v>22</v>
      </c>
      <c r="M1438" s="67" t="s">
        <v>252</v>
      </c>
      <c r="N1438" s="67" t="s">
        <v>253</v>
      </c>
      <c r="O1438" s="67" t="s">
        <v>2117</v>
      </c>
      <c r="P1438" s="67" t="s">
        <v>19</v>
      </c>
      <c r="Q1438" s="71">
        <v>11</v>
      </c>
    </row>
    <row r="1439" spans="1:17" ht="11.1" hidden="1" customHeight="1" x14ac:dyDescent="0.2">
      <c r="A1439" s="3"/>
      <c r="B1439" s="3" t="str">
        <f ca="1">IF(A1439="В заказ",MAX($B$9:OFFSET(B1439,-1,0))+1,"")</f>
        <v/>
      </c>
      <c r="C1439" s="6" t="str">
        <f t="shared" si="40"/>
        <v>Кромка 0,8 U750 ST9  (75 м бухта).</v>
      </c>
      <c r="D1439" s="67" t="s">
        <v>241</v>
      </c>
      <c r="E1439" s="67" t="s">
        <v>151</v>
      </c>
      <c r="F1439" s="67" t="s">
        <v>1178</v>
      </c>
      <c r="G1439" s="68">
        <v>13468</v>
      </c>
      <c r="H1439" s="67" t="s">
        <v>976</v>
      </c>
      <c r="I1439" s="200"/>
      <c r="J1439" s="67" t="s">
        <v>199</v>
      </c>
      <c r="K1439" s="67" t="s">
        <v>200</v>
      </c>
      <c r="L1439" s="67" t="s">
        <v>22</v>
      </c>
      <c r="M1439" s="67" t="s">
        <v>252</v>
      </c>
      <c r="N1439" s="67" t="s">
        <v>10</v>
      </c>
      <c r="O1439" s="67" t="s">
        <v>2116</v>
      </c>
      <c r="P1439" s="67" t="s">
        <v>19</v>
      </c>
      <c r="Q1439" s="192">
        <v>25.7</v>
      </c>
    </row>
    <row r="1440" spans="1:17" ht="11.1" hidden="1" customHeight="1" x14ac:dyDescent="0.2">
      <c r="A1440" s="3"/>
      <c r="B1440" s="3" t="str">
        <f ca="1">IF(A1440="В заказ",MAX($B$9:OFFSET(B1440,-1,0))+1,"")</f>
        <v/>
      </c>
      <c r="C1440" s="6" t="str">
        <f t="shared" si="40"/>
        <v>Кромка 2,0 U750 ST9 (75 м бухта).</v>
      </c>
      <c r="D1440" s="67" t="s">
        <v>241</v>
      </c>
      <c r="E1440" s="67" t="s">
        <v>151</v>
      </c>
      <c r="F1440" s="67" t="s">
        <v>1179</v>
      </c>
      <c r="G1440" s="68">
        <v>15190</v>
      </c>
      <c r="H1440" s="67" t="s">
        <v>976</v>
      </c>
      <c r="I1440" s="200"/>
      <c r="J1440" s="67" t="s">
        <v>199</v>
      </c>
      <c r="K1440" s="67" t="s">
        <v>200</v>
      </c>
      <c r="L1440" s="67" t="s">
        <v>22</v>
      </c>
      <c r="M1440" s="67" t="s">
        <v>252</v>
      </c>
      <c r="N1440" s="67" t="s">
        <v>259</v>
      </c>
      <c r="O1440" s="67" t="s">
        <v>246</v>
      </c>
      <c r="P1440" s="67" t="s">
        <v>19</v>
      </c>
      <c r="Q1440" s="192">
        <v>48.1</v>
      </c>
    </row>
    <row r="1441" spans="1:17" ht="11.1" hidden="1" customHeight="1" x14ac:dyDescent="0.2">
      <c r="A1441" s="3"/>
      <c r="B1441" s="3" t="str">
        <f ca="1">IF(A1441="В заказ",MAX($B$9:OFFSET(B1441,-1,0))+1,"")</f>
        <v/>
      </c>
      <c r="C1441" s="6" t="str">
        <f t="shared" si="40"/>
        <v>Кромка 2,0 U750 ST9  (75 м бухта).</v>
      </c>
      <c r="D1441" s="67" t="s">
        <v>241</v>
      </c>
      <c r="E1441" s="67" t="s">
        <v>151</v>
      </c>
      <c r="F1441" s="67" t="s">
        <v>1180</v>
      </c>
      <c r="G1441" s="68">
        <v>15393</v>
      </c>
      <c r="H1441" s="67" t="s">
        <v>976</v>
      </c>
      <c r="I1441" s="200"/>
      <c r="J1441" s="67" t="s">
        <v>199</v>
      </c>
      <c r="K1441" s="67" t="s">
        <v>200</v>
      </c>
      <c r="L1441" s="67" t="s">
        <v>22</v>
      </c>
      <c r="M1441" s="67" t="s">
        <v>270</v>
      </c>
      <c r="N1441" s="67" t="s">
        <v>259</v>
      </c>
      <c r="O1441" s="67" t="s">
        <v>2116</v>
      </c>
      <c r="P1441" s="67" t="s">
        <v>19</v>
      </c>
      <c r="Q1441" s="192">
        <v>97.2</v>
      </c>
    </row>
    <row r="1442" spans="1:17" ht="11.1" hidden="1" customHeight="1" x14ac:dyDescent="0.2">
      <c r="A1442" s="3"/>
      <c r="B1442" s="3" t="str">
        <f ca="1">IF(A1442="В заказ",MAX($B$9:OFFSET(B1442,-1,0))+1,"")</f>
        <v/>
      </c>
      <c r="C1442" s="6" t="str">
        <f t="shared" si="40"/>
        <v>Кромка 1,0 U763 PG  (75 м бухта).</v>
      </c>
      <c r="D1442" s="67" t="s">
        <v>241</v>
      </c>
      <c r="E1442" s="67" t="s">
        <v>151</v>
      </c>
      <c r="F1442" s="67" t="s">
        <v>1181</v>
      </c>
      <c r="G1442" s="68">
        <v>15046</v>
      </c>
      <c r="H1442" s="67" t="s">
        <v>243</v>
      </c>
      <c r="I1442" s="200"/>
      <c r="J1442" s="67" t="s">
        <v>201</v>
      </c>
      <c r="K1442" s="67" t="s">
        <v>202</v>
      </c>
      <c r="L1442" s="67" t="s">
        <v>18</v>
      </c>
      <c r="M1442" s="67" t="s">
        <v>244</v>
      </c>
      <c r="N1442" s="67" t="s">
        <v>245</v>
      </c>
      <c r="O1442" s="67" t="s">
        <v>2116</v>
      </c>
      <c r="P1442" s="67" t="s">
        <v>19</v>
      </c>
      <c r="Q1442" s="192">
        <v>73.8</v>
      </c>
    </row>
    <row r="1443" spans="1:17" ht="11.1" hidden="1" customHeight="1" x14ac:dyDescent="0.2">
      <c r="A1443" s="3"/>
      <c r="B1443" s="3" t="str">
        <f ca="1">IF(A1443="В заказ",MAX($B$9:OFFSET(B1443,-1,0))+1,"")</f>
        <v/>
      </c>
      <c r="C1443" s="6" t="str">
        <f t="shared" si="40"/>
        <v>Кромка 0,4 U763 ST9  (200 м бухта).</v>
      </c>
      <c r="D1443" s="67" t="s">
        <v>241</v>
      </c>
      <c r="E1443" s="67" t="s">
        <v>151</v>
      </c>
      <c r="F1443" s="67" t="s">
        <v>1182</v>
      </c>
      <c r="G1443" s="68">
        <v>14095</v>
      </c>
      <c r="H1443" s="67" t="s">
        <v>976</v>
      </c>
      <c r="I1443" s="200"/>
      <c r="J1443" s="67" t="s">
        <v>201</v>
      </c>
      <c r="K1443" s="67" t="s">
        <v>202</v>
      </c>
      <c r="L1443" s="67" t="s">
        <v>22</v>
      </c>
      <c r="M1443" s="67" t="s">
        <v>252</v>
      </c>
      <c r="N1443" s="67" t="s">
        <v>253</v>
      </c>
      <c r="O1443" s="67" t="s">
        <v>2117</v>
      </c>
      <c r="P1443" s="67" t="s">
        <v>19</v>
      </c>
      <c r="Q1443" s="71">
        <v>11</v>
      </c>
    </row>
    <row r="1444" spans="1:17" ht="11.1" hidden="1" customHeight="1" x14ac:dyDescent="0.2">
      <c r="A1444" s="3"/>
      <c r="B1444" s="3" t="str">
        <f ca="1">IF(A1444="В заказ",MAX($B$9:OFFSET(B1444,-1,0))+1,"")</f>
        <v/>
      </c>
      <c r="C1444" s="6" t="str">
        <f t="shared" si="40"/>
        <v>Кромка 0,4 U763 ST9  (200 м бухта).</v>
      </c>
      <c r="D1444" s="67" t="s">
        <v>241</v>
      </c>
      <c r="E1444" s="67" t="s">
        <v>151</v>
      </c>
      <c r="F1444" s="67" t="s">
        <v>1183</v>
      </c>
      <c r="G1444" s="68">
        <v>24815</v>
      </c>
      <c r="H1444" s="67" t="s">
        <v>976</v>
      </c>
      <c r="I1444" s="200"/>
      <c r="J1444" s="67" t="s">
        <v>201</v>
      </c>
      <c r="K1444" s="67" t="s">
        <v>202</v>
      </c>
      <c r="L1444" s="67" t="s">
        <v>22</v>
      </c>
      <c r="M1444" s="67" t="s">
        <v>244</v>
      </c>
      <c r="N1444" s="67" t="s">
        <v>253</v>
      </c>
      <c r="O1444" s="67" t="s">
        <v>2117</v>
      </c>
      <c r="P1444" s="67" t="s">
        <v>19</v>
      </c>
      <c r="Q1444" s="192">
        <v>13.2</v>
      </c>
    </row>
    <row r="1445" spans="1:17" ht="11.1" hidden="1" customHeight="1" x14ac:dyDescent="0.2">
      <c r="A1445" s="3"/>
      <c r="B1445" s="3" t="str">
        <f ca="1">IF(A1445="В заказ",MAX($B$9:OFFSET(B1445,-1,0))+1,"")</f>
        <v/>
      </c>
      <c r="C1445" s="6" t="str">
        <f t="shared" si="40"/>
        <v>Кромка 0,4 U763 ST9  (200 м бухта).</v>
      </c>
      <c r="D1445" s="67" t="s">
        <v>241</v>
      </c>
      <c r="E1445" s="67" t="s">
        <v>151</v>
      </c>
      <c r="F1445" s="67" t="s">
        <v>1184</v>
      </c>
      <c r="G1445" s="68">
        <v>19242</v>
      </c>
      <c r="H1445" s="67" t="s">
        <v>976</v>
      </c>
      <c r="I1445" s="200"/>
      <c r="J1445" s="67" t="s">
        <v>201</v>
      </c>
      <c r="K1445" s="67" t="s">
        <v>202</v>
      </c>
      <c r="L1445" s="67" t="s">
        <v>22</v>
      </c>
      <c r="M1445" s="67" t="s">
        <v>264</v>
      </c>
      <c r="N1445" s="67" t="s">
        <v>253</v>
      </c>
      <c r="O1445" s="67" t="s">
        <v>2117</v>
      </c>
      <c r="P1445" s="67" t="s">
        <v>19</v>
      </c>
      <c r="Q1445" s="192">
        <v>17.100000000000001</v>
      </c>
    </row>
    <row r="1446" spans="1:17" ht="11.1" hidden="1" customHeight="1" x14ac:dyDescent="0.2">
      <c r="A1446" s="3"/>
      <c r="B1446" s="3" t="str">
        <f ca="1">IF(A1446="В заказ",MAX($B$9:OFFSET(B1446,-1,0))+1,"")</f>
        <v/>
      </c>
      <c r="C1446" s="6" t="str">
        <f t="shared" si="40"/>
        <v>Кромка 0,8 U763 ST9  (75 м бухта).</v>
      </c>
      <c r="D1446" s="67" t="s">
        <v>241</v>
      </c>
      <c r="E1446" s="67" t="s">
        <v>151</v>
      </c>
      <c r="F1446" s="67" t="s">
        <v>1185</v>
      </c>
      <c r="G1446" s="68">
        <v>14790</v>
      </c>
      <c r="H1446" s="67" t="s">
        <v>976</v>
      </c>
      <c r="I1446" s="200"/>
      <c r="J1446" s="67" t="s">
        <v>201</v>
      </c>
      <c r="K1446" s="67" t="s">
        <v>202</v>
      </c>
      <c r="L1446" s="67" t="s">
        <v>22</v>
      </c>
      <c r="M1446" s="67" t="s">
        <v>252</v>
      </c>
      <c r="N1446" s="67" t="s">
        <v>10</v>
      </c>
      <c r="O1446" s="67" t="s">
        <v>2116</v>
      </c>
      <c r="P1446" s="67" t="s">
        <v>19</v>
      </c>
      <c r="Q1446" s="192">
        <v>25.7</v>
      </c>
    </row>
    <row r="1447" spans="1:17" ht="11.1" hidden="1" customHeight="1" x14ac:dyDescent="0.2">
      <c r="A1447" s="3"/>
      <c r="B1447" s="3" t="str">
        <f ca="1">IF(A1447="В заказ",MAX($B$9:OFFSET(B1447,-1,0))+1,"")</f>
        <v/>
      </c>
      <c r="C1447" s="6" t="str">
        <f t="shared" si="40"/>
        <v>Кромка 0,8 U763 ST9  (75 м бухта).</v>
      </c>
      <c r="D1447" s="67" t="s">
        <v>241</v>
      </c>
      <c r="E1447" s="67" t="s">
        <v>151</v>
      </c>
      <c r="F1447" s="67" t="s">
        <v>1186</v>
      </c>
      <c r="G1447" s="68">
        <v>21178</v>
      </c>
      <c r="H1447" s="67" t="s">
        <v>976</v>
      </c>
      <c r="I1447" s="200"/>
      <c r="J1447" s="67" t="s">
        <v>201</v>
      </c>
      <c r="K1447" s="67" t="s">
        <v>202</v>
      </c>
      <c r="L1447" s="67" t="s">
        <v>22</v>
      </c>
      <c r="M1447" s="67" t="s">
        <v>244</v>
      </c>
      <c r="N1447" s="67" t="s">
        <v>10</v>
      </c>
      <c r="O1447" s="67" t="s">
        <v>2116</v>
      </c>
      <c r="P1447" s="67" t="s">
        <v>19</v>
      </c>
      <c r="Q1447" s="71">
        <v>31</v>
      </c>
    </row>
    <row r="1448" spans="1:17" ht="11.1" hidden="1" customHeight="1" x14ac:dyDescent="0.2">
      <c r="A1448" s="3"/>
      <c r="B1448" s="3" t="str">
        <f ca="1">IF(A1448="В заказ",MAX($B$9:OFFSET(B1448,-1,0))+1,"")</f>
        <v/>
      </c>
      <c r="C1448" s="6" t="str">
        <f t="shared" si="40"/>
        <v>Кромка 2,0 U763 ST9  (75 м бухта).</v>
      </c>
      <c r="D1448" s="67" t="s">
        <v>241</v>
      </c>
      <c r="E1448" s="67" t="s">
        <v>151</v>
      </c>
      <c r="F1448" s="67" t="s">
        <v>1187</v>
      </c>
      <c r="G1448" s="68">
        <v>14419</v>
      </c>
      <c r="H1448" s="67" t="s">
        <v>976</v>
      </c>
      <c r="I1448" s="200"/>
      <c r="J1448" s="67" t="s">
        <v>201</v>
      </c>
      <c r="K1448" s="67" t="s">
        <v>202</v>
      </c>
      <c r="L1448" s="67" t="s">
        <v>22</v>
      </c>
      <c r="M1448" s="67" t="s">
        <v>252</v>
      </c>
      <c r="N1448" s="67" t="s">
        <v>259</v>
      </c>
      <c r="O1448" s="67" t="s">
        <v>2116</v>
      </c>
      <c r="P1448" s="67" t="s">
        <v>19</v>
      </c>
      <c r="Q1448" s="192">
        <v>48.1</v>
      </c>
    </row>
    <row r="1449" spans="1:17" ht="11.1" hidden="1" customHeight="1" x14ac:dyDescent="0.2">
      <c r="A1449" s="3"/>
      <c r="B1449" s="3" t="str">
        <f ca="1">IF(A1449="В заказ",MAX($B$9:OFFSET(B1449,-1,0))+1,"")</f>
        <v/>
      </c>
      <c r="C1449" s="6" t="str">
        <f t="shared" si="40"/>
        <v>Кромка 2,0 U763 ST9  (75 м бухта).</v>
      </c>
      <c r="D1449" s="67" t="s">
        <v>241</v>
      </c>
      <c r="E1449" s="67" t="s">
        <v>151</v>
      </c>
      <c r="F1449" s="67" t="s">
        <v>1188</v>
      </c>
      <c r="G1449" s="68">
        <v>18355</v>
      </c>
      <c r="H1449" s="67" t="s">
        <v>976</v>
      </c>
      <c r="I1449" s="200"/>
      <c r="J1449" s="67" t="s">
        <v>201</v>
      </c>
      <c r="K1449" s="67" t="s">
        <v>202</v>
      </c>
      <c r="L1449" s="67" t="s">
        <v>22</v>
      </c>
      <c r="M1449" s="67" t="s">
        <v>244</v>
      </c>
      <c r="N1449" s="67" t="s">
        <v>259</v>
      </c>
      <c r="O1449" s="67" t="s">
        <v>2116</v>
      </c>
      <c r="P1449" s="67" t="s">
        <v>19</v>
      </c>
      <c r="Q1449" s="192">
        <v>53.1</v>
      </c>
    </row>
    <row r="1450" spans="1:17" ht="11.1" hidden="1" customHeight="1" x14ac:dyDescent="0.2">
      <c r="A1450" s="3"/>
      <c r="B1450" s="3" t="str">
        <f ca="1">IF(A1450="В заказ",MAX($B$9:OFFSET(B1450,-1,0))+1,"")</f>
        <v/>
      </c>
      <c r="C1450" s="6" t="str">
        <f t="shared" si="40"/>
        <v>Кромка 2,0 U763 ST9  (75 м бухта).</v>
      </c>
      <c r="D1450" s="67" t="s">
        <v>241</v>
      </c>
      <c r="E1450" s="67" t="s">
        <v>151</v>
      </c>
      <c r="F1450" s="67" t="s">
        <v>1189</v>
      </c>
      <c r="G1450" s="68">
        <v>17679</v>
      </c>
      <c r="H1450" s="67" t="s">
        <v>976</v>
      </c>
      <c r="I1450" s="200"/>
      <c r="J1450" s="67" t="s">
        <v>201</v>
      </c>
      <c r="K1450" s="67" t="s">
        <v>202</v>
      </c>
      <c r="L1450" s="67" t="s">
        <v>22</v>
      </c>
      <c r="M1450" s="67" t="s">
        <v>264</v>
      </c>
      <c r="N1450" s="67" t="s">
        <v>259</v>
      </c>
      <c r="O1450" s="67" t="s">
        <v>2116</v>
      </c>
      <c r="P1450" s="67" t="s">
        <v>19</v>
      </c>
      <c r="Q1450" s="192">
        <v>72.400000000000006</v>
      </c>
    </row>
    <row r="1451" spans="1:17" ht="11.1" hidden="1" customHeight="1" x14ac:dyDescent="0.2">
      <c r="A1451" s="3"/>
      <c r="B1451" s="3" t="str">
        <f ca="1">IF(A1451="В заказ",MAX($B$9:OFFSET(B1451,-1,0))+1,"")</f>
        <v/>
      </c>
      <c r="C1451" s="6" t="str">
        <f t="shared" si="40"/>
        <v>Кромка 2,0 U763 ST9  (75 м бухта).</v>
      </c>
      <c r="D1451" s="67" t="s">
        <v>241</v>
      </c>
      <c r="E1451" s="67" t="s">
        <v>151</v>
      </c>
      <c r="F1451" s="67" t="s">
        <v>1190</v>
      </c>
      <c r="G1451" s="68">
        <v>15421</v>
      </c>
      <c r="H1451" s="67" t="s">
        <v>976</v>
      </c>
      <c r="I1451" s="200"/>
      <c r="J1451" s="67" t="s">
        <v>201</v>
      </c>
      <c r="K1451" s="67" t="s">
        <v>202</v>
      </c>
      <c r="L1451" s="67" t="s">
        <v>22</v>
      </c>
      <c r="M1451" s="67" t="s">
        <v>270</v>
      </c>
      <c r="N1451" s="67" t="s">
        <v>259</v>
      </c>
      <c r="O1451" s="67" t="s">
        <v>2116</v>
      </c>
      <c r="P1451" s="67" t="s">
        <v>19</v>
      </c>
      <c r="Q1451" s="192">
        <v>97.2</v>
      </c>
    </row>
    <row r="1452" spans="1:17" ht="11.1" hidden="1" customHeight="1" x14ac:dyDescent="0.2">
      <c r="A1452" s="3"/>
      <c r="B1452" s="3" t="str">
        <f ca="1">IF(A1452="В заказ",MAX($B$9:OFFSET(B1452,-1,0))+1,"")</f>
        <v/>
      </c>
      <c r="C1452" s="6" t="str">
        <f t="shared" si="40"/>
        <v>Кромка 0,4 U767 ST9  (200 м бухта).</v>
      </c>
      <c r="D1452" s="67" t="s">
        <v>241</v>
      </c>
      <c r="E1452" s="67" t="s">
        <v>151</v>
      </c>
      <c r="F1452" s="67" t="s">
        <v>1191</v>
      </c>
      <c r="G1452" s="68">
        <v>15547</v>
      </c>
      <c r="H1452" s="67" t="s">
        <v>976</v>
      </c>
      <c r="I1452" s="200"/>
      <c r="J1452" s="67" t="s">
        <v>203</v>
      </c>
      <c r="K1452" s="67" t="s">
        <v>204</v>
      </c>
      <c r="L1452" s="67" t="s">
        <v>22</v>
      </c>
      <c r="M1452" s="67" t="s">
        <v>252</v>
      </c>
      <c r="N1452" s="67" t="s">
        <v>253</v>
      </c>
      <c r="O1452" s="67" t="s">
        <v>2117</v>
      </c>
      <c r="P1452" s="67" t="s">
        <v>19</v>
      </c>
      <c r="Q1452" s="71">
        <v>11</v>
      </c>
    </row>
    <row r="1453" spans="1:17" ht="11.1" hidden="1" customHeight="1" x14ac:dyDescent="0.2">
      <c r="A1453" s="3"/>
      <c r="B1453" s="3" t="str">
        <f ca="1">IF(A1453="В заказ",MAX($B$9:OFFSET(B1453,-1,0))+1,"")</f>
        <v/>
      </c>
      <c r="C1453" s="6" t="str">
        <f t="shared" si="40"/>
        <v>Кромка 0,8 U767 ST9  (75 м бухта).</v>
      </c>
      <c r="D1453" s="67" t="s">
        <v>241</v>
      </c>
      <c r="E1453" s="67" t="s">
        <v>151</v>
      </c>
      <c r="F1453" s="67" t="s">
        <v>1192</v>
      </c>
      <c r="G1453" s="68">
        <v>16767</v>
      </c>
      <c r="H1453" s="67" t="s">
        <v>976</v>
      </c>
      <c r="I1453" s="200"/>
      <c r="J1453" s="67" t="s">
        <v>203</v>
      </c>
      <c r="K1453" s="67" t="s">
        <v>204</v>
      </c>
      <c r="L1453" s="67" t="s">
        <v>22</v>
      </c>
      <c r="M1453" s="67" t="s">
        <v>252</v>
      </c>
      <c r="N1453" s="67" t="s">
        <v>10</v>
      </c>
      <c r="O1453" s="67" t="s">
        <v>2116</v>
      </c>
      <c r="P1453" s="67" t="s">
        <v>19</v>
      </c>
      <c r="Q1453" s="192">
        <v>25.7</v>
      </c>
    </row>
    <row r="1454" spans="1:17" ht="11.1" hidden="1" customHeight="1" x14ac:dyDescent="0.2">
      <c r="A1454" s="3"/>
      <c r="B1454" s="3" t="str">
        <f ca="1">IF(A1454="В заказ",MAX($B$9:OFFSET(B1454,-1,0))+1,"")</f>
        <v/>
      </c>
      <c r="C1454" s="6" t="str">
        <f t="shared" si="40"/>
        <v>Кромка 2,0 U767 ST9  (75 м бухта).</v>
      </c>
      <c r="D1454" s="67" t="s">
        <v>241</v>
      </c>
      <c r="E1454" s="67" t="s">
        <v>151</v>
      </c>
      <c r="F1454" s="67" t="s">
        <v>1193</v>
      </c>
      <c r="G1454" s="68">
        <v>15548</v>
      </c>
      <c r="H1454" s="67" t="s">
        <v>976</v>
      </c>
      <c r="I1454" s="200"/>
      <c r="J1454" s="67" t="s">
        <v>203</v>
      </c>
      <c r="K1454" s="67" t="s">
        <v>204</v>
      </c>
      <c r="L1454" s="67" t="s">
        <v>22</v>
      </c>
      <c r="M1454" s="67" t="s">
        <v>252</v>
      </c>
      <c r="N1454" s="67" t="s">
        <v>259</v>
      </c>
      <c r="O1454" s="67" t="s">
        <v>2116</v>
      </c>
      <c r="P1454" s="67" t="s">
        <v>19</v>
      </c>
      <c r="Q1454" s="192">
        <v>48.1</v>
      </c>
    </row>
    <row r="1455" spans="1:17" ht="11.1" hidden="1" customHeight="1" x14ac:dyDescent="0.2">
      <c r="A1455" s="3"/>
      <c r="B1455" s="3" t="str">
        <f ca="1">IF(A1455="В заказ",MAX($B$9:OFFSET(B1455,-1,0))+1,"")</f>
        <v/>
      </c>
      <c r="C1455" s="6" t="str">
        <f t="shared" si="40"/>
        <v>Кромка 2,0 U767 ST9  (75 м бухта).</v>
      </c>
      <c r="D1455" s="67" t="s">
        <v>241</v>
      </c>
      <c r="E1455" s="67" t="s">
        <v>151</v>
      </c>
      <c r="F1455" s="67" t="s">
        <v>1194</v>
      </c>
      <c r="G1455" s="68">
        <v>15549</v>
      </c>
      <c r="H1455" s="67" t="s">
        <v>976</v>
      </c>
      <c r="I1455" s="200"/>
      <c r="J1455" s="67" t="s">
        <v>203</v>
      </c>
      <c r="K1455" s="67" t="s">
        <v>204</v>
      </c>
      <c r="L1455" s="67" t="s">
        <v>22</v>
      </c>
      <c r="M1455" s="67" t="s">
        <v>270</v>
      </c>
      <c r="N1455" s="67" t="s">
        <v>259</v>
      </c>
      <c r="O1455" s="67" t="s">
        <v>2116</v>
      </c>
      <c r="P1455" s="67" t="s">
        <v>19</v>
      </c>
      <c r="Q1455" s="192">
        <v>97.2</v>
      </c>
    </row>
    <row r="1456" spans="1:17" ht="11.1" hidden="1" customHeight="1" x14ac:dyDescent="0.2">
      <c r="A1456" s="3"/>
      <c r="B1456" s="3" t="str">
        <f ca="1">IF(A1456="В заказ",MAX($B$9:OFFSET(B1456,-1,0))+1,"")</f>
        <v/>
      </c>
      <c r="C1456" s="6" t="str">
        <f t="shared" si="40"/>
        <v>Кромка 0,4 U775 ST9  (200 м бухта).</v>
      </c>
      <c r="D1456" s="67" t="s">
        <v>241</v>
      </c>
      <c r="E1456" s="67" t="s">
        <v>151</v>
      </c>
      <c r="F1456" s="67" t="s">
        <v>1195</v>
      </c>
      <c r="G1456" s="68">
        <v>14490</v>
      </c>
      <c r="H1456" s="67" t="s">
        <v>976</v>
      </c>
      <c r="I1456" s="200"/>
      <c r="J1456" s="67" t="s">
        <v>205</v>
      </c>
      <c r="K1456" s="67" t="s">
        <v>206</v>
      </c>
      <c r="L1456" s="67" t="s">
        <v>22</v>
      </c>
      <c r="M1456" s="67" t="s">
        <v>252</v>
      </c>
      <c r="N1456" s="67" t="s">
        <v>253</v>
      </c>
      <c r="O1456" s="67" t="s">
        <v>2117</v>
      </c>
      <c r="P1456" s="67" t="s">
        <v>19</v>
      </c>
      <c r="Q1456" s="71">
        <v>11</v>
      </c>
    </row>
    <row r="1457" spans="1:17" ht="11.1" hidden="1" customHeight="1" x14ac:dyDescent="0.2">
      <c r="A1457" s="3"/>
      <c r="B1457" s="3" t="str">
        <f ca="1">IF(A1457="В заказ",MAX($B$9:OFFSET(B1457,-1,0))+1,"")</f>
        <v/>
      </c>
      <c r="C1457" s="6" t="str">
        <f t="shared" si="40"/>
        <v>Кромка 0,8 U775 ST9  (75 м бухта).</v>
      </c>
      <c r="D1457" s="67" t="s">
        <v>241</v>
      </c>
      <c r="E1457" s="67" t="s">
        <v>151</v>
      </c>
      <c r="F1457" s="67" t="s">
        <v>1196</v>
      </c>
      <c r="G1457" s="68">
        <v>14789</v>
      </c>
      <c r="H1457" s="67" t="s">
        <v>976</v>
      </c>
      <c r="I1457" s="200"/>
      <c r="J1457" s="67" t="s">
        <v>205</v>
      </c>
      <c r="K1457" s="67" t="s">
        <v>206</v>
      </c>
      <c r="L1457" s="67" t="s">
        <v>22</v>
      </c>
      <c r="M1457" s="67" t="s">
        <v>252</v>
      </c>
      <c r="N1457" s="67" t="s">
        <v>10</v>
      </c>
      <c r="O1457" s="67" t="s">
        <v>2116</v>
      </c>
      <c r="P1457" s="67" t="s">
        <v>19</v>
      </c>
      <c r="Q1457" s="192">
        <v>25.7</v>
      </c>
    </row>
    <row r="1458" spans="1:17" ht="11.1" hidden="1" customHeight="1" x14ac:dyDescent="0.2">
      <c r="A1458" s="3"/>
      <c r="B1458" s="3" t="str">
        <f ca="1">IF(A1458="В заказ",MAX($B$9:OFFSET(B1458,-1,0))+1,"")</f>
        <v/>
      </c>
      <c r="C1458" s="6" t="str">
        <f t="shared" si="40"/>
        <v>Кромка 2,0 U775 ST9  (75 м бухта).</v>
      </c>
      <c r="D1458" s="67" t="s">
        <v>241</v>
      </c>
      <c r="E1458" s="67" t="s">
        <v>151</v>
      </c>
      <c r="F1458" s="67" t="s">
        <v>1197</v>
      </c>
      <c r="G1458" s="68">
        <v>14491</v>
      </c>
      <c r="H1458" s="67" t="s">
        <v>976</v>
      </c>
      <c r="I1458" s="200"/>
      <c r="J1458" s="67" t="s">
        <v>205</v>
      </c>
      <c r="K1458" s="67" t="s">
        <v>206</v>
      </c>
      <c r="L1458" s="67" t="s">
        <v>22</v>
      </c>
      <c r="M1458" s="67" t="s">
        <v>252</v>
      </c>
      <c r="N1458" s="67" t="s">
        <v>259</v>
      </c>
      <c r="O1458" s="67" t="s">
        <v>2116</v>
      </c>
      <c r="P1458" s="67" t="s">
        <v>19</v>
      </c>
      <c r="Q1458" s="192">
        <v>48.1</v>
      </c>
    </row>
    <row r="1459" spans="1:17" ht="11.1" hidden="1" customHeight="1" x14ac:dyDescent="0.2">
      <c r="A1459" s="3"/>
      <c r="B1459" s="3" t="str">
        <f ca="1">IF(A1459="В заказ",MAX($B$9:OFFSET(B1459,-1,0))+1,"")</f>
        <v/>
      </c>
      <c r="C1459" s="6" t="str">
        <f t="shared" si="40"/>
        <v>Кромка 2,0 U775 ST9  (75 м бухта).</v>
      </c>
      <c r="D1459" s="67" t="s">
        <v>241</v>
      </c>
      <c r="E1459" s="67" t="s">
        <v>151</v>
      </c>
      <c r="F1459" s="67" t="s">
        <v>1198</v>
      </c>
      <c r="G1459" s="68">
        <v>16514</v>
      </c>
      <c r="H1459" s="67" t="s">
        <v>976</v>
      </c>
      <c r="I1459" s="200"/>
      <c r="J1459" s="67" t="s">
        <v>205</v>
      </c>
      <c r="K1459" s="67" t="s">
        <v>206</v>
      </c>
      <c r="L1459" s="67" t="s">
        <v>22</v>
      </c>
      <c r="M1459" s="67" t="s">
        <v>270</v>
      </c>
      <c r="N1459" s="67" t="s">
        <v>259</v>
      </c>
      <c r="O1459" s="67" t="s">
        <v>2116</v>
      </c>
      <c r="P1459" s="67" t="s">
        <v>19</v>
      </c>
      <c r="Q1459" s="192">
        <v>97.2</v>
      </c>
    </row>
    <row r="1460" spans="1:17" ht="11.1" hidden="1" customHeight="1" x14ac:dyDescent="0.2">
      <c r="A1460" s="3"/>
      <c r="B1460" s="3" t="str">
        <f ca="1">IF(A1460="В заказ",MAX($B$9:OFFSET(B1460,-1,0))+1,"")</f>
        <v/>
      </c>
      <c r="C1460" s="6" t="str">
        <f t="shared" si="40"/>
        <v>Кромка 0,4 U780 ST9  (200 м бухта).</v>
      </c>
      <c r="D1460" s="67" t="s">
        <v>241</v>
      </c>
      <c r="E1460" s="67" t="s">
        <v>151</v>
      </c>
      <c r="F1460" s="67" t="s">
        <v>1199</v>
      </c>
      <c r="G1460" s="68">
        <v>21601</v>
      </c>
      <c r="H1460" s="67" t="s">
        <v>976</v>
      </c>
      <c r="I1460" s="200"/>
      <c r="J1460" s="67" t="s">
        <v>1200</v>
      </c>
      <c r="K1460" s="67" t="s">
        <v>1201</v>
      </c>
      <c r="L1460" s="67" t="s">
        <v>22</v>
      </c>
      <c r="M1460" s="67" t="s">
        <v>252</v>
      </c>
      <c r="N1460" s="67" t="s">
        <v>253</v>
      </c>
      <c r="O1460" s="67" t="s">
        <v>2117</v>
      </c>
      <c r="P1460" s="67" t="s">
        <v>19</v>
      </c>
      <c r="Q1460" s="71">
        <v>11</v>
      </c>
    </row>
    <row r="1461" spans="1:17" ht="11.1" hidden="1" customHeight="1" x14ac:dyDescent="0.2">
      <c r="A1461" s="3"/>
      <c r="B1461" s="3" t="str">
        <f ca="1">IF(A1461="В заказ",MAX($B$9:OFFSET(B1461,-1,0))+1,"")</f>
        <v/>
      </c>
      <c r="C1461" s="6" t="str">
        <f t="shared" si="40"/>
        <v>Кромка 0,8 U780 ST9  (75 м бухта).</v>
      </c>
      <c r="D1461" s="67" t="s">
        <v>241</v>
      </c>
      <c r="E1461" s="67" t="s">
        <v>151</v>
      </c>
      <c r="F1461" s="67" t="s">
        <v>1202</v>
      </c>
      <c r="G1461" s="68">
        <v>21602</v>
      </c>
      <c r="H1461" s="67" t="s">
        <v>976</v>
      </c>
      <c r="I1461" s="200"/>
      <c r="J1461" s="67" t="s">
        <v>1200</v>
      </c>
      <c r="K1461" s="67" t="s">
        <v>1201</v>
      </c>
      <c r="L1461" s="67" t="s">
        <v>22</v>
      </c>
      <c r="M1461" s="67" t="s">
        <v>252</v>
      </c>
      <c r="N1461" s="67" t="s">
        <v>10</v>
      </c>
      <c r="O1461" s="67" t="s">
        <v>2116</v>
      </c>
      <c r="P1461" s="67" t="s">
        <v>19</v>
      </c>
      <c r="Q1461" s="192">
        <v>25.7</v>
      </c>
    </row>
    <row r="1462" spans="1:17" ht="11.1" hidden="1" customHeight="1" x14ac:dyDescent="0.2">
      <c r="A1462" s="3"/>
      <c r="B1462" s="3" t="str">
        <f ca="1">IF(A1462="В заказ",MAX($B$9:OFFSET(B1462,-1,0))+1,"")</f>
        <v/>
      </c>
      <c r="C1462" s="6" t="str">
        <f t="shared" ref="C1462:C1525" si="41">D1462&amp;" "&amp;N1462&amp;" "&amp;IF(OR(D1462="ДСП",D1462="МДФ",D1462="Фанера",D1462="ХДФ"),M1462,J1462)&amp;" "&amp;IF(OR(D1462="ДСП",D1462="МДФ",D1462="Фанера",D1462="ХДФ"),O1462,L1462)&amp;" "&amp;IF(OR(D1462="ДСП",D1462="МДФ",D1462="Фанера",D1462="ХДФ"),"",IF(D1462="БСП",M1462,O1462))&amp;"."</f>
        <v>Кромка 2,0 U780 ST9  (75 м бухта).</v>
      </c>
      <c r="D1462" s="67" t="s">
        <v>241</v>
      </c>
      <c r="E1462" s="67" t="s">
        <v>151</v>
      </c>
      <c r="F1462" s="67" t="s">
        <v>1203</v>
      </c>
      <c r="G1462" s="68">
        <v>21603</v>
      </c>
      <c r="H1462" s="67" t="s">
        <v>976</v>
      </c>
      <c r="I1462" s="200"/>
      <c r="J1462" s="67" t="s">
        <v>1200</v>
      </c>
      <c r="K1462" s="67" t="s">
        <v>1201</v>
      </c>
      <c r="L1462" s="67" t="s">
        <v>22</v>
      </c>
      <c r="M1462" s="67" t="s">
        <v>252</v>
      </c>
      <c r="N1462" s="67" t="s">
        <v>259</v>
      </c>
      <c r="O1462" s="67" t="s">
        <v>2116</v>
      </c>
      <c r="P1462" s="67" t="s">
        <v>19</v>
      </c>
      <c r="Q1462" s="192">
        <v>48.1</v>
      </c>
    </row>
    <row r="1463" spans="1:17" ht="11.1" hidden="1" customHeight="1" x14ac:dyDescent="0.2">
      <c r="A1463" s="3"/>
      <c r="B1463" s="3" t="str">
        <f ca="1">IF(A1463="В заказ",MAX($B$9:OFFSET(B1463,-1,0))+1,"")</f>
        <v/>
      </c>
      <c r="C1463" s="6" t="str">
        <f t="shared" si="41"/>
        <v>Кромка 0,4 U788 ST16  (200 м бухта).</v>
      </c>
      <c r="D1463" s="67" t="s">
        <v>241</v>
      </c>
      <c r="E1463" s="67" t="s">
        <v>151</v>
      </c>
      <c r="F1463" s="67" t="s">
        <v>1204</v>
      </c>
      <c r="G1463" s="68">
        <v>22923</v>
      </c>
      <c r="H1463" s="67" t="s">
        <v>976</v>
      </c>
      <c r="I1463" s="200"/>
      <c r="J1463" s="67" t="s">
        <v>207</v>
      </c>
      <c r="K1463" s="67" t="s">
        <v>208</v>
      </c>
      <c r="L1463" s="67" t="s">
        <v>1205</v>
      </c>
      <c r="M1463" s="67" t="s">
        <v>264</v>
      </c>
      <c r="N1463" s="67" t="s">
        <v>253</v>
      </c>
      <c r="O1463" s="67" t="s">
        <v>2117</v>
      </c>
      <c r="P1463" s="67" t="s">
        <v>19</v>
      </c>
      <c r="Q1463" s="192">
        <v>17.100000000000001</v>
      </c>
    </row>
    <row r="1464" spans="1:17" ht="11.1" hidden="1" customHeight="1" x14ac:dyDescent="0.2">
      <c r="A1464" s="3"/>
      <c r="B1464" s="3" t="str">
        <f ca="1">IF(A1464="В заказ",MAX($B$9:OFFSET(B1464,-1,0))+1,"")</f>
        <v/>
      </c>
      <c r="C1464" s="6" t="str">
        <f t="shared" si="41"/>
        <v>Кромка 0,4 U788 ST9  (200 м бухта).</v>
      </c>
      <c r="D1464" s="67" t="s">
        <v>241</v>
      </c>
      <c r="E1464" s="67" t="s">
        <v>151</v>
      </c>
      <c r="F1464" s="67" t="s">
        <v>1206</v>
      </c>
      <c r="G1464" s="68">
        <v>13932</v>
      </c>
      <c r="H1464" s="67" t="s">
        <v>976</v>
      </c>
      <c r="I1464" s="200"/>
      <c r="J1464" s="67" t="s">
        <v>207</v>
      </c>
      <c r="K1464" s="67" t="s">
        <v>208</v>
      </c>
      <c r="L1464" s="67" t="s">
        <v>22</v>
      </c>
      <c r="M1464" s="67" t="s">
        <v>252</v>
      </c>
      <c r="N1464" s="67" t="s">
        <v>253</v>
      </c>
      <c r="O1464" s="67" t="s">
        <v>2117</v>
      </c>
      <c r="P1464" s="67" t="s">
        <v>19</v>
      </c>
      <c r="Q1464" s="71">
        <v>11</v>
      </c>
    </row>
    <row r="1465" spans="1:17" ht="11.1" hidden="1" customHeight="1" x14ac:dyDescent="0.2">
      <c r="A1465" s="3"/>
      <c r="B1465" s="3" t="str">
        <f ca="1">IF(A1465="В заказ",MAX($B$9:OFFSET(B1465,-1,0))+1,"")</f>
        <v/>
      </c>
      <c r="C1465" s="6" t="str">
        <f t="shared" si="41"/>
        <v>Кромка 0,4 U788 ST9  (200 м бухта).</v>
      </c>
      <c r="D1465" s="67" t="s">
        <v>241</v>
      </c>
      <c r="E1465" s="67" t="s">
        <v>151</v>
      </c>
      <c r="F1465" s="67" t="s">
        <v>1207</v>
      </c>
      <c r="G1465" s="68">
        <v>24559</v>
      </c>
      <c r="H1465" s="67" t="s">
        <v>976</v>
      </c>
      <c r="I1465" s="200"/>
      <c r="J1465" s="67" t="s">
        <v>207</v>
      </c>
      <c r="K1465" s="67" t="s">
        <v>208</v>
      </c>
      <c r="L1465" s="67" t="s">
        <v>22</v>
      </c>
      <c r="M1465" s="67" t="s">
        <v>244</v>
      </c>
      <c r="N1465" s="67" t="s">
        <v>253</v>
      </c>
      <c r="O1465" s="67" t="s">
        <v>2117</v>
      </c>
      <c r="P1465" s="67" t="s">
        <v>19</v>
      </c>
      <c r="Q1465" s="192">
        <v>13.2</v>
      </c>
    </row>
    <row r="1466" spans="1:17" ht="11.1" hidden="1" customHeight="1" x14ac:dyDescent="0.2">
      <c r="A1466" s="3"/>
      <c r="B1466" s="3" t="str">
        <f ca="1">IF(A1466="В заказ",MAX($B$9:OFFSET(B1466,-1,0))+1,"")</f>
        <v/>
      </c>
      <c r="C1466" s="6" t="str">
        <f t="shared" si="41"/>
        <v>Кромка 0,4 U788 ST9  (200 м бухта).</v>
      </c>
      <c r="D1466" s="67" t="s">
        <v>241</v>
      </c>
      <c r="E1466" s="67" t="s">
        <v>151</v>
      </c>
      <c r="F1466" s="67" t="s">
        <v>1208</v>
      </c>
      <c r="G1466" s="68">
        <v>14367</v>
      </c>
      <c r="H1466" s="67" t="s">
        <v>976</v>
      </c>
      <c r="I1466" s="200"/>
      <c r="J1466" s="67" t="s">
        <v>207</v>
      </c>
      <c r="K1466" s="67" t="s">
        <v>208</v>
      </c>
      <c r="L1466" s="67" t="s">
        <v>22</v>
      </c>
      <c r="M1466" s="67" t="s">
        <v>264</v>
      </c>
      <c r="N1466" s="67" t="s">
        <v>253</v>
      </c>
      <c r="O1466" s="67" t="s">
        <v>2117</v>
      </c>
      <c r="P1466" s="67" t="s">
        <v>19</v>
      </c>
      <c r="Q1466" s="192">
        <v>17.100000000000001</v>
      </c>
    </row>
    <row r="1467" spans="1:17" ht="11.1" hidden="1" customHeight="1" x14ac:dyDescent="0.2">
      <c r="A1467" s="3"/>
      <c r="B1467" s="3" t="str">
        <f ca="1">IF(A1467="В заказ",MAX($B$9:OFFSET(B1467,-1,0))+1,"")</f>
        <v/>
      </c>
      <c r="C1467" s="6" t="str">
        <f t="shared" si="41"/>
        <v>Кромка 0,8 U788 ST9  (75 м бухта).</v>
      </c>
      <c r="D1467" s="67" t="s">
        <v>241</v>
      </c>
      <c r="E1467" s="67" t="s">
        <v>151</v>
      </c>
      <c r="F1467" s="67" t="s">
        <v>1209</v>
      </c>
      <c r="G1467" s="68">
        <v>14791</v>
      </c>
      <c r="H1467" s="67" t="s">
        <v>976</v>
      </c>
      <c r="I1467" s="200"/>
      <c r="J1467" s="67" t="s">
        <v>207</v>
      </c>
      <c r="K1467" s="67" t="s">
        <v>208</v>
      </c>
      <c r="L1467" s="67" t="s">
        <v>22</v>
      </c>
      <c r="M1467" s="67" t="s">
        <v>252</v>
      </c>
      <c r="N1467" s="67" t="s">
        <v>10</v>
      </c>
      <c r="O1467" s="67" t="s">
        <v>2116</v>
      </c>
      <c r="P1467" s="67" t="s">
        <v>19</v>
      </c>
      <c r="Q1467" s="192">
        <v>25.7</v>
      </c>
    </row>
    <row r="1468" spans="1:17" ht="11.1" hidden="1" customHeight="1" x14ac:dyDescent="0.2">
      <c r="A1468" s="3"/>
      <c r="B1468" s="3" t="str">
        <f ca="1">IF(A1468="В заказ",MAX($B$9:OFFSET(B1468,-1,0))+1,"")</f>
        <v/>
      </c>
      <c r="C1468" s="6" t="str">
        <f t="shared" si="41"/>
        <v>Кромка 0,8 U788 ST9  (75 м бухта).</v>
      </c>
      <c r="D1468" s="67" t="s">
        <v>241</v>
      </c>
      <c r="E1468" s="67" t="s">
        <v>151</v>
      </c>
      <c r="F1468" s="67" t="s">
        <v>1210</v>
      </c>
      <c r="G1468" s="68">
        <v>16579</v>
      </c>
      <c r="H1468" s="67" t="s">
        <v>976</v>
      </c>
      <c r="I1468" s="200"/>
      <c r="J1468" s="67" t="s">
        <v>207</v>
      </c>
      <c r="K1468" s="67" t="s">
        <v>208</v>
      </c>
      <c r="L1468" s="67" t="s">
        <v>22</v>
      </c>
      <c r="M1468" s="67" t="s">
        <v>244</v>
      </c>
      <c r="N1468" s="67" t="s">
        <v>10</v>
      </c>
      <c r="O1468" s="67" t="s">
        <v>2116</v>
      </c>
      <c r="P1468" s="67" t="s">
        <v>19</v>
      </c>
      <c r="Q1468" s="71">
        <v>31</v>
      </c>
    </row>
    <row r="1469" spans="1:17" ht="11.1" hidden="1" customHeight="1" x14ac:dyDescent="0.2">
      <c r="A1469" s="3"/>
      <c r="B1469" s="3" t="str">
        <f ca="1">IF(A1469="В заказ",MAX($B$9:OFFSET(B1469,-1,0))+1,"")</f>
        <v/>
      </c>
      <c r="C1469" s="6" t="str">
        <f t="shared" si="41"/>
        <v>Кромка 2,0 U788 ST9  (75 м бухта).</v>
      </c>
      <c r="D1469" s="67" t="s">
        <v>241</v>
      </c>
      <c r="E1469" s="67" t="s">
        <v>151</v>
      </c>
      <c r="F1469" s="67" t="s">
        <v>1211</v>
      </c>
      <c r="G1469" s="68">
        <v>13931</v>
      </c>
      <c r="H1469" s="67" t="s">
        <v>976</v>
      </c>
      <c r="I1469" s="200"/>
      <c r="J1469" s="67" t="s">
        <v>207</v>
      </c>
      <c r="K1469" s="67" t="s">
        <v>208</v>
      </c>
      <c r="L1469" s="67" t="s">
        <v>22</v>
      </c>
      <c r="M1469" s="67" t="s">
        <v>252</v>
      </c>
      <c r="N1469" s="67" t="s">
        <v>259</v>
      </c>
      <c r="O1469" s="67" t="s">
        <v>2116</v>
      </c>
      <c r="P1469" s="67" t="s">
        <v>19</v>
      </c>
      <c r="Q1469" s="192">
        <v>48.1</v>
      </c>
    </row>
    <row r="1470" spans="1:17" ht="11.1" hidden="1" customHeight="1" x14ac:dyDescent="0.2">
      <c r="A1470" s="3"/>
      <c r="B1470" s="3" t="str">
        <f ca="1">IF(A1470="В заказ",MAX($B$9:OFFSET(B1470,-1,0))+1,"")</f>
        <v/>
      </c>
      <c r="C1470" s="6" t="str">
        <f t="shared" si="41"/>
        <v>Кромка 2,0 U788 ST9  (75 м бухта).</v>
      </c>
      <c r="D1470" s="67" t="s">
        <v>241</v>
      </c>
      <c r="E1470" s="67" t="s">
        <v>151</v>
      </c>
      <c r="F1470" s="67" t="s">
        <v>1212</v>
      </c>
      <c r="G1470" s="68">
        <v>18222</v>
      </c>
      <c r="H1470" s="67" t="s">
        <v>976</v>
      </c>
      <c r="I1470" s="200"/>
      <c r="J1470" s="67" t="s">
        <v>207</v>
      </c>
      <c r="K1470" s="67" t="s">
        <v>208</v>
      </c>
      <c r="L1470" s="67" t="s">
        <v>22</v>
      </c>
      <c r="M1470" s="67" t="s">
        <v>244</v>
      </c>
      <c r="N1470" s="67" t="s">
        <v>259</v>
      </c>
      <c r="O1470" s="67" t="s">
        <v>2116</v>
      </c>
      <c r="P1470" s="67" t="s">
        <v>19</v>
      </c>
      <c r="Q1470" s="192">
        <v>53.1</v>
      </c>
    </row>
    <row r="1471" spans="1:17" ht="11.1" hidden="1" customHeight="1" x14ac:dyDescent="0.2">
      <c r="A1471" s="3"/>
      <c r="B1471" s="3" t="str">
        <f ca="1">IF(A1471="В заказ",MAX($B$9:OFFSET(B1471,-1,0))+1,"")</f>
        <v/>
      </c>
      <c r="C1471" s="6" t="str">
        <f t="shared" si="41"/>
        <v>Кромка 2,0 U788 ST9  (75 м бухта).</v>
      </c>
      <c r="D1471" s="67" t="s">
        <v>241</v>
      </c>
      <c r="E1471" s="67" t="s">
        <v>151</v>
      </c>
      <c r="F1471" s="67" t="s">
        <v>1213</v>
      </c>
      <c r="G1471" s="68">
        <v>14368</v>
      </c>
      <c r="H1471" s="67" t="s">
        <v>976</v>
      </c>
      <c r="I1471" s="200"/>
      <c r="J1471" s="67" t="s">
        <v>207</v>
      </c>
      <c r="K1471" s="67" t="s">
        <v>208</v>
      </c>
      <c r="L1471" s="67" t="s">
        <v>22</v>
      </c>
      <c r="M1471" s="67" t="s">
        <v>264</v>
      </c>
      <c r="N1471" s="67" t="s">
        <v>259</v>
      </c>
      <c r="O1471" s="67" t="s">
        <v>2116</v>
      </c>
      <c r="P1471" s="67" t="s">
        <v>19</v>
      </c>
      <c r="Q1471" s="192">
        <v>72.400000000000006</v>
      </c>
    </row>
    <row r="1472" spans="1:17" ht="11.1" hidden="1" customHeight="1" x14ac:dyDescent="0.2">
      <c r="A1472" s="3"/>
      <c r="B1472" s="3" t="str">
        <f ca="1">IF(A1472="В заказ",MAX($B$9:OFFSET(B1472,-1,0))+1,"")</f>
        <v/>
      </c>
      <c r="C1472" s="6" t="str">
        <f t="shared" si="41"/>
        <v>Кромка 2,0 U788 ST9  (75 м бухта).</v>
      </c>
      <c r="D1472" s="67" t="s">
        <v>241</v>
      </c>
      <c r="E1472" s="67" t="s">
        <v>151</v>
      </c>
      <c r="F1472" s="67" t="s">
        <v>1214</v>
      </c>
      <c r="G1472" s="68">
        <v>16292</v>
      </c>
      <c r="H1472" s="67" t="s">
        <v>976</v>
      </c>
      <c r="I1472" s="200"/>
      <c r="J1472" s="67" t="s">
        <v>207</v>
      </c>
      <c r="K1472" s="67" t="s">
        <v>208</v>
      </c>
      <c r="L1472" s="67" t="s">
        <v>22</v>
      </c>
      <c r="M1472" s="67" t="s">
        <v>270</v>
      </c>
      <c r="N1472" s="67" t="s">
        <v>259</v>
      </c>
      <c r="O1472" s="67" t="s">
        <v>2116</v>
      </c>
      <c r="P1472" s="67" t="s">
        <v>19</v>
      </c>
      <c r="Q1472" s="192">
        <v>97.2</v>
      </c>
    </row>
    <row r="1473" spans="1:17" ht="11.1" hidden="1" customHeight="1" x14ac:dyDescent="0.2">
      <c r="A1473" s="3"/>
      <c r="B1473" s="3" t="str">
        <f ca="1">IF(A1473="В заказ",MAX($B$9:OFFSET(B1473,-1,0))+1,"")</f>
        <v/>
      </c>
      <c r="C1473" s="6" t="str">
        <f t="shared" si="41"/>
        <v>Кромка 0,4 U818 ST9  (200 м бухта).</v>
      </c>
      <c r="D1473" s="67" t="s">
        <v>241</v>
      </c>
      <c r="E1473" s="67" t="s">
        <v>151</v>
      </c>
      <c r="F1473" s="67" t="s">
        <v>1215</v>
      </c>
      <c r="G1473" s="68">
        <v>13544</v>
      </c>
      <c r="H1473" s="67" t="s">
        <v>976</v>
      </c>
      <c r="I1473" s="200"/>
      <c r="J1473" s="67" t="s">
        <v>209</v>
      </c>
      <c r="K1473" s="67" t="s">
        <v>210</v>
      </c>
      <c r="L1473" s="67" t="s">
        <v>22</v>
      </c>
      <c r="M1473" s="67" t="s">
        <v>252</v>
      </c>
      <c r="N1473" s="67" t="s">
        <v>253</v>
      </c>
      <c r="O1473" s="67" t="s">
        <v>2117</v>
      </c>
      <c r="P1473" s="67" t="s">
        <v>19</v>
      </c>
      <c r="Q1473" s="71">
        <v>11</v>
      </c>
    </row>
    <row r="1474" spans="1:17" ht="11.1" hidden="1" customHeight="1" x14ac:dyDescent="0.2">
      <c r="A1474" s="3"/>
      <c r="B1474" s="3" t="str">
        <f ca="1">IF(A1474="В заказ",MAX($B$9:OFFSET(B1474,-1,0))+1,"")</f>
        <v/>
      </c>
      <c r="C1474" s="6" t="str">
        <f t="shared" si="41"/>
        <v>Кромка 0,8 U818 ST9  (75 м бухта).</v>
      </c>
      <c r="D1474" s="67" t="s">
        <v>241</v>
      </c>
      <c r="E1474" s="67" t="s">
        <v>151</v>
      </c>
      <c r="F1474" s="67" t="s">
        <v>1216</v>
      </c>
      <c r="G1474" s="68">
        <v>15453</v>
      </c>
      <c r="H1474" s="67" t="s">
        <v>976</v>
      </c>
      <c r="I1474" s="200"/>
      <c r="J1474" s="67" t="s">
        <v>209</v>
      </c>
      <c r="K1474" s="67" t="s">
        <v>210</v>
      </c>
      <c r="L1474" s="67" t="s">
        <v>22</v>
      </c>
      <c r="M1474" s="67" t="s">
        <v>252</v>
      </c>
      <c r="N1474" s="67" t="s">
        <v>10</v>
      </c>
      <c r="O1474" s="67" t="s">
        <v>2116</v>
      </c>
      <c r="P1474" s="67" t="s">
        <v>19</v>
      </c>
      <c r="Q1474" s="192">
        <v>25.7</v>
      </c>
    </row>
    <row r="1475" spans="1:17" ht="11.1" hidden="1" customHeight="1" x14ac:dyDescent="0.2">
      <c r="A1475" s="3"/>
      <c r="B1475" s="3" t="str">
        <f ca="1">IF(A1475="В заказ",MAX($B$9:OFFSET(B1475,-1,0))+1,"")</f>
        <v/>
      </c>
      <c r="C1475" s="6" t="str">
        <f t="shared" si="41"/>
        <v>Кромка 2,0 U818 ST9  (75 м бухта).</v>
      </c>
      <c r="D1475" s="67" t="s">
        <v>241</v>
      </c>
      <c r="E1475" s="67" t="s">
        <v>151</v>
      </c>
      <c r="F1475" s="67" t="s">
        <v>1217</v>
      </c>
      <c r="G1475" s="68">
        <v>13545</v>
      </c>
      <c r="H1475" s="67" t="s">
        <v>976</v>
      </c>
      <c r="I1475" s="200"/>
      <c r="J1475" s="67" t="s">
        <v>209</v>
      </c>
      <c r="K1475" s="67" t="s">
        <v>210</v>
      </c>
      <c r="L1475" s="67" t="s">
        <v>22</v>
      </c>
      <c r="M1475" s="67" t="s">
        <v>252</v>
      </c>
      <c r="N1475" s="67" t="s">
        <v>259</v>
      </c>
      <c r="O1475" s="67" t="s">
        <v>2116</v>
      </c>
      <c r="P1475" s="67" t="s">
        <v>19</v>
      </c>
      <c r="Q1475" s="192">
        <v>48.1</v>
      </c>
    </row>
    <row r="1476" spans="1:17" ht="11.1" hidden="1" customHeight="1" x14ac:dyDescent="0.2">
      <c r="A1476" s="3"/>
      <c r="B1476" s="3" t="str">
        <f ca="1">IF(A1476="В заказ",MAX($B$9:OFFSET(B1476,-1,0))+1,"")</f>
        <v/>
      </c>
      <c r="C1476" s="6" t="str">
        <f t="shared" si="41"/>
        <v>Кромка 2,0 U818 ST9  (75 м бухта).</v>
      </c>
      <c r="D1476" s="67" t="s">
        <v>241</v>
      </c>
      <c r="E1476" s="67" t="s">
        <v>151</v>
      </c>
      <c r="F1476" s="67" t="s">
        <v>1218</v>
      </c>
      <c r="G1476" s="68">
        <v>14547</v>
      </c>
      <c r="H1476" s="67" t="s">
        <v>976</v>
      </c>
      <c r="I1476" s="200"/>
      <c r="J1476" s="67" t="s">
        <v>209</v>
      </c>
      <c r="K1476" s="67" t="s">
        <v>210</v>
      </c>
      <c r="L1476" s="67" t="s">
        <v>22</v>
      </c>
      <c r="M1476" s="67" t="s">
        <v>270</v>
      </c>
      <c r="N1476" s="67" t="s">
        <v>259</v>
      </c>
      <c r="O1476" s="67" t="s">
        <v>2116</v>
      </c>
      <c r="P1476" s="67" t="s">
        <v>19</v>
      </c>
      <c r="Q1476" s="192">
        <v>97.2</v>
      </c>
    </row>
    <row r="1477" spans="1:17" ht="11.1" hidden="1" customHeight="1" x14ac:dyDescent="0.2">
      <c r="A1477" s="3"/>
      <c r="B1477" s="3" t="str">
        <f ca="1">IF(A1477="В заказ",MAX($B$9:OFFSET(B1477,-1,0))+1,"")</f>
        <v/>
      </c>
      <c r="C1477" s="6" t="str">
        <f t="shared" si="41"/>
        <v>Кромка 0,4 U830 ST9  (200 м бухта).</v>
      </c>
      <c r="D1477" s="67" t="s">
        <v>241</v>
      </c>
      <c r="E1477" s="67" t="s">
        <v>151</v>
      </c>
      <c r="F1477" s="67" t="s">
        <v>2143</v>
      </c>
      <c r="G1477" s="68">
        <v>21604</v>
      </c>
      <c r="H1477" s="67" t="s">
        <v>976</v>
      </c>
      <c r="I1477" s="200"/>
      <c r="J1477" s="67" t="s">
        <v>2141</v>
      </c>
      <c r="K1477" s="67" t="s">
        <v>2142</v>
      </c>
      <c r="L1477" s="67" t="s">
        <v>22</v>
      </c>
      <c r="M1477" s="67" t="s">
        <v>252</v>
      </c>
      <c r="N1477" s="67" t="s">
        <v>253</v>
      </c>
      <c r="O1477" s="67" t="s">
        <v>2117</v>
      </c>
      <c r="P1477" s="67" t="s">
        <v>19</v>
      </c>
      <c r="Q1477" s="71">
        <v>11</v>
      </c>
    </row>
    <row r="1478" spans="1:17" ht="11.1" hidden="1" customHeight="1" x14ac:dyDescent="0.2">
      <c r="A1478" s="3"/>
      <c r="B1478" s="3" t="str">
        <f ca="1">IF(A1478="В заказ",MAX($B$9:OFFSET(B1478,-1,0))+1,"")</f>
        <v/>
      </c>
      <c r="C1478" s="6" t="str">
        <f t="shared" si="41"/>
        <v>Кромка 0,8 U830 ST9  (75 м бухта).</v>
      </c>
      <c r="D1478" s="67" t="s">
        <v>241</v>
      </c>
      <c r="E1478" s="67" t="s">
        <v>151</v>
      </c>
      <c r="F1478" s="67" t="s">
        <v>2144</v>
      </c>
      <c r="G1478" s="68">
        <v>21605</v>
      </c>
      <c r="H1478" s="67" t="s">
        <v>976</v>
      </c>
      <c r="I1478" s="200"/>
      <c r="J1478" s="67" t="s">
        <v>2141</v>
      </c>
      <c r="K1478" s="67" t="s">
        <v>2142</v>
      </c>
      <c r="L1478" s="67" t="s">
        <v>22</v>
      </c>
      <c r="M1478" s="67" t="s">
        <v>252</v>
      </c>
      <c r="N1478" s="67" t="s">
        <v>10</v>
      </c>
      <c r="O1478" s="67" t="s">
        <v>2116</v>
      </c>
      <c r="P1478" s="67" t="s">
        <v>19</v>
      </c>
      <c r="Q1478" s="192">
        <v>25.7</v>
      </c>
    </row>
    <row r="1479" spans="1:17" ht="11.1" hidden="1" customHeight="1" x14ac:dyDescent="0.2">
      <c r="A1479" s="3"/>
      <c r="B1479" s="3" t="str">
        <f ca="1">IF(A1479="В заказ",MAX($B$9:OFFSET(B1479,-1,0))+1,"")</f>
        <v/>
      </c>
      <c r="C1479" s="6" t="str">
        <f t="shared" si="41"/>
        <v>Кромка 2,0 U830 ST9  (75 м бухта).</v>
      </c>
      <c r="D1479" s="67" t="s">
        <v>241</v>
      </c>
      <c r="E1479" s="67" t="s">
        <v>151</v>
      </c>
      <c r="F1479" s="67" t="s">
        <v>2145</v>
      </c>
      <c r="G1479" s="68">
        <v>21607</v>
      </c>
      <c r="H1479" s="67" t="s">
        <v>976</v>
      </c>
      <c r="I1479" s="200"/>
      <c r="J1479" s="67" t="s">
        <v>2141</v>
      </c>
      <c r="K1479" s="67" t="s">
        <v>2142</v>
      </c>
      <c r="L1479" s="67" t="s">
        <v>22</v>
      </c>
      <c r="M1479" s="67" t="s">
        <v>252</v>
      </c>
      <c r="N1479" s="67" t="s">
        <v>259</v>
      </c>
      <c r="O1479" s="67" t="s">
        <v>2116</v>
      </c>
      <c r="P1479" s="67" t="s">
        <v>19</v>
      </c>
      <c r="Q1479" s="192">
        <v>48.1</v>
      </c>
    </row>
    <row r="1480" spans="1:17" ht="11.1" hidden="1" customHeight="1" x14ac:dyDescent="0.2">
      <c r="A1480" s="3"/>
      <c r="B1480" s="3" t="str">
        <f ca="1">IF(A1480="В заказ",MAX($B$9:OFFSET(B1480,-1,0))+1,"")</f>
        <v/>
      </c>
      <c r="C1480" s="6" t="str">
        <f t="shared" si="41"/>
        <v>Кромка 0,4 U899 ST9  (200 м бухта).</v>
      </c>
      <c r="D1480" s="67" t="s">
        <v>241</v>
      </c>
      <c r="E1480" s="67" t="s">
        <v>151</v>
      </c>
      <c r="F1480" s="67" t="s">
        <v>1219</v>
      </c>
      <c r="G1480" s="68">
        <v>14869</v>
      </c>
      <c r="H1480" s="67" t="s">
        <v>976</v>
      </c>
      <c r="I1480" s="200"/>
      <c r="J1480" s="67" t="s">
        <v>211</v>
      </c>
      <c r="K1480" s="67" t="s">
        <v>212</v>
      </c>
      <c r="L1480" s="67" t="s">
        <v>22</v>
      </c>
      <c r="M1480" s="67" t="s">
        <v>252</v>
      </c>
      <c r="N1480" s="67" t="s">
        <v>253</v>
      </c>
      <c r="O1480" s="67" t="s">
        <v>2117</v>
      </c>
      <c r="P1480" s="67" t="s">
        <v>19</v>
      </c>
      <c r="Q1480" s="71">
        <v>11</v>
      </c>
    </row>
    <row r="1481" spans="1:17" ht="11.1" hidden="1" customHeight="1" x14ac:dyDescent="0.2">
      <c r="A1481" s="3"/>
      <c r="B1481" s="3" t="str">
        <f ca="1">IF(A1481="В заказ",MAX($B$9:OFFSET(B1481,-1,0))+1,"")</f>
        <v/>
      </c>
      <c r="C1481" s="6" t="str">
        <f t="shared" si="41"/>
        <v>Кромка 0,4 U899 ST9  (200 м бухта).</v>
      </c>
      <c r="D1481" s="67" t="s">
        <v>241</v>
      </c>
      <c r="E1481" s="67" t="s">
        <v>151</v>
      </c>
      <c r="F1481" s="67" t="s">
        <v>1220</v>
      </c>
      <c r="G1481" s="68">
        <v>21949</v>
      </c>
      <c r="H1481" s="67" t="s">
        <v>976</v>
      </c>
      <c r="I1481" s="200"/>
      <c r="J1481" s="67" t="s">
        <v>211</v>
      </c>
      <c r="K1481" s="67" t="s">
        <v>212</v>
      </c>
      <c r="L1481" s="67" t="s">
        <v>22</v>
      </c>
      <c r="M1481" s="67" t="s">
        <v>244</v>
      </c>
      <c r="N1481" s="67" t="s">
        <v>253</v>
      </c>
      <c r="O1481" s="67" t="s">
        <v>2117</v>
      </c>
      <c r="P1481" s="67" t="s">
        <v>19</v>
      </c>
      <c r="Q1481" s="192">
        <v>13.2</v>
      </c>
    </row>
    <row r="1482" spans="1:17" ht="11.1" hidden="1" customHeight="1" x14ac:dyDescent="0.2">
      <c r="A1482" s="3"/>
      <c r="B1482" s="3" t="str">
        <f ca="1">IF(A1482="В заказ",MAX($B$9:OFFSET(B1482,-1,0))+1,"")</f>
        <v/>
      </c>
      <c r="C1482" s="6" t="str">
        <f t="shared" si="41"/>
        <v>Кромка 0,4 U899 ST9  (200 м бухта).</v>
      </c>
      <c r="D1482" s="67" t="s">
        <v>241</v>
      </c>
      <c r="E1482" s="67" t="s">
        <v>151</v>
      </c>
      <c r="F1482" s="67" t="s">
        <v>1221</v>
      </c>
      <c r="G1482" s="68">
        <v>15142</v>
      </c>
      <c r="H1482" s="67" t="s">
        <v>976</v>
      </c>
      <c r="I1482" s="200"/>
      <c r="J1482" s="67" t="s">
        <v>211</v>
      </c>
      <c r="K1482" s="67" t="s">
        <v>212</v>
      </c>
      <c r="L1482" s="67" t="s">
        <v>22</v>
      </c>
      <c r="M1482" s="67" t="s">
        <v>264</v>
      </c>
      <c r="N1482" s="67" t="s">
        <v>253</v>
      </c>
      <c r="O1482" s="67" t="s">
        <v>2117</v>
      </c>
      <c r="P1482" s="67" t="s">
        <v>19</v>
      </c>
      <c r="Q1482" s="192">
        <v>17.100000000000001</v>
      </c>
    </row>
    <row r="1483" spans="1:17" ht="11.1" hidden="1" customHeight="1" x14ac:dyDescent="0.2">
      <c r="A1483" s="3"/>
      <c r="B1483" s="3" t="str">
        <f ca="1">IF(A1483="В заказ",MAX($B$9:OFFSET(B1483,-1,0))+1,"")</f>
        <v/>
      </c>
      <c r="C1483" s="6" t="str">
        <f t="shared" si="41"/>
        <v>Кромка 0,8 U899 ST9  (75 м бухта).</v>
      </c>
      <c r="D1483" s="67" t="s">
        <v>241</v>
      </c>
      <c r="E1483" s="67" t="s">
        <v>151</v>
      </c>
      <c r="F1483" s="67" t="s">
        <v>1222</v>
      </c>
      <c r="G1483" s="68">
        <v>16244</v>
      </c>
      <c r="H1483" s="67" t="s">
        <v>976</v>
      </c>
      <c r="I1483" s="200"/>
      <c r="J1483" s="67" t="s">
        <v>211</v>
      </c>
      <c r="K1483" s="67" t="s">
        <v>212</v>
      </c>
      <c r="L1483" s="67" t="s">
        <v>22</v>
      </c>
      <c r="M1483" s="67" t="s">
        <v>252</v>
      </c>
      <c r="N1483" s="67" t="s">
        <v>10</v>
      </c>
      <c r="O1483" s="67" t="s">
        <v>2116</v>
      </c>
      <c r="P1483" s="67" t="s">
        <v>19</v>
      </c>
      <c r="Q1483" s="192">
        <v>25.7</v>
      </c>
    </row>
    <row r="1484" spans="1:17" ht="11.1" hidden="1" customHeight="1" x14ac:dyDescent="0.2">
      <c r="A1484" s="3"/>
      <c r="B1484" s="3" t="str">
        <f ca="1">IF(A1484="В заказ",MAX($B$9:OFFSET(B1484,-1,0))+1,"")</f>
        <v/>
      </c>
      <c r="C1484" s="6" t="str">
        <f t="shared" si="41"/>
        <v>Кромка 0,8 U899 ST9  (75 м бухта).</v>
      </c>
      <c r="D1484" s="67" t="s">
        <v>241</v>
      </c>
      <c r="E1484" s="67" t="s">
        <v>151</v>
      </c>
      <c r="F1484" s="67" t="s">
        <v>1223</v>
      </c>
      <c r="G1484" s="68">
        <v>18835</v>
      </c>
      <c r="H1484" s="67" t="s">
        <v>976</v>
      </c>
      <c r="I1484" s="200"/>
      <c r="J1484" s="67" t="s">
        <v>211</v>
      </c>
      <c r="K1484" s="67" t="s">
        <v>212</v>
      </c>
      <c r="L1484" s="67" t="s">
        <v>22</v>
      </c>
      <c r="M1484" s="67" t="s">
        <v>244</v>
      </c>
      <c r="N1484" s="67" t="s">
        <v>10</v>
      </c>
      <c r="O1484" s="67" t="s">
        <v>2116</v>
      </c>
      <c r="P1484" s="67" t="s">
        <v>19</v>
      </c>
      <c r="Q1484" s="71">
        <v>31</v>
      </c>
    </row>
    <row r="1485" spans="1:17" ht="11.1" hidden="1" customHeight="1" x14ac:dyDescent="0.2">
      <c r="A1485" s="3"/>
      <c r="B1485" s="3" t="str">
        <f ca="1">IF(A1485="В заказ",MAX($B$9:OFFSET(B1485,-1,0))+1,"")</f>
        <v/>
      </c>
      <c r="C1485" s="6" t="str">
        <f t="shared" si="41"/>
        <v>Кромка 2,0 U899 ST9  (75 м бухта).</v>
      </c>
      <c r="D1485" s="67" t="s">
        <v>241</v>
      </c>
      <c r="E1485" s="67" t="s">
        <v>151</v>
      </c>
      <c r="F1485" s="67" t="s">
        <v>1224</v>
      </c>
      <c r="G1485" s="68">
        <v>15000</v>
      </c>
      <c r="H1485" s="67" t="s">
        <v>976</v>
      </c>
      <c r="I1485" s="200"/>
      <c r="J1485" s="67" t="s">
        <v>211</v>
      </c>
      <c r="K1485" s="67" t="s">
        <v>212</v>
      </c>
      <c r="L1485" s="67" t="s">
        <v>22</v>
      </c>
      <c r="M1485" s="67" t="s">
        <v>252</v>
      </c>
      <c r="N1485" s="67" t="s">
        <v>259</v>
      </c>
      <c r="O1485" s="67" t="s">
        <v>2116</v>
      </c>
      <c r="P1485" s="67" t="s">
        <v>19</v>
      </c>
      <c r="Q1485" s="192">
        <v>48.1</v>
      </c>
    </row>
    <row r="1486" spans="1:17" ht="11.1" hidden="1" customHeight="1" x14ac:dyDescent="0.2">
      <c r="A1486" s="3"/>
      <c r="B1486" s="3" t="str">
        <f ca="1">IF(A1486="В заказ",MAX($B$9:OFFSET(B1486,-1,0))+1,"")</f>
        <v/>
      </c>
      <c r="C1486" s="6" t="str">
        <f t="shared" si="41"/>
        <v>Кромка 2,0 U899 ST9  (75 м бухта).</v>
      </c>
      <c r="D1486" s="67" t="s">
        <v>241</v>
      </c>
      <c r="E1486" s="67" t="s">
        <v>151</v>
      </c>
      <c r="F1486" s="67" t="s">
        <v>1225</v>
      </c>
      <c r="G1486" s="68">
        <v>18011</v>
      </c>
      <c r="H1486" s="67" t="s">
        <v>976</v>
      </c>
      <c r="I1486" s="200"/>
      <c r="J1486" s="67" t="s">
        <v>211</v>
      </c>
      <c r="K1486" s="67" t="s">
        <v>212</v>
      </c>
      <c r="L1486" s="67" t="s">
        <v>22</v>
      </c>
      <c r="M1486" s="67" t="s">
        <v>244</v>
      </c>
      <c r="N1486" s="67" t="s">
        <v>259</v>
      </c>
      <c r="O1486" s="67" t="s">
        <v>2116</v>
      </c>
      <c r="P1486" s="67" t="s">
        <v>19</v>
      </c>
      <c r="Q1486" s="192">
        <v>53.1</v>
      </c>
    </row>
    <row r="1487" spans="1:17" ht="11.1" hidden="1" customHeight="1" x14ac:dyDescent="0.2">
      <c r="A1487" s="3"/>
      <c r="B1487" s="3" t="str">
        <f ca="1">IF(A1487="В заказ",MAX($B$9:OFFSET(B1487,-1,0))+1,"")</f>
        <v/>
      </c>
      <c r="C1487" s="6" t="str">
        <f t="shared" si="41"/>
        <v>Кромка 2,0 U899 ST9  (75 м бухта).</v>
      </c>
      <c r="D1487" s="67" t="s">
        <v>241</v>
      </c>
      <c r="E1487" s="67" t="s">
        <v>151</v>
      </c>
      <c r="F1487" s="67" t="s">
        <v>1226</v>
      </c>
      <c r="G1487" s="68">
        <v>15141</v>
      </c>
      <c r="H1487" s="67" t="s">
        <v>976</v>
      </c>
      <c r="I1487" s="200"/>
      <c r="J1487" s="67" t="s">
        <v>211</v>
      </c>
      <c r="K1487" s="67" t="s">
        <v>212</v>
      </c>
      <c r="L1487" s="67" t="s">
        <v>22</v>
      </c>
      <c r="M1487" s="67" t="s">
        <v>264</v>
      </c>
      <c r="N1487" s="67" t="s">
        <v>259</v>
      </c>
      <c r="O1487" s="67" t="s">
        <v>2116</v>
      </c>
      <c r="P1487" s="67" t="s">
        <v>19</v>
      </c>
      <c r="Q1487" s="192">
        <v>72.400000000000006</v>
      </c>
    </row>
    <row r="1488" spans="1:17" ht="11.1" hidden="1" customHeight="1" x14ac:dyDescent="0.2">
      <c r="A1488" s="3"/>
      <c r="B1488" s="3" t="str">
        <f ca="1">IF(A1488="В заказ",MAX($B$9:OFFSET(B1488,-1,0))+1,"")</f>
        <v/>
      </c>
      <c r="C1488" s="6" t="str">
        <f t="shared" si="41"/>
        <v>Кромка 2,0 U899 ST9  (75 м бухта).</v>
      </c>
      <c r="D1488" s="67" t="s">
        <v>241</v>
      </c>
      <c r="E1488" s="67" t="s">
        <v>151</v>
      </c>
      <c r="F1488" s="67" t="s">
        <v>1227</v>
      </c>
      <c r="G1488" s="68">
        <v>15774</v>
      </c>
      <c r="H1488" s="67" t="s">
        <v>976</v>
      </c>
      <c r="I1488" s="200"/>
      <c r="J1488" s="67" t="s">
        <v>211</v>
      </c>
      <c r="K1488" s="67" t="s">
        <v>212</v>
      </c>
      <c r="L1488" s="67" t="s">
        <v>22</v>
      </c>
      <c r="M1488" s="67" t="s">
        <v>270</v>
      </c>
      <c r="N1488" s="67" t="s">
        <v>259</v>
      </c>
      <c r="O1488" s="67" t="s">
        <v>2116</v>
      </c>
      <c r="P1488" s="67" t="s">
        <v>19</v>
      </c>
      <c r="Q1488" s="192">
        <v>97.2</v>
      </c>
    </row>
    <row r="1489" spans="1:17" ht="11.1" hidden="1" customHeight="1" x14ac:dyDescent="0.2">
      <c r="A1489" s="3"/>
      <c r="B1489" s="3" t="str">
        <f ca="1">IF(A1489="В заказ",MAX($B$9:OFFSET(B1489,-1,0))+1,"")</f>
        <v/>
      </c>
      <c r="C1489" s="6" t="str">
        <f t="shared" si="41"/>
        <v>Кромка 2,0 U899 ST9  (75 м бухта).</v>
      </c>
      <c r="D1489" s="67" t="s">
        <v>241</v>
      </c>
      <c r="E1489" s="67" t="s">
        <v>151</v>
      </c>
      <c r="F1489" s="67" t="s">
        <v>1228</v>
      </c>
      <c r="G1489" s="68">
        <v>21762</v>
      </c>
      <c r="H1489" s="67" t="s">
        <v>976</v>
      </c>
      <c r="I1489" s="200"/>
      <c r="J1489" s="67" t="s">
        <v>211</v>
      </c>
      <c r="K1489" s="67" t="s">
        <v>212</v>
      </c>
      <c r="L1489" s="67" t="s">
        <v>22</v>
      </c>
      <c r="M1489" s="67" t="s">
        <v>282</v>
      </c>
      <c r="N1489" s="67" t="s">
        <v>259</v>
      </c>
      <c r="O1489" s="67" t="s">
        <v>2116</v>
      </c>
      <c r="P1489" s="67" t="s">
        <v>19</v>
      </c>
      <c r="Q1489" s="192">
        <v>150.9</v>
      </c>
    </row>
    <row r="1490" spans="1:17" ht="11.1" hidden="1" customHeight="1" x14ac:dyDescent="0.2">
      <c r="A1490" s="3"/>
      <c r="B1490" s="3" t="str">
        <f ca="1">IF(A1490="В заказ",MAX($B$9:OFFSET(B1490,-1,0))+1,"")</f>
        <v/>
      </c>
      <c r="C1490" s="6" t="str">
        <f t="shared" si="41"/>
        <v>Кромка 0,4 U960 ST9  (200 м бухта).</v>
      </c>
      <c r="D1490" s="67" t="s">
        <v>241</v>
      </c>
      <c r="E1490" s="67" t="s">
        <v>151</v>
      </c>
      <c r="F1490" s="67" t="s">
        <v>1229</v>
      </c>
      <c r="G1490" s="68">
        <v>13086</v>
      </c>
      <c r="H1490" s="67" t="s">
        <v>976</v>
      </c>
      <c r="I1490" s="200"/>
      <c r="J1490" s="67" t="s">
        <v>213</v>
      </c>
      <c r="K1490" s="67" t="s">
        <v>214</v>
      </c>
      <c r="L1490" s="67" t="s">
        <v>22</v>
      </c>
      <c r="M1490" s="67" t="s">
        <v>252</v>
      </c>
      <c r="N1490" s="67" t="s">
        <v>253</v>
      </c>
      <c r="O1490" s="67" t="s">
        <v>2117</v>
      </c>
      <c r="P1490" s="67" t="s">
        <v>19</v>
      </c>
      <c r="Q1490" s="71">
        <v>11</v>
      </c>
    </row>
    <row r="1491" spans="1:17" ht="11.1" hidden="1" customHeight="1" x14ac:dyDescent="0.2">
      <c r="A1491" s="3"/>
      <c r="B1491" s="3" t="str">
        <f ca="1">IF(A1491="В заказ",MAX($B$9:OFFSET(B1491,-1,0))+1,"")</f>
        <v/>
      </c>
      <c r="C1491" s="6" t="str">
        <f t="shared" si="41"/>
        <v>Кромка 0,4 U960 ST9  (200 м бухта).</v>
      </c>
      <c r="D1491" s="67" t="s">
        <v>241</v>
      </c>
      <c r="E1491" s="67" t="s">
        <v>151</v>
      </c>
      <c r="F1491" s="67" t="s">
        <v>1230</v>
      </c>
      <c r="G1491" s="68">
        <v>24770</v>
      </c>
      <c r="H1491" s="67" t="s">
        <v>976</v>
      </c>
      <c r="I1491" s="200"/>
      <c r="J1491" s="67" t="s">
        <v>213</v>
      </c>
      <c r="K1491" s="67" t="s">
        <v>214</v>
      </c>
      <c r="L1491" s="67" t="s">
        <v>22</v>
      </c>
      <c r="M1491" s="67" t="s">
        <v>244</v>
      </c>
      <c r="N1491" s="67" t="s">
        <v>253</v>
      </c>
      <c r="O1491" s="67" t="s">
        <v>2117</v>
      </c>
      <c r="P1491" s="67" t="s">
        <v>19</v>
      </c>
      <c r="Q1491" s="192">
        <v>13.2</v>
      </c>
    </row>
    <row r="1492" spans="1:17" ht="11.1" hidden="1" customHeight="1" x14ac:dyDescent="0.2">
      <c r="A1492" s="3"/>
      <c r="B1492" s="3" t="str">
        <f ca="1">IF(A1492="В заказ",MAX($B$9:OFFSET(B1492,-1,0))+1,"")</f>
        <v/>
      </c>
      <c r="C1492" s="6" t="str">
        <f t="shared" si="41"/>
        <v>Кромка 0,4 U960 ST9  (200 м бухта).</v>
      </c>
      <c r="D1492" s="67" t="s">
        <v>241</v>
      </c>
      <c r="E1492" s="67" t="s">
        <v>151</v>
      </c>
      <c r="F1492" s="67" t="s">
        <v>1231</v>
      </c>
      <c r="G1492" s="68">
        <v>18438</v>
      </c>
      <c r="H1492" s="67" t="s">
        <v>976</v>
      </c>
      <c r="I1492" s="200"/>
      <c r="J1492" s="67" t="s">
        <v>213</v>
      </c>
      <c r="K1492" s="67" t="s">
        <v>214</v>
      </c>
      <c r="L1492" s="67" t="s">
        <v>22</v>
      </c>
      <c r="M1492" s="67" t="s">
        <v>264</v>
      </c>
      <c r="N1492" s="67" t="s">
        <v>253</v>
      </c>
      <c r="O1492" s="67" t="s">
        <v>2117</v>
      </c>
      <c r="P1492" s="67" t="s">
        <v>19</v>
      </c>
      <c r="Q1492" s="192">
        <v>17.100000000000001</v>
      </c>
    </row>
    <row r="1493" spans="1:17" ht="11.1" hidden="1" customHeight="1" x14ac:dyDescent="0.2">
      <c r="A1493" s="3"/>
      <c r="B1493" s="3" t="str">
        <f ca="1">IF(A1493="В заказ",MAX($B$9:OFFSET(B1493,-1,0))+1,"")</f>
        <v/>
      </c>
      <c r="C1493" s="6" t="str">
        <f t="shared" si="41"/>
        <v>Кромка 0,8 U960 ST9  (75 м бухта).</v>
      </c>
      <c r="D1493" s="67" t="s">
        <v>241</v>
      </c>
      <c r="E1493" s="67" t="s">
        <v>151</v>
      </c>
      <c r="F1493" s="67" t="s">
        <v>1232</v>
      </c>
      <c r="G1493" s="68">
        <v>16303</v>
      </c>
      <c r="H1493" s="67" t="s">
        <v>976</v>
      </c>
      <c r="I1493" s="200"/>
      <c r="J1493" s="67" t="s">
        <v>213</v>
      </c>
      <c r="K1493" s="67" t="s">
        <v>214</v>
      </c>
      <c r="L1493" s="67" t="s">
        <v>22</v>
      </c>
      <c r="M1493" s="67" t="s">
        <v>252</v>
      </c>
      <c r="N1493" s="67" t="s">
        <v>10</v>
      </c>
      <c r="O1493" s="67" t="s">
        <v>2116</v>
      </c>
      <c r="P1493" s="67" t="s">
        <v>19</v>
      </c>
      <c r="Q1493" s="192">
        <v>25.7</v>
      </c>
    </row>
    <row r="1494" spans="1:17" ht="11.1" hidden="1" customHeight="1" x14ac:dyDescent="0.2">
      <c r="A1494" s="3"/>
      <c r="B1494" s="3" t="str">
        <f ca="1">IF(A1494="В заказ",MAX($B$9:OFFSET(B1494,-1,0))+1,"")</f>
        <v/>
      </c>
      <c r="C1494" s="6" t="str">
        <f t="shared" si="41"/>
        <v>Кромка 0,8 U960 ST9  (75 м бухта).</v>
      </c>
      <c r="D1494" s="67" t="s">
        <v>241</v>
      </c>
      <c r="E1494" s="67" t="s">
        <v>151</v>
      </c>
      <c r="F1494" s="67" t="s">
        <v>1233</v>
      </c>
      <c r="G1494" s="68">
        <v>18854</v>
      </c>
      <c r="H1494" s="67" t="s">
        <v>976</v>
      </c>
      <c r="I1494" s="200"/>
      <c r="J1494" s="67" t="s">
        <v>213</v>
      </c>
      <c r="K1494" s="67" t="s">
        <v>214</v>
      </c>
      <c r="L1494" s="67" t="s">
        <v>22</v>
      </c>
      <c r="M1494" s="67" t="s">
        <v>244</v>
      </c>
      <c r="N1494" s="67" t="s">
        <v>10</v>
      </c>
      <c r="O1494" s="67" t="s">
        <v>2116</v>
      </c>
      <c r="P1494" s="67" t="s">
        <v>19</v>
      </c>
      <c r="Q1494" s="71">
        <v>31</v>
      </c>
    </row>
    <row r="1495" spans="1:17" ht="11.1" hidden="1" customHeight="1" x14ac:dyDescent="0.2">
      <c r="A1495" s="3"/>
      <c r="B1495" s="3" t="str">
        <f ca="1">IF(A1495="В заказ",MAX($B$9:OFFSET(B1495,-1,0))+1,"")</f>
        <v/>
      </c>
      <c r="C1495" s="6" t="str">
        <f t="shared" si="41"/>
        <v>Кромка 2,0 U960 ST9  (75 м бухта).</v>
      </c>
      <c r="D1495" s="67" t="s">
        <v>241</v>
      </c>
      <c r="E1495" s="67" t="s">
        <v>151</v>
      </c>
      <c r="F1495" s="67" t="s">
        <v>1234</v>
      </c>
      <c r="G1495" s="68">
        <v>13084</v>
      </c>
      <c r="H1495" s="67" t="s">
        <v>976</v>
      </c>
      <c r="I1495" s="200"/>
      <c r="J1495" s="67" t="s">
        <v>213</v>
      </c>
      <c r="K1495" s="67" t="s">
        <v>214</v>
      </c>
      <c r="L1495" s="67" t="s">
        <v>22</v>
      </c>
      <c r="M1495" s="67" t="s">
        <v>252</v>
      </c>
      <c r="N1495" s="67" t="s">
        <v>259</v>
      </c>
      <c r="O1495" s="67" t="s">
        <v>2116</v>
      </c>
      <c r="P1495" s="67" t="s">
        <v>19</v>
      </c>
      <c r="Q1495" s="192">
        <v>48.1</v>
      </c>
    </row>
    <row r="1496" spans="1:17" ht="11.1" hidden="1" customHeight="1" x14ac:dyDescent="0.2">
      <c r="A1496" s="3"/>
      <c r="B1496" s="3" t="str">
        <f ca="1">IF(A1496="В заказ",MAX($B$9:OFFSET(B1496,-1,0))+1,"")</f>
        <v/>
      </c>
      <c r="C1496" s="6" t="str">
        <f t="shared" si="41"/>
        <v>Кромка 2,0 U960 ST9  (75 м бухта).</v>
      </c>
      <c r="D1496" s="67" t="s">
        <v>241</v>
      </c>
      <c r="E1496" s="67" t="s">
        <v>151</v>
      </c>
      <c r="F1496" s="67" t="s">
        <v>1235</v>
      </c>
      <c r="G1496" s="68">
        <v>14659</v>
      </c>
      <c r="H1496" s="67" t="s">
        <v>976</v>
      </c>
      <c r="I1496" s="200"/>
      <c r="J1496" s="67" t="s">
        <v>213</v>
      </c>
      <c r="K1496" s="67" t="s">
        <v>214</v>
      </c>
      <c r="L1496" s="67" t="s">
        <v>22</v>
      </c>
      <c r="M1496" s="67" t="s">
        <v>244</v>
      </c>
      <c r="N1496" s="67" t="s">
        <v>259</v>
      </c>
      <c r="O1496" s="67" t="s">
        <v>2116</v>
      </c>
      <c r="P1496" s="67" t="s">
        <v>19</v>
      </c>
      <c r="Q1496" s="192">
        <v>53.1</v>
      </c>
    </row>
    <row r="1497" spans="1:17" ht="11.1" hidden="1" customHeight="1" x14ac:dyDescent="0.2">
      <c r="A1497" s="3"/>
      <c r="B1497" s="3" t="str">
        <f ca="1">IF(A1497="В заказ",MAX($B$9:OFFSET(B1497,-1,0))+1,"")</f>
        <v/>
      </c>
      <c r="C1497" s="6" t="str">
        <f t="shared" si="41"/>
        <v>Кромка 2,0 U960 ST9  (75 м бухта).</v>
      </c>
      <c r="D1497" s="67" t="s">
        <v>241</v>
      </c>
      <c r="E1497" s="67" t="s">
        <v>151</v>
      </c>
      <c r="F1497" s="67" t="s">
        <v>1236</v>
      </c>
      <c r="G1497" s="68">
        <v>15606</v>
      </c>
      <c r="H1497" s="67" t="s">
        <v>976</v>
      </c>
      <c r="I1497" s="200"/>
      <c r="J1497" s="67" t="s">
        <v>213</v>
      </c>
      <c r="K1497" s="67" t="s">
        <v>214</v>
      </c>
      <c r="L1497" s="67" t="s">
        <v>22</v>
      </c>
      <c r="M1497" s="67" t="s">
        <v>264</v>
      </c>
      <c r="N1497" s="67" t="s">
        <v>259</v>
      </c>
      <c r="O1497" s="67" t="s">
        <v>2116</v>
      </c>
      <c r="P1497" s="67" t="s">
        <v>19</v>
      </c>
      <c r="Q1497" s="192">
        <v>72.400000000000006</v>
      </c>
    </row>
    <row r="1498" spans="1:17" ht="11.1" hidden="1" customHeight="1" x14ac:dyDescent="0.2">
      <c r="A1498" s="3"/>
      <c r="B1498" s="3" t="str">
        <f ca="1">IF(A1498="В заказ",MAX($B$9:OFFSET(B1498,-1,0))+1,"")</f>
        <v/>
      </c>
      <c r="C1498" s="6" t="str">
        <f t="shared" si="41"/>
        <v>Кромка 2,0 U960 ST9  (75 м бухта).</v>
      </c>
      <c r="D1498" s="67" t="s">
        <v>241</v>
      </c>
      <c r="E1498" s="67" t="s">
        <v>151</v>
      </c>
      <c r="F1498" s="67" t="s">
        <v>1237</v>
      </c>
      <c r="G1498" s="68">
        <v>13087</v>
      </c>
      <c r="H1498" s="67" t="s">
        <v>976</v>
      </c>
      <c r="I1498" s="200"/>
      <c r="J1498" s="67" t="s">
        <v>213</v>
      </c>
      <c r="K1498" s="67" t="s">
        <v>214</v>
      </c>
      <c r="L1498" s="67" t="s">
        <v>22</v>
      </c>
      <c r="M1498" s="67" t="s">
        <v>270</v>
      </c>
      <c r="N1498" s="67" t="s">
        <v>259</v>
      </c>
      <c r="O1498" s="67" t="s">
        <v>2116</v>
      </c>
      <c r="P1498" s="67" t="s">
        <v>19</v>
      </c>
      <c r="Q1498" s="192">
        <v>97.2</v>
      </c>
    </row>
    <row r="1499" spans="1:17" ht="11.1" hidden="1" customHeight="1" x14ac:dyDescent="0.2">
      <c r="A1499" s="3"/>
      <c r="B1499" s="3" t="str">
        <f ca="1">IF(A1499="В заказ",MAX($B$9:OFFSET(B1499,-1,0))+1,"")</f>
        <v/>
      </c>
      <c r="C1499" s="6" t="str">
        <f t="shared" si="41"/>
        <v>Кромка 1,0 U961 PM  (75 м бухта).</v>
      </c>
      <c r="D1499" s="67" t="s">
        <v>241</v>
      </c>
      <c r="E1499" s="67" t="s">
        <v>151</v>
      </c>
      <c r="F1499" s="67" t="s">
        <v>1238</v>
      </c>
      <c r="G1499" s="68">
        <v>15309</v>
      </c>
      <c r="H1499" s="67" t="s">
        <v>243</v>
      </c>
      <c r="I1499" s="200"/>
      <c r="J1499" s="67" t="s">
        <v>215</v>
      </c>
      <c r="K1499" s="67" t="s">
        <v>216</v>
      </c>
      <c r="L1499" s="67" t="s">
        <v>248</v>
      </c>
      <c r="M1499" s="67" t="s">
        <v>244</v>
      </c>
      <c r="N1499" s="67" t="s">
        <v>245</v>
      </c>
      <c r="O1499" s="67" t="s">
        <v>2116</v>
      </c>
      <c r="P1499" s="67" t="s">
        <v>19</v>
      </c>
      <c r="Q1499" s="192">
        <v>73.8</v>
      </c>
    </row>
    <row r="1500" spans="1:17" ht="11.1" hidden="1" customHeight="1" x14ac:dyDescent="0.2">
      <c r="A1500" s="3"/>
      <c r="B1500" s="3" t="str">
        <f ca="1">IF(A1500="В заказ",MAX($B$9:OFFSET(B1500,-1,0))+1,"")</f>
        <v/>
      </c>
      <c r="C1500" s="6" t="str">
        <f t="shared" si="41"/>
        <v>Кромка 0,8 U961 ST19  (75 м бухта).</v>
      </c>
      <c r="D1500" s="67" t="s">
        <v>241</v>
      </c>
      <c r="E1500" s="67" t="s">
        <v>151</v>
      </c>
      <c r="F1500" s="67" t="s">
        <v>1239</v>
      </c>
      <c r="G1500" s="68">
        <v>21953</v>
      </c>
      <c r="H1500" s="67" t="s">
        <v>976</v>
      </c>
      <c r="I1500" s="200"/>
      <c r="J1500" s="67" t="s">
        <v>215</v>
      </c>
      <c r="K1500" s="67" t="s">
        <v>216</v>
      </c>
      <c r="L1500" s="67" t="s">
        <v>251</v>
      </c>
      <c r="M1500" s="67" t="s">
        <v>252</v>
      </c>
      <c r="N1500" s="67" t="s">
        <v>10</v>
      </c>
      <c r="O1500" s="67" t="s">
        <v>2116</v>
      </c>
      <c r="P1500" s="67" t="s">
        <v>19</v>
      </c>
      <c r="Q1500" s="192">
        <v>25.7</v>
      </c>
    </row>
    <row r="1501" spans="1:17" ht="11.1" hidden="1" customHeight="1" x14ac:dyDescent="0.2">
      <c r="A1501" s="3"/>
      <c r="B1501" s="3" t="str">
        <f ca="1">IF(A1501="В заказ",MAX($B$9:OFFSET(B1501,-1,0))+1,"")</f>
        <v/>
      </c>
      <c r="C1501" s="6" t="str">
        <f t="shared" si="41"/>
        <v>Кромка 2,0 U961 ST19  (75 м бухта).</v>
      </c>
      <c r="D1501" s="67" t="s">
        <v>241</v>
      </c>
      <c r="E1501" s="67" t="s">
        <v>151</v>
      </c>
      <c r="F1501" s="67" t="s">
        <v>1240</v>
      </c>
      <c r="G1501" s="68">
        <v>21952</v>
      </c>
      <c r="H1501" s="67" t="s">
        <v>976</v>
      </c>
      <c r="I1501" s="200"/>
      <c r="J1501" s="67" t="s">
        <v>215</v>
      </c>
      <c r="K1501" s="67" t="s">
        <v>216</v>
      </c>
      <c r="L1501" s="67" t="s">
        <v>251</v>
      </c>
      <c r="M1501" s="67" t="s">
        <v>252</v>
      </c>
      <c r="N1501" s="67" t="s">
        <v>259</v>
      </c>
      <c r="O1501" s="67" t="s">
        <v>2116</v>
      </c>
      <c r="P1501" s="67" t="s">
        <v>19</v>
      </c>
      <c r="Q1501" s="192">
        <v>48.1</v>
      </c>
    </row>
    <row r="1502" spans="1:17" ht="11.1" hidden="1" customHeight="1" x14ac:dyDescent="0.2">
      <c r="A1502" s="3"/>
      <c r="B1502" s="3" t="str">
        <f ca="1">IF(A1502="В заказ",MAX($B$9:OFFSET(B1502,-1,0))+1,"")</f>
        <v/>
      </c>
      <c r="C1502" s="6" t="str">
        <f t="shared" si="41"/>
        <v>Кромка 0,4 U961 ST2  (200 м бухта).</v>
      </c>
      <c r="D1502" s="67" t="s">
        <v>241</v>
      </c>
      <c r="E1502" s="67" t="s">
        <v>151</v>
      </c>
      <c r="F1502" s="67" t="s">
        <v>1241</v>
      </c>
      <c r="G1502" s="68">
        <v>8534</v>
      </c>
      <c r="H1502" s="67" t="s">
        <v>976</v>
      </c>
      <c r="I1502" s="200"/>
      <c r="J1502" s="67" t="s">
        <v>215</v>
      </c>
      <c r="K1502" s="67" t="s">
        <v>216</v>
      </c>
      <c r="L1502" s="67" t="s">
        <v>31</v>
      </c>
      <c r="M1502" s="67" t="s">
        <v>252</v>
      </c>
      <c r="N1502" s="67" t="s">
        <v>253</v>
      </c>
      <c r="O1502" s="67" t="s">
        <v>2117</v>
      </c>
      <c r="P1502" s="67" t="s">
        <v>19</v>
      </c>
      <c r="Q1502" s="71">
        <v>11</v>
      </c>
    </row>
    <row r="1503" spans="1:17" ht="11.1" hidden="1" customHeight="1" x14ac:dyDescent="0.2">
      <c r="A1503" s="3"/>
      <c r="B1503" s="3" t="str">
        <f ca="1">IF(A1503="В заказ",MAX($B$9:OFFSET(B1503,-1,0))+1,"")</f>
        <v/>
      </c>
      <c r="C1503" s="6" t="str">
        <f t="shared" si="41"/>
        <v>Кромка 0,4 U961 ST2  (200 м бухта).</v>
      </c>
      <c r="D1503" s="67" t="s">
        <v>241</v>
      </c>
      <c r="E1503" s="67" t="s">
        <v>151</v>
      </c>
      <c r="F1503" s="67" t="s">
        <v>1242</v>
      </c>
      <c r="G1503" s="68">
        <v>24812</v>
      </c>
      <c r="H1503" s="67" t="s">
        <v>976</v>
      </c>
      <c r="I1503" s="200"/>
      <c r="J1503" s="67" t="s">
        <v>215</v>
      </c>
      <c r="K1503" s="67" t="s">
        <v>216</v>
      </c>
      <c r="L1503" s="67" t="s">
        <v>31</v>
      </c>
      <c r="M1503" s="67" t="s">
        <v>244</v>
      </c>
      <c r="N1503" s="67" t="s">
        <v>253</v>
      </c>
      <c r="O1503" s="67" t="s">
        <v>2117</v>
      </c>
      <c r="P1503" s="67" t="s">
        <v>19</v>
      </c>
      <c r="Q1503" s="192">
        <v>13.2</v>
      </c>
    </row>
    <row r="1504" spans="1:17" ht="11.1" hidden="1" customHeight="1" x14ac:dyDescent="0.2">
      <c r="A1504" s="3"/>
      <c r="B1504" s="3" t="str">
        <f ca="1">IF(A1504="В заказ",MAX($B$9:OFFSET(B1504,-1,0))+1,"")</f>
        <v/>
      </c>
      <c r="C1504" s="6" t="str">
        <f t="shared" si="41"/>
        <v>Кромка 0,8 U961 ST2  (75 м бухта).</v>
      </c>
      <c r="D1504" s="67" t="s">
        <v>241</v>
      </c>
      <c r="E1504" s="67" t="s">
        <v>151</v>
      </c>
      <c r="F1504" s="67" t="s">
        <v>1243</v>
      </c>
      <c r="G1504" s="68">
        <v>12659</v>
      </c>
      <c r="H1504" s="67" t="s">
        <v>976</v>
      </c>
      <c r="I1504" s="200"/>
      <c r="J1504" s="67" t="s">
        <v>215</v>
      </c>
      <c r="K1504" s="67" t="s">
        <v>216</v>
      </c>
      <c r="L1504" s="67" t="s">
        <v>31</v>
      </c>
      <c r="M1504" s="67" t="s">
        <v>252</v>
      </c>
      <c r="N1504" s="67" t="s">
        <v>10</v>
      </c>
      <c r="O1504" s="67" t="s">
        <v>2116</v>
      </c>
      <c r="P1504" s="67" t="s">
        <v>19</v>
      </c>
      <c r="Q1504" s="192">
        <v>25.7</v>
      </c>
    </row>
    <row r="1505" spans="1:17" ht="11.1" hidden="1" customHeight="1" x14ac:dyDescent="0.2">
      <c r="A1505" s="3"/>
      <c r="B1505" s="3" t="str">
        <f ca="1">IF(A1505="В заказ",MAX($B$9:OFFSET(B1505,-1,0))+1,"")</f>
        <v/>
      </c>
      <c r="C1505" s="6" t="str">
        <f t="shared" si="41"/>
        <v>Кромка 0,8 U961 ST2  (75 м бухта).</v>
      </c>
      <c r="D1505" s="67" t="s">
        <v>241</v>
      </c>
      <c r="E1505" s="67" t="s">
        <v>151</v>
      </c>
      <c r="F1505" s="67" t="s">
        <v>1244</v>
      </c>
      <c r="G1505" s="68">
        <v>24813</v>
      </c>
      <c r="H1505" s="67" t="s">
        <v>976</v>
      </c>
      <c r="I1505" s="200"/>
      <c r="J1505" s="67" t="s">
        <v>215</v>
      </c>
      <c r="K1505" s="67" t="s">
        <v>216</v>
      </c>
      <c r="L1505" s="67" t="s">
        <v>31</v>
      </c>
      <c r="M1505" s="67" t="s">
        <v>244</v>
      </c>
      <c r="N1505" s="67" t="s">
        <v>10</v>
      </c>
      <c r="O1505" s="67" t="s">
        <v>2116</v>
      </c>
      <c r="P1505" s="67" t="s">
        <v>19</v>
      </c>
      <c r="Q1505" s="71">
        <v>31</v>
      </c>
    </row>
    <row r="1506" spans="1:17" ht="11.1" hidden="1" customHeight="1" x14ac:dyDescent="0.2">
      <c r="A1506" s="3"/>
      <c r="B1506" s="3" t="str">
        <f ca="1">IF(A1506="В заказ",MAX($B$9:OFFSET(B1506,-1,0))+1,"")</f>
        <v/>
      </c>
      <c r="C1506" s="6" t="str">
        <f t="shared" si="41"/>
        <v>Кромка 0,8 U961 ST2  (75 м бухта).</v>
      </c>
      <c r="D1506" s="67" t="s">
        <v>241</v>
      </c>
      <c r="E1506" s="67" t="s">
        <v>151</v>
      </c>
      <c r="F1506" s="67" t="s">
        <v>1245</v>
      </c>
      <c r="G1506" s="68">
        <v>16769</v>
      </c>
      <c r="H1506" s="67" t="s">
        <v>976</v>
      </c>
      <c r="I1506" s="200"/>
      <c r="J1506" s="67" t="s">
        <v>215</v>
      </c>
      <c r="K1506" s="67" t="s">
        <v>216</v>
      </c>
      <c r="L1506" s="67" t="s">
        <v>31</v>
      </c>
      <c r="M1506" s="67" t="s">
        <v>264</v>
      </c>
      <c r="N1506" s="67" t="s">
        <v>10</v>
      </c>
      <c r="O1506" s="67" t="s">
        <v>2116</v>
      </c>
      <c r="P1506" s="67" t="s">
        <v>19</v>
      </c>
      <c r="Q1506" s="192">
        <v>47.5</v>
      </c>
    </row>
    <row r="1507" spans="1:17" ht="11.1" hidden="1" customHeight="1" x14ac:dyDescent="0.2">
      <c r="A1507" s="3"/>
      <c r="B1507" s="3" t="str">
        <f ca="1">IF(A1507="В заказ",MAX($B$9:OFFSET(B1507,-1,0))+1,"")</f>
        <v/>
      </c>
      <c r="C1507" s="6" t="str">
        <f t="shared" si="41"/>
        <v>Кромка 0,8 U961 ST2  (75 м бухта).</v>
      </c>
      <c r="D1507" s="67" t="s">
        <v>241</v>
      </c>
      <c r="E1507" s="67" t="s">
        <v>151</v>
      </c>
      <c r="F1507" s="67" t="s">
        <v>1246</v>
      </c>
      <c r="G1507" s="68">
        <v>15230</v>
      </c>
      <c r="H1507" s="67" t="s">
        <v>976</v>
      </c>
      <c r="I1507" s="200"/>
      <c r="J1507" s="67" t="s">
        <v>215</v>
      </c>
      <c r="K1507" s="67" t="s">
        <v>216</v>
      </c>
      <c r="L1507" s="67" t="s">
        <v>31</v>
      </c>
      <c r="M1507" s="67" t="s">
        <v>270</v>
      </c>
      <c r="N1507" s="67" t="s">
        <v>10</v>
      </c>
      <c r="O1507" s="67" t="s">
        <v>2116</v>
      </c>
      <c r="P1507" s="67" t="s">
        <v>19</v>
      </c>
      <c r="Q1507" s="192">
        <v>69.5</v>
      </c>
    </row>
    <row r="1508" spans="1:17" ht="11.1" hidden="1" customHeight="1" x14ac:dyDescent="0.2">
      <c r="A1508" s="3"/>
      <c r="B1508" s="3" t="str">
        <f ca="1">IF(A1508="В заказ",MAX($B$9:OFFSET(B1508,-1,0))+1,"")</f>
        <v/>
      </c>
      <c r="C1508" s="6" t="str">
        <f t="shared" si="41"/>
        <v>Кромка 2,0 U961 ST2  (75 м бухта).</v>
      </c>
      <c r="D1508" s="67" t="s">
        <v>241</v>
      </c>
      <c r="E1508" s="67" t="s">
        <v>151</v>
      </c>
      <c r="F1508" s="67" t="s">
        <v>1247</v>
      </c>
      <c r="G1508" s="68">
        <v>3316</v>
      </c>
      <c r="H1508" s="67" t="s">
        <v>976</v>
      </c>
      <c r="I1508" s="200"/>
      <c r="J1508" s="67" t="s">
        <v>215</v>
      </c>
      <c r="K1508" s="67" t="s">
        <v>216</v>
      </c>
      <c r="L1508" s="67" t="s">
        <v>31</v>
      </c>
      <c r="M1508" s="67" t="s">
        <v>252</v>
      </c>
      <c r="N1508" s="67" t="s">
        <v>259</v>
      </c>
      <c r="O1508" s="67" t="s">
        <v>2116</v>
      </c>
      <c r="P1508" s="67" t="s">
        <v>19</v>
      </c>
      <c r="Q1508" s="192">
        <v>48.1</v>
      </c>
    </row>
    <row r="1509" spans="1:17" ht="11.1" hidden="1" customHeight="1" x14ac:dyDescent="0.2">
      <c r="A1509" s="3"/>
      <c r="B1509" s="3" t="str">
        <f ca="1">IF(A1509="В заказ",MAX($B$9:OFFSET(B1509,-1,0))+1,"")</f>
        <v/>
      </c>
      <c r="C1509" s="6" t="str">
        <f t="shared" si="41"/>
        <v>Кромка 2,0 U961 ST2  (75 м бухта).</v>
      </c>
      <c r="D1509" s="67" t="s">
        <v>241</v>
      </c>
      <c r="E1509" s="67" t="s">
        <v>151</v>
      </c>
      <c r="F1509" s="67" t="s">
        <v>1248</v>
      </c>
      <c r="G1509" s="68">
        <v>24814</v>
      </c>
      <c r="H1509" s="67" t="s">
        <v>976</v>
      </c>
      <c r="I1509" s="200"/>
      <c r="J1509" s="67" t="s">
        <v>215</v>
      </c>
      <c r="K1509" s="67" t="s">
        <v>216</v>
      </c>
      <c r="L1509" s="67" t="s">
        <v>31</v>
      </c>
      <c r="M1509" s="67" t="s">
        <v>244</v>
      </c>
      <c r="N1509" s="67" t="s">
        <v>259</v>
      </c>
      <c r="O1509" s="67" t="s">
        <v>2116</v>
      </c>
      <c r="P1509" s="67" t="s">
        <v>19</v>
      </c>
      <c r="Q1509" s="192">
        <v>53.1</v>
      </c>
    </row>
    <row r="1510" spans="1:17" ht="11.1" hidden="1" customHeight="1" x14ac:dyDescent="0.2">
      <c r="A1510" s="3"/>
      <c r="B1510" s="3" t="str">
        <f ca="1">IF(A1510="В заказ",MAX($B$9:OFFSET(B1510,-1,0))+1,"")</f>
        <v/>
      </c>
      <c r="C1510" s="6" t="str">
        <f t="shared" si="41"/>
        <v>Кромка 2,0 U961 ST2  (75 м бухта).</v>
      </c>
      <c r="D1510" s="67" t="s">
        <v>241</v>
      </c>
      <c r="E1510" s="67" t="s">
        <v>151</v>
      </c>
      <c r="F1510" s="67" t="s">
        <v>1249</v>
      </c>
      <c r="G1510" s="68">
        <v>7751</v>
      </c>
      <c r="H1510" s="67" t="s">
        <v>976</v>
      </c>
      <c r="I1510" s="200"/>
      <c r="J1510" s="67" t="s">
        <v>215</v>
      </c>
      <c r="K1510" s="67" t="s">
        <v>216</v>
      </c>
      <c r="L1510" s="67" t="s">
        <v>31</v>
      </c>
      <c r="M1510" s="67" t="s">
        <v>264</v>
      </c>
      <c r="N1510" s="67" t="s">
        <v>259</v>
      </c>
      <c r="O1510" s="67" t="s">
        <v>2116</v>
      </c>
      <c r="P1510" s="67" t="s">
        <v>19</v>
      </c>
      <c r="Q1510" s="192">
        <v>72.400000000000006</v>
      </c>
    </row>
    <row r="1511" spans="1:17" ht="11.1" hidden="1" customHeight="1" x14ac:dyDescent="0.2">
      <c r="A1511" s="3"/>
      <c r="B1511" s="3" t="str">
        <f ca="1">IF(A1511="В заказ",MAX($B$9:OFFSET(B1511,-1,0))+1,"")</f>
        <v/>
      </c>
      <c r="C1511" s="6" t="str">
        <f t="shared" si="41"/>
        <v>Кромка 2,0 U961 ST2  (75 м бухта).</v>
      </c>
      <c r="D1511" s="67" t="s">
        <v>241</v>
      </c>
      <c r="E1511" s="67" t="s">
        <v>151</v>
      </c>
      <c r="F1511" s="67" t="s">
        <v>1250</v>
      </c>
      <c r="G1511" s="68">
        <v>6423</v>
      </c>
      <c r="H1511" s="67" t="s">
        <v>976</v>
      </c>
      <c r="I1511" s="200"/>
      <c r="J1511" s="67" t="s">
        <v>215</v>
      </c>
      <c r="K1511" s="67" t="s">
        <v>216</v>
      </c>
      <c r="L1511" s="67" t="s">
        <v>31</v>
      </c>
      <c r="M1511" s="67" t="s">
        <v>270</v>
      </c>
      <c r="N1511" s="67" t="s">
        <v>259</v>
      </c>
      <c r="O1511" s="67" t="s">
        <v>2116</v>
      </c>
      <c r="P1511" s="67" t="s">
        <v>19</v>
      </c>
      <c r="Q1511" s="192">
        <v>97.2</v>
      </c>
    </row>
    <row r="1512" spans="1:17" ht="11.1" hidden="1" customHeight="1" x14ac:dyDescent="0.2">
      <c r="A1512" s="3"/>
      <c r="B1512" s="3" t="str">
        <f ca="1">IF(A1512="В заказ",MAX($B$9:OFFSET(B1512,-1,0))+1,"")</f>
        <v/>
      </c>
      <c r="C1512" s="6" t="str">
        <f t="shared" si="41"/>
        <v>Кромка 2,0 U961 ST2  (75 м бухта).</v>
      </c>
      <c r="D1512" s="67" t="s">
        <v>241</v>
      </c>
      <c r="E1512" s="67" t="s">
        <v>151</v>
      </c>
      <c r="F1512" s="67" t="s">
        <v>1251</v>
      </c>
      <c r="G1512" s="68">
        <v>21489</v>
      </c>
      <c r="H1512" s="67" t="s">
        <v>976</v>
      </c>
      <c r="I1512" s="200"/>
      <c r="J1512" s="67" t="s">
        <v>215</v>
      </c>
      <c r="K1512" s="67" t="s">
        <v>216</v>
      </c>
      <c r="L1512" s="67" t="s">
        <v>31</v>
      </c>
      <c r="M1512" s="67" t="s">
        <v>282</v>
      </c>
      <c r="N1512" s="67" t="s">
        <v>259</v>
      </c>
      <c r="O1512" s="67" t="s">
        <v>2116</v>
      </c>
      <c r="P1512" s="67" t="s">
        <v>19</v>
      </c>
      <c r="Q1512" s="192">
        <v>150.9</v>
      </c>
    </row>
    <row r="1513" spans="1:17" ht="11.1" hidden="1" customHeight="1" x14ac:dyDescent="0.2">
      <c r="A1513" s="3"/>
      <c r="B1513" s="3" t="str">
        <f ca="1">IF(A1513="В заказ",MAX($B$9:OFFSET(B1513,-1,0))+1,"")</f>
        <v/>
      </c>
      <c r="C1513" s="6" t="str">
        <f t="shared" si="41"/>
        <v>Кромка 0,4 U963 ST9  (200 м бухта).</v>
      </c>
      <c r="D1513" s="67" t="s">
        <v>241</v>
      </c>
      <c r="E1513" s="67" t="s">
        <v>151</v>
      </c>
      <c r="F1513" s="67" t="s">
        <v>1252</v>
      </c>
      <c r="G1513" s="68">
        <v>14408</v>
      </c>
      <c r="H1513" s="67" t="s">
        <v>976</v>
      </c>
      <c r="I1513" s="200"/>
      <c r="J1513" s="67" t="s">
        <v>217</v>
      </c>
      <c r="K1513" s="67" t="s">
        <v>218</v>
      </c>
      <c r="L1513" s="67" t="s">
        <v>22</v>
      </c>
      <c r="M1513" s="67" t="s">
        <v>252</v>
      </c>
      <c r="N1513" s="67" t="s">
        <v>253</v>
      </c>
      <c r="O1513" s="67" t="s">
        <v>2117</v>
      </c>
      <c r="P1513" s="67" t="s">
        <v>19</v>
      </c>
      <c r="Q1513" s="71">
        <v>11</v>
      </c>
    </row>
    <row r="1514" spans="1:17" ht="11.1" hidden="1" customHeight="1" x14ac:dyDescent="0.2">
      <c r="A1514" s="3"/>
      <c r="B1514" s="3" t="str">
        <f ca="1">IF(A1514="В заказ",MAX($B$9:OFFSET(B1514,-1,0))+1,"")</f>
        <v/>
      </c>
      <c r="C1514" s="6" t="str">
        <f t="shared" si="41"/>
        <v>Кромка 0,4 U963 ST9  (200 м бухта).</v>
      </c>
      <c r="D1514" s="67" t="s">
        <v>241</v>
      </c>
      <c r="E1514" s="67" t="s">
        <v>151</v>
      </c>
      <c r="F1514" s="67" t="s">
        <v>1253</v>
      </c>
      <c r="G1514" s="68">
        <v>22328</v>
      </c>
      <c r="H1514" s="67" t="s">
        <v>976</v>
      </c>
      <c r="I1514" s="200"/>
      <c r="J1514" s="67" t="s">
        <v>217</v>
      </c>
      <c r="K1514" s="67" t="s">
        <v>218</v>
      </c>
      <c r="L1514" s="67" t="s">
        <v>22</v>
      </c>
      <c r="M1514" s="67" t="s">
        <v>244</v>
      </c>
      <c r="N1514" s="67" t="s">
        <v>253</v>
      </c>
      <c r="O1514" s="67" t="s">
        <v>2117</v>
      </c>
      <c r="P1514" s="67" t="s">
        <v>19</v>
      </c>
      <c r="Q1514" s="192">
        <v>13.2</v>
      </c>
    </row>
    <row r="1515" spans="1:17" ht="11.1" hidden="1" customHeight="1" x14ac:dyDescent="0.2">
      <c r="A1515" s="3"/>
      <c r="B1515" s="3" t="str">
        <f ca="1">IF(A1515="В заказ",MAX($B$9:OFFSET(B1515,-1,0))+1,"")</f>
        <v/>
      </c>
      <c r="C1515" s="6" t="str">
        <f t="shared" si="41"/>
        <v>Кромка 0,4 U963 ST9  (200 м бухта).</v>
      </c>
      <c r="D1515" s="67" t="s">
        <v>241</v>
      </c>
      <c r="E1515" s="67" t="s">
        <v>151</v>
      </c>
      <c r="F1515" s="67" t="s">
        <v>1254</v>
      </c>
      <c r="G1515" s="68">
        <v>16694</v>
      </c>
      <c r="H1515" s="67" t="s">
        <v>976</v>
      </c>
      <c r="I1515" s="200"/>
      <c r="J1515" s="67" t="s">
        <v>217</v>
      </c>
      <c r="K1515" s="67" t="s">
        <v>218</v>
      </c>
      <c r="L1515" s="67" t="s">
        <v>22</v>
      </c>
      <c r="M1515" s="67" t="s">
        <v>264</v>
      </c>
      <c r="N1515" s="67" t="s">
        <v>253</v>
      </c>
      <c r="O1515" s="67" t="s">
        <v>2117</v>
      </c>
      <c r="P1515" s="67" t="s">
        <v>19</v>
      </c>
      <c r="Q1515" s="192">
        <v>17.100000000000001</v>
      </c>
    </row>
    <row r="1516" spans="1:17" ht="11.1" hidden="1" customHeight="1" x14ac:dyDescent="0.2">
      <c r="A1516" s="3"/>
      <c r="B1516" s="3" t="str">
        <f ca="1">IF(A1516="В заказ",MAX($B$9:OFFSET(B1516,-1,0))+1,"")</f>
        <v/>
      </c>
      <c r="C1516" s="6" t="str">
        <f t="shared" si="41"/>
        <v>Кромка 0,8 U963 ST9  (75 м бухта).</v>
      </c>
      <c r="D1516" s="67" t="s">
        <v>241</v>
      </c>
      <c r="E1516" s="67" t="s">
        <v>151</v>
      </c>
      <c r="F1516" s="67" t="s">
        <v>1255</v>
      </c>
      <c r="G1516" s="68">
        <v>15418</v>
      </c>
      <c r="H1516" s="67" t="s">
        <v>976</v>
      </c>
      <c r="I1516" s="200"/>
      <c r="J1516" s="67" t="s">
        <v>217</v>
      </c>
      <c r="K1516" s="67" t="s">
        <v>218</v>
      </c>
      <c r="L1516" s="67" t="s">
        <v>22</v>
      </c>
      <c r="M1516" s="67" t="s">
        <v>252</v>
      </c>
      <c r="N1516" s="67" t="s">
        <v>10</v>
      </c>
      <c r="O1516" s="67" t="s">
        <v>2116</v>
      </c>
      <c r="P1516" s="67" t="s">
        <v>19</v>
      </c>
      <c r="Q1516" s="192">
        <v>25.7</v>
      </c>
    </row>
    <row r="1517" spans="1:17" ht="11.1" hidden="1" customHeight="1" x14ac:dyDescent="0.2">
      <c r="A1517" s="3"/>
      <c r="B1517" s="3" t="str">
        <f ca="1">IF(A1517="В заказ",MAX($B$9:OFFSET(B1517,-1,0))+1,"")</f>
        <v/>
      </c>
      <c r="C1517" s="6" t="str">
        <f t="shared" si="41"/>
        <v>Кромка 0,8 U963 ST9  (75 м бухта).</v>
      </c>
      <c r="D1517" s="67" t="s">
        <v>241</v>
      </c>
      <c r="E1517" s="67" t="s">
        <v>151</v>
      </c>
      <c r="F1517" s="67" t="s">
        <v>1256</v>
      </c>
      <c r="G1517" s="68">
        <v>16201</v>
      </c>
      <c r="H1517" s="67" t="s">
        <v>976</v>
      </c>
      <c r="I1517" s="200"/>
      <c r="J1517" s="67" t="s">
        <v>217</v>
      </c>
      <c r="K1517" s="67" t="s">
        <v>218</v>
      </c>
      <c r="L1517" s="67" t="s">
        <v>22</v>
      </c>
      <c r="M1517" s="67" t="s">
        <v>244</v>
      </c>
      <c r="N1517" s="67" t="s">
        <v>10</v>
      </c>
      <c r="O1517" s="67" t="s">
        <v>2116</v>
      </c>
      <c r="P1517" s="67" t="s">
        <v>19</v>
      </c>
      <c r="Q1517" s="71">
        <v>31</v>
      </c>
    </row>
    <row r="1518" spans="1:17" ht="11.1" hidden="1" customHeight="1" x14ac:dyDescent="0.2">
      <c r="A1518" s="3"/>
      <c r="B1518" s="3" t="str">
        <f ca="1">IF(A1518="В заказ",MAX($B$9:OFFSET(B1518,-1,0))+1,"")</f>
        <v/>
      </c>
      <c r="C1518" s="6" t="str">
        <f t="shared" si="41"/>
        <v>Кромка 2,0 U963 ST9  (75 м бухта).</v>
      </c>
      <c r="D1518" s="67" t="s">
        <v>241</v>
      </c>
      <c r="E1518" s="67" t="s">
        <v>151</v>
      </c>
      <c r="F1518" s="67" t="s">
        <v>1257</v>
      </c>
      <c r="G1518" s="68">
        <v>14409</v>
      </c>
      <c r="H1518" s="67" t="s">
        <v>976</v>
      </c>
      <c r="I1518" s="200"/>
      <c r="J1518" s="67" t="s">
        <v>217</v>
      </c>
      <c r="K1518" s="67" t="s">
        <v>218</v>
      </c>
      <c r="L1518" s="67" t="s">
        <v>22</v>
      </c>
      <c r="M1518" s="67" t="s">
        <v>252</v>
      </c>
      <c r="N1518" s="67" t="s">
        <v>259</v>
      </c>
      <c r="O1518" s="67" t="s">
        <v>2116</v>
      </c>
      <c r="P1518" s="67" t="s">
        <v>19</v>
      </c>
      <c r="Q1518" s="192">
        <v>48.1</v>
      </c>
    </row>
    <row r="1519" spans="1:17" ht="11.1" hidden="1" customHeight="1" x14ac:dyDescent="0.2">
      <c r="A1519" s="3"/>
      <c r="B1519" s="3" t="str">
        <f ca="1">IF(A1519="В заказ",MAX($B$9:OFFSET(B1519,-1,0))+1,"")</f>
        <v/>
      </c>
      <c r="C1519" s="6" t="str">
        <f t="shared" si="41"/>
        <v>Кромка 2,0 U963 ST9  (75 м бухта).</v>
      </c>
      <c r="D1519" s="67" t="s">
        <v>241</v>
      </c>
      <c r="E1519" s="67" t="s">
        <v>151</v>
      </c>
      <c r="F1519" s="67" t="s">
        <v>1258</v>
      </c>
      <c r="G1519" s="68">
        <v>18430</v>
      </c>
      <c r="H1519" s="67" t="s">
        <v>976</v>
      </c>
      <c r="I1519" s="200"/>
      <c r="J1519" s="67" t="s">
        <v>217</v>
      </c>
      <c r="K1519" s="67" t="s">
        <v>218</v>
      </c>
      <c r="L1519" s="67" t="s">
        <v>22</v>
      </c>
      <c r="M1519" s="67" t="s">
        <v>244</v>
      </c>
      <c r="N1519" s="67" t="s">
        <v>259</v>
      </c>
      <c r="O1519" s="67" t="s">
        <v>2116</v>
      </c>
      <c r="P1519" s="67" t="s">
        <v>19</v>
      </c>
      <c r="Q1519" s="192">
        <v>53.1</v>
      </c>
    </row>
    <row r="1520" spans="1:17" ht="11.1" hidden="1" customHeight="1" x14ac:dyDescent="0.2">
      <c r="A1520" s="3"/>
      <c r="B1520" s="3" t="str">
        <f ca="1">IF(A1520="В заказ",MAX($B$9:OFFSET(B1520,-1,0))+1,"")</f>
        <v/>
      </c>
      <c r="C1520" s="6" t="str">
        <f t="shared" si="41"/>
        <v>Кромка 2,0 U963 ST9  (75 м бухта).</v>
      </c>
      <c r="D1520" s="67" t="s">
        <v>241</v>
      </c>
      <c r="E1520" s="67" t="s">
        <v>151</v>
      </c>
      <c r="F1520" s="67" t="s">
        <v>1259</v>
      </c>
      <c r="G1520" s="68">
        <v>14410</v>
      </c>
      <c r="H1520" s="67" t="s">
        <v>976</v>
      </c>
      <c r="I1520" s="200"/>
      <c r="J1520" s="67" t="s">
        <v>217</v>
      </c>
      <c r="K1520" s="67" t="s">
        <v>218</v>
      </c>
      <c r="L1520" s="67" t="s">
        <v>22</v>
      </c>
      <c r="M1520" s="67" t="s">
        <v>264</v>
      </c>
      <c r="N1520" s="67" t="s">
        <v>259</v>
      </c>
      <c r="O1520" s="67" t="s">
        <v>2116</v>
      </c>
      <c r="P1520" s="67" t="s">
        <v>19</v>
      </c>
      <c r="Q1520" s="192">
        <v>72.400000000000006</v>
      </c>
    </row>
    <row r="1521" spans="1:17" ht="11.1" hidden="1" customHeight="1" x14ac:dyDescent="0.2">
      <c r="A1521" s="3"/>
      <c r="B1521" s="3" t="str">
        <f ca="1">IF(A1521="В заказ",MAX($B$9:OFFSET(B1521,-1,0))+1,"")</f>
        <v/>
      </c>
      <c r="C1521" s="6" t="str">
        <f t="shared" si="41"/>
        <v>Кромка 2,0 U963 ST9  (75 м бухта).</v>
      </c>
      <c r="D1521" s="67" t="s">
        <v>241</v>
      </c>
      <c r="E1521" s="67" t="s">
        <v>151</v>
      </c>
      <c r="F1521" s="67" t="s">
        <v>1260</v>
      </c>
      <c r="G1521" s="68">
        <v>15129</v>
      </c>
      <c r="H1521" s="67" t="s">
        <v>976</v>
      </c>
      <c r="I1521" s="200"/>
      <c r="J1521" s="67" t="s">
        <v>217</v>
      </c>
      <c r="K1521" s="67" t="s">
        <v>218</v>
      </c>
      <c r="L1521" s="67" t="s">
        <v>22</v>
      </c>
      <c r="M1521" s="67" t="s">
        <v>270</v>
      </c>
      <c r="N1521" s="67" t="s">
        <v>259</v>
      </c>
      <c r="O1521" s="67" t="s">
        <v>2116</v>
      </c>
      <c r="P1521" s="67" t="s">
        <v>19</v>
      </c>
      <c r="Q1521" s="192">
        <v>97.2</v>
      </c>
    </row>
    <row r="1522" spans="1:17" ht="11.1" hidden="1" customHeight="1" x14ac:dyDescent="0.2">
      <c r="A1522" s="3"/>
      <c r="B1522" s="3" t="str">
        <f ca="1">IF(A1522="В заказ",MAX($B$9:OFFSET(B1522,-1,0))+1,"")</f>
        <v/>
      </c>
      <c r="C1522" s="6" t="str">
        <f t="shared" si="41"/>
        <v>Кромка 0,4 U968 ST9  (200 м бухта).</v>
      </c>
      <c r="D1522" s="67" t="s">
        <v>241</v>
      </c>
      <c r="E1522" s="67" t="s">
        <v>151</v>
      </c>
      <c r="F1522" s="67" t="s">
        <v>1261</v>
      </c>
      <c r="G1522" s="68">
        <v>21612</v>
      </c>
      <c r="H1522" s="67" t="s">
        <v>976</v>
      </c>
      <c r="I1522" s="200"/>
      <c r="J1522" s="67" t="s">
        <v>1262</v>
      </c>
      <c r="K1522" s="67" t="s">
        <v>1263</v>
      </c>
      <c r="L1522" s="67" t="s">
        <v>22</v>
      </c>
      <c r="M1522" s="67" t="s">
        <v>252</v>
      </c>
      <c r="N1522" s="67" t="s">
        <v>253</v>
      </c>
      <c r="O1522" s="67" t="s">
        <v>2117</v>
      </c>
      <c r="P1522" s="67" t="s">
        <v>19</v>
      </c>
      <c r="Q1522" s="71">
        <v>11</v>
      </c>
    </row>
    <row r="1523" spans="1:17" ht="11.1" hidden="1" customHeight="1" x14ac:dyDescent="0.2">
      <c r="A1523" s="3"/>
      <c r="B1523" s="3" t="str">
        <f ca="1">IF(A1523="В заказ",MAX($B$9:OFFSET(B1523,-1,0))+1,"")</f>
        <v/>
      </c>
      <c r="C1523" s="6" t="str">
        <f t="shared" si="41"/>
        <v>Кромка 0,4 U968 ST9  (200 м бухта).</v>
      </c>
      <c r="D1523" s="67" t="s">
        <v>241</v>
      </c>
      <c r="E1523" s="67" t="s">
        <v>151</v>
      </c>
      <c r="F1523" s="67" t="s">
        <v>1264</v>
      </c>
      <c r="G1523" s="68">
        <v>24821</v>
      </c>
      <c r="H1523" s="67" t="s">
        <v>976</v>
      </c>
      <c r="I1523" s="200"/>
      <c r="J1523" s="67" t="s">
        <v>1262</v>
      </c>
      <c r="K1523" s="67" t="s">
        <v>1263</v>
      </c>
      <c r="L1523" s="67" t="s">
        <v>22</v>
      </c>
      <c r="M1523" s="67" t="s">
        <v>244</v>
      </c>
      <c r="N1523" s="67" t="s">
        <v>253</v>
      </c>
      <c r="O1523" s="67" t="s">
        <v>2117</v>
      </c>
      <c r="P1523" s="67" t="s">
        <v>19</v>
      </c>
      <c r="Q1523" s="192">
        <v>13.2</v>
      </c>
    </row>
    <row r="1524" spans="1:17" ht="11.1" hidden="1" customHeight="1" x14ac:dyDescent="0.2">
      <c r="A1524" s="3"/>
      <c r="B1524" s="3" t="str">
        <f ca="1">IF(A1524="В заказ",MAX($B$9:OFFSET(B1524,-1,0))+1,"")</f>
        <v/>
      </c>
      <c r="C1524" s="6" t="str">
        <f t="shared" si="41"/>
        <v>Кромка 0,4 U968 ST9  (200 м бухта).</v>
      </c>
      <c r="D1524" s="67" t="s">
        <v>241</v>
      </c>
      <c r="E1524" s="67" t="s">
        <v>151</v>
      </c>
      <c r="F1524" s="67" t="s">
        <v>1265</v>
      </c>
      <c r="G1524" s="68">
        <v>22690</v>
      </c>
      <c r="H1524" s="67" t="s">
        <v>976</v>
      </c>
      <c r="I1524" s="200"/>
      <c r="J1524" s="67" t="s">
        <v>1262</v>
      </c>
      <c r="K1524" s="67" t="s">
        <v>1263</v>
      </c>
      <c r="L1524" s="67" t="s">
        <v>22</v>
      </c>
      <c r="M1524" s="67" t="s">
        <v>264</v>
      </c>
      <c r="N1524" s="67" t="s">
        <v>253</v>
      </c>
      <c r="O1524" s="67" t="s">
        <v>2117</v>
      </c>
      <c r="P1524" s="67" t="s">
        <v>19</v>
      </c>
      <c r="Q1524" s="192">
        <v>17.100000000000001</v>
      </c>
    </row>
    <row r="1525" spans="1:17" ht="11.1" hidden="1" customHeight="1" x14ac:dyDescent="0.2">
      <c r="A1525" s="3"/>
      <c r="B1525" s="3" t="str">
        <f ca="1">IF(A1525="В заказ",MAX($B$9:OFFSET(B1525,-1,0))+1,"")</f>
        <v/>
      </c>
      <c r="C1525" s="6" t="str">
        <f t="shared" si="41"/>
        <v>Кромка 0,8 U968 ST9  (75 м бухта).</v>
      </c>
      <c r="D1525" s="67" t="s">
        <v>241</v>
      </c>
      <c r="E1525" s="67" t="s">
        <v>151</v>
      </c>
      <c r="F1525" s="67" t="s">
        <v>1266</v>
      </c>
      <c r="G1525" s="68">
        <v>21613</v>
      </c>
      <c r="H1525" s="67" t="s">
        <v>976</v>
      </c>
      <c r="I1525" s="200"/>
      <c r="J1525" s="67" t="s">
        <v>1262</v>
      </c>
      <c r="K1525" s="67" t="s">
        <v>1263</v>
      </c>
      <c r="L1525" s="67" t="s">
        <v>22</v>
      </c>
      <c r="M1525" s="67" t="s">
        <v>252</v>
      </c>
      <c r="N1525" s="67" t="s">
        <v>10</v>
      </c>
      <c r="O1525" s="67" t="s">
        <v>2116</v>
      </c>
      <c r="P1525" s="67" t="s">
        <v>19</v>
      </c>
      <c r="Q1525" s="192">
        <v>25.7</v>
      </c>
    </row>
    <row r="1526" spans="1:17" ht="11.1" hidden="1" customHeight="1" x14ac:dyDescent="0.2">
      <c r="A1526" s="3"/>
      <c r="B1526" s="3" t="str">
        <f ca="1">IF(A1526="В заказ",MAX($B$9:OFFSET(B1526,-1,0))+1,"")</f>
        <v/>
      </c>
      <c r="C1526" s="6" t="str">
        <f t="shared" ref="C1526:C1589" si="42">D1526&amp;" "&amp;N1526&amp;" "&amp;IF(OR(D1526="ДСП",D1526="МДФ",D1526="Фанера",D1526="ХДФ"),M1526,J1526)&amp;" "&amp;IF(OR(D1526="ДСП",D1526="МДФ",D1526="Фанера",D1526="ХДФ"),O1526,L1526)&amp;" "&amp;IF(OR(D1526="ДСП",D1526="МДФ",D1526="Фанера",D1526="ХДФ"),"",IF(D1526="БСП",M1526,O1526))&amp;"."</f>
        <v>Кромка 0,8 U968 ST9  (75 м бухта).</v>
      </c>
      <c r="D1526" s="67" t="s">
        <v>241</v>
      </c>
      <c r="E1526" s="67" t="s">
        <v>151</v>
      </c>
      <c r="F1526" s="67" t="s">
        <v>1267</v>
      </c>
      <c r="G1526" s="68">
        <v>23034</v>
      </c>
      <c r="H1526" s="67" t="s">
        <v>976</v>
      </c>
      <c r="I1526" s="200"/>
      <c r="J1526" s="67" t="s">
        <v>1262</v>
      </c>
      <c r="K1526" s="67" t="s">
        <v>1263</v>
      </c>
      <c r="L1526" s="67" t="s">
        <v>22</v>
      </c>
      <c r="M1526" s="67" t="s">
        <v>244</v>
      </c>
      <c r="N1526" s="67" t="s">
        <v>10</v>
      </c>
      <c r="O1526" s="67" t="s">
        <v>2116</v>
      </c>
      <c r="P1526" s="67" t="s">
        <v>19</v>
      </c>
      <c r="Q1526" s="71">
        <v>31</v>
      </c>
    </row>
    <row r="1527" spans="1:17" ht="11.1" hidden="1" customHeight="1" x14ac:dyDescent="0.2">
      <c r="A1527" s="3"/>
      <c r="B1527" s="3" t="str">
        <f ca="1">IF(A1527="В заказ",MAX($B$9:OFFSET(B1527,-1,0))+1,"")</f>
        <v/>
      </c>
      <c r="C1527" s="6" t="str">
        <f t="shared" si="42"/>
        <v>Кромка 2,0 U968 ST9  (75 м бухта).</v>
      </c>
      <c r="D1527" s="67" t="s">
        <v>241</v>
      </c>
      <c r="E1527" s="67" t="s">
        <v>151</v>
      </c>
      <c r="F1527" s="67" t="s">
        <v>1268</v>
      </c>
      <c r="G1527" s="68">
        <v>21615</v>
      </c>
      <c r="H1527" s="67" t="s">
        <v>976</v>
      </c>
      <c r="I1527" s="200"/>
      <c r="J1527" s="67" t="s">
        <v>1262</v>
      </c>
      <c r="K1527" s="67" t="s">
        <v>1263</v>
      </c>
      <c r="L1527" s="67" t="s">
        <v>22</v>
      </c>
      <c r="M1527" s="67" t="s">
        <v>252</v>
      </c>
      <c r="N1527" s="67" t="s">
        <v>259</v>
      </c>
      <c r="O1527" s="67" t="s">
        <v>2116</v>
      </c>
      <c r="P1527" s="67" t="s">
        <v>19</v>
      </c>
      <c r="Q1527" s="192">
        <v>48.1</v>
      </c>
    </row>
    <row r="1528" spans="1:17" ht="11.1" hidden="1" customHeight="1" x14ac:dyDescent="0.2">
      <c r="A1528" s="3"/>
      <c r="B1528" s="3" t="str">
        <f ca="1">IF(A1528="В заказ",MAX($B$9:OFFSET(B1528,-1,0))+1,"")</f>
        <v/>
      </c>
      <c r="C1528" s="6" t="str">
        <f t="shared" si="42"/>
        <v>Кромка 2,0 U968 ST9  (75 м бухта).</v>
      </c>
      <c r="D1528" s="67" t="s">
        <v>241</v>
      </c>
      <c r="E1528" s="67" t="s">
        <v>151</v>
      </c>
      <c r="F1528" s="67" t="s">
        <v>1269</v>
      </c>
      <c r="G1528" s="68">
        <v>23033</v>
      </c>
      <c r="H1528" s="67" t="s">
        <v>976</v>
      </c>
      <c r="I1528" s="200"/>
      <c r="J1528" s="67" t="s">
        <v>1262</v>
      </c>
      <c r="K1528" s="67" t="s">
        <v>1263</v>
      </c>
      <c r="L1528" s="67" t="s">
        <v>22</v>
      </c>
      <c r="M1528" s="67" t="s">
        <v>244</v>
      </c>
      <c r="N1528" s="67" t="s">
        <v>259</v>
      </c>
      <c r="O1528" s="67" t="s">
        <v>2116</v>
      </c>
      <c r="P1528" s="67" t="s">
        <v>19</v>
      </c>
      <c r="Q1528" s="192">
        <v>53.1</v>
      </c>
    </row>
    <row r="1529" spans="1:17" ht="11.1" hidden="1" customHeight="1" x14ac:dyDescent="0.2">
      <c r="A1529" s="3"/>
      <c r="B1529" s="3" t="str">
        <f ca="1">IF(A1529="В заказ",MAX($B$9:OFFSET(B1529,-1,0))+1,"")</f>
        <v/>
      </c>
      <c r="C1529" s="6" t="str">
        <f t="shared" si="42"/>
        <v>Кромка 2,0 U968 ST9  (75 м бухта).</v>
      </c>
      <c r="D1529" s="67" t="s">
        <v>241</v>
      </c>
      <c r="E1529" s="67" t="s">
        <v>151</v>
      </c>
      <c r="F1529" s="67" t="s">
        <v>1270</v>
      </c>
      <c r="G1529" s="68">
        <v>22691</v>
      </c>
      <c r="H1529" s="67" t="s">
        <v>976</v>
      </c>
      <c r="I1529" s="200"/>
      <c r="J1529" s="67" t="s">
        <v>1262</v>
      </c>
      <c r="K1529" s="67" t="s">
        <v>1263</v>
      </c>
      <c r="L1529" s="67" t="s">
        <v>22</v>
      </c>
      <c r="M1529" s="67" t="s">
        <v>264</v>
      </c>
      <c r="N1529" s="67" t="s">
        <v>259</v>
      </c>
      <c r="O1529" s="67" t="s">
        <v>2116</v>
      </c>
      <c r="P1529" s="67" t="s">
        <v>19</v>
      </c>
      <c r="Q1529" s="192">
        <v>72.400000000000006</v>
      </c>
    </row>
    <row r="1530" spans="1:17" ht="11.1" hidden="1" customHeight="1" x14ac:dyDescent="0.2">
      <c r="A1530" s="3"/>
      <c r="B1530" s="3" t="str">
        <f ca="1">IF(A1530="В заказ",MAX($B$9:OFFSET(B1530,-1,0))+1,"")</f>
        <v/>
      </c>
      <c r="C1530" s="6" t="str">
        <f t="shared" si="42"/>
        <v>Кромка 0,4 U998 ST38  (200 м бухта).</v>
      </c>
      <c r="D1530" s="67" t="s">
        <v>241</v>
      </c>
      <c r="E1530" s="67" t="s">
        <v>151</v>
      </c>
      <c r="F1530" s="67" t="s">
        <v>1271</v>
      </c>
      <c r="G1530" s="68">
        <v>21616</v>
      </c>
      <c r="H1530" s="67" t="s">
        <v>976</v>
      </c>
      <c r="I1530" s="200"/>
      <c r="J1530" s="67" t="s">
        <v>1272</v>
      </c>
      <c r="K1530" s="67" t="s">
        <v>1273</v>
      </c>
      <c r="L1530" s="67" t="s">
        <v>21</v>
      </c>
      <c r="M1530" s="67" t="s">
        <v>252</v>
      </c>
      <c r="N1530" s="67" t="s">
        <v>253</v>
      </c>
      <c r="O1530" s="67" t="s">
        <v>2117</v>
      </c>
      <c r="P1530" s="67" t="s">
        <v>19</v>
      </c>
      <c r="Q1530" s="71">
        <v>11</v>
      </c>
    </row>
    <row r="1531" spans="1:17" ht="11.1" hidden="1" customHeight="1" x14ac:dyDescent="0.2">
      <c r="A1531" s="3"/>
      <c r="B1531" s="3" t="str">
        <f ca="1">IF(A1531="В заказ",MAX($B$9:OFFSET(B1531,-1,0))+1,"")</f>
        <v/>
      </c>
      <c r="C1531" s="6" t="str">
        <f t="shared" si="42"/>
        <v>Кромка 0,4 U998 ST38  (200 м бухта).</v>
      </c>
      <c r="D1531" s="67" t="s">
        <v>241</v>
      </c>
      <c r="E1531" s="67" t="s">
        <v>151</v>
      </c>
      <c r="F1531" s="67" t="s">
        <v>1274</v>
      </c>
      <c r="G1531" s="68">
        <v>24531</v>
      </c>
      <c r="H1531" s="67" t="s">
        <v>976</v>
      </c>
      <c r="I1531" s="200"/>
      <c r="J1531" s="67" t="s">
        <v>1272</v>
      </c>
      <c r="K1531" s="67" t="s">
        <v>1273</v>
      </c>
      <c r="L1531" s="67" t="s">
        <v>21</v>
      </c>
      <c r="M1531" s="67" t="s">
        <v>244</v>
      </c>
      <c r="N1531" s="67" t="s">
        <v>253</v>
      </c>
      <c r="O1531" s="67" t="s">
        <v>2117</v>
      </c>
      <c r="P1531" s="67" t="s">
        <v>19</v>
      </c>
      <c r="Q1531" s="192">
        <v>13.2</v>
      </c>
    </row>
    <row r="1532" spans="1:17" ht="11.1" hidden="1" customHeight="1" x14ac:dyDescent="0.2">
      <c r="A1532" s="3"/>
      <c r="B1532" s="3" t="str">
        <f ca="1">IF(A1532="В заказ",MAX($B$9:OFFSET(B1532,-1,0))+1,"")</f>
        <v/>
      </c>
      <c r="C1532" s="6" t="str">
        <f t="shared" si="42"/>
        <v>Кромка 0,4 U998 ST38  (200 м бухта).</v>
      </c>
      <c r="D1532" s="67" t="s">
        <v>241</v>
      </c>
      <c r="E1532" s="67" t="s">
        <v>151</v>
      </c>
      <c r="F1532" s="67" t="s">
        <v>1275</v>
      </c>
      <c r="G1532" s="68">
        <v>22435</v>
      </c>
      <c r="H1532" s="67" t="s">
        <v>976</v>
      </c>
      <c r="I1532" s="200"/>
      <c r="J1532" s="67" t="s">
        <v>1272</v>
      </c>
      <c r="K1532" s="67" t="s">
        <v>1273</v>
      </c>
      <c r="L1532" s="67" t="s">
        <v>21</v>
      </c>
      <c r="M1532" s="67" t="s">
        <v>264</v>
      </c>
      <c r="N1532" s="67" t="s">
        <v>253</v>
      </c>
      <c r="O1532" s="67" t="s">
        <v>2117</v>
      </c>
      <c r="P1532" s="67" t="s">
        <v>19</v>
      </c>
      <c r="Q1532" s="192">
        <v>17.100000000000001</v>
      </c>
    </row>
    <row r="1533" spans="1:17" ht="11.1" hidden="1" customHeight="1" x14ac:dyDescent="0.2">
      <c r="A1533" s="3"/>
      <c r="B1533" s="3" t="str">
        <f ca="1">IF(A1533="В заказ",MAX($B$9:OFFSET(B1533,-1,0))+1,"")</f>
        <v/>
      </c>
      <c r="C1533" s="6" t="str">
        <f t="shared" si="42"/>
        <v>Кромка 0,8 U998 ST38  (75 м бухта).</v>
      </c>
      <c r="D1533" s="67" t="s">
        <v>241</v>
      </c>
      <c r="E1533" s="67" t="s">
        <v>151</v>
      </c>
      <c r="F1533" s="67" t="s">
        <v>1276</v>
      </c>
      <c r="G1533" s="68">
        <v>21618</v>
      </c>
      <c r="H1533" s="67" t="s">
        <v>976</v>
      </c>
      <c r="I1533" s="200"/>
      <c r="J1533" s="67" t="s">
        <v>1272</v>
      </c>
      <c r="K1533" s="67" t="s">
        <v>1273</v>
      </c>
      <c r="L1533" s="67" t="s">
        <v>21</v>
      </c>
      <c r="M1533" s="67" t="s">
        <v>252</v>
      </c>
      <c r="N1533" s="67" t="s">
        <v>10</v>
      </c>
      <c r="O1533" s="67" t="s">
        <v>2116</v>
      </c>
      <c r="P1533" s="67" t="s">
        <v>19</v>
      </c>
      <c r="Q1533" s="192">
        <v>25.7</v>
      </c>
    </row>
    <row r="1534" spans="1:17" ht="11.1" hidden="1" customHeight="1" x14ac:dyDescent="0.2">
      <c r="A1534" s="3"/>
      <c r="B1534" s="3" t="str">
        <f ca="1">IF(A1534="В заказ",MAX($B$9:OFFSET(B1534,-1,0))+1,"")</f>
        <v/>
      </c>
      <c r="C1534" s="6" t="str">
        <f t="shared" si="42"/>
        <v>Кромка 0,8 U998 ST38  (75 м бухта).</v>
      </c>
      <c r="D1534" s="67" t="s">
        <v>241</v>
      </c>
      <c r="E1534" s="67" t="s">
        <v>151</v>
      </c>
      <c r="F1534" s="67" t="s">
        <v>1277</v>
      </c>
      <c r="G1534" s="68">
        <v>24532</v>
      </c>
      <c r="H1534" s="67" t="s">
        <v>976</v>
      </c>
      <c r="I1534" s="200"/>
      <c r="J1534" s="67" t="s">
        <v>1272</v>
      </c>
      <c r="K1534" s="67" t="s">
        <v>1273</v>
      </c>
      <c r="L1534" s="67" t="s">
        <v>21</v>
      </c>
      <c r="M1534" s="67" t="s">
        <v>244</v>
      </c>
      <c r="N1534" s="67" t="s">
        <v>10</v>
      </c>
      <c r="O1534" s="67" t="s">
        <v>2116</v>
      </c>
      <c r="P1534" s="67" t="s">
        <v>19</v>
      </c>
      <c r="Q1534" s="71">
        <v>31</v>
      </c>
    </row>
    <row r="1535" spans="1:17" ht="11.1" hidden="1" customHeight="1" x14ac:dyDescent="0.2">
      <c r="A1535" s="3"/>
      <c r="B1535" s="3" t="str">
        <f ca="1">IF(A1535="В заказ",MAX($B$9:OFFSET(B1535,-1,0))+1,"")</f>
        <v/>
      </c>
      <c r="C1535" s="6" t="str">
        <f t="shared" si="42"/>
        <v>Кромка 2,0 U998 ST38  (75 м бухта).</v>
      </c>
      <c r="D1535" s="67" t="s">
        <v>241</v>
      </c>
      <c r="E1535" s="67" t="s">
        <v>151</v>
      </c>
      <c r="F1535" s="67" t="s">
        <v>1278</v>
      </c>
      <c r="G1535" s="68">
        <v>21619</v>
      </c>
      <c r="H1535" s="67" t="s">
        <v>976</v>
      </c>
      <c r="I1535" s="200"/>
      <c r="J1535" s="67" t="s">
        <v>1272</v>
      </c>
      <c r="K1535" s="67" t="s">
        <v>1273</v>
      </c>
      <c r="L1535" s="67" t="s">
        <v>21</v>
      </c>
      <c r="M1535" s="67" t="s">
        <v>252</v>
      </c>
      <c r="N1535" s="67" t="s">
        <v>259</v>
      </c>
      <c r="O1535" s="67" t="s">
        <v>2116</v>
      </c>
      <c r="P1535" s="67" t="s">
        <v>19</v>
      </c>
      <c r="Q1535" s="192">
        <v>48.1</v>
      </c>
    </row>
    <row r="1536" spans="1:17" ht="11.1" hidden="1" customHeight="1" x14ac:dyDescent="0.2">
      <c r="A1536" s="3"/>
      <c r="B1536" s="3" t="str">
        <f ca="1">IF(A1536="В заказ",MAX($B$9:OFFSET(B1536,-1,0))+1,"")</f>
        <v/>
      </c>
      <c r="C1536" s="6" t="str">
        <f t="shared" si="42"/>
        <v>Кромка 2,0 U998 ST38  (75 м бухта).</v>
      </c>
      <c r="D1536" s="67" t="s">
        <v>241</v>
      </c>
      <c r="E1536" s="67" t="s">
        <v>151</v>
      </c>
      <c r="F1536" s="67" t="s">
        <v>1279</v>
      </c>
      <c r="G1536" s="68">
        <v>21930</v>
      </c>
      <c r="H1536" s="67" t="s">
        <v>976</v>
      </c>
      <c r="I1536" s="200"/>
      <c r="J1536" s="67" t="s">
        <v>1272</v>
      </c>
      <c r="K1536" s="67" t="s">
        <v>1273</v>
      </c>
      <c r="L1536" s="67" t="s">
        <v>21</v>
      </c>
      <c r="M1536" s="67" t="s">
        <v>244</v>
      </c>
      <c r="N1536" s="67" t="s">
        <v>259</v>
      </c>
      <c r="O1536" s="67" t="s">
        <v>2116</v>
      </c>
      <c r="P1536" s="67" t="s">
        <v>19</v>
      </c>
      <c r="Q1536" s="192">
        <v>53.1</v>
      </c>
    </row>
    <row r="1537" spans="1:17" ht="11.1" hidden="1" customHeight="1" x14ac:dyDescent="0.2">
      <c r="A1537" s="3"/>
      <c r="B1537" s="3" t="str">
        <f ca="1">IF(A1537="В заказ",MAX($B$9:OFFSET(B1537,-1,0))+1,"")</f>
        <v/>
      </c>
      <c r="C1537" s="6" t="str">
        <f t="shared" si="42"/>
        <v>Кромка 2,0 U998 ST38  (75 м бухта).</v>
      </c>
      <c r="D1537" s="67" t="s">
        <v>241</v>
      </c>
      <c r="E1537" s="67" t="s">
        <v>151</v>
      </c>
      <c r="F1537" s="67" t="s">
        <v>1280</v>
      </c>
      <c r="G1537" s="68">
        <v>21823</v>
      </c>
      <c r="H1537" s="67" t="s">
        <v>976</v>
      </c>
      <c r="I1537" s="200"/>
      <c r="J1537" s="67" t="s">
        <v>1272</v>
      </c>
      <c r="K1537" s="67" t="s">
        <v>1273</v>
      </c>
      <c r="L1537" s="67" t="s">
        <v>21</v>
      </c>
      <c r="M1537" s="67" t="s">
        <v>264</v>
      </c>
      <c r="N1537" s="67" t="s">
        <v>259</v>
      </c>
      <c r="O1537" s="67" t="s">
        <v>2116</v>
      </c>
      <c r="P1537" s="67" t="s">
        <v>19</v>
      </c>
      <c r="Q1537" s="192">
        <v>72.400000000000006</v>
      </c>
    </row>
    <row r="1538" spans="1:17" ht="11.1" hidden="1" customHeight="1" x14ac:dyDescent="0.2">
      <c r="A1538" s="3"/>
      <c r="B1538" s="3" t="str">
        <f ca="1">IF(A1538="В заказ",MAX($B$9:OFFSET(B1538,-1,0))+1,"")</f>
        <v/>
      </c>
      <c r="C1538" s="6" t="str">
        <f t="shared" si="42"/>
        <v>Кромка 2,0 U998 ST38  (75 м бухта).</v>
      </c>
      <c r="D1538" s="67" t="s">
        <v>241</v>
      </c>
      <c r="E1538" s="67" t="s">
        <v>151</v>
      </c>
      <c r="F1538" s="67" t="s">
        <v>1281</v>
      </c>
      <c r="G1538" s="68">
        <v>22012</v>
      </c>
      <c r="H1538" s="67" t="s">
        <v>976</v>
      </c>
      <c r="I1538" s="200"/>
      <c r="J1538" s="67" t="s">
        <v>1272</v>
      </c>
      <c r="K1538" s="67" t="s">
        <v>1273</v>
      </c>
      <c r="L1538" s="67" t="s">
        <v>21</v>
      </c>
      <c r="M1538" s="67" t="s">
        <v>270</v>
      </c>
      <c r="N1538" s="67" t="s">
        <v>259</v>
      </c>
      <c r="O1538" s="67" t="s">
        <v>2116</v>
      </c>
      <c r="P1538" s="67" t="s">
        <v>19</v>
      </c>
      <c r="Q1538" s="192">
        <v>97.2</v>
      </c>
    </row>
    <row r="1539" spans="1:17" ht="11.1" hidden="1" customHeight="1" x14ac:dyDescent="0.2">
      <c r="A1539" s="3"/>
      <c r="B1539" s="3" t="str">
        <f ca="1">IF(A1539="В заказ",MAX($B$9:OFFSET(B1539,-1,0))+1,"")</f>
        <v/>
      </c>
      <c r="C1539" s="6" t="str">
        <f t="shared" si="42"/>
        <v>Кромка 1,0 U999 PG  (75 м бухта).</v>
      </c>
      <c r="D1539" s="67" t="s">
        <v>241</v>
      </c>
      <c r="E1539" s="67" t="s">
        <v>151</v>
      </c>
      <c r="F1539" s="67" t="s">
        <v>1282</v>
      </c>
      <c r="G1539" s="68">
        <v>14979</v>
      </c>
      <c r="H1539" s="67" t="s">
        <v>243</v>
      </c>
      <c r="I1539" s="200"/>
      <c r="J1539" s="67" t="s">
        <v>219</v>
      </c>
      <c r="K1539" s="67" t="s">
        <v>220</v>
      </c>
      <c r="L1539" s="67" t="s">
        <v>18</v>
      </c>
      <c r="M1539" s="67" t="s">
        <v>244</v>
      </c>
      <c r="N1539" s="67" t="s">
        <v>245</v>
      </c>
      <c r="O1539" s="67" t="s">
        <v>2116</v>
      </c>
      <c r="P1539" s="67" t="s">
        <v>19</v>
      </c>
      <c r="Q1539" s="192">
        <v>73.8</v>
      </c>
    </row>
    <row r="1540" spans="1:17" ht="11.1" hidden="1" customHeight="1" x14ac:dyDescent="0.2">
      <c r="A1540" s="3"/>
      <c r="B1540" s="3" t="str">
        <f ca="1">IF(A1540="В заказ",MAX($B$9:OFFSET(B1540,-1,0))+1,"")</f>
        <v/>
      </c>
      <c r="C1540" s="6" t="str">
        <f t="shared" si="42"/>
        <v>Кромка 1,0 U999 PM  (75 м бухта).</v>
      </c>
      <c r="D1540" s="67" t="s">
        <v>241</v>
      </c>
      <c r="E1540" s="67" t="s">
        <v>151</v>
      </c>
      <c r="F1540" s="67" t="s">
        <v>1283</v>
      </c>
      <c r="G1540" s="68">
        <v>14562</v>
      </c>
      <c r="H1540" s="67" t="s">
        <v>243</v>
      </c>
      <c r="I1540" s="200"/>
      <c r="J1540" s="67" t="s">
        <v>219</v>
      </c>
      <c r="K1540" s="67" t="s">
        <v>220</v>
      </c>
      <c r="L1540" s="67" t="s">
        <v>248</v>
      </c>
      <c r="M1540" s="67" t="s">
        <v>244</v>
      </c>
      <c r="N1540" s="67" t="s">
        <v>245</v>
      </c>
      <c r="O1540" s="67" t="s">
        <v>2116</v>
      </c>
      <c r="P1540" s="67" t="s">
        <v>19</v>
      </c>
      <c r="Q1540" s="192">
        <v>73.8</v>
      </c>
    </row>
    <row r="1541" spans="1:17" ht="11.1" hidden="1" customHeight="1" x14ac:dyDescent="0.2">
      <c r="A1541" s="3"/>
      <c r="B1541" s="3" t="str">
        <f ca="1">IF(A1541="В заказ",MAX($B$9:OFFSET(B1541,-1,0))+1,"")</f>
        <v/>
      </c>
      <c r="C1541" s="6" t="str">
        <f t="shared" si="42"/>
        <v>Кромка 0,4 U999 ST19  (200 м бухта).</v>
      </c>
      <c r="D1541" s="67" t="s">
        <v>241</v>
      </c>
      <c r="E1541" s="67" t="s">
        <v>151</v>
      </c>
      <c r="F1541" s="67" t="s">
        <v>1284</v>
      </c>
      <c r="G1541" s="68">
        <v>22176</v>
      </c>
      <c r="H1541" s="67" t="s">
        <v>976</v>
      </c>
      <c r="I1541" s="200"/>
      <c r="J1541" s="67" t="s">
        <v>219</v>
      </c>
      <c r="K1541" s="67" t="s">
        <v>220</v>
      </c>
      <c r="L1541" s="67" t="s">
        <v>251</v>
      </c>
      <c r="M1541" s="67" t="s">
        <v>252</v>
      </c>
      <c r="N1541" s="67" t="s">
        <v>253</v>
      </c>
      <c r="O1541" s="67" t="s">
        <v>2117</v>
      </c>
      <c r="P1541" s="67" t="s">
        <v>19</v>
      </c>
      <c r="Q1541" s="71">
        <v>11</v>
      </c>
    </row>
    <row r="1542" spans="1:17" ht="11.1" hidden="1" customHeight="1" x14ac:dyDescent="0.2">
      <c r="A1542" s="3"/>
      <c r="B1542" s="3" t="str">
        <f ca="1">IF(A1542="В заказ",MAX($B$9:OFFSET(B1542,-1,0))+1,"")</f>
        <v/>
      </c>
      <c r="C1542" s="6" t="str">
        <f t="shared" si="42"/>
        <v>Кромка 0,8 U999 ST19  (75 м бухта).</v>
      </c>
      <c r="D1542" s="67" t="s">
        <v>241</v>
      </c>
      <c r="E1542" s="67" t="s">
        <v>151</v>
      </c>
      <c r="F1542" s="67" t="s">
        <v>1285</v>
      </c>
      <c r="G1542" s="68">
        <v>21886</v>
      </c>
      <c r="H1542" s="67" t="s">
        <v>976</v>
      </c>
      <c r="I1542" s="200"/>
      <c r="J1542" s="67" t="s">
        <v>219</v>
      </c>
      <c r="K1542" s="67" t="s">
        <v>220</v>
      </c>
      <c r="L1542" s="67" t="s">
        <v>251</v>
      </c>
      <c r="M1542" s="67" t="s">
        <v>252</v>
      </c>
      <c r="N1542" s="67" t="s">
        <v>10</v>
      </c>
      <c r="O1542" s="67" t="s">
        <v>2116</v>
      </c>
      <c r="P1542" s="67" t="s">
        <v>19</v>
      </c>
      <c r="Q1542" s="192">
        <v>25.7</v>
      </c>
    </row>
    <row r="1543" spans="1:17" ht="11.1" hidden="1" customHeight="1" x14ac:dyDescent="0.2">
      <c r="A1543" s="3"/>
      <c r="B1543" s="3" t="str">
        <f ca="1">IF(A1543="В заказ",MAX($B$9:OFFSET(B1543,-1,0))+1,"")</f>
        <v/>
      </c>
      <c r="C1543" s="6" t="str">
        <f t="shared" si="42"/>
        <v>Кромка 2,0 U999 ST19  (75 м бухта).</v>
      </c>
      <c r="D1543" s="67" t="s">
        <v>241</v>
      </c>
      <c r="E1543" s="67" t="s">
        <v>151</v>
      </c>
      <c r="F1543" s="67" t="s">
        <v>1286</v>
      </c>
      <c r="G1543" s="68">
        <v>22177</v>
      </c>
      <c r="H1543" s="67" t="s">
        <v>976</v>
      </c>
      <c r="I1543" s="200"/>
      <c r="J1543" s="67" t="s">
        <v>219</v>
      </c>
      <c r="K1543" s="67" t="s">
        <v>220</v>
      </c>
      <c r="L1543" s="67" t="s">
        <v>251</v>
      </c>
      <c r="M1543" s="67" t="s">
        <v>252</v>
      </c>
      <c r="N1543" s="67" t="s">
        <v>259</v>
      </c>
      <c r="O1543" s="67" t="s">
        <v>2116</v>
      </c>
      <c r="P1543" s="67" t="s">
        <v>19</v>
      </c>
      <c r="Q1543" s="192">
        <v>48.1</v>
      </c>
    </row>
    <row r="1544" spans="1:17" ht="11.1" hidden="1" customHeight="1" x14ac:dyDescent="0.2">
      <c r="A1544" s="3"/>
      <c r="B1544" s="3" t="str">
        <f ca="1">IF(A1544="В заказ",MAX($B$9:OFFSET(B1544,-1,0))+1,"")</f>
        <v/>
      </c>
      <c r="C1544" s="6" t="str">
        <f t="shared" si="42"/>
        <v>Кромка 0,4 U999 ST2  (200 м бухта).</v>
      </c>
      <c r="D1544" s="67" t="s">
        <v>241</v>
      </c>
      <c r="E1544" s="67" t="s">
        <v>151</v>
      </c>
      <c r="F1544" s="67" t="s">
        <v>1287</v>
      </c>
      <c r="G1544" s="68">
        <v>1376</v>
      </c>
      <c r="H1544" s="67" t="s">
        <v>976</v>
      </c>
      <c r="I1544" s="200"/>
      <c r="J1544" s="67" t="s">
        <v>219</v>
      </c>
      <c r="K1544" s="67" t="s">
        <v>220</v>
      </c>
      <c r="L1544" s="67" t="s">
        <v>31</v>
      </c>
      <c r="M1544" s="67" t="s">
        <v>252</v>
      </c>
      <c r="N1544" s="67" t="s">
        <v>253</v>
      </c>
      <c r="O1544" s="67" t="s">
        <v>2117</v>
      </c>
      <c r="P1544" s="67" t="s">
        <v>19</v>
      </c>
      <c r="Q1544" s="71">
        <v>11</v>
      </c>
    </row>
    <row r="1545" spans="1:17" ht="11.1" hidden="1" customHeight="1" x14ac:dyDescent="0.2">
      <c r="A1545" s="3"/>
      <c r="B1545" s="3" t="str">
        <f ca="1">IF(A1545="В заказ",MAX($B$9:OFFSET(B1545,-1,0))+1,"")</f>
        <v/>
      </c>
      <c r="C1545" s="6" t="str">
        <f t="shared" si="42"/>
        <v>Кромка 0,4 U999 ST2  (200 м бухта).</v>
      </c>
      <c r="D1545" s="67" t="s">
        <v>241</v>
      </c>
      <c r="E1545" s="67" t="s">
        <v>151</v>
      </c>
      <c r="F1545" s="67" t="s">
        <v>1288</v>
      </c>
      <c r="G1545" s="68">
        <v>22889</v>
      </c>
      <c r="H1545" s="67" t="s">
        <v>976</v>
      </c>
      <c r="I1545" s="200"/>
      <c r="J1545" s="67" t="s">
        <v>219</v>
      </c>
      <c r="K1545" s="67" t="s">
        <v>220</v>
      </c>
      <c r="L1545" s="67" t="s">
        <v>31</v>
      </c>
      <c r="M1545" s="67" t="s">
        <v>244</v>
      </c>
      <c r="N1545" s="67" t="s">
        <v>253</v>
      </c>
      <c r="O1545" s="67" t="s">
        <v>2117</v>
      </c>
      <c r="P1545" s="67" t="s">
        <v>19</v>
      </c>
      <c r="Q1545" s="192">
        <v>13.2</v>
      </c>
    </row>
    <row r="1546" spans="1:17" ht="11.1" hidden="1" customHeight="1" x14ac:dyDescent="0.2">
      <c r="A1546" s="3"/>
      <c r="B1546" s="3" t="str">
        <f ca="1">IF(A1546="В заказ",MAX($B$9:OFFSET(B1546,-1,0))+1,"")</f>
        <v/>
      </c>
      <c r="C1546" s="6" t="str">
        <f t="shared" si="42"/>
        <v>Кромка 0,8 U999 ST2  (75 м бухта).</v>
      </c>
      <c r="D1546" s="67" t="s">
        <v>241</v>
      </c>
      <c r="E1546" s="67" t="s">
        <v>151</v>
      </c>
      <c r="F1546" s="67" t="s">
        <v>1289</v>
      </c>
      <c r="G1546" s="68">
        <v>12496</v>
      </c>
      <c r="H1546" s="67" t="s">
        <v>976</v>
      </c>
      <c r="I1546" s="200"/>
      <c r="J1546" s="67" t="s">
        <v>219</v>
      </c>
      <c r="K1546" s="67" t="s">
        <v>220</v>
      </c>
      <c r="L1546" s="67" t="s">
        <v>31</v>
      </c>
      <c r="M1546" s="67" t="s">
        <v>252</v>
      </c>
      <c r="N1546" s="67" t="s">
        <v>10</v>
      </c>
      <c r="O1546" s="67" t="s">
        <v>2116</v>
      </c>
      <c r="P1546" s="67" t="s">
        <v>19</v>
      </c>
      <c r="Q1546" s="192">
        <v>25.7</v>
      </c>
    </row>
    <row r="1547" spans="1:17" ht="11.1" hidden="1" customHeight="1" x14ac:dyDescent="0.2">
      <c r="A1547" s="3"/>
      <c r="B1547" s="3" t="str">
        <f ca="1">IF(A1547="В заказ",MAX($B$9:OFFSET(B1547,-1,0))+1,"")</f>
        <v/>
      </c>
      <c r="C1547" s="6" t="str">
        <f t="shared" si="42"/>
        <v>Кромка 0,8 U999 ST2  (75 м бухта).</v>
      </c>
      <c r="D1547" s="67" t="s">
        <v>241</v>
      </c>
      <c r="E1547" s="67" t="s">
        <v>151</v>
      </c>
      <c r="F1547" s="67" t="s">
        <v>1290</v>
      </c>
      <c r="G1547" s="68">
        <v>19383</v>
      </c>
      <c r="H1547" s="67" t="s">
        <v>976</v>
      </c>
      <c r="I1547" s="200"/>
      <c r="J1547" s="67" t="s">
        <v>219</v>
      </c>
      <c r="K1547" s="67" t="s">
        <v>220</v>
      </c>
      <c r="L1547" s="67" t="s">
        <v>31</v>
      </c>
      <c r="M1547" s="67" t="s">
        <v>244</v>
      </c>
      <c r="N1547" s="67" t="s">
        <v>10</v>
      </c>
      <c r="O1547" s="67" t="s">
        <v>2116</v>
      </c>
      <c r="P1547" s="67" t="s">
        <v>19</v>
      </c>
      <c r="Q1547" s="71">
        <v>31</v>
      </c>
    </row>
    <row r="1548" spans="1:17" ht="11.1" hidden="1" customHeight="1" x14ac:dyDescent="0.2">
      <c r="A1548" s="3"/>
      <c r="B1548" s="3" t="str">
        <f ca="1">IF(A1548="В заказ",MAX($B$9:OFFSET(B1548,-1,0))+1,"")</f>
        <v/>
      </c>
      <c r="C1548" s="6" t="str">
        <f t="shared" si="42"/>
        <v>Кромка 2,0 U999 ST2  (75 м бухта).</v>
      </c>
      <c r="D1548" s="67" t="s">
        <v>241</v>
      </c>
      <c r="E1548" s="67" t="s">
        <v>151</v>
      </c>
      <c r="F1548" s="67" t="s">
        <v>1291</v>
      </c>
      <c r="G1548" s="68">
        <v>2587</v>
      </c>
      <c r="H1548" s="67" t="s">
        <v>976</v>
      </c>
      <c r="I1548" s="200"/>
      <c r="J1548" s="67" t="s">
        <v>219</v>
      </c>
      <c r="K1548" s="67" t="s">
        <v>220</v>
      </c>
      <c r="L1548" s="67" t="s">
        <v>31</v>
      </c>
      <c r="M1548" s="67" t="s">
        <v>252</v>
      </c>
      <c r="N1548" s="67" t="s">
        <v>259</v>
      </c>
      <c r="O1548" s="67" t="s">
        <v>2116</v>
      </c>
      <c r="P1548" s="67" t="s">
        <v>19</v>
      </c>
      <c r="Q1548" s="192">
        <v>48.1</v>
      </c>
    </row>
    <row r="1549" spans="1:17" ht="11.1" hidden="1" customHeight="1" x14ac:dyDescent="0.2">
      <c r="A1549" s="3"/>
      <c r="B1549" s="3" t="str">
        <f ca="1">IF(A1549="В заказ",MAX($B$9:OFFSET(B1549,-1,0))+1,"")</f>
        <v/>
      </c>
      <c r="C1549" s="6" t="str">
        <f t="shared" si="42"/>
        <v>Кромка 2,0 U999 ST2  (75 м бухта).</v>
      </c>
      <c r="D1549" s="67" t="s">
        <v>241</v>
      </c>
      <c r="E1549" s="67" t="s">
        <v>151</v>
      </c>
      <c r="F1549" s="67" t="s">
        <v>1292</v>
      </c>
      <c r="G1549" s="68">
        <v>17751</v>
      </c>
      <c r="H1549" s="67" t="s">
        <v>976</v>
      </c>
      <c r="I1549" s="200"/>
      <c r="J1549" s="67" t="s">
        <v>219</v>
      </c>
      <c r="K1549" s="67" t="s">
        <v>220</v>
      </c>
      <c r="L1549" s="67" t="s">
        <v>31</v>
      </c>
      <c r="M1549" s="67" t="s">
        <v>244</v>
      </c>
      <c r="N1549" s="67" t="s">
        <v>259</v>
      </c>
      <c r="O1549" s="67" t="s">
        <v>2116</v>
      </c>
      <c r="P1549" s="67" t="s">
        <v>19</v>
      </c>
      <c r="Q1549" s="192">
        <v>53.1</v>
      </c>
    </row>
    <row r="1550" spans="1:17" ht="11.1" hidden="1" customHeight="1" x14ac:dyDescent="0.2">
      <c r="A1550" s="3"/>
      <c r="B1550" s="3" t="str">
        <f ca="1">IF(A1550="В заказ",MAX($B$9:OFFSET(B1550,-1,0))+1,"")</f>
        <v/>
      </c>
      <c r="C1550" s="6" t="str">
        <f t="shared" si="42"/>
        <v>Кромка 1,0 U999 TM28  (75 м бухта).</v>
      </c>
      <c r="D1550" s="67" t="s">
        <v>241</v>
      </c>
      <c r="E1550" s="67" t="s">
        <v>151</v>
      </c>
      <c r="F1550" s="67" t="s">
        <v>1293</v>
      </c>
      <c r="G1550" s="68">
        <v>24420</v>
      </c>
      <c r="H1550" s="67" t="s">
        <v>438</v>
      </c>
      <c r="I1550" s="200"/>
      <c r="J1550" s="67" t="s">
        <v>219</v>
      </c>
      <c r="K1550" s="67" t="s">
        <v>220</v>
      </c>
      <c r="L1550" s="67" t="s">
        <v>656</v>
      </c>
      <c r="M1550" s="67" t="s">
        <v>244</v>
      </c>
      <c r="N1550" s="67" t="s">
        <v>245</v>
      </c>
      <c r="O1550" s="67" t="s">
        <v>2116</v>
      </c>
      <c r="P1550" s="67" t="s">
        <v>19</v>
      </c>
      <c r="Q1550" s="192">
        <v>73.8</v>
      </c>
    </row>
    <row r="1551" spans="1:17" ht="11.1" hidden="1" customHeight="1" x14ac:dyDescent="0.2">
      <c r="A1551" s="3"/>
      <c r="B1551" s="3" t="str">
        <f ca="1">IF(A1551="В заказ",MAX($B$9:OFFSET(B1551,-1,0))+1,"")</f>
        <v/>
      </c>
      <c r="C1551" s="6" t="str">
        <f t="shared" si="42"/>
        <v>Кромка 0,4 F186 ST9  (200 м бухта).</v>
      </c>
      <c r="D1551" s="67" t="s">
        <v>241</v>
      </c>
      <c r="E1551" s="67" t="s">
        <v>221</v>
      </c>
      <c r="F1551" s="67" t="s">
        <v>1294</v>
      </c>
      <c r="G1551" s="68">
        <v>12553</v>
      </c>
      <c r="H1551" s="67" t="s">
        <v>1295</v>
      </c>
      <c r="I1551" s="200"/>
      <c r="J1551" s="67" t="s">
        <v>223</v>
      </c>
      <c r="K1551" s="67" t="s">
        <v>224</v>
      </c>
      <c r="L1551" s="67" t="s">
        <v>22</v>
      </c>
      <c r="M1551" s="67" t="s">
        <v>252</v>
      </c>
      <c r="N1551" s="67" t="s">
        <v>253</v>
      </c>
      <c r="O1551" s="67" t="s">
        <v>2117</v>
      </c>
      <c r="P1551" s="67" t="s">
        <v>19</v>
      </c>
      <c r="Q1551" s="192">
        <v>17.899999999999999</v>
      </c>
    </row>
    <row r="1552" spans="1:17" ht="11.1" hidden="1" customHeight="1" x14ac:dyDescent="0.2">
      <c r="A1552" s="3"/>
      <c r="B1552" s="3" t="str">
        <f ca="1">IF(A1552="В заказ",MAX($B$9:OFFSET(B1552,-1,0))+1,"")</f>
        <v/>
      </c>
      <c r="C1552" s="6" t="str">
        <f t="shared" si="42"/>
        <v>Кромка 0,4 F186 ST9  (200 м бухта).</v>
      </c>
      <c r="D1552" s="67" t="s">
        <v>241</v>
      </c>
      <c r="E1552" s="67" t="s">
        <v>221</v>
      </c>
      <c r="F1552" s="67" t="s">
        <v>1296</v>
      </c>
      <c r="G1552" s="68">
        <v>24811</v>
      </c>
      <c r="H1552" s="67" t="s">
        <v>1295</v>
      </c>
      <c r="I1552" s="200"/>
      <c r="J1552" s="67" t="s">
        <v>223</v>
      </c>
      <c r="K1552" s="67" t="s">
        <v>224</v>
      </c>
      <c r="L1552" s="67" t="s">
        <v>22</v>
      </c>
      <c r="M1552" s="67" t="s">
        <v>244</v>
      </c>
      <c r="N1552" s="67" t="s">
        <v>253</v>
      </c>
      <c r="O1552" s="67" t="s">
        <v>2117</v>
      </c>
      <c r="P1552" s="67" t="s">
        <v>19</v>
      </c>
      <c r="Q1552" s="71">
        <v>22</v>
      </c>
    </row>
    <row r="1553" spans="1:17" ht="11.1" hidden="1" customHeight="1" x14ac:dyDescent="0.2">
      <c r="A1553" s="3"/>
      <c r="B1553" s="3" t="str">
        <f ca="1">IF(A1553="В заказ",MAX($B$9:OFFSET(B1553,-1,0))+1,"")</f>
        <v/>
      </c>
      <c r="C1553" s="6" t="str">
        <f t="shared" si="42"/>
        <v>Кромка 0,4 F186 ST9  (200 м бухта).</v>
      </c>
      <c r="D1553" s="67" t="s">
        <v>241</v>
      </c>
      <c r="E1553" s="67" t="s">
        <v>221</v>
      </c>
      <c r="F1553" s="67" t="s">
        <v>1297</v>
      </c>
      <c r="G1553" s="68">
        <v>14020</v>
      </c>
      <c r="H1553" s="67" t="s">
        <v>1295</v>
      </c>
      <c r="I1553" s="200"/>
      <c r="J1553" s="67" t="s">
        <v>223</v>
      </c>
      <c r="K1553" s="67" t="s">
        <v>224</v>
      </c>
      <c r="L1553" s="67" t="s">
        <v>22</v>
      </c>
      <c r="M1553" s="67" t="s">
        <v>264</v>
      </c>
      <c r="N1553" s="67" t="s">
        <v>253</v>
      </c>
      <c r="O1553" s="67" t="s">
        <v>2117</v>
      </c>
      <c r="P1553" s="67" t="s">
        <v>19</v>
      </c>
      <c r="Q1553" s="192">
        <v>28.9</v>
      </c>
    </row>
    <row r="1554" spans="1:17" ht="11.1" hidden="1" customHeight="1" x14ac:dyDescent="0.2">
      <c r="A1554" s="3"/>
      <c r="B1554" s="3" t="str">
        <f ca="1">IF(A1554="В заказ",MAX($B$9:OFFSET(B1554,-1,0))+1,"")</f>
        <v/>
      </c>
      <c r="C1554" s="6" t="str">
        <f t="shared" si="42"/>
        <v>Кромка 0,8 F186 ST9  (75 м бухта).</v>
      </c>
      <c r="D1554" s="67" t="s">
        <v>241</v>
      </c>
      <c r="E1554" s="67" t="s">
        <v>221</v>
      </c>
      <c r="F1554" s="67" t="s">
        <v>1298</v>
      </c>
      <c r="G1554" s="68">
        <v>13834</v>
      </c>
      <c r="H1554" s="67" t="s">
        <v>1295</v>
      </c>
      <c r="I1554" s="200"/>
      <c r="J1554" s="67" t="s">
        <v>223</v>
      </c>
      <c r="K1554" s="67" t="s">
        <v>224</v>
      </c>
      <c r="L1554" s="67" t="s">
        <v>22</v>
      </c>
      <c r="M1554" s="67" t="s">
        <v>252</v>
      </c>
      <c r="N1554" s="67" t="s">
        <v>10</v>
      </c>
      <c r="O1554" s="67" t="s">
        <v>2116</v>
      </c>
      <c r="P1554" s="67" t="s">
        <v>19</v>
      </c>
      <c r="Q1554" s="71">
        <v>35</v>
      </c>
    </row>
    <row r="1555" spans="1:17" ht="11.1" hidden="1" customHeight="1" x14ac:dyDescent="0.2">
      <c r="A1555" s="3"/>
      <c r="B1555" s="3" t="str">
        <f ca="1">IF(A1555="В заказ",MAX($B$9:OFFSET(B1555,-1,0))+1,"")</f>
        <v/>
      </c>
      <c r="C1555" s="6" t="str">
        <f t="shared" si="42"/>
        <v>Кромка 0,8 F186 ST9  (75 м бухта).</v>
      </c>
      <c r="D1555" s="67" t="s">
        <v>241</v>
      </c>
      <c r="E1555" s="67" t="s">
        <v>221</v>
      </c>
      <c r="F1555" s="67" t="s">
        <v>1299</v>
      </c>
      <c r="G1555" s="68">
        <v>18995</v>
      </c>
      <c r="H1555" s="67" t="s">
        <v>1295</v>
      </c>
      <c r="I1555" s="200"/>
      <c r="J1555" s="67" t="s">
        <v>223</v>
      </c>
      <c r="K1555" s="67" t="s">
        <v>224</v>
      </c>
      <c r="L1555" s="67" t="s">
        <v>22</v>
      </c>
      <c r="M1555" s="67" t="s">
        <v>244</v>
      </c>
      <c r="N1555" s="67" t="s">
        <v>10</v>
      </c>
      <c r="O1555" s="67" t="s">
        <v>2116</v>
      </c>
      <c r="P1555" s="67" t="s">
        <v>19</v>
      </c>
      <c r="Q1555" s="192">
        <v>42.3</v>
      </c>
    </row>
    <row r="1556" spans="1:17" ht="11.1" hidden="1" customHeight="1" x14ac:dyDescent="0.2">
      <c r="A1556" s="3"/>
      <c r="B1556" s="3" t="str">
        <f ca="1">IF(A1556="В заказ",MAX($B$9:OFFSET(B1556,-1,0))+1,"")</f>
        <v/>
      </c>
      <c r="C1556" s="6" t="str">
        <f t="shared" si="42"/>
        <v>Кромка 2,0 F186 ST9 (75 м бухта).</v>
      </c>
      <c r="D1556" s="67" t="s">
        <v>241</v>
      </c>
      <c r="E1556" s="67" t="s">
        <v>221</v>
      </c>
      <c r="F1556" s="67" t="s">
        <v>1300</v>
      </c>
      <c r="G1556" s="68">
        <v>12554</v>
      </c>
      <c r="H1556" s="67" t="s">
        <v>1295</v>
      </c>
      <c r="I1556" s="200"/>
      <c r="J1556" s="67" t="s">
        <v>223</v>
      </c>
      <c r="K1556" s="67" t="s">
        <v>224</v>
      </c>
      <c r="L1556" s="67" t="s">
        <v>22</v>
      </c>
      <c r="M1556" s="67" t="s">
        <v>252</v>
      </c>
      <c r="N1556" s="67" t="s">
        <v>259</v>
      </c>
      <c r="O1556" s="67" t="s">
        <v>246</v>
      </c>
      <c r="P1556" s="67" t="s">
        <v>19</v>
      </c>
      <c r="Q1556" s="192">
        <v>62.6</v>
      </c>
    </row>
    <row r="1557" spans="1:17" ht="11.1" hidden="1" customHeight="1" x14ac:dyDescent="0.2">
      <c r="A1557" s="3"/>
      <c r="B1557" s="3" t="str">
        <f ca="1">IF(A1557="В заказ",MAX($B$9:OFFSET(B1557,-1,0))+1,"")</f>
        <v/>
      </c>
      <c r="C1557" s="6" t="str">
        <f t="shared" si="42"/>
        <v>Кромка 2,0 F186 ST9  (75 м бухта).</v>
      </c>
      <c r="D1557" s="67" t="s">
        <v>241</v>
      </c>
      <c r="E1557" s="67" t="s">
        <v>221</v>
      </c>
      <c r="F1557" s="67" t="s">
        <v>1301</v>
      </c>
      <c r="G1557" s="68">
        <v>13835</v>
      </c>
      <c r="H1557" s="67" t="s">
        <v>1295</v>
      </c>
      <c r="I1557" s="200"/>
      <c r="J1557" s="67" t="s">
        <v>223</v>
      </c>
      <c r="K1557" s="67" t="s">
        <v>224</v>
      </c>
      <c r="L1557" s="67" t="s">
        <v>22</v>
      </c>
      <c r="M1557" s="67" t="s">
        <v>244</v>
      </c>
      <c r="N1557" s="67" t="s">
        <v>259</v>
      </c>
      <c r="O1557" s="67" t="s">
        <v>2116</v>
      </c>
      <c r="P1557" s="67" t="s">
        <v>19</v>
      </c>
      <c r="Q1557" s="192">
        <v>65.5</v>
      </c>
    </row>
    <row r="1558" spans="1:17" ht="11.1" hidden="1" customHeight="1" x14ac:dyDescent="0.2">
      <c r="A1558" s="3"/>
      <c r="B1558" s="3" t="str">
        <f ca="1">IF(A1558="В заказ",MAX($B$9:OFFSET(B1558,-1,0))+1,"")</f>
        <v/>
      </c>
      <c r="C1558" s="6" t="str">
        <f t="shared" si="42"/>
        <v>Кромка 2,0 F186 ST9  (75 м бухта).</v>
      </c>
      <c r="D1558" s="67" t="s">
        <v>241</v>
      </c>
      <c r="E1558" s="67" t="s">
        <v>221</v>
      </c>
      <c r="F1558" s="67" t="s">
        <v>1302</v>
      </c>
      <c r="G1558" s="68">
        <v>14019</v>
      </c>
      <c r="H1558" s="67" t="s">
        <v>1295</v>
      </c>
      <c r="I1558" s="200"/>
      <c r="J1558" s="67" t="s">
        <v>223</v>
      </c>
      <c r="K1558" s="67" t="s">
        <v>224</v>
      </c>
      <c r="L1558" s="67" t="s">
        <v>22</v>
      </c>
      <c r="M1558" s="67" t="s">
        <v>264</v>
      </c>
      <c r="N1558" s="67" t="s">
        <v>259</v>
      </c>
      <c r="O1558" s="67" t="s">
        <v>2116</v>
      </c>
      <c r="P1558" s="67" t="s">
        <v>19</v>
      </c>
      <c r="Q1558" s="192">
        <v>94.1</v>
      </c>
    </row>
    <row r="1559" spans="1:17" ht="11.1" hidden="1" customHeight="1" x14ac:dyDescent="0.2">
      <c r="A1559" s="3"/>
      <c r="B1559" s="3" t="str">
        <f ca="1">IF(A1559="В заказ",MAX($B$9:OFFSET(B1559,-1,0))+1,"")</f>
        <v/>
      </c>
      <c r="C1559" s="6" t="str">
        <f t="shared" si="42"/>
        <v>Кромка 2,0 F186 ST9  (75 м бухта).</v>
      </c>
      <c r="D1559" s="67" t="s">
        <v>241</v>
      </c>
      <c r="E1559" s="67" t="s">
        <v>221</v>
      </c>
      <c r="F1559" s="67" t="s">
        <v>1303</v>
      </c>
      <c r="G1559" s="68">
        <v>15031</v>
      </c>
      <c r="H1559" s="67" t="s">
        <v>1295</v>
      </c>
      <c r="I1559" s="200"/>
      <c r="J1559" s="67" t="s">
        <v>223</v>
      </c>
      <c r="K1559" s="67" t="s">
        <v>224</v>
      </c>
      <c r="L1559" s="67" t="s">
        <v>22</v>
      </c>
      <c r="M1559" s="67" t="s">
        <v>270</v>
      </c>
      <c r="N1559" s="67" t="s">
        <v>259</v>
      </c>
      <c r="O1559" s="67" t="s">
        <v>2116</v>
      </c>
      <c r="P1559" s="67" t="s">
        <v>19</v>
      </c>
      <c r="Q1559" s="192">
        <v>127.6</v>
      </c>
    </row>
    <row r="1560" spans="1:17" ht="11.1" hidden="1" customHeight="1" x14ac:dyDescent="0.2">
      <c r="A1560" s="3"/>
      <c r="B1560" s="3" t="str">
        <f ca="1">IF(A1560="В заказ",MAX($B$9:OFFSET(B1560,-1,0))+1,"")</f>
        <v/>
      </c>
      <c r="C1560" s="6" t="str">
        <f t="shared" si="42"/>
        <v>Кромка 2,0 F186 ST9  (75 м бухта).</v>
      </c>
      <c r="D1560" s="67" t="s">
        <v>241</v>
      </c>
      <c r="E1560" s="67" t="s">
        <v>221</v>
      </c>
      <c r="F1560" s="67" t="s">
        <v>1304</v>
      </c>
      <c r="G1560" s="68">
        <v>21473</v>
      </c>
      <c r="H1560" s="67" t="s">
        <v>1295</v>
      </c>
      <c r="I1560" s="200"/>
      <c r="J1560" s="67" t="s">
        <v>223</v>
      </c>
      <c r="K1560" s="67" t="s">
        <v>224</v>
      </c>
      <c r="L1560" s="67" t="s">
        <v>22</v>
      </c>
      <c r="M1560" s="67" t="s">
        <v>282</v>
      </c>
      <c r="N1560" s="67" t="s">
        <v>259</v>
      </c>
      <c r="O1560" s="67" t="s">
        <v>2116</v>
      </c>
      <c r="P1560" s="67" t="s">
        <v>19</v>
      </c>
      <c r="Q1560" s="192">
        <v>187.5</v>
      </c>
    </row>
    <row r="1561" spans="1:17" ht="11.1" hidden="1" customHeight="1" x14ac:dyDescent="0.2">
      <c r="A1561" s="3"/>
      <c r="B1561" s="3" t="str">
        <f ca="1">IF(A1561="В заказ",MAX($B$9:OFFSET(B1561,-1,0))+1,"")</f>
        <v/>
      </c>
      <c r="C1561" s="6" t="str">
        <f t="shared" si="42"/>
        <v>Кромка 0,4 F187 ST9  (200 м бухта).</v>
      </c>
      <c r="D1561" s="67" t="s">
        <v>241</v>
      </c>
      <c r="E1561" s="67" t="s">
        <v>221</v>
      </c>
      <c r="F1561" s="67" t="s">
        <v>1305</v>
      </c>
      <c r="G1561" s="68">
        <v>13183</v>
      </c>
      <c r="H1561" s="67" t="s">
        <v>1295</v>
      </c>
      <c r="I1561" s="200"/>
      <c r="J1561" s="67" t="s">
        <v>225</v>
      </c>
      <c r="K1561" s="67" t="s">
        <v>226</v>
      </c>
      <c r="L1561" s="67" t="s">
        <v>22</v>
      </c>
      <c r="M1561" s="67" t="s">
        <v>252</v>
      </c>
      <c r="N1561" s="67" t="s">
        <v>253</v>
      </c>
      <c r="O1561" s="67" t="s">
        <v>2117</v>
      </c>
      <c r="P1561" s="67" t="s">
        <v>19</v>
      </c>
      <c r="Q1561" s="192">
        <v>17.899999999999999</v>
      </c>
    </row>
    <row r="1562" spans="1:17" ht="11.1" hidden="1" customHeight="1" x14ac:dyDescent="0.2">
      <c r="A1562" s="3"/>
      <c r="B1562" s="3" t="str">
        <f ca="1">IF(A1562="В заказ",MAX($B$9:OFFSET(B1562,-1,0))+1,"")</f>
        <v/>
      </c>
      <c r="C1562" s="6" t="str">
        <f t="shared" si="42"/>
        <v>Кромка 0,4 F187 ST9  (200 м бухта).</v>
      </c>
      <c r="D1562" s="67" t="s">
        <v>241</v>
      </c>
      <c r="E1562" s="67" t="s">
        <v>221</v>
      </c>
      <c r="F1562" s="67" t="s">
        <v>1306</v>
      </c>
      <c r="G1562" s="68">
        <v>24829</v>
      </c>
      <c r="H1562" s="67" t="s">
        <v>1295</v>
      </c>
      <c r="I1562" s="200"/>
      <c r="J1562" s="67" t="s">
        <v>225</v>
      </c>
      <c r="K1562" s="67" t="s">
        <v>226</v>
      </c>
      <c r="L1562" s="67" t="s">
        <v>22</v>
      </c>
      <c r="M1562" s="67" t="s">
        <v>244</v>
      </c>
      <c r="N1562" s="67" t="s">
        <v>253</v>
      </c>
      <c r="O1562" s="67" t="s">
        <v>2117</v>
      </c>
      <c r="P1562" s="67" t="s">
        <v>19</v>
      </c>
      <c r="Q1562" s="71">
        <v>22</v>
      </c>
    </row>
    <row r="1563" spans="1:17" ht="11.1" hidden="1" customHeight="1" x14ac:dyDescent="0.2">
      <c r="A1563" s="3"/>
      <c r="B1563" s="3" t="str">
        <f ca="1">IF(A1563="В заказ",MAX($B$9:OFFSET(B1563,-1,0))+1,"")</f>
        <v/>
      </c>
      <c r="C1563" s="6" t="str">
        <f t="shared" si="42"/>
        <v>Кромка 0,4 F187 ST9  (200 м бухта).</v>
      </c>
      <c r="D1563" s="67" t="s">
        <v>241</v>
      </c>
      <c r="E1563" s="67" t="s">
        <v>221</v>
      </c>
      <c r="F1563" s="67" t="s">
        <v>1307</v>
      </c>
      <c r="G1563" s="68">
        <v>14349</v>
      </c>
      <c r="H1563" s="67" t="s">
        <v>1295</v>
      </c>
      <c r="I1563" s="200"/>
      <c r="J1563" s="67" t="s">
        <v>225</v>
      </c>
      <c r="K1563" s="67" t="s">
        <v>226</v>
      </c>
      <c r="L1563" s="67" t="s">
        <v>22</v>
      </c>
      <c r="M1563" s="67" t="s">
        <v>264</v>
      </c>
      <c r="N1563" s="67" t="s">
        <v>253</v>
      </c>
      <c r="O1563" s="67" t="s">
        <v>2117</v>
      </c>
      <c r="P1563" s="67" t="s">
        <v>19</v>
      </c>
      <c r="Q1563" s="192">
        <v>28.9</v>
      </c>
    </row>
    <row r="1564" spans="1:17" ht="11.1" hidden="1" customHeight="1" x14ac:dyDescent="0.2">
      <c r="A1564" s="3"/>
      <c r="B1564" s="3" t="str">
        <f ca="1">IF(A1564="В заказ",MAX($B$9:OFFSET(B1564,-1,0))+1,"")</f>
        <v/>
      </c>
      <c r="C1564" s="6" t="str">
        <f t="shared" si="42"/>
        <v>Кромка 0,8 F187 ST9  (75 м бухта).</v>
      </c>
      <c r="D1564" s="67" t="s">
        <v>241</v>
      </c>
      <c r="E1564" s="67" t="s">
        <v>221</v>
      </c>
      <c r="F1564" s="67" t="s">
        <v>1308</v>
      </c>
      <c r="G1564" s="68">
        <v>13672</v>
      </c>
      <c r="H1564" s="67" t="s">
        <v>1295</v>
      </c>
      <c r="I1564" s="200"/>
      <c r="J1564" s="67" t="s">
        <v>225</v>
      </c>
      <c r="K1564" s="67" t="s">
        <v>226</v>
      </c>
      <c r="L1564" s="67" t="s">
        <v>22</v>
      </c>
      <c r="M1564" s="67" t="s">
        <v>252</v>
      </c>
      <c r="N1564" s="67" t="s">
        <v>10</v>
      </c>
      <c r="O1564" s="67" t="s">
        <v>2116</v>
      </c>
      <c r="P1564" s="67" t="s">
        <v>19</v>
      </c>
      <c r="Q1564" s="71">
        <v>35</v>
      </c>
    </row>
    <row r="1565" spans="1:17" ht="11.1" hidden="1" customHeight="1" x14ac:dyDescent="0.2">
      <c r="A1565" s="3"/>
      <c r="B1565" s="3" t="str">
        <f ca="1">IF(A1565="В заказ",MAX($B$9:OFFSET(B1565,-1,0))+1,"")</f>
        <v/>
      </c>
      <c r="C1565" s="6" t="str">
        <f t="shared" si="42"/>
        <v>Кромка 0,8 F187 ST9  (75 м бухта).</v>
      </c>
      <c r="D1565" s="67" t="s">
        <v>241</v>
      </c>
      <c r="E1565" s="67" t="s">
        <v>221</v>
      </c>
      <c r="F1565" s="67" t="s">
        <v>1309</v>
      </c>
      <c r="G1565" s="68">
        <v>20508</v>
      </c>
      <c r="H1565" s="67" t="s">
        <v>1295</v>
      </c>
      <c r="I1565" s="200"/>
      <c r="J1565" s="67" t="s">
        <v>225</v>
      </c>
      <c r="K1565" s="67" t="s">
        <v>226</v>
      </c>
      <c r="L1565" s="67" t="s">
        <v>22</v>
      </c>
      <c r="M1565" s="67" t="s">
        <v>244</v>
      </c>
      <c r="N1565" s="67" t="s">
        <v>10</v>
      </c>
      <c r="O1565" s="67" t="s">
        <v>2116</v>
      </c>
      <c r="P1565" s="67" t="s">
        <v>19</v>
      </c>
      <c r="Q1565" s="192">
        <v>42.3</v>
      </c>
    </row>
    <row r="1566" spans="1:17" ht="11.1" hidden="1" customHeight="1" x14ac:dyDescent="0.2">
      <c r="A1566" s="3"/>
      <c r="B1566" s="3" t="str">
        <f ca="1">IF(A1566="В заказ",MAX($B$9:OFFSET(B1566,-1,0))+1,"")</f>
        <v/>
      </c>
      <c r="C1566" s="6" t="str">
        <f t="shared" si="42"/>
        <v>Кромка 0,8 F187 ST9  (75 м бухта).</v>
      </c>
      <c r="D1566" s="67" t="s">
        <v>241</v>
      </c>
      <c r="E1566" s="67" t="s">
        <v>221</v>
      </c>
      <c r="F1566" s="67" t="s">
        <v>1310</v>
      </c>
      <c r="G1566" s="68">
        <v>16734</v>
      </c>
      <c r="H1566" s="67" t="s">
        <v>1295</v>
      </c>
      <c r="I1566" s="200"/>
      <c r="J1566" s="67" t="s">
        <v>225</v>
      </c>
      <c r="K1566" s="67" t="s">
        <v>226</v>
      </c>
      <c r="L1566" s="67" t="s">
        <v>22</v>
      </c>
      <c r="M1566" s="67" t="s">
        <v>264</v>
      </c>
      <c r="N1566" s="67" t="s">
        <v>10</v>
      </c>
      <c r="O1566" s="67" t="s">
        <v>2116</v>
      </c>
      <c r="P1566" s="67" t="s">
        <v>19</v>
      </c>
      <c r="Q1566" s="192">
        <v>66.900000000000006</v>
      </c>
    </row>
    <row r="1567" spans="1:17" ht="11.1" hidden="1" customHeight="1" x14ac:dyDescent="0.2">
      <c r="A1567" s="3"/>
      <c r="B1567" s="3" t="str">
        <f ca="1">IF(A1567="В заказ",MAX($B$9:OFFSET(B1567,-1,0))+1,"")</f>
        <v/>
      </c>
      <c r="C1567" s="6" t="str">
        <f t="shared" si="42"/>
        <v>Кромка 2,0 F187 ST9  (75 м бухта).</v>
      </c>
      <c r="D1567" s="67" t="s">
        <v>241</v>
      </c>
      <c r="E1567" s="67" t="s">
        <v>221</v>
      </c>
      <c r="F1567" s="67" t="s">
        <v>1311</v>
      </c>
      <c r="G1567" s="68">
        <v>13111</v>
      </c>
      <c r="H1567" s="67" t="s">
        <v>1295</v>
      </c>
      <c r="I1567" s="200"/>
      <c r="J1567" s="67" t="s">
        <v>225</v>
      </c>
      <c r="K1567" s="67" t="s">
        <v>226</v>
      </c>
      <c r="L1567" s="67" t="s">
        <v>22</v>
      </c>
      <c r="M1567" s="67" t="s">
        <v>252</v>
      </c>
      <c r="N1567" s="67" t="s">
        <v>259</v>
      </c>
      <c r="O1567" s="67" t="s">
        <v>2116</v>
      </c>
      <c r="P1567" s="67" t="s">
        <v>19</v>
      </c>
      <c r="Q1567" s="192">
        <v>62.6</v>
      </c>
    </row>
    <row r="1568" spans="1:17" ht="11.1" hidden="1" customHeight="1" x14ac:dyDescent="0.2">
      <c r="A1568" s="3"/>
      <c r="B1568" s="3" t="str">
        <f ca="1">IF(A1568="В заказ",MAX($B$9:OFFSET(B1568,-1,0))+1,"")</f>
        <v/>
      </c>
      <c r="C1568" s="6" t="str">
        <f t="shared" si="42"/>
        <v>Кромка 2,0 F187 ST9 (75 м бухта).</v>
      </c>
      <c r="D1568" s="67" t="s">
        <v>241</v>
      </c>
      <c r="E1568" s="67" t="s">
        <v>221</v>
      </c>
      <c r="F1568" s="67" t="s">
        <v>1312</v>
      </c>
      <c r="G1568" s="68">
        <v>13833</v>
      </c>
      <c r="H1568" s="67" t="s">
        <v>1295</v>
      </c>
      <c r="I1568" s="200"/>
      <c r="J1568" s="67" t="s">
        <v>225</v>
      </c>
      <c r="K1568" s="67" t="s">
        <v>226</v>
      </c>
      <c r="L1568" s="67" t="s">
        <v>22</v>
      </c>
      <c r="M1568" s="67" t="s">
        <v>244</v>
      </c>
      <c r="N1568" s="67" t="s">
        <v>259</v>
      </c>
      <c r="O1568" s="67" t="s">
        <v>246</v>
      </c>
      <c r="P1568" s="67" t="s">
        <v>19</v>
      </c>
      <c r="Q1568" s="192">
        <v>65.5</v>
      </c>
    </row>
    <row r="1569" spans="1:17" ht="11.1" hidden="1" customHeight="1" x14ac:dyDescent="0.2">
      <c r="A1569" s="3"/>
      <c r="B1569" s="3" t="str">
        <f ca="1">IF(A1569="В заказ",MAX($B$9:OFFSET(B1569,-1,0))+1,"")</f>
        <v/>
      </c>
      <c r="C1569" s="6" t="str">
        <f t="shared" si="42"/>
        <v>Кромка 2,0 F187 ST9  (75 м бухта).</v>
      </c>
      <c r="D1569" s="67" t="s">
        <v>241</v>
      </c>
      <c r="E1569" s="67" t="s">
        <v>221</v>
      </c>
      <c r="F1569" s="67" t="s">
        <v>1313</v>
      </c>
      <c r="G1569" s="68">
        <v>14350</v>
      </c>
      <c r="H1569" s="67" t="s">
        <v>1295</v>
      </c>
      <c r="I1569" s="200"/>
      <c r="J1569" s="67" t="s">
        <v>225</v>
      </c>
      <c r="K1569" s="67" t="s">
        <v>226</v>
      </c>
      <c r="L1569" s="67" t="s">
        <v>22</v>
      </c>
      <c r="M1569" s="67" t="s">
        <v>264</v>
      </c>
      <c r="N1569" s="67" t="s">
        <v>259</v>
      </c>
      <c r="O1569" s="67" t="s">
        <v>2116</v>
      </c>
      <c r="P1569" s="67" t="s">
        <v>19</v>
      </c>
      <c r="Q1569" s="192">
        <v>94.1</v>
      </c>
    </row>
    <row r="1570" spans="1:17" ht="11.1" hidden="1" customHeight="1" x14ac:dyDescent="0.2">
      <c r="A1570" s="3"/>
      <c r="B1570" s="3" t="str">
        <f ca="1">IF(A1570="В заказ",MAX($B$9:OFFSET(B1570,-1,0))+1,"")</f>
        <v/>
      </c>
      <c r="C1570" s="6" t="str">
        <f t="shared" si="42"/>
        <v>Кромка 2,0 F187 ST9  (75 м бухта).</v>
      </c>
      <c r="D1570" s="67" t="s">
        <v>241</v>
      </c>
      <c r="E1570" s="67" t="s">
        <v>221</v>
      </c>
      <c r="F1570" s="67" t="s">
        <v>1314</v>
      </c>
      <c r="G1570" s="68">
        <v>14079</v>
      </c>
      <c r="H1570" s="67" t="s">
        <v>1295</v>
      </c>
      <c r="I1570" s="200"/>
      <c r="J1570" s="67" t="s">
        <v>225</v>
      </c>
      <c r="K1570" s="67" t="s">
        <v>226</v>
      </c>
      <c r="L1570" s="67" t="s">
        <v>22</v>
      </c>
      <c r="M1570" s="67" t="s">
        <v>270</v>
      </c>
      <c r="N1570" s="67" t="s">
        <v>259</v>
      </c>
      <c r="O1570" s="67" t="s">
        <v>2116</v>
      </c>
      <c r="P1570" s="67" t="s">
        <v>19</v>
      </c>
      <c r="Q1570" s="192">
        <v>127.6</v>
      </c>
    </row>
    <row r="1571" spans="1:17" ht="11.1" hidden="1" customHeight="1" x14ac:dyDescent="0.2">
      <c r="A1571" s="3"/>
      <c r="B1571" s="3" t="str">
        <f ca="1">IF(A1571="В заказ",MAX($B$9:OFFSET(B1571,-1,0))+1,"")</f>
        <v/>
      </c>
      <c r="C1571" s="6" t="str">
        <f t="shared" si="42"/>
        <v>Кромка 2,0 F187 ST9  (75 м бухта).</v>
      </c>
      <c r="D1571" s="67" t="s">
        <v>241</v>
      </c>
      <c r="E1571" s="67" t="s">
        <v>221</v>
      </c>
      <c r="F1571" s="67" t="s">
        <v>1315</v>
      </c>
      <c r="G1571" s="68">
        <v>21477</v>
      </c>
      <c r="H1571" s="67" t="s">
        <v>1295</v>
      </c>
      <c r="I1571" s="200"/>
      <c r="J1571" s="67" t="s">
        <v>225</v>
      </c>
      <c r="K1571" s="67" t="s">
        <v>226</v>
      </c>
      <c r="L1571" s="67" t="s">
        <v>22</v>
      </c>
      <c r="M1571" s="67" t="s">
        <v>282</v>
      </c>
      <c r="N1571" s="67" t="s">
        <v>259</v>
      </c>
      <c r="O1571" s="67" t="s">
        <v>2116</v>
      </c>
      <c r="P1571" s="67" t="s">
        <v>19</v>
      </c>
      <c r="Q1571" s="192">
        <v>187.5</v>
      </c>
    </row>
    <row r="1572" spans="1:17" ht="11.1" hidden="1" customHeight="1" x14ac:dyDescent="0.2">
      <c r="A1572" s="3"/>
      <c r="B1572" s="3" t="str">
        <f ca="1">IF(A1572="В заказ",MAX($B$9:OFFSET(B1572,-1,0))+1,"")</f>
        <v/>
      </c>
      <c r="C1572" s="6" t="str">
        <f t="shared" si="42"/>
        <v>Кромка 0,4 F204 ST9  (200 м бухта).</v>
      </c>
      <c r="D1572" s="67" t="s">
        <v>241</v>
      </c>
      <c r="E1572" s="67" t="s">
        <v>221</v>
      </c>
      <c r="F1572" s="67" t="s">
        <v>1316</v>
      </c>
      <c r="G1572" s="68">
        <v>21756</v>
      </c>
      <c r="H1572" s="67" t="s">
        <v>1295</v>
      </c>
      <c r="I1572" s="200"/>
      <c r="J1572" s="67" t="s">
        <v>1317</v>
      </c>
      <c r="K1572" s="67" t="s">
        <v>1318</v>
      </c>
      <c r="L1572" s="67" t="s">
        <v>22</v>
      </c>
      <c r="M1572" s="67" t="s">
        <v>252</v>
      </c>
      <c r="N1572" s="67" t="s">
        <v>253</v>
      </c>
      <c r="O1572" s="67" t="s">
        <v>2117</v>
      </c>
      <c r="P1572" s="67" t="s">
        <v>19</v>
      </c>
      <c r="Q1572" s="192">
        <v>17.899999999999999</v>
      </c>
    </row>
    <row r="1573" spans="1:17" ht="11.1" hidden="1" customHeight="1" x14ac:dyDescent="0.2">
      <c r="A1573" s="3"/>
      <c r="B1573" s="3" t="str">
        <f ca="1">IF(A1573="В заказ",MAX($B$9:OFFSET(B1573,-1,0))+1,"")</f>
        <v/>
      </c>
      <c r="C1573" s="6" t="str">
        <f t="shared" si="42"/>
        <v>Кромка 0,8 F204 ST9  (75 м бухта).</v>
      </c>
      <c r="D1573" s="67" t="s">
        <v>241</v>
      </c>
      <c r="E1573" s="67" t="s">
        <v>221</v>
      </c>
      <c r="F1573" s="67" t="s">
        <v>1319</v>
      </c>
      <c r="G1573" s="68">
        <v>21757</v>
      </c>
      <c r="H1573" s="67" t="s">
        <v>1295</v>
      </c>
      <c r="I1573" s="200"/>
      <c r="J1573" s="67" t="s">
        <v>1317</v>
      </c>
      <c r="K1573" s="67" t="s">
        <v>1318</v>
      </c>
      <c r="L1573" s="67" t="s">
        <v>22</v>
      </c>
      <c r="M1573" s="67" t="s">
        <v>252</v>
      </c>
      <c r="N1573" s="67" t="s">
        <v>10</v>
      </c>
      <c r="O1573" s="67" t="s">
        <v>2116</v>
      </c>
      <c r="P1573" s="67" t="s">
        <v>19</v>
      </c>
      <c r="Q1573" s="71">
        <v>35</v>
      </c>
    </row>
    <row r="1574" spans="1:17" ht="11.1" hidden="1" customHeight="1" x14ac:dyDescent="0.2">
      <c r="A1574" s="3"/>
      <c r="B1574" s="3" t="str">
        <f ca="1">IF(A1574="В заказ",MAX($B$9:OFFSET(B1574,-1,0))+1,"")</f>
        <v/>
      </c>
      <c r="C1574" s="6" t="str">
        <f t="shared" si="42"/>
        <v>Кромка 2,0 F204 ST9  (75 м бухта).</v>
      </c>
      <c r="D1574" s="67" t="s">
        <v>241</v>
      </c>
      <c r="E1574" s="67" t="s">
        <v>221</v>
      </c>
      <c r="F1574" s="67" t="s">
        <v>1320</v>
      </c>
      <c r="G1574" s="68">
        <v>21758</v>
      </c>
      <c r="H1574" s="67" t="s">
        <v>1295</v>
      </c>
      <c r="I1574" s="200"/>
      <c r="J1574" s="67" t="s">
        <v>1317</v>
      </c>
      <c r="K1574" s="67" t="s">
        <v>1318</v>
      </c>
      <c r="L1574" s="67" t="s">
        <v>22</v>
      </c>
      <c r="M1574" s="67" t="s">
        <v>252</v>
      </c>
      <c r="N1574" s="67" t="s">
        <v>259</v>
      </c>
      <c r="O1574" s="67" t="s">
        <v>2116</v>
      </c>
      <c r="P1574" s="67" t="s">
        <v>19</v>
      </c>
      <c r="Q1574" s="192">
        <v>62.6</v>
      </c>
    </row>
    <row r="1575" spans="1:17" ht="11.1" hidden="1" customHeight="1" x14ac:dyDescent="0.2">
      <c r="A1575" s="3"/>
      <c r="B1575" s="3" t="str">
        <f ca="1">IF(A1575="В заказ",MAX($B$9:OFFSET(B1575,-1,0))+1,"")</f>
        <v/>
      </c>
      <c r="C1575" s="6" t="str">
        <f t="shared" si="42"/>
        <v>Кромка 0,4 F206 ST9  (200 м бухта).</v>
      </c>
      <c r="D1575" s="67" t="s">
        <v>241</v>
      </c>
      <c r="E1575" s="67" t="s">
        <v>221</v>
      </c>
      <c r="F1575" s="67" t="s">
        <v>1321</v>
      </c>
      <c r="G1575" s="68">
        <v>21759</v>
      </c>
      <c r="H1575" s="67" t="s">
        <v>1295</v>
      </c>
      <c r="I1575" s="200"/>
      <c r="J1575" s="67" t="s">
        <v>1322</v>
      </c>
      <c r="K1575" s="67" t="s">
        <v>1323</v>
      </c>
      <c r="L1575" s="67" t="s">
        <v>22</v>
      </c>
      <c r="M1575" s="67" t="s">
        <v>252</v>
      </c>
      <c r="N1575" s="67" t="s">
        <v>253</v>
      </c>
      <c r="O1575" s="67" t="s">
        <v>2117</v>
      </c>
      <c r="P1575" s="67" t="s">
        <v>19</v>
      </c>
      <c r="Q1575" s="192">
        <v>17.899999999999999</v>
      </c>
    </row>
    <row r="1576" spans="1:17" ht="11.1" hidden="1" customHeight="1" x14ac:dyDescent="0.2">
      <c r="A1576" s="3"/>
      <c r="B1576" s="3" t="str">
        <f ca="1">IF(A1576="В заказ",MAX($B$9:OFFSET(B1576,-1,0))+1,"")</f>
        <v/>
      </c>
      <c r="C1576" s="6" t="str">
        <f t="shared" si="42"/>
        <v>Кромка 0,8 F206 ST9  (75 м бухта).</v>
      </c>
      <c r="D1576" s="67" t="s">
        <v>241</v>
      </c>
      <c r="E1576" s="67" t="s">
        <v>221</v>
      </c>
      <c r="F1576" s="67" t="s">
        <v>1324</v>
      </c>
      <c r="G1576" s="68">
        <v>21760</v>
      </c>
      <c r="H1576" s="67" t="s">
        <v>1295</v>
      </c>
      <c r="I1576" s="200"/>
      <c r="J1576" s="67" t="s">
        <v>1322</v>
      </c>
      <c r="K1576" s="67" t="s">
        <v>1323</v>
      </c>
      <c r="L1576" s="67" t="s">
        <v>22</v>
      </c>
      <c r="M1576" s="67" t="s">
        <v>252</v>
      </c>
      <c r="N1576" s="67" t="s">
        <v>10</v>
      </c>
      <c r="O1576" s="67" t="s">
        <v>2116</v>
      </c>
      <c r="P1576" s="67" t="s">
        <v>19</v>
      </c>
      <c r="Q1576" s="71">
        <v>35</v>
      </c>
    </row>
    <row r="1577" spans="1:17" ht="11.1" hidden="1" customHeight="1" x14ac:dyDescent="0.2">
      <c r="A1577" s="3"/>
      <c r="B1577" s="3" t="str">
        <f ca="1">IF(A1577="В заказ",MAX($B$9:OFFSET(B1577,-1,0))+1,"")</f>
        <v/>
      </c>
      <c r="C1577" s="6" t="str">
        <f t="shared" si="42"/>
        <v>Кромка 2,0 F206 ST9  (75 м бухта).</v>
      </c>
      <c r="D1577" s="67" t="s">
        <v>241</v>
      </c>
      <c r="E1577" s="67" t="s">
        <v>221</v>
      </c>
      <c r="F1577" s="67" t="s">
        <v>1325</v>
      </c>
      <c r="G1577" s="68">
        <v>21761</v>
      </c>
      <c r="H1577" s="67" t="s">
        <v>1295</v>
      </c>
      <c r="I1577" s="200"/>
      <c r="J1577" s="67" t="s">
        <v>1322</v>
      </c>
      <c r="K1577" s="67" t="s">
        <v>1323</v>
      </c>
      <c r="L1577" s="67" t="s">
        <v>22</v>
      </c>
      <c r="M1577" s="67" t="s">
        <v>252</v>
      </c>
      <c r="N1577" s="67" t="s">
        <v>259</v>
      </c>
      <c r="O1577" s="67" t="s">
        <v>2116</v>
      </c>
      <c r="P1577" s="67" t="s">
        <v>19</v>
      </c>
      <c r="Q1577" s="192">
        <v>62.6</v>
      </c>
    </row>
    <row r="1578" spans="1:17" ht="11.1" hidden="1" customHeight="1" x14ac:dyDescent="0.2">
      <c r="A1578" s="3"/>
      <c r="B1578" s="3" t="str">
        <f ca="1">IF(A1578="В заказ",MAX($B$9:OFFSET(B1578,-1,0))+1,"")</f>
        <v/>
      </c>
      <c r="C1578" s="6" t="str">
        <f t="shared" si="42"/>
        <v>Кромка 2,0 F302 ST87  (75 м бухта).</v>
      </c>
      <c r="D1578" s="67" t="s">
        <v>241</v>
      </c>
      <c r="E1578" s="67" t="s">
        <v>221</v>
      </c>
      <c r="F1578" s="67" t="s">
        <v>1326</v>
      </c>
      <c r="G1578" s="68">
        <v>22629</v>
      </c>
      <c r="H1578" s="67" t="s">
        <v>1295</v>
      </c>
      <c r="I1578" s="200"/>
      <c r="J1578" s="67" t="s">
        <v>227</v>
      </c>
      <c r="K1578" s="67" t="s">
        <v>228</v>
      </c>
      <c r="L1578" s="67" t="s">
        <v>229</v>
      </c>
      <c r="M1578" s="67" t="s">
        <v>244</v>
      </c>
      <c r="N1578" s="67" t="s">
        <v>259</v>
      </c>
      <c r="O1578" s="67" t="s">
        <v>2116</v>
      </c>
      <c r="P1578" s="67" t="s">
        <v>19</v>
      </c>
      <c r="Q1578" s="192">
        <v>65.5</v>
      </c>
    </row>
    <row r="1579" spans="1:17" ht="11.1" hidden="1" customHeight="1" x14ac:dyDescent="0.2">
      <c r="A1579" s="3"/>
      <c r="B1579" s="3" t="str">
        <f ca="1">IF(A1579="В заказ",MAX($B$9:OFFSET(B1579,-1,0))+1,"")</f>
        <v/>
      </c>
      <c r="C1579" s="6" t="str">
        <f t="shared" si="42"/>
        <v>Кромка 0,4 F416 ST10  (200 м бухта).</v>
      </c>
      <c r="D1579" s="67" t="s">
        <v>241</v>
      </c>
      <c r="E1579" s="67" t="s">
        <v>221</v>
      </c>
      <c r="F1579" s="67" t="s">
        <v>1327</v>
      </c>
      <c r="G1579" s="68">
        <v>21943</v>
      </c>
      <c r="H1579" s="67" t="s">
        <v>1295</v>
      </c>
      <c r="I1579" s="200"/>
      <c r="J1579" s="67" t="s">
        <v>1328</v>
      </c>
      <c r="K1579" s="67" t="s">
        <v>1329</v>
      </c>
      <c r="L1579" s="67" t="s">
        <v>38</v>
      </c>
      <c r="M1579" s="67" t="s">
        <v>252</v>
      </c>
      <c r="N1579" s="67" t="s">
        <v>253</v>
      </c>
      <c r="O1579" s="67" t="s">
        <v>2117</v>
      </c>
      <c r="P1579" s="67" t="s">
        <v>19</v>
      </c>
      <c r="Q1579" s="192">
        <v>17.899999999999999</v>
      </c>
    </row>
    <row r="1580" spans="1:17" ht="11.1" hidden="1" customHeight="1" x14ac:dyDescent="0.2">
      <c r="A1580" s="3"/>
      <c r="B1580" s="3" t="str">
        <f ca="1">IF(A1580="В заказ",MAX($B$9:OFFSET(B1580,-1,0))+1,"")</f>
        <v/>
      </c>
      <c r="C1580" s="6" t="str">
        <f t="shared" si="42"/>
        <v>Кромка 0,4 F416 ST10  (200 м бухта).</v>
      </c>
      <c r="D1580" s="67" t="s">
        <v>241</v>
      </c>
      <c r="E1580" s="67" t="s">
        <v>221</v>
      </c>
      <c r="F1580" s="67" t="s">
        <v>1330</v>
      </c>
      <c r="G1580" s="68">
        <v>22469</v>
      </c>
      <c r="H1580" s="67" t="s">
        <v>1295</v>
      </c>
      <c r="I1580" s="200"/>
      <c r="J1580" s="67" t="s">
        <v>1328</v>
      </c>
      <c r="K1580" s="67" t="s">
        <v>1329</v>
      </c>
      <c r="L1580" s="67" t="s">
        <v>38</v>
      </c>
      <c r="M1580" s="67" t="s">
        <v>264</v>
      </c>
      <c r="N1580" s="67" t="s">
        <v>253</v>
      </c>
      <c r="O1580" s="67" t="s">
        <v>2117</v>
      </c>
      <c r="P1580" s="67" t="s">
        <v>19</v>
      </c>
      <c r="Q1580" s="192">
        <v>28.9</v>
      </c>
    </row>
    <row r="1581" spans="1:17" ht="11.1" hidden="1" customHeight="1" x14ac:dyDescent="0.2">
      <c r="A1581" s="3"/>
      <c r="B1581" s="3" t="str">
        <f ca="1">IF(A1581="В заказ",MAX($B$9:OFFSET(B1581,-1,0))+1,"")</f>
        <v/>
      </c>
      <c r="C1581" s="6" t="str">
        <f t="shared" si="42"/>
        <v>Кромка 0,8 F416 ST10  (75 м бухта).</v>
      </c>
      <c r="D1581" s="67" t="s">
        <v>241</v>
      </c>
      <c r="E1581" s="67" t="s">
        <v>221</v>
      </c>
      <c r="F1581" s="67" t="s">
        <v>1331</v>
      </c>
      <c r="G1581" s="68">
        <v>21944</v>
      </c>
      <c r="H1581" s="67" t="s">
        <v>1295</v>
      </c>
      <c r="I1581" s="200"/>
      <c r="J1581" s="67" t="s">
        <v>1328</v>
      </c>
      <c r="K1581" s="67" t="s">
        <v>1329</v>
      </c>
      <c r="L1581" s="67" t="s">
        <v>38</v>
      </c>
      <c r="M1581" s="67" t="s">
        <v>252</v>
      </c>
      <c r="N1581" s="67" t="s">
        <v>10</v>
      </c>
      <c r="O1581" s="67" t="s">
        <v>2116</v>
      </c>
      <c r="P1581" s="67" t="s">
        <v>19</v>
      </c>
      <c r="Q1581" s="71">
        <v>35</v>
      </c>
    </row>
    <row r="1582" spans="1:17" ht="11.1" hidden="1" customHeight="1" x14ac:dyDescent="0.2">
      <c r="A1582" s="3"/>
      <c r="B1582" s="3" t="str">
        <f ca="1">IF(A1582="В заказ",MAX($B$9:OFFSET(B1582,-1,0))+1,"")</f>
        <v/>
      </c>
      <c r="C1582" s="6" t="str">
        <f t="shared" si="42"/>
        <v>Кромка 2,0 F416 ST10  (75 м бухта).</v>
      </c>
      <c r="D1582" s="67" t="s">
        <v>241</v>
      </c>
      <c r="E1582" s="67" t="s">
        <v>221</v>
      </c>
      <c r="F1582" s="67" t="s">
        <v>1332</v>
      </c>
      <c r="G1582" s="68">
        <v>21945</v>
      </c>
      <c r="H1582" s="67" t="s">
        <v>1295</v>
      </c>
      <c r="I1582" s="200"/>
      <c r="J1582" s="67" t="s">
        <v>1328</v>
      </c>
      <c r="K1582" s="67" t="s">
        <v>1329</v>
      </c>
      <c r="L1582" s="67" t="s">
        <v>38</v>
      </c>
      <c r="M1582" s="67" t="s">
        <v>252</v>
      </c>
      <c r="N1582" s="67" t="s">
        <v>259</v>
      </c>
      <c r="O1582" s="67" t="s">
        <v>2116</v>
      </c>
      <c r="P1582" s="67" t="s">
        <v>19</v>
      </c>
      <c r="Q1582" s="192">
        <v>62.6</v>
      </c>
    </row>
    <row r="1583" spans="1:17" ht="11.1" hidden="1" customHeight="1" x14ac:dyDescent="0.2">
      <c r="A1583" s="3"/>
      <c r="B1583" s="3" t="str">
        <f ca="1">IF(A1583="В заказ",MAX($B$9:OFFSET(B1583,-1,0))+1,"")</f>
        <v/>
      </c>
      <c r="C1583" s="6" t="str">
        <f t="shared" si="42"/>
        <v>Кромка 2,0 F416 ST10  (75 м бухта).</v>
      </c>
      <c r="D1583" s="67" t="s">
        <v>241</v>
      </c>
      <c r="E1583" s="67" t="s">
        <v>221</v>
      </c>
      <c r="F1583" s="67" t="s">
        <v>1333</v>
      </c>
      <c r="G1583" s="68">
        <v>22468</v>
      </c>
      <c r="H1583" s="67" t="s">
        <v>1295</v>
      </c>
      <c r="I1583" s="200"/>
      <c r="J1583" s="67" t="s">
        <v>1328</v>
      </c>
      <c r="K1583" s="67" t="s">
        <v>1329</v>
      </c>
      <c r="L1583" s="67" t="s">
        <v>38</v>
      </c>
      <c r="M1583" s="67" t="s">
        <v>264</v>
      </c>
      <c r="N1583" s="67" t="s">
        <v>259</v>
      </c>
      <c r="O1583" s="67" t="s">
        <v>2116</v>
      </c>
      <c r="P1583" s="67" t="s">
        <v>19</v>
      </c>
      <c r="Q1583" s="192">
        <v>94.1</v>
      </c>
    </row>
    <row r="1584" spans="1:17" ht="11.1" hidden="1" customHeight="1" x14ac:dyDescent="0.2">
      <c r="A1584" s="3"/>
      <c r="B1584" s="3" t="str">
        <f ca="1">IF(A1584="В заказ",MAX($B$9:OFFSET(B1584,-1,0))+1,"")</f>
        <v/>
      </c>
      <c r="C1584" s="6" t="str">
        <f t="shared" si="42"/>
        <v>Кромка 2,0 F416 ST10  (75 м бухта).</v>
      </c>
      <c r="D1584" s="67" t="s">
        <v>241</v>
      </c>
      <c r="E1584" s="67" t="s">
        <v>221</v>
      </c>
      <c r="F1584" s="67" t="s">
        <v>1334</v>
      </c>
      <c r="G1584" s="68">
        <v>22148</v>
      </c>
      <c r="H1584" s="67" t="s">
        <v>1295</v>
      </c>
      <c r="I1584" s="200"/>
      <c r="J1584" s="67" t="s">
        <v>1328</v>
      </c>
      <c r="K1584" s="67" t="s">
        <v>1329</v>
      </c>
      <c r="L1584" s="67" t="s">
        <v>38</v>
      </c>
      <c r="M1584" s="67" t="s">
        <v>270</v>
      </c>
      <c r="N1584" s="67" t="s">
        <v>259</v>
      </c>
      <c r="O1584" s="67" t="s">
        <v>2116</v>
      </c>
      <c r="P1584" s="67" t="s">
        <v>19</v>
      </c>
      <c r="Q1584" s="192">
        <v>127.6</v>
      </c>
    </row>
    <row r="1585" spans="1:17" ht="11.1" hidden="1" customHeight="1" x14ac:dyDescent="0.2">
      <c r="A1585" s="3"/>
      <c r="B1585" s="3" t="str">
        <f ca="1">IF(A1585="В заказ",MAX($B$9:OFFSET(B1585,-1,0))+1,"")</f>
        <v/>
      </c>
      <c r="C1585" s="6" t="str">
        <f t="shared" si="42"/>
        <v>Кромка 0,4 F433 ST10  (200 м бухта).</v>
      </c>
      <c r="D1585" s="67" t="s">
        <v>241</v>
      </c>
      <c r="E1585" s="67" t="s">
        <v>221</v>
      </c>
      <c r="F1585" s="67" t="s">
        <v>1335</v>
      </c>
      <c r="G1585" s="68">
        <v>13472</v>
      </c>
      <c r="H1585" s="67" t="s">
        <v>1295</v>
      </c>
      <c r="I1585" s="200"/>
      <c r="J1585" s="67" t="s">
        <v>1336</v>
      </c>
      <c r="K1585" s="67" t="s">
        <v>1337</v>
      </c>
      <c r="L1585" s="67" t="s">
        <v>38</v>
      </c>
      <c r="M1585" s="67" t="s">
        <v>252</v>
      </c>
      <c r="N1585" s="67" t="s">
        <v>253</v>
      </c>
      <c r="O1585" s="67" t="s">
        <v>2117</v>
      </c>
      <c r="P1585" s="67" t="s">
        <v>19</v>
      </c>
      <c r="Q1585" s="192">
        <v>17.899999999999999</v>
      </c>
    </row>
    <row r="1586" spans="1:17" ht="11.1" hidden="1" customHeight="1" x14ac:dyDescent="0.2">
      <c r="A1586" s="3"/>
      <c r="B1586" s="3" t="str">
        <f ca="1">IF(A1586="В заказ",MAX($B$9:OFFSET(B1586,-1,0))+1,"")</f>
        <v/>
      </c>
      <c r="C1586" s="6" t="str">
        <f t="shared" si="42"/>
        <v>Кромка 0,8 F433 ST10  (75 м бухта).</v>
      </c>
      <c r="D1586" s="67" t="s">
        <v>241</v>
      </c>
      <c r="E1586" s="67" t="s">
        <v>221</v>
      </c>
      <c r="F1586" s="67" t="s">
        <v>1338</v>
      </c>
      <c r="G1586" s="68">
        <v>13268</v>
      </c>
      <c r="H1586" s="67" t="s">
        <v>1295</v>
      </c>
      <c r="I1586" s="200"/>
      <c r="J1586" s="67" t="s">
        <v>1336</v>
      </c>
      <c r="K1586" s="67" t="s">
        <v>1337</v>
      </c>
      <c r="L1586" s="67" t="s">
        <v>38</v>
      </c>
      <c r="M1586" s="67" t="s">
        <v>252</v>
      </c>
      <c r="N1586" s="67" t="s">
        <v>10</v>
      </c>
      <c r="O1586" s="67" t="s">
        <v>2116</v>
      </c>
      <c r="P1586" s="67" t="s">
        <v>19</v>
      </c>
      <c r="Q1586" s="71">
        <v>35</v>
      </c>
    </row>
    <row r="1587" spans="1:17" ht="11.1" hidden="1" customHeight="1" x14ac:dyDescent="0.2">
      <c r="A1587" s="3"/>
      <c r="B1587" s="3" t="str">
        <f ca="1">IF(A1587="В заказ",MAX($B$9:OFFSET(B1587,-1,0))+1,"")</f>
        <v/>
      </c>
      <c r="C1587" s="6" t="str">
        <f t="shared" si="42"/>
        <v>Кромка 2,0 F433 ST10  (75 м бухта).</v>
      </c>
      <c r="D1587" s="67" t="s">
        <v>241</v>
      </c>
      <c r="E1587" s="67" t="s">
        <v>221</v>
      </c>
      <c r="F1587" s="67" t="s">
        <v>1339</v>
      </c>
      <c r="G1587" s="68">
        <v>13736</v>
      </c>
      <c r="H1587" s="67" t="s">
        <v>1295</v>
      </c>
      <c r="I1587" s="200"/>
      <c r="J1587" s="67" t="s">
        <v>1336</v>
      </c>
      <c r="K1587" s="67" t="s">
        <v>1337</v>
      </c>
      <c r="L1587" s="67" t="s">
        <v>38</v>
      </c>
      <c r="M1587" s="67" t="s">
        <v>252</v>
      </c>
      <c r="N1587" s="67" t="s">
        <v>259</v>
      </c>
      <c r="O1587" s="67" t="s">
        <v>2116</v>
      </c>
      <c r="P1587" s="67" t="s">
        <v>19</v>
      </c>
      <c r="Q1587" s="192">
        <v>62.6</v>
      </c>
    </row>
    <row r="1588" spans="1:17" ht="11.1" hidden="1" customHeight="1" x14ac:dyDescent="0.2">
      <c r="A1588" s="3"/>
      <c r="B1588" s="3" t="str">
        <f ca="1">IF(A1588="В заказ",MAX($B$9:OFFSET(B1588,-1,0))+1,"")</f>
        <v/>
      </c>
      <c r="C1588" s="6" t="str">
        <f t="shared" si="42"/>
        <v>Кромка 2,0 F433 ST10  (75 м бухта).</v>
      </c>
      <c r="D1588" s="67" t="s">
        <v>241</v>
      </c>
      <c r="E1588" s="67" t="s">
        <v>221</v>
      </c>
      <c r="F1588" s="67" t="s">
        <v>1340</v>
      </c>
      <c r="G1588" s="68">
        <v>15795</v>
      </c>
      <c r="H1588" s="67" t="s">
        <v>1295</v>
      </c>
      <c r="I1588" s="200"/>
      <c r="J1588" s="67" t="s">
        <v>1336</v>
      </c>
      <c r="K1588" s="67" t="s">
        <v>1337</v>
      </c>
      <c r="L1588" s="67" t="s">
        <v>38</v>
      </c>
      <c r="M1588" s="67" t="s">
        <v>270</v>
      </c>
      <c r="N1588" s="67" t="s">
        <v>259</v>
      </c>
      <c r="O1588" s="67" t="s">
        <v>2116</v>
      </c>
      <c r="P1588" s="67" t="s">
        <v>19</v>
      </c>
      <c r="Q1588" s="192">
        <v>127.6</v>
      </c>
    </row>
    <row r="1589" spans="1:17" ht="11.1" hidden="1" customHeight="1" x14ac:dyDescent="0.2">
      <c r="A1589" s="3"/>
      <c r="B1589" s="3" t="str">
        <f ca="1">IF(A1589="В заказ",MAX($B$9:OFFSET(B1589,-1,0))+1,"")</f>
        <v/>
      </c>
      <c r="C1589" s="6" t="str">
        <f t="shared" si="42"/>
        <v>Кромка 0,4 F501 ST2  (200 м бухта).</v>
      </c>
      <c r="D1589" s="67" t="s">
        <v>241</v>
      </c>
      <c r="E1589" s="67" t="s">
        <v>221</v>
      </c>
      <c r="F1589" s="67" t="s">
        <v>1341</v>
      </c>
      <c r="G1589" s="68">
        <v>8207</v>
      </c>
      <c r="H1589" s="67" t="s">
        <v>1295</v>
      </c>
      <c r="I1589" s="200"/>
      <c r="J1589" s="67" t="s">
        <v>230</v>
      </c>
      <c r="K1589" s="67" t="s">
        <v>231</v>
      </c>
      <c r="L1589" s="67" t="s">
        <v>31</v>
      </c>
      <c r="M1589" s="67" t="s">
        <v>252</v>
      </c>
      <c r="N1589" s="67" t="s">
        <v>253</v>
      </c>
      <c r="O1589" s="67" t="s">
        <v>2117</v>
      </c>
      <c r="P1589" s="67" t="s">
        <v>19</v>
      </c>
      <c r="Q1589" s="192">
        <v>17.899999999999999</v>
      </c>
    </row>
    <row r="1590" spans="1:17" ht="11.1" hidden="1" customHeight="1" x14ac:dyDescent="0.2">
      <c r="A1590" s="3"/>
      <c r="B1590" s="3" t="str">
        <f ca="1">IF(A1590="В заказ",MAX($B$9:OFFSET(B1590,-1,0))+1,"")</f>
        <v/>
      </c>
      <c r="C1590" s="6" t="str">
        <f t="shared" ref="C1590:C1614" si="43">D1590&amp;" "&amp;N1590&amp;" "&amp;IF(OR(D1590="ДСП",D1590="МДФ",D1590="Фанера",D1590="ХДФ"),M1590,J1590)&amp;" "&amp;IF(OR(D1590="ДСП",D1590="МДФ",D1590="Фанера",D1590="ХДФ"),O1590,L1590)&amp;" "&amp;IF(OR(D1590="ДСП",D1590="МДФ",D1590="Фанера",D1590="ХДФ"),"",IF(D1590="БСП",M1590,O1590))&amp;"."</f>
        <v>Кромка 0,4 F501 ST2  (200 м бухта).</v>
      </c>
      <c r="D1590" s="67" t="s">
        <v>241</v>
      </c>
      <c r="E1590" s="67" t="s">
        <v>221</v>
      </c>
      <c r="F1590" s="67" t="s">
        <v>1342</v>
      </c>
      <c r="G1590" s="68">
        <v>9287</v>
      </c>
      <c r="H1590" s="67" t="s">
        <v>1295</v>
      </c>
      <c r="I1590" s="200"/>
      <c r="J1590" s="67" t="s">
        <v>230</v>
      </c>
      <c r="K1590" s="67" t="s">
        <v>231</v>
      </c>
      <c r="L1590" s="67" t="s">
        <v>31</v>
      </c>
      <c r="M1590" s="67" t="s">
        <v>264</v>
      </c>
      <c r="N1590" s="67" t="s">
        <v>253</v>
      </c>
      <c r="O1590" s="67" t="s">
        <v>2117</v>
      </c>
      <c r="P1590" s="67" t="s">
        <v>19</v>
      </c>
      <c r="Q1590" s="192">
        <v>28.9</v>
      </c>
    </row>
    <row r="1591" spans="1:17" ht="11.1" hidden="1" customHeight="1" x14ac:dyDescent="0.2">
      <c r="A1591" s="3"/>
      <c r="B1591" s="3" t="str">
        <f ca="1">IF(A1591="В заказ",MAX($B$9:OFFSET(B1591,-1,0))+1,"")</f>
        <v/>
      </c>
      <c r="C1591" s="6" t="str">
        <f t="shared" si="43"/>
        <v>Кромка 0,8 F501 ST2  (75 м бухта).</v>
      </c>
      <c r="D1591" s="67" t="s">
        <v>241</v>
      </c>
      <c r="E1591" s="67" t="s">
        <v>221</v>
      </c>
      <c r="F1591" s="67" t="s">
        <v>1343</v>
      </c>
      <c r="G1591" s="68">
        <v>12488</v>
      </c>
      <c r="H1591" s="67" t="s">
        <v>1295</v>
      </c>
      <c r="I1591" s="200"/>
      <c r="J1591" s="67" t="s">
        <v>230</v>
      </c>
      <c r="K1591" s="67" t="s">
        <v>231</v>
      </c>
      <c r="L1591" s="67" t="s">
        <v>31</v>
      </c>
      <c r="M1591" s="67" t="s">
        <v>252</v>
      </c>
      <c r="N1591" s="67" t="s">
        <v>10</v>
      </c>
      <c r="O1591" s="67" t="s">
        <v>2116</v>
      </c>
      <c r="P1591" s="67" t="s">
        <v>19</v>
      </c>
      <c r="Q1591" s="71">
        <v>35</v>
      </c>
    </row>
    <row r="1592" spans="1:17" ht="11.1" hidden="1" customHeight="1" x14ac:dyDescent="0.2">
      <c r="A1592" s="3"/>
      <c r="B1592" s="3" t="str">
        <f ca="1">IF(A1592="В заказ",MAX($B$9:OFFSET(B1592,-1,0))+1,"")</f>
        <v/>
      </c>
      <c r="C1592" s="6" t="str">
        <f t="shared" si="43"/>
        <v>Кромка 0,8 F501 ST2  (75 м бухта).</v>
      </c>
      <c r="D1592" s="67" t="s">
        <v>241</v>
      </c>
      <c r="E1592" s="67" t="s">
        <v>221</v>
      </c>
      <c r="F1592" s="67" t="s">
        <v>1344</v>
      </c>
      <c r="G1592" s="68">
        <v>16735</v>
      </c>
      <c r="H1592" s="67" t="s">
        <v>1295</v>
      </c>
      <c r="I1592" s="200"/>
      <c r="J1592" s="67" t="s">
        <v>230</v>
      </c>
      <c r="K1592" s="67" t="s">
        <v>231</v>
      </c>
      <c r="L1592" s="67" t="s">
        <v>31</v>
      </c>
      <c r="M1592" s="67" t="s">
        <v>264</v>
      </c>
      <c r="N1592" s="67" t="s">
        <v>10</v>
      </c>
      <c r="O1592" s="67" t="s">
        <v>2116</v>
      </c>
      <c r="P1592" s="67" t="s">
        <v>19</v>
      </c>
      <c r="Q1592" s="192">
        <v>66.900000000000006</v>
      </c>
    </row>
    <row r="1593" spans="1:17" ht="11.1" hidden="1" customHeight="1" x14ac:dyDescent="0.2">
      <c r="A1593" s="3"/>
      <c r="B1593" s="3" t="str">
        <f ca="1">IF(A1593="В заказ",MAX($B$9:OFFSET(B1593,-1,0))+1,"")</f>
        <v/>
      </c>
      <c r="C1593" s="6" t="str">
        <f t="shared" si="43"/>
        <v>Кромка 2,0 F501 ST2  (75 м бухта).</v>
      </c>
      <c r="D1593" s="67" t="s">
        <v>241</v>
      </c>
      <c r="E1593" s="67" t="s">
        <v>221</v>
      </c>
      <c r="F1593" s="67" t="s">
        <v>1345</v>
      </c>
      <c r="G1593" s="68">
        <v>8520</v>
      </c>
      <c r="H1593" s="67" t="s">
        <v>1295</v>
      </c>
      <c r="I1593" s="200"/>
      <c r="J1593" s="67" t="s">
        <v>230</v>
      </c>
      <c r="K1593" s="67" t="s">
        <v>231</v>
      </c>
      <c r="L1593" s="67" t="s">
        <v>31</v>
      </c>
      <c r="M1593" s="67" t="s">
        <v>252</v>
      </c>
      <c r="N1593" s="67" t="s">
        <v>259</v>
      </c>
      <c r="O1593" s="67" t="s">
        <v>2116</v>
      </c>
      <c r="P1593" s="67" t="s">
        <v>19</v>
      </c>
      <c r="Q1593" s="192">
        <v>62.6</v>
      </c>
    </row>
    <row r="1594" spans="1:17" ht="11.1" hidden="1" customHeight="1" x14ac:dyDescent="0.2">
      <c r="A1594" s="3"/>
      <c r="B1594" s="3" t="str">
        <f ca="1">IF(A1594="В заказ",MAX($B$9:OFFSET(B1594,-1,0))+1,"")</f>
        <v/>
      </c>
      <c r="C1594" s="6" t="str">
        <f t="shared" si="43"/>
        <v>Кромка 2,0 F501 ST2  (75 м бухта).</v>
      </c>
      <c r="D1594" s="67" t="s">
        <v>241</v>
      </c>
      <c r="E1594" s="67" t="s">
        <v>221</v>
      </c>
      <c r="F1594" s="67" t="s">
        <v>1346</v>
      </c>
      <c r="G1594" s="68">
        <v>1757</v>
      </c>
      <c r="H1594" s="67" t="s">
        <v>1295</v>
      </c>
      <c r="I1594" s="200"/>
      <c r="J1594" s="67" t="s">
        <v>230</v>
      </c>
      <c r="K1594" s="67" t="s">
        <v>231</v>
      </c>
      <c r="L1594" s="67" t="s">
        <v>31</v>
      </c>
      <c r="M1594" s="67" t="s">
        <v>264</v>
      </c>
      <c r="N1594" s="67" t="s">
        <v>259</v>
      </c>
      <c r="O1594" s="67" t="s">
        <v>2116</v>
      </c>
      <c r="P1594" s="67" t="s">
        <v>19</v>
      </c>
      <c r="Q1594" s="192">
        <v>94.1</v>
      </c>
    </row>
    <row r="1595" spans="1:17" ht="11.1" hidden="1" customHeight="1" x14ac:dyDescent="0.2">
      <c r="A1595" s="3"/>
      <c r="B1595" s="3" t="str">
        <f ca="1">IF(A1595="В заказ",MAX($B$9:OFFSET(B1595,-1,0))+1,"")</f>
        <v/>
      </c>
      <c r="C1595" s="6" t="str">
        <f t="shared" si="43"/>
        <v>Кромка 2,0 F501 ST2  (75 м бухта).</v>
      </c>
      <c r="D1595" s="67" t="s">
        <v>241</v>
      </c>
      <c r="E1595" s="67" t="s">
        <v>221</v>
      </c>
      <c r="F1595" s="67" t="s">
        <v>1347</v>
      </c>
      <c r="G1595" s="68">
        <v>8521</v>
      </c>
      <c r="H1595" s="67" t="s">
        <v>1295</v>
      </c>
      <c r="I1595" s="200"/>
      <c r="J1595" s="67" t="s">
        <v>230</v>
      </c>
      <c r="K1595" s="67" t="s">
        <v>231</v>
      </c>
      <c r="L1595" s="67" t="s">
        <v>31</v>
      </c>
      <c r="M1595" s="67" t="s">
        <v>270</v>
      </c>
      <c r="N1595" s="67" t="s">
        <v>259</v>
      </c>
      <c r="O1595" s="67" t="s">
        <v>2116</v>
      </c>
      <c r="P1595" s="67" t="s">
        <v>19</v>
      </c>
      <c r="Q1595" s="192">
        <v>127.6</v>
      </c>
    </row>
    <row r="1596" spans="1:17" ht="11.1" hidden="1" customHeight="1" x14ac:dyDescent="0.2">
      <c r="A1596" s="3"/>
      <c r="B1596" s="3" t="str">
        <f ca="1">IF(A1596="В заказ",MAX($B$9:OFFSET(B1596,-1,0))+1,"")</f>
        <v/>
      </c>
      <c r="C1596" s="6" t="str">
        <f t="shared" si="43"/>
        <v>Кромка 2,0 F501 ST2  (75 м бухта).</v>
      </c>
      <c r="D1596" s="67" t="s">
        <v>241</v>
      </c>
      <c r="E1596" s="67" t="s">
        <v>221</v>
      </c>
      <c r="F1596" s="67" t="s">
        <v>1348</v>
      </c>
      <c r="G1596" s="68">
        <v>21483</v>
      </c>
      <c r="H1596" s="67" t="s">
        <v>1295</v>
      </c>
      <c r="I1596" s="200"/>
      <c r="J1596" s="67" t="s">
        <v>230</v>
      </c>
      <c r="K1596" s="67" t="s">
        <v>231</v>
      </c>
      <c r="L1596" s="67" t="s">
        <v>31</v>
      </c>
      <c r="M1596" s="67" t="s">
        <v>282</v>
      </c>
      <c r="N1596" s="67" t="s">
        <v>259</v>
      </c>
      <c r="O1596" s="67" t="s">
        <v>2116</v>
      </c>
      <c r="P1596" s="67" t="s">
        <v>19</v>
      </c>
      <c r="Q1596" s="192">
        <v>187.5</v>
      </c>
    </row>
    <row r="1597" spans="1:17" ht="11.1" hidden="1" customHeight="1" x14ac:dyDescent="0.2">
      <c r="A1597" s="3"/>
      <c r="B1597" s="3" t="str">
        <f ca="1">IF(A1597="В заказ",MAX($B$9:OFFSET(B1597,-1,0))+1,"")</f>
        <v/>
      </c>
      <c r="C1597" s="6" t="str">
        <f t="shared" si="43"/>
        <v>Кромка 0,4 F509 ST2  (200 м бухта).</v>
      </c>
      <c r="D1597" s="67" t="s">
        <v>241</v>
      </c>
      <c r="E1597" s="67" t="s">
        <v>221</v>
      </c>
      <c r="F1597" s="67" t="s">
        <v>1349</v>
      </c>
      <c r="G1597" s="68">
        <v>2244</v>
      </c>
      <c r="H1597" s="67" t="s">
        <v>1295</v>
      </c>
      <c r="I1597" s="200"/>
      <c r="J1597" s="67" t="s">
        <v>232</v>
      </c>
      <c r="K1597" s="67" t="s">
        <v>11</v>
      </c>
      <c r="L1597" s="67" t="s">
        <v>31</v>
      </c>
      <c r="M1597" s="67" t="s">
        <v>252</v>
      </c>
      <c r="N1597" s="67" t="s">
        <v>253</v>
      </c>
      <c r="O1597" s="67" t="s">
        <v>2117</v>
      </c>
      <c r="P1597" s="67" t="s">
        <v>19</v>
      </c>
      <c r="Q1597" s="192">
        <v>17.899999999999999</v>
      </c>
    </row>
    <row r="1598" spans="1:17" ht="11.1" hidden="1" customHeight="1" x14ac:dyDescent="0.2">
      <c r="A1598" s="3"/>
      <c r="B1598" s="3" t="str">
        <f ca="1">IF(A1598="В заказ",MAX($B$9:OFFSET(B1598,-1,0))+1,"")</f>
        <v/>
      </c>
      <c r="C1598" s="6" t="str">
        <f t="shared" si="43"/>
        <v>Кромка 0,4 F509 ST2  (200 м бухта).</v>
      </c>
      <c r="D1598" s="67" t="s">
        <v>241</v>
      </c>
      <c r="E1598" s="67" t="s">
        <v>221</v>
      </c>
      <c r="F1598" s="67" t="s">
        <v>1350</v>
      </c>
      <c r="G1598" s="68">
        <v>5963</v>
      </c>
      <c r="H1598" s="67" t="s">
        <v>1295</v>
      </c>
      <c r="I1598" s="200"/>
      <c r="J1598" s="67" t="s">
        <v>232</v>
      </c>
      <c r="K1598" s="67" t="s">
        <v>11</v>
      </c>
      <c r="L1598" s="67" t="s">
        <v>31</v>
      </c>
      <c r="M1598" s="67" t="s">
        <v>264</v>
      </c>
      <c r="N1598" s="67" t="s">
        <v>253</v>
      </c>
      <c r="O1598" s="67" t="s">
        <v>2117</v>
      </c>
      <c r="P1598" s="67" t="s">
        <v>19</v>
      </c>
      <c r="Q1598" s="192">
        <v>28.9</v>
      </c>
    </row>
    <row r="1599" spans="1:17" ht="11.1" hidden="1" customHeight="1" x14ac:dyDescent="0.2">
      <c r="A1599" s="3"/>
      <c r="B1599" s="3" t="str">
        <f ca="1">IF(A1599="В заказ",MAX($B$9:OFFSET(B1599,-1,0))+1,"")</f>
        <v/>
      </c>
      <c r="C1599" s="6" t="str">
        <f t="shared" si="43"/>
        <v>Кромка 0,8 F509 ST2  (75 м бухта).</v>
      </c>
      <c r="D1599" s="67" t="s">
        <v>241</v>
      </c>
      <c r="E1599" s="67" t="s">
        <v>221</v>
      </c>
      <c r="F1599" s="67" t="s">
        <v>1351</v>
      </c>
      <c r="G1599" s="68">
        <v>12490</v>
      </c>
      <c r="H1599" s="67" t="s">
        <v>1295</v>
      </c>
      <c r="I1599" s="200"/>
      <c r="J1599" s="67" t="s">
        <v>232</v>
      </c>
      <c r="K1599" s="67" t="s">
        <v>11</v>
      </c>
      <c r="L1599" s="67" t="s">
        <v>31</v>
      </c>
      <c r="M1599" s="67" t="s">
        <v>252</v>
      </c>
      <c r="N1599" s="67" t="s">
        <v>10</v>
      </c>
      <c r="O1599" s="67" t="s">
        <v>2116</v>
      </c>
      <c r="P1599" s="67" t="s">
        <v>19</v>
      </c>
      <c r="Q1599" s="71">
        <v>35</v>
      </c>
    </row>
    <row r="1600" spans="1:17" ht="11.1" hidden="1" customHeight="1" x14ac:dyDescent="0.2">
      <c r="A1600" s="3"/>
      <c r="B1600" s="3" t="str">
        <f ca="1">IF(A1600="В заказ",MAX($B$9:OFFSET(B1600,-1,0))+1,"")</f>
        <v/>
      </c>
      <c r="C1600" s="6" t="str">
        <f t="shared" si="43"/>
        <v>Кромка 2,0 F509 ST2  (75 м бухта).</v>
      </c>
      <c r="D1600" s="67" t="s">
        <v>241</v>
      </c>
      <c r="E1600" s="67" t="s">
        <v>221</v>
      </c>
      <c r="F1600" s="67" t="s">
        <v>1352</v>
      </c>
      <c r="G1600" s="68">
        <v>5960</v>
      </c>
      <c r="H1600" s="67" t="s">
        <v>1295</v>
      </c>
      <c r="I1600" s="200"/>
      <c r="J1600" s="67" t="s">
        <v>232</v>
      </c>
      <c r="K1600" s="67" t="s">
        <v>11</v>
      </c>
      <c r="L1600" s="67" t="s">
        <v>31</v>
      </c>
      <c r="M1600" s="67" t="s">
        <v>252</v>
      </c>
      <c r="N1600" s="67" t="s">
        <v>259</v>
      </c>
      <c r="O1600" s="67" t="s">
        <v>2116</v>
      </c>
      <c r="P1600" s="67" t="s">
        <v>19</v>
      </c>
      <c r="Q1600" s="192">
        <v>62.6</v>
      </c>
    </row>
    <row r="1601" spans="1:17" ht="11.1" hidden="1" customHeight="1" x14ac:dyDescent="0.2">
      <c r="A1601" s="3"/>
      <c r="B1601" s="3" t="str">
        <f ca="1">IF(A1601="В заказ",MAX($B$9:OFFSET(B1601,-1,0))+1,"")</f>
        <v/>
      </c>
      <c r="C1601" s="6" t="str">
        <f t="shared" si="43"/>
        <v>Кромка 2,0 F509 ST2  (75 м бухта).</v>
      </c>
      <c r="D1601" s="67" t="s">
        <v>241</v>
      </c>
      <c r="E1601" s="67" t="s">
        <v>221</v>
      </c>
      <c r="F1601" s="67" t="s">
        <v>1353</v>
      </c>
      <c r="G1601" s="68">
        <v>2246</v>
      </c>
      <c r="H1601" s="67" t="s">
        <v>1295</v>
      </c>
      <c r="I1601" s="200"/>
      <c r="J1601" s="67" t="s">
        <v>232</v>
      </c>
      <c r="K1601" s="67" t="s">
        <v>11</v>
      </c>
      <c r="L1601" s="67" t="s">
        <v>31</v>
      </c>
      <c r="M1601" s="67" t="s">
        <v>264</v>
      </c>
      <c r="N1601" s="67" t="s">
        <v>259</v>
      </c>
      <c r="O1601" s="67" t="s">
        <v>2116</v>
      </c>
      <c r="P1601" s="67" t="s">
        <v>19</v>
      </c>
      <c r="Q1601" s="192">
        <v>94.1</v>
      </c>
    </row>
    <row r="1602" spans="1:17" ht="11.1" hidden="1" customHeight="1" x14ac:dyDescent="0.2">
      <c r="A1602" s="3"/>
      <c r="B1602" s="3" t="str">
        <f ca="1">IF(A1602="В заказ",MAX($B$9:OFFSET(B1602,-1,0))+1,"")</f>
        <v/>
      </c>
      <c r="C1602" s="6" t="str">
        <f t="shared" si="43"/>
        <v>Кромка 2,0 F509 ST2  (75 м бухта).</v>
      </c>
      <c r="D1602" s="67" t="s">
        <v>241</v>
      </c>
      <c r="E1602" s="67" t="s">
        <v>221</v>
      </c>
      <c r="F1602" s="67" t="s">
        <v>1354</v>
      </c>
      <c r="G1602" s="68">
        <v>5962</v>
      </c>
      <c r="H1602" s="67" t="s">
        <v>1295</v>
      </c>
      <c r="I1602" s="200"/>
      <c r="J1602" s="67" t="s">
        <v>232</v>
      </c>
      <c r="K1602" s="67" t="s">
        <v>11</v>
      </c>
      <c r="L1602" s="67" t="s">
        <v>31</v>
      </c>
      <c r="M1602" s="67" t="s">
        <v>270</v>
      </c>
      <c r="N1602" s="67" t="s">
        <v>259</v>
      </c>
      <c r="O1602" s="67" t="s">
        <v>2116</v>
      </c>
      <c r="P1602" s="67" t="s">
        <v>19</v>
      </c>
      <c r="Q1602" s="192">
        <v>127.6</v>
      </c>
    </row>
    <row r="1603" spans="1:17" ht="11.1" hidden="1" customHeight="1" x14ac:dyDescent="0.2">
      <c r="A1603" s="3"/>
      <c r="B1603" s="3" t="str">
        <f ca="1">IF(A1603="В заказ",MAX($B$9:OFFSET(B1603,-1,0))+1,"")</f>
        <v/>
      </c>
      <c r="C1603" s="6" t="str">
        <f t="shared" si="43"/>
        <v>Кромка 2,0 F509 ST2  (75 м бухта).</v>
      </c>
      <c r="D1603" s="67" t="s">
        <v>241</v>
      </c>
      <c r="E1603" s="67" t="s">
        <v>221</v>
      </c>
      <c r="F1603" s="67" t="s">
        <v>1355</v>
      </c>
      <c r="G1603" s="68">
        <v>21487</v>
      </c>
      <c r="H1603" s="67" t="s">
        <v>1295</v>
      </c>
      <c r="I1603" s="200"/>
      <c r="J1603" s="67" t="s">
        <v>232</v>
      </c>
      <c r="K1603" s="67" t="s">
        <v>11</v>
      </c>
      <c r="L1603" s="67" t="s">
        <v>31</v>
      </c>
      <c r="M1603" s="67" t="s">
        <v>282</v>
      </c>
      <c r="N1603" s="67" t="s">
        <v>259</v>
      </c>
      <c r="O1603" s="67" t="s">
        <v>2116</v>
      </c>
      <c r="P1603" s="67" t="s">
        <v>19</v>
      </c>
      <c r="Q1603" s="192">
        <v>187.5</v>
      </c>
    </row>
    <row r="1604" spans="1:17" ht="11.1" hidden="1" customHeight="1" x14ac:dyDescent="0.2">
      <c r="A1604" s="3"/>
      <c r="B1604" s="3" t="str">
        <f ca="1">IF(A1604="В заказ",MAX($B$9:OFFSET(B1604,-1,0))+1,"")</f>
        <v/>
      </c>
      <c r="C1604" s="6" t="str">
        <f t="shared" si="43"/>
        <v>Кромка 0,4 F637 ST16  (200 м бухта).</v>
      </c>
      <c r="D1604" s="67" t="s">
        <v>241</v>
      </c>
      <c r="E1604" s="67" t="s">
        <v>221</v>
      </c>
      <c r="F1604" s="67" t="s">
        <v>1356</v>
      </c>
      <c r="G1604" s="68">
        <v>22417</v>
      </c>
      <c r="H1604" s="67" t="s">
        <v>1295</v>
      </c>
      <c r="I1604" s="200"/>
      <c r="J1604" s="67" t="s">
        <v>1357</v>
      </c>
      <c r="K1604" s="67" t="s">
        <v>1358</v>
      </c>
      <c r="L1604" s="67" t="s">
        <v>1205</v>
      </c>
      <c r="M1604" s="67" t="s">
        <v>252</v>
      </c>
      <c r="N1604" s="67" t="s">
        <v>253</v>
      </c>
      <c r="O1604" s="67" t="s">
        <v>2117</v>
      </c>
      <c r="P1604" s="67" t="s">
        <v>19</v>
      </c>
      <c r="Q1604" s="192">
        <v>17.899999999999999</v>
      </c>
    </row>
    <row r="1605" spans="1:17" ht="11.1" hidden="1" customHeight="1" x14ac:dyDescent="0.2">
      <c r="A1605" s="3"/>
      <c r="B1605" s="3" t="str">
        <f ca="1">IF(A1605="В заказ",MAX($B$9:OFFSET(B1605,-1,0))+1,"")</f>
        <v/>
      </c>
      <c r="C1605" s="6" t="str">
        <f t="shared" si="43"/>
        <v>Кромка 0,8 F637 ST16  (75 м бухта).</v>
      </c>
      <c r="D1605" s="67" t="s">
        <v>241</v>
      </c>
      <c r="E1605" s="67" t="s">
        <v>221</v>
      </c>
      <c r="F1605" s="67" t="s">
        <v>1359</v>
      </c>
      <c r="G1605" s="68">
        <v>22520</v>
      </c>
      <c r="H1605" s="67" t="s">
        <v>1295</v>
      </c>
      <c r="I1605" s="200"/>
      <c r="J1605" s="67" t="s">
        <v>1357</v>
      </c>
      <c r="K1605" s="67" t="s">
        <v>1358</v>
      </c>
      <c r="L1605" s="67" t="s">
        <v>1205</v>
      </c>
      <c r="M1605" s="67" t="s">
        <v>252</v>
      </c>
      <c r="N1605" s="67" t="s">
        <v>10</v>
      </c>
      <c r="O1605" s="67" t="s">
        <v>2116</v>
      </c>
      <c r="P1605" s="67" t="s">
        <v>19</v>
      </c>
      <c r="Q1605" s="71">
        <v>35</v>
      </c>
    </row>
    <row r="1606" spans="1:17" ht="11.1" hidden="1" customHeight="1" x14ac:dyDescent="0.2">
      <c r="A1606" s="3"/>
      <c r="B1606" s="3" t="str">
        <f ca="1">IF(A1606="В заказ",MAX($B$9:OFFSET(B1606,-1,0))+1,"")</f>
        <v/>
      </c>
      <c r="C1606" s="6" t="str">
        <f t="shared" si="43"/>
        <v>Кромка 2,0 F637 ST16  (75 м бухта).</v>
      </c>
      <c r="D1606" s="67" t="s">
        <v>241</v>
      </c>
      <c r="E1606" s="67" t="s">
        <v>221</v>
      </c>
      <c r="F1606" s="67" t="s">
        <v>1360</v>
      </c>
      <c r="G1606" s="68">
        <v>22066</v>
      </c>
      <c r="H1606" s="67" t="s">
        <v>1295</v>
      </c>
      <c r="I1606" s="200"/>
      <c r="J1606" s="67" t="s">
        <v>1357</v>
      </c>
      <c r="K1606" s="67" t="s">
        <v>1358</v>
      </c>
      <c r="L1606" s="67" t="s">
        <v>1205</v>
      </c>
      <c r="M1606" s="67" t="s">
        <v>252</v>
      </c>
      <c r="N1606" s="67" t="s">
        <v>259</v>
      </c>
      <c r="O1606" s="67" t="s">
        <v>2116</v>
      </c>
      <c r="P1606" s="67" t="s">
        <v>19</v>
      </c>
      <c r="Q1606" s="192">
        <v>62.6</v>
      </c>
    </row>
    <row r="1607" spans="1:17" ht="11.1" hidden="1" customHeight="1" x14ac:dyDescent="0.2">
      <c r="A1607" s="3"/>
      <c r="B1607" s="3" t="str">
        <f ca="1">IF(A1607="В заказ",MAX($B$9:OFFSET(B1607,-1,0))+1,"")</f>
        <v/>
      </c>
      <c r="C1607" s="6" t="str">
        <f t="shared" si="43"/>
        <v>Кромка 0,4 F642 ST16  (200 м бухта).</v>
      </c>
      <c r="D1607" s="67" t="s">
        <v>241</v>
      </c>
      <c r="E1607" s="67" t="s">
        <v>221</v>
      </c>
      <c r="F1607" s="67" t="s">
        <v>1361</v>
      </c>
      <c r="G1607" s="68">
        <v>21923</v>
      </c>
      <c r="H1607" s="67" t="s">
        <v>1295</v>
      </c>
      <c r="I1607" s="200"/>
      <c r="J1607" s="67" t="s">
        <v>1362</v>
      </c>
      <c r="K1607" s="67" t="s">
        <v>1363</v>
      </c>
      <c r="L1607" s="67" t="s">
        <v>1205</v>
      </c>
      <c r="M1607" s="67" t="s">
        <v>252</v>
      </c>
      <c r="N1607" s="67" t="s">
        <v>253</v>
      </c>
      <c r="O1607" s="67" t="s">
        <v>2117</v>
      </c>
      <c r="P1607" s="67" t="s">
        <v>19</v>
      </c>
      <c r="Q1607" s="192">
        <v>17.899999999999999</v>
      </c>
    </row>
    <row r="1608" spans="1:17" ht="11.1" hidden="1" customHeight="1" x14ac:dyDescent="0.2">
      <c r="A1608" s="3"/>
      <c r="B1608" s="3" t="str">
        <f ca="1">IF(A1608="В заказ",MAX($B$9:OFFSET(B1608,-1,0))+1,"")</f>
        <v/>
      </c>
      <c r="C1608" s="6" t="str">
        <f t="shared" si="43"/>
        <v>Кромка 0,8 F642 ST16  (75 м бухта).</v>
      </c>
      <c r="D1608" s="67" t="s">
        <v>241</v>
      </c>
      <c r="E1608" s="67" t="s">
        <v>221</v>
      </c>
      <c r="F1608" s="67" t="s">
        <v>1364</v>
      </c>
      <c r="G1608" s="68">
        <v>21922</v>
      </c>
      <c r="H1608" s="67" t="s">
        <v>1295</v>
      </c>
      <c r="I1608" s="200"/>
      <c r="J1608" s="67" t="s">
        <v>1362</v>
      </c>
      <c r="K1608" s="67" t="s">
        <v>1363</v>
      </c>
      <c r="L1608" s="67" t="s">
        <v>1205</v>
      </c>
      <c r="M1608" s="67" t="s">
        <v>252</v>
      </c>
      <c r="N1608" s="67" t="s">
        <v>10</v>
      </c>
      <c r="O1608" s="67" t="s">
        <v>2116</v>
      </c>
      <c r="P1608" s="67" t="s">
        <v>19</v>
      </c>
      <c r="Q1608" s="71">
        <v>35</v>
      </c>
    </row>
    <row r="1609" spans="1:17" ht="11.1" hidden="1" customHeight="1" x14ac:dyDescent="0.2">
      <c r="A1609" s="3"/>
      <c r="B1609" s="3" t="str">
        <f ca="1">IF(A1609="В заказ",MAX($B$9:OFFSET(B1609,-1,0))+1,"")</f>
        <v/>
      </c>
      <c r="C1609" s="6" t="str">
        <f t="shared" si="43"/>
        <v>Кромка 2,0 F642 ST16  (75 м бухта).</v>
      </c>
      <c r="D1609" s="67" t="s">
        <v>241</v>
      </c>
      <c r="E1609" s="67" t="s">
        <v>221</v>
      </c>
      <c r="F1609" s="67" t="s">
        <v>1365</v>
      </c>
      <c r="G1609" s="68">
        <v>21924</v>
      </c>
      <c r="H1609" s="67" t="s">
        <v>1295</v>
      </c>
      <c r="I1609" s="200"/>
      <c r="J1609" s="67" t="s">
        <v>1362</v>
      </c>
      <c r="K1609" s="67" t="s">
        <v>1363</v>
      </c>
      <c r="L1609" s="67" t="s">
        <v>1205</v>
      </c>
      <c r="M1609" s="67" t="s">
        <v>252</v>
      </c>
      <c r="N1609" s="67" t="s">
        <v>259</v>
      </c>
      <c r="O1609" s="67" t="s">
        <v>2116</v>
      </c>
      <c r="P1609" s="67" t="s">
        <v>19</v>
      </c>
      <c r="Q1609" s="192">
        <v>62.6</v>
      </c>
    </row>
    <row r="1610" spans="1:17" ht="11.1" hidden="1" customHeight="1" x14ac:dyDescent="0.2">
      <c r="A1610" s="3"/>
      <c r="B1610" s="3" t="str">
        <f ca="1">IF(A1610="В заказ",MAX($B$9:OFFSET(B1610,-1,0))+1,"")</f>
        <v/>
      </c>
      <c r="C1610" s="6" t="str">
        <f t="shared" si="43"/>
        <v>Кромка 1,0 F812 PG  (75 м бухта).</v>
      </c>
      <c r="D1610" s="67" t="s">
        <v>241</v>
      </c>
      <c r="E1610" s="67" t="s">
        <v>221</v>
      </c>
      <c r="F1610" s="67" t="s">
        <v>1366</v>
      </c>
      <c r="G1610" s="68">
        <v>22877</v>
      </c>
      <c r="H1610" s="67" t="s">
        <v>243</v>
      </c>
      <c r="I1610" s="200"/>
      <c r="J1610" s="67" t="s">
        <v>1367</v>
      </c>
      <c r="K1610" s="67" t="s">
        <v>1368</v>
      </c>
      <c r="L1610" s="67" t="s">
        <v>18</v>
      </c>
      <c r="M1610" s="67" t="s">
        <v>244</v>
      </c>
      <c r="N1610" s="67" t="s">
        <v>245</v>
      </c>
      <c r="O1610" s="67" t="s">
        <v>2116</v>
      </c>
      <c r="P1610" s="67" t="s">
        <v>19</v>
      </c>
      <c r="Q1610" s="192">
        <v>73.8</v>
      </c>
    </row>
    <row r="1611" spans="1:17" ht="11.1" hidden="1" customHeight="1" x14ac:dyDescent="0.2">
      <c r="A1611" s="3"/>
      <c r="B1611" s="3" t="str">
        <f ca="1">IF(A1611="В заказ",MAX($B$9:OFFSET(B1611,-1,0))+1,"")</f>
        <v/>
      </c>
      <c r="C1611" s="6" t="str">
        <f t="shared" si="43"/>
        <v>Кромка 0,4 F812 ST9  (200 м бухта).</v>
      </c>
      <c r="D1611" s="67" t="s">
        <v>241</v>
      </c>
      <c r="E1611" s="67" t="s">
        <v>221</v>
      </c>
      <c r="F1611" s="67" t="s">
        <v>1369</v>
      </c>
      <c r="G1611" s="68">
        <v>21957</v>
      </c>
      <c r="H1611" s="67" t="s">
        <v>1295</v>
      </c>
      <c r="I1611" s="200"/>
      <c r="J1611" s="67" t="s">
        <v>1367</v>
      </c>
      <c r="K1611" s="67" t="s">
        <v>1368</v>
      </c>
      <c r="L1611" s="67" t="s">
        <v>22</v>
      </c>
      <c r="M1611" s="67" t="s">
        <v>252</v>
      </c>
      <c r="N1611" s="67" t="s">
        <v>253</v>
      </c>
      <c r="O1611" s="67" t="s">
        <v>2117</v>
      </c>
      <c r="P1611" s="67" t="s">
        <v>19</v>
      </c>
      <c r="Q1611" s="192">
        <v>17.899999999999999</v>
      </c>
    </row>
    <row r="1612" spans="1:17" ht="11.1" hidden="1" customHeight="1" x14ac:dyDescent="0.2">
      <c r="A1612" s="3"/>
      <c r="B1612" s="3" t="str">
        <f ca="1">IF(A1612="В заказ",MAX($B$9:OFFSET(B1612,-1,0))+1,"")</f>
        <v/>
      </c>
      <c r="C1612" s="6" t="str">
        <f t="shared" si="43"/>
        <v>Кромка 0,8 F812 ST9  (75 м бухта).</v>
      </c>
      <c r="D1612" s="67" t="s">
        <v>241</v>
      </c>
      <c r="E1612" s="67" t="s">
        <v>221</v>
      </c>
      <c r="F1612" s="67" t="s">
        <v>1370</v>
      </c>
      <c r="G1612" s="68">
        <v>21958</v>
      </c>
      <c r="H1612" s="67" t="s">
        <v>1295</v>
      </c>
      <c r="I1612" s="200"/>
      <c r="J1612" s="67" t="s">
        <v>1367</v>
      </c>
      <c r="K1612" s="67" t="s">
        <v>1368</v>
      </c>
      <c r="L1612" s="67" t="s">
        <v>22</v>
      </c>
      <c r="M1612" s="67" t="s">
        <v>252</v>
      </c>
      <c r="N1612" s="67" t="s">
        <v>10</v>
      </c>
      <c r="O1612" s="67" t="s">
        <v>2116</v>
      </c>
      <c r="P1612" s="67" t="s">
        <v>19</v>
      </c>
      <c r="Q1612" s="71">
        <v>35</v>
      </c>
    </row>
    <row r="1613" spans="1:17" ht="11.1" hidden="1" customHeight="1" x14ac:dyDescent="0.2">
      <c r="A1613" s="3"/>
      <c r="B1613" s="3" t="str">
        <f ca="1">IF(A1613="В заказ",MAX($B$9:OFFSET(B1613,-1,0))+1,"")</f>
        <v/>
      </c>
      <c r="C1613" s="6" t="str">
        <f t="shared" si="43"/>
        <v>Кромка 2,0 F812 ST9  (75 м бухта).</v>
      </c>
      <c r="D1613" s="67" t="s">
        <v>241</v>
      </c>
      <c r="E1613" s="67" t="s">
        <v>221</v>
      </c>
      <c r="F1613" s="67" t="s">
        <v>1371</v>
      </c>
      <c r="G1613" s="68">
        <v>21959</v>
      </c>
      <c r="H1613" s="67" t="s">
        <v>1295</v>
      </c>
      <c r="I1613" s="200"/>
      <c r="J1613" s="67" t="s">
        <v>1367</v>
      </c>
      <c r="K1613" s="67" t="s">
        <v>1368</v>
      </c>
      <c r="L1613" s="67" t="s">
        <v>22</v>
      </c>
      <c r="M1613" s="67" t="s">
        <v>252</v>
      </c>
      <c r="N1613" s="67" t="s">
        <v>259</v>
      </c>
      <c r="O1613" s="67" t="s">
        <v>2116</v>
      </c>
      <c r="P1613" s="67" t="s">
        <v>19</v>
      </c>
      <c r="Q1613" s="192">
        <v>62.6</v>
      </c>
    </row>
    <row r="1614" spans="1:17" ht="11.1" hidden="1" customHeight="1" x14ac:dyDescent="0.2">
      <c r="A1614" s="3"/>
      <c r="B1614" s="3" t="str">
        <f ca="1">IF(A1614="В заказ",MAX($B$9:OFFSET(B1614,-1,0))+1,"")</f>
        <v/>
      </c>
      <c r="C1614" s="6" t="str">
        <f t="shared" si="43"/>
        <v xml:space="preserve">    .</v>
      </c>
      <c r="D1614" s="67"/>
      <c r="E1614" s="67"/>
      <c r="F1614" s="67"/>
      <c r="G1614" s="68"/>
      <c r="H1614" s="67"/>
      <c r="I1614" s="200"/>
      <c r="J1614" s="67"/>
      <c r="K1614" s="67"/>
      <c r="L1614" s="67"/>
      <c r="M1614" s="67"/>
      <c r="N1614" s="67"/>
      <c r="O1614" s="67"/>
      <c r="P1614" s="67"/>
      <c r="Q1614" s="192"/>
    </row>
    <row r="1615" spans="1:17" ht="11.45" hidden="1" customHeight="1" x14ac:dyDescent="0.2"/>
  </sheetData>
  <sheetProtection password="8E28" sheet="1" objects="1" scenarios="1" autoFilter="0"/>
  <autoFilter ref="A9:T558"/>
  <mergeCells count="2">
    <mergeCell ref="A8:A9"/>
    <mergeCell ref="J8:Q8"/>
  </mergeCells>
  <dataValidations count="1">
    <dataValidation type="list" allowBlank="1" showInputMessage="1" showErrorMessage="1" sqref="A10:A559">
      <formula1>"В заказ"</formula1>
    </dataValidation>
  </dataValidations>
  <hyperlinks>
    <hyperlink ref="J8" location="'Шаг2.Бланк заказа'!A1" display="Перейти к Бланку Заказа"/>
    <hyperlink ref="Q560" location="'Прайс Производственные Услуги'!A1" display="Прайс Услуги"/>
    <hyperlink ref="Q562" location="'Прайс Производственные Услуги'!A1" display="Прайс Услуги"/>
    <hyperlink ref="Q561" location="'Прайс Производственные Услуги'!A1" display="Прайс Услуги"/>
    <hyperlink ref="Q563" location="'Прайс Производственные Услуги'!A1" display="Прайс Услуги"/>
    <hyperlink ref="J8:Q8" location="'Шаг2.Бланк заказа NEW'!A1" display="Перейти к Бланку Заказа"/>
  </hyperlinks>
  <pageMargins left="0.39370078740157483" right="0.39370078740157483" top="0.39370078740157483" bottom="0.39370078740157483" header="0" footer="0"/>
  <pageSetup fitToHeight="0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</sheetPr>
  <dimension ref="A1:AE209"/>
  <sheetViews>
    <sheetView showGridLines="0" zoomScale="85" zoomScaleNormal="85" workbookViewId="0">
      <pane ySplit="18" topLeftCell="A19" activePane="bottomLeft" state="frozen"/>
      <selection pane="bottomLeft" activeCell="AE27" sqref="AE27"/>
    </sheetView>
  </sheetViews>
  <sheetFormatPr defaultRowHeight="11.25" x14ac:dyDescent="0.2"/>
  <cols>
    <col min="1" max="1" width="31.1640625" style="24" customWidth="1"/>
    <col min="2" max="2" width="5.1640625" style="25" customWidth="1"/>
    <col min="3" max="3" width="11.83203125" style="25" customWidth="1"/>
    <col min="4" max="4" width="11.6640625" style="55" customWidth="1"/>
    <col min="5" max="6" width="9.33203125" style="25"/>
    <col min="7" max="7" width="12.33203125" style="25" customWidth="1"/>
    <col min="8" max="11" width="9.33203125" style="25"/>
    <col min="12" max="12" width="10.1640625" style="25" customWidth="1"/>
    <col min="13" max="13" width="11.83203125" style="25" customWidth="1"/>
    <col min="14" max="14" width="12" style="25" customWidth="1"/>
    <col min="15" max="15" width="34.6640625" style="25" customWidth="1"/>
    <col min="16" max="18" width="9.33203125" style="25" hidden="1" customWidth="1"/>
    <col min="19" max="19" width="22.83203125" style="25" hidden="1" customWidth="1"/>
    <col min="20" max="23" width="9.33203125" style="25" hidden="1" customWidth="1"/>
    <col min="24" max="24" width="10.5" style="25" hidden="1" customWidth="1"/>
    <col min="25" max="25" width="9.33203125" style="25" customWidth="1"/>
    <col min="26" max="26" width="11.6640625" style="25" bestFit="1" customWidth="1"/>
    <col min="27" max="16384" width="9.33203125" style="25"/>
  </cols>
  <sheetData>
    <row r="1" spans="1:31" x14ac:dyDescent="0.2">
      <c r="D1" s="25"/>
      <c r="S1" s="26"/>
      <c r="T1" s="4"/>
      <c r="U1" s="4"/>
    </row>
    <row r="2" spans="1:31" x14ac:dyDescent="0.2">
      <c r="D2" s="25"/>
      <c r="S2" s="4"/>
      <c r="T2" s="4"/>
      <c r="U2" s="4"/>
    </row>
    <row r="3" spans="1:31" x14ac:dyDescent="0.2">
      <c r="D3" s="25"/>
      <c r="S3" s="4"/>
      <c r="T3" s="4"/>
      <c r="U3" s="4"/>
    </row>
    <row r="4" spans="1:31" x14ac:dyDescent="0.2">
      <c r="D4" s="25"/>
      <c r="S4" s="4"/>
      <c r="T4" s="4"/>
      <c r="U4" s="4"/>
    </row>
    <row r="5" spans="1:31" x14ac:dyDescent="0.2">
      <c r="D5" s="25"/>
      <c r="S5" s="4"/>
      <c r="T5" s="4"/>
      <c r="U5" s="4"/>
    </row>
    <row r="6" spans="1:31" x14ac:dyDescent="0.2">
      <c r="D6" s="25"/>
      <c r="S6" s="4"/>
      <c r="T6" s="4"/>
      <c r="U6" s="4"/>
    </row>
    <row r="7" spans="1:31" x14ac:dyDescent="0.2">
      <c r="D7" s="25"/>
      <c r="S7" s="4"/>
      <c r="T7" s="4"/>
      <c r="U7" s="4"/>
    </row>
    <row r="8" spans="1:31" ht="21.75" customHeight="1" thickBot="1" x14ac:dyDescent="0.25">
      <c r="D8" s="25"/>
      <c r="S8" s="4"/>
      <c r="T8" s="4"/>
      <c r="U8" s="4"/>
    </row>
    <row r="9" spans="1:31" s="157" customFormat="1" ht="66.75" customHeight="1" thickBot="1" x14ac:dyDescent="0.25">
      <c r="A9" s="156" t="s">
        <v>1958</v>
      </c>
      <c r="C9" s="158"/>
      <c r="D9" s="237" t="s">
        <v>2095</v>
      </c>
      <c r="E9" s="238"/>
      <c r="F9" s="238"/>
      <c r="G9" s="238"/>
      <c r="H9" s="239"/>
      <c r="I9" s="237" t="s">
        <v>2096</v>
      </c>
      <c r="J9" s="238"/>
      <c r="K9" s="238"/>
      <c r="L9" s="238"/>
      <c r="M9" s="239"/>
      <c r="O9" s="159" t="s">
        <v>1956</v>
      </c>
      <c r="W9" s="160" t="s">
        <v>2014</v>
      </c>
    </row>
    <row r="10" spans="1:31" s="27" customFormat="1" ht="12" customHeight="1" thickBot="1" x14ac:dyDescent="0.25">
      <c r="A10" s="130"/>
      <c r="C10" s="128"/>
      <c r="D10" s="139"/>
      <c r="E10" s="131"/>
      <c r="F10" s="131"/>
      <c r="G10" s="131"/>
      <c r="H10" s="131"/>
      <c r="I10" s="131"/>
      <c r="J10" s="131"/>
      <c r="K10" s="131"/>
      <c r="L10" s="131"/>
      <c r="M10" s="131"/>
      <c r="N10" s="129"/>
      <c r="O10" s="132"/>
      <c r="S10" s="4"/>
      <c r="T10" s="4"/>
      <c r="U10" s="4"/>
      <c r="V10" s="25"/>
      <c r="W10" s="99"/>
      <c r="AE10" s="25"/>
    </row>
    <row r="11" spans="1:31" ht="15.75" customHeight="1" thickBot="1" x14ac:dyDescent="0.3">
      <c r="A11" s="164" t="s">
        <v>2108</v>
      </c>
      <c r="D11" s="25"/>
      <c r="H11" s="243"/>
      <c r="I11" s="244"/>
      <c r="J11" s="244"/>
      <c r="K11" s="244"/>
      <c r="L11" s="245"/>
      <c r="S11" s="4"/>
      <c r="T11" s="4"/>
      <c r="U11" s="4"/>
      <c r="V11" s="100">
        <v>205</v>
      </c>
      <c r="W11" s="25" t="s">
        <v>2012</v>
      </c>
    </row>
    <row r="12" spans="1:31" s="29" customFormat="1" ht="24" customHeight="1" thickBot="1" x14ac:dyDescent="0.3">
      <c r="A12" s="261" t="s">
        <v>2138</v>
      </c>
      <c r="B12" s="262"/>
      <c r="C12" s="262"/>
      <c r="D12" s="262"/>
      <c r="E12" s="262"/>
      <c r="F12" s="263"/>
      <c r="G12" s="28"/>
      <c r="H12" s="246"/>
      <c r="I12" s="247"/>
      <c r="J12" s="247"/>
      <c r="K12" s="247"/>
      <c r="L12" s="248"/>
      <c r="N12" s="30" t="s">
        <v>1952</v>
      </c>
      <c r="O12" s="169"/>
      <c r="Q12" s="31"/>
      <c r="R12" s="31"/>
      <c r="S12" s="4"/>
      <c r="T12" s="4"/>
      <c r="U12" s="4"/>
      <c r="V12" s="100">
        <v>60</v>
      </c>
      <c r="W12" s="25" t="s">
        <v>2013</v>
      </c>
      <c r="AE12" s="25"/>
    </row>
    <row r="13" spans="1:31" s="29" customFormat="1" ht="27.75" customHeight="1" thickBot="1" x14ac:dyDescent="0.3">
      <c r="A13" s="264"/>
      <c r="B13" s="265"/>
      <c r="C13" s="265"/>
      <c r="D13" s="265"/>
      <c r="E13" s="265"/>
      <c r="F13" s="266"/>
      <c r="G13" s="32"/>
      <c r="H13" s="246"/>
      <c r="I13" s="247"/>
      <c r="J13" s="247"/>
      <c r="K13" s="247"/>
      <c r="L13" s="248"/>
      <c r="N13" s="30" t="s">
        <v>1953</v>
      </c>
      <c r="O13" s="168"/>
      <c r="Q13" s="31"/>
      <c r="R13" s="31"/>
      <c r="S13" s="4"/>
      <c r="T13" s="4"/>
      <c r="U13" s="4"/>
      <c r="V13" s="25"/>
      <c r="W13" s="99" t="s">
        <v>2015</v>
      </c>
      <c r="AE13" s="25"/>
    </row>
    <row r="14" spans="1:31" s="29" customFormat="1" ht="15.75" thickBot="1" x14ac:dyDescent="0.3">
      <c r="A14" s="274" t="s">
        <v>1954</v>
      </c>
      <c r="B14" s="274"/>
      <c r="C14" s="274"/>
      <c r="D14" s="274"/>
      <c r="E14" s="274"/>
      <c r="F14" s="274"/>
      <c r="G14" s="33"/>
      <c r="H14" s="249"/>
      <c r="I14" s="250"/>
      <c r="J14" s="250"/>
      <c r="K14" s="250"/>
      <c r="L14" s="251"/>
      <c r="M14" s="28"/>
      <c r="N14" s="34"/>
      <c r="O14" s="34"/>
      <c r="P14" s="34"/>
      <c r="Q14" s="31"/>
      <c r="R14" s="31"/>
      <c r="S14" s="35"/>
      <c r="T14" s="35"/>
      <c r="U14" s="35"/>
      <c r="V14" s="100">
        <v>615</v>
      </c>
      <c r="W14" s="25" t="s">
        <v>2012</v>
      </c>
      <c r="AE14" s="25"/>
    </row>
    <row r="15" spans="1:31" s="29" customFormat="1" ht="20.25" customHeight="1" thickBot="1" x14ac:dyDescent="0.35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0" t="s">
        <v>2010</v>
      </c>
      <c r="O15" s="155">
        <f ca="1">IFERROR(Шаг3.Стоимость!G31,Шаг3.Стоимость!F31)</f>
        <v>0</v>
      </c>
      <c r="P15" s="37"/>
      <c r="Q15" s="31"/>
      <c r="R15" s="31"/>
      <c r="S15" s="35"/>
      <c r="T15" s="35"/>
      <c r="U15" s="35"/>
      <c r="V15" s="100">
        <v>135</v>
      </c>
      <c r="W15" s="25" t="s">
        <v>2013</v>
      </c>
      <c r="AE15" s="25"/>
    </row>
    <row r="16" spans="1:31" s="29" customFormat="1" ht="22.5" customHeight="1" thickBot="1" x14ac:dyDescent="0.35">
      <c r="A16" s="140" t="s">
        <v>2098</v>
      </c>
      <c r="C16" s="38"/>
      <c r="D16" s="39"/>
      <c r="E16" s="39"/>
      <c r="F16" s="39"/>
      <c r="G16" s="39"/>
      <c r="H16" s="39"/>
      <c r="I16" s="34"/>
      <c r="J16" s="256" t="s">
        <v>2146</v>
      </c>
      <c r="K16" s="256"/>
      <c r="L16" s="256"/>
      <c r="M16" s="256"/>
      <c r="N16" s="256"/>
      <c r="O16" s="256"/>
      <c r="P16" s="34"/>
      <c r="Q16" s="31"/>
      <c r="R16" s="31"/>
      <c r="S16" s="121">
        <f ca="1">COUNTA(Шаг3.Стоимость!$B$14:$B$28)-(COUNTIFS(Шаг3.Стоимость!$B$14:$B$28,"")+COUNTIFS(Шаг3.Стоимость!$B$14:$B$28,"Распил (м2)")+COUNTIFS(Шаг3.Стоимость!$B$14:$B$28,"Упаковка (м2)")+COUNTIFS(Шаг3.Стоимость!$B$14:$B$28,"Кромление (м)")+COUNTIFS(Шаг3.Стоимость!$B$14:$B$28,"Фрезеровка/Сверление (м2)"))</f>
        <v>0</v>
      </c>
      <c r="T16" s="277" t="s">
        <v>1960</v>
      </c>
      <c r="U16" s="240" t="s">
        <v>1961</v>
      </c>
      <c r="V16" s="240" t="s">
        <v>2016</v>
      </c>
      <c r="W16" s="240" t="s">
        <v>2017</v>
      </c>
      <c r="AE16" s="25"/>
    </row>
    <row r="17" spans="1:23" ht="25.5" customHeight="1" thickBot="1" x14ac:dyDescent="0.25">
      <c r="A17" s="257" t="s">
        <v>1962</v>
      </c>
      <c r="B17" s="275" t="s">
        <v>1943</v>
      </c>
      <c r="C17" s="257" t="s">
        <v>2099</v>
      </c>
      <c r="D17" s="240" t="s">
        <v>1964</v>
      </c>
      <c r="E17" s="142" t="s">
        <v>1963</v>
      </c>
      <c r="F17" s="143"/>
      <c r="G17" s="240" t="s">
        <v>1965</v>
      </c>
      <c r="H17" s="142" t="s">
        <v>1963</v>
      </c>
      <c r="I17" s="143"/>
      <c r="J17" s="252" t="s">
        <v>1966</v>
      </c>
      <c r="K17" s="11" t="s">
        <v>1945</v>
      </c>
      <c r="L17" s="252" t="s">
        <v>1967</v>
      </c>
      <c r="M17" s="252" t="s">
        <v>2009</v>
      </c>
      <c r="N17" s="252" t="s">
        <v>2011</v>
      </c>
      <c r="O17" s="254" t="s">
        <v>1946</v>
      </c>
      <c r="S17" s="43" t="s">
        <v>1</v>
      </c>
      <c r="T17" s="241"/>
      <c r="U17" s="241"/>
      <c r="V17" s="241"/>
      <c r="W17" s="241"/>
    </row>
    <row r="18" spans="1:23" ht="23.25" customHeight="1" thickBot="1" x14ac:dyDescent="0.25">
      <c r="A18" s="258"/>
      <c r="B18" s="276"/>
      <c r="C18" s="258"/>
      <c r="D18" s="242"/>
      <c r="E18" s="126" t="s">
        <v>1947</v>
      </c>
      <c r="F18" s="127" t="s">
        <v>1948</v>
      </c>
      <c r="G18" s="242"/>
      <c r="H18" s="126" t="s">
        <v>1949</v>
      </c>
      <c r="I18" s="127" t="s">
        <v>1950</v>
      </c>
      <c r="J18" s="253"/>
      <c r="K18" s="12" t="s">
        <v>1951</v>
      </c>
      <c r="L18" s="253"/>
      <c r="M18" s="253"/>
      <c r="N18" s="253"/>
      <c r="O18" s="255"/>
      <c r="S18" s="41" t="s">
        <v>1959</v>
      </c>
      <c r="T18" s="242"/>
      <c r="U18" s="242"/>
      <c r="V18" s="242"/>
      <c r="W18" s="242"/>
    </row>
    <row r="19" spans="1:23" ht="12.75" x14ac:dyDescent="0.2">
      <c r="A19" s="187"/>
      <c r="B19" s="42" t="str">
        <f ca="1">IF(A19="","",MAX($B$17:OFFSET(A19,-1,0))+1)</f>
        <v/>
      </c>
      <c r="C19" s="185"/>
      <c r="D19" s="184"/>
      <c r="E19" s="186"/>
      <c r="F19" s="186"/>
      <c r="G19" s="184"/>
      <c r="H19" s="186"/>
      <c r="I19" s="186"/>
      <c r="J19" s="56"/>
      <c r="K19" s="16">
        <f>(D19/1000)*(G19/1000)*J19</f>
        <v>0</v>
      </c>
      <c r="L19" s="17" t="str">
        <f t="shared" ref="L19:L29" si="0">IF(A19="","","Нет")</f>
        <v/>
      </c>
      <c r="M19" s="57" t="str">
        <f t="shared" ref="M19:M29" si="1">IF(A19="","","Нет")</f>
        <v/>
      </c>
      <c r="N19" s="57" t="str">
        <f t="shared" ref="N19:N29" si="2">IF(A19="","","Нет")</f>
        <v/>
      </c>
      <c r="O19" s="191" t="str">
        <f t="shared" ref="O19:O29" si="3">IF(OR(M19="да",N19="да"),"укажите здесь ссылку на чертеж","")</f>
        <v/>
      </c>
      <c r="P19" s="43" t="str">
        <f>IF(OR(MID(A19,1,6)="ЛМДФ P",MID(A19,1,6)="ЛДСП P"),1,IFERROR(IF(VLOOKUP(A19,'Шаг1.Выбор плиты'!C:Q,12,0)*1&lt;10,"",0.4),""))</f>
        <v/>
      </c>
      <c r="Q19" s="43" t="str">
        <f>IF(OR(MID(A19,1,6)="ЛМДФ P",MID(A19,1,6)="ЛДСП P"),1,IFERROR(IF(VLOOKUP(A19,'Шаг1.Выбор плиты'!C:Q,12,0)*1&lt;10,"",IF(OR(E19=2,F19=2,H19=2,I19=2),"",0.8)),""))</f>
        <v/>
      </c>
      <c r="R19" s="43" t="str">
        <f>IF(OR(MID(A19,1,6)="ЛМДФ P",MID(A19,1,6)="ЛДСП P"),1,IFERROR(IF(VLOOKUP(A19,'Шаг1.Выбор плиты'!C:Q,12,0)*1&lt;10,"",IF(OR(E19=0.8,F19=0.8,H19=0.8,I19=0.8),"",2)),""))</f>
        <v/>
      </c>
      <c r="S19" s="44" t="str">
        <f ca="1">S17&amp;S16</f>
        <v>Номенклатура0</v>
      </c>
      <c r="T19" s="25">
        <f>D19*J19</f>
        <v>0</v>
      </c>
      <c r="U19" s="25">
        <f>G19*J19</f>
        <v>0</v>
      </c>
      <c r="V19" s="101">
        <f>IF(A19="",0,MAX((D19/1000*G19/1000)*$V$11,$V$12))*J19</f>
        <v>0</v>
      </c>
      <c r="W19" s="25">
        <f>IF(OR(M19="да",N19="да"),J19*MAX((D19/1000*G19/1000)*$V$14,$V$15),0)</f>
        <v>0</v>
      </c>
    </row>
    <row r="20" spans="1:23" ht="12.75" x14ac:dyDescent="0.2">
      <c r="A20" s="187"/>
      <c r="B20" s="42" t="str">
        <f ca="1">IF(A20="","",MAX($B$17:OFFSET(A20,-1,0))+1)</f>
        <v/>
      </c>
      <c r="C20" s="185"/>
      <c r="D20" s="184"/>
      <c r="E20" s="186"/>
      <c r="F20" s="186"/>
      <c r="G20" s="184"/>
      <c r="H20" s="186"/>
      <c r="I20" s="186"/>
      <c r="J20" s="56"/>
      <c r="K20" s="16">
        <f t="shared" ref="K20:K192" si="4">(D20/1000)*(G20/1000)*J20</f>
        <v>0</v>
      </c>
      <c r="L20" s="17" t="str">
        <f t="shared" si="0"/>
        <v/>
      </c>
      <c r="M20" s="57" t="str">
        <f t="shared" si="1"/>
        <v/>
      </c>
      <c r="N20" s="57" t="str">
        <f t="shared" si="2"/>
        <v/>
      </c>
      <c r="O20" s="191" t="str">
        <f t="shared" si="3"/>
        <v/>
      </c>
      <c r="P20" s="43" t="str">
        <f>IF(OR(MID(A20,1,6)="ЛМДФ P",MID(A20,1,6)="ЛДСП P"),1,IFERROR(IF(VLOOKUP(A20,'Шаг1.Выбор плиты'!C:Q,12,0)*1&lt;10,"",0.4),""))</f>
        <v/>
      </c>
      <c r="Q20" s="43" t="str">
        <f>IF(OR(MID(A20,1,6)="ЛМДФ P",MID(A20,1,6)="ЛДСП P"),1,IFERROR(IF(VLOOKUP(A20,'Шаг1.Выбор плиты'!C:Q,12,0)*1&lt;10,"",IF(OR(E20=2,F20=2,H20=2,I20=2),"",0.8)),""))</f>
        <v/>
      </c>
      <c r="R20" s="43" t="str">
        <f>IF(OR(MID(A20,1,6)="ЛМДФ P",MID(A20,1,6)="ЛДСП P"),1,IFERROR(IF(VLOOKUP(A20,'Шаг1.Выбор плиты'!C:Q,12,0)*1&lt;10,"",IF(OR(E20=0.8,F20=0.8,H20=0.8,I20=0.8),"",2)),""))</f>
        <v/>
      </c>
      <c r="S20" s="44" t="str">
        <f>IF(AND(COUNTBLANK(D$19:$D19)=0,COUNTBLANK(G$19:$G19)=0),$S$17&amp;$S$16,"дозаполнить")</f>
        <v>дозаполнить</v>
      </c>
      <c r="T20" s="25">
        <f>D20*J20</f>
        <v>0</v>
      </c>
      <c r="U20" s="25">
        <f t="shared" ref="U20:U192" si="5">G20*J20</f>
        <v>0</v>
      </c>
      <c r="V20" s="101">
        <f t="shared" ref="V20:V192" si="6">IF(A20="",0,MAX((D20/1000*G20/1000)*$V$11,$V$12))*J20</f>
        <v>0</v>
      </c>
      <c r="W20" s="25">
        <f t="shared" ref="W20:W192" si="7">IF(OR(M20="да",N20="да"),J20*MAX((D20/1000*G20/1000)*$V$14,$V$15),0)</f>
        <v>0</v>
      </c>
    </row>
    <row r="21" spans="1:23" ht="12.75" x14ac:dyDescent="0.2">
      <c r="A21" s="187"/>
      <c r="B21" s="42" t="str">
        <f ca="1">IF(A21="","",MAX($B$17:OFFSET(A21,-1,0))+1)</f>
        <v/>
      </c>
      <c r="C21" s="185"/>
      <c r="D21" s="184"/>
      <c r="E21" s="186"/>
      <c r="F21" s="186"/>
      <c r="G21" s="184"/>
      <c r="H21" s="186"/>
      <c r="I21" s="186"/>
      <c r="J21" s="56"/>
      <c r="K21" s="16">
        <f t="shared" si="4"/>
        <v>0</v>
      </c>
      <c r="L21" s="17" t="str">
        <f t="shared" si="0"/>
        <v/>
      </c>
      <c r="M21" s="57" t="str">
        <f t="shared" si="1"/>
        <v/>
      </c>
      <c r="N21" s="57" t="str">
        <f t="shared" si="2"/>
        <v/>
      </c>
      <c r="O21" s="191" t="str">
        <f t="shared" si="3"/>
        <v/>
      </c>
      <c r="P21" s="43" t="str">
        <f>IF(OR(MID(A21,1,6)="ЛМДФ P",MID(A21,1,6)="ЛДСП P"),1,IFERROR(IF(VLOOKUP(A21,'Шаг1.Выбор плиты'!C:Q,12,0)*1&lt;10,"",0.4),""))</f>
        <v/>
      </c>
      <c r="Q21" s="43" t="str">
        <f>IF(OR(MID(A21,1,6)="ЛМДФ P",MID(A21,1,6)="ЛДСП P"),1,IFERROR(IF(VLOOKUP(A21,'Шаг1.Выбор плиты'!C:Q,12,0)*1&lt;10,"",IF(OR(E21=2,F21=2,H21=2,I21=2),"",0.8)),""))</f>
        <v/>
      </c>
      <c r="R21" s="43" t="str">
        <f>IF(OR(MID(A21,1,6)="ЛМДФ P",MID(A21,1,6)="ЛДСП P"),1,IFERROR(IF(VLOOKUP(A21,'Шаг1.Выбор плиты'!C:Q,12,0)*1&lt;10,"",IF(OR(E21=0.8,F21=0.8,H21=0.8,I21=0.8),"",2)),""))</f>
        <v/>
      </c>
      <c r="S21" s="44" t="str">
        <f>IF(AND(COUNTBLANK(D$19:$D20)=0,COUNTBLANK(G$19:$G20)=0),$S$17&amp;$S$16,"дозаполнить")</f>
        <v>дозаполнить</v>
      </c>
      <c r="T21" s="25">
        <f t="shared" ref="T21:T192" si="8">D21*J21</f>
        <v>0</v>
      </c>
      <c r="U21" s="25">
        <f>G21*J21</f>
        <v>0</v>
      </c>
      <c r="V21" s="101">
        <f t="shared" si="6"/>
        <v>0</v>
      </c>
      <c r="W21" s="25">
        <f t="shared" si="7"/>
        <v>0</v>
      </c>
    </row>
    <row r="22" spans="1:23" ht="12.75" x14ac:dyDescent="0.2">
      <c r="A22" s="187"/>
      <c r="B22" s="42" t="str">
        <f ca="1">IF(A22="","",MAX($B$17:OFFSET(A22,-1,0))+1)</f>
        <v/>
      </c>
      <c r="C22" s="185"/>
      <c r="D22" s="184"/>
      <c r="E22" s="186"/>
      <c r="F22" s="186"/>
      <c r="G22" s="184"/>
      <c r="H22" s="186"/>
      <c r="I22" s="186"/>
      <c r="J22" s="56"/>
      <c r="K22" s="16">
        <f t="shared" ref="K22:K123" si="9">(D22/1000)*(G22/1000)*J22</f>
        <v>0</v>
      </c>
      <c r="L22" s="17" t="str">
        <f t="shared" si="0"/>
        <v/>
      </c>
      <c r="M22" s="57" t="str">
        <f t="shared" si="1"/>
        <v/>
      </c>
      <c r="N22" s="57" t="str">
        <f t="shared" si="2"/>
        <v/>
      </c>
      <c r="O22" s="191" t="str">
        <f t="shared" si="3"/>
        <v/>
      </c>
      <c r="P22" s="43" t="str">
        <f>IF(OR(MID(A22,1,6)="ЛМДФ P",MID(A22,1,6)="ЛДСП P"),1,IFERROR(IF(VLOOKUP(A22,'Шаг1.Выбор плиты'!C:Q,12,0)*1&lt;10,"",0.4),""))</f>
        <v/>
      </c>
      <c r="Q22" s="43" t="str">
        <f>IF(OR(MID(A22,1,6)="ЛМДФ P",MID(A22,1,6)="ЛДСП P"),1,IFERROR(IF(VLOOKUP(A22,'Шаг1.Выбор плиты'!C:Q,12,0)*1&lt;10,"",IF(OR(E22=2,F22=2,H22=2,I22=2),"",0.8)),""))</f>
        <v/>
      </c>
      <c r="R22" s="43" t="str">
        <f>IF(OR(MID(A22,1,6)="ЛМДФ P",MID(A22,1,6)="ЛДСП P"),1,IFERROR(IF(VLOOKUP(A22,'Шаг1.Выбор плиты'!C:Q,12,0)*1&lt;10,"",IF(OR(E22=0.8,F22=0.8,H22=0.8,I22=0.8),"",2)),""))</f>
        <v/>
      </c>
      <c r="S22" s="44" t="str">
        <f>IF(AND(COUNTBLANK(D$19:$D21)=0,COUNTBLANK(G$19:$G21)=0),$S$17&amp;$S$16,"дозаполнить")</f>
        <v>дозаполнить</v>
      </c>
      <c r="T22" s="25">
        <f t="shared" ref="T22:T123" si="10">D22*J22</f>
        <v>0</v>
      </c>
      <c r="U22" s="25">
        <f t="shared" ref="U22:U123" si="11">G22*J22</f>
        <v>0</v>
      </c>
      <c r="V22" s="101">
        <f t="shared" ref="V22:V123" si="12">IF(A22="",0,MAX((D22/1000*G22/1000)*$V$11,$V$12))*J22</f>
        <v>0</v>
      </c>
      <c r="W22" s="25">
        <f t="shared" ref="W22:W123" si="13">IF(OR(M22="да",N22="да"),J22*MAX((D22/1000*G22/1000)*$V$14,$V$15),0)</f>
        <v>0</v>
      </c>
    </row>
    <row r="23" spans="1:23" ht="12.75" x14ac:dyDescent="0.2">
      <c r="A23" s="187"/>
      <c r="B23" s="42" t="str">
        <f ca="1">IF(A23="","",MAX($B$17:OFFSET(A23,-1,0))+1)</f>
        <v/>
      </c>
      <c r="C23" s="185"/>
      <c r="D23" s="184"/>
      <c r="E23" s="186"/>
      <c r="F23" s="186"/>
      <c r="G23" s="184"/>
      <c r="H23" s="186"/>
      <c r="I23" s="186"/>
      <c r="J23" s="56"/>
      <c r="K23" s="16">
        <f t="shared" si="9"/>
        <v>0</v>
      </c>
      <c r="L23" s="17" t="str">
        <f t="shared" si="0"/>
        <v/>
      </c>
      <c r="M23" s="57" t="str">
        <f t="shared" si="1"/>
        <v/>
      </c>
      <c r="N23" s="57" t="str">
        <f t="shared" si="2"/>
        <v/>
      </c>
      <c r="O23" s="191" t="str">
        <f t="shared" si="3"/>
        <v/>
      </c>
      <c r="P23" s="43" t="str">
        <f>IF(OR(MID(A23,1,6)="ЛМДФ P",MID(A23,1,6)="ЛДСП P"),1,IFERROR(IF(VLOOKUP(A23,'Шаг1.Выбор плиты'!C:Q,12,0)*1&lt;10,"",0.4),""))</f>
        <v/>
      </c>
      <c r="Q23" s="43" t="str">
        <f>IF(OR(MID(A23,1,6)="ЛМДФ P",MID(A23,1,6)="ЛДСП P"),1,IFERROR(IF(VLOOKUP(A23,'Шаг1.Выбор плиты'!C:Q,12,0)*1&lt;10,"",IF(OR(E23=2,F23=2,H23=2,I23=2),"",0.8)),""))</f>
        <v/>
      </c>
      <c r="R23" s="43" t="str">
        <f>IF(OR(MID(A23,1,6)="ЛМДФ P",MID(A23,1,6)="ЛДСП P"),1,IFERROR(IF(VLOOKUP(A23,'Шаг1.Выбор плиты'!C:Q,12,0)*1&lt;10,"",IF(OR(E23=0.8,F23=0.8,H23=0.8,I23=0.8),"",2)),""))</f>
        <v/>
      </c>
      <c r="S23" s="44" t="str">
        <f>IF(AND(COUNTBLANK(D$19:$D22)=0,COUNTBLANK(G$19:$G22)=0),$S$17&amp;$S$16,"дозаполнить")</f>
        <v>дозаполнить</v>
      </c>
      <c r="T23" s="25">
        <f t="shared" si="10"/>
        <v>0</v>
      </c>
      <c r="U23" s="25">
        <f t="shared" si="11"/>
        <v>0</v>
      </c>
      <c r="V23" s="101">
        <f t="shared" si="12"/>
        <v>0</v>
      </c>
      <c r="W23" s="25">
        <f t="shared" si="13"/>
        <v>0</v>
      </c>
    </row>
    <row r="24" spans="1:23" ht="12.75" x14ac:dyDescent="0.2">
      <c r="A24" s="187"/>
      <c r="B24" s="42" t="str">
        <f ca="1">IF(A24="","",MAX($B$17:OFFSET(A24,-1,0))+1)</f>
        <v/>
      </c>
      <c r="C24" s="185"/>
      <c r="D24" s="184"/>
      <c r="E24" s="186"/>
      <c r="F24" s="186"/>
      <c r="G24" s="184"/>
      <c r="H24" s="186"/>
      <c r="I24" s="186"/>
      <c r="J24" s="56"/>
      <c r="K24" s="16">
        <f t="shared" si="9"/>
        <v>0</v>
      </c>
      <c r="L24" s="17" t="str">
        <f t="shared" si="0"/>
        <v/>
      </c>
      <c r="M24" s="57" t="str">
        <f t="shared" si="1"/>
        <v/>
      </c>
      <c r="N24" s="57" t="str">
        <f t="shared" si="2"/>
        <v/>
      </c>
      <c r="O24" s="191" t="str">
        <f t="shared" si="3"/>
        <v/>
      </c>
      <c r="P24" s="43" t="str">
        <f>IF(OR(MID(A24,1,6)="ЛМДФ P",MID(A24,1,6)="ЛДСП P"),1,IFERROR(IF(VLOOKUP(A24,'Шаг1.Выбор плиты'!C:Q,12,0)*1&lt;10,"",0.4),""))</f>
        <v/>
      </c>
      <c r="Q24" s="43" t="str">
        <f>IF(OR(MID(A24,1,6)="ЛМДФ P",MID(A24,1,6)="ЛДСП P"),1,IFERROR(IF(VLOOKUP(A24,'Шаг1.Выбор плиты'!C:Q,12,0)*1&lt;10,"",IF(OR(E24=2,F24=2,H24=2,I24=2),"",0.8)),""))</f>
        <v/>
      </c>
      <c r="R24" s="43" t="str">
        <f>IF(OR(MID(A24,1,6)="ЛМДФ P",MID(A24,1,6)="ЛДСП P"),1,IFERROR(IF(VLOOKUP(A24,'Шаг1.Выбор плиты'!C:Q,12,0)*1&lt;10,"",IF(OR(E24=0.8,F24=0.8,H24=0.8,I24=0.8),"",2)),""))</f>
        <v/>
      </c>
      <c r="S24" s="44" t="str">
        <f>IF(AND(COUNTBLANK(D$19:$D23)=0,COUNTBLANK(G$19:$G23)=0),$S$17&amp;$S$16,"дозаполнить")</f>
        <v>дозаполнить</v>
      </c>
      <c r="T24" s="25">
        <f t="shared" si="10"/>
        <v>0</v>
      </c>
      <c r="U24" s="25">
        <f t="shared" si="11"/>
        <v>0</v>
      </c>
      <c r="V24" s="101">
        <f t="shared" si="12"/>
        <v>0</v>
      </c>
      <c r="W24" s="25">
        <f t="shared" si="13"/>
        <v>0</v>
      </c>
    </row>
    <row r="25" spans="1:23" ht="12.75" x14ac:dyDescent="0.2">
      <c r="A25" s="187"/>
      <c r="B25" s="42" t="str">
        <f ca="1">IF(A25="","",MAX($B$17:OFFSET(A25,-1,0))+1)</f>
        <v/>
      </c>
      <c r="C25" s="185"/>
      <c r="D25" s="184"/>
      <c r="E25" s="186"/>
      <c r="F25" s="186"/>
      <c r="G25" s="184"/>
      <c r="H25" s="186"/>
      <c r="I25" s="186"/>
      <c r="J25" s="56"/>
      <c r="K25" s="16">
        <f t="shared" si="9"/>
        <v>0</v>
      </c>
      <c r="L25" s="17" t="str">
        <f t="shared" si="0"/>
        <v/>
      </c>
      <c r="M25" s="57" t="str">
        <f t="shared" si="1"/>
        <v/>
      </c>
      <c r="N25" s="57" t="str">
        <f t="shared" si="2"/>
        <v/>
      </c>
      <c r="O25" s="191" t="str">
        <f t="shared" si="3"/>
        <v/>
      </c>
      <c r="P25" s="43" t="str">
        <f>IF(OR(MID(A25,1,6)="ЛМДФ P",MID(A25,1,6)="ЛДСП P"),1,IFERROR(IF(VLOOKUP(A25,'Шаг1.Выбор плиты'!C:Q,12,0)*1&lt;10,"",0.4),""))</f>
        <v/>
      </c>
      <c r="Q25" s="43" t="str">
        <f>IF(OR(MID(A25,1,6)="ЛМДФ P",MID(A25,1,6)="ЛДСП P"),1,IFERROR(IF(VLOOKUP(A25,'Шаг1.Выбор плиты'!C:Q,12,0)*1&lt;10,"",IF(OR(E25=2,F25=2,H25=2,I25=2),"",0.8)),""))</f>
        <v/>
      </c>
      <c r="R25" s="43" t="str">
        <f>IF(OR(MID(A25,1,6)="ЛМДФ P",MID(A25,1,6)="ЛДСП P"),1,IFERROR(IF(VLOOKUP(A25,'Шаг1.Выбор плиты'!C:Q,12,0)*1&lt;10,"",IF(OR(E25=0.8,F25=0.8,H25=0.8,I25=0.8),"",2)),""))</f>
        <v/>
      </c>
      <c r="S25" s="44" t="str">
        <f>IF(AND(COUNTBLANK(D$19:$D24)=0,COUNTBLANK(G$19:$G24)=0),$S$17&amp;$S$16,"дозаполнить")</f>
        <v>дозаполнить</v>
      </c>
      <c r="T25" s="25">
        <f t="shared" si="10"/>
        <v>0</v>
      </c>
      <c r="U25" s="25">
        <f t="shared" si="11"/>
        <v>0</v>
      </c>
      <c r="V25" s="101">
        <f t="shared" si="12"/>
        <v>0</v>
      </c>
      <c r="W25" s="25">
        <f t="shared" si="13"/>
        <v>0</v>
      </c>
    </row>
    <row r="26" spans="1:23" ht="12.75" x14ac:dyDescent="0.2">
      <c r="A26" s="187"/>
      <c r="B26" s="42" t="str">
        <f ca="1">IF(A26="","",MAX($B$17:OFFSET(A26,-1,0))+1)</f>
        <v/>
      </c>
      <c r="C26" s="185"/>
      <c r="D26" s="184"/>
      <c r="E26" s="186"/>
      <c r="F26" s="186"/>
      <c r="G26" s="184"/>
      <c r="H26" s="186"/>
      <c r="I26" s="186"/>
      <c r="J26" s="56"/>
      <c r="K26" s="16">
        <f t="shared" si="9"/>
        <v>0</v>
      </c>
      <c r="L26" s="17" t="str">
        <f t="shared" si="0"/>
        <v/>
      </c>
      <c r="M26" s="57" t="str">
        <f t="shared" si="1"/>
        <v/>
      </c>
      <c r="N26" s="57" t="str">
        <f t="shared" si="2"/>
        <v/>
      </c>
      <c r="O26" s="191" t="str">
        <f t="shared" si="3"/>
        <v/>
      </c>
      <c r="P26" s="43" t="str">
        <f>IF(OR(MID(A26,1,6)="ЛМДФ P",MID(A26,1,6)="ЛДСП P"),1,IFERROR(IF(VLOOKUP(A26,'Шаг1.Выбор плиты'!C:Q,12,0)*1&lt;10,"",0.4),""))</f>
        <v/>
      </c>
      <c r="Q26" s="43" t="str">
        <f>IF(OR(MID(A26,1,6)="ЛМДФ P",MID(A26,1,6)="ЛДСП P"),1,IFERROR(IF(VLOOKUP(A26,'Шаг1.Выбор плиты'!C:Q,12,0)*1&lt;10,"",IF(OR(E26=2,F26=2,H26=2,I26=2),"",0.8)),""))</f>
        <v/>
      </c>
      <c r="R26" s="43" t="str">
        <f>IF(OR(MID(A26,1,6)="ЛМДФ P",MID(A26,1,6)="ЛДСП P"),1,IFERROR(IF(VLOOKUP(A26,'Шаг1.Выбор плиты'!C:Q,12,0)*1&lt;10,"",IF(OR(E26=0.8,F26=0.8,H26=0.8,I26=0.8),"",2)),""))</f>
        <v/>
      </c>
      <c r="S26" s="44" t="str">
        <f>IF(AND(COUNTBLANK(D$19:$D25)=0,COUNTBLANK(G$19:$G25)=0),$S$17&amp;$S$16,"дозаполнить")</f>
        <v>дозаполнить</v>
      </c>
      <c r="T26" s="25">
        <f t="shared" si="10"/>
        <v>0</v>
      </c>
      <c r="U26" s="25">
        <f t="shared" si="11"/>
        <v>0</v>
      </c>
      <c r="V26" s="101">
        <f t="shared" si="12"/>
        <v>0</v>
      </c>
      <c r="W26" s="25">
        <f t="shared" si="13"/>
        <v>0</v>
      </c>
    </row>
    <row r="27" spans="1:23" ht="12.75" x14ac:dyDescent="0.2">
      <c r="A27" s="187"/>
      <c r="B27" s="42" t="str">
        <f ca="1">IF(A27="","",MAX($B$17:OFFSET(A27,-1,0))+1)</f>
        <v/>
      </c>
      <c r="C27" s="185"/>
      <c r="D27" s="184"/>
      <c r="E27" s="186"/>
      <c r="F27" s="186"/>
      <c r="G27" s="184"/>
      <c r="H27" s="186"/>
      <c r="I27" s="186"/>
      <c r="J27" s="56"/>
      <c r="K27" s="16">
        <f t="shared" si="9"/>
        <v>0</v>
      </c>
      <c r="L27" s="17" t="str">
        <f t="shared" si="0"/>
        <v/>
      </c>
      <c r="M27" s="57" t="str">
        <f t="shared" si="1"/>
        <v/>
      </c>
      <c r="N27" s="57" t="str">
        <f t="shared" si="2"/>
        <v/>
      </c>
      <c r="O27" s="191" t="str">
        <f t="shared" si="3"/>
        <v/>
      </c>
      <c r="P27" s="43" t="str">
        <f>IF(OR(MID(A27,1,6)="ЛМДФ P",MID(A27,1,6)="ЛДСП P"),1,IFERROR(IF(VLOOKUP(A27,'Шаг1.Выбор плиты'!C:Q,12,0)*1&lt;10,"",0.4),""))</f>
        <v/>
      </c>
      <c r="Q27" s="43" t="str">
        <f>IF(OR(MID(A27,1,6)="ЛМДФ P",MID(A27,1,6)="ЛДСП P"),1,IFERROR(IF(VLOOKUP(A27,'Шаг1.Выбор плиты'!C:Q,12,0)*1&lt;10,"",IF(OR(E27=2,F27=2,H27=2,I27=2),"",0.8)),""))</f>
        <v/>
      </c>
      <c r="R27" s="43" t="str">
        <f>IF(OR(MID(A27,1,6)="ЛМДФ P",MID(A27,1,6)="ЛДСП P"),1,IFERROR(IF(VLOOKUP(A27,'Шаг1.Выбор плиты'!C:Q,12,0)*1&lt;10,"",IF(OR(E27=0.8,F27=0.8,H27=0.8,I27=0.8),"",2)),""))</f>
        <v/>
      </c>
      <c r="S27" s="44" t="str">
        <f>IF(AND(COUNTBLANK(D$19:$D26)=0,COUNTBLANK(G$19:$G26)=0),$S$17&amp;$S$16,"дозаполнить")</f>
        <v>дозаполнить</v>
      </c>
      <c r="T27" s="25">
        <f t="shared" si="10"/>
        <v>0</v>
      </c>
      <c r="U27" s="25">
        <f t="shared" si="11"/>
        <v>0</v>
      </c>
      <c r="V27" s="101">
        <f t="shared" si="12"/>
        <v>0</v>
      </c>
      <c r="W27" s="25">
        <f t="shared" si="13"/>
        <v>0</v>
      </c>
    </row>
    <row r="28" spans="1:23" ht="12.75" x14ac:dyDescent="0.2">
      <c r="A28" s="187"/>
      <c r="B28" s="42" t="str">
        <f ca="1">IF(A28="","",MAX($B$17:OFFSET(A28,-1,0))+1)</f>
        <v/>
      </c>
      <c r="C28" s="185"/>
      <c r="D28" s="184"/>
      <c r="E28" s="186"/>
      <c r="F28" s="186"/>
      <c r="G28" s="184"/>
      <c r="H28" s="186"/>
      <c r="I28" s="186"/>
      <c r="J28" s="56"/>
      <c r="K28" s="16">
        <f t="shared" ref="K28:K77" si="14">(D28/1000)*(G28/1000)*J28</f>
        <v>0</v>
      </c>
      <c r="L28" s="17" t="str">
        <f t="shared" si="0"/>
        <v/>
      </c>
      <c r="M28" s="57" t="str">
        <f t="shared" si="1"/>
        <v/>
      </c>
      <c r="N28" s="57" t="str">
        <f t="shared" si="2"/>
        <v/>
      </c>
      <c r="O28" s="191" t="str">
        <f t="shared" si="3"/>
        <v/>
      </c>
      <c r="P28" s="43" t="str">
        <f>IF(OR(MID(A28,1,6)="ЛМДФ P",MID(A28,1,6)="ЛДСП P"),1,IFERROR(IF(VLOOKUP(A28,'Шаг1.Выбор плиты'!C:Q,12,0)*1&lt;10,"",0.4),""))</f>
        <v/>
      </c>
      <c r="Q28" s="43" t="str">
        <f>IF(OR(MID(A28,1,6)="ЛМДФ P",MID(A28,1,6)="ЛДСП P"),1,IFERROR(IF(VLOOKUP(A28,'Шаг1.Выбор плиты'!C:Q,12,0)*1&lt;10,"",IF(OR(E28=2,F28=2,H28=2,I28=2),"",0.8)),""))</f>
        <v/>
      </c>
      <c r="R28" s="43" t="str">
        <f>IF(OR(MID(A28,1,6)="ЛМДФ P",MID(A28,1,6)="ЛДСП P"),1,IFERROR(IF(VLOOKUP(A28,'Шаг1.Выбор плиты'!C:Q,12,0)*1&lt;10,"",IF(OR(E28=0.8,F28=0.8,H28=0.8,I28=0.8),"",2)),""))</f>
        <v/>
      </c>
      <c r="S28" s="44" t="str">
        <f>IF(AND(COUNTBLANK(D$19:$D27)=0,COUNTBLANK(G$19:$G27)=0),$S$17&amp;$S$16,"дозаполнить")</f>
        <v>дозаполнить</v>
      </c>
      <c r="T28" s="25">
        <f t="shared" ref="T28:T77" si="15">D28*J28</f>
        <v>0</v>
      </c>
      <c r="U28" s="25">
        <f t="shared" ref="U28:U77" si="16">G28*J28</f>
        <v>0</v>
      </c>
      <c r="V28" s="101">
        <f t="shared" ref="V28:V77" si="17">IF(A28="",0,MAX((D28/1000*G28/1000)*$V$11,$V$12))*J28</f>
        <v>0</v>
      </c>
      <c r="W28" s="25">
        <f t="shared" ref="W28:W77" si="18">IF(OR(M28="да",N28="да"),J28*MAX((D28/1000*G28/1000)*$V$14,$V$15),0)</f>
        <v>0</v>
      </c>
    </row>
    <row r="29" spans="1:23" ht="12.75" x14ac:dyDescent="0.2">
      <c r="A29" s="187"/>
      <c r="B29" s="42" t="str">
        <f ca="1">IF(A29="","",MAX($B$17:OFFSET(A29,-1,0))+1)</f>
        <v/>
      </c>
      <c r="C29" s="185"/>
      <c r="D29" s="184"/>
      <c r="E29" s="186"/>
      <c r="F29" s="186"/>
      <c r="G29" s="184"/>
      <c r="H29" s="186"/>
      <c r="I29" s="186"/>
      <c r="J29" s="56"/>
      <c r="K29" s="16">
        <f t="shared" si="14"/>
        <v>0</v>
      </c>
      <c r="L29" s="17" t="str">
        <f t="shared" si="0"/>
        <v/>
      </c>
      <c r="M29" s="57" t="str">
        <f t="shared" si="1"/>
        <v/>
      </c>
      <c r="N29" s="57" t="str">
        <f t="shared" si="2"/>
        <v/>
      </c>
      <c r="O29" s="191" t="str">
        <f t="shared" si="3"/>
        <v/>
      </c>
      <c r="P29" s="43" t="str">
        <f>IF(OR(MID(A29,1,6)="ЛМДФ P",MID(A29,1,6)="ЛДСП P"),1,IFERROR(IF(VLOOKUP(A29,'Шаг1.Выбор плиты'!C:Q,12,0)*1&lt;10,"",0.4),""))</f>
        <v/>
      </c>
      <c r="Q29" s="43" t="str">
        <f>IF(OR(MID(A29,1,6)="ЛМДФ P",MID(A29,1,6)="ЛДСП P"),1,IFERROR(IF(VLOOKUP(A29,'Шаг1.Выбор плиты'!C:Q,12,0)*1&lt;10,"",IF(OR(E29=2,F29=2,H29=2,I29=2),"",0.8)),""))</f>
        <v/>
      </c>
      <c r="R29" s="43" t="str">
        <f>IF(OR(MID(A29,1,6)="ЛМДФ P",MID(A29,1,6)="ЛДСП P"),1,IFERROR(IF(VLOOKUP(A29,'Шаг1.Выбор плиты'!C:Q,12,0)*1&lt;10,"",IF(OR(E29=0.8,F29=0.8,H29=0.8,I29=0.8),"",2)),""))</f>
        <v/>
      </c>
      <c r="S29" s="44" t="str">
        <f>IF(AND(COUNTBLANK(D$19:$D28)=0,COUNTBLANK(G$19:$G28)=0),$S$17&amp;$S$16,"дозаполнить")</f>
        <v>дозаполнить</v>
      </c>
      <c r="T29" s="25">
        <f t="shared" si="15"/>
        <v>0</v>
      </c>
      <c r="U29" s="25">
        <f t="shared" si="16"/>
        <v>0</v>
      </c>
      <c r="V29" s="101">
        <f t="shared" si="17"/>
        <v>0</v>
      </c>
      <c r="W29" s="25">
        <f t="shared" si="18"/>
        <v>0</v>
      </c>
    </row>
    <row r="30" spans="1:23" ht="12.75" x14ac:dyDescent="0.2">
      <c r="A30" s="187"/>
      <c r="B30" s="42" t="str">
        <f ca="1">IF(A30="","",MAX($B$17:OFFSET(A30,-1,0))+1)</f>
        <v/>
      </c>
      <c r="C30" s="185"/>
      <c r="D30" s="184"/>
      <c r="E30" s="186"/>
      <c r="F30" s="186"/>
      <c r="G30" s="184"/>
      <c r="H30" s="186"/>
      <c r="I30" s="186"/>
      <c r="J30" s="56"/>
      <c r="K30" s="16">
        <f t="shared" si="14"/>
        <v>0</v>
      </c>
      <c r="L30" s="17" t="str">
        <f t="shared" ref="L30:L77" si="19">IF(A30="","","Нет")</f>
        <v/>
      </c>
      <c r="M30" s="57" t="str">
        <f t="shared" ref="M30:M77" si="20">IF(A30="","","Нет")</f>
        <v/>
      </c>
      <c r="N30" s="57" t="str">
        <f t="shared" ref="N30:N77" si="21">IF(A30="","","Нет")</f>
        <v/>
      </c>
      <c r="O30" s="191" t="str">
        <f t="shared" ref="O30:O77" si="22">IF(OR(M30="да",N30="да"),"укажите здесь ссылку на чертеж","")</f>
        <v/>
      </c>
      <c r="P30" s="43" t="str">
        <f>IF(OR(MID(A30,1,6)="ЛМДФ P",MID(A30,1,6)="ЛДСП P"),1,IFERROR(IF(VLOOKUP(A30,'Шаг1.Выбор плиты'!C:Q,12,0)*1&lt;10,"",0.4),""))</f>
        <v/>
      </c>
      <c r="Q30" s="43" t="str">
        <f>IF(OR(MID(A30,1,6)="ЛМДФ P",MID(A30,1,6)="ЛДСП P"),1,IFERROR(IF(VLOOKUP(A30,'Шаг1.Выбор плиты'!C:Q,12,0)*1&lt;10,"",IF(OR(E30=2,F30=2,H30=2,I30=2),"",0.8)),""))</f>
        <v/>
      </c>
      <c r="R30" s="43" t="str">
        <f>IF(OR(MID(A30,1,6)="ЛМДФ P",MID(A30,1,6)="ЛДСП P"),1,IFERROR(IF(VLOOKUP(A30,'Шаг1.Выбор плиты'!C:Q,12,0)*1&lt;10,"",IF(OR(E30=0.8,F30=0.8,H30=0.8,I30=0.8),"",2)),""))</f>
        <v/>
      </c>
      <c r="S30" s="44" t="str">
        <f>IF(AND(COUNTBLANK(D$19:$D29)=0,COUNTBLANK(G$19:$G29)=0),$S$17&amp;$S$16,"дозаполнить")</f>
        <v>дозаполнить</v>
      </c>
      <c r="T30" s="25">
        <f t="shared" si="15"/>
        <v>0</v>
      </c>
      <c r="U30" s="25">
        <f t="shared" si="16"/>
        <v>0</v>
      </c>
      <c r="V30" s="101">
        <f t="shared" si="17"/>
        <v>0</v>
      </c>
      <c r="W30" s="25">
        <f t="shared" si="18"/>
        <v>0</v>
      </c>
    </row>
    <row r="31" spans="1:23" ht="12.75" x14ac:dyDescent="0.2">
      <c r="A31" s="187"/>
      <c r="B31" s="42" t="str">
        <f ca="1">IF(A31="","",MAX($B$17:OFFSET(A31,-1,0))+1)</f>
        <v/>
      </c>
      <c r="C31" s="185"/>
      <c r="D31" s="184"/>
      <c r="E31" s="186"/>
      <c r="F31" s="186"/>
      <c r="G31" s="184"/>
      <c r="H31" s="186"/>
      <c r="I31" s="186"/>
      <c r="J31" s="56"/>
      <c r="K31" s="16">
        <f t="shared" si="14"/>
        <v>0</v>
      </c>
      <c r="L31" s="17" t="str">
        <f t="shared" si="19"/>
        <v/>
      </c>
      <c r="M31" s="57" t="str">
        <f t="shared" si="20"/>
        <v/>
      </c>
      <c r="N31" s="57" t="str">
        <f t="shared" si="21"/>
        <v/>
      </c>
      <c r="O31" s="191" t="str">
        <f t="shared" si="22"/>
        <v/>
      </c>
      <c r="P31" s="43" t="str">
        <f>IF(OR(MID(A31,1,6)="ЛМДФ P",MID(A31,1,6)="ЛДСП P"),1,IFERROR(IF(VLOOKUP(A31,'Шаг1.Выбор плиты'!C:Q,12,0)*1&lt;10,"",0.4),""))</f>
        <v/>
      </c>
      <c r="Q31" s="43" t="str">
        <f>IF(OR(MID(A31,1,6)="ЛМДФ P",MID(A31,1,6)="ЛДСП P"),1,IFERROR(IF(VLOOKUP(A31,'Шаг1.Выбор плиты'!C:Q,12,0)*1&lt;10,"",IF(OR(E31=2,F31=2,H31=2,I31=2),"",0.8)),""))</f>
        <v/>
      </c>
      <c r="R31" s="43" t="str">
        <f>IF(OR(MID(A31,1,6)="ЛМДФ P",MID(A31,1,6)="ЛДСП P"),1,IFERROR(IF(VLOOKUP(A31,'Шаг1.Выбор плиты'!C:Q,12,0)*1&lt;10,"",IF(OR(E31=0.8,F31=0.8,H31=0.8,I31=0.8),"",2)),""))</f>
        <v/>
      </c>
      <c r="S31" s="44" t="str">
        <f>IF(AND(COUNTBLANK(D$19:$D30)=0,COUNTBLANK(G$19:$G30)=0),$S$17&amp;$S$16,"дозаполнить")</f>
        <v>дозаполнить</v>
      </c>
      <c r="T31" s="25">
        <f t="shared" si="15"/>
        <v>0</v>
      </c>
      <c r="U31" s="25">
        <f t="shared" si="16"/>
        <v>0</v>
      </c>
      <c r="V31" s="101">
        <f t="shared" si="17"/>
        <v>0</v>
      </c>
      <c r="W31" s="25">
        <f t="shared" si="18"/>
        <v>0</v>
      </c>
    </row>
    <row r="32" spans="1:23" ht="12.75" x14ac:dyDescent="0.2">
      <c r="A32" s="187"/>
      <c r="B32" s="42" t="str">
        <f ca="1">IF(A32="","",MAX($B$17:OFFSET(A32,-1,0))+1)</f>
        <v/>
      </c>
      <c r="C32" s="185"/>
      <c r="D32" s="184"/>
      <c r="E32" s="186"/>
      <c r="F32" s="186"/>
      <c r="G32" s="184"/>
      <c r="H32" s="186"/>
      <c r="I32" s="186"/>
      <c r="J32" s="56"/>
      <c r="K32" s="16">
        <f t="shared" si="14"/>
        <v>0</v>
      </c>
      <c r="L32" s="17" t="str">
        <f t="shared" si="19"/>
        <v/>
      </c>
      <c r="M32" s="57" t="str">
        <f t="shared" si="20"/>
        <v/>
      </c>
      <c r="N32" s="57" t="str">
        <f t="shared" si="21"/>
        <v/>
      </c>
      <c r="O32" s="191" t="str">
        <f t="shared" si="22"/>
        <v/>
      </c>
      <c r="P32" s="43" t="str">
        <f>IF(OR(MID(A32,1,6)="ЛМДФ P",MID(A32,1,6)="ЛДСП P"),1,IFERROR(IF(VLOOKUP(A32,'Шаг1.Выбор плиты'!C:Q,12,0)*1&lt;10,"",0.4),""))</f>
        <v/>
      </c>
      <c r="Q32" s="43" t="str">
        <f>IF(OR(MID(A32,1,6)="ЛМДФ P",MID(A32,1,6)="ЛДСП P"),1,IFERROR(IF(VLOOKUP(A32,'Шаг1.Выбор плиты'!C:Q,12,0)*1&lt;10,"",IF(OR(E32=2,F32=2,H32=2,I32=2),"",0.8)),""))</f>
        <v/>
      </c>
      <c r="R32" s="43" t="str">
        <f>IF(OR(MID(A32,1,6)="ЛМДФ P",MID(A32,1,6)="ЛДСП P"),1,IFERROR(IF(VLOOKUP(A32,'Шаг1.Выбор плиты'!C:Q,12,0)*1&lt;10,"",IF(OR(E32=0.8,F32=0.8,H32=0.8,I32=0.8),"",2)),""))</f>
        <v/>
      </c>
      <c r="S32" s="44" t="str">
        <f>IF(AND(COUNTBLANK(D$19:$D31)=0,COUNTBLANK(G$19:$G31)=0),$S$17&amp;$S$16,"дозаполнить")</f>
        <v>дозаполнить</v>
      </c>
      <c r="T32" s="25">
        <f t="shared" si="15"/>
        <v>0</v>
      </c>
      <c r="U32" s="25">
        <f t="shared" si="16"/>
        <v>0</v>
      </c>
      <c r="V32" s="101">
        <f t="shared" si="17"/>
        <v>0</v>
      </c>
      <c r="W32" s="25">
        <f t="shared" si="18"/>
        <v>0</v>
      </c>
    </row>
    <row r="33" spans="1:23" ht="12.75" x14ac:dyDescent="0.2">
      <c r="A33" s="187"/>
      <c r="B33" s="42" t="str">
        <f ca="1">IF(A33="","",MAX($B$17:OFFSET(A33,-1,0))+1)</f>
        <v/>
      </c>
      <c r="C33" s="185"/>
      <c r="D33" s="184"/>
      <c r="E33" s="186"/>
      <c r="F33" s="186"/>
      <c r="G33" s="184"/>
      <c r="H33" s="186"/>
      <c r="I33" s="186"/>
      <c r="J33" s="56"/>
      <c r="K33" s="16">
        <f t="shared" si="14"/>
        <v>0</v>
      </c>
      <c r="L33" s="17" t="str">
        <f t="shared" si="19"/>
        <v/>
      </c>
      <c r="M33" s="57" t="str">
        <f t="shared" si="20"/>
        <v/>
      </c>
      <c r="N33" s="57" t="str">
        <f t="shared" si="21"/>
        <v/>
      </c>
      <c r="O33" s="191" t="str">
        <f t="shared" si="22"/>
        <v/>
      </c>
      <c r="P33" s="43" t="str">
        <f>IF(OR(MID(A33,1,6)="ЛМДФ P",MID(A33,1,6)="ЛДСП P"),1,IFERROR(IF(VLOOKUP(A33,'Шаг1.Выбор плиты'!C:Q,12,0)*1&lt;10,"",0.4),""))</f>
        <v/>
      </c>
      <c r="Q33" s="43" t="str">
        <f>IF(OR(MID(A33,1,6)="ЛМДФ P",MID(A33,1,6)="ЛДСП P"),1,IFERROR(IF(VLOOKUP(A33,'Шаг1.Выбор плиты'!C:Q,12,0)*1&lt;10,"",IF(OR(E33=2,F33=2,H33=2,I33=2),"",0.8)),""))</f>
        <v/>
      </c>
      <c r="R33" s="43" t="str">
        <f>IF(OR(MID(A33,1,6)="ЛМДФ P",MID(A33,1,6)="ЛДСП P"),1,IFERROR(IF(VLOOKUP(A33,'Шаг1.Выбор плиты'!C:Q,12,0)*1&lt;10,"",IF(OR(E33=0.8,F33=0.8,H33=0.8,I33=0.8),"",2)),""))</f>
        <v/>
      </c>
      <c r="S33" s="44" t="str">
        <f>IF(AND(COUNTBLANK(D$19:$D32)=0,COUNTBLANK(G$19:$G32)=0),$S$17&amp;$S$16,"дозаполнить")</f>
        <v>дозаполнить</v>
      </c>
      <c r="T33" s="25">
        <f t="shared" si="15"/>
        <v>0</v>
      </c>
      <c r="U33" s="25">
        <f t="shared" si="16"/>
        <v>0</v>
      </c>
      <c r="V33" s="101">
        <f t="shared" si="17"/>
        <v>0</v>
      </c>
      <c r="W33" s="25">
        <f t="shared" si="18"/>
        <v>0</v>
      </c>
    </row>
    <row r="34" spans="1:23" ht="12.75" x14ac:dyDescent="0.2">
      <c r="A34" s="187"/>
      <c r="B34" s="42" t="str">
        <f ca="1">IF(A34="","",MAX($B$17:OFFSET(A34,-1,0))+1)</f>
        <v/>
      </c>
      <c r="C34" s="185"/>
      <c r="D34" s="184"/>
      <c r="E34" s="186"/>
      <c r="F34" s="186"/>
      <c r="G34" s="184"/>
      <c r="H34" s="186"/>
      <c r="I34" s="186"/>
      <c r="J34" s="56"/>
      <c r="K34" s="16">
        <f t="shared" si="14"/>
        <v>0</v>
      </c>
      <c r="L34" s="17" t="str">
        <f t="shared" si="19"/>
        <v/>
      </c>
      <c r="M34" s="57" t="str">
        <f t="shared" si="20"/>
        <v/>
      </c>
      <c r="N34" s="57" t="str">
        <f t="shared" si="21"/>
        <v/>
      </c>
      <c r="O34" s="191" t="str">
        <f t="shared" si="22"/>
        <v/>
      </c>
      <c r="P34" s="43" t="str">
        <f>IF(OR(MID(A34,1,6)="ЛМДФ P",MID(A34,1,6)="ЛДСП P"),1,IFERROR(IF(VLOOKUP(A34,'Шаг1.Выбор плиты'!C:Q,12,0)*1&lt;10,"",0.4),""))</f>
        <v/>
      </c>
      <c r="Q34" s="43" t="str">
        <f>IF(OR(MID(A34,1,6)="ЛМДФ P",MID(A34,1,6)="ЛДСП P"),1,IFERROR(IF(VLOOKUP(A34,'Шаг1.Выбор плиты'!C:Q,12,0)*1&lt;10,"",IF(OR(E34=2,F34=2,H34=2,I34=2),"",0.8)),""))</f>
        <v/>
      </c>
      <c r="R34" s="43" t="str">
        <f>IF(OR(MID(A34,1,6)="ЛМДФ P",MID(A34,1,6)="ЛДСП P"),1,IFERROR(IF(VLOOKUP(A34,'Шаг1.Выбор плиты'!C:Q,12,0)*1&lt;10,"",IF(OR(E34=0.8,F34=0.8,H34=0.8,I34=0.8),"",2)),""))</f>
        <v/>
      </c>
      <c r="S34" s="44" t="str">
        <f>IF(AND(COUNTBLANK(D$19:$D33)=0,COUNTBLANK(G$19:$G33)=0),$S$17&amp;$S$16,"дозаполнить")</f>
        <v>дозаполнить</v>
      </c>
      <c r="T34" s="25">
        <f t="shared" si="15"/>
        <v>0</v>
      </c>
      <c r="U34" s="25">
        <f t="shared" si="16"/>
        <v>0</v>
      </c>
      <c r="V34" s="101">
        <f t="shared" si="17"/>
        <v>0</v>
      </c>
      <c r="W34" s="25">
        <f t="shared" si="18"/>
        <v>0</v>
      </c>
    </row>
    <row r="35" spans="1:23" ht="12.75" x14ac:dyDescent="0.2">
      <c r="A35" s="187"/>
      <c r="B35" s="42" t="str">
        <f ca="1">IF(A35="","",MAX($B$17:OFFSET(A35,-1,0))+1)</f>
        <v/>
      </c>
      <c r="C35" s="185"/>
      <c r="D35" s="184"/>
      <c r="E35" s="186"/>
      <c r="F35" s="186"/>
      <c r="G35" s="184"/>
      <c r="H35" s="186"/>
      <c r="I35" s="186"/>
      <c r="J35" s="56"/>
      <c r="K35" s="16">
        <f t="shared" si="14"/>
        <v>0</v>
      </c>
      <c r="L35" s="17" t="str">
        <f t="shared" si="19"/>
        <v/>
      </c>
      <c r="M35" s="57" t="str">
        <f t="shared" si="20"/>
        <v/>
      </c>
      <c r="N35" s="57" t="str">
        <f t="shared" si="21"/>
        <v/>
      </c>
      <c r="O35" s="191" t="str">
        <f t="shared" si="22"/>
        <v/>
      </c>
      <c r="P35" s="43" t="str">
        <f>IF(OR(MID(A35,1,6)="ЛМДФ P",MID(A35,1,6)="ЛДСП P"),1,IFERROR(IF(VLOOKUP(A35,'Шаг1.Выбор плиты'!C:Q,12,0)*1&lt;10,"",0.4),""))</f>
        <v/>
      </c>
      <c r="Q35" s="43" t="str">
        <f>IF(OR(MID(A35,1,6)="ЛМДФ P",MID(A35,1,6)="ЛДСП P"),1,IFERROR(IF(VLOOKUP(A35,'Шаг1.Выбор плиты'!C:Q,12,0)*1&lt;10,"",IF(OR(E35=2,F35=2,H35=2,I35=2),"",0.8)),""))</f>
        <v/>
      </c>
      <c r="R35" s="43" t="str">
        <f>IF(OR(MID(A35,1,6)="ЛМДФ P",MID(A35,1,6)="ЛДСП P"),1,IFERROR(IF(VLOOKUP(A35,'Шаг1.Выбор плиты'!C:Q,12,0)*1&lt;10,"",IF(OR(E35=0.8,F35=0.8,H35=0.8,I35=0.8),"",2)),""))</f>
        <v/>
      </c>
      <c r="S35" s="44" t="str">
        <f>IF(AND(COUNTBLANK(D$19:$D34)=0,COUNTBLANK(G$19:$G34)=0),$S$17&amp;$S$16,"дозаполнить")</f>
        <v>дозаполнить</v>
      </c>
      <c r="T35" s="25">
        <f t="shared" si="15"/>
        <v>0</v>
      </c>
      <c r="U35" s="25">
        <f t="shared" si="16"/>
        <v>0</v>
      </c>
      <c r="V35" s="101">
        <f t="shared" si="17"/>
        <v>0</v>
      </c>
      <c r="W35" s="25">
        <f t="shared" si="18"/>
        <v>0</v>
      </c>
    </row>
    <row r="36" spans="1:23" ht="12.75" x14ac:dyDescent="0.2">
      <c r="A36" s="187"/>
      <c r="B36" s="42" t="str">
        <f ca="1">IF(A36="","",MAX($B$17:OFFSET(A36,-1,0))+1)</f>
        <v/>
      </c>
      <c r="C36" s="185"/>
      <c r="D36" s="184"/>
      <c r="E36" s="186"/>
      <c r="F36" s="186"/>
      <c r="G36" s="184"/>
      <c r="H36" s="186"/>
      <c r="I36" s="186"/>
      <c r="J36" s="56"/>
      <c r="K36" s="16">
        <f t="shared" si="14"/>
        <v>0</v>
      </c>
      <c r="L36" s="17" t="str">
        <f t="shared" si="19"/>
        <v/>
      </c>
      <c r="M36" s="57" t="str">
        <f t="shared" si="20"/>
        <v/>
      </c>
      <c r="N36" s="57" t="str">
        <f t="shared" si="21"/>
        <v/>
      </c>
      <c r="O36" s="191" t="str">
        <f t="shared" si="22"/>
        <v/>
      </c>
      <c r="P36" s="43" t="str">
        <f>IF(OR(MID(A36,1,6)="ЛМДФ P",MID(A36,1,6)="ЛДСП P"),1,IFERROR(IF(VLOOKUP(A36,'Шаг1.Выбор плиты'!C:Q,12,0)*1&lt;10,"",0.4),""))</f>
        <v/>
      </c>
      <c r="Q36" s="43" t="str">
        <f>IF(OR(MID(A36,1,6)="ЛМДФ P",MID(A36,1,6)="ЛДСП P"),1,IFERROR(IF(VLOOKUP(A36,'Шаг1.Выбор плиты'!C:Q,12,0)*1&lt;10,"",IF(OR(E36=2,F36=2,H36=2,I36=2),"",0.8)),""))</f>
        <v/>
      </c>
      <c r="R36" s="43" t="str">
        <f>IF(OR(MID(A36,1,6)="ЛМДФ P",MID(A36,1,6)="ЛДСП P"),1,IFERROR(IF(VLOOKUP(A36,'Шаг1.Выбор плиты'!C:Q,12,0)*1&lt;10,"",IF(OR(E36=0.8,F36=0.8,H36=0.8,I36=0.8),"",2)),""))</f>
        <v/>
      </c>
      <c r="S36" s="44" t="str">
        <f>IF(AND(COUNTBLANK(D$19:$D35)=0,COUNTBLANK(G$19:$G35)=0),$S$17&amp;$S$16,"дозаполнить")</f>
        <v>дозаполнить</v>
      </c>
      <c r="T36" s="25">
        <f t="shared" si="15"/>
        <v>0</v>
      </c>
      <c r="U36" s="25">
        <f t="shared" si="16"/>
        <v>0</v>
      </c>
      <c r="V36" s="101">
        <f t="shared" si="17"/>
        <v>0</v>
      </c>
      <c r="W36" s="25">
        <f t="shared" si="18"/>
        <v>0</v>
      </c>
    </row>
    <row r="37" spans="1:23" ht="12.75" x14ac:dyDescent="0.2">
      <c r="A37" s="187"/>
      <c r="B37" s="42" t="str">
        <f ca="1">IF(A37="","",MAX($B$17:OFFSET(A37,-1,0))+1)</f>
        <v/>
      </c>
      <c r="C37" s="185"/>
      <c r="D37" s="184"/>
      <c r="E37" s="186"/>
      <c r="F37" s="186"/>
      <c r="G37" s="184"/>
      <c r="H37" s="186"/>
      <c r="I37" s="186"/>
      <c r="J37" s="56"/>
      <c r="K37" s="16">
        <f t="shared" si="14"/>
        <v>0</v>
      </c>
      <c r="L37" s="17" t="str">
        <f t="shared" si="19"/>
        <v/>
      </c>
      <c r="M37" s="57" t="str">
        <f t="shared" si="20"/>
        <v/>
      </c>
      <c r="N37" s="57" t="str">
        <f t="shared" si="21"/>
        <v/>
      </c>
      <c r="O37" s="191" t="str">
        <f t="shared" si="22"/>
        <v/>
      </c>
      <c r="P37" s="43" t="str">
        <f>IF(OR(MID(A37,1,6)="ЛМДФ P",MID(A37,1,6)="ЛДСП P"),1,IFERROR(IF(VLOOKUP(A37,'Шаг1.Выбор плиты'!C:Q,12,0)*1&lt;10,"",0.4),""))</f>
        <v/>
      </c>
      <c r="Q37" s="43" t="str">
        <f>IF(OR(MID(A37,1,6)="ЛМДФ P",MID(A37,1,6)="ЛДСП P"),1,IFERROR(IF(VLOOKUP(A37,'Шаг1.Выбор плиты'!C:Q,12,0)*1&lt;10,"",IF(OR(E37=2,F37=2,H37=2,I37=2),"",0.8)),""))</f>
        <v/>
      </c>
      <c r="R37" s="43" t="str">
        <f>IF(OR(MID(A37,1,6)="ЛМДФ P",MID(A37,1,6)="ЛДСП P"),1,IFERROR(IF(VLOOKUP(A37,'Шаг1.Выбор плиты'!C:Q,12,0)*1&lt;10,"",IF(OR(E37=0.8,F37=0.8,H37=0.8,I37=0.8),"",2)),""))</f>
        <v/>
      </c>
      <c r="S37" s="44" t="str">
        <f>IF(AND(COUNTBLANK(D$19:$D36)=0,COUNTBLANK(G$19:$G36)=0),$S$17&amp;$S$16,"дозаполнить")</f>
        <v>дозаполнить</v>
      </c>
      <c r="T37" s="25">
        <f t="shared" si="15"/>
        <v>0</v>
      </c>
      <c r="U37" s="25">
        <f t="shared" si="16"/>
        <v>0</v>
      </c>
      <c r="V37" s="101">
        <f t="shared" si="17"/>
        <v>0</v>
      </c>
      <c r="W37" s="25">
        <f t="shared" si="18"/>
        <v>0</v>
      </c>
    </row>
    <row r="38" spans="1:23" ht="12.75" x14ac:dyDescent="0.2">
      <c r="A38" s="187"/>
      <c r="B38" s="42" t="str">
        <f ca="1">IF(A38="","",MAX($B$17:OFFSET(A38,-1,0))+1)</f>
        <v/>
      </c>
      <c r="C38" s="185"/>
      <c r="D38" s="184"/>
      <c r="E38" s="186"/>
      <c r="F38" s="186"/>
      <c r="G38" s="184"/>
      <c r="H38" s="186"/>
      <c r="I38" s="186"/>
      <c r="J38" s="56"/>
      <c r="K38" s="16">
        <f t="shared" si="14"/>
        <v>0</v>
      </c>
      <c r="L38" s="17" t="str">
        <f t="shared" si="19"/>
        <v/>
      </c>
      <c r="M38" s="57" t="str">
        <f t="shared" si="20"/>
        <v/>
      </c>
      <c r="N38" s="57" t="str">
        <f t="shared" si="21"/>
        <v/>
      </c>
      <c r="O38" s="191" t="str">
        <f t="shared" si="22"/>
        <v/>
      </c>
      <c r="P38" s="43" t="str">
        <f>IF(OR(MID(A38,1,6)="ЛМДФ P",MID(A38,1,6)="ЛДСП P"),1,IFERROR(IF(VLOOKUP(A38,'Шаг1.Выбор плиты'!C:Q,12,0)*1&lt;10,"",0.4),""))</f>
        <v/>
      </c>
      <c r="Q38" s="43" t="str">
        <f>IF(OR(MID(A38,1,6)="ЛМДФ P",MID(A38,1,6)="ЛДСП P"),1,IFERROR(IF(VLOOKUP(A38,'Шаг1.Выбор плиты'!C:Q,12,0)*1&lt;10,"",IF(OR(E38=2,F38=2,H38=2,I38=2),"",0.8)),""))</f>
        <v/>
      </c>
      <c r="R38" s="43" t="str">
        <f>IF(OR(MID(A38,1,6)="ЛМДФ P",MID(A38,1,6)="ЛДСП P"),1,IFERROR(IF(VLOOKUP(A38,'Шаг1.Выбор плиты'!C:Q,12,0)*1&lt;10,"",IF(OR(E38=0.8,F38=0.8,H38=0.8,I38=0.8),"",2)),""))</f>
        <v/>
      </c>
      <c r="S38" s="44" t="str">
        <f>IF(AND(COUNTBLANK(D$19:$D37)=0,COUNTBLANK(G$19:$G37)=0),$S$17&amp;$S$16,"дозаполнить")</f>
        <v>дозаполнить</v>
      </c>
      <c r="T38" s="25">
        <f t="shared" si="15"/>
        <v>0</v>
      </c>
      <c r="U38" s="25">
        <f t="shared" si="16"/>
        <v>0</v>
      </c>
      <c r="V38" s="101">
        <f t="shared" si="17"/>
        <v>0</v>
      </c>
      <c r="W38" s="25">
        <f t="shared" si="18"/>
        <v>0</v>
      </c>
    </row>
    <row r="39" spans="1:23" ht="12.75" x14ac:dyDescent="0.2">
      <c r="A39" s="187"/>
      <c r="B39" s="42" t="str">
        <f ca="1">IF(A39="","",MAX($B$17:OFFSET(A39,-1,0))+1)</f>
        <v/>
      </c>
      <c r="C39" s="185"/>
      <c r="D39" s="184"/>
      <c r="E39" s="186"/>
      <c r="F39" s="186"/>
      <c r="G39" s="184"/>
      <c r="H39" s="186"/>
      <c r="I39" s="186"/>
      <c r="J39" s="56"/>
      <c r="K39" s="16">
        <f t="shared" si="14"/>
        <v>0</v>
      </c>
      <c r="L39" s="17" t="str">
        <f t="shared" si="19"/>
        <v/>
      </c>
      <c r="M39" s="57" t="str">
        <f t="shared" si="20"/>
        <v/>
      </c>
      <c r="N39" s="57" t="str">
        <f t="shared" si="21"/>
        <v/>
      </c>
      <c r="O39" s="191" t="str">
        <f t="shared" si="22"/>
        <v/>
      </c>
      <c r="P39" s="43" t="str">
        <f>IF(OR(MID(A39,1,6)="ЛМДФ P",MID(A39,1,6)="ЛДСП P"),1,IFERROR(IF(VLOOKUP(A39,'Шаг1.Выбор плиты'!C:Q,12,0)*1&lt;10,"",0.4),""))</f>
        <v/>
      </c>
      <c r="Q39" s="43" t="str">
        <f>IF(OR(MID(A39,1,6)="ЛМДФ P",MID(A39,1,6)="ЛДСП P"),1,IFERROR(IF(VLOOKUP(A39,'Шаг1.Выбор плиты'!C:Q,12,0)*1&lt;10,"",IF(OR(E39=2,F39=2,H39=2,I39=2),"",0.8)),""))</f>
        <v/>
      </c>
      <c r="R39" s="43" t="str">
        <f>IF(OR(MID(A39,1,6)="ЛМДФ P",MID(A39,1,6)="ЛДСП P"),1,IFERROR(IF(VLOOKUP(A39,'Шаг1.Выбор плиты'!C:Q,12,0)*1&lt;10,"",IF(OR(E39=0.8,F39=0.8,H39=0.8,I39=0.8),"",2)),""))</f>
        <v/>
      </c>
      <c r="S39" s="44" t="str">
        <f>IF(AND(COUNTBLANK(D$19:$D38)=0,COUNTBLANK(G$19:$G38)=0),$S$17&amp;$S$16,"дозаполнить")</f>
        <v>дозаполнить</v>
      </c>
      <c r="T39" s="25">
        <f t="shared" si="15"/>
        <v>0</v>
      </c>
      <c r="U39" s="25">
        <f t="shared" si="16"/>
        <v>0</v>
      </c>
      <c r="V39" s="101">
        <f t="shared" si="17"/>
        <v>0</v>
      </c>
      <c r="W39" s="25">
        <f t="shared" si="18"/>
        <v>0</v>
      </c>
    </row>
    <row r="40" spans="1:23" ht="12.75" x14ac:dyDescent="0.2">
      <c r="A40" s="187"/>
      <c r="B40" s="42" t="str">
        <f ca="1">IF(A40="","",MAX($B$17:OFFSET(A40,-1,0))+1)</f>
        <v/>
      </c>
      <c r="C40" s="185"/>
      <c r="D40" s="184"/>
      <c r="E40" s="186"/>
      <c r="F40" s="186"/>
      <c r="G40" s="184"/>
      <c r="H40" s="186"/>
      <c r="I40" s="186"/>
      <c r="J40" s="56"/>
      <c r="K40" s="16">
        <f t="shared" si="14"/>
        <v>0</v>
      </c>
      <c r="L40" s="17" t="str">
        <f t="shared" si="19"/>
        <v/>
      </c>
      <c r="M40" s="57" t="str">
        <f t="shared" si="20"/>
        <v/>
      </c>
      <c r="N40" s="57" t="str">
        <f t="shared" si="21"/>
        <v/>
      </c>
      <c r="O40" s="191" t="str">
        <f t="shared" si="22"/>
        <v/>
      </c>
      <c r="P40" s="43" t="str">
        <f>IF(OR(MID(A40,1,6)="ЛМДФ P",MID(A40,1,6)="ЛДСП P"),1,IFERROR(IF(VLOOKUP(A40,'Шаг1.Выбор плиты'!C:Q,12,0)*1&lt;10,"",0.4),""))</f>
        <v/>
      </c>
      <c r="Q40" s="43" t="str">
        <f>IF(OR(MID(A40,1,6)="ЛМДФ P",MID(A40,1,6)="ЛДСП P"),1,IFERROR(IF(VLOOKUP(A40,'Шаг1.Выбор плиты'!C:Q,12,0)*1&lt;10,"",IF(OR(E40=2,F40=2,H40=2,I40=2),"",0.8)),""))</f>
        <v/>
      </c>
      <c r="R40" s="43" t="str">
        <f>IF(OR(MID(A40,1,6)="ЛМДФ P",MID(A40,1,6)="ЛДСП P"),1,IFERROR(IF(VLOOKUP(A40,'Шаг1.Выбор плиты'!C:Q,12,0)*1&lt;10,"",IF(OR(E40=0.8,F40=0.8,H40=0.8,I40=0.8),"",2)),""))</f>
        <v/>
      </c>
      <c r="S40" s="44" t="str">
        <f>IF(AND(COUNTBLANK(D$19:$D39)=0,COUNTBLANK(G$19:$G39)=0),$S$17&amp;$S$16,"дозаполнить")</f>
        <v>дозаполнить</v>
      </c>
      <c r="T40" s="25">
        <f t="shared" si="15"/>
        <v>0</v>
      </c>
      <c r="U40" s="25">
        <f t="shared" si="16"/>
        <v>0</v>
      </c>
      <c r="V40" s="101">
        <f t="shared" si="17"/>
        <v>0</v>
      </c>
      <c r="W40" s="25">
        <f t="shared" si="18"/>
        <v>0</v>
      </c>
    </row>
    <row r="41" spans="1:23" ht="12.75" x14ac:dyDescent="0.2">
      <c r="A41" s="187"/>
      <c r="B41" s="42" t="str">
        <f ca="1">IF(A41="","",MAX($B$17:OFFSET(A41,-1,0))+1)</f>
        <v/>
      </c>
      <c r="C41" s="185"/>
      <c r="D41" s="184"/>
      <c r="E41" s="186"/>
      <c r="F41" s="186"/>
      <c r="G41" s="184"/>
      <c r="H41" s="186"/>
      <c r="I41" s="186"/>
      <c r="J41" s="56"/>
      <c r="K41" s="16">
        <f t="shared" si="14"/>
        <v>0</v>
      </c>
      <c r="L41" s="17" t="str">
        <f t="shared" si="19"/>
        <v/>
      </c>
      <c r="M41" s="57" t="str">
        <f t="shared" si="20"/>
        <v/>
      </c>
      <c r="N41" s="57" t="str">
        <f t="shared" si="21"/>
        <v/>
      </c>
      <c r="O41" s="191" t="str">
        <f t="shared" si="22"/>
        <v/>
      </c>
      <c r="P41" s="43" t="str">
        <f>IF(OR(MID(A41,1,6)="ЛМДФ P",MID(A41,1,6)="ЛДСП P"),1,IFERROR(IF(VLOOKUP(A41,'Шаг1.Выбор плиты'!C:Q,12,0)*1&lt;10,"",0.4),""))</f>
        <v/>
      </c>
      <c r="Q41" s="43" t="str">
        <f>IF(OR(MID(A41,1,6)="ЛМДФ P",MID(A41,1,6)="ЛДСП P"),1,IFERROR(IF(VLOOKUP(A41,'Шаг1.Выбор плиты'!C:Q,12,0)*1&lt;10,"",IF(OR(E41=2,F41=2,H41=2,I41=2),"",0.8)),""))</f>
        <v/>
      </c>
      <c r="R41" s="43" t="str">
        <f>IF(OR(MID(A41,1,6)="ЛМДФ P",MID(A41,1,6)="ЛДСП P"),1,IFERROR(IF(VLOOKUP(A41,'Шаг1.Выбор плиты'!C:Q,12,0)*1&lt;10,"",IF(OR(E41=0.8,F41=0.8,H41=0.8,I41=0.8),"",2)),""))</f>
        <v/>
      </c>
      <c r="S41" s="44" t="str">
        <f>IF(AND(COUNTBLANK(D$19:$D40)=0,COUNTBLANK(G$19:$G40)=0),$S$17&amp;$S$16,"дозаполнить")</f>
        <v>дозаполнить</v>
      </c>
      <c r="T41" s="25">
        <f t="shared" si="15"/>
        <v>0</v>
      </c>
      <c r="U41" s="25">
        <f t="shared" si="16"/>
        <v>0</v>
      </c>
      <c r="V41" s="101">
        <f t="shared" si="17"/>
        <v>0</v>
      </c>
      <c r="W41" s="25">
        <f t="shared" si="18"/>
        <v>0</v>
      </c>
    </row>
    <row r="42" spans="1:23" ht="12.75" x14ac:dyDescent="0.2">
      <c r="A42" s="187"/>
      <c r="B42" s="42" t="str">
        <f ca="1">IF(A42="","",MAX($B$17:OFFSET(A42,-1,0))+1)</f>
        <v/>
      </c>
      <c r="C42" s="185"/>
      <c r="D42" s="184"/>
      <c r="E42" s="186"/>
      <c r="F42" s="186"/>
      <c r="G42" s="184"/>
      <c r="H42" s="186"/>
      <c r="I42" s="186"/>
      <c r="J42" s="56"/>
      <c r="K42" s="16">
        <f t="shared" si="14"/>
        <v>0</v>
      </c>
      <c r="L42" s="17" t="str">
        <f t="shared" si="19"/>
        <v/>
      </c>
      <c r="M42" s="57" t="str">
        <f t="shared" si="20"/>
        <v/>
      </c>
      <c r="N42" s="57" t="str">
        <f t="shared" si="21"/>
        <v/>
      </c>
      <c r="O42" s="191" t="str">
        <f t="shared" si="22"/>
        <v/>
      </c>
      <c r="P42" s="43" t="str">
        <f>IF(OR(MID(A42,1,6)="ЛМДФ P",MID(A42,1,6)="ЛДСП P"),1,IFERROR(IF(VLOOKUP(A42,'Шаг1.Выбор плиты'!C:Q,12,0)*1&lt;10,"",0.4),""))</f>
        <v/>
      </c>
      <c r="Q42" s="43" t="str">
        <f>IF(OR(MID(A42,1,6)="ЛМДФ P",MID(A42,1,6)="ЛДСП P"),1,IFERROR(IF(VLOOKUP(A42,'Шаг1.Выбор плиты'!C:Q,12,0)*1&lt;10,"",IF(OR(E42=2,F42=2,H42=2,I42=2),"",0.8)),""))</f>
        <v/>
      </c>
      <c r="R42" s="43" t="str">
        <f>IF(OR(MID(A42,1,6)="ЛМДФ P",MID(A42,1,6)="ЛДСП P"),1,IFERROR(IF(VLOOKUP(A42,'Шаг1.Выбор плиты'!C:Q,12,0)*1&lt;10,"",IF(OR(E42=0.8,F42=0.8,H42=0.8,I42=0.8),"",2)),""))</f>
        <v/>
      </c>
      <c r="S42" s="44" t="str">
        <f>IF(AND(COUNTBLANK(D$19:$D41)=0,COUNTBLANK(G$19:$G41)=0),$S$17&amp;$S$16,"дозаполнить")</f>
        <v>дозаполнить</v>
      </c>
      <c r="T42" s="25">
        <f t="shared" si="15"/>
        <v>0</v>
      </c>
      <c r="U42" s="25">
        <f t="shared" si="16"/>
        <v>0</v>
      </c>
      <c r="V42" s="101">
        <f t="shared" si="17"/>
        <v>0</v>
      </c>
      <c r="W42" s="25">
        <f t="shared" si="18"/>
        <v>0</v>
      </c>
    </row>
    <row r="43" spans="1:23" ht="12.75" x14ac:dyDescent="0.2">
      <c r="A43" s="187"/>
      <c r="B43" s="42" t="str">
        <f ca="1">IF(A43="","",MAX($B$17:OFFSET(A43,-1,0))+1)</f>
        <v/>
      </c>
      <c r="C43" s="185"/>
      <c r="D43" s="184"/>
      <c r="E43" s="186"/>
      <c r="F43" s="186"/>
      <c r="G43" s="184"/>
      <c r="H43" s="186"/>
      <c r="I43" s="186"/>
      <c r="J43" s="56"/>
      <c r="K43" s="16">
        <f t="shared" si="14"/>
        <v>0</v>
      </c>
      <c r="L43" s="17" t="str">
        <f t="shared" si="19"/>
        <v/>
      </c>
      <c r="M43" s="57" t="str">
        <f t="shared" si="20"/>
        <v/>
      </c>
      <c r="N43" s="57" t="str">
        <f t="shared" si="21"/>
        <v/>
      </c>
      <c r="O43" s="191" t="str">
        <f t="shared" si="22"/>
        <v/>
      </c>
      <c r="P43" s="43" t="str">
        <f>IF(OR(MID(A43,1,6)="ЛМДФ P",MID(A43,1,6)="ЛДСП P"),1,IFERROR(IF(VLOOKUP(A43,'Шаг1.Выбор плиты'!C:Q,12,0)*1&lt;10,"",0.4),""))</f>
        <v/>
      </c>
      <c r="Q43" s="43" t="str">
        <f>IF(OR(MID(A43,1,6)="ЛМДФ P",MID(A43,1,6)="ЛДСП P"),1,IFERROR(IF(VLOOKUP(A43,'Шаг1.Выбор плиты'!C:Q,12,0)*1&lt;10,"",IF(OR(E43=2,F43=2,H43=2,I43=2),"",0.8)),""))</f>
        <v/>
      </c>
      <c r="R43" s="43" t="str">
        <f>IF(OR(MID(A43,1,6)="ЛМДФ P",MID(A43,1,6)="ЛДСП P"),1,IFERROR(IF(VLOOKUP(A43,'Шаг1.Выбор плиты'!C:Q,12,0)*1&lt;10,"",IF(OR(E43=0.8,F43=0.8,H43=0.8,I43=0.8),"",2)),""))</f>
        <v/>
      </c>
      <c r="S43" s="44" t="str">
        <f>IF(AND(COUNTBLANK(D$19:$D42)=0,COUNTBLANK(G$19:$G42)=0),$S$17&amp;$S$16,"дозаполнить")</f>
        <v>дозаполнить</v>
      </c>
      <c r="T43" s="25">
        <f t="shared" si="15"/>
        <v>0</v>
      </c>
      <c r="U43" s="25">
        <f t="shared" si="16"/>
        <v>0</v>
      </c>
      <c r="V43" s="101">
        <f t="shared" si="17"/>
        <v>0</v>
      </c>
      <c r="W43" s="25">
        <f t="shared" si="18"/>
        <v>0</v>
      </c>
    </row>
    <row r="44" spans="1:23" ht="12.75" x14ac:dyDescent="0.2">
      <c r="A44" s="187"/>
      <c r="B44" s="42" t="str">
        <f ca="1">IF(A44="","",MAX($B$17:OFFSET(A44,-1,0))+1)</f>
        <v/>
      </c>
      <c r="C44" s="185"/>
      <c r="D44" s="184"/>
      <c r="E44" s="186"/>
      <c r="F44" s="186"/>
      <c r="G44" s="184"/>
      <c r="H44" s="186"/>
      <c r="I44" s="186"/>
      <c r="J44" s="56"/>
      <c r="K44" s="16">
        <f t="shared" si="14"/>
        <v>0</v>
      </c>
      <c r="L44" s="17" t="str">
        <f t="shared" si="19"/>
        <v/>
      </c>
      <c r="M44" s="57" t="str">
        <f t="shared" si="20"/>
        <v/>
      </c>
      <c r="N44" s="57" t="str">
        <f t="shared" si="21"/>
        <v/>
      </c>
      <c r="O44" s="191" t="str">
        <f t="shared" si="22"/>
        <v/>
      </c>
      <c r="P44" s="43" t="str">
        <f>IF(OR(MID(A44,1,6)="ЛМДФ P",MID(A44,1,6)="ЛДСП P"),1,IFERROR(IF(VLOOKUP(A44,'Шаг1.Выбор плиты'!C:Q,12,0)*1&lt;10,"",0.4),""))</f>
        <v/>
      </c>
      <c r="Q44" s="43" t="str">
        <f>IF(OR(MID(A44,1,6)="ЛМДФ P",MID(A44,1,6)="ЛДСП P"),1,IFERROR(IF(VLOOKUP(A44,'Шаг1.Выбор плиты'!C:Q,12,0)*1&lt;10,"",IF(OR(E44=2,F44=2,H44=2,I44=2),"",0.8)),""))</f>
        <v/>
      </c>
      <c r="R44" s="43" t="str">
        <f>IF(OR(MID(A44,1,6)="ЛМДФ P",MID(A44,1,6)="ЛДСП P"),1,IFERROR(IF(VLOOKUP(A44,'Шаг1.Выбор плиты'!C:Q,12,0)*1&lt;10,"",IF(OR(E44=0.8,F44=0.8,H44=0.8,I44=0.8),"",2)),""))</f>
        <v/>
      </c>
      <c r="S44" s="44" t="str">
        <f>IF(AND(COUNTBLANK(D$19:$D43)=0,COUNTBLANK(G$19:$G43)=0),$S$17&amp;$S$16,"дозаполнить")</f>
        <v>дозаполнить</v>
      </c>
      <c r="T44" s="25">
        <f t="shared" si="15"/>
        <v>0</v>
      </c>
      <c r="U44" s="25">
        <f t="shared" si="16"/>
        <v>0</v>
      </c>
      <c r="V44" s="101">
        <f t="shared" si="17"/>
        <v>0</v>
      </c>
      <c r="W44" s="25">
        <f t="shared" si="18"/>
        <v>0</v>
      </c>
    </row>
    <row r="45" spans="1:23" ht="12.75" x14ac:dyDescent="0.2">
      <c r="A45" s="187"/>
      <c r="B45" s="42" t="str">
        <f ca="1">IF(A45="","",MAX($B$17:OFFSET(A45,-1,0))+1)</f>
        <v/>
      </c>
      <c r="C45" s="185"/>
      <c r="D45" s="184"/>
      <c r="E45" s="186"/>
      <c r="F45" s="186"/>
      <c r="G45" s="184"/>
      <c r="H45" s="186"/>
      <c r="I45" s="186"/>
      <c r="J45" s="56"/>
      <c r="K45" s="16">
        <f t="shared" si="14"/>
        <v>0</v>
      </c>
      <c r="L45" s="17" t="str">
        <f t="shared" si="19"/>
        <v/>
      </c>
      <c r="M45" s="57" t="str">
        <f t="shared" si="20"/>
        <v/>
      </c>
      <c r="N45" s="57" t="str">
        <f t="shared" si="21"/>
        <v/>
      </c>
      <c r="O45" s="191" t="str">
        <f t="shared" si="22"/>
        <v/>
      </c>
      <c r="P45" s="43" t="str">
        <f>IF(OR(MID(A45,1,6)="ЛМДФ P",MID(A45,1,6)="ЛДСП P"),1,IFERROR(IF(VLOOKUP(A45,'Шаг1.Выбор плиты'!C:Q,12,0)*1&lt;10,"",0.4),""))</f>
        <v/>
      </c>
      <c r="Q45" s="43" t="str">
        <f>IF(OR(MID(A45,1,6)="ЛМДФ P",MID(A45,1,6)="ЛДСП P"),1,IFERROR(IF(VLOOKUP(A45,'Шаг1.Выбор плиты'!C:Q,12,0)*1&lt;10,"",IF(OR(E45=2,F45=2,H45=2,I45=2),"",0.8)),""))</f>
        <v/>
      </c>
      <c r="R45" s="43" t="str">
        <f>IF(OR(MID(A45,1,6)="ЛМДФ P",MID(A45,1,6)="ЛДСП P"),1,IFERROR(IF(VLOOKUP(A45,'Шаг1.Выбор плиты'!C:Q,12,0)*1&lt;10,"",IF(OR(E45=0.8,F45=0.8,H45=0.8,I45=0.8),"",2)),""))</f>
        <v/>
      </c>
      <c r="S45" s="44" t="str">
        <f>IF(AND(COUNTBLANK(D$19:$D44)=0,COUNTBLANK(G$19:$G44)=0),$S$17&amp;$S$16,"дозаполнить")</f>
        <v>дозаполнить</v>
      </c>
      <c r="T45" s="25">
        <f t="shared" si="15"/>
        <v>0</v>
      </c>
      <c r="U45" s="25">
        <f t="shared" si="16"/>
        <v>0</v>
      </c>
      <c r="V45" s="101">
        <f t="shared" si="17"/>
        <v>0</v>
      </c>
      <c r="W45" s="25">
        <f t="shared" si="18"/>
        <v>0</v>
      </c>
    </row>
    <row r="46" spans="1:23" ht="12.75" x14ac:dyDescent="0.2">
      <c r="A46" s="187"/>
      <c r="B46" s="42" t="str">
        <f ca="1">IF(A46="","",MAX($B$17:OFFSET(A46,-1,0))+1)</f>
        <v/>
      </c>
      <c r="C46" s="185"/>
      <c r="D46" s="184"/>
      <c r="E46" s="186"/>
      <c r="F46" s="186"/>
      <c r="G46" s="184"/>
      <c r="H46" s="186"/>
      <c r="I46" s="186"/>
      <c r="J46" s="56"/>
      <c r="K46" s="16">
        <f t="shared" si="14"/>
        <v>0</v>
      </c>
      <c r="L46" s="17" t="str">
        <f t="shared" si="19"/>
        <v/>
      </c>
      <c r="M46" s="57" t="str">
        <f t="shared" si="20"/>
        <v/>
      </c>
      <c r="N46" s="57" t="str">
        <f t="shared" si="21"/>
        <v/>
      </c>
      <c r="O46" s="191" t="str">
        <f t="shared" si="22"/>
        <v/>
      </c>
      <c r="P46" s="43" t="str">
        <f>IF(OR(MID(A46,1,6)="ЛМДФ P",MID(A46,1,6)="ЛДСП P"),1,IFERROR(IF(VLOOKUP(A46,'Шаг1.Выбор плиты'!C:Q,12,0)*1&lt;10,"",0.4),""))</f>
        <v/>
      </c>
      <c r="Q46" s="43" t="str">
        <f>IF(OR(MID(A46,1,6)="ЛМДФ P",MID(A46,1,6)="ЛДСП P"),1,IFERROR(IF(VLOOKUP(A46,'Шаг1.Выбор плиты'!C:Q,12,0)*1&lt;10,"",IF(OR(E46=2,F46=2,H46=2,I46=2),"",0.8)),""))</f>
        <v/>
      </c>
      <c r="R46" s="43" t="str">
        <f>IF(OR(MID(A46,1,6)="ЛМДФ P",MID(A46,1,6)="ЛДСП P"),1,IFERROR(IF(VLOOKUP(A46,'Шаг1.Выбор плиты'!C:Q,12,0)*1&lt;10,"",IF(OR(E46=0.8,F46=0.8,H46=0.8,I46=0.8),"",2)),""))</f>
        <v/>
      </c>
      <c r="S46" s="44" t="str">
        <f>IF(AND(COUNTBLANK(D$19:$D45)=0,COUNTBLANK(G$19:$G45)=0),$S$17&amp;$S$16,"дозаполнить")</f>
        <v>дозаполнить</v>
      </c>
      <c r="T46" s="25">
        <f t="shared" si="15"/>
        <v>0</v>
      </c>
      <c r="U46" s="25">
        <f t="shared" si="16"/>
        <v>0</v>
      </c>
      <c r="V46" s="101">
        <f t="shared" si="17"/>
        <v>0</v>
      </c>
      <c r="W46" s="25">
        <f t="shared" si="18"/>
        <v>0</v>
      </c>
    </row>
    <row r="47" spans="1:23" ht="12.75" x14ac:dyDescent="0.2">
      <c r="A47" s="187"/>
      <c r="B47" s="42" t="str">
        <f ca="1">IF(A47="","",MAX($B$17:OFFSET(A47,-1,0))+1)</f>
        <v/>
      </c>
      <c r="C47" s="185"/>
      <c r="D47" s="184"/>
      <c r="E47" s="186"/>
      <c r="F47" s="186"/>
      <c r="G47" s="184"/>
      <c r="H47" s="186"/>
      <c r="I47" s="186"/>
      <c r="J47" s="56"/>
      <c r="K47" s="16">
        <f t="shared" si="14"/>
        <v>0</v>
      </c>
      <c r="L47" s="17" t="str">
        <f t="shared" si="19"/>
        <v/>
      </c>
      <c r="M47" s="57" t="str">
        <f t="shared" si="20"/>
        <v/>
      </c>
      <c r="N47" s="57" t="str">
        <f t="shared" si="21"/>
        <v/>
      </c>
      <c r="O47" s="191" t="str">
        <f t="shared" si="22"/>
        <v/>
      </c>
      <c r="P47" s="43" t="str">
        <f>IF(OR(MID(A47,1,6)="ЛМДФ P",MID(A47,1,6)="ЛДСП P"),1,IFERROR(IF(VLOOKUP(A47,'Шаг1.Выбор плиты'!C:Q,12,0)*1&lt;10,"",0.4),""))</f>
        <v/>
      </c>
      <c r="Q47" s="43" t="str">
        <f>IF(OR(MID(A47,1,6)="ЛМДФ P",MID(A47,1,6)="ЛДСП P"),1,IFERROR(IF(VLOOKUP(A47,'Шаг1.Выбор плиты'!C:Q,12,0)*1&lt;10,"",IF(OR(E47=2,F47=2,H47=2,I47=2),"",0.8)),""))</f>
        <v/>
      </c>
      <c r="R47" s="43" t="str">
        <f>IF(OR(MID(A47,1,6)="ЛМДФ P",MID(A47,1,6)="ЛДСП P"),1,IFERROR(IF(VLOOKUP(A47,'Шаг1.Выбор плиты'!C:Q,12,0)*1&lt;10,"",IF(OR(E47=0.8,F47=0.8,H47=0.8,I47=0.8),"",2)),""))</f>
        <v/>
      </c>
      <c r="S47" s="44" t="str">
        <f>IF(AND(COUNTBLANK(D$19:$D46)=0,COUNTBLANK(G$19:$G46)=0),$S$17&amp;$S$16,"дозаполнить")</f>
        <v>дозаполнить</v>
      </c>
      <c r="T47" s="25">
        <f t="shared" si="15"/>
        <v>0</v>
      </c>
      <c r="U47" s="25">
        <f t="shared" si="16"/>
        <v>0</v>
      </c>
      <c r="V47" s="101">
        <f t="shared" si="17"/>
        <v>0</v>
      </c>
      <c r="W47" s="25">
        <f t="shared" si="18"/>
        <v>0</v>
      </c>
    </row>
    <row r="48" spans="1:23" ht="12.75" x14ac:dyDescent="0.2">
      <c r="A48" s="187"/>
      <c r="B48" s="42" t="str">
        <f ca="1">IF(A48="","",MAX($B$17:OFFSET(A48,-1,0))+1)</f>
        <v/>
      </c>
      <c r="C48" s="185"/>
      <c r="D48" s="184"/>
      <c r="E48" s="186"/>
      <c r="F48" s="186"/>
      <c r="G48" s="184"/>
      <c r="H48" s="186"/>
      <c r="I48" s="186"/>
      <c r="J48" s="56"/>
      <c r="K48" s="16">
        <f t="shared" si="14"/>
        <v>0</v>
      </c>
      <c r="L48" s="17" t="str">
        <f t="shared" si="19"/>
        <v/>
      </c>
      <c r="M48" s="57" t="str">
        <f t="shared" si="20"/>
        <v/>
      </c>
      <c r="N48" s="57" t="str">
        <f t="shared" si="21"/>
        <v/>
      </c>
      <c r="O48" s="191" t="str">
        <f t="shared" si="22"/>
        <v/>
      </c>
      <c r="P48" s="43" t="str">
        <f>IF(OR(MID(A48,1,6)="ЛМДФ P",MID(A48,1,6)="ЛДСП P"),1,IFERROR(IF(VLOOKUP(A48,'Шаг1.Выбор плиты'!C:Q,12,0)*1&lt;10,"",0.4),""))</f>
        <v/>
      </c>
      <c r="Q48" s="43" t="str">
        <f>IF(OR(MID(A48,1,6)="ЛМДФ P",MID(A48,1,6)="ЛДСП P"),1,IFERROR(IF(VLOOKUP(A48,'Шаг1.Выбор плиты'!C:Q,12,0)*1&lt;10,"",IF(OR(E48=2,F48=2,H48=2,I48=2),"",0.8)),""))</f>
        <v/>
      </c>
      <c r="R48" s="43" t="str">
        <f>IF(OR(MID(A48,1,6)="ЛМДФ P",MID(A48,1,6)="ЛДСП P"),1,IFERROR(IF(VLOOKUP(A48,'Шаг1.Выбор плиты'!C:Q,12,0)*1&lt;10,"",IF(OR(E48=0.8,F48=0.8,H48=0.8,I48=0.8),"",2)),""))</f>
        <v/>
      </c>
      <c r="S48" s="44" t="str">
        <f>IF(AND(COUNTBLANK(D$19:$D47)=0,COUNTBLANK(G$19:$G47)=0),$S$17&amp;$S$16,"дозаполнить")</f>
        <v>дозаполнить</v>
      </c>
      <c r="T48" s="25">
        <f t="shared" si="15"/>
        <v>0</v>
      </c>
      <c r="U48" s="25">
        <f t="shared" si="16"/>
        <v>0</v>
      </c>
      <c r="V48" s="101">
        <f t="shared" si="17"/>
        <v>0</v>
      </c>
      <c r="W48" s="25">
        <f t="shared" si="18"/>
        <v>0</v>
      </c>
    </row>
    <row r="49" spans="1:23" ht="12.75" x14ac:dyDescent="0.2">
      <c r="A49" s="187"/>
      <c r="B49" s="42" t="str">
        <f ca="1">IF(A49="","",MAX($B$17:OFFSET(A49,-1,0))+1)</f>
        <v/>
      </c>
      <c r="C49" s="185"/>
      <c r="D49" s="184"/>
      <c r="E49" s="186"/>
      <c r="F49" s="186"/>
      <c r="G49" s="184"/>
      <c r="H49" s="186"/>
      <c r="I49" s="186"/>
      <c r="J49" s="56"/>
      <c r="K49" s="16">
        <f t="shared" si="14"/>
        <v>0</v>
      </c>
      <c r="L49" s="17" t="str">
        <f t="shared" si="19"/>
        <v/>
      </c>
      <c r="M49" s="57" t="str">
        <f t="shared" si="20"/>
        <v/>
      </c>
      <c r="N49" s="57" t="str">
        <f t="shared" si="21"/>
        <v/>
      </c>
      <c r="O49" s="191" t="str">
        <f t="shared" si="22"/>
        <v/>
      </c>
      <c r="P49" s="43" t="str">
        <f>IF(OR(MID(A49,1,6)="ЛМДФ P",MID(A49,1,6)="ЛДСП P"),1,IFERROR(IF(VLOOKUP(A49,'Шаг1.Выбор плиты'!C:Q,12,0)*1&lt;10,"",0.4),""))</f>
        <v/>
      </c>
      <c r="Q49" s="43" t="str">
        <f>IF(OR(MID(A49,1,6)="ЛМДФ P",MID(A49,1,6)="ЛДСП P"),1,IFERROR(IF(VLOOKUP(A49,'Шаг1.Выбор плиты'!C:Q,12,0)*1&lt;10,"",IF(OR(E49=2,F49=2,H49=2,I49=2),"",0.8)),""))</f>
        <v/>
      </c>
      <c r="R49" s="43" t="str">
        <f>IF(OR(MID(A49,1,6)="ЛМДФ P",MID(A49,1,6)="ЛДСП P"),1,IFERROR(IF(VLOOKUP(A49,'Шаг1.Выбор плиты'!C:Q,12,0)*1&lt;10,"",IF(OR(E49=0.8,F49=0.8,H49=0.8,I49=0.8),"",2)),""))</f>
        <v/>
      </c>
      <c r="S49" s="44" t="str">
        <f>IF(AND(COUNTBLANK(D$19:$D48)=0,COUNTBLANK(G$19:$G48)=0),$S$17&amp;$S$16,"дозаполнить")</f>
        <v>дозаполнить</v>
      </c>
      <c r="T49" s="25">
        <f t="shared" si="15"/>
        <v>0</v>
      </c>
      <c r="U49" s="25">
        <f t="shared" si="16"/>
        <v>0</v>
      </c>
      <c r="V49" s="101">
        <f t="shared" si="17"/>
        <v>0</v>
      </c>
      <c r="W49" s="25">
        <f t="shared" si="18"/>
        <v>0</v>
      </c>
    </row>
    <row r="50" spans="1:23" ht="12.75" x14ac:dyDescent="0.2">
      <c r="A50" s="187"/>
      <c r="B50" s="42" t="str">
        <f ca="1">IF(A50="","",MAX($B$17:OFFSET(A50,-1,0))+1)</f>
        <v/>
      </c>
      <c r="C50" s="185"/>
      <c r="D50" s="184"/>
      <c r="E50" s="186"/>
      <c r="F50" s="186"/>
      <c r="G50" s="184"/>
      <c r="H50" s="186"/>
      <c r="I50" s="186"/>
      <c r="J50" s="56"/>
      <c r="K50" s="16">
        <f t="shared" si="14"/>
        <v>0</v>
      </c>
      <c r="L50" s="17" t="str">
        <f t="shared" si="19"/>
        <v/>
      </c>
      <c r="M50" s="57" t="str">
        <f t="shared" si="20"/>
        <v/>
      </c>
      <c r="N50" s="57" t="str">
        <f t="shared" si="21"/>
        <v/>
      </c>
      <c r="O50" s="191" t="str">
        <f t="shared" si="22"/>
        <v/>
      </c>
      <c r="P50" s="43" t="str">
        <f>IF(OR(MID(A50,1,6)="ЛМДФ P",MID(A50,1,6)="ЛДСП P"),1,IFERROR(IF(VLOOKUP(A50,'Шаг1.Выбор плиты'!C:Q,12,0)*1&lt;10,"",0.4),""))</f>
        <v/>
      </c>
      <c r="Q50" s="43" t="str">
        <f>IF(OR(MID(A50,1,6)="ЛМДФ P",MID(A50,1,6)="ЛДСП P"),1,IFERROR(IF(VLOOKUP(A50,'Шаг1.Выбор плиты'!C:Q,12,0)*1&lt;10,"",IF(OR(E50=2,F50=2,H50=2,I50=2),"",0.8)),""))</f>
        <v/>
      </c>
      <c r="R50" s="43" t="str">
        <f>IF(OR(MID(A50,1,6)="ЛМДФ P",MID(A50,1,6)="ЛДСП P"),1,IFERROR(IF(VLOOKUP(A50,'Шаг1.Выбор плиты'!C:Q,12,0)*1&lt;10,"",IF(OR(E50=0.8,F50=0.8,H50=0.8,I50=0.8),"",2)),""))</f>
        <v/>
      </c>
      <c r="S50" s="44" t="str">
        <f>IF(AND(COUNTBLANK(D$19:$D49)=0,COUNTBLANK(G$19:$G49)=0),$S$17&amp;$S$16,"дозаполнить")</f>
        <v>дозаполнить</v>
      </c>
      <c r="T50" s="25">
        <f t="shared" si="15"/>
        <v>0</v>
      </c>
      <c r="U50" s="25">
        <f t="shared" si="16"/>
        <v>0</v>
      </c>
      <c r="V50" s="101">
        <f t="shared" si="17"/>
        <v>0</v>
      </c>
      <c r="W50" s="25">
        <f t="shared" si="18"/>
        <v>0</v>
      </c>
    </row>
    <row r="51" spans="1:23" ht="12.75" x14ac:dyDescent="0.2">
      <c r="A51" s="187"/>
      <c r="B51" s="42" t="str">
        <f ca="1">IF(A51="","",MAX($B$17:OFFSET(A51,-1,0))+1)</f>
        <v/>
      </c>
      <c r="C51" s="185"/>
      <c r="D51" s="184"/>
      <c r="E51" s="186"/>
      <c r="F51" s="186"/>
      <c r="G51" s="184"/>
      <c r="H51" s="186"/>
      <c r="I51" s="186"/>
      <c r="J51" s="56"/>
      <c r="K51" s="16">
        <f t="shared" si="14"/>
        <v>0</v>
      </c>
      <c r="L51" s="17" t="str">
        <f t="shared" si="19"/>
        <v/>
      </c>
      <c r="M51" s="57" t="str">
        <f t="shared" si="20"/>
        <v/>
      </c>
      <c r="N51" s="57" t="str">
        <f t="shared" si="21"/>
        <v/>
      </c>
      <c r="O51" s="191" t="str">
        <f t="shared" si="22"/>
        <v/>
      </c>
      <c r="P51" s="43" t="str">
        <f>IF(OR(MID(A51,1,6)="ЛМДФ P",MID(A51,1,6)="ЛДСП P"),1,IFERROR(IF(VLOOKUP(A51,'Шаг1.Выбор плиты'!C:Q,12,0)*1&lt;10,"",0.4),""))</f>
        <v/>
      </c>
      <c r="Q51" s="43" t="str">
        <f>IF(OR(MID(A51,1,6)="ЛМДФ P",MID(A51,1,6)="ЛДСП P"),1,IFERROR(IF(VLOOKUP(A51,'Шаг1.Выбор плиты'!C:Q,12,0)*1&lt;10,"",IF(OR(E51=2,F51=2,H51=2,I51=2),"",0.8)),""))</f>
        <v/>
      </c>
      <c r="R51" s="43" t="str">
        <f>IF(OR(MID(A51,1,6)="ЛМДФ P",MID(A51,1,6)="ЛДСП P"),1,IFERROR(IF(VLOOKUP(A51,'Шаг1.Выбор плиты'!C:Q,12,0)*1&lt;10,"",IF(OR(E51=0.8,F51=0.8,H51=0.8,I51=0.8),"",2)),""))</f>
        <v/>
      </c>
      <c r="S51" s="44" t="str">
        <f>IF(AND(COUNTBLANK(D$19:$D50)=0,COUNTBLANK(G$19:$G50)=0),$S$17&amp;$S$16,"дозаполнить")</f>
        <v>дозаполнить</v>
      </c>
      <c r="T51" s="25">
        <f t="shared" si="15"/>
        <v>0</v>
      </c>
      <c r="U51" s="25">
        <f t="shared" si="16"/>
        <v>0</v>
      </c>
      <c r="V51" s="101">
        <f t="shared" si="17"/>
        <v>0</v>
      </c>
      <c r="W51" s="25">
        <f t="shared" si="18"/>
        <v>0</v>
      </c>
    </row>
    <row r="52" spans="1:23" ht="12.75" x14ac:dyDescent="0.2">
      <c r="A52" s="187"/>
      <c r="B52" s="42" t="str">
        <f ca="1">IF(A52="","",MAX($B$17:OFFSET(A52,-1,0))+1)</f>
        <v/>
      </c>
      <c r="C52" s="185"/>
      <c r="D52" s="184"/>
      <c r="E52" s="186"/>
      <c r="F52" s="186"/>
      <c r="G52" s="184"/>
      <c r="H52" s="186"/>
      <c r="I52" s="186"/>
      <c r="J52" s="56"/>
      <c r="K52" s="16">
        <f t="shared" si="14"/>
        <v>0</v>
      </c>
      <c r="L52" s="17" t="str">
        <f t="shared" si="19"/>
        <v/>
      </c>
      <c r="M52" s="57" t="str">
        <f t="shared" si="20"/>
        <v/>
      </c>
      <c r="N52" s="57" t="str">
        <f t="shared" si="21"/>
        <v/>
      </c>
      <c r="O52" s="191" t="str">
        <f t="shared" si="22"/>
        <v/>
      </c>
      <c r="P52" s="43" t="str">
        <f>IF(OR(MID(A52,1,6)="ЛМДФ P",MID(A52,1,6)="ЛДСП P"),1,IFERROR(IF(VLOOKUP(A52,'Шаг1.Выбор плиты'!C:Q,12,0)*1&lt;10,"",0.4),""))</f>
        <v/>
      </c>
      <c r="Q52" s="43" t="str">
        <f>IF(OR(MID(A52,1,6)="ЛМДФ P",MID(A52,1,6)="ЛДСП P"),1,IFERROR(IF(VLOOKUP(A52,'Шаг1.Выбор плиты'!C:Q,12,0)*1&lt;10,"",IF(OR(E52=2,F52=2,H52=2,I52=2),"",0.8)),""))</f>
        <v/>
      </c>
      <c r="R52" s="43" t="str">
        <f>IF(OR(MID(A52,1,6)="ЛМДФ P",MID(A52,1,6)="ЛДСП P"),1,IFERROR(IF(VLOOKUP(A52,'Шаг1.Выбор плиты'!C:Q,12,0)*1&lt;10,"",IF(OR(E52=0.8,F52=0.8,H52=0.8,I52=0.8),"",2)),""))</f>
        <v/>
      </c>
      <c r="S52" s="44" t="str">
        <f>IF(AND(COUNTBLANK(D$19:$D51)=0,COUNTBLANK(G$19:$G51)=0),$S$17&amp;$S$16,"дозаполнить")</f>
        <v>дозаполнить</v>
      </c>
      <c r="T52" s="25">
        <f t="shared" si="15"/>
        <v>0</v>
      </c>
      <c r="U52" s="25">
        <f t="shared" si="16"/>
        <v>0</v>
      </c>
      <c r="V52" s="101">
        <f t="shared" si="17"/>
        <v>0</v>
      </c>
      <c r="W52" s="25">
        <f t="shared" si="18"/>
        <v>0</v>
      </c>
    </row>
    <row r="53" spans="1:23" ht="12.75" x14ac:dyDescent="0.2">
      <c r="A53" s="187"/>
      <c r="B53" s="42" t="str">
        <f ca="1">IF(A53="","",MAX($B$17:OFFSET(A53,-1,0))+1)</f>
        <v/>
      </c>
      <c r="C53" s="185"/>
      <c r="D53" s="184"/>
      <c r="E53" s="186"/>
      <c r="F53" s="186"/>
      <c r="G53" s="184"/>
      <c r="H53" s="186"/>
      <c r="I53" s="186"/>
      <c r="J53" s="56"/>
      <c r="K53" s="16">
        <f t="shared" si="14"/>
        <v>0</v>
      </c>
      <c r="L53" s="17" t="str">
        <f t="shared" si="19"/>
        <v/>
      </c>
      <c r="M53" s="57" t="str">
        <f t="shared" si="20"/>
        <v/>
      </c>
      <c r="N53" s="57" t="str">
        <f t="shared" si="21"/>
        <v/>
      </c>
      <c r="O53" s="191" t="str">
        <f t="shared" si="22"/>
        <v/>
      </c>
      <c r="P53" s="43" t="str">
        <f>IF(OR(MID(A53,1,6)="ЛМДФ P",MID(A53,1,6)="ЛДСП P"),1,IFERROR(IF(VLOOKUP(A53,'Шаг1.Выбор плиты'!C:Q,12,0)*1&lt;10,"",0.4),""))</f>
        <v/>
      </c>
      <c r="Q53" s="43" t="str">
        <f>IF(OR(MID(A53,1,6)="ЛМДФ P",MID(A53,1,6)="ЛДСП P"),1,IFERROR(IF(VLOOKUP(A53,'Шаг1.Выбор плиты'!C:Q,12,0)*1&lt;10,"",IF(OR(E53=2,F53=2,H53=2,I53=2),"",0.8)),""))</f>
        <v/>
      </c>
      <c r="R53" s="43" t="str">
        <f>IF(OR(MID(A53,1,6)="ЛМДФ P",MID(A53,1,6)="ЛДСП P"),1,IFERROR(IF(VLOOKUP(A53,'Шаг1.Выбор плиты'!C:Q,12,0)*1&lt;10,"",IF(OR(E53=0.8,F53=0.8,H53=0.8,I53=0.8),"",2)),""))</f>
        <v/>
      </c>
      <c r="S53" s="44" t="str">
        <f>IF(AND(COUNTBLANK(D$19:$D52)=0,COUNTBLANK(G$19:$G52)=0),$S$17&amp;$S$16,"дозаполнить")</f>
        <v>дозаполнить</v>
      </c>
      <c r="T53" s="25">
        <f t="shared" si="15"/>
        <v>0</v>
      </c>
      <c r="U53" s="25">
        <f t="shared" si="16"/>
        <v>0</v>
      </c>
      <c r="V53" s="101">
        <f t="shared" si="17"/>
        <v>0</v>
      </c>
      <c r="W53" s="25">
        <f t="shared" si="18"/>
        <v>0</v>
      </c>
    </row>
    <row r="54" spans="1:23" ht="12.75" x14ac:dyDescent="0.2">
      <c r="A54" s="187"/>
      <c r="B54" s="42" t="str">
        <f ca="1">IF(A54="","",MAX($B$17:OFFSET(A54,-1,0))+1)</f>
        <v/>
      </c>
      <c r="C54" s="185"/>
      <c r="D54" s="184"/>
      <c r="E54" s="186"/>
      <c r="F54" s="186"/>
      <c r="G54" s="184"/>
      <c r="H54" s="186"/>
      <c r="I54" s="186"/>
      <c r="J54" s="56"/>
      <c r="K54" s="16">
        <f t="shared" si="14"/>
        <v>0</v>
      </c>
      <c r="L54" s="17" t="str">
        <f t="shared" si="19"/>
        <v/>
      </c>
      <c r="M54" s="57" t="str">
        <f t="shared" si="20"/>
        <v/>
      </c>
      <c r="N54" s="57" t="str">
        <f t="shared" si="21"/>
        <v/>
      </c>
      <c r="O54" s="191" t="str">
        <f t="shared" si="22"/>
        <v/>
      </c>
      <c r="P54" s="43" t="str">
        <f>IF(OR(MID(A54,1,6)="ЛМДФ P",MID(A54,1,6)="ЛДСП P"),1,IFERROR(IF(VLOOKUP(A54,'Шаг1.Выбор плиты'!C:Q,12,0)*1&lt;10,"",0.4),""))</f>
        <v/>
      </c>
      <c r="Q54" s="43" t="str">
        <f>IF(OR(MID(A54,1,6)="ЛМДФ P",MID(A54,1,6)="ЛДСП P"),1,IFERROR(IF(VLOOKUP(A54,'Шаг1.Выбор плиты'!C:Q,12,0)*1&lt;10,"",IF(OR(E54=2,F54=2,H54=2,I54=2),"",0.8)),""))</f>
        <v/>
      </c>
      <c r="R54" s="43" t="str">
        <f>IF(OR(MID(A54,1,6)="ЛМДФ P",MID(A54,1,6)="ЛДСП P"),1,IFERROR(IF(VLOOKUP(A54,'Шаг1.Выбор плиты'!C:Q,12,0)*1&lt;10,"",IF(OR(E54=0.8,F54=0.8,H54=0.8,I54=0.8),"",2)),""))</f>
        <v/>
      </c>
      <c r="S54" s="44" t="str">
        <f>IF(AND(COUNTBLANK(D$19:$D53)=0,COUNTBLANK(G$19:$G53)=0),$S$17&amp;$S$16,"дозаполнить")</f>
        <v>дозаполнить</v>
      </c>
      <c r="T54" s="25">
        <f t="shared" si="15"/>
        <v>0</v>
      </c>
      <c r="U54" s="25">
        <f t="shared" si="16"/>
        <v>0</v>
      </c>
      <c r="V54" s="101">
        <f t="shared" si="17"/>
        <v>0</v>
      </c>
      <c r="W54" s="25">
        <f t="shared" si="18"/>
        <v>0</v>
      </c>
    </row>
    <row r="55" spans="1:23" ht="12.75" x14ac:dyDescent="0.2">
      <c r="A55" s="187"/>
      <c r="B55" s="42" t="str">
        <f ca="1">IF(A55="","",MAX($B$17:OFFSET(A55,-1,0))+1)</f>
        <v/>
      </c>
      <c r="C55" s="185"/>
      <c r="D55" s="184"/>
      <c r="E55" s="186"/>
      <c r="F55" s="186"/>
      <c r="G55" s="184"/>
      <c r="H55" s="186"/>
      <c r="I55" s="186"/>
      <c r="J55" s="56"/>
      <c r="K55" s="16">
        <f t="shared" si="14"/>
        <v>0</v>
      </c>
      <c r="L55" s="17" t="str">
        <f t="shared" si="19"/>
        <v/>
      </c>
      <c r="M55" s="57" t="str">
        <f t="shared" si="20"/>
        <v/>
      </c>
      <c r="N55" s="57" t="str">
        <f t="shared" si="21"/>
        <v/>
      </c>
      <c r="O55" s="191" t="str">
        <f t="shared" si="22"/>
        <v/>
      </c>
      <c r="P55" s="43" t="str">
        <f>IF(OR(MID(A55,1,6)="ЛМДФ P",MID(A55,1,6)="ЛДСП P"),1,IFERROR(IF(VLOOKUP(A55,'Шаг1.Выбор плиты'!C:Q,12,0)*1&lt;10,"",0.4),""))</f>
        <v/>
      </c>
      <c r="Q55" s="43" t="str">
        <f>IF(OR(MID(A55,1,6)="ЛМДФ P",MID(A55,1,6)="ЛДСП P"),1,IFERROR(IF(VLOOKUP(A55,'Шаг1.Выбор плиты'!C:Q,12,0)*1&lt;10,"",IF(OR(E55=2,F55=2,H55=2,I55=2),"",0.8)),""))</f>
        <v/>
      </c>
      <c r="R55" s="43" t="str">
        <f>IF(OR(MID(A55,1,6)="ЛМДФ P",MID(A55,1,6)="ЛДСП P"),1,IFERROR(IF(VLOOKUP(A55,'Шаг1.Выбор плиты'!C:Q,12,0)*1&lt;10,"",IF(OR(E55=0.8,F55=0.8,H55=0.8,I55=0.8),"",2)),""))</f>
        <v/>
      </c>
      <c r="S55" s="44" t="str">
        <f>IF(AND(COUNTBLANK(D$19:$D54)=0,COUNTBLANK(G$19:$G54)=0),$S$17&amp;$S$16,"дозаполнить")</f>
        <v>дозаполнить</v>
      </c>
      <c r="T55" s="25">
        <f t="shared" si="15"/>
        <v>0</v>
      </c>
      <c r="U55" s="25">
        <f t="shared" si="16"/>
        <v>0</v>
      </c>
      <c r="V55" s="101">
        <f t="shared" si="17"/>
        <v>0</v>
      </c>
      <c r="W55" s="25">
        <f t="shared" si="18"/>
        <v>0</v>
      </c>
    </row>
    <row r="56" spans="1:23" ht="12.75" x14ac:dyDescent="0.2">
      <c r="A56" s="187"/>
      <c r="B56" s="42" t="str">
        <f ca="1">IF(A56="","",MAX($B$17:OFFSET(A56,-1,0))+1)</f>
        <v/>
      </c>
      <c r="C56" s="185"/>
      <c r="D56" s="184"/>
      <c r="E56" s="186"/>
      <c r="F56" s="186"/>
      <c r="G56" s="184"/>
      <c r="H56" s="186"/>
      <c r="I56" s="186"/>
      <c r="J56" s="56"/>
      <c r="K56" s="16">
        <f t="shared" si="14"/>
        <v>0</v>
      </c>
      <c r="L56" s="17" t="str">
        <f t="shared" si="19"/>
        <v/>
      </c>
      <c r="M56" s="57" t="str">
        <f t="shared" si="20"/>
        <v/>
      </c>
      <c r="N56" s="57" t="str">
        <f t="shared" si="21"/>
        <v/>
      </c>
      <c r="O56" s="191" t="str">
        <f t="shared" si="22"/>
        <v/>
      </c>
      <c r="P56" s="43" t="str">
        <f>IF(OR(MID(A56,1,6)="ЛМДФ P",MID(A56,1,6)="ЛДСП P"),1,IFERROR(IF(VLOOKUP(A56,'Шаг1.Выбор плиты'!C:Q,12,0)*1&lt;10,"",0.4),""))</f>
        <v/>
      </c>
      <c r="Q56" s="43" t="str">
        <f>IF(OR(MID(A56,1,6)="ЛМДФ P",MID(A56,1,6)="ЛДСП P"),1,IFERROR(IF(VLOOKUP(A56,'Шаг1.Выбор плиты'!C:Q,12,0)*1&lt;10,"",IF(OR(E56=2,F56=2,H56=2,I56=2),"",0.8)),""))</f>
        <v/>
      </c>
      <c r="R56" s="43" t="str">
        <f>IF(OR(MID(A56,1,6)="ЛМДФ P",MID(A56,1,6)="ЛДСП P"),1,IFERROR(IF(VLOOKUP(A56,'Шаг1.Выбор плиты'!C:Q,12,0)*1&lt;10,"",IF(OR(E56=0.8,F56=0.8,H56=0.8,I56=0.8),"",2)),""))</f>
        <v/>
      </c>
      <c r="S56" s="44" t="str">
        <f>IF(AND(COUNTBLANK(D$19:$D55)=0,COUNTBLANK(G$19:$G55)=0),$S$17&amp;$S$16,"дозаполнить")</f>
        <v>дозаполнить</v>
      </c>
      <c r="T56" s="25">
        <f t="shared" si="15"/>
        <v>0</v>
      </c>
      <c r="U56" s="25">
        <f t="shared" si="16"/>
        <v>0</v>
      </c>
      <c r="V56" s="101">
        <f t="shared" si="17"/>
        <v>0</v>
      </c>
      <c r="W56" s="25">
        <f t="shared" si="18"/>
        <v>0</v>
      </c>
    </row>
    <row r="57" spans="1:23" ht="12.75" x14ac:dyDescent="0.2">
      <c r="A57" s="187"/>
      <c r="B57" s="42" t="str">
        <f ca="1">IF(A57="","",MAX($B$17:OFFSET(A57,-1,0))+1)</f>
        <v/>
      </c>
      <c r="C57" s="185"/>
      <c r="D57" s="184"/>
      <c r="E57" s="186"/>
      <c r="F57" s="186"/>
      <c r="G57" s="184"/>
      <c r="H57" s="186"/>
      <c r="I57" s="186"/>
      <c r="J57" s="56"/>
      <c r="K57" s="16">
        <f t="shared" si="14"/>
        <v>0</v>
      </c>
      <c r="L57" s="17" t="str">
        <f t="shared" si="19"/>
        <v/>
      </c>
      <c r="M57" s="57" t="str">
        <f t="shared" si="20"/>
        <v/>
      </c>
      <c r="N57" s="57" t="str">
        <f t="shared" si="21"/>
        <v/>
      </c>
      <c r="O57" s="191" t="str">
        <f t="shared" si="22"/>
        <v/>
      </c>
      <c r="P57" s="43" t="str">
        <f>IF(OR(MID(A57,1,6)="ЛМДФ P",MID(A57,1,6)="ЛДСП P"),1,IFERROR(IF(VLOOKUP(A57,'Шаг1.Выбор плиты'!C:Q,12,0)*1&lt;10,"",0.4),""))</f>
        <v/>
      </c>
      <c r="Q57" s="43" t="str">
        <f>IF(OR(MID(A57,1,6)="ЛМДФ P",MID(A57,1,6)="ЛДСП P"),1,IFERROR(IF(VLOOKUP(A57,'Шаг1.Выбор плиты'!C:Q,12,0)*1&lt;10,"",IF(OR(E57=2,F57=2,H57=2,I57=2),"",0.8)),""))</f>
        <v/>
      </c>
      <c r="R57" s="43" t="str">
        <f>IF(OR(MID(A57,1,6)="ЛМДФ P",MID(A57,1,6)="ЛДСП P"),1,IFERROR(IF(VLOOKUP(A57,'Шаг1.Выбор плиты'!C:Q,12,0)*1&lt;10,"",IF(OR(E57=0.8,F57=0.8,H57=0.8,I57=0.8),"",2)),""))</f>
        <v/>
      </c>
      <c r="S57" s="44" t="str">
        <f>IF(AND(COUNTBLANK(D$19:$D56)=0,COUNTBLANK(G$19:$G56)=0),$S$17&amp;$S$16,"дозаполнить")</f>
        <v>дозаполнить</v>
      </c>
      <c r="T57" s="25">
        <f t="shared" si="15"/>
        <v>0</v>
      </c>
      <c r="U57" s="25">
        <f t="shared" si="16"/>
        <v>0</v>
      </c>
      <c r="V57" s="101">
        <f t="shared" si="17"/>
        <v>0</v>
      </c>
      <c r="W57" s="25">
        <f t="shared" si="18"/>
        <v>0</v>
      </c>
    </row>
    <row r="58" spans="1:23" ht="12.75" x14ac:dyDescent="0.2">
      <c r="A58" s="187"/>
      <c r="B58" s="42" t="str">
        <f ca="1">IF(A58="","",MAX($B$17:OFFSET(A58,-1,0))+1)</f>
        <v/>
      </c>
      <c r="C58" s="185"/>
      <c r="D58" s="184"/>
      <c r="E58" s="186"/>
      <c r="F58" s="186"/>
      <c r="G58" s="184"/>
      <c r="H58" s="186"/>
      <c r="I58" s="186"/>
      <c r="J58" s="56"/>
      <c r="K58" s="16">
        <f t="shared" si="14"/>
        <v>0</v>
      </c>
      <c r="L58" s="17" t="str">
        <f t="shared" si="19"/>
        <v/>
      </c>
      <c r="M58" s="57" t="str">
        <f t="shared" si="20"/>
        <v/>
      </c>
      <c r="N58" s="57" t="str">
        <f t="shared" si="21"/>
        <v/>
      </c>
      <c r="O58" s="191" t="str">
        <f t="shared" si="22"/>
        <v/>
      </c>
      <c r="P58" s="43" t="str">
        <f>IF(OR(MID(A58,1,6)="ЛМДФ P",MID(A58,1,6)="ЛДСП P"),1,IFERROR(IF(VLOOKUP(A58,'Шаг1.Выбор плиты'!C:Q,12,0)*1&lt;10,"",0.4),""))</f>
        <v/>
      </c>
      <c r="Q58" s="43" t="str">
        <f>IF(OR(MID(A58,1,6)="ЛМДФ P",MID(A58,1,6)="ЛДСП P"),1,IFERROR(IF(VLOOKUP(A58,'Шаг1.Выбор плиты'!C:Q,12,0)*1&lt;10,"",IF(OR(E58=2,F58=2,H58=2,I58=2),"",0.8)),""))</f>
        <v/>
      </c>
      <c r="R58" s="43" t="str">
        <f>IF(OR(MID(A58,1,6)="ЛМДФ P",MID(A58,1,6)="ЛДСП P"),1,IFERROR(IF(VLOOKUP(A58,'Шаг1.Выбор плиты'!C:Q,12,0)*1&lt;10,"",IF(OR(E58=0.8,F58=0.8,H58=0.8,I58=0.8),"",2)),""))</f>
        <v/>
      </c>
      <c r="S58" s="44" t="str">
        <f>IF(AND(COUNTBLANK(D$19:$D57)=0,COUNTBLANK(G$19:$G57)=0),$S$17&amp;$S$16,"дозаполнить")</f>
        <v>дозаполнить</v>
      </c>
      <c r="T58" s="25">
        <f t="shared" si="15"/>
        <v>0</v>
      </c>
      <c r="U58" s="25">
        <f t="shared" si="16"/>
        <v>0</v>
      </c>
      <c r="V58" s="101">
        <f t="shared" si="17"/>
        <v>0</v>
      </c>
      <c r="W58" s="25">
        <f t="shared" si="18"/>
        <v>0</v>
      </c>
    </row>
    <row r="59" spans="1:23" ht="12.75" x14ac:dyDescent="0.2">
      <c r="A59" s="187"/>
      <c r="B59" s="42" t="str">
        <f ca="1">IF(A59="","",MAX($B$17:OFFSET(A59,-1,0))+1)</f>
        <v/>
      </c>
      <c r="C59" s="185"/>
      <c r="D59" s="184"/>
      <c r="E59" s="186"/>
      <c r="F59" s="186"/>
      <c r="G59" s="184"/>
      <c r="H59" s="186"/>
      <c r="I59" s="186"/>
      <c r="J59" s="56"/>
      <c r="K59" s="16">
        <f t="shared" si="14"/>
        <v>0</v>
      </c>
      <c r="L59" s="17" t="str">
        <f t="shared" si="19"/>
        <v/>
      </c>
      <c r="M59" s="57" t="str">
        <f t="shared" si="20"/>
        <v/>
      </c>
      <c r="N59" s="57" t="str">
        <f t="shared" si="21"/>
        <v/>
      </c>
      <c r="O59" s="191" t="str">
        <f t="shared" si="22"/>
        <v/>
      </c>
      <c r="P59" s="43" t="str">
        <f>IF(OR(MID(A59,1,6)="ЛМДФ P",MID(A59,1,6)="ЛДСП P"),1,IFERROR(IF(VLOOKUP(A59,'Шаг1.Выбор плиты'!C:Q,12,0)*1&lt;10,"",0.4),""))</f>
        <v/>
      </c>
      <c r="Q59" s="43" t="str">
        <f>IF(OR(MID(A59,1,6)="ЛМДФ P",MID(A59,1,6)="ЛДСП P"),1,IFERROR(IF(VLOOKUP(A59,'Шаг1.Выбор плиты'!C:Q,12,0)*1&lt;10,"",IF(OR(E59=2,F59=2,H59=2,I59=2),"",0.8)),""))</f>
        <v/>
      </c>
      <c r="R59" s="43" t="str">
        <f>IF(OR(MID(A59,1,6)="ЛМДФ P",MID(A59,1,6)="ЛДСП P"),1,IFERROR(IF(VLOOKUP(A59,'Шаг1.Выбор плиты'!C:Q,12,0)*1&lt;10,"",IF(OR(E59=0.8,F59=0.8,H59=0.8,I59=0.8),"",2)),""))</f>
        <v/>
      </c>
      <c r="S59" s="44" t="str">
        <f>IF(AND(COUNTBLANK(D$19:$D58)=0,COUNTBLANK(G$19:$G58)=0),$S$17&amp;$S$16,"дозаполнить")</f>
        <v>дозаполнить</v>
      </c>
      <c r="T59" s="25">
        <f t="shared" si="15"/>
        <v>0</v>
      </c>
      <c r="U59" s="25">
        <f t="shared" si="16"/>
        <v>0</v>
      </c>
      <c r="V59" s="101">
        <f t="shared" si="17"/>
        <v>0</v>
      </c>
      <c r="W59" s="25">
        <f t="shared" si="18"/>
        <v>0</v>
      </c>
    </row>
    <row r="60" spans="1:23" ht="12.75" x14ac:dyDescent="0.2">
      <c r="A60" s="187"/>
      <c r="B60" s="42" t="str">
        <f ca="1">IF(A60="","",MAX($B$17:OFFSET(A60,-1,0))+1)</f>
        <v/>
      </c>
      <c r="C60" s="185"/>
      <c r="D60" s="184"/>
      <c r="E60" s="186"/>
      <c r="F60" s="186"/>
      <c r="G60" s="184"/>
      <c r="H60" s="186"/>
      <c r="I60" s="186"/>
      <c r="J60" s="56"/>
      <c r="K60" s="16">
        <f t="shared" si="14"/>
        <v>0</v>
      </c>
      <c r="L60" s="17" t="str">
        <f t="shared" si="19"/>
        <v/>
      </c>
      <c r="M60" s="57" t="str">
        <f t="shared" si="20"/>
        <v/>
      </c>
      <c r="N60" s="57" t="str">
        <f t="shared" si="21"/>
        <v/>
      </c>
      <c r="O60" s="191" t="str">
        <f t="shared" si="22"/>
        <v/>
      </c>
      <c r="P60" s="43" t="str">
        <f>IF(OR(MID(A60,1,6)="ЛМДФ P",MID(A60,1,6)="ЛДСП P"),1,IFERROR(IF(VLOOKUP(A60,'Шаг1.Выбор плиты'!C:Q,12,0)*1&lt;10,"",0.4),""))</f>
        <v/>
      </c>
      <c r="Q60" s="43" t="str">
        <f>IF(OR(MID(A60,1,6)="ЛМДФ P",MID(A60,1,6)="ЛДСП P"),1,IFERROR(IF(VLOOKUP(A60,'Шаг1.Выбор плиты'!C:Q,12,0)*1&lt;10,"",IF(OR(E60=2,F60=2,H60=2,I60=2),"",0.8)),""))</f>
        <v/>
      </c>
      <c r="R60" s="43" t="str">
        <f>IF(OR(MID(A60,1,6)="ЛМДФ P",MID(A60,1,6)="ЛДСП P"),1,IFERROR(IF(VLOOKUP(A60,'Шаг1.Выбор плиты'!C:Q,12,0)*1&lt;10,"",IF(OR(E60=0.8,F60=0.8,H60=0.8,I60=0.8),"",2)),""))</f>
        <v/>
      </c>
      <c r="S60" s="44" t="str">
        <f>IF(AND(COUNTBLANK(D$19:$D59)=0,COUNTBLANK(G$19:$G59)=0),$S$17&amp;$S$16,"дозаполнить")</f>
        <v>дозаполнить</v>
      </c>
      <c r="T60" s="25">
        <f t="shared" si="15"/>
        <v>0</v>
      </c>
      <c r="U60" s="25">
        <f t="shared" si="16"/>
        <v>0</v>
      </c>
      <c r="V60" s="101">
        <f t="shared" si="17"/>
        <v>0</v>
      </c>
      <c r="W60" s="25">
        <f t="shared" si="18"/>
        <v>0</v>
      </c>
    </row>
    <row r="61" spans="1:23" ht="12.75" x14ac:dyDescent="0.2">
      <c r="A61" s="187"/>
      <c r="B61" s="42" t="str">
        <f ca="1">IF(A61="","",MAX($B$17:OFFSET(A61,-1,0))+1)</f>
        <v/>
      </c>
      <c r="C61" s="185"/>
      <c r="D61" s="184"/>
      <c r="E61" s="186"/>
      <c r="F61" s="186"/>
      <c r="G61" s="184"/>
      <c r="H61" s="186"/>
      <c r="I61" s="186"/>
      <c r="J61" s="56"/>
      <c r="K61" s="16">
        <f t="shared" si="14"/>
        <v>0</v>
      </c>
      <c r="L61" s="17" t="str">
        <f t="shared" si="19"/>
        <v/>
      </c>
      <c r="M61" s="57" t="str">
        <f t="shared" si="20"/>
        <v/>
      </c>
      <c r="N61" s="57" t="str">
        <f t="shared" si="21"/>
        <v/>
      </c>
      <c r="O61" s="191" t="str">
        <f t="shared" si="22"/>
        <v/>
      </c>
      <c r="P61" s="43" t="str">
        <f>IF(OR(MID(A61,1,6)="ЛМДФ P",MID(A61,1,6)="ЛДСП P"),1,IFERROR(IF(VLOOKUP(A61,'Шаг1.Выбор плиты'!C:Q,12,0)*1&lt;10,"",0.4),""))</f>
        <v/>
      </c>
      <c r="Q61" s="43" t="str">
        <f>IF(OR(MID(A61,1,6)="ЛМДФ P",MID(A61,1,6)="ЛДСП P"),1,IFERROR(IF(VLOOKUP(A61,'Шаг1.Выбор плиты'!C:Q,12,0)*1&lt;10,"",IF(OR(E61=2,F61=2,H61=2,I61=2),"",0.8)),""))</f>
        <v/>
      </c>
      <c r="R61" s="43" t="str">
        <f>IF(OR(MID(A61,1,6)="ЛМДФ P",MID(A61,1,6)="ЛДСП P"),1,IFERROR(IF(VLOOKUP(A61,'Шаг1.Выбор плиты'!C:Q,12,0)*1&lt;10,"",IF(OR(E61=0.8,F61=0.8,H61=0.8,I61=0.8),"",2)),""))</f>
        <v/>
      </c>
      <c r="S61" s="44" t="str">
        <f>IF(AND(COUNTBLANK(D$19:$D60)=0,COUNTBLANK(G$19:$G60)=0),$S$17&amp;$S$16,"дозаполнить")</f>
        <v>дозаполнить</v>
      </c>
      <c r="T61" s="25">
        <f t="shared" si="15"/>
        <v>0</v>
      </c>
      <c r="U61" s="25">
        <f t="shared" si="16"/>
        <v>0</v>
      </c>
      <c r="V61" s="101">
        <f t="shared" si="17"/>
        <v>0</v>
      </c>
      <c r="W61" s="25">
        <f t="shared" si="18"/>
        <v>0</v>
      </c>
    </row>
    <row r="62" spans="1:23" ht="12.75" x14ac:dyDescent="0.2">
      <c r="A62" s="187"/>
      <c r="B62" s="42" t="str">
        <f ca="1">IF(A62="","",MAX($B$17:OFFSET(A62,-1,0))+1)</f>
        <v/>
      </c>
      <c r="C62" s="185"/>
      <c r="D62" s="184"/>
      <c r="E62" s="186"/>
      <c r="F62" s="186"/>
      <c r="G62" s="184"/>
      <c r="H62" s="186"/>
      <c r="I62" s="186"/>
      <c r="J62" s="56"/>
      <c r="K62" s="16">
        <f t="shared" si="14"/>
        <v>0</v>
      </c>
      <c r="L62" s="17" t="str">
        <f t="shared" si="19"/>
        <v/>
      </c>
      <c r="M62" s="57" t="str">
        <f t="shared" si="20"/>
        <v/>
      </c>
      <c r="N62" s="57" t="str">
        <f t="shared" si="21"/>
        <v/>
      </c>
      <c r="O62" s="191" t="str">
        <f t="shared" si="22"/>
        <v/>
      </c>
      <c r="P62" s="43" t="str">
        <f>IF(OR(MID(A62,1,6)="ЛМДФ P",MID(A62,1,6)="ЛДСП P"),1,IFERROR(IF(VLOOKUP(A62,'Шаг1.Выбор плиты'!C:Q,12,0)*1&lt;10,"",0.4),""))</f>
        <v/>
      </c>
      <c r="Q62" s="43" t="str">
        <f>IF(OR(MID(A62,1,6)="ЛМДФ P",MID(A62,1,6)="ЛДСП P"),1,IFERROR(IF(VLOOKUP(A62,'Шаг1.Выбор плиты'!C:Q,12,0)*1&lt;10,"",IF(OR(E62=2,F62=2,H62=2,I62=2),"",0.8)),""))</f>
        <v/>
      </c>
      <c r="R62" s="43" t="str">
        <f>IF(OR(MID(A62,1,6)="ЛМДФ P",MID(A62,1,6)="ЛДСП P"),1,IFERROR(IF(VLOOKUP(A62,'Шаг1.Выбор плиты'!C:Q,12,0)*1&lt;10,"",IF(OR(E62=0.8,F62=0.8,H62=0.8,I62=0.8),"",2)),""))</f>
        <v/>
      </c>
      <c r="S62" s="44" t="str">
        <f>IF(AND(COUNTBLANK(D$19:$D61)=0,COUNTBLANK(G$19:$G61)=0),$S$17&amp;$S$16,"дозаполнить")</f>
        <v>дозаполнить</v>
      </c>
      <c r="T62" s="25">
        <f t="shared" si="15"/>
        <v>0</v>
      </c>
      <c r="U62" s="25">
        <f t="shared" si="16"/>
        <v>0</v>
      </c>
      <c r="V62" s="101">
        <f t="shared" si="17"/>
        <v>0</v>
      </c>
      <c r="W62" s="25">
        <f t="shared" si="18"/>
        <v>0</v>
      </c>
    </row>
    <row r="63" spans="1:23" ht="12.75" x14ac:dyDescent="0.2">
      <c r="A63" s="187"/>
      <c r="B63" s="42" t="str">
        <f ca="1">IF(A63="","",MAX($B$17:OFFSET(A63,-1,0))+1)</f>
        <v/>
      </c>
      <c r="C63" s="185"/>
      <c r="D63" s="184"/>
      <c r="E63" s="186"/>
      <c r="F63" s="186"/>
      <c r="G63" s="184"/>
      <c r="H63" s="186"/>
      <c r="I63" s="186"/>
      <c r="J63" s="56"/>
      <c r="K63" s="16">
        <f t="shared" si="14"/>
        <v>0</v>
      </c>
      <c r="L63" s="17" t="str">
        <f t="shared" si="19"/>
        <v/>
      </c>
      <c r="M63" s="57" t="str">
        <f t="shared" si="20"/>
        <v/>
      </c>
      <c r="N63" s="57" t="str">
        <f t="shared" si="21"/>
        <v/>
      </c>
      <c r="O63" s="191" t="str">
        <f t="shared" si="22"/>
        <v/>
      </c>
      <c r="P63" s="43" t="str">
        <f>IF(OR(MID(A63,1,6)="ЛМДФ P",MID(A63,1,6)="ЛДСП P"),1,IFERROR(IF(VLOOKUP(A63,'Шаг1.Выбор плиты'!C:Q,12,0)*1&lt;10,"",0.4),""))</f>
        <v/>
      </c>
      <c r="Q63" s="43" t="str">
        <f>IF(OR(MID(A63,1,6)="ЛМДФ P",MID(A63,1,6)="ЛДСП P"),1,IFERROR(IF(VLOOKUP(A63,'Шаг1.Выбор плиты'!C:Q,12,0)*1&lt;10,"",IF(OR(E63=2,F63=2,H63=2,I63=2),"",0.8)),""))</f>
        <v/>
      </c>
      <c r="R63" s="43" t="str">
        <f>IF(OR(MID(A63,1,6)="ЛМДФ P",MID(A63,1,6)="ЛДСП P"),1,IFERROR(IF(VLOOKUP(A63,'Шаг1.Выбор плиты'!C:Q,12,0)*1&lt;10,"",IF(OR(E63=0.8,F63=0.8,H63=0.8,I63=0.8),"",2)),""))</f>
        <v/>
      </c>
      <c r="S63" s="44" t="str">
        <f>IF(AND(COUNTBLANK(D$19:$D62)=0,COUNTBLANK(G$19:$G62)=0),$S$17&amp;$S$16,"дозаполнить")</f>
        <v>дозаполнить</v>
      </c>
      <c r="T63" s="25">
        <f t="shared" si="15"/>
        <v>0</v>
      </c>
      <c r="U63" s="25">
        <f t="shared" si="16"/>
        <v>0</v>
      </c>
      <c r="V63" s="101">
        <f t="shared" si="17"/>
        <v>0</v>
      </c>
      <c r="W63" s="25">
        <f t="shared" si="18"/>
        <v>0</v>
      </c>
    </row>
    <row r="64" spans="1:23" ht="12.75" x14ac:dyDescent="0.2">
      <c r="A64" s="187"/>
      <c r="B64" s="42" t="str">
        <f ca="1">IF(A64="","",MAX($B$17:OFFSET(A64,-1,0))+1)</f>
        <v/>
      </c>
      <c r="C64" s="185"/>
      <c r="D64" s="184"/>
      <c r="E64" s="186"/>
      <c r="F64" s="186"/>
      <c r="G64" s="184"/>
      <c r="H64" s="186"/>
      <c r="I64" s="186"/>
      <c r="J64" s="56"/>
      <c r="K64" s="16">
        <f t="shared" si="14"/>
        <v>0</v>
      </c>
      <c r="L64" s="17" t="str">
        <f t="shared" si="19"/>
        <v/>
      </c>
      <c r="M64" s="57" t="str">
        <f t="shared" si="20"/>
        <v/>
      </c>
      <c r="N64" s="57" t="str">
        <f t="shared" si="21"/>
        <v/>
      </c>
      <c r="O64" s="191" t="str">
        <f t="shared" si="22"/>
        <v/>
      </c>
      <c r="P64" s="43" t="str">
        <f>IF(OR(MID(A64,1,6)="ЛМДФ P",MID(A64,1,6)="ЛДСП P"),1,IFERROR(IF(VLOOKUP(A64,'Шаг1.Выбор плиты'!C:Q,12,0)*1&lt;10,"",0.4),""))</f>
        <v/>
      </c>
      <c r="Q64" s="43" t="str">
        <f>IF(OR(MID(A64,1,6)="ЛМДФ P",MID(A64,1,6)="ЛДСП P"),1,IFERROR(IF(VLOOKUP(A64,'Шаг1.Выбор плиты'!C:Q,12,0)*1&lt;10,"",IF(OR(E64=2,F64=2,H64=2,I64=2),"",0.8)),""))</f>
        <v/>
      </c>
      <c r="R64" s="43" t="str">
        <f>IF(OR(MID(A64,1,6)="ЛМДФ P",MID(A64,1,6)="ЛДСП P"),1,IFERROR(IF(VLOOKUP(A64,'Шаг1.Выбор плиты'!C:Q,12,0)*1&lt;10,"",IF(OR(E64=0.8,F64=0.8,H64=0.8,I64=0.8),"",2)),""))</f>
        <v/>
      </c>
      <c r="S64" s="44" t="str">
        <f>IF(AND(COUNTBLANK(D$19:$D63)=0,COUNTBLANK(G$19:$G63)=0),$S$17&amp;$S$16,"дозаполнить")</f>
        <v>дозаполнить</v>
      </c>
      <c r="T64" s="25">
        <f t="shared" si="15"/>
        <v>0</v>
      </c>
      <c r="U64" s="25">
        <f t="shared" si="16"/>
        <v>0</v>
      </c>
      <c r="V64" s="101">
        <f t="shared" si="17"/>
        <v>0</v>
      </c>
      <c r="W64" s="25">
        <f t="shared" si="18"/>
        <v>0</v>
      </c>
    </row>
    <row r="65" spans="1:23" ht="12.75" x14ac:dyDescent="0.2">
      <c r="A65" s="187"/>
      <c r="B65" s="42" t="str">
        <f ca="1">IF(A65="","",MAX($B$17:OFFSET(A65,-1,0))+1)</f>
        <v/>
      </c>
      <c r="C65" s="185"/>
      <c r="D65" s="184"/>
      <c r="E65" s="186"/>
      <c r="F65" s="186"/>
      <c r="G65" s="184"/>
      <c r="H65" s="186"/>
      <c r="I65" s="186"/>
      <c r="J65" s="56"/>
      <c r="K65" s="16">
        <f t="shared" si="14"/>
        <v>0</v>
      </c>
      <c r="L65" s="17" t="str">
        <f t="shared" si="19"/>
        <v/>
      </c>
      <c r="M65" s="57" t="str">
        <f t="shared" si="20"/>
        <v/>
      </c>
      <c r="N65" s="57" t="str">
        <f t="shared" si="21"/>
        <v/>
      </c>
      <c r="O65" s="191" t="str">
        <f t="shared" si="22"/>
        <v/>
      </c>
      <c r="P65" s="43" t="str">
        <f>IF(OR(MID(A65,1,6)="ЛМДФ P",MID(A65,1,6)="ЛДСП P"),1,IFERROR(IF(VLOOKUP(A65,'Шаг1.Выбор плиты'!C:Q,12,0)*1&lt;10,"",0.4),""))</f>
        <v/>
      </c>
      <c r="Q65" s="43" t="str">
        <f>IF(OR(MID(A65,1,6)="ЛМДФ P",MID(A65,1,6)="ЛДСП P"),1,IFERROR(IF(VLOOKUP(A65,'Шаг1.Выбор плиты'!C:Q,12,0)*1&lt;10,"",IF(OR(E65=2,F65=2,H65=2,I65=2),"",0.8)),""))</f>
        <v/>
      </c>
      <c r="R65" s="43" t="str">
        <f>IF(OR(MID(A65,1,6)="ЛМДФ P",MID(A65,1,6)="ЛДСП P"),1,IFERROR(IF(VLOOKUP(A65,'Шаг1.Выбор плиты'!C:Q,12,0)*1&lt;10,"",IF(OR(E65=0.8,F65=0.8,H65=0.8,I65=0.8),"",2)),""))</f>
        <v/>
      </c>
      <c r="S65" s="44" t="str">
        <f>IF(AND(COUNTBLANK(D$19:$D64)=0,COUNTBLANK(G$19:$G64)=0),$S$17&amp;$S$16,"дозаполнить")</f>
        <v>дозаполнить</v>
      </c>
      <c r="T65" s="25">
        <f t="shared" si="15"/>
        <v>0</v>
      </c>
      <c r="U65" s="25">
        <f t="shared" si="16"/>
        <v>0</v>
      </c>
      <c r="V65" s="101">
        <f t="shared" si="17"/>
        <v>0</v>
      </c>
      <c r="W65" s="25">
        <f t="shared" si="18"/>
        <v>0</v>
      </c>
    </row>
    <row r="66" spans="1:23" ht="12.75" x14ac:dyDescent="0.2">
      <c r="A66" s="187"/>
      <c r="B66" s="42" t="str">
        <f ca="1">IF(A66="","",MAX($B$17:OFFSET(A66,-1,0))+1)</f>
        <v/>
      </c>
      <c r="C66" s="185"/>
      <c r="D66" s="184"/>
      <c r="E66" s="186"/>
      <c r="F66" s="186"/>
      <c r="G66" s="184"/>
      <c r="H66" s="186"/>
      <c r="I66" s="186"/>
      <c r="J66" s="56"/>
      <c r="K66" s="16">
        <f t="shared" si="14"/>
        <v>0</v>
      </c>
      <c r="L66" s="17" t="str">
        <f t="shared" si="19"/>
        <v/>
      </c>
      <c r="M66" s="57" t="str">
        <f t="shared" si="20"/>
        <v/>
      </c>
      <c r="N66" s="57" t="str">
        <f t="shared" si="21"/>
        <v/>
      </c>
      <c r="O66" s="191" t="str">
        <f t="shared" si="22"/>
        <v/>
      </c>
      <c r="P66" s="43" t="str">
        <f>IF(OR(MID(A66,1,6)="ЛМДФ P",MID(A66,1,6)="ЛДСП P"),1,IFERROR(IF(VLOOKUP(A66,'Шаг1.Выбор плиты'!C:Q,12,0)*1&lt;10,"",0.4),""))</f>
        <v/>
      </c>
      <c r="Q66" s="43" t="str">
        <f>IF(OR(MID(A66,1,6)="ЛМДФ P",MID(A66,1,6)="ЛДСП P"),1,IFERROR(IF(VLOOKUP(A66,'Шаг1.Выбор плиты'!C:Q,12,0)*1&lt;10,"",IF(OR(E66=2,F66=2,H66=2,I66=2),"",0.8)),""))</f>
        <v/>
      </c>
      <c r="R66" s="43" t="str">
        <f>IF(OR(MID(A66,1,6)="ЛМДФ P",MID(A66,1,6)="ЛДСП P"),1,IFERROR(IF(VLOOKUP(A66,'Шаг1.Выбор плиты'!C:Q,12,0)*1&lt;10,"",IF(OR(E66=0.8,F66=0.8,H66=0.8,I66=0.8),"",2)),""))</f>
        <v/>
      </c>
      <c r="S66" s="44" t="str">
        <f>IF(AND(COUNTBLANK(D$19:$D65)=0,COUNTBLANK(G$19:$G65)=0),$S$17&amp;$S$16,"дозаполнить")</f>
        <v>дозаполнить</v>
      </c>
      <c r="T66" s="25">
        <f t="shared" si="15"/>
        <v>0</v>
      </c>
      <c r="U66" s="25">
        <f t="shared" si="16"/>
        <v>0</v>
      </c>
      <c r="V66" s="101">
        <f t="shared" si="17"/>
        <v>0</v>
      </c>
      <c r="W66" s="25">
        <f t="shared" si="18"/>
        <v>0</v>
      </c>
    </row>
    <row r="67" spans="1:23" ht="12.75" x14ac:dyDescent="0.2">
      <c r="A67" s="187"/>
      <c r="B67" s="42" t="str">
        <f ca="1">IF(A67="","",MAX($B$17:OFFSET(A67,-1,0))+1)</f>
        <v/>
      </c>
      <c r="C67" s="185"/>
      <c r="D67" s="184"/>
      <c r="E67" s="186"/>
      <c r="F67" s="186"/>
      <c r="G67" s="184"/>
      <c r="H67" s="186"/>
      <c r="I67" s="186"/>
      <c r="J67" s="56"/>
      <c r="K67" s="16">
        <f t="shared" si="14"/>
        <v>0</v>
      </c>
      <c r="L67" s="17" t="str">
        <f t="shared" si="19"/>
        <v/>
      </c>
      <c r="M67" s="57" t="str">
        <f t="shared" si="20"/>
        <v/>
      </c>
      <c r="N67" s="57" t="str">
        <f t="shared" si="21"/>
        <v/>
      </c>
      <c r="O67" s="191" t="str">
        <f t="shared" si="22"/>
        <v/>
      </c>
      <c r="P67" s="43" t="str">
        <f>IF(OR(MID(A67,1,6)="ЛМДФ P",MID(A67,1,6)="ЛДСП P"),1,IFERROR(IF(VLOOKUP(A67,'Шаг1.Выбор плиты'!C:Q,12,0)*1&lt;10,"",0.4),""))</f>
        <v/>
      </c>
      <c r="Q67" s="43" t="str">
        <f>IF(OR(MID(A67,1,6)="ЛМДФ P",MID(A67,1,6)="ЛДСП P"),1,IFERROR(IF(VLOOKUP(A67,'Шаг1.Выбор плиты'!C:Q,12,0)*1&lt;10,"",IF(OR(E67=2,F67=2,H67=2,I67=2),"",0.8)),""))</f>
        <v/>
      </c>
      <c r="R67" s="43" t="str">
        <f>IF(OR(MID(A67,1,6)="ЛМДФ P",MID(A67,1,6)="ЛДСП P"),1,IFERROR(IF(VLOOKUP(A67,'Шаг1.Выбор плиты'!C:Q,12,0)*1&lt;10,"",IF(OR(E67=0.8,F67=0.8,H67=0.8,I67=0.8),"",2)),""))</f>
        <v/>
      </c>
      <c r="S67" s="44" t="str">
        <f>IF(AND(COUNTBLANK(D$19:$D66)=0,COUNTBLANK(G$19:$G66)=0),$S$17&amp;$S$16,"дозаполнить")</f>
        <v>дозаполнить</v>
      </c>
      <c r="T67" s="25">
        <f t="shared" si="15"/>
        <v>0</v>
      </c>
      <c r="U67" s="25">
        <f t="shared" si="16"/>
        <v>0</v>
      </c>
      <c r="V67" s="101">
        <f t="shared" si="17"/>
        <v>0</v>
      </c>
      <c r="W67" s="25">
        <f t="shared" si="18"/>
        <v>0</v>
      </c>
    </row>
    <row r="68" spans="1:23" ht="12.75" x14ac:dyDescent="0.2">
      <c r="A68" s="187"/>
      <c r="B68" s="42" t="str">
        <f ca="1">IF(A68="","",MAX($B$17:OFFSET(A68,-1,0))+1)</f>
        <v/>
      </c>
      <c r="C68" s="185"/>
      <c r="D68" s="184"/>
      <c r="E68" s="186"/>
      <c r="F68" s="186"/>
      <c r="G68" s="184"/>
      <c r="H68" s="186"/>
      <c r="I68" s="186"/>
      <c r="J68" s="56"/>
      <c r="K68" s="16">
        <f t="shared" si="14"/>
        <v>0</v>
      </c>
      <c r="L68" s="17" t="str">
        <f t="shared" si="19"/>
        <v/>
      </c>
      <c r="M68" s="57" t="str">
        <f t="shared" si="20"/>
        <v/>
      </c>
      <c r="N68" s="57" t="str">
        <f t="shared" si="21"/>
        <v/>
      </c>
      <c r="O68" s="191" t="str">
        <f t="shared" si="22"/>
        <v/>
      </c>
      <c r="P68" s="43" t="str">
        <f>IF(OR(MID(A68,1,6)="ЛМДФ P",MID(A68,1,6)="ЛДСП P"),1,IFERROR(IF(VLOOKUP(A68,'Шаг1.Выбор плиты'!C:Q,12,0)*1&lt;10,"",0.4),""))</f>
        <v/>
      </c>
      <c r="Q68" s="43" t="str">
        <f>IF(OR(MID(A68,1,6)="ЛМДФ P",MID(A68,1,6)="ЛДСП P"),1,IFERROR(IF(VLOOKUP(A68,'Шаг1.Выбор плиты'!C:Q,12,0)*1&lt;10,"",IF(OR(E68=2,F68=2,H68=2,I68=2),"",0.8)),""))</f>
        <v/>
      </c>
      <c r="R68" s="43" t="str">
        <f>IF(OR(MID(A68,1,6)="ЛМДФ P",MID(A68,1,6)="ЛДСП P"),1,IFERROR(IF(VLOOKUP(A68,'Шаг1.Выбор плиты'!C:Q,12,0)*1&lt;10,"",IF(OR(E68=0.8,F68=0.8,H68=0.8,I68=0.8),"",2)),""))</f>
        <v/>
      </c>
      <c r="S68" s="44" t="str">
        <f>IF(AND(COUNTBLANK(D$19:$D67)=0,COUNTBLANK(G$19:$G67)=0),$S$17&amp;$S$16,"дозаполнить")</f>
        <v>дозаполнить</v>
      </c>
      <c r="T68" s="25">
        <f t="shared" si="15"/>
        <v>0</v>
      </c>
      <c r="U68" s="25">
        <f t="shared" si="16"/>
        <v>0</v>
      </c>
      <c r="V68" s="101">
        <f t="shared" si="17"/>
        <v>0</v>
      </c>
      <c r="W68" s="25">
        <f t="shared" si="18"/>
        <v>0</v>
      </c>
    </row>
    <row r="69" spans="1:23" ht="12.75" x14ac:dyDescent="0.2">
      <c r="A69" s="187"/>
      <c r="B69" s="42" t="str">
        <f ca="1">IF(A69="","",MAX($B$17:OFFSET(A69,-1,0))+1)</f>
        <v/>
      </c>
      <c r="C69" s="185"/>
      <c r="D69" s="184"/>
      <c r="E69" s="186"/>
      <c r="F69" s="186"/>
      <c r="G69" s="184"/>
      <c r="H69" s="186"/>
      <c r="I69" s="186"/>
      <c r="J69" s="56"/>
      <c r="K69" s="16">
        <f t="shared" si="14"/>
        <v>0</v>
      </c>
      <c r="L69" s="17" t="str">
        <f t="shared" si="19"/>
        <v/>
      </c>
      <c r="M69" s="57" t="str">
        <f t="shared" si="20"/>
        <v/>
      </c>
      <c r="N69" s="57" t="str">
        <f t="shared" si="21"/>
        <v/>
      </c>
      <c r="O69" s="191" t="str">
        <f t="shared" si="22"/>
        <v/>
      </c>
      <c r="P69" s="43" t="str">
        <f>IF(OR(MID(A69,1,6)="ЛМДФ P",MID(A69,1,6)="ЛДСП P"),1,IFERROR(IF(VLOOKUP(A69,'Шаг1.Выбор плиты'!C:Q,12,0)*1&lt;10,"",0.4),""))</f>
        <v/>
      </c>
      <c r="Q69" s="43" t="str">
        <f>IF(OR(MID(A69,1,6)="ЛМДФ P",MID(A69,1,6)="ЛДСП P"),1,IFERROR(IF(VLOOKUP(A69,'Шаг1.Выбор плиты'!C:Q,12,0)*1&lt;10,"",IF(OR(E69=2,F69=2,H69=2,I69=2),"",0.8)),""))</f>
        <v/>
      </c>
      <c r="R69" s="43" t="str">
        <f>IF(OR(MID(A69,1,6)="ЛМДФ P",MID(A69,1,6)="ЛДСП P"),1,IFERROR(IF(VLOOKUP(A69,'Шаг1.Выбор плиты'!C:Q,12,0)*1&lt;10,"",IF(OR(E69=0.8,F69=0.8,H69=0.8,I69=0.8),"",2)),""))</f>
        <v/>
      </c>
      <c r="S69" s="44" t="str">
        <f>IF(AND(COUNTBLANK(D$19:$D68)=0,COUNTBLANK(G$19:$G68)=0),$S$17&amp;$S$16,"дозаполнить")</f>
        <v>дозаполнить</v>
      </c>
      <c r="T69" s="25">
        <f t="shared" si="15"/>
        <v>0</v>
      </c>
      <c r="U69" s="25">
        <f t="shared" si="16"/>
        <v>0</v>
      </c>
      <c r="V69" s="101">
        <f t="shared" si="17"/>
        <v>0</v>
      </c>
      <c r="W69" s="25">
        <f t="shared" si="18"/>
        <v>0</v>
      </c>
    </row>
    <row r="70" spans="1:23" ht="12.75" x14ac:dyDescent="0.2">
      <c r="A70" s="187"/>
      <c r="B70" s="42" t="str">
        <f ca="1">IF(A70="","",MAX($B$17:OFFSET(A70,-1,0))+1)</f>
        <v/>
      </c>
      <c r="C70" s="185"/>
      <c r="D70" s="184"/>
      <c r="E70" s="186"/>
      <c r="F70" s="186"/>
      <c r="G70" s="184"/>
      <c r="H70" s="186"/>
      <c r="I70" s="186"/>
      <c r="J70" s="56"/>
      <c r="K70" s="16">
        <f t="shared" si="14"/>
        <v>0</v>
      </c>
      <c r="L70" s="17" t="str">
        <f t="shared" si="19"/>
        <v/>
      </c>
      <c r="M70" s="57" t="str">
        <f t="shared" si="20"/>
        <v/>
      </c>
      <c r="N70" s="57" t="str">
        <f t="shared" si="21"/>
        <v/>
      </c>
      <c r="O70" s="191" t="str">
        <f t="shared" si="22"/>
        <v/>
      </c>
      <c r="P70" s="43" t="str">
        <f>IF(OR(MID(A70,1,6)="ЛМДФ P",MID(A70,1,6)="ЛДСП P"),1,IFERROR(IF(VLOOKUP(A70,'Шаг1.Выбор плиты'!C:Q,12,0)*1&lt;10,"",0.4),""))</f>
        <v/>
      </c>
      <c r="Q70" s="43" t="str">
        <f>IF(OR(MID(A70,1,6)="ЛМДФ P",MID(A70,1,6)="ЛДСП P"),1,IFERROR(IF(VLOOKUP(A70,'Шаг1.Выбор плиты'!C:Q,12,0)*1&lt;10,"",IF(OR(E70=2,F70=2,H70=2,I70=2),"",0.8)),""))</f>
        <v/>
      </c>
      <c r="R70" s="43" t="str">
        <f>IF(OR(MID(A70,1,6)="ЛМДФ P",MID(A70,1,6)="ЛДСП P"),1,IFERROR(IF(VLOOKUP(A70,'Шаг1.Выбор плиты'!C:Q,12,0)*1&lt;10,"",IF(OR(E70=0.8,F70=0.8,H70=0.8,I70=0.8),"",2)),""))</f>
        <v/>
      </c>
      <c r="S70" s="44" t="str">
        <f>IF(AND(COUNTBLANK(D$19:$D69)=0,COUNTBLANK(G$19:$G69)=0),$S$17&amp;$S$16,"дозаполнить")</f>
        <v>дозаполнить</v>
      </c>
      <c r="T70" s="25">
        <f t="shared" si="15"/>
        <v>0</v>
      </c>
      <c r="U70" s="25">
        <f t="shared" si="16"/>
        <v>0</v>
      </c>
      <c r="V70" s="101">
        <f t="shared" si="17"/>
        <v>0</v>
      </c>
      <c r="W70" s="25">
        <f t="shared" si="18"/>
        <v>0</v>
      </c>
    </row>
    <row r="71" spans="1:23" ht="12.75" x14ac:dyDescent="0.2">
      <c r="A71" s="187"/>
      <c r="B71" s="42" t="str">
        <f ca="1">IF(A71="","",MAX($B$17:OFFSET(A71,-1,0))+1)</f>
        <v/>
      </c>
      <c r="C71" s="185"/>
      <c r="D71" s="184"/>
      <c r="E71" s="186"/>
      <c r="F71" s="186"/>
      <c r="G71" s="184"/>
      <c r="H71" s="186"/>
      <c r="I71" s="186"/>
      <c r="J71" s="56"/>
      <c r="K71" s="16">
        <f t="shared" si="14"/>
        <v>0</v>
      </c>
      <c r="L71" s="17" t="str">
        <f t="shared" si="19"/>
        <v/>
      </c>
      <c r="M71" s="57" t="str">
        <f t="shared" si="20"/>
        <v/>
      </c>
      <c r="N71" s="57" t="str">
        <f t="shared" si="21"/>
        <v/>
      </c>
      <c r="O71" s="191" t="str">
        <f t="shared" si="22"/>
        <v/>
      </c>
      <c r="P71" s="43" t="str">
        <f>IF(OR(MID(A71,1,6)="ЛМДФ P",MID(A71,1,6)="ЛДСП P"),1,IFERROR(IF(VLOOKUP(A71,'Шаг1.Выбор плиты'!C:Q,12,0)*1&lt;10,"",0.4),""))</f>
        <v/>
      </c>
      <c r="Q71" s="43" t="str">
        <f>IF(OR(MID(A71,1,6)="ЛМДФ P",MID(A71,1,6)="ЛДСП P"),1,IFERROR(IF(VLOOKUP(A71,'Шаг1.Выбор плиты'!C:Q,12,0)*1&lt;10,"",IF(OR(E71=2,F71=2,H71=2,I71=2),"",0.8)),""))</f>
        <v/>
      </c>
      <c r="R71" s="43" t="str">
        <f>IF(OR(MID(A71,1,6)="ЛМДФ P",MID(A71,1,6)="ЛДСП P"),1,IFERROR(IF(VLOOKUP(A71,'Шаг1.Выбор плиты'!C:Q,12,0)*1&lt;10,"",IF(OR(E71=0.8,F71=0.8,H71=0.8,I71=0.8),"",2)),""))</f>
        <v/>
      </c>
      <c r="S71" s="44" t="str">
        <f>IF(AND(COUNTBLANK(D$19:$D70)=0,COUNTBLANK(G$19:$G70)=0),$S$17&amp;$S$16,"дозаполнить")</f>
        <v>дозаполнить</v>
      </c>
      <c r="T71" s="25">
        <f t="shared" si="15"/>
        <v>0</v>
      </c>
      <c r="U71" s="25">
        <f t="shared" si="16"/>
        <v>0</v>
      </c>
      <c r="V71" s="101">
        <f t="shared" si="17"/>
        <v>0</v>
      </c>
      <c r="W71" s="25">
        <f t="shared" si="18"/>
        <v>0</v>
      </c>
    </row>
    <row r="72" spans="1:23" ht="12.75" x14ac:dyDescent="0.2">
      <c r="A72" s="187"/>
      <c r="B72" s="42" t="str">
        <f ca="1">IF(A72="","",MAX($B$17:OFFSET(A72,-1,0))+1)</f>
        <v/>
      </c>
      <c r="C72" s="185"/>
      <c r="D72" s="184"/>
      <c r="E72" s="186"/>
      <c r="F72" s="186"/>
      <c r="G72" s="184"/>
      <c r="H72" s="186"/>
      <c r="I72" s="186"/>
      <c r="J72" s="56"/>
      <c r="K72" s="16">
        <f t="shared" si="14"/>
        <v>0</v>
      </c>
      <c r="L72" s="17" t="str">
        <f t="shared" si="19"/>
        <v/>
      </c>
      <c r="M72" s="57" t="str">
        <f t="shared" si="20"/>
        <v/>
      </c>
      <c r="N72" s="57" t="str">
        <f t="shared" si="21"/>
        <v/>
      </c>
      <c r="O72" s="191" t="str">
        <f t="shared" si="22"/>
        <v/>
      </c>
      <c r="P72" s="43" t="str">
        <f>IF(OR(MID(A72,1,6)="ЛМДФ P",MID(A72,1,6)="ЛДСП P"),1,IFERROR(IF(VLOOKUP(A72,'Шаг1.Выбор плиты'!C:Q,12,0)*1&lt;10,"",0.4),""))</f>
        <v/>
      </c>
      <c r="Q72" s="43" t="str">
        <f>IF(OR(MID(A72,1,6)="ЛМДФ P",MID(A72,1,6)="ЛДСП P"),1,IFERROR(IF(VLOOKUP(A72,'Шаг1.Выбор плиты'!C:Q,12,0)*1&lt;10,"",IF(OR(E72=2,F72=2,H72=2,I72=2),"",0.8)),""))</f>
        <v/>
      </c>
      <c r="R72" s="43" t="str">
        <f>IF(OR(MID(A72,1,6)="ЛМДФ P",MID(A72,1,6)="ЛДСП P"),1,IFERROR(IF(VLOOKUP(A72,'Шаг1.Выбор плиты'!C:Q,12,0)*1&lt;10,"",IF(OR(E72=0.8,F72=0.8,H72=0.8,I72=0.8),"",2)),""))</f>
        <v/>
      </c>
      <c r="S72" s="44" t="str">
        <f>IF(AND(COUNTBLANK(D$19:$D71)=0,COUNTBLANK(G$19:$G71)=0),$S$17&amp;$S$16,"дозаполнить")</f>
        <v>дозаполнить</v>
      </c>
      <c r="T72" s="25">
        <f t="shared" si="15"/>
        <v>0</v>
      </c>
      <c r="U72" s="25">
        <f t="shared" si="16"/>
        <v>0</v>
      </c>
      <c r="V72" s="101">
        <f t="shared" si="17"/>
        <v>0</v>
      </c>
      <c r="W72" s="25">
        <f t="shared" si="18"/>
        <v>0</v>
      </c>
    </row>
    <row r="73" spans="1:23" ht="12.75" x14ac:dyDescent="0.2">
      <c r="A73" s="187"/>
      <c r="B73" s="42" t="str">
        <f ca="1">IF(A73="","",MAX($B$17:OFFSET(A73,-1,0))+1)</f>
        <v/>
      </c>
      <c r="C73" s="185"/>
      <c r="D73" s="184"/>
      <c r="E73" s="186"/>
      <c r="F73" s="186"/>
      <c r="G73" s="184"/>
      <c r="H73" s="186"/>
      <c r="I73" s="186"/>
      <c r="J73" s="56"/>
      <c r="K73" s="16">
        <f t="shared" si="14"/>
        <v>0</v>
      </c>
      <c r="L73" s="17" t="str">
        <f t="shared" si="19"/>
        <v/>
      </c>
      <c r="M73" s="57" t="str">
        <f t="shared" si="20"/>
        <v/>
      </c>
      <c r="N73" s="57" t="str">
        <f t="shared" si="21"/>
        <v/>
      </c>
      <c r="O73" s="191" t="str">
        <f t="shared" si="22"/>
        <v/>
      </c>
      <c r="P73" s="43" t="str">
        <f>IF(OR(MID(A73,1,6)="ЛМДФ P",MID(A73,1,6)="ЛДСП P"),1,IFERROR(IF(VLOOKUP(A73,'Шаг1.Выбор плиты'!C:Q,12,0)*1&lt;10,"",0.4),""))</f>
        <v/>
      </c>
      <c r="Q73" s="43" t="str">
        <f>IF(OR(MID(A73,1,6)="ЛМДФ P",MID(A73,1,6)="ЛДСП P"),1,IFERROR(IF(VLOOKUP(A73,'Шаг1.Выбор плиты'!C:Q,12,0)*1&lt;10,"",IF(OR(E73=2,F73=2,H73=2,I73=2),"",0.8)),""))</f>
        <v/>
      </c>
      <c r="R73" s="43" t="str">
        <f>IF(OR(MID(A73,1,6)="ЛМДФ P",MID(A73,1,6)="ЛДСП P"),1,IFERROR(IF(VLOOKUP(A73,'Шаг1.Выбор плиты'!C:Q,12,0)*1&lt;10,"",IF(OR(E73=0.8,F73=0.8,H73=0.8,I73=0.8),"",2)),""))</f>
        <v/>
      </c>
      <c r="S73" s="44" t="str">
        <f>IF(AND(COUNTBLANK(D$19:$D72)=0,COUNTBLANK(G$19:$G72)=0),$S$17&amp;$S$16,"дозаполнить")</f>
        <v>дозаполнить</v>
      </c>
      <c r="T73" s="25">
        <f t="shared" si="15"/>
        <v>0</v>
      </c>
      <c r="U73" s="25">
        <f t="shared" si="16"/>
        <v>0</v>
      </c>
      <c r="V73" s="101">
        <f t="shared" si="17"/>
        <v>0</v>
      </c>
      <c r="W73" s="25">
        <f t="shared" si="18"/>
        <v>0</v>
      </c>
    </row>
    <row r="74" spans="1:23" ht="12.75" x14ac:dyDescent="0.2">
      <c r="A74" s="187"/>
      <c r="B74" s="42" t="str">
        <f ca="1">IF(A74="","",MAX($B$17:OFFSET(A74,-1,0))+1)</f>
        <v/>
      </c>
      <c r="C74" s="185"/>
      <c r="D74" s="184"/>
      <c r="E74" s="186"/>
      <c r="F74" s="186"/>
      <c r="G74" s="184"/>
      <c r="H74" s="186"/>
      <c r="I74" s="186"/>
      <c r="J74" s="56"/>
      <c r="K74" s="16">
        <f t="shared" si="14"/>
        <v>0</v>
      </c>
      <c r="L74" s="17" t="str">
        <f t="shared" si="19"/>
        <v/>
      </c>
      <c r="M74" s="57" t="str">
        <f t="shared" si="20"/>
        <v/>
      </c>
      <c r="N74" s="57" t="str">
        <f t="shared" si="21"/>
        <v/>
      </c>
      <c r="O74" s="191" t="str">
        <f t="shared" si="22"/>
        <v/>
      </c>
      <c r="P74" s="43" t="str">
        <f>IF(OR(MID(A74,1,6)="ЛМДФ P",MID(A74,1,6)="ЛДСП P"),1,IFERROR(IF(VLOOKUP(A74,'Шаг1.Выбор плиты'!C:Q,12,0)*1&lt;10,"",0.4),""))</f>
        <v/>
      </c>
      <c r="Q74" s="43" t="str">
        <f>IF(OR(MID(A74,1,6)="ЛМДФ P",MID(A74,1,6)="ЛДСП P"),1,IFERROR(IF(VLOOKUP(A74,'Шаг1.Выбор плиты'!C:Q,12,0)*1&lt;10,"",IF(OR(E74=2,F74=2,H74=2,I74=2),"",0.8)),""))</f>
        <v/>
      </c>
      <c r="R74" s="43" t="str">
        <f>IF(OR(MID(A74,1,6)="ЛМДФ P",MID(A74,1,6)="ЛДСП P"),1,IFERROR(IF(VLOOKUP(A74,'Шаг1.Выбор плиты'!C:Q,12,0)*1&lt;10,"",IF(OR(E74=0.8,F74=0.8,H74=0.8,I74=0.8),"",2)),""))</f>
        <v/>
      </c>
      <c r="S74" s="44" t="str">
        <f>IF(AND(COUNTBLANK(D$19:$D73)=0,COUNTBLANK(G$19:$G73)=0),$S$17&amp;$S$16,"дозаполнить")</f>
        <v>дозаполнить</v>
      </c>
      <c r="T74" s="25">
        <f t="shared" si="15"/>
        <v>0</v>
      </c>
      <c r="U74" s="25">
        <f t="shared" si="16"/>
        <v>0</v>
      </c>
      <c r="V74" s="101">
        <f t="shared" si="17"/>
        <v>0</v>
      </c>
      <c r="W74" s="25">
        <f t="shared" si="18"/>
        <v>0</v>
      </c>
    </row>
    <row r="75" spans="1:23" ht="12.75" x14ac:dyDescent="0.2">
      <c r="A75" s="187"/>
      <c r="B75" s="42" t="str">
        <f ca="1">IF(A75="","",MAX($B$17:OFFSET(A75,-1,0))+1)</f>
        <v/>
      </c>
      <c r="C75" s="185"/>
      <c r="D75" s="184"/>
      <c r="E75" s="186"/>
      <c r="F75" s="186"/>
      <c r="G75" s="184"/>
      <c r="H75" s="186"/>
      <c r="I75" s="186"/>
      <c r="J75" s="56"/>
      <c r="K75" s="16">
        <f t="shared" si="14"/>
        <v>0</v>
      </c>
      <c r="L75" s="17" t="str">
        <f t="shared" si="19"/>
        <v/>
      </c>
      <c r="M75" s="57" t="str">
        <f t="shared" si="20"/>
        <v/>
      </c>
      <c r="N75" s="57" t="str">
        <f t="shared" si="21"/>
        <v/>
      </c>
      <c r="O75" s="191" t="str">
        <f t="shared" si="22"/>
        <v/>
      </c>
      <c r="P75" s="43" t="str">
        <f>IF(OR(MID(A75,1,6)="ЛМДФ P",MID(A75,1,6)="ЛДСП P"),1,IFERROR(IF(VLOOKUP(A75,'Шаг1.Выбор плиты'!C:Q,12,0)*1&lt;10,"",0.4),""))</f>
        <v/>
      </c>
      <c r="Q75" s="43" t="str">
        <f>IF(OR(MID(A75,1,6)="ЛМДФ P",MID(A75,1,6)="ЛДСП P"),1,IFERROR(IF(VLOOKUP(A75,'Шаг1.Выбор плиты'!C:Q,12,0)*1&lt;10,"",IF(OR(E75=2,F75=2,H75=2,I75=2),"",0.8)),""))</f>
        <v/>
      </c>
      <c r="R75" s="43" t="str">
        <f>IF(OR(MID(A75,1,6)="ЛМДФ P",MID(A75,1,6)="ЛДСП P"),1,IFERROR(IF(VLOOKUP(A75,'Шаг1.Выбор плиты'!C:Q,12,0)*1&lt;10,"",IF(OR(E75=0.8,F75=0.8,H75=0.8,I75=0.8),"",2)),""))</f>
        <v/>
      </c>
      <c r="S75" s="44" t="str">
        <f>IF(AND(COUNTBLANK(D$19:$D74)=0,COUNTBLANK(G$19:$G74)=0),$S$17&amp;$S$16,"дозаполнить")</f>
        <v>дозаполнить</v>
      </c>
      <c r="T75" s="25">
        <f t="shared" si="15"/>
        <v>0</v>
      </c>
      <c r="U75" s="25">
        <f t="shared" si="16"/>
        <v>0</v>
      </c>
      <c r="V75" s="101">
        <f t="shared" si="17"/>
        <v>0</v>
      </c>
      <c r="W75" s="25">
        <f t="shared" si="18"/>
        <v>0</v>
      </c>
    </row>
    <row r="76" spans="1:23" ht="12.75" x14ac:dyDescent="0.2">
      <c r="A76" s="187"/>
      <c r="B76" s="42" t="str">
        <f ca="1">IF(A76="","",MAX($B$17:OFFSET(A76,-1,0))+1)</f>
        <v/>
      </c>
      <c r="C76" s="185"/>
      <c r="D76" s="184"/>
      <c r="E76" s="186"/>
      <c r="F76" s="186"/>
      <c r="G76" s="184"/>
      <c r="H76" s="186"/>
      <c r="I76" s="186"/>
      <c r="J76" s="56"/>
      <c r="K76" s="16">
        <f t="shared" si="14"/>
        <v>0</v>
      </c>
      <c r="L76" s="17" t="str">
        <f t="shared" si="19"/>
        <v/>
      </c>
      <c r="M76" s="57" t="str">
        <f t="shared" si="20"/>
        <v/>
      </c>
      <c r="N76" s="57" t="str">
        <f t="shared" si="21"/>
        <v/>
      </c>
      <c r="O76" s="191" t="str">
        <f t="shared" si="22"/>
        <v/>
      </c>
      <c r="P76" s="43" t="str">
        <f>IF(OR(MID(A76,1,6)="ЛМДФ P",MID(A76,1,6)="ЛДСП P"),1,IFERROR(IF(VLOOKUP(A76,'Шаг1.Выбор плиты'!C:Q,12,0)*1&lt;10,"",0.4),""))</f>
        <v/>
      </c>
      <c r="Q76" s="43" t="str">
        <f>IF(OR(MID(A76,1,6)="ЛМДФ P",MID(A76,1,6)="ЛДСП P"),1,IFERROR(IF(VLOOKUP(A76,'Шаг1.Выбор плиты'!C:Q,12,0)*1&lt;10,"",IF(OR(E76=2,F76=2,H76=2,I76=2),"",0.8)),""))</f>
        <v/>
      </c>
      <c r="R76" s="43" t="str">
        <f>IF(OR(MID(A76,1,6)="ЛМДФ P",MID(A76,1,6)="ЛДСП P"),1,IFERROR(IF(VLOOKUP(A76,'Шаг1.Выбор плиты'!C:Q,12,0)*1&lt;10,"",IF(OR(E76=0.8,F76=0.8,H76=0.8,I76=0.8),"",2)),""))</f>
        <v/>
      </c>
      <c r="S76" s="44" t="str">
        <f>IF(AND(COUNTBLANK(D$19:$D75)=0,COUNTBLANK(G$19:$G75)=0),$S$17&amp;$S$16,"дозаполнить")</f>
        <v>дозаполнить</v>
      </c>
      <c r="T76" s="25">
        <f t="shared" si="15"/>
        <v>0</v>
      </c>
      <c r="U76" s="25">
        <f t="shared" si="16"/>
        <v>0</v>
      </c>
      <c r="V76" s="101">
        <f t="shared" si="17"/>
        <v>0</v>
      </c>
      <c r="W76" s="25">
        <f t="shared" si="18"/>
        <v>0</v>
      </c>
    </row>
    <row r="77" spans="1:23" ht="12.75" x14ac:dyDescent="0.2">
      <c r="A77" s="187"/>
      <c r="B77" s="42" t="str">
        <f ca="1">IF(A77="","",MAX($B$17:OFFSET(A77,-1,0))+1)</f>
        <v/>
      </c>
      <c r="C77" s="185"/>
      <c r="D77" s="184"/>
      <c r="E77" s="186"/>
      <c r="F77" s="186"/>
      <c r="G77" s="184"/>
      <c r="H77" s="186"/>
      <c r="I77" s="186"/>
      <c r="J77" s="56"/>
      <c r="K77" s="16">
        <f t="shared" si="14"/>
        <v>0</v>
      </c>
      <c r="L77" s="17" t="str">
        <f t="shared" si="19"/>
        <v/>
      </c>
      <c r="M77" s="57" t="str">
        <f t="shared" si="20"/>
        <v/>
      </c>
      <c r="N77" s="57" t="str">
        <f t="shared" si="21"/>
        <v/>
      </c>
      <c r="O77" s="191" t="str">
        <f t="shared" si="22"/>
        <v/>
      </c>
      <c r="P77" s="43" t="str">
        <f>IF(OR(MID(A77,1,6)="ЛМДФ P",MID(A77,1,6)="ЛДСП P"),1,IFERROR(IF(VLOOKUP(A77,'Шаг1.Выбор плиты'!C:Q,12,0)*1&lt;10,"",0.4),""))</f>
        <v/>
      </c>
      <c r="Q77" s="43" t="str">
        <f>IF(OR(MID(A77,1,6)="ЛМДФ P",MID(A77,1,6)="ЛДСП P"),1,IFERROR(IF(VLOOKUP(A77,'Шаг1.Выбор плиты'!C:Q,12,0)*1&lt;10,"",IF(OR(E77=2,F77=2,H77=2,I77=2),"",0.8)),""))</f>
        <v/>
      </c>
      <c r="R77" s="43" t="str">
        <f>IF(OR(MID(A77,1,6)="ЛМДФ P",MID(A77,1,6)="ЛДСП P"),1,IFERROR(IF(VLOOKUP(A77,'Шаг1.Выбор плиты'!C:Q,12,0)*1&lt;10,"",IF(OR(E77=0.8,F77=0.8,H77=0.8,I77=0.8),"",2)),""))</f>
        <v/>
      </c>
      <c r="S77" s="44" t="str">
        <f>IF(AND(COUNTBLANK(D$19:$D76)=0,COUNTBLANK(G$19:$G76)=0),$S$17&amp;$S$16,"дозаполнить")</f>
        <v>дозаполнить</v>
      </c>
      <c r="T77" s="25">
        <f t="shared" si="15"/>
        <v>0</v>
      </c>
      <c r="U77" s="25">
        <f t="shared" si="16"/>
        <v>0</v>
      </c>
      <c r="V77" s="101">
        <f t="shared" si="17"/>
        <v>0</v>
      </c>
      <c r="W77" s="25">
        <f t="shared" si="18"/>
        <v>0</v>
      </c>
    </row>
    <row r="78" spans="1:23" ht="12.75" x14ac:dyDescent="0.2">
      <c r="A78" s="187"/>
      <c r="B78" s="42" t="str">
        <f ca="1">IF(A78="","",MAX($B$17:OFFSET(A78,-1,0))+1)</f>
        <v/>
      </c>
      <c r="C78" s="185"/>
      <c r="D78" s="184"/>
      <c r="E78" s="186"/>
      <c r="F78" s="186"/>
      <c r="G78" s="184"/>
      <c r="H78" s="186"/>
      <c r="I78" s="186"/>
      <c r="J78" s="56"/>
      <c r="K78" s="16">
        <f t="shared" si="9"/>
        <v>0</v>
      </c>
      <c r="L78" s="17" t="str">
        <f t="shared" ref="L78:L123" si="23">IF(A78="","","Нет")</f>
        <v/>
      </c>
      <c r="M78" s="57" t="str">
        <f t="shared" ref="M78:M123" si="24">IF(A78="","","Нет")</f>
        <v/>
      </c>
      <c r="N78" s="57" t="str">
        <f t="shared" ref="N78:N123" si="25">IF(A78="","","Нет")</f>
        <v/>
      </c>
      <c r="O78" s="191" t="str">
        <f t="shared" ref="O78:O123" si="26">IF(OR(M78="да",N78="да"),"укажите здесь ссылку на чертеж","")</f>
        <v/>
      </c>
      <c r="P78" s="43" t="str">
        <f>IF(OR(MID(A78,1,6)="ЛМДФ P",MID(A78,1,6)="ЛДСП P"),1,IFERROR(IF(VLOOKUP(A78,'Шаг1.Выбор плиты'!C:Q,12,0)*1&lt;10,"",0.4),""))</f>
        <v/>
      </c>
      <c r="Q78" s="43" t="str">
        <f>IF(OR(MID(A78,1,6)="ЛМДФ P",MID(A78,1,6)="ЛДСП P"),1,IFERROR(IF(VLOOKUP(A78,'Шаг1.Выбор плиты'!C:Q,12,0)*1&lt;10,"",IF(OR(E78=2,F78=2,H78=2,I78=2),"",0.8)),""))</f>
        <v/>
      </c>
      <c r="R78" s="43" t="str">
        <f>IF(OR(MID(A78,1,6)="ЛМДФ P",MID(A78,1,6)="ЛДСП P"),1,IFERROR(IF(VLOOKUP(A78,'Шаг1.Выбор плиты'!C:Q,12,0)*1&lt;10,"",IF(OR(E78=0.8,F78=0.8,H78=0.8,I78=0.8),"",2)),""))</f>
        <v/>
      </c>
      <c r="S78" s="44" t="str">
        <f>IF(AND(COUNTBLANK(D$19:$D77)=0,COUNTBLANK(G$19:$G77)=0),$S$17&amp;$S$16,"дозаполнить")</f>
        <v>дозаполнить</v>
      </c>
      <c r="T78" s="25">
        <f t="shared" si="10"/>
        <v>0</v>
      </c>
      <c r="U78" s="25">
        <f t="shared" si="11"/>
        <v>0</v>
      </c>
      <c r="V78" s="101">
        <f t="shared" si="12"/>
        <v>0</v>
      </c>
      <c r="W78" s="25">
        <f t="shared" si="13"/>
        <v>0</v>
      </c>
    </row>
    <row r="79" spans="1:23" ht="12.75" x14ac:dyDescent="0.2">
      <c r="A79" s="187"/>
      <c r="B79" s="42" t="str">
        <f ca="1">IF(A79="","",MAX($B$17:OFFSET(A79,-1,0))+1)</f>
        <v/>
      </c>
      <c r="C79" s="185"/>
      <c r="D79" s="184"/>
      <c r="E79" s="186"/>
      <c r="F79" s="186"/>
      <c r="G79" s="184"/>
      <c r="H79" s="186"/>
      <c r="I79" s="186"/>
      <c r="J79" s="56"/>
      <c r="K79" s="16">
        <f t="shared" si="9"/>
        <v>0</v>
      </c>
      <c r="L79" s="17" t="str">
        <f t="shared" si="23"/>
        <v/>
      </c>
      <c r="M79" s="57" t="str">
        <f t="shared" si="24"/>
        <v/>
      </c>
      <c r="N79" s="57" t="str">
        <f t="shared" si="25"/>
        <v/>
      </c>
      <c r="O79" s="191" t="str">
        <f t="shared" si="26"/>
        <v/>
      </c>
      <c r="P79" s="43" t="str">
        <f>IF(OR(MID(A79,1,6)="ЛМДФ P",MID(A79,1,6)="ЛДСП P"),1,IFERROR(IF(VLOOKUP(A79,'Шаг1.Выбор плиты'!C:Q,12,0)*1&lt;10,"",0.4),""))</f>
        <v/>
      </c>
      <c r="Q79" s="43" t="str">
        <f>IF(OR(MID(A79,1,6)="ЛМДФ P",MID(A79,1,6)="ЛДСП P"),1,IFERROR(IF(VLOOKUP(A79,'Шаг1.Выбор плиты'!C:Q,12,0)*1&lt;10,"",IF(OR(E79=2,F79=2,H79=2,I79=2),"",0.8)),""))</f>
        <v/>
      </c>
      <c r="R79" s="43" t="str">
        <f>IF(OR(MID(A79,1,6)="ЛМДФ P",MID(A79,1,6)="ЛДСП P"),1,IFERROR(IF(VLOOKUP(A79,'Шаг1.Выбор плиты'!C:Q,12,0)*1&lt;10,"",IF(OR(E79=0.8,F79=0.8,H79=0.8,I79=0.8),"",2)),""))</f>
        <v/>
      </c>
      <c r="S79" s="44" t="str">
        <f>IF(AND(COUNTBLANK(D$19:$D78)=0,COUNTBLANK(G$19:$G78)=0),$S$17&amp;$S$16,"дозаполнить")</f>
        <v>дозаполнить</v>
      </c>
      <c r="T79" s="25">
        <f t="shared" si="10"/>
        <v>0</v>
      </c>
      <c r="U79" s="25">
        <f t="shared" si="11"/>
        <v>0</v>
      </c>
      <c r="V79" s="101">
        <f t="shared" si="12"/>
        <v>0</v>
      </c>
      <c r="W79" s="25">
        <f t="shared" si="13"/>
        <v>0</v>
      </c>
    </row>
    <row r="80" spans="1:23" ht="12.75" x14ac:dyDescent="0.2">
      <c r="A80" s="187"/>
      <c r="B80" s="42" t="str">
        <f ca="1">IF(A80="","",MAX($B$17:OFFSET(A80,-1,0))+1)</f>
        <v/>
      </c>
      <c r="C80" s="185"/>
      <c r="D80" s="184"/>
      <c r="E80" s="186"/>
      <c r="F80" s="186"/>
      <c r="G80" s="184"/>
      <c r="H80" s="186"/>
      <c r="I80" s="186"/>
      <c r="J80" s="56"/>
      <c r="K80" s="16">
        <f t="shared" si="9"/>
        <v>0</v>
      </c>
      <c r="L80" s="17" t="str">
        <f t="shared" si="23"/>
        <v/>
      </c>
      <c r="M80" s="57" t="str">
        <f t="shared" si="24"/>
        <v/>
      </c>
      <c r="N80" s="57" t="str">
        <f t="shared" si="25"/>
        <v/>
      </c>
      <c r="O80" s="191" t="str">
        <f t="shared" si="26"/>
        <v/>
      </c>
      <c r="P80" s="43" t="str">
        <f>IF(OR(MID(A80,1,6)="ЛМДФ P",MID(A80,1,6)="ЛДСП P"),1,IFERROR(IF(VLOOKUP(A80,'Шаг1.Выбор плиты'!C:Q,12,0)*1&lt;10,"",0.4),""))</f>
        <v/>
      </c>
      <c r="Q80" s="43" t="str">
        <f>IF(OR(MID(A80,1,6)="ЛМДФ P",MID(A80,1,6)="ЛДСП P"),1,IFERROR(IF(VLOOKUP(A80,'Шаг1.Выбор плиты'!C:Q,12,0)*1&lt;10,"",IF(OR(E80=2,F80=2,H80=2,I80=2),"",0.8)),""))</f>
        <v/>
      </c>
      <c r="R80" s="43" t="str">
        <f>IF(OR(MID(A80,1,6)="ЛМДФ P",MID(A80,1,6)="ЛДСП P"),1,IFERROR(IF(VLOOKUP(A80,'Шаг1.Выбор плиты'!C:Q,12,0)*1&lt;10,"",IF(OR(E80=0.8,F80=0.8,H80=0.8,I80=0.8),"",2)),""))</f>
        <v/>
      </c>
      <c r="S80" s="44" t="str">
        <f>IF(AND(COUNTBLANK(D$19:$D79)=0,COUNTBLANK(G$19:$G79)=0),$S$17&amp;$S$16,"дозаполнить")</f>
        <v>дозаполнить</v>
      </c>
      <c r="T80" s="25">
        <f t="shared" si="10"/>
        <v>0</v>
      </c>
      <c r="U80" s="25">
        <f t="shared" si="11"/>
        <v>0</v>
      </c>
      <c r="V80" s="101">
        <f t="shared" si="12"/>
        <v>0</v>
      </c>
      <c r="W80" s="25">
        <f t="shared" si="13"/>
        <v>0</v>
      </c>
    </row>
    <row r="81" spans="1:23" ht="12.75" x14ac:dyDescent="0.2">
      <c r="A81" s="187"/>
      <c r="B81" s="42" t="str">
        <f ca="1">IF(A81="","",MAX($B$17:OFFSET(A81,-1,0))+1)</f>
        <v/>
      </c>
      <c r="C81" s="185"/>
      <c r="D81" s="184"/>
      <c r="E81" s="186"/>
      <c r="F81" s="186"/>
      <c r="G81" s="184"/>
      <c r="H81" s="186"/>
      <c r="I81" s="186"/>
      <c r="J81" s="56"/>
      <c r="K81" s="16">
        <f t="shared" si="9"/>
        <v>0</v>
      </c>
      <c r="L81" s="17" t="str">
        <f t="shared" si="23"/>
        <v/>
      </c>
      <c r="M81" s="57" t="str">
        <f t="shared" si="24"/>
        <v/>
      </c>
      <c r="N81" s="57" t="str">
        <f t="shared" si="25"/>
        <v/>
      </c>
      <c r="O81" s="191" t="str">
        <f t="shared" si="26"/>
        <v/>
      </c>
      <c r="P81" s="43" t="str">
        <f>IF(OR(MID(A81,1,6)="ЛМДФ P",MID(A81,1,6)="ЛДСП P"),1,IFERROR(IF(VLOOKUP(A81,'Шаг1.Выбор плиты'!C:Q,12,0)*1&lt;10,"",0.4),""))</f>
        <v/>
      </c>
      <c r="Q81" s="43" t="str">
        <f>IF(OR(MID(A81,1,6)="ЛМДФ P",MID(A81,1,6)="ЛДСП P"),1,IFERROR(IF(VLOOKUP(A81,'Шаг1.Выбор плиты'!C:Q,12,0)*1&lt;10,"",IF(OR(E81=2,F81=2,H81=2,I81=2),"",0.8)),""))</f>
        <v/>
      </c>
      <c r="R81" s="43" t="str">
        <f>IF(OR(MID(A81,1,6)="ЛМДФ P",MID(A81,1,6)="ЛДСП P"),1,IFERROR(IF(VLOOKUP(A81,'Шаг1.Выбор плиты'!C:Q,12,0)*1&lt;10,"",IF(OR(E81=0.8,F81=0.8,H81=0.8,I81=0.8),"",2)),""))</f>
        <v/>
      </c>
      <c r="S81" s="44" t="str">
        <f>IF(AND(COUNTBLANK(D$19:$D80)=0,COUNTBLANK(G$19:$G80)=0),$S$17&amp;$S$16,"дозаполнить")</f>
        <v>дозаполнить</v>
      </c>
      <c r="T81" s="25">
        <f t="shared" si="10"/>
        <v>0</v>
      </c>
      <c r="U81" s="25">
        <f t="shared" si="11"/>
        <v>0</v>
      </c>
      <c r="V81" s="101">
        <f t="shared" si="12"/>
        <v>0</v>
      </c>
      <c r="W81" s="25">
        <f t="shared" si="13"/>
        <v>0</v>
      </c>
    </row>
    <row r="82" spans="1:23" ht="12.75" x14ac:dyDescent="0.2">
      <c r="A82" s="187"/>
      <c r="B82" s="42" t="str">
        <f ca="1">IF(A82="","",MAX($B$17:OFFSET(A82,-1,0))+1)</f>
        <v/>
      </c>
      <c r="C82" s="185"/>
      <c r="D82" s="184"/>
      <c r="E82" s="186"/>
      <c r="F82" s="186"/>
      <c r="G82" s="184"/>
      <c r="H82" s="186"/>
      <c r="I82" s="186"/>
      <c r="J82" s="56"/>
      <c r="K82" s="16">
        <f t="shared" si="9"/>
        <v>0</v>
      </c>
      <c r="L82" s="17" t="str">
        <f t="shared" si="23"/>
        <v/>
      </c>
      <c r="M82" s="57" t="str">
        <f t="shared" si="24"/>
        <v/>
      </c>
      <c r="N82" s="57" t="str">
        <f t="shared" si="25"/>
        <v/>
      </c>
      <c r="O82" s="191" t="str">
        <f t="shared" si="26"/>
        <v/>
      </c>
      <c r="P82" s="43" t="str">
        <f>IF(OR(MID(A82,1,6)="ЛМДФ P",MID(A82,1,6)="ЛДСП P"),1,IFERROR(IF(VLOOKUP(A82,'Шаг1.Выбор плиты'!C:Q,12,0)*1&lt;10,"",0.4),""))</f>
        <v/>
      </c>
      <c r="Q82" s="43" t="str">
        <f>IF(OR(MID(A82,1,6)="ЛМДФ P",MID(A82,1,6)="ЛДСП P"),1,IFERROR(IF(VLOOKUP(A82,'Шаг1.Выбор плиты'!C:Q,12,0)*1&lt;10,"",IF(OR(E82=2,F82=2,H82=2,I82=2),"",0.8)),""))</f>
        <v/>
      </c>
      <c r="R82" s="43" t="str">
        <f>IF(OR(MID(A82,1,6)="ЛМДФ P",MID(A82,1,6)="ЛДСП P"),1,IFERROR(IF(VLOOKUP(A82,'Шаг1.Выбор плиты'!C:Q,12,0)*1&lt;10,"",IF(OR(E82=0.8,F82=0.8,H82=0.8,I82=0.8),"",2)),""))</f>
        <v/>
      </c>
      <c r="S82" s="44" t="str">
        <f>IF(AND(COUNTBLANK(D$19:$D81)=0,COUNTBLANK(G$19:$G81)=0),$S$17&amp;$S$16,"дозаполнить")</f>
        <v>дозаполнить</v>
      </c>
      <c r="T82" s="25">
        <f t="shared" si="10"/>
        <v>0</v>
      </c>
      <c r="U82" s="25">
        <f t="shared" si="11"/>
        <v>0</v>
      </c>
      <c r="V82" s="101">
        <f t="shared" si="12"/>
        <v>0</v>
      </c>
      <c r="W82" s="25">
        <f t="shared" si="13"/>
        <v>0</v>
      </c>
    </row>
    <row r="83" spans="1:23" ht="12.75" x14ac:dyDescent="0.2">
      <c r="A83" s="187"/>
      <c r="B83" s="42" t="str">
        <f ca="1">IF(A83="","",MAX($B$17:OFFSET(A83,-1,0))+1)</f>
        <v/>
      </c>
      <c r="C83" s="185"/>
      <c r="D83" s="184"/>
      <c r="E83" s="186"/>
      <c r="F83" s="186"/>
      <c r="G83" s="184"/>
      <c r="H83" s="186"/>
      <c r="I83" s="186"/>
      <c r="J83" s="56"/>
      <c r="K83" s="16">
        <f t="shared" si="9"/>
        <v>0</v>
      </c>
      <c r="L83" s="17" t="str">
        <f t="shared" si="23"/>
        <v/>
      </c>
      <c r="M83" s="57" t="str">
        <f t="shared" si="24"/>
        <v/>
      </c>
      <c r="N83" s="57" t="str">
        <f t="shared" si="25"/>
        <v/>
      </c>
      <c r="O83" s="191" t="str">
        <f t="shared" si="26"/>
        <v/>
      </c>
      <c r="P83" s="43" t="str">
        <f>IF(OR(MID(A83,1,6)="ЛМДФ P",MID(A83,1,6)="ЛДСП P"),1,IFERROR(IF(VLOOKUP(A83,'Шаг1.Выбор плиты'!C:Q,12,0)*1&lt;10,"",0.4),""))</f>
        <v/>
      </c>
      <c r="Q83" s="43" t="str">
        <f>IF(OR(MID(A83,1,6)="ЛМДФ P",MID(A83,1,6)="ЛДСП P"),1,IFERROR(IF(VLOOKUP(A83,'Шаг1.Выбор плиты'!C:Q,12,0)*1&lt;10,"",IF(OR(E83=2,F83=2,H83=2,I83=2),"",0.8)),""))</f>
        <v/>
      </c>
      <c r="R83" s="43" t="str">
        <f>IF(OR(MID(A83,1,6)="ЛМДФ P",MID(A83,1,6)="ЛДСП P"),1,IFERROR(IF(VLOOKUP(A83,'Шаг1.Выбор плиты'!C:Q,12,0)*1&lt;10,"",IF(OR(E83=0.8,F83=0.8,H83=0.8,I83=0.8),"",2)),""))</f>
        <v/>
      </c>
      <c r="S83" s="44" t="str">
        <f>IF(AND(COUNTBLANK(D$19:$D82)=0,COUNTBLANK(G$19:$G82)=0),$S$17&amp;$S$16,"дозаполнить")</f>
        <v>дозаполнить</v>
      </c>
      <c r="T83" s="25">
        <f t="shared" si="10"/>
        <v>0</v>
      </c>
      <c r="U83" s="25">
        <f t="shared" si="11"/>
        <v>0</v>
      </c>
      <c r="V83" s="101">
        <f t="shared" si="12"/>
        <v>0</v>
      </c>
      <c r="W83" s="25">
        <f t="shared" si="13"/>
        <v>0</v>
      </c>
    </row>
    <row r="84" spans="1:23" ht="12.75" x14ac:dyDescent="0.2">
      <c r="A84" s="187"/>
      <c r="B84" s="42" t="str">
        <f ca="1">IF(A84="","",MAX($B$17:OFFSET(A84,-1,0))+1)</f>
        <v/>
      </c>
      <c r="C84" s="185"/>
      <c r="D84" s="184"/>
      <c r="E84" s="186"/>
      <c r="F84" s="186"/>
      <c r="G84" s="184"/>
      <c r="H84" s="186"/>
      <c r="I84" s="186"/>
      <c r="J84" s="56"/>
      <c r="K84" s="16">
        <f t="shared" si="9"/>
        <v>0</v>
      </c>
      <c r="L84" s="17" t="str">
        <f t="shared" si="23"/>
        <v/>
      </c>
      <c r="M84" s="57" t="str">
        <f t="shared" si="24"/>
        <v/>
      </c>
      <c r="N84" s="57" t="str">
        <f t="shared" si="25"/>
        <v/>
      </c>
      <c r="O84" s="191" t="str">
        <f t="shared" si="26"/>
        <v/>
      </c>
      <c r="P84" s="43" t="str">
        <f>IF(OR(MID(A84,1,6)="ЛМДФ P",MID(A84,1,6)="ЛДСП P"),1,IFERROR(IF(VLOOKUP(A84,'Шаг1.Выбор плиты'!C:Q,12,0)*1&lt;10,"",0.4),""))</f>
        <v/>
      </c>
      <c r="Q84" s="43" t="str">
        <f>IF(OR(MID(A84,1,6)="ЛМДФ P",MID(A84,1,6)="ЛДСП P"),1,IFERROR(IF(VLOOKUP(A84,'Шаг1.Выбор плиты'!C:Q,12,0)*1&lt;10,"",IF(OR(E84=2,F84=2,H84=2,I84=2),"",0.8)),""))</f>
        <v/>
      </c>
      <c r="R84" s="43" t="str">
        <f>IF(OR(MID(A84,1,6)="ЛМДФ P",MID(A84,1,6)="ЛДСП P"),1,IFERROR(IF(VLOOKUP(A84,'Шаг1.Выбор плиты'!C:Q,12,0)*1&lt;10,"",IF(OR(E84=0.8,F84=0.8,H84=0.8,I84=0.8),"",2)),""))</f>
        <v/>
      </c>
      <c r="S84" s="44" t="str">
        <f>IF(AND(COUNTBLANK(D$19:$D83)=0,COUNTBLANK(G$19:$G83)=0),$S$17&amp;$S$16,"дозаполнить")</f>
        <v>дозаполнить</v>
      </c>
      <c r="T84" s="25">
        <f t="shared" si="10"/>
        <v>0</v>
      </c>
      <c r="U84" s="25">
        <f t="shared" si="11"/>
        <v>0</v>
      </c>
      <c r="V84" s="101">
        <f t="shared" si="12"/>
        <v>0</v>
      </c>
      <c r="W84" s="25">
        <f t="shared" si="13"/>
        <v>0</v>
      </c>
    </row>
    <row r="85" spans="1:23" ht="12.75" x14ac:dyDescent="0.2">
      <c r="A85" s="187"/>
      <c r="B85" s="42" t="str">
        <f ca="1">IF(A85="","",MAX($B$17:OFFSET(A85,-1,0))+1)</f>
        <v/>
      </c>
      <c r="C85" s="185"/>
      <c r="D85" s="184"/>
      <c r="E85" s="186"/>
      <c r="F85" s="186"/>
      <c r="G85" s="184"/>
      <c r="H85" s="186"/>
      <c r="I85" s="186"/>
      <c r="J85" s="56"/>
      <c r="K85" s="16">
        <f t="shared" si="9"/>
        <v>0</v>
      </c>
      <c r="L85" s="17" t="str">
        <f t="shared" si="23"/>
        <v/>
      </c>
      <c r="M85" s="57" t="str">
        <f t="shared" si="24"/>
        <v/>
      </c>
      <c r="N85" s="57" t="str">
        <f t="shared" si="25"/>
        <v/>
      </c>
      <c r="O85" s="191" t="str">
        <f t="shared" si="26"/>
        <v/>
      </c>
      <c r="P85" s="43" t="str">
        <f>IF(OR(MID(A85,1,6)="ЛМДФ P",MID(A85,1,6)="ЛДСП P"),1,IFERROR(IF(VLOOKUP(A85,'Шаг1.Выбор плиты'!C:Q,12,0)*1&lt;10,"",0.4),""))</f>
        <v/>
      </c>
      <c r="Q85" s="43" t="str">
        <f>IF(OR(MID(A85,1,6)="ЛМДФ P",MID(A85,1,6)="ЛДСП P"),1,IFERROR(IF(VLOOKUP(A85,'Шаг1.Выбор плиты'!C:Q,12,0)*1&lt;10,"",IF(OR(E85=2,F85=2,H85=2,I85=2),"",0.8)),""))</f>
        <v/>
      </c>
      <c r="R85" s="43" t="str">
        <f>IF(OR(MID(A85,1,6)="ЛМДФ P",MID(A85,1,6)="ЛДСП P"),1,IFERROR(IF(VLOOKUP(A85,'Шаг1.Выбор плиты'!C:Q,12,0)*1&lt;10,"",IF(OR(E85=0.8,F85=0.8,H85=0.8,I85=0.8),"",2)),""))</f>
        <v/>
      </c>
      <c r="S85" s="44" t="str">
        <f>IF(AND(COUNTBLANK(D$19:$D84)=0,COUNTBLANK(G$19:$G84)=0),$S$17&amp;$S$16,"дозаполнить")</f>
        <v>дозаполнить</v>
      </c>
      <c r="T85" s="25">
        <f t="shared" si="10"/>
        <v>0</v>
      </c>
      <c r="U85" s="25">
        <f t="shared" si="11"/>
        <v>0</v>
      </c>
      <c r="V85" s="101">
        <f t="shared" si="12"/>
        <v>0</v>
      </c>
      <c r="W85" s="25">
        <f t="shared" si="13"/>
        <v>0</v>
      </c>
    </row>
    <row r="86" spans="1:23" ht="12.75" x14ac:dyDescent="0.2">
      <c r="A86" s="187"/>
      <c r="B86" s="42" t="str">
        <f ca="1">IF(A86="","",MAX($B$17:OFFSET(A86,-1,0))+1)</f>
        <v/>
      </c>
      <c r="C86" s="185"/>
      <c r="D86" s="184"/>
      <c r="E86" s="186"/>
      <c r="F86" s="186"/>
      <c r="G86" s="184"/>
      <c r="H86" s="186"/>
      <c r="I86" s="186"/>
      <c r="J86" s="56"/>
      <c r="K86" s="16">
        <f t="shared" si="9"/>
        <v>0</v>
      </c>
      <c r="L86" s="17" t="str">
        <f t="shared" si="23"/>
        <v/>
      </c>
      <c r="M86" s="57" t="str">
        <f t="shared" si="24"/>
        <v/>
      </c>
      <c r="N86" s="57" t="str">
        <f t="shared" si="25"/>
        <v/>
      </c>
      <c r="O86" s="191" t="str">
        <f t="shared" si="26"/>
        <v/>
      </c>
      <c r="P86" s="43" t="str">
        <f>IF(OR(MID(A86,1,6)="ЛМДФ P",MID(A86,1,6)="ЛДСП P"),1,IFERROR(IF(VLOOKUP(A86,'Шаг1.Выбор плиты'!C:Q,12,0)*1&lt;10,"",0.4),""))</f>
        <v/>
      </c>
      <c r="Q86" s="43" t="str">
        <f>IF(OR(MID(A86,1,6)="ЛМДФ P",MID(A86,1,6)="ЛДСП P"),1,IFERROR(IF(VLOOKUP(A86,'Шаг1.Выбор плиты'!C:Q,12,0)*1&lt;10,"",IF(OR(E86=2,F86=2,H86=2,I86=2),"",0.8)),""))</f>
        <v/>
      </c>
      <c r="R86" s="43" t="str">
        <f>IF(OR(MID(A86,1,6)="ЛМДФ P",MID(A86,1,6)="ЛДСП P"),1,IFERROR(IF(VLOOKUP(A86,'Шаг1.Выбор плиты'!C:Q,12,0)*1&lt;10,"",IF(OR(E86=0.8,F86=0.8,H86=0.8,I86=0.8),"",2)),""))</f>
        <v/>
      </c>
      <c r="S86" s="44" t="str">
        <f>IF(AND(COUNTBLANK(D$19:$D85)=0,COUNTBLANK(G$19:$G85)=0),$S$17&amp;$S$16,"дозаполнить")</f>
        <v>дозаполнить</v>
      </c>
      <c r="T86" s="25">
        <f t="shared" si="10"/>
        <v>0</v>
      </c>
      <c r="U86" s="25">
        <f t="shared" si="11"/>
        <v>0</v>
      </c>
      <c r="V86" s="101">
        <f t="shared" si="12"/>
        <v>0</v>
      </c>
      <c r="W86" s="25">
        <f t="shared" si="13"/>
        <v>0</v>
      </c>
    </row>
    <row r="87" spans="1:23" ht="12.75" x14ac:dyDescent="0.2">
      <c r="A87" s="187"/>
      <c r="B87" s="42" t="str">
        <f ca="1">IF(A87="","",MAX($B$17:OFFSET(A87,-1,0))+1)</f>
        <v/>
      </c>
      <c r="C87" s="185"/>
      <c r="D87" s="184"/>
      <c r="E87" s="186"/>
      <c r="F87" s="186"/>
      <c r="G87" s="184"/>
      <c r="H87" s="186"/>
      <c r="I87" s="186"/>
      <c r="J87" s="56"/>
      <c r="K87" s="16">
        <f t="shared" si="9"/>
        <v>0</v>
      </c>
      <c r="L87" s="17" t="str">
        <f t="shared" si="23"/>
        <v/>
      </c>
      <c r="M87" s="57" t="str">
        <f t="shared" si="24"/>
        <v/>
      </c>
      <c r="N87" s="57" t="str">
        <f t="shared" si="25"/>
        <v/>
      </c>
      <c r="O87" s="191" t="str">
        <f t="shared" si="26"/>
        <v/>
      </c>
      <c r="P87" s="43" t="str">
        <f>IF(OR(MID(A87,1,6)="ЛМДФ P",MID(A87,1,6)="ЛДСП P"),1,IFERROR(IF(VLOOKUP(A87,'Шаг1.Выбор плиты'!C:Q,12,0)*1&lt;10,"",0.4),""))</f>
        <v/>
      </c>
      <c r="Q87" s="43" t="str">
        <f>IF(OR(MID(A87,1,6)="ЛМДФ P",MID(A87,1,6)="ЛДСП P"),1,IFERROR(IF(VLOOKUP(A87,'Шаг1.Выбор плиты'!C:Q,12,0)*1&lt;10,"",IF(OR(E87=2,F87=2,H87=2,I87=2),"",0.8)),""))</f>
        <v/>
      </c>
      <c r="R87" s="43" t="str">
        <f>IF(OR(MID(A87,1,6)="ЛМДФ P",MID(A87,1,6)="ЛДСП P"),1,IFERROR(IF(VLOOKUP(A87,'Шаг1.Выбор плиты'!C:Q,12,0)*1&lt;10,"",IF(OR(E87=0.8,F87=0.8,H87=0.8,I87=0.8),"",2)),""))</f>
        <v/>
      </c>
      <c r="S87" s="44" t="str">
        <f>IF(AND(COUNTBLANK(D$19:$D86)=0,COUNTBLANK(G$19:$G86)=0),$S$17&amp;$S$16,"дозаполнить")</f>
        <v>дозаполнить</v>
      </c>
      <c r="T87" s="25">
        <f t="shared" si="10"/>
        <v>0</v>
      </c>
      <c r="U87" s="25">
        <f t="shared" si="11"/>
        <v>0</v>
      </c>
      <c r="V87" s="101">
        <f t="shared" si="12"/>
        <v>0</v>
      </c>
      <c r="W87" s="25">
        <f t="shared" si="13"/>
        <v>0</v>
      </c>
    </row>
    <row r="88" spans="1:23" ht="12.75" x14ac:dyDescent="0.2">
      <c r="A88" s="187"/>
      <c r="B88" s="42" t="str">
        <f ca="1">IF(A88="","",MAX($B$17:OFFSET(A88,-1,0))+1)</f>
        <v/>
      </c>
      <c r="C88" s="185"/>
      <c r="D88" s="184"/>
      <c r="E88" s="186"/>
      <c r="F88" s="186"/>
      <c r="G88" s="184"/>
      <c r="H88" s="186"/>
      <c r="I88" s="186"/>
      <c r="J88" s="56"/>
      <c r="K88" s="16">
        <f t="shared" si="9"/>
        <v>0</v>
      </c>
      <c r="L88" s="17" t="str">
        <f t="shared" si="23"/>
        <v/>
      </c>
      <c r="M88" s="57" t="str">
        <f t="shared" si="24"/>
        <v/>
      </c>
      <c r="N88" s="57" t="str">
        <f t="shared" si="25"/>
        <v/>
      </c>
      <c r="O88" s="191" t="str">
        <f t="shared" si="26"/>
        <v/>
      </c>
      <c r="P88" s="43" t="str">
        <f>IF(OR(MID(A88,1,6)="ЛМДФ P",MID(A88,1,6)="ЛДСП P"),1,IFERROR(IF(VLOOKUP(A88,'Шаг1.Выбор плиты'!C:Q,12,0)*1&lt;10,"",0.4),""))</f>
        <v/>
      </c>
      <c r="Q88" s="43" t="str">
        <f>IF(OR(MID(A88,1,6)="ЛМДФ P",MID(A88,1,6)="ЛДСП P"),1,IFERROR(IF(VLOOKUP(A88,'Шаг1.Выбор плиты'!C:Q,12,0)*1&lt;10,"",IF(OR(E88=2,F88=2,H88=2,I88=2),"",0.8)),""))</f>
        <v/>
      </c>
      <c r="R88" s="43" t="str">
        <f>IF(OR(MID(A88,1,6)="ЛМДФ P",MID(A88,1,6)="ЛДСП P"),1,IFERROR(IF(VLOOKUP(A88,'Шаг1.Выбор плиты'!C:Q,12,0)*1&lt;10,"",IF(OR(E88=0.8,F88=0.8,H88=0.8,I88=0.8),"",2)),""))</f>
        <v/>
      </c>
      <c r="S88" s="44" t="str">
        <f>IF(AND(COUNTBLANK(D$19:$D87)=0,COUNTBLANK(G$19:$G87)=0),$S$17&amp;$S$16,"дозаполнить")</f>
        <v>дозаполнить</v>
      </c>
      <c r="T88" s="25">
        <f t="shared" si="10"/>
        <v>0</v>
      </c>
      <c r="U88" s="25">
        <f t="shared" si="11"/>
        <v>0</v>
      </c>
      <c r="V88" s="101">
        <f t="shared" si="12"/>
        <v>0</v>
      </c>
      <c r="W88" s="25">
        <f t="shared" si="13"/>
        <v>0</v>
      </c>
    </row>
    <row r="89" spans="1:23" ht="12.75" x14ac:dyDescent="0.2">
      <c r="A89" s="187"/>
      <c r="B89" s="42" t="str">
        <f ca="1">IF(A89="","",MAX($B$17:OFFSET(A89,-1,0))+1)</f>
        <v/>
      </c>
      <c r="C89" s="185"/>
      <c r="D89" s="184"/>
      <c r="E89" s="186"/>
      <c r="F89" s="186"/>
      <c r="G89" s="184"/>
      <c r="H89" s="186"/>
      <c r="I89" s="186"/>
      <c r="J89" s="56"/>
      <c r="K89" s="16">
        <f t="shared" si="9"/>
        <v>0</v>
      </c>
      <c r="L89" s="17" t="str">
        <f t="shared" si="23"/>
        <v/>
      </c>
      <c r="M89" s="57" t="str">
        <f t="shared" si="24"/>
        <v/>
      </c>
      <c r="N89" s="57" t="str">
        <f t="shared" si="25"/>
        <v/>
      </c>
      <c r="O89" s="191" t="str">
        <f t="shared" si="26"/>
        <v/>
      </c>
      <c r="P89" s="43" t="str">
        <f>IF(OR(MID(A89,1,6)="ЛМДФ P",MID(A89,1,6)="ЛДСП P"),1,IFERROR(IF(VLOOKUP(A89,'Шаг1.Выбор плиты'!C:Q,12,0)*1&lt;10,"",0.4),""))</f>
        <v/>
      </c>
      <c r="Q89" s="43" t="str">
        <f>IF(OR(MID(A89,1,6)="ЛМДФ P",MID(A89,1,6)="ЛДСП P"),1,IFERROR(IF(VLOOKUP(A89,'Шаг1.Выбор плиты'!C:Q,12,0)*1&lt;10,"",IF(OR(E89=2,F89=2,H89=2,I89=2),"",0.8)),""))</f>
        <v/>
      </c>
      <c r="R89" s="43" t="str">
        <f>IF(OR(MID(A89,1,6)="ЛМДФ P",MID(A89,1,6)="ЛДСП P"),1,IFERROR(IF(VLOOKUP(A89,'Шаг1.Выбор плиты'!C:Q,12,0)*1&lt;10,"",IF(OR(E89=0.8,F89=0.8,H89=0.8,I89=0.8),"",2)),""))</f>
        <v/>
      </c>
      <c r="S89" s="44" t="str">
        <f>IF(AND(COUNTBLANK(D$19:$D88)=0,COUNTBLANK(G$19:$G88)=0),$S$17&amp;$S$16,"дозаполнить")</f>
        <v>дозаполнить</v>
      </c>
      <c r="T89" s="25">
        <f t="shared" si="10"/>
        <v>0</v>
      </c>
      <c r="U89" s="25">
        <f t="shared" si="11"/>
        <v>0</v>
      </c>
      <c r="V89" s="101">
        <f t="shared" si="12"/>
        <v>0</v>
      </c>
      <c r="W89" s="25">
        <f t="shared" si="13"/>
        <v>0</v>
      </c>
    </row>
    <row r="90" spans="1:23" ht="12.75" x14ac:dyDescent="0.2">
      <c r="A90" s="187"/>
      <c r="B90" s="42" t="str">
        <f ca="1">IF(A90="","",MAX($B$17:OFFSET(A90,-1,0))+1)</f>
        <v/>
      </c>
      <c r="C90" s="185"/>
      <c r="D90" s="184"/>
      <c r="E90" s="186"/>
      <c r="F90" s="186"/>
      <c r="G90" s="184"/>
      <c r="H90" s="186"/>
      <c r="I90" s="186"/>
      <c r="J90" s="56"/>
      <c r="K90" s="16">
        <f t="shared" si="9"/>
        <v>0</v>
      </c>
      <c r="L90" s="17" t="str">
        <f t="shared" si="23"/>
        <v/>
      </c>
      <c r="M90" s="57" t="str">
        <f t="shared" si="24"/>
        <v/>
      </c>
      <c r="N90" s="57" t="str">
        <f t="shared" si="25"/>
        <v/>
      </c>
      <c r="O90" s="191" t="str">
        <f t="shared" si="26"/>
        <v/>
      </c>
      <c r="P90" s="43" t="str">
        <f>IF(OR(MID(A90,1,6)="ЛМДФ P",MID(A90,1,6)="ЛДСП P"),1,IFERROR(IF(VLOOKUP(A90,'Шаг1.Выбор плиты'!C:Q,12,0)*1&lt;10,"",0.4),""))</f>
        <v/>
      </c>
      <c r="Q90" s="43" t="str">
        <f>IF(OR(MID(A90,1,6)="ЛМДФ P",MID(A90,1,6)="ЛДСП P"),1,IFERROR(IF(VLOOKUP(A90,'Шаг1.Выбор плиты'!C:Q,12,0)*1&lt;10,"",IF(OR(E90=2,F90=2,H90=2,I90=2),"",0.8)),""))</f>
        <v/>
      </c>
      <c r="R90" s="43" t="str">
        <f>IF(OR(MID(A90,1,6)="ЛМДФ P",MID(A90,1,6)="ЛДСП P"),1,IFERROR(IF(VLOOKUP(A90,'Шаг1.Выбор плиты'!C:Q,12,0)*1&lt;10,"",IF(OR(E90=0.8,F90=0.8,H90=0.8,I90=0.8),"",2)),""))</f>
        <v/>
      </c>
      <c r="S90" s="44" t="str">
        <f>IF(AND(COUNTBLANK(D$19:$D89)=0,COUNTBLANK(G$19:$G89)=0),$S$17&amp;$S$16,"дозаполнить")</f>
        <v>дозаполнить</v>
      </c>
      <c r="T90" s="25">
        <f t="shared" si="10"/>
        <v>0</v>
      </c>
      <c r="U90" s="25">
        <f t="shared" si="11"/>
        <v>0</v>
      </c>
      <c r="V90" s="101">
        <f t="shared" si="12"/>
        <v>0</v>
      </c>
      <c r="W90" s="25">
        <f t="shared" si="13"/>
        <v>0</v>
      </c>
    </row>
    <row r="91" spans="1:23" ht="12.75" x14ac:dyDescent="0.2">
      <c r="A91" s="187"/>
      <c r="B91" s="42" t="str">
        <f ca="1">IF(A91="","",MAX($B$17:OFFSET(A91,-1,0))+1)</f>
        <v/>
      </c>
      <c r="C91" s="185"/>
      <c r="D91" s="184"/>
      <c r="E91" s="186"/>
      <c r="F91" s="186"/>
      <c r="G91" s="184"/>
      <c r="H91" s="186"/>
      <c r="I91" s="186"/>
      <c r="J91" s="56"/>
      <c r="K91" s="16">
        <f t="shared" si="9"/>
        <v>0</v>
      </c>
      <c r="L91" s="17" t="str">
        <f t="shared" si="23"/>
        <v/>
      </c>
      <c r="M91" s="57" t="str">
        <f t="shared" si="24"/>
        <v/>
      </c>
      <c r="N91" s="57" t="str">
        <f t="shared" si="25"/>
        <v/>
      </c>
      <c r="O91" s="191" t="str">
        <f t="shared" si="26"/>
        <v/>
      </c>
      <c r="P91" s="43" t="str">
        <f>IF(OR(MID(A91,1,6)="ЛМДФ P",MID(A91,1,6)="ЛДСП P"),1,IFERROR(IF(VLOOKUP(A91,'Шаг1.Выбор плиты'!C:Q,12,0)*1&lt;10,"",0.4),""))</f>
        <v/>
      </c>
      <c r="Q91" s="43" t="str">
        <f>IF(OR(MID(A91,1,6)="ЛМДФ P",MID(A91,1,6)="ЛДСП P"),1,IFERROR(IF(VLOOKUP(A91,'Шаг1.Выбор плиты'!C:Q,12,0)*1&lt;10,"",IF(OR(E91=2,F91=2,H91=2,I91=2),"",0.8)),""))</f>
        <v/>
      </c>
      <c r="R91" s="43" t="str">
        <f>IF(OR(MID(A91,1,6)="ЛМДФ P",MID(A91,1,6)="ЛДСП P"),1,IFERROR(IF(VLOOKUP(A91,'Шаг1.Выбор плиты'!C:Q,12,0)*1&lt;10,"",IF(OR(E91=0.8,F91=0.8,H91=0.8,I91=0.8),"",2)),""))</f>
        <v/>
      </c>
      <c r="S91" s="44" t="str">
        <f>IF(AND(COUNTBLANK(D$19:$D90)=0,COUNTBLANK(G$19:$G90)=0),$S$17&amp;$S$16,"дозаполнить")</f>
        <v>дозаполнить</v>
      </c>
      <c r="T91" s="25">
        <f t="shared" si="10"/>
        <v>0</v>
      </c>
      <c r="U91" s="25">
        <f t="shared" si="11"/>
        <v>0</v>
      </c>
      <c r="V91" s="101">
        <f t="shared" si="12"/>
        <v>0</v>
      </c>
      <c r="W91" s="25">
        <f t="shared" si="13"/>
        <v>0</v>
      </c>
    </row>
    <row r="92" spans="1:23" ht="12.75" x14ac:dyDescent="0.2">
      <c r="A92" s="187"/>
      <c r="B92" s="42" t="str">
        <f ca="1">IF(A92="","",MAX($B$17:OFFSET(A92,-1,0))+1)</f>
        <v/>
      </c>
      <c r="C92" s="185"/>
      <c r="D92" s="184"/>
      <c r="E92" s="186"/>
      <c r="F92" s="186"/>
      <c r="G92" s="184"/>
      <c r="H92" s="186"/>
      <c r="I92" s="186"/>
      <c r="J92" s="56"/>
      <c r="K92" s="16">
        <f t="shared" si="9"/>
        <v>0</v>
      </c>
      <c r="L92" s="17" t="str">
        <f t="shared" si="23"/>
        <v/>
      </c>
      <c r="M92" s="57" t="str">
        <f t="shared" si="24"/>
        <v/>
      </c>
      <c r="N92" s="57" t="str">
        <f t="shared" si="25"/>
        <v/>
      </c>
      <c r="O92" s="191" t="str">
        <f t="shared" si="26"/>
        <v/>
      </c>
      <c r="P92" s="43" t="str">
        <f>IF(OR(MID(A92,1,6)="ЛМДФ P",MID(A92,1,6)="ЛДСП P"),1,IFERROR(IF(VLOOKUP(A92,'Шаг1.Выбор плиты'!C:Q,12,0)*1&lt;10,"",0.4),""))</f>
        <v/>
      </c>
      <c r="Q92" s="43" t="str">
        <f>IF(OR(MID(A92,1,6)="ЛМДФ P",MID(A92,1,6)="ЛДСП P"),1,IFERROR(IF(VLOOKUP(A92,'Шаг1.Выбор плиты'!C:Q,12,0)*1&lt;10,"",IF(OR(E92=2,F92=2,H92=2,I92=2),"",0.8)),""))</f>
        <v/>
      </c>
      <c r="R92" s="43" t="str">
        <f>IF(OR(MID(A92,1,6)="ЛМДФ P",MID(A92,1,6)="ЛДСП P"),1,IFERROR(IF(VLOOKUP(A92,'Шаг1.Выбор плиты'!C:Q,12,0)*1&lt;10,"",IF(OR(E92=0.8,F92=0.8,H92=0.8,I92=0.8),"",2)),""))</f>
        <v/>
      </c>
      <c r="S92" s="44" t="str">
        <f>IF(AND(COUNTBLANK(D$19:$D91)=0,COUNTBLANK(G$19:$G91)=0),$S$17&amp;$S$16,"дозаполнить")</f>
        <v>дозаполнить</v>
      </c>
      <c r="T92" s="25">
        <f t="shared" si="10"/>
        <v>0</v>
      </c>
      <c r="U92" s="25">
        <f t="shared" si="11"/>
        <v>0</v>
      </c>
      <c r="V92" s="101">
        <f t="shared" si="12"/>
        <v>0</v>
      </c>
      <c r="W92" s="25">
        <f t="shared" si="13"/>
        <v>0</v>
      </c>
    </row>
    <row r="93" spans="1:23" ht="12.75" x14ac:dyDescent="0.2">
      <c r="A93" s="187"/>
      <c r="B93" s="42" t="str">
        <f ca="1">IF(A93="","",MAX($B$17:OFFSET(A93,-1,0))+1)</f>
        <v/>
      </c>
      <c r="C93" s="185"/>
      <c r="D93" s="184"/>
      <c r="E93" s="186"/>
      <c r="F93" s="186"/>
      <c r="G93" s="184"/>
      <c r="H93" s="186"/>
      <c r="I93" s="186"/>
      <c r="J93" s="56"/>
      <c r="K93" s="16">
        <f t="shared" si="9"/>
        <v>0</v>
      </c>
      <c r="L93" s="17" t="str">
        <f t="shared" si="23"/>
        <v/>
      </c>
      <c r="M93" s="57" t="str">
        <f t="shared" si="24"/>
        <v/>
      </c>
      <c r="N93" s="57" t="str">
        <f t="shared" si="25"/>
        <v/>
      </c>
      <c r="O93" s="191" t="str">
        <f t="shared" si="26"/>
        <v/>
      </c>
      <c r="P93" s="43" t="str">
        <f>IF(OR(MID(A93,1,6)="ЛМДФ P",MID(A93,1,6)="ЛДСП P"),1,IFERROR(IF(VLOOKUP(A93,'Шаг1.Выбор плиты'!C:Q,12,0)*1&lt;10,"",0.4),""))</f>
        <v/>
      </c>
      <c r="Q93" s="43" t="str">
        <f>IF(OR(MID(A93,1,6)="ЛМДФ P",MID(A93,1,6)="ЛДСП P"),1,IFERROR(IF(VLOOKUP(A93,'Шаг1.Выбор плиты'!C:Q,12,0)*1&lt;10,"",IF(OR(E93=2,F93=2,H93=2,I93=2),"",0.8)),""))</f>
        <v/>
      </c>
      <c r="R93" s="43" t="str">
        <f>IF(OR(MID(A93,1,6)="ЛМДФ P",MID(A93,1,6)="ЛДСП P"),1,IFERROR(IF(VLOOKUP(A93,'Шаг1.Выбор плиты'!C:Q,12,0)*1&lt;10,"",IF(OR(E93=0.8,F93=0.8,H93=0.8,I93=0.8),"",2)),""))</f>
        <v/>
      </c>
      <c r="S93" s="44" t="str">
        <f>IF(AND(COUNTBLANK(D$19:$D92)=0,COUNTBLANK(G$19:$G92)=0),$S$17&amp;$S$16,"дозаполнить")</f>
        <v>дозаполнить</v>
      </c>
      <c r="T93" s="25">
        <f t="shared" si="10"/>
        <v>0</v>
      </c>
      <c r="U93" s="25">
        <f t="shared" si="11"/>
        <v>0</v>
      </c>
      <c r="V93" s="101">
        <f t="shared" si="12"/>
        <v>0</v>
      </c>
      <c r="W93" s="25">
        <f t="shared" si="13"/>
        <v>0</v>
      </c>
    </row>
    <row r="94" spans="1:23" ht="12.75" x14ac:dyDescent="0.2">
      <c r="A94" s="187"/>
      <c r="B94" s="42" t="str">
        <f ca="1">IF(A94="","",MAX($B$17:OFFSET(A94,-1,0))+1)</f>
        <v/>
      </c>
      <c r="C94" s="185"/>
      <c r="D94" s="184"/>
      <c r="E94" s="186"/>
      <c r="F94" s="186"/>
      <c r="G94" s="184"/>
      <c r="H94" s="186"/>
      <c r="I94" s="186"/>
      <c r="J94" s="56"/>
      <c r="K94" s="16">
        <f t="shared" si="9"/>
        <v>0</v>
      </c>
      <c r="L94" s="17" t="str">
        <f t="shared" si="23"/>
        <v/>
      </c>
      <c r="M94" s="57" t="str">
        <f t="shared" si="24"/>
        <v/>
      </c>
      <c r="N94" s="57" t="str">
        <f t="shared" si="25"/>
        <v/>
      </c>
      <c r="O94" s="191" t="str">
        <f t="shared" si="26"/>
        <v/>
      </c>
      <c r="P94" s="43" t="str">
        <f>IF(OR(MID(A94,1,6)="ЛМДФ P",MID(A94,1,6)="ЛДСП P"),1,IFERROR(IF(VLOOKUP(A94,'Шаг1.Выбор плиты'!C:Q,12,0)*1&lt;10,"",0.4),""))</f>
        <v/>
      </c>
      <c r="Q94" s="43" t="str">
        <f>IF(OR(MID(A94,1,6)="ЛМДФ P",MID(A94,1,6)="ЛДСП P"),1,IFERROR(IF(VLOOKUP(A94,'Шаг1.Выбор плиты'!C:Q,12,0)*1&lt;10,"",IF(OR(E94=2,F94=2,H94=2,I94=2),"",0.8)),""))</f>
        <v/>
      </c>
      <c r="R94" s="43" t="str">
        <f>IF(OR(MID(A94,1,6)="ЛМДФ P",MID(A94,1,6)="ЛДСП P"),1,IFERROR(IF(VLOOKUP(A94,'Шаг1.Выбор плиты'!C:Q,12,0)*1&lt;10,"",IF(OR(E94=0.8,F94=0.8,H94=0.8,I94=0.8),"",2)),""))</f>
        <v/>
      </c>
      <c r="S94" s="44" t="str">
        <f>IF(AND(COUNTBLANK(D$19:$D93)=0,COUNTBLANK(G$19:$G93)=0),$S$17&amp;$S$16,"дозаполнить")</f>
        <v>дозаполнить</v>
      </c>
      <c r="T94" s="25">
        <f t="shared" si="10"/>
        <v>0</v>
      </c>
      <c r="U94" s="25">
        <f t="shared" si="11"/>
        <v>0</v>
      </c>
      <c r="V94" s="101">
        <f t="shared" si="12"/>
        <v>0</v>
      </c>
      <c r="W94" s="25">
        <f t="shared" si="13"/>
        <v>0</v>
      </c>
    </row>
    <row r="95" spans="1:23" ht="12.75" x14ac:dyDescent="0.2">
      <c r="A95" s="187"/>
      <c r="B95" s="42" t="str">
        <f ca="1">IF(A95="","",MAX($B$17:OFFSET(A95,-1,0))+1)</f>
        <v/>
      </c>
      <c r="C95" s="185"/>
      <c r="D95" s="184"/>
      <c r="E95" s="186"/>
      <c r="F95" s="186"/>
      <c r="G95" s="184"/>
      <c r="H95" s="186"/>
      <c r="I95" s="186"/>
      <c r="J95" s="56"/>
      <c r="K95" s="16">
        <f t="shared" si="9"/>
        <v>0</v>
      </c>
      <c r="L95" s="17" t="str">
        <f t="shared" si="23"/>
        <v/>
      </c>
      <c r="M95" s="57" t="str">
        <f t="shared" si="24"/>
        <v/>
      </c>
      <c r="N95" s="57" t="str">
        <f t="shared" si="25"/>
        <v/>
      </c>
      <c r="O95" s="191" t="str">
        <f t="shared" si="26"/>
        <v/>
      </c>
      <c r="P95" s="43" t="str">
        <f>IF(OR(MID(A95,1,6)="ЛМДФ P",MID(A95,1,6)="ЛДСП P"),1,IFERROR(IF(VLOOKUP(A95,'Шаг1.Выбор плиты'!C:Q,12,0)*1&lt;10,"",0.4),""))</f>
        <v/>
      </c>
      <c r="Q95" s="43" t="str">
        <f>IF(OR(MID(A95,1,6)="ЛМДФ P",MID(A95,1,6)="ЛДСП P"),1,IFERROR(IF(VLOOKUP(A95,'Шаг1.Выбор плиты'!C:Q,12,0)*1&lt;10,"",IF(OR(E95=2,F95=2,H95=2,I95=2),"",0.8)),""))</f>
        <v/>
      </c>
      <c r="R95" s="43" t="str">
        <f>IF(OR(MID(A95,1,6)="ЛМДФ P",MID(A95,1,6)="ЛДСП P"),1,IFERROR(IF(VLOOKUP(A95,'Шаг1.Выбор плиты'!C:Q,12,0)*1&lt;10,"",IF(OR(E95=0.8,F95=0.8,H95=0.8,I95=0.8),"",2)),""))</f>
        <v/>
      </c>
      <c r="S95" s="44" t="str">
        <f>IF(AND(COUNTBLANK(D$19:$D94)=0,COUNTBLANK(G$19:$G94)=0),$S$17&amp;$S$16,"дозаполнить")</f>
        <v>дозаполнить</v>
      </c>
      <c r="T95" s="25">
        <f t="shared" si="10"/>
        <v>0</v>
      </c>
      <c r="U95" s="25">
        <f t="shared" si="11"/>
        <v>0</v>
      </c>
      <c r="V95" s="101">
        <f t="shared" si="12"/>
        <v>0</v>
      </c>
      <c r="W95" s="25">
        <f t="shared" si="13"/>
        <v>0</v>
      </c>
    </row>
    <row r="96" spans="1:23" ht="12.75" x14ac:dyDescent="0.2">
      <c r="A96" s="187"/>
      <c r="B96" s="42" t="str">
        <f ca="1">IF(A96="","",MAX($B$17:OFFSET(A96,-1,0))+1)</f>
        <v/>
      </c>
      <c r="C96" s="185"/>
      <c r="D96" s="184"/>
      <c r="E96" s="186"/>
      <c r="F96" s="186"/>
      <c r="G96" s="184"/>
      <c r="H96" s="186"/>
      <c r="I96" s="186"/>
      <c r="J96" s="56"/>
      <c r="K96" s="16">
        <f t="shared" si="9"/>
        <v>0</v>
      </c>
      <c r="L96" s="17" t="str">
        <f t="shared" si="23"/>
        <v/>
      </c>
      <c r="M96" s="57" t="str">
        <f t="shared" si="24"/>
        <v/>
      </c>
      <c r="N96" s="57" t="str">
        <f t="shared" si="25"/>
        <v/>
      </c>
      <c r="O96" s="191" t="str">
        <f t="shared" si="26"/>
        <v/>
      </c>
      <c r="P96" s="43" t="str">
        <f>IF(OR(MID(A96,1,6)="ЛМДФ P",MID(A96,1,6)="ЛДСП P"),1,IFERROR(IF(VLOOKUP(A96,'Шаг1.Выбор плиты'!C:Q,12,0)*1&lt;10,"",0.4),""))</f>
        <v/>
      </c>
      <c r="Q96" s="43" t="str">
        <f>IF(OR(MID(A96,1,6)="ЛМДФ P",MID(A96,1,6)="ЛДСП P"),1,IFERROR(IF(VLOOKUP(A96,'Шаг1.Выбор плиты'!C:Q,12,0)*1&lt;10,"",IF(OR(E96=2,F96=2,H96=2,I96=2),"",0.8)),""))</f>
        <v/>
      </c>
      <c r="R96" s="43" t="str">
        <f>IF(OR(MID(A96,1,6)="ЛМДФ P",MID(A96,1,6)="ЛДСП P"),1,IFERROR(IF(VLOOKUP(A96,'Шаг1.Выбор плиты'!C:Q,12,0)*1&lt;10,"",IF(OR(E96=0.8,F96=0.8,H96=0.8,I96=0.8),"",2)),""))</f>
        <v/>
      </c>
      <c r="S96" s="44" t="str">
        <f>IF(AND(COUNTBLANK(D$19:$D95)=0,COUNTBLANK(G$19:$G95)=0),$S$17&amp;$S$16,"дозаполнить")</f>
        <v>дозаполнить</v>
      </c>
      <c r="T96" s="25">
        <f t="shared" si="10"/>
        <v>0</v>
      </c>
      <c r="U96" s="25">
        <f t="shared" si="11"/>
        <v>0</v>
      </c>
      <c r="V96" s="101">
        <f t="shared" si="12"/>
        <v>0</v>
      </c>
      <c r="W96" s="25">
        <f t="shared" si="13"/>
        <v>0</v>
      </c>
    </row>
    <row r="97" spans="1:23" ht="12.75" x14ac:dyDescent="0.2">
      <c r="A97" s="187"/>
      <c r="B97" s="42" t="str">
        <f ca="1">IF(A97="","",MAX($B$17:OFFSET(A97,-1,0))+1)</f>
        <v/>
      </c>
      <c r="C97" s="185"/>
      <c r="D97" s="184"/>
      <c r="E97" s="186"/>
      <c r="F97" s="186"/>
      <c r="G97" s="184"/>
      <c r="H97" s="186"/>
      <c r="I97" s="186"/>
      <c r="J97" s="56"/>
      <c r="K97" s="16">
        <f t="shared" si="9"/>
        <v>0</v>
      </c>
      <c r="L97" s="17" t="str">
        <f t="shared" si="23"/>
        <v/>
      </c>
      <c r="M97" s="57" t="str">
        <f t="shared" si="24"/>
        <v/>
      </c>
      <c r="N97" s="57" t="str">
        <f t="shared" si="25"/>
        <v/>
      </c>
      <c r="O97" s="191" t="str">
        <f t="shared" si="26"/>
        <v/>
      </c>
      <c r="P97" s="43" t="str">
        <f>IF(OR(MID(A97,1,6)="ЛМДФ P",MID(A97,1,6)="ЛДСП P"),1,IFERROR(IF(VLOOKUP(A97,'Шаг1.Выбор плиты'!C:Q,12,0)*1&lt;10,"",0.4),""))</f>
        <v/>
      </c>
      <c r="Q97" s="43" t="str">
        <f>IF(OR(MID(A97,1,6)="ЛМДФ P",MID(A97,1,6)="ЛДСП P"),1,IFERROR(IF(VLOOKUP(A97,'Шаг1.Выбор плиты'!C:Q,12,0)*1&lt;10,"",IF(OR(E97=2,F97=2,H97=2,I97=2),"",0.8)),""))</f>
        <v/>
      </c>
      <c r="R97" s="43" t="str">
        <f>IF(OR(MID(A97,1,6)="ЛМДФ P",MID(A97,1,6)="ЛДСП P"),1,IFERROR(IF(VLOOKUP(A97,'Шаг1.Выбор плиты'!C:Q,12,0)*1&lt;10,"",IF(OR(E97=0.8,F97=0.8,H97=0.8,I97=0.8),"",2)),""))</f>
        <v/>
      </c>
      <c r="S97" s="44" t="str">
        <f>IF(AND(COUNTBLANK(D$19:$D96)=0,COUNTBLANK(G$19:$G96)=0),$S$17&amp;$S$16,"дозаполнить")</f>
        <v>дозаполнить</v>
      </c>
      <c r="T97" s="25">
        <f t="shared" si="10"/>
        <v>0</v>
      </c>
      <c r="U97" s="25">
        <f t="shared" si="11"/>
        <v>0</v>
      </c>
      <c r="V97" s="101">
        <f t="shared" si="12"/>
        <v>0</v>
      </c>
      <c r="W97" s="25">
        <f t="shared" si="13"/>
        <v>0</v>
      </c>
    </row>
    <row r="98" spans="1:23" ht="12.75" x14ac:dyDescent="0.2">
      <c r="A98" s="187"/>
      <c r="B98" s="42" t="str">
        <f ca="1">IF(A98="","",MAX($B$17:OFFSET(A98,-1,0))+1)</f>
        <v/>
      </c>
      <c r="C98" s="185"/>
      <c r="D98" s="184"/>
      <c r="E98" s="186"/>
      <c r="F98" s="186"/>
      <c r="G98" s="184"/>
      <c r="H98" s="186"/>
      <c r="I98" s="186"/>
      <c r="J98" s="56"/>
      <c r="K98" s="16">
        <f t="shared" si="9"/>
        <v>0</v>
      </c>
      <c r="L98" s="17" t="str">
        <f t="shared" si="23"/>
        <v/>
      </c>
      <c r="M98" s="57" t="str">
        <f t="shared" si="24"/>
        <v/>
      </c>
      <c r="N98" s="57" t="str">
        <f t="shared" si="25"/>
        <v/>
      </c>
      <c r="O98" s="191" t="str">
        <f t="shared" si="26"/>
        <v/>
      </c>
      <c r="P98" s="43" t="str">
        <f>IF(OR(MID(A98,1,6)="ЛМДФ P",MID(A98,1,6)="ЛДСП P"),1,IFERROR(IF(VLOOKUP(A98,'Шаг1.Выбор плиты'!C:Q,12,0)*1&lt;10,"",0.4),""))</f>
        <v/>
      </c>
      <c r="Q98" s="43" t="str">
        <f>IF(OR(MID(A98,1,6)="ЛМДФ P",MID(A98,1,6)="ЛДСП P"),1,IFERROR(IF(VLOOKUP(A98,'Шаг1.Выбор плиты'!C:Q,12,0)*1&lt;10,"",IF(OR(E98=2,F98=2,H98=2,I98=2),"",0.8)),""))</f>
        <v/>
      </c>
      <c r="R98" s="43" t="str">
        <f>IF(OR(MID(A98,1,6)="ЛМДФ P",MID(A98,1,6)="ЛДСП P"),1,IFERROR(IF(VLOOKUP(A98,'Шаг1.Выбор плиты'!C:Q,12,0)*1&lt;10,"",IF(OR(E98=0.8,F98=0.8,H98=0.8,I98=0.8),"",2)),""))</f>
        <v/>
      </c>
      <c r="S98" s="44" t="str">
        <f>IF(AND(COUNTBLANK(D$19:$D97)=0,COUNTBLANK(G$19:$G97)=0),$S$17&amp;$S$16,"дозаполнить")</f>
        <v>дозаполнить</v>
      </c>
      <c r="T98" s="25">
        <f t="shared" si="10"/>
        <v>0</v>
      </c>
      <c r="U98" s="25">
        <f t="shared" si="11"/>
        <v>0</v>
      </c>
      <c r="V98" s="101">
        <f t="shared" si="12"/>
        <v>0</v>
      </c>
      <c r="W98" s="25">
        <f t="shared" si="13"/>
        <v>0</v>
      </c>
    </row>
    <row r="99" spans="1:23" ht="12.75" x14ac:dyDescent="0.2">
      <c r="A99" s="187"/>
      <c r="B99" s="42" t="str">
        <f ca="1">IF(A99="","",MAX($B$17:OFFSET(A99,-1,0))+1)</f>
        <v/>
      </c>
      <c r="C99" s="185"/>
      <c r="D99" s="184"/>
      <c r="E99" s="186"/>
      <c r="F99" s="186"/>
      <c r="G99" s="184"/>
      <c r="H99" s="186"/>
      <c r="I99" s="186"/>
      <c r="J99" s="56"/>
      <c r="K99" s="16">
        <f t="shared" si="9"/>
        <v>0</v>
      </c>
      <c r="L99" s="17" t="str">
        <f t="shared" si="23"/>
        <v/>
      </c>
      <c r="M99" s="57" t="str">
        <f t="shared" si="24"/>
        <v/>
      </c>
      <c r="N99" s="57" t="str">
        <f t="shared" si="25"/>
        <v/>
      </c>
      <c r="O99" s="191" t="str">
        <f t="shared" si="26"/>
        <v/>
      </c>
      <c r="P99" s="43" t="str">
        <f>IF(OR(MID(A99,1,6)="ЛМДФ P",MID(A99,1,6)="ЛДСП P"),1,IFERROR(IF(VLOOKUP(A99,'Шаг1.Выбор плиты'!C:Q,12,0)*1&lt;10,"",0.4),""))</f>
        <v/>
      </c>
      <c r="Q99" s="43" t="str">
        <f>IF(OR(MID(A99,1,6)="ЛМДФ P",MID(A99,1,6)="ЛДСП P"),1,IFERROR(IF(VLOOKUP(A99,'Шаг1.Выбор плиты'!C:Q,12,0)*1&lt;10,"",IF(OR(E99=2,F99=2,H99=2,I99=2),"",0.8)),""))</f>
        <v/>
      </c>
      <c r="R99" s="43" t="str">
        <f>IF(OR(MID(A99,1,6)="ЛМДФ P",MID(A99,1,6)="ЛДСП P"),1,IFERROR(IF(VLOOKUP(A99,'Шаг1.Выбор плиты'!C:Q,12,0)*1&lt;10,"",IF(OR(E99=0.8,F99=0.8,H99=0.8,I99=0.8),"",2)),""))</f>
        <v/>
      </c>
      <c r="S99" s="44" t="str">
        <f>IF(AND(COUNTBLANK(D$19:$D98)=0,COUNTBLANK(G$19:$G98)=0),$S$17&amp;$S$16,"дозаполнить")</f>
        <v>дозаполнить</v>
      </c>
      <c r="T99" s="25">
        <f t="shared" si="10"/>
        <v>0</v>
      </c>
      <c r="U99" s="25">
        <f t="shared" si="11"/>
        <v>0</v>
      </c>
      <c r="V99" s="101">
        <f t="shared" si="12"/>
        <v>0</v>
      </c>
      <c r="W99" s="25">
        <f t="shared" si="13"/>
        <v>0</v>
      </c>
    </row>
    <row r="100" spans="1:23" ht="12.75" x14ac:dyDescent="0.2">
      <c r="A100" s="187"/>
      <c r="B100" s="42" t="str">
        <f ca="1">IF(A100="","",MAX($B$17:OFFSET(A100,-1,0))+1)</f>
        <v/>
      </c>
      <c r="C100" s="185"/>
      <c r="D100" s="184"/>
      <c r="E100" s="186"/>
      <c r="F100" s="186"/>
      <c r="G100" s="184"/>
      <c r="H100" s="186"/>
      <c r="I100" s="186"/>
      <c r="J100" s="56"/>
      <c r="K100" s="16">
        <f t="shared" si="9"/>
        <v>0</v>
      </c>
      <c r="L100" s="17" t="str">
        <f t="shared" si="23"/>
        <v/>
      </c>
      <c r="M100" s="57" t="str">
        <f t="shared" si="24"/>
        <v/>
      </c>
      <c r="N100" s="57" t="str">
        <f t="shared" si="25"/>
        <v/>
      </c>
      <c r="O100" s="191" t="str">
        <f t="shared" si="26"/>
        <v/>
      </c>
      <c r="P100" s="43" t="str">
        <f>IF(OR(MID(A100,1,6)="ЛМДФ P",MID(A100,1,6)="ЛДСП P"),1,IFERROR(IF(VLOOKUP(A100,'Шаг1.Выбор плиты'!C:Q,12,0)*1&lt;10,"",0.4),""))</f>
        <v/>
      </c>
      <c r="Q100" s="43" t="str">
        <f>IF(OR(MID(A100,1,6)="ЛМДФ P",MID(A100,1,6)="ЛДСП P"),1,IFERROR(IF(VLOOKUP(A100,'Шаг1.Выбор плиты'!C:Q,12,0)*1&lt;10,"",IF(OR(E100=2,F100=2,H100=2,I100=2),"",0.8)),""))</f>
        <v/>
      </c>
      <c r="R100" s="43" t="str">
        <f>IF(OR(MID(A100,1,6)="ЛМДФ P",MID(A100,1,6)="ЛДСП P"),1,IFERROR(IF(VLOOKUP(A100,'Шаг1.Выбор плиты'!C:Q,12,0)*1&lt;10,"",IF(OR(E100=0.8,F100=0.8,H100=0.8,I100=0.8),"",2)),""))</f>
        <v/>
      </c>
      <c r="S100" s="44" t="str">
        <f>IF(AND(COUNTBLANK(D$19:$D99)=0,COUNTBLANK(G$19:$G99)=0),$S$17&amp;$S$16,"дозаполнить")</f>
        <v>дозаполнить</v>
      </c>
      <c r="T100" s="25">
        <f t="shared" si="10"/>
        <v>0</v>
      </c>
      <c r="U100" s="25">
        <f t="shared" si="11"/>
        <v>0</v>
      </c>
      <c r="V100" s="101">
        <f t="shared" si="12"/>
        <v>0</v>
      </c>
      <c r="W100" s="25">
        <f t="shared" si="13"/>
        <v>0</v>
      </c>
    </row>
    <row r="101" spans="1:23" ht="12.75" x14ac:dyDescent="0.2">
      <c r="A101" s="187"/>
      <c r="B101" s="42" t="str">
        <f ca="1">IF(A101="","",MAX($B$17:OFFSET(A101,-1,0))+1)</f>
        <v/>
      </c>
      <c r="C101" s="185"/>
      <c r="D101" s="184"/>
      <c r="E101" s="186"/>
      <c r="F101" s="186"/>
      <c r="G101" s="184"/>
      <c r="H101" s="186"/>
      <c r="I101" s="186"/>
      <c r="J101" s="56"/>
      <c r="K101" s="16">
        <f t="shared" si="9"/>
        <v>0</v>
      </c>
      <c r="L101" s="17" t="str">
        <f t="shared" si="23"/>
        <v/>
      </c>
      <c r="M101" s="57" t="str">
        <f t="shared" si="24"/>
        <v/>
      </c>
      <c r="N101" s="57" t="str">
        <f t="shared" si="25"/>
        <v/>
      </c>
      <c r="O101" s="191" t="str">
        <f t="shared" si="26"/>
        <v/>
      </c>
      <c r="P101" s="43" t="str">
        <f>IF(OR(MID(A101,1,6)="ЛМДФ P",MID(A101,1,6)="ЛДСП P"),1,IFERROR(IF(VLOOKUP(A101,'Шаг1.Выбор плиты'!C:Q,12,0)*1&lt;10,"",0.4),""))</f>
        <v/>
      </c>
      <c r="Q101" s="43" t="str">
        <f>IF(OR(MID(A101,1,6)="ЛМДФ P",MID(A101,1,6)="ЛДСП P"),1,IFERROR(IF(VLOOKUP(A101,'Шаг1.Выбор плиты'!C:Q,12,0)*1&lt;10,"",IF(OR(E101=2,F101=2,H101=2,I101=2),"",0.8)),""))</f>
        <v/>
      </c>
      <c r="R101" s="43" t="str">
        <f>IF(OR(MID(A101,1,6)="ЛМДФ P",MID(A101,1,6)="ЛДСП P"),1,IFERROR(IF(VLOOKUP(A101,'Шаг1.Выбор плиты'!C:Q,12,0)*1&lt;10,"",IF(OR(E101=0.8,F101=0.8,H101=0.8,I101=0.8),"",2)),""))</f>
        <v/>
      </c>
      <c r="S101" s="44" t="str">
        <f>IF(AND(COUNTBLANK(D$19:$D100)=0,COUNTBLANK(G$19:$G100)=0),$S$17&amp;$S$16,"дозаполнить")</f>
        <v>дозаполнить</v>
      </c>
      <c r="T101" s="25">
        <f t="shared" si="10"/>
        <v>0</v>
      </c>
      <c r="U101" s="25">
        <f t="shared" si="11"/>
        <v>0</v>
      </c>
      <c r="V101" s="101">
        <f t="shared" si="12"/>
        <v>0</v>
      </c>
      <c r="W101" s="25">
        <f t="shared" si="13"/>
        <v>0</v>
      </c>
    </row>
    <row r="102" spans="1:23" ht="12.75" x14ac:dyDescent="0.2">
      <c r="A102" s="187"/>
      <c r="B102" s="42" t="str">
        <f ca="1">IF(A102="","",MAX($B$17:OFFSET(A102,-1,0))+1)</f>
        <v/>
      </c>
      <c r="C102" s="185"/>
      <c r="D102" s="184"/>
      <c r="E102" s="186"/>
      <c r="F102" s="186"/>
      <c r="G102" s="184"/>
      <c r="H102" s="186"/>
      <c r="I102" s="186"/>
      <c r="J102" s="56"/>
      <c r="K102" s="16">
        <f t="shared" si="9"/>
        <v>0</v>
      </c>
      <c r="L102" s="17" t="str">
        <f t="shared" si="23"/>
        <v/>
      </c>
      <c r="M102" s="57" t="str">
        <f t="shared" si="24"/>
        <v/>
      </c>
      <c r="N102" s="57" t="str">
        <f t="shared" si="25"/>
        <v/>
      </c>
      <c r="O102" s="191" t="str">
        <f t="shared" si="26"/>
        <v/>
      </c>
      <c r="P102" s="43" t="str">
        <f>IF(OR(MID(A102,1,6)="ЛМДФ P",MID(A102,1,6)="ЛДСП P"),1,IFERROR(IF(VLOOKUP(A102,'Шаг1.Выбор плиты'!C:Q,12,0)*1&lt;10,"",0.4),""))</f>
        <v/>
      </c>
      <c r="Q102" s="43" t="str">
        <f>IF(OR(MID(A102,1,6)="ЛМДФ P",MID(A102,1,6)="ЛДСП P"),1,IFERROR(IF(VLOOKUP(A102,'Шаг1.Выбор плиты'!C:Q,12,0)*1&lt;10,"",IF(OR(E102=2,F102=2,H102=2,I102=2),"",0.8)),""))</f>
        <v/>
      </c>
      <c r="R102" s="43" t="str">
        <f>IF(OR(MID(A102,1,6)="ЛМДФ P",MID(A102,1,6)="ЛДСП P"),1,IFERROR(IF(VLOOKUP(A102,'Шаг1.Выбор плиты'!C:Q,12,0)*1&lt;10,"",IF(OR(E102=0.8,F102=0.8,H102=0.8,I102=0.8),"",2)),""))</f>
        <v/>
      </c>
      <c r="S102" s="44" t="str">
        <f>IF(AND(COUNTBLANK(D$19:$D101)=0,COUNTBLANK(G$19:$G101)=0),$S$17&amp;$S$16,"дозаполнить")</f>
        <v>дозаполнить</v>
      </c>
      <c r="T102" s="25">
        <f t="shared" si="10"/>
        <v>0</v>
      </c>
      <c r="U102" s="25">
        <f t="shared" si="11"/>
        <v>0</v>
      </c>
      <c r="V102" s="101">
        <f t="shared" si="12"/>
        <v>0</v>
      </c>
      <c r="W102" s="25">
        <f t="shared" si="13"/>
        <v>0</v>
      </c>
    </row>
    <row r="103" spans="1:23" ht="12.75" x14ac:dyDescent="0.2">
      <c r="A103" s="187"/>
      <c r="B103" s="42" t="str">
        <f ca="1">IF(A103="","",MAX($B$17:OFFSET(A103,-1,0))+1)</f>
        <v/>
      </c>
      <c r="C103" s="185"/>
      <c r="D103" s="184"/>
      <c r="E103" s="186"/>
      <c r="F103" s="186"/>
      <c r="G103" s="184"/>
      <c r="H103" s="186"/>
      <c r="I103" s="186"/>
      <c r="J103" s="56"/>
      <c r="K103" s="16">
        <f t="shared" si="9"/>
        <v>0</v>
      </c>
      <c r="L103" s="17" t="str">
        <f t="shared" si="23"/>
        <v/>
      </c>
      <c r="M103" s="57" t="str">
        <f t="shared" si="24"/>
        <v/>
      </c>
      <c r="N103" s="57" t="str">
        <f t="shared" si="25"/>
        <v/>
      </c>
      <c r="O103" s="191" t="str">
        <f t="shared" si="26"/>
        <v/>
      </c>
      <c r="P103" s="43" t="str">
        <f>IF(OR(MID(A103,1,6)="ЛМДФ P",MID(A103,1,6)="ЛДСП P"),1,IFERROR(IF(VLOOKUP(A103,'Шаг1.Выбор плиты'!C:Q,12,0)*1&lt;10,"",0.4),""))</f>
        <v/>
      </c>
      <c r="Q103" s="43" t="str">
        <f>IF(OR(MID(A103,1,6)="ЛМДФ P",MID(A103,1,6)="ЛДСП P"),1,IFERROR(IF(VLOOKUP(A103,'Шаг1.Выбор плиты'!C:Q,12,0)*1&lt;10,"",IF(OR(E103=2,F103=2,H103=2,I103=2),"",0.8)),""))</f>
        <v/>
      </c>
      <c r="R103" s="43" t="str">
        <f>IF(OR(MID(A103,1,6)="ЛМДФ P",MID(A103,1,6)="ЛДСП P"),1,IFERROR(IF(VLOOKUP(A103,'Шаг1.Выбор плиты'!C:Q,12,0)*1&lt;10,"",IF(OR(E103=0.8,F103=0.8,H103=0.8,I103=0.8),"",2)),""))</f>
        <v/>
      </c>
      <c r="S103" s="44" t="str">
        <f>IF(AND(COUNTBLANK(D$19:$D102)=0,COUNTBLANK(G$19:$G102)=0),$S$17&amp;$S$16,"дозаполнить")</f>
        <v>дозаполнить</v>
      </c>
      <c r="T103" s="25">
        <f t="shared" si="10"/>
        <v>0</v>
      </c>
      <c r="U103" s="25">
        <f t="shared" si="11"/>
        <v>0</v>
      </c>
      <c r="V103" s="101">
        <f t="shared" si="12"/>
        <v>0</v>
      </c>
      <c r="W103" s="25">
        <f t="shared" si="13"/>
        <v>0</v>
      </c>
    </row>
    <row r="104" spans="1:23" ht="12.75" x14ac:dyDescent="0.2">
      <c r="A104" s="187"/>
      <c r="B104" s="42" t="str">
        <f ca="1">IF(A104="","",MAX($B$17:OFFSET(A104,-1,0))+1)</f>
        <v/>
      </c>
      <c r="C104" s="185"/>
      <c r="D104" s="184"/>
      <c r="E104" s="186"/>
      <c r="F104" s="186"/>
      <c r="G104" s="184"/>
      <c r="H104" s="186"/>
      <c r="I104" s="186"/>
      <c r="J104" s="56"/>
      <c r="K104" s="16">
        <f t="shared" si="9"/>
        <v>0</v>
      </c>
      <c r="L104" s="17" t="str">
        <f t="shared" si="23"/>
        <v/>
      </c>
      <c r="M104" s="57" t="str">
        <f t="shared" si="24"/>
        <v/>
      </c>
      <c r="N104" s="57" t="str">
        <f t="shared" si="25"/>
        <v/>
      </c>
      <c r="O104" s="191" t="str">
        <f t="shared" si="26"/>
        <v/>
      </c>
      <c r="P104" s="43" t="str">
        <f>IF(OR(MID(A104,1,6)="ЛМДФ P",MID(A104,1,6)="ЛДСП P"),1,IFERROR(IF(VLOOKUP(A104,'Шаг1.Выбор плиты'!C:Q,12,0)*1&lt;10,"",0.4),""))</f>
        <v/>
      </c>
      <c r="Q104" s="43" t="str">
        <f>IF(OR(MID(A104,1,6)="ЛМДФ P",MID(A104,1,6)="ЛДСП P"),1,IFERROR(IF(VLOOKUP(A104,'Шаг1.Выбор плиты'!C:Q,12,0)*1&lt;10,"",IF(OR(E104=2,F104=2,H104=2,I104=2),"",0.8)),""))</f>
        <v/>
      </c>
      <c r="R104" s="43" t="str">
        <f>IF(OR(MID(A104,1,6)="ЛМДФ P",MID(A104,1,6)="ЛДСП P"),1,IFERROR(IF(VLOOKUP(A104,'Шаг1.Выбор плиты'!C:Q,12,0)*1&lt;10,"",IF(OR(E104=0.8,F104=0.8,H104=0.8,I104=0.8),"",2)),""))</f>
        <v/>
      </c>
      <c r="S104" s="44" t="str">
        <f>IF(AND(COUNTBLANK(D$19:$D103)=0,COUNTBLANK(G$19:$G103)=0),$S$17&amp;$S$16,"дозаполнить")</f>
        <v>дозаполнить</v>
      </c>
      <c r="T104" s="25">
        <f t="shared" si="10"/>
        <v>0</v>
      </c>
      <c r="U104" s="25">
        <f t="shared" si="11"/>
        <v>0</v>
      </c>
      <c r="V104" s="101">
        <f t="shared" si="12"/>
        <v>0</v>
      </c>
      <c r="W104" s="25">
        <f t="shared" si="13"/>
        <v>0</v>
      </c>
    </row>
    <row r="105" spans="1:23" ht="12.75" x14ac:dyDescent="0.2">
      <c r="A105" s="187"/>
      <c r="B105" s="42" t="str">
        <f ca="1">IF(A105="","",MAX($B$17:OFFSET(A105,-1,0))+1)</f>
        <v/>
      </c>
      <c r="C105" s="185"/>
      <c r="D105" s="184"/>
      <c r="E105" s="186"/>
      <c r="F105" s="186"/>
      <c r="G105" s="184"/>
      <c r="H105" s="186"/>
      <c r="I105" s="186"/>
      <c r="J105" s="56"/>
      <c r="K105" s="16">
        <f t="shared" si="9"/>
        <v>0</v>
      </c>
      <c r="L105" s="17" t="str">
        <f t="shared" si="23"/>
        <v/>
      </c>
      <c r="M105" s="57" t="str">
        <f t="shared" si="24"/>
        <v/>
      </c>
      <c r="N105" s="57" t="str">
        <f t="shared" si="25"/>
        <v/>
      </c>
      <c r="O105" s="191" t="str">
        <f t="shared" si="26"/>
        <v/>
      </c>
      <c r="P105" s="43" t="str">
        <f>IF(OR(MID(A105,1,6)="ЛМДФ P",MID(A105,1,6)="ЛДСП P"),1,IFERROR(IF(VLOOKUP(A105,'Шаг1.Выбор плиты'!C:Q,12,0)*1&lt;10,"",0.4),""))</f>
        <v/>
      </c>
      <c r="Q105" s="43" t="str">
        <f>IF(OR(MID(A105,1,6)="ЛМДФ P",MID(A105,1,6)="ЛДСП P"),1,IFERROR(IF(VLOOKUP(A105,'Шаг1.Выбор плиты'!C:Q,12,0)*1&lt;10,"",IF(OR(E105=2,F105=2,H105=2,I105=2),"",0.8)),""))</f>
        <v/>
      </c>
      <c r="R105" s="43" t="str">
        <f>IF(OR(MID(A105,1,6)="ЛМДФ P",MID(A105,1,6)="ЛДСП P"),1,IFERROR(IF(VLOOKUP(A105,'Шаг1.Выбор плиты'!C:Q,12,0)*1&lt;10,"",IF(OR(E105=0.8,F105=0.8,H105=0.8,I105=0.8),"",2)),""))</f>
        <v/>
      </c>
      <c r="S105" s="44" t="str">
        <f>IF(AND(COUNTBLANK(D$19:$D104)=0,COUNTBLANK(G$19:$G104)=0),$S$17&amp;$S$16,"дозаполнить")</f>
        <v>дозаполнить</v>
      </c>
      <c r="T105" s="25">
        <f t="shared" si="10"/>
        <v>0</v>
      </c>
      <c r="U105" s="25">
        <f t="shared" si="11"/>
        <v>0</v>
      </c>
      <c r="V105" s="101">
        <f t="shared" si="12"/>
        <v>0</v>
      </c>
      <c r="W105" s="25">
        <f t="shared" si="13"/>
        <v>0</v>
      </c>
    </row>
    <row r="106" spans="1:23" ht="12.75" x14ac:dyDescent="0.2">
      <c r="A106" s="187"/>
      <c r="B106" s="42" t="str">
        <f ca="1">IF(A106="","",MAX($B$17:OFFSET(A106,-1,0))+1)</f>
        <v/>
      </c>
      <c r="C106" s="185"/>
      <c r="D106" s="184"/>
      <c r="E106" s="186"/>
      <c r="F106" s="186"/>
      <c r="G106" s="184"/>
      <c r="H106" s="186"/>
      <c r="I106" s="186"/>
      <c r="J106" s="56"/>
      <c r="K106" s="16">
        <f t="shared" si="9"/>
        <v>0</v>
      </c>
      <c r="L106" s="17" t="str">
        <f t="shared" si="23"/>
        <v/>
      </c>
      <c r="M106" s="57" t="str">
        <f t="shared" si="24"/>
        <v/>
      </c>
      <c r="N106" s="57" t="str">
        <f t="shared" si="25"/>
        <v/>
      </c>
      <c r="O106" s="191" t="str">
        <f t="shared" si="26"/>
        <v/>
      </c>
      <c r="P106" s="43" t="str">
        <f>IF(OR(MID(A106,1,6)="ЛМДФ P",MID(A106,1,6)="ЛДСП P"),1,IFERROR(IF(VLOOKUP(A106,'Шаг1.Выбор плиты'!C:Q,12,0)*1&lt;10,"",0.4),""))</f>
        <v/>
      </c>
      <c r="Q106" s="43" t="str">
        <f>IF(OR(MID(A106,1,6)="ЛМДФ P",MID(A106,1,6)="ЛДСП P"),1,IFERROR(IF(VLOOKUP(A106,'Шаг1.Выбор плиты'!C:Q,12,0)*1&lt;10,"",IF(OR(E106=2,F106=2,H106=2,I106=2),"",0.8)),""))</f>
        <v/>
      </c>
      <c r="R106" s="43" t="str">
        <f>IF(OR(MID(A106,1,6)="ЛМДФ P",MID(A106,1,6)="ЛДСП P"),1,IFERROR(IF(VLOOKUP(A106,'Шаг1.Выбор плиты'!C:Q,12,0)*1&lt;10,"",IF(OR(E106=0.8,F106=0.8,H106=0.8,I106=0.8),"",2)),""))</f>
        <v/>
      </c>
      <c r="S106" s="44" t="str">
        <f>IF(AND(COUNTBLANK(D$19:$D105)=0,COUNTBLANK(G$19:$G105)=0),$S$17&amp;$S$16,"дозаполнить")</f>
        <v>дозаполнить</v>
      </c>
      <c r="T106" s="25">
        <f t="shared" si="10"/>
        <v>0</v>
      </c>
      <c r="U106" s="25">
        <f t="shared" si="11"/>
        <v>0</v>
      </c>
      <c r="V106" s="101">
        <f t="shared" si="12"/>
        <v>0</v>
      </c>
      <c r="W106" s="25">
        <f t="shared" si="13"/>
        <v>0</v>
      </c>
    </row>
    <row r="107" spans="1:23" ht="12.75" x14ac:dyDescent="0.2">
      <c r="A107" s="187"/>
      <c r="B107" s="42" t="str">
        <f ca="1">IF(A107="","",MAX($B$17:OFFSET(A107,-1,0))+1)</f>
        <v/>
      </c>
      <c r="C107" s="185"/>
      <c r="D107" s="184"/>
      <c r="E107" s="186"/>
      <c r="F107" s="186"/>
      <c r="G107" s="184"/>
      <c r="H107" s="186"/>
      <c r="I107" s="186"/>
      <c r="J107" s="56"/>
      <c r="K107" s="16">
        <f t="shared" si="9"/>
        <v>0</v>
      </c>
      <c r="L107" s="17" t="str">
        <f t="shared" si="23"/>
        <v/>
      </c>
      <c r="M107" s="57" t="str">
        <f t="shared" si="24"/>
        <v/>
      </c>
      <c r="N107" s="57" t="str">
        <f t="shared" si="25"/>
        <v/>
      </c>
      <c r="O107" s="191" t="str">
        <f t="shared" si="26"/>
        <v/>
      </c>
      <c r="P107" s="43" t="str">
        <f>IF(OR(MID(A107,1,6)="ЛМДФ P",MID(A107,1,6)="ЛДСП P"),1,IFERROR(IF(VLOOKUP(A107,'Шаг1.Выбор плиты'!C:Q,12,0)*1&lt;10,"",0.4),""))</f>
        <v/>
      </c>
      <c r="Q107" s="43" t="str">
        <f>IF(OR(MID(A107,1,6)="ЛМДФ P",MID(A107,1,6)="ЛДСП P"),1,IFERROR(IF(VLOOKUP(A107,'Шаг1.Выбор плиты'!C:Q,12,0)*1&lt;10,"",IF(OR(E107=2,F107=2,H107=2,I107=2),"",0.8)),""))</f>
        <v/>
      </c>
      <c r="R107" s="43" t="str">
        <f>IF(OR(MID(A107,1,6)="ЛМДФ P",MID(A107,1,6)="ЛДСП P"),1,IFERROR(IF(VLOOKUP(A107,'Шаг1.Выбор плиты'!C:Q,12,0)*1&lt;10,"",IF(OR(E107=0.8,F107=0.8,H107=0.8,I107=0.8),"",2)),""))</f>
        <v/>
      </c>
      <c r="S107" s="44" t="str">
        <f>IF(AND(COUNTBLANK(D$19:$D106)=0,COUNTBLANK(G$19:$G106)=0),$S$17&amp;$S$16,"дозаполнить")</f>
        <v>дозаполнить</v>
      </c>
      <c r="T107" s="25">
        <f t="shared" si="10"/>
        <v>0</v>
      </c>
      <c r="U107" s="25">
        <f t="shared" si="11"/>
        <v>0</v>
      </c>
      <c r="V107" s="101">
        <f t="shared" si="12"/>
        <v>0</v>
      </c>
      <c r="W107" s="25">
        <f t="shared" si="13"/>
        <v>0</v>
      </c>
    </row>
    <row r="108" spans="1:23" ht="12.75" x14ac:dyDescent="0.2">
      <c r="A108" s="187"/>
      <c r="B108" s="42" t="str">
        <f ca="1">IF(A108="","",MAX($B$17:OFFSET(A108,-1,0))+1)</f>
        <v/>
      </c>
      <c r="C108" s="185"/>
      <c r="D108" s="184"/>
      <c r="E108" s="186"/>
      <c r="F108" s="186"/>
      <c r="G108" s="184"/>
      <c r="H108" s="186"/>
      <c r="I108" s="186"/>
      <c r="J108" s="56"/>
      <c r="K108" s="16">
        <f t="shared" si="9"/>
        <v>0</v>
      </c>
      <c r="L108" s="17" t="str">
        <f t="shared" si="23"/>
        <v/>
      </c>
      <c r="M108" s="57" t="str">
        <f t="shared" si="24"/>
        <v/>
      </c>
      <c r="N108" s="57" t="str">
        <f t="shared" si="25"/>
        <v/>
      </c>
      <c r="O108" s="191" t="str">
        <f t="shared" si="26"/>
        <v/>
      </c>
      <c r="P108" s="43" t="str">
        <f>IF(OR(MID(A108,1,6)="ЛМДФ P",MID(A108,1,6)="ЛДСП P"),1,IFERROR(IF(VLOOKUP(A108,'Шаг1.Выбор плиты'!C:Q,12,0)*1&lt;10,"",0.4),""))</f>
        <v/>
      </c>
      <c r="Q108" s="43" t="str">
        <f>IF(OR(MID(A108,1,6)="ЛМДФ P",MID(A108,1,6)="ЛДСП P"),1,IFERROR(IF(VLOOKUP(A108,'Шаг1.Выбор плиты'!C:Q,12,0)*1&lt;10,"",IF(OR(E108=2,F108=2,H108=2,I108=2),"",0.8)),""))</f>
        <v/>
      </c>
      <c r="R108" s="43" t="str">
        <f>IF(OR(MID(A108,1,6)="ЛМДФ P",MID(A108,1,6)="ЛДСП P"),1,IFERROR(IF(VLOOKUP(A108,'Шаг1.Выбор плиты'!C:Q,12,0)*1&lt;10,"",IF(OR(E108=0.8,F108=0.8,H108=0.8,I108=0.8),"",2)),""))</f>
        <v/>
      </c>
      <c r="S108" s="44" t="str">
        <f>IF(AND(COUNTBLANK(D$19:$D107)=0,COUNTBLANK(G$19:$G107)=0),$S$17&amp;$S$16,"дозаполнить")</f>
        <v>дозаполнить</v>
      </c>
      <c r="T108" s="25">
        <f t="shared" si="10"/>
        <v>0</v>
      </c>
      <c r="U108" s="25">
        <f t="shared" si="11"/>
        <v>0</v>
      </c>
      <c r="V108" s="101">
        <f t="shared" si="12"/>
        <v>0</v>
      </c>
      <c r="W108" s="25">
        <f t="shared" si="13"/>
        <v>0</v>
      </c>
    </row>
    <row r="109" spans="1:23" ht="12.75" x14ac:dyDescent="0.2">
      <c r="A109" s="187"/>
      <c r="B109" s="42" t="str">
        <f ca="1">IF(A109="","",MAX($B$17:OFFSET(A109,-1,0))+1)</f>
        <v/>
      </c>
      <c r="C109" s="185"/>
      <c r="D109" s="184"/>
      <c r="E109" s="186"/>
      <c r="F109" s="186"/>
      <c r="G109" s="184"/>
      <c r="H109" s="186"/>
      <c r="I109" s="186"/>
      <c r="J109" s="56"/>
      <c r="K109" s="16">
        <f t="shared" si="9"/>
        <v>0</v>
      </c>
      <c r="L109" s="17" t="str">
        <f t="shared" si="23"/>
        <v/>
      </c>
      <c r="M109" s="57" t="str">
        <f t="shared" si="24"/>
        <v/>
      </c>
      <c r="N109" s="57" t="str">
        <f t="shared" si="25"/>
        <v/>
      </c>
      <c r="O109" s="191" t="str">
        <f t="shared" si="26"/>
        <v/>
      </c>
      <c r="P109" s="43" t="str">
        <f>IF(OR(MID(A109,1,6)="ЛМДФ P",MID(A109,1,6)="ЛДСП P"),1,IFERROR(IF(VLOOKUP(A109,'Шаг1.Выбор плиты'!C:Q,12,0)*1&lt;10,"",0.4),""))</f>
        <v/>
      </c>
      <c r="Q109" s="43" t="str">
        <f>IF(OR(MID(A109,1,6)="ЛМДФ P",MID(A109,1,6)="ЛДСП P"),1,IFERROR(IF(VLOOKUP(A109,'Шаг1.Выбор плиты'!C:Q,12,0)*1&lt;10,"",IF(OR(E109=2,F109=2,H109=2,I109=2),"",0.8)),""))</f>
        <v/>
      </c>
      <c r="R109" s="43" t="str">
        <f>IF(OR(MID(A109,1,6)="ЛМДФ P",MID(A109,1,6)="ЛДСП P"),1,IFERROR(IF(VLOOKUP(A109,'Шаг1.Выбор плиты'!C:Q,12,0)*1&lt;10,"",IF(OR(E109=0.8,F109=0.8,H109=0.8,I109=0.8),"",2)),""))</f>
        <v/>
      </c>
      <c r="S109" s="44" t="str">
        <f>IF(AND(COUNTBLANK(D$19:$D108)=0,COUNTBLANK(G$19:$G108)=0),$S$17&amp;$S$16,"дозаполнить")</f>
        <v>дозаполнить</v>
      </c>
      <c r="T109" s="25">
        <f t="shared" si="10"/>
        <v>0</v>
      </c>
      <c r="U109" s="25">
        <f t="shared" si="11"/>
        <v>0</v>
      </c>
      <c r="V109" s="101">
        <f t="shared" si="12"/>
        <v>0</v>
      </c>
      <c r="W109" s="25">
        <f t="shared" si="13"/>
        <v>0</v>
      </c>
    </row>
    <row r="110" spans="1:23" ht="12.75" x14ac:dyDescent="0.2">
      <c r="A110" s="187"/>
      <c r="B110" s="42" t="str">
        <f ca="1">IF(A110="","",MAX($B$17:OFFSET(A110,-1,0))+1)</f>
        <v/>
      </c>
      <c r="C110" s="185"/>
      <c r="D110" s="184"/>
      <c r="E110" s="186"/>
      <c r="F110" s="186"/>
      <c r="G110" s="184"/>
      <c r="H110" s="186"/>
      <c r="I110" s="186"/>
      <c r="J110" s="56"/>
      <c r="K110" s="16">
        <f t="shared" si="9"/>
        <v>0</v>
      </c>
      <c r="L110" s="17" t="str">
        <f t="shared" si="23"/>
        <v/>
      </c>
      <c r="M110" s="57" t="str">
        <f t="shared" si="24"/>
        <v/>
      </c>
      <c r="N110" s="57" t="str">
        <f t="shared" si="25"/>
        <v/>
      </c>
      <c r="O110" s="191" t="str">
        <f t="shared" si="26"/>
        <v/>
      </c>
      <c r="P110" s="43" t="str">
        <f>IF(OR(MID(A110,1,6)="ЛМДФ P",MID(A110,1,6)="ЛДСП P"),1,IFERROR(IF(VLOOKUP(A110,'Шаг1.Выбор плиты'!C:Q,12,0)*1&lt;10,"",0.4),""))</f>
        <v/>
      </c>
      <c r="Q110" s="43" t="str">
        <f>IF(OR(MID(A110,1,6)="ЛМДФ P",MID(A110,1,6)="ЛДСП P"),1,IFERROR(IF(VLOOKUP(A110,'Шаг1.Выбор плиты'!C:Q,12,0)*1&lt;10,"",IF(OR(E110=2,F110=2,H110=2,I110=2),"",0.8)),""))</f>
        <v/>
      </c>
      <c r="R110" s="43" t="str">
        <f>IF(OR(MID(A110,1,6)="ЛМДФ P",MID(A110,1,6)="ЛДСП P"),1,IFERROR(IF(VLOOKUP(A110,'Шаг1.Выбор плиты'!C:Q,12,0)*1&lt;10,"",IF(OR(E110=0.8,F110=0.8,H110=0.8,I110=0.8),"",2)),""))</f>
        <v/>
      </c>
      <c r="S110" s="44" t="str">
        <f>IF(AND(COUNTBLANK(D$19:$D109)=0,COUNTBLANK(G$19:$G109)=0),$S$17&amp;$S$16,"дозаполнить")</f>
        <v>дозаполнить</v>
      </c>
      <c r="T110" s="25">
        <f t="shared" si="10"/>
        <v>0</v>
      </c>
      <c r="U110" s="25">
        <f t="shared" si="11"/>
        <v>0</v>
      </c>
      <c r="V110" s="101">
        <f t="shared" si="12"/>
        <v>0</v>
      </c>
      <c r="W110" s="25">
        <f t="shared" si="13"/>
        <v>0</v>
      </c>
    </row>
    <row r="111" spans="1:23" ht="12.75" x14ac:dyDescent="0.2">
      <c r="A111" s="187"/>
      <c r="B111" s="42" t="str">
        <f ca="1">IF(A111="","",MAX($B$17:OFFSET(A111,-1,0))+1)</f>
        <v/>
      </c>
      <c r="C111" s="185"/>
      <c r="D111" s="184"/>
      <c r="E111" s="186"/>
      <c r="F111" s="186"/>
      <c r="G111" s="184"/>
      <c r="H111" s="186"/>
      <c r="I111" s="186"/>
      <c r="J111" s="56"/>
      <c r="K111" s="16">
        <f t="shared" si="9"/>
        <v>0</v>
      </c>
      <c r="L111" s="17" t="str">
        <f t="shared" si="23"/>
        <v/>
      </c>
      <c r="M111" s="57" t="str">
        <f t="shared" si="24"/>
        <v/>
      </c>
      <c r="N111" s="57" t="str">
        <f t="shared" si="25"/>
        <v/>
      </c>
      <c r="O111" s="191" t="str">
        <f t="shared" si="26"/>
        <v/>
      </c>
      <c r="P111" s="43" t="str">
        <f>IF(OR(MID(A111,1,6)="ЛМДФ P",MID(A111,1,6)="ЛДСП P"),1,IFERROR(IF(VLOOKUP(A111,'Шаг1.Выбор плиты'!C:Q,12,0)*1&lt;10,"",0.4),""))</f>
        <v/>
      </c>
      <c r="Q111" s="43" t="str">
        <f>IF(OR(MID(A111,1,6)="ЛМДФ P",MID(A111,1,6)="ЛДСП P"),1,IFERROR(IF(VLOOKUP(A111,'Шаг1.Выбор плиты'!C:Q,12,0)*1&lt;10,"",IF(OR(E111=2,F111=2,H111=2,I111=2),"",0.8)),""))</f>
        <v/>
      </c>
      <c r="R111" s="43" t="str">
        <f>IF(OR(MID(A111,1,6)="ЛМДФ P",MID(A111,1,6)="ЛДСП P"),1,IFERROR(IF(VLOOKUP(A111,'Шаг1.Выбор плиты'!C:Q,12,0)*1&lt;10,"",IF(OR(E111=0.8,F111=0.8,H111=0.8,I111=0.8),"",2)),""))</f>
        <v/>
      </c>
      <c r="S111" s="44" t="str">
        <f>IF(AND(COUNTBLANK(D$19:$D110)=0,COUNTBLANK(G$19:$G110)=0),$S$17&amp;$S$16,"дозаполнить")</f>
        <v>дозаполнить</v>
      </c>
      <c r="T111" s="25">
        <f t="shared" si="10"/>
        <v>0</v>
      </c>
      <c r="U111" s="25">
        <f t="shared" si="11"/>
        <v>0</v>
      </c>
      <c r="V111" s="101">
        <f t="shared" si="12"/>
        <v>0</v>
      </c>
      <c r="W111" s="25">
        <f t="shared" si="13"/>
        <v>0</v>
      </c>
    </row>
    <row r="112" spans="1:23" ht="12.75" x14ac:dyDescent="0.2">
      <c r="A112" s="187"/>
      <c r="B112" s="42" t="str">
        <f ca="1">IF(A112="","",MAX($B$17:OFFSET(A112,-1,0))+1)</f>
        <v/>
      </c>
      <c r="C112" s="185"/>
      <c r="D112" s="184"/>
      <c r="E112" s="186"/>
      <c r="F112" s="186"/>
      <c r="G112" s="184"/>
      <c r="H112" s="186"/>
      <c r="I112" s="186"/>
      <c r="J112" s="56"/>
      <c r="K112" s="16">
        <f t="shared" si="9"/>
        <v>0</v>
      </c>
      <c r="L112" s="17" t="str">
        <f t="shared" si="23"/>
        <v/>
      </c>
      <c r="M112" s="57" t="str">
        <f t="shared" si="24"/>
        <v/>
      </c>
      <c r="N112" s="57" t="str">
        <f t="shared" si="25"/>
        <v/>
      </c>
      <c r="O112" s="191" t="str">
        <f t="shared" si="26"/>
        <v/>
      </c>
      <c r="P112" s="43" t="str">
        <f>IF(OR(MID(A112,1,6)="ЛМДФ P",MID(A112,1,6)="ЛДСП P"),1,IFERROR(IF(VLOOKUP(A112,'Шаг1.Выбор плиты'!C:Q,12,0)*1&lt;10,"",0.4),""))</f>
        <v/>
      </c>
      <c r="Q112" s="43" t="str">
        <f>IF(OR(MID(A112,1,6)="ЛМДФ P",MID(A112,1,6)="ЛДСП P"),1,IFERROR(IF(VLOOKUP(A112,'Шаг1.Выбор плиты'!C:Q,12,0)*1&lt;10,"",IF(OR(E112=2,F112=2,H112=2,I112=2),"",0.8)),""))</f>
        <v/>
      </c>
      <c r="R112" s="43" t="str">
        <f>IF(OR(MID(A112,1,6)="ЛМДФ P",MID(A112,1,6)="ЛДСП P"),1,IFERROR(IF(VLOOKUP(A112,'Шаг1.Выбор плиты'!C:Q,12,0)*1&lt;10,"",IF(OR(E112=0.8,F112=0.8,H112=0.8,I112=0.8),"",2)),""))</f>
        <v/>
      </c>
      <c r="S112" s="44" t="str">
        <f>IF(AND(COUNTBLANK(D$19:$D111)=0,COUNTBLANK(G$19:$G111)=0),$S$17&amp;$S$16,"дозаполнить")</f>
        <v>дозаполнить</v>
      </c>
      <c r="T112" s="25">
        <f t="shared" si="10"/>
        <v>0</v>
      </c>
      <c r="U112" s="25">
        <f t="shared" si="11"/>
        <v>0</v>
      </c>
      <c r="V112" s="101">
        <f t="shared" si="12"/>
        <v>0</v>
      </c>
      <c r="W112" s="25">
        <f t="shared" si="13"/>
        <v>0</v>
      </c>
    </row>
    <row r="113" spans="1:23" ht="12.75" x14ac:dyDescent="0.2">
      <c r="A113" s="187"/>
      <c r="B113" s="42" t="str">
        <f ca="1">IF(A113="","",MAX($B$17:OFFSET(A113,-1,0))+1)</f>
        <v/>
      </c>
      <c r="C113" s="185"/>
      <c r="D113" s="184"/>
      <c r="E113" s="186"/>
      <c r="F113" s="186"/>
      <c r="G113" s="184"/>
      <c r="H113" s="186"/>
      <c r="I113" s="186"/>
      <c r="J113" s="56"/>
      <c r="K113" s="16">
        <f t="shared" si="9"/>
        <v>0</v>
      </c>
      <c r="L113" s="17" t="str">
        <f t="shared" si="23"/>
        <v/>
      </c>
      <c r="M113" s="57" t="str">
        <f t="shared" si="24"/>
        <v/>
      </c>
      <c r="N113" s="57" t="str">
        <f t="shared" si="25"/>
        <v/>
      </c>
      <c r="O113" s="191" t="str">
        <f t="shared" si="26"/>
        <v/>
      </c>
      <c r="P113" s="43" t="str">
        <f>IF(OR(MID(A113,1,6)="ЛМДФ P",MID(A113,1,6)="ЛДСП P"),1,IFERROR(IF(VLOOKUP(A113,'Шаг1.Выбор плиты'!C:Q,12,0)*1&lt;10,"",0.4),""))</f>
        <v/>
      </c>
      <c r="Q113" s="43" t="str">
        <f>IF(OR(MID(A113,1,6)="ЛМДФ P",MID(A113,1,6)="ЛДСП P"),1,IFERROR(IF(VLOOKUP(A113,'Шаг1.Выбор плиты'!C:Q,12,0)*1&lt;10,"",IF(OR(E113=2,F113=2,H113=2,I113=2),"",0.8)),""))</f>
        <v/>
      </c>
      <c r="R113" s="43" t="str">
        <f>IF(OR(MID(A113,1,6)="ЛМДФ P",MID(A113,1,6)="ЛДСП P"),1,IFERROR(IF(VLOOKUP(A113,'Шаг1.Выбор плиты'!C:Q,12,0)*1&lt;10,"",IF(OR(E113=0.8,F113=0.8,H113=0.8,I113=0.8),"",2)),""))</f>
        <v/>
      </c>
      <c r="S113" s="44" t="str">
        <f>IF(AND(COUNTBLANK(D$19:$D112)=0,COUNTBLANK(G$19:$G112)=0),$S$17&amp;$S$16,"дозаполнить")</f>
        <v>дозаполнить</v>
      </c>
      <c r="T113" s="25">
        <f t="shared" si="10"/>
        <v>0</v>
      </c>
      <c r="U113" s="25">
        <f t="shared" si="11"/>
        <v>0</v>
      </c>
      <c r="V113" s="101">
        <f t="shared" si="12"/>
        <v>0</v>
      </c>
      <c r="W113" s="25">
        <f t="shared" si="13"/>
        <v>0</v>
      </c>
    </row>
    <row r="114" spans="1:23" ht="12.75" x14ac:dyDescent="0.2">
      <c r="A114" s="187"/>
      <c r="B114" s="42" t="str">
        <f ca="1">IF(A114="","",MAX($B$17:OFFSET(A114,-1,0))+1)</f>
        <v/>
      </c>
      <c r="C114" s="185"/>
      <c r="D114" s="184"/>
      <c r="E114" s="186"/>
      <c r="F114" s="186"/>
      <c r="G114" s="184"/>
      <c r="H114" s="186"/>
      <c r="I114" s="186"/>
      <c r="J114" s="56"/>
      <c r="K114" s="16">
        <f t="shared" si="9"/>
        <v>0</v>
      </c>
      <c r="L114" s="17" t="str">
        <f t="shared" si="23"/>
        <v/>
      </c>
      <c r="M114" s="57" t="str">
        <f t="shared" si="24"/>
        <v/>
      </c>
      <c r="N114" s="57" t="str">
        <f t="shared" si="25"/>
        <v/>
      </c>
      <c r="O114" s="191" t="str">
        <f t="shared" si="26"/>
        <v/>
      </c>
      <c r="P114" s="43" t="str">
        <f>IF(OR(MID(A114,1,6)="ЛМДФ P",MID(A114,1,6)="ЛДСП P"),1,IFERROR(IF(VLOOKUP(A114,'Шаг1.Выбор плиты'!C:Q,12,0)*1&lt;10,"",0.4),""))</f>
        <v/>
      </c>
      <c r="Q114" s="43" t="str">
        <f>IF(OR(MID(A114,1,6)="ЛМДФ P",MID(A114,1,6)="ЛДСП P"),1,IFERROR(IF(VLOOKUP(A114,'Шаг1.Выбор плиты'!C:Q,12,0)*1&lt;10,"",IF(OR(E114=2,F114=2,H114=2,I114=2),"",0.8)),""))</f>
        <v/>
      </c>
      <c r="R114" s="43" t="str">
        <f>IF(OR(MID(A114,1,6)="ЛМДФ P",MID(A114,1,6)="ЛДСП P"),1,IFERROR(IF(VLOOKUP(A114,'Шаг1.Выбор плиты'!C:Q,12,0)*1&lt;10,"",IF(OR(E114=0.8,F114=0.8,H114=0.8,I114=0.8),"",2)),""))</f>
        <v/>
      </c>
      <c r="S114" s="44" t="str">
        <f>IF(AND(COUNTBLANK(D$19:$D113)=0,COUNTBLANK(G$19:$G113)=0),$S$17&amp;$S$16,"дозаполнить")</f>
        <v>дозаполнить</v>
      </c>
      <c r="T114" s="25">
        <f t="shared" si="10"/>
        <v>0</v>
      </c>
      <c r="U114" s="25">
        <f t="shared" si="11"/>
        <v>0</v>
      </c>
      <c r="V114" s="101">
        <f t="shared" si="12"/>
        <v>0</v>
      </c>
      <c r="W114" s="25">
        <f t="shared" si="13"/>
        <v>0</v>
      </c>
    </row>
    <row r="115" spans="1:23" ht="12.75" x14ac:dyDescent="0.2">
      <c r="A115" s="187"/>
      <c r="B115" s="42" t="str">
        <f ca="1">IF(A115="","",MAX($B$17:OFFSET(A115,-1,0))+1)</f>
        <v/>
      </c>
      <c r="C115" s="185"/>
      <c r="D115" s="184"/>
      <c r="E115" s="186"/>
      <c r="F115" s="186"/>
      <c r="G115" s="184"/>
      <c r="H115" s="186"/>
      <c r="I115" s="186"/>
      <c r="J115" s="56"/>
      <c r="K115" s="16">
        <f t="shared" si="9"/>
        <v>0</v>
      </c>
      <c r="L115" s="17" t="str">
        <f t="shared" si="23"/>
        <v/>
      </c>
      <c r="M115" s="57" t="str">
        <f t="shared" si="24"/>
        <v/>
      </c>
      <c r="N115" s="57" t="str">
        <f t="shared" si="25"/>
        <v/>
      </c>
      <c r="O115" s="191" t="str">
        <f t="shared" si="26"/>
        <v/>
      </c>
      <c r="P115" s="43" t="str">
        <f>IF(OR(MID(A115,1,6)="ЛМДФ P",MID(A115,1,6)="ЛДСП P"),1,IFERROR(IF(VLOOKUP(A115,'Шаг1.Выбор плиты'!C:Q,12,0)*1&lt;10,"",0.4),""))</f>
        <v/>
      </c>
      <c r="Q115" s="43" t="str">
        <f>IF(OR(MID(A115,1,6)="ЛМДФ P",MID(A115,1,6)="ЛДСП P"),1,IFERROR(IF(VLOOKUP(A115,'Шаг1.Выбор плиты'!C:Q,12,0)*1&lt;10,"",IF(OR(E115=2,F115=2,H115=2,I115=2),"",0.8)),""))</f>
        <v/>
      </c>
      <c r="R115" s="43" t="str">
        <f>IF(OR(MID(A115,1,6)="ЛМДФ P",MID(A115,1,6)="ЛДСП P"),1,IFERROR(IF(VLOOKUP(A115,'Шаг1.Выбор плиты'!C:Q,12,0)*1&lt;10,"",IF(OR(E115=0.8,F115=0.8,H115=0.8,I115=0.8),"",2)),""))</f>
        <v/>
      </c>
      <c r="S115" s="44" t="str">
        <f>IF(AND(COUNTBLANK(D$19:$D114)=0,COUNTBLANK(G$19:$G114)=0),$S$17&amp;$S$16,"дозаполнить")</f>
        <v>дозаполнить</v>
      </c>
      <c r="T115" s="25">
        <f t="shared" si="10"/>
        <v>0</v>
      </c>
      <c r="U115" s="25">
        <f t="shared" si="11"/>
        <v>0</v>
      </c>
      <c r="V115" s="101">
        <f t="shared" si="12"/>
        <v>0</v>
      </c>
      <c r="W115" s="25">
        <f t="shared" si="13"/>
        <v>0</v>
      </c>
    </row>
    <row r="116" spans="1:23" ht="12.75" x14ac:dyDescent="0.2">
      <c r="A116" s="187"/>
      <c r="B116" s="42" t="str">
        <f ca="1">IF(A116="","",MAX($B$17:OFFSET(A116,-1,0))+1)</f>
        <v/>
      </c>
      <c r="C116" s="185"/>
      <c r="D116" s="184"/>
      <c r="E116" s="186"/>
      <c r="F116" s="186"/>
      <c r="G116" s="184"/>
      <c r="H116" s="186"/>
      <c r="I116" s="186"/>
      <c r="J116" s="56"/>
      <c r="K116" s="16">
        <f t="shared" si="9"/>
        <v>0</v>
      </c>
      <c r="L116" s="17" t="str">
        <f t="shared" si="23"/>
        <v/>
      </c>
      <c r="M116" s="57" t="str">
        <f t="shared" si="24"/>
        <v/>
      </c>
      <c r="N116" s="57" t="str">
        <f t="shared" si="25"/>
        <v/>
      </c>
      <c r="O116" s="191" t="str">
        <f t="shared" si="26"/>
        <v/>
      </c>
      <c r="P116" s="43" t="str">
        <f>IF(OR(MID(A116,1,6)="ЛМДФ P",MID(A116,1,6)="ЛДСП P"),1,IFERROR(IF(VLOOKUP(A116,'Шаг1.Выбор плиты'!C:Q,12,0)*1&lt;10,"",0.4),""))</f>
        <v/>
      </c>
      <c r="Q116" s="43" t="str">
        <f>IF(OR(MID(A116,1,6)="ЛМДФ P",MID(A116,1,6)="ЛДСП P"),1,IFERROR(IF(VLOOKUP(A116,'Шаг1.Выбор плиты'!C:Q,12,0)*1&lt;10,"",IF(OR(E116=2,F116=2,H116=2,I116=2),"",0.8)),""))</f>
        <v/>
      </c>
      <c r="R116" s="43" t="str">
        <f>IF(OR(MID(A116,1,6)="ЛМДФ P",MID(A116,1,6)="ЛДСП P"),1,IFERROR(IF(VLOOKUP(A116,'Шаг1.Выбор плиты'!C:Q,12,0)*1&lt;10,"",IF(OR(E116=0.8,F116=0.8,H116=0.8,I116=0.8),"",2)),""))</f>
        <v/>
      </c>
      <c r="S116" s="44" t="str">
        <f>IF(AND(COUNTBLANK(D$19:$D115)=0,COUNTBLANK(G$19:$G115)=0),$S$17&amp;$S$16,"дозаполнить")</f>
        <v>дозаполнить</v>
      </c>
      <c r="T116" s="25">
        <f t="shared" si="10"/>
        <v>0</v>
      </c>
      <c r="U116" s="25">
        <f t="shared" si="11"/>
        <v>0</v>
      </c>
      <c r="V116" s="101">
        <f t="shared" si="12"/>
        <v>0</v>
      </c>
      <c r="W116" s="25">
        <f t="shared" si="13"/>
        <v>0</v>
      </c>
    </row>
    <row r="117" spans="1:23" ht="12.75" x14ac:dyDescent="0.2">
      <c r="A117" s="187"/>
      <c r="B117" s="42" t="str">
        <f ca="1">IF(A117="","",MAX($B$17:OFFSET(A117,-1,0))+1)</f>
        <v/>
      </c>
      <c r="C117" s="185"/>
      <c r="D117" s="184"/>
      <c r="E117" s="186"/>
      <c r="F117" s="186"/>
      <c r="G117" s="184"/>
      <c r="H117" s="186"/>
      <c r="I117" s="186"/>
      <c r="J117" s="56"/>
      <c r="K117" s="16">
        <f t="shared" si="9"/>
        <v>0</v>
      </c>
      <c r="L117" s="17" t="str">
        <f t="shared" si="23"/>
        <v/>
      </c>
      <c r="M117" s="57" t="str">
        <f t="shared" si="24"/>
        <v/>
      </c>
      <c r="N117" s="57" t="str">
        <f t="shared" si="25"/>
        <v/>
      </c>
      <c r="O117" s="191" t="str">
        <f t="shared" si="26"/>
        <v/>
      </c>
      <c r="P117" s="43" t="str">
        <f>IF(OR(MID(A117,1,6)="ЛМДФ P",MID(A117,1,6)="ЛДСП P"),1,IFERROR(IF(VLOOKUP(A117,'Шаг1.Выбор плиты'!C:Q,12,0)*1&lt;10,"",0.4),""))</f>
        <v/>
      </c>
      <c r="Q117" s="43" t="str">
        <f>IF(OR(MID(A117,1,6)="ЛМДФ P",MID(A117,1,6)="ЛДСП P"),1,IFERROR(IF(VLOOKUP(A117,'Шаг1.Выбор плиты'!C:Q,12,0)*1&lt;10,"",IF(OR(E117=2,F117=2,H117=2,I117=2),"",0.8)),""))</f>
        <v/>
      </c>
      <c r="R117" s="43" t="str">
        <f>IF(OR(MID(A117,1,6)="ЛМДФ P",MID(A117,1,6)="ЛДСП P"),1,IFERROR(IF(VLOOKUP(A117,'Шаг1.Выбор плиты'!C:Q,12,0)*1&lt;10,"",IF(OR(E117=0.8,F117=0.8,H117=0.8,I117=0.8),"",2)),""))</f>
        <v/>
      </c>
      <c r="S117" s="44" t="str">
        <f>IF(AND(COUNTBLANK(D$19:$D116)=0,COUNTBLANK(G$19:$G116)=0),$S$17&amp;$S$16,"дозаполнить")</f>
        <v>дозаполнить</v>
      </c>
      <c r="T117" s="25">
        <f t="shared" si="10"/>
        <v>0</v>
      </c>
      <c r="U117" s="25">
        <f t="shared" si="11"/>
        <v>0</v>
      </c>
      <c r="V117" s="101">
        <f t="shared" si="12"/>
        <v>0</v>
      </c>
      <c r="W117" s="25">
        <f t="shared" si="13"/>
        <v>0</v>
      </c>
    </row>
    <row r="118" spans="1:23" ht="12.75" x14ac:dyDescent="0.2">
      <c r="A118" s="187"/>
      <c r="B118" s="42" t="str">
        <f ca="1">IF(A118="","",MAX($B$17:OFFSET(A118,-1,0))+1)</f>
        <v/>
      </c>
      <c r="C118" s="185"/>
      <c r="D118" s="184"/>
      <c r="E118" s="186"/>
      <c r="F118" s="186"/>
      <c r="G118" s="184"/>
      <c r="H118" s="186"/>
      <c r="I118" s="186"/>
      <c r="J118" s="56"/>
      <c r="K118" s="16">
        <f t="shared" si="9"/>
        <v>0</v>
      </c>
      <c r="L118" s="17" t="str">
        <f t="shared" si="23"/>
        <v/>
      </c>
      <c r="M118" s="57" t="str">
        <f t="shared" si="24"/>
        <v/>
      </c>
      <c r="N118" s="57" t="str">
        <f t="shared" si="25"/>
        <v/>
      </c>
      <c r="O118" s="191" t="str">
        <f t="shared" si="26"/>
        <v/>
      </c>
      <c r="P118" s="43" t="str">
        <f>IF(OR(MID(A118,1,6)="ЛМДФ P",MID(A118,1,6)="ЛДСП P"),1,IFERROR(IF(VLOOKUP(A118,'Шаг1.Выбор плиты'!C:Q,12,0)*1&lt;10,"",0.4),""))</f>
        <v/>
      </c>
      <c r="Q118" s="43" t="str">
        <f>IF(OR(MID(A118,1,6)="ЛМДФ P",MID(A118,1,6)="ЛДСП P"),1,IFERROR(IF(VLOOKUP(A118,'Шаг1.Выбор плиты'!C:Q,12,0)*1&lt;10,"",IF(OR(E118=2,F118=2,H118=2,I118=2),"",0.8)),""))</f>
        <v/>
      </c>
      <c r="R118" s="43" t="str">
        <f>IF(OR(MID(A118,1,6)="ЛМДФ P",MID(A118,1,6)="ЛДСП P"),1,IFERROR(IF(VLOOKUP(A118,'Шаг1.Выбор плиты'!C:Q,12,0)*1&lt;10,"",IF(OR(E118=0.8,F118=0.8,H118=0.8,I118=0.8),"",2)),""))</f>
        <v/>
      </c>
      <c r="S118" s="44" t="str">
        <f>IF(AND(COUNTBLANK(D$19:$D117)=0,COUNTBLANK(G$19:$G117)=0),$S$17&amp;$S$16,"дозаполнить")</f>
        <v>дозаполнить</v>
      </c>
      <c r="T118" s="25">
        <f t="shared" si="10"/>
        <v>0</v>
      </c>
      <c r="U118" s="25">
        <f t="shared" si="11"/>
        <v>0</v>
      </c>
      <c r="V118" s="101">
        <f t="shared" si="12"/>
        <v>0</v>
      </c>
      <c r="W118" s="25">
        <f t="shared" si="13"/>
        <v>0</v>
      </c>
    </row>
    <row r="119" spans="1:23" ht="12.75" x14ac:dyDescent="0.2">
      <c r="A119" s="187"/>
      <c r="B119" s="42" t="str">
        <f ca="1">IF(A119="","",MAX($B$17:OFFSET(A119,-1,0))+1)</f>
        <v/>
      </c>
      <c r="C119" s="185"/>
      <c r="D119" s="184"/>
      <c r="E119" s="186"/>
      <c r="F119" s="186"/>
      <c r="G119" s="184"/>
      <c r="H119" s="186"/>
      <c r="I119" s="186"/>
      <c r="J119" s="56"/>
      <c r="K119" s="16">
        <f t="shared" si="9"/>
        <v>0</v>
      </c>
      <c r="L119" s="17" t="str">
        <f t="shared" si="23"/>
        <v/>
      </c>
      <c r="M119" s="57" t="str">
        <f t="shared" si="24"/>
        <v/>
      </c>
      <c r="N119" s="57" t="str">
        <f t="shared" si="25"/>
        <v/>
      </c>
      <c r="O119" s="191" t="str">
        <f t="shared" si="26"/>
        <v/>
      </c>
      <c r="P119" s="43" t="str">
        <f>IF(OR(MID(A119,1,6)="ЛМДФ P",MID(A119,1,6)="ЛДСП P"),1,IFERROR(IF(VLOOKUP(A119,'Шаг1.Выбор плиты'!C:Q,12,0)*1&lt;10,"",0.4),""))</f>
        <v/>
      </c>
      <c r="Q119" s="43" t="str">
        <f>IF(OR(MID(A119,1,6)="ЛМДФ P",MID(A119,1,6)="ЛДСП P"),1,IFERROR(IF(VLOOKUP(A119,'Шаг1.Выбор плиты'!C:Q,12,0)*1&lt;10,"",IF(OR(E119=2,F119=2,H119=2,I119=2),"",0.8)),""))</f>
        <v/>
      </c>
      <c r="R119" s="43" t="str">
        <f>IF(OR(MID(A119,1,6)="ЛМДФ P",MID(A119,1,6)="ЛДСП P"),1,IFERROR(IF(VLOOKUP(A119,'Шаг1.Выбор плиты'!C:Q,12,0)*1&lt;10,"",IF(OR(E119=0.8,F119=0.8,H119=0.8,I119=0.8),"",2)),""))</f>
        <v/>
      </c>
      <c r="S119" s="44" t="str">
        <f>IF(AND(COUNTBLANK(D$19:$D118)=0,COUNTBLANK(G$19:$G118)=0),$S$17&amp;$S$16,"дозаполнить")</f>
        <v>дозаполнить</v>
      </c>
      <c r="T119" s="25">
        <f t="shared" si="10"/>
        <v>0</v>
      </c>
      <c r="U119" s="25">
        <f t="shared" si="11"/>
        <v>0</v>
      </c>
      <c r="V119" s="101">
        <f t="shared" si="12"/>
        <v>0</v>
      </c>
      <c r="W119" s="25">
        <f t="shared" si="13"/>
        <v>0</v>
      </c>
    </row>
    <row r="120" spans="1:23" ht="12.75" x14ac:dyDescent="0.2">
      <c r="A120" s="187"/>
      <c r="B120" s="42" t="str">
        <f ca="1">IF(A120="","",MAX($B$17:OFFSET(A120,-1,0))+1)</f>
        <v/>
      </c>
      <c r="C120" s="185"/>
      <c r="D120" s="184"/>
      <c r="E120" s="186"/>
      <c r="F120" s="186"/>
      <c r="G120" s="184"/>
      <c r="H120" s="186"/>
      <c r="I120" s="186"/>
      <c r="J120" s="56"/>
      <c r="K120" s="16">
        <f t="shared" si="9"/>
        <v>0</v>
      </c>
      <c r="L120" s="17" t="str">
        <f t="shared" si="23"/>
        <v/>
      </c>
      <c r="M120" s="57" t="str">
        <f t="shared" si="24"/>
        <v/>
      </c>
      <c r="N120" s="57" t="str">
        <f t="shared" si="25"/>
        <v/>
      </c>
      <c r="O120" s="191" t="str">
        <f t="shared" si="26"/>
        <v/>
      </c>
      <c r="P120" s="43" t="str">
        <f>IF(OR(MID(A120,1,6)="ЛМДФ P",MID(A120,1,6)="ЛДСП P"),1,IFERROR(IF(VLOOKUP(A120,'Шаг1.Выбор плиты'!C:Q,12,0)*1&lt;10,"",0.4),""))</f>
        <v/>
      </c>
      <c r="Q120" s="43" t="str">
        <f>IF(OR(MID(A120,1,6)="ЛМДФ P",MID(A120,1,6)="ЛДСП P"),1,IFERROR(IF(VLOOKUP(A120,'Шаг1.Выбор плиты'!C:Q,12,0)*1&lt;10,"",IF(OR(E120=2,F120=2,H120=2,I120=2),"",0.8)),""))</f>
        <v/>
      </c>
      <c r="R120" s="43" t="str">
        <f>IF(OR(MID(A120,1,6)="ЛМДФ P",MID(A120,1,6)="ЛДСП P"),1,IFERROR(IF(VLOOKUP(A120,'Шаг1.Выбор плиты'!C:Q,12,0)*1&lt;10,"",IF(OR(E120=0.8,F120=0.8,H120=0.8,I120=0.8),"",2)),""))</f>
        <v/>
      </c>
      <c r="S120" s="44" t="str">
        <f>IF(AND(COUNTBLANK(D$19:$D119)=0,COUNTBLANK(G$19:$G119)=0),$S$17&amp;$S$16,"дозаполнить")</f>
        <v>дозаполнить</v>
      </c>
      <c r="T120" s="25">
        <f t="shared" si="10"/>
        <v>0</v>
      </c>
      <c r="U120" s="25">
        <f t="shared" si="11"/>
        <v>0</v>
      </c>
      <c r="V120" s="101">
        <f t="shared" si="12"/>
        <v>0</v>
      </c>
      <c r="W120" s="25">
        <f t="shared" si="13"/>
        <v>0</v>
      </c>
    </row>
    <row r="121" spans="1:23" ht="12.75" x14ac:dyDescent="0.2">
      <c r="A121" s="187"/>
      <c r="B121" s="42" t="str">
        <f ca="1">IF(A121="","",MAX($B$17:OFFSET(A121,-1,0))+1)</f>
        <v/>
      </c>
      <c r="C121" s="185"/>
      <c r="D121" s="184"/>
      <c r="E121" s="186"/>
      <c r="F121" s="186"/>
      <c r="G121" s="184"/>
      <c r="H121" s="186"/>
      <c r="I121" s="186"/>
      <c r="J121" s="56"/>
      <c r="K121" s="16">
        <f t="shared" si="9"/>
        <v>0</v>
      </c>
      <c r="L121" s="17" t="str">
        <f t="shared" si="23"/>
        <v/>
      </c>
      <c r="M121" s="57" t="str">
        <f t="shared" si="24"/>
        <v/>
      </c>
      <c r="N121" s="57" t="str">
        <f t="shared" si="25"/>
        <v/>
      </c>
      <c r="O121" s="191" t="str">
        <f t="shared" si="26"/>
        <v/>
      </c>
      <c r="P121" s="43" t="str">
        <f>IF(OR(MID(A121,1,6)="ЛМДФ P",MID(A121,1,6)="ЛДСП P"),1,IFERROR(IF(VLOOKUP(A121,'Шаг1.Выбор плиты'!C:Q,12,0)*1&lt;10,"",0.4),""))</f>
        <v/>
      </c>
      <c r="Q121" s="43" t="str">
        <f>IF(OR(MID(A121,1,6)="ЛМДФ P",MID(A121,1,6)="ЛДСП P"),1,IFERROR(IF(VLOOKUP(A121,'Шаг1.Выбор плиты'!C:Q,12,0)*1&lt;10,"",IF(OR(E121=2,F121=2,H121=2,I121=2),"",0.8)),""))</f>
        <v/>
      </c>
      <c r="R121" s="43" t="str">
        <f>IF(OR(MID(A121,1,6)="ЛМДФ P",MID(A121,1,6)="ЛДСП P"),1,IFERROR(IF(VLOOKUP(A121,'Шаг1.Выбор плиты'!C:Q,12,0)*1&lt;10,"",IF(OR(E121=0.8,F121=0.8,H121=0.8,I121=0.8),"",2)),""))</f>
        <v/>
      </c>
      <c r="S121" s="44" t="str">
        <f>IF(AND(COUNTBLANK(D$19:$D120)=0,COUNTBLANK(G$19:$G120)=0),$S$17&amp;$S$16,"дозаполнить")</f>
        <v>дозаполнить</v>
      </c>
      <c r="T121" s="25">
        <f t="shared" si="10"/>
        <v>0</v>
      </c>
      <c r="U121" s="25">
        <f t="shared" si="11"/>
        <v>0</v>
      </c>
      <c r="V121" s="101">
        <f t="shared" si="12"/>
        <v>0</v>
      </c>
      <c r="W121" s="25">
        <f t="shared" si="13"/>
        <v>0</v>
      </c>
    </row>
    <row r="122" spans="1:23" ht="12.75" x14ac:dyDescent="0.2">
      <c r="A122" s="187"/>
      <c r="B122" s="42" t="str">
        <f ca="1">IF(A122="","",MAX($B$17:OFFSET(A122,-1,0))+1)</f>
        <v/>
      </c>
      <c r="C122" s="185"/>
      <c r="D122" s="184"/>
      <c r="E122" s="186"/>
      <c r="F122" s="186"/>
      <c r="G122" s="184"/>
      <c r="H122" s="186"/>
      <c r="I122" s="186"/>
      <c r="J122" s="56"/>
      <c r="K122" s="16">
        <f t="shared" si="9"/>
        <v>0</v>
      </c>
      <c r="L122" s="17" t="str">
        <f t="shared" si="23"/>
        <v/>
      </c>
      <c r="M122" s="57" t="str">
        <f t="shared" si="24"/>
        <v/>
      </c>
      <c r="N122" s="57" t="str">
        <f t="shared" si="25"/>
        <v/>
      </c>
      <c r="O122" s="191" t="str">
        <f t="shared" si="26"/>
        <v/>
      </c>
      <c r="P122" s="43" t="str">
        <f>IF(OR(MID(A122,1,6)="ЛМДФ P",MID(A122,1,6)="ЛДСП P"),1,IFERROR(IF(VLOOKUP(A122,'Шаг1.Выбор плиты'!C:Q,12,0)*1&lt;10,"",0.4),""))</f>
        <v/>
      </c>
      <c r="Q122" s="43" t="str">
        <f>IF(OR(MID(A122,1,6)="ЛМДФ P",MID(A122,1,6)="ЛДСП P"),1,IFERROR(IF(VLOOKUP(A122,'Шаг1.Выбор плиты'!C:Q,12,0)*1&lt;10,"",IF(OR(E122=2,F122=2,H122=2,I122=2),"",0.8)),""))</f>
        <v/>
      </c>
      <c r="R122" s="43" t="str">
        <f>IF(OR(MID(A122,1,6)="ЛМДФ P",MID(A122,1,6)="ЛДСП P"),1,IFERROR(IF(VLOOKUP(A122,'Шаг1.Выбор плиты'!C:Q,12,0)*1&lt;10,"",IF(OR(E122=0.8,F122=0.8,H122=0.8,I122=0.8),"",2)),""))</f>
        <v/>
      </c>
      <c r="S122" s="44" t="str">
        <f>IF(AND(COUNTBLANK(D$19:$D121)=0,COUNTBLANK(G$19:$G121)=0),$S$17&amp;$S$16,"дозаполнить")</f>
        <v>дозаполнить</v>
      </c>
      <c r="T122" s="25">
        <f t="shared" si="10"/>
        <v>0</v>
      </c>
      <c r="U122" s="25">
        <f t="shared" si="11"/>
        <v>0</v>
      </c>
      <c r="V122" s="101">
        <f t="shared" si="12"/>
        <v>0</v>
      </c>
      <c r="W122" s="25">
        <f t="shared" si="13"/>
        <v>0</v>
      </c>
    </row>
    <row r="123" spans="1:23" ht="12.75" x14ac:dyDescent="0.2">
      <c r="A123" s="187"/>
      <c r="B123" s="42" t="str">
        <f ca="1">IF(A123="","",MAX($B$17:OFFSET(A123,-1,0))+1)</f>
        <v/>
      </c>
      <c r="C123" s="185"/>
      <c r="D123" s="184"/>
      <c r="E123" s="186"/>
      <c r="F123" s="186"/>
      <c r="G123" s="184"/>
      <c r="H123" s="186"/>
      <c r="I123" s="186"/>
      <c r="J123" s="56"/>
      <c r="K123" s="16">
        <f t="shared" si="9"/>
        <v>0</v>
      </c>
      <c r="L123" s="17" t="str">
        <f t="shared" si="23"/>
        <v/>
      </c>
      <c r="M123" s="57" t="str">
        <f t="shared" si="24"/>
        <v/>
      </c>
      <c r="N123" s="57" t="str">
        <f t="shared" si="25"/>
        <v/>
      </c>
      <c r="O123" s="191" t="str">
        <f t="shared" si="26"/>
        <v/>
      </c>
      <c r="P123" s="43" t="str">
        <f>IF(OR(MID(A123,1,6)="ЛМДФ P",MID(A123,1,6)="ЛДСП P"),1,IFERROR(IF(VLOOKUP(A123,'Шаг1.Выбор плиты'!C:Q,12,0)*1&lt;10,"",0.4),""))</f>
        <v/>
      </c>
      <c r="Q123" s="43" t="str">
        <f>IF(OR(MID(A123,1,6)="ЛМДФ P",MID(A123,1,6)="ЛДСП P"),1,IFERROR(IF(VLOOKUP(A123,'Шаг1.Выбор плиты'!C:Q,12,0)*1&lt;10,"",IF(OR(E123=2,F123=2,H123=2,I123=2),"",0.8)),""))</f>
        <v/>
      </c>
      <c r="R123" s="43" t="str">
        <f>IF(OR(MID(A123,1,6)="ЛМДФ P",MID(A123,1,6)="ЛДСП P"),1,IFERROR(IF(VLOOKUP(A123,'Шаг1.Выбор плиты'!C:Q,12,0)*1&lt;10,"",IF(OR(E123=0.8,F123=0.8,H123=0.8,I123=0.8),"",2)),""))</f>
        <v/>
      </c>
      <c r="S123" s="44" t="str">
        <f>IF(AND(COUNTBLANK(D$19:$D122)=0,COUNTBLANK(G$19:$G122)=0),$S$17&amp;$S$16,"дозаполнить")</f>
        <v>дозаполнить</v>
      </c>
      <c r="T123" s="25">
        <f t="shared" si="10"/>
        <v>0</v>
      </c>
      <c r="U123" s="25">
        <f t="shared" si="11"/>
        <v>0</v>
      </c>
      <c r="V123" s="101">
        <f t="shared" si="12"/>
        <v>0</v>
      </c>
      <c r="W123" s="25">
        <f t="shared" si="13"/>
        <v>0</v>
      </c>
    </row>
    <row r="124" spans="1:23" ht="12.75" x14ac:dyDescent="0.2">
      <c r="A124" s="187"/>
      <c r="B124" s="42" t="str">
        <f ca="1">IF(A124="","",MAX($B$17:OFFSET(A124,-1,0))+1)</f>
        <v/>
      </c>
      <c r="C124" s="185"/>
      <c r="D124" s="184"/>
      <c r="E124" s="186"/>
      <c r="F124" s="186"/>
      <c r="G124" s="184"/>
      <c r="H124" s="186"/>
      <c r="I124" s="186"/>
      <c r="J124" s="56"/>
      <c r="K124" s="16">
        <f t="shared" ref="K124:K130" si="27">(D124/1000)*(G124/1000)*J124</f>
        <v>0</v>
      </c>
      <c r="L124" s="17" t="str">
        <f t="shared" ref="L124:L130" si="28">IF(A124="","","Нет")</f>
        <v/>
      </c>
      <c r="M124" s="57" t="str">
        <f t="shared" ref="M124:M130" si="29">IF(A124="","","Нет")</f>
        <v/>
      </c>
      <c r="N124" s="57" t="str">
        <f t="shared" ref="N124:N130" si="30">IF(A124="","","Нет")</f>
        <v/>
      </c>
      <c r="O124" s="191" t="str">
        <f t="shared" ref="O124:O130" si="31">IF(OR(M124="да",N124="да"),"укажите здесь ссылку на чертеж","")</f>
        <v/>
      </c>
      <c r="P124" s="43" t="str">
        <f>IF(OR(MID(A124,1,6)="ЛМДФ P",MID(A124,1,6)="ЛДСП P"),1,IFERROR(IF(VLOOKUP(A124,'Шаг1.Выбор плиты'!C:Q,12,0)*1&lt;10,"",0.4),""))</f>
        <v/>
      </c>
      <c r="Q124" s="43" t="str">
        <f>IF(OR(MID(A124,1,6)="ЛМДФ P",MID(A124,1,6)="ЛДСП P"),1,IFERROR(IF(VLOOKUP(A124,'Шаг1.Выбор плиты'!C:Q,12,0)*1&lt;10,"",IF(OR(E124=2,F124=2,H124=2,I124=2),"",0.8)),""))</f>
        <v/>
      </c>
      <c r="R124" s="43" t="str">
        <f>IF(OR(MID(A124,1,6)="ЛМДФ P",MID(A124,1,6)="ЛДСП P"),1,IFERROR(IF(VLOOKUP(A124,'Шаг1.Выбор плиты'!C:Q,12,0)*1&lt;10,"",IF(OR(E124=0.8,F124=0.8,H124=0.8,I124=0.8),"",2)),""))</f>
        <v/>
      </c>
      <c r="S124" s="44" t="str">
        <f>IF(AND(COUNTBLANK(D$19:$D123)=0,COUNTBLANK(G$19:$G123)=0),$S$17&amp;$S$16,"дозаполнить")</f>
        <v>дозаполнить</v>
      </c>
      <c r="T124" s="25">
        <f t="shared" ref="T124:T130" si="32">D124*J124</f>
        <v>0</v>
      </c>
      <c r="U124" s="25">
        <f t="shared" ref="U124:U130" si="33">G124*J124</f>
        <v>0</v>
      </c>
      <c r="V124" s="101">
        <f t="shared" ref="V124:V130" si="34">IF(A124="",0,MAX((D124/1000*G124/1000)*$V$11,$V$12))*J124</f>
        <v>0</v>
      </c>
      <c r="W124" s="25">
        <f t="shared" ref="W124:W130" si="35">IF(OR(M124="да",N124="да"),J124*MAX((D124/1000*G124/1000)*$V$14,$V$15),0)</f>
        <v>0</v>
      </c>
    </row>
    <row r="125" spans="1:23" ht="12.75" x14ac:dyDescent="0.2">
      <c r="A125" s="187"/>
      <c r="B125" s="42" t="str">
        <f ca="1">IF(A125="","",MAX($B$17:OFFSET(A125,-1,0))+1)</f>
        <v/>
      </c>
      <c r="C125" s="185"/>
      <c r="D125" s="184"/>
      <c r="E125" s="186"/>
      <c r="F125" s="186"/>
      <c r="G125" s="184"/>
      <c r="H125" s="186"/>
      <c r="I125" s="186"/>
      <c r="J125" s="56"/>
      <c r="K125" s="16">
        <f t="shared" si="27"/>
        <v>0</v>
      </c>
      <c r="L125" s="17" t="str">
        <f t="shared" si="28"/>
        <v/>
      </c>
      <c r="M125" s="57" t="str">
        <f t="shared" si="29"/>
        <v/>
      </c>
      <c r="N125" s="57" t="str">
        <f t="shared" si="30"/>
        <v/>
      </c>
      <c r="O125" s="191" t="str">
        <f t="shared" si="31"/>
        <v/>
      </c>
      <c r="P125" s="43" t="str">
        <f>IF(OR(MID(A125,1,6)="ЛМДФ P",MID(A125,1,6)="ЛДСП P"),1,IFERROR(IF(VLOOKUP(A125,'Шаг1.Выбор плиты'!C:Q,12,0)*1&lt;10,"",0.4),""))</f>
        <v/>
      </c>
      <c r="Q125" s="43" t="str">
        <f>IF(OR(MID(A125,1,6)="ЛМДФ P",MID(A125,1,6)="ЛДСП P"),1,IFERROR(IF(VLOOKUP(A125,'Шаг1.Выбор плиты'!C:Q,12,0)*1&lt;10,"",IF(OR(E125=2,F125=2,H125=2,I125=2),"",0.8)),""))</f>
        <v/>
      </c>
      <c r="R125" s="43" t="str">
        <f>IF(OR(MID(A125,1,6)="ЛМДФ P",MID(A125,1,6)="ЛДСП P"),1,IFERROR(IF(VLOOKUP(A125,'Шаг1.Выбор плиты'!C:Q,12,0)*1&lt;10,"",IF(OR(E125=0.8,F125=0.8,H125=0.8,I125=0.8),"",2)),""))</f>
        <v/>
      </c>
      <c r="S125" s="44" t="str">
        <f>IF(AND(COUNTBLANK(D$19:$D124)=0,COUNTBLANK(G$19:$G124)=0),$S$17&amp;$S$16,"дозаполнить")</f>
        <v>дозаполнить</v>
      </c>
      <c r="T125" s="25">
        <f t="shared" si="32"/>
        <v>0</v>
      </c>
      <c r="U125" s="25">
        <f t="shared" si="33"/>
        <v>0</v>
      </c>
      <c r="V125" s="101">
        <f t="shared" si="34"/>
        <v>0</v>
      </c>
      <c r="W125" s="25">
        <f t="shared" si="35"/>
        <v>0</v>
      </c>
    </row>
    <row r="126" spans="1:23" ht="12.75" x14ac:dyDescent="0.2">
      <c r="A126" s="187"/>
      <c r="B126" s="42" t="str">
        <f ca="1">IF(A126="","",MAX($B$17:OFFSET(A126,-1,0))+1)</f>
        <v/>
      </c>
      <c r="C126" s="185"/>
      <c r="D126" s="184"/>
      <c r="E126" s="186"/>
      <c r="F126" s="186"/>
      <c r="G126" s="184"/>
      <c r="H126" s="186"/>
      <c r="I126" s="186"/>
      <c r="J126" s="56"/>
      <c r="K126" s="16">
        <f t="shared" si="27"/>
        <v>0</v>
      </c>
      <c r="L126" s="17" t="str">
        <f t="shared" si="28"/>
        <v/>
      </c>
      <c r="M126" s="57" t="str">
        <f t="shared" si="29"/>
        <v/>
      </c>
      <c r="N126" s="57" t="str">
        <f t="shared" si="30"/>
        <v/>
      </c>
      <c r="O126" s="191" t="str">
        <f t="shared" si="31"/>
        <v/>
      </c>
      <c r="P126" s="43" t="str">
        <f>IF(OR(MID(A126,1,6)="ЛМДФ P",MID(A126,1,6)="ЛДСП P"),1,IFERROR(IF(VLOOKUP(A126,'Шаг1.Выбор плиты'!C:Q,12,0)*1&lt;10,"",0.4),""))</f>
        <v/>
      </c>
      <c r="Q126" s="43" t="str">
        <f>IF(OR(MID(A126,1,6)="ЛМДФ P",MID(A126,1,6)="ЛДСП P"),1,IFERROR(IF(VLOOKUP(A126,'Шаг1.Выбор плиты'!C:Q,12,0)*1&lt;10,"",IF(OR(E126=2,F126=2,H126=2,I126=2),"",0.8)),""))</f>
        <v/>
      </c>
      <c r="R126" s="43" t="str">
        <f>IF(OR(MID(A126,1,6)="ЛМДФ P",MID(A126,1,6)="ЛДСП P"),1,IFERROR(IF(VLOOKUP(A126,'Шаг1.Выбор плиты'!C:Q,12,0)*1&lt;10,"",IF(OR(E126=0.8,F126=0.8,H126=0.8,I126=0.8),"",2)),""))</f>
        <v/>
      </c>
      <c r="S126" s="44" t="str">
        <f>IF(AND(COUNTBLANK(D$19:$D125)=0,COUNTBLANK(G$19:$G125)=0),$S$17&amp;$S$16,"дозаполнить")</f>
        <v>дозаполнить</v>
      </c>
      <c r="T126" s="25">
        <f t="shared" si="32"/>
        <v>0</v>
      </c>
      <c r="U126" s="25">
        <f t="shared" si="33"/>
        <v>0</v>
      </c>
      <c r="V126" s="101">
        <f t="shared" si="34"/>
        <v>0</v>
      </c>
      <c r="W126" s="25">
        <f t="shared" si="35"/>
        <v>0</v>
      </c>
    </row>
    <row r="127" spans="1:23" ht="12.75" x14ac:dyDescent="0.2">
      <c r="A127" s="187"/>
      <c r="B127" s="42" t="str">
        <f ca="1">IF(A127="","",MAX($B$17:OFFSET(A127,-1,0))+1)</f>
        <v/>
      </c>
      <c r="C127" s="185"/>
      <c r="D127" s="184"/>
      <c r="E127" s="186"/>
      <c r="F127" s="186"/>
      <c r="G127" s="184"/>
      <c r="H127" s="186"/>
      <c r="I127" s="186"/>
      <c r="J127" s="56"/>
      <c r="K127" s="16">
        <f t="shared" si="27"/>
        <v>0</v>
      </c>
      <c r="L127" s="17" t="str">
        <f t="shared" si="28"/>
        <v/>
      </c>
      <c r="M127" s="57" t="str">
        <f t="shared" si="29"/>
        <v/>
      </c>
      <c r="N127" s="57" t="str">
        <f t="shared" si="30"/>
        <v/>
      </c>
      <c r="O127" s="191" t="str">
        <f t="shared" si="31"/>
        <v/>
      </c>
      <c r="P127" s="43" t="str">
        <f>IF(OR(MID(A127,1,6)="ЛМДФ P",MID(A127,1,6)="ЛДСП P"),1,IFERROR(IF(VLOOKUP(A127,'Шаг1.Выбор плиты'!C:Q,12,0)*1&lt;10,"",0.4),""))</f>
        <v/>
      </c>
      <c r="Q127" s="43" t="str">
        <f>IF(OR(MID(A127,1,6)="ЛМДФ P",MID(A127,1,6)="ЛДСП P"),1,IFERROR(IF(VLOOKUP(A127,'Шаг1.Выбор плиты'!C:Q,12,0)*1&lt;10,"",IF(OR(E127=2,F127=2,H127=2,I127=2),"",0.8)),""))</f>
        <v/>
      </c>
      <c r="R127" s="43" t="str">
        <f>IF(OR(MID(A127,1,6)="ЛМДФ P",MID(A127,1,6)="ЛДСП P"),1,IFERROR(IF(VLOOKUP(A127,'Шаг1.Выбор плиты'!C:Q,12,0)*1&lt;10,"",IF(OR(E127=0.8,F127=0.8,H127=0.8,I127=0.8),"",2)),""))</f>
        <v/>
      </c>
      <c r="S127" s="44" t="str">
        <f>IF(AND(COUNTBLANK(D$19:$D126)=0,COUNTBLANK(G$19:$G126)=0),$S$17&amp;$S$16,"дозаполнить")</f>
        <v>дозаполнить</v>
      </c>
      <c r="T127" s="25">
        <f t="shared" si="32"/>
        <v>0</v>
      </c>
      <c r="U127" s="25">
        <f t="shared" si="33"/>
        <v>0</v>
      </c>
      <c r="V127" s="101">
        <f t="shared" si="34"/>
        <v>0</v>
      </c>
      <c r="W127" s="25">
        <f t="shared" si="35"/>
        <v>0</v>
      </c>
    </row>
    <row r="128" spans="1:23" ht="12.75" x14ac:dyDescent="0.2">
      <c r="A128" s="187"/>
      <c r="B128" s="42" t="str">
        <f ca="1">IF(A128="","",MAX($B$17:OFFSET(A128,-1,0))+1)</f>
        <v/>
      </c>
      <c r="C128" s="185"/>
      <c r="D128" s="184"/>
      <c r="E128" s="186"/>
      <c r="F128" s="186"/>
      <c r="G128" s="184"/>
      <c r="H128" s="186"/>
      <c r="I128" s="186"/>
      <c r="J128" s="56"/>
      <c r="K128" s="16">
        <f t="shared" si="27"/>
        <v>0</v>
      </c>
      <c r="L128" s="17" t="str">
        <f t="shared" si="28"/>
        <v/>
      </c>
      <c r="M128" s="57" t="str">
        <f t="shared" si="29"/>
        <v/>
      </c>
      <c r="N128" s="57" t="str">
        <f t="shared" si="30"/>
        <v/>
      </c>
      <c r="O128" s="191" t="str">
        <f t="shared" si="31"/>
        <v/>
      </c>
      <c r="P128" s="43" t="str">
        <f>IF(OR(MID(A128,1,6)="ЛМДФ P",MID(A128,1,6)="ЛДСП P"),1,IFERROR(IF(VLOOKUP(A128,'Шаг1.Выбор плиты'!C:Q,12,0)*1&lt;10,"",0.4),""))</f>
        <v/>
      </c>
      <c r="Q128" s="43" t="str">
        <f>IF(OR(MID(A128,1,6)="ЛМДФ P",MID(A128,1,6)="ЛДСП P"),1,IFERROR(IF(VLOOKUP(A128,'Шаг1.Выбор плиты'!C:Q,12,0)*1&lt;10,"",IF(OR(E128=2,F128=2,H128=2,I128=2),"",0.8)),""))</f>
        <v/>
      </c>
      <c r="R128" s="43" t="str">
        <f>IF(OR(MID(A128,1,6)="ЛМДФ P",MID(A128,1,6)="ЛДСП P"),1,IFERROR(IF(VLOOKUP(A128,'Шаг1.Выбор плиты'!C:Q,12,0)*1&lt;10,"",IF(OR(E128=0.8,F128=0.8,H128=0.8,I128=0.8),"",2)),""))</f>
        <v/>
      </c>
      <c r="S128" s="44" t="str">
        <f>IF(AND(COUNTBLANK(D$19:$D127)=0,COUNTBLANK(G$19:$G127)=0),$S$17&amp;$S$16,"дозаполнить")</f>
        <v>дозаполнить</v>
      </c>
      <c r="T128" s="25">
        <f t="shared" si="32"/>
        <v>0</v>
      </c>
      <c r="U128" s="25">
        <f t="shared" si="33"/>
        <v>0</v>
      </c>
      <c r="V128" s="101">
        <f t="shared" si="34"/>
        <v>0</v>
      </c>
      <c r="W128" s="25">
        <f t="shared" si="35"/>
        <v>0</v>
      </c>
    </row>
    <row r="129" spans="1:24" ht="12.75" x14ac:dyDescent="0.2">
      <c r="A129" s="187"/>
      <c r="B129" s="42" t="str">
        <f ca="1">IF(A129="","",MAX($B$17:OFFSET(A129,-1,0))+1)</f>
        <v/>
      </c>
      <c r="C129" s="185"/>
      <c r="D129" s="184"/>
      <c r="E129" s="186"/>
      <c r="F129" s="186"/>
      <c r="G129" s="184"/>
      <c r="H129" s="186"/>
      <c r="I129" s="186"/>
      <c r="J129" s="56"/>
      <c r="K129" s="16">
        <f t="shared" si="27"/>
        <v>0</v>
      </c>
      <c r="L129" s="17" t="str">
        <f t="shared" si="28"/>
        <v/>
      </c>
      <c r="M129" s="57" t="str">
        <f t="shared" si="29"/>
        <v/>
      </c>
      <c r="N129" s="57" t="str">
        <f t="shared" si="30"/>
        <v/>
      </c>
      <c r="O129" s="191" t="str">
        <f t="shared" si="31"/>
        <v/>
      </c>
      <c r="P129" s="43" t="str">
        <f>IF(OR(MID(A129,1,6)="ЛМДФ P",MID(A129,1,6)="ЛДСП P"),1,IFERROR(IF(VLOOKUP(A129,'Шаг1.Выбор плиты'!C:Q,12,0)*1&lt;10,"",0.4),""))</f>
        <v/>
      </c>
      <c r="Q129" s="43" t="str">
        <f>IF(OR(MID(A129,1,6)="ЛМДФ P",MID(A129,1,6)="ЛДСП P"),1,IFERROR(IF(VLOOKUP(A129,'Шаг1.Выбор плиты'!C:Q,12,0)*1&lt;10,"",IF(OR(E129=2,F129=2,H129=2,I129=2),"",0.8)),""))</f>
        <v/>
      </c>
      <c r="R129" s="43" t="str">
        <f>IF(OR(MID(A129,1,6)="ЛМДФ P",MID(A129,1,6)="ЛДСП P"),1,IFERROR(IF(VLOOKUP(A129,'Шаг1.Выбор плиты'!C:Q,12,0)*1&lt;10,"",IF(OR(E129=0.8,F129=0.8,H129=0.8,I129=0.8),"",2)),""))</f>
        <v/>
      </c>
      <c r="S129" s="44" t="str">
        <f>IF(AND(COUNTBLANK(D$19:$D128)=0,COUNTBLANK(G$19:$G128)=0),$S$17&amp;$S$16,"дозаполнить")</f>
        <v>дозаполнить</v>
      </c>
      <c r="T129" s="25">
        <f t="shared" si="32"/>
        <v>0</v>
      </c>
      <c r="U129" s="25">
        <f t="shared" si="33"/>
        <v>0</v>
      </c>
      <c r="V129" s="101">
        <f t="shared" si="34"/>
        <v>0</v>
      </c>
      <c r="W129" s="25">
        <f t="shared" si="35"/>
        <v>0</v>
      </c>
    </row>
    <row r="130" spans="1:24" ht="12.75" x14ac:dyDescent="0.2">
      <c r="A130" s="187"/>
      <c r="B130" s="42" t="str">
        <f ca="1">IF(A130="","",MAX($B$17:OFFSET(A130,-1,0))+1)</f>
        <v/>
      </c>
      <c r="C130" s="185"/>
      <c r="D130" s="184"/>
      <c r="E130" s="186"/>
      <c r="F130" s="186"/>
      <c r="G130" s="184"/>
      <c r="H130" s="186"/>
      <c r="I130" s="186"/>
      <c r="J130" s="56"/>
      <c r="K130" s="16">
        <f t="shared" si="27"/>
        <v>0</v>
      </c>
      <c r="L130" s="17" t="str">
        <f t="shared" si="28"/>
        <v/>
      </c>
      <c r="M130" s="57" t="str">
        <f t="shared" si="29"/>
        <v/>
      </c>
      <c r="N130" s="57" t="str">
        <f t="shared" si="30"/>
        <v/>
      </c>
      <c r="O130" s="191" t="str">
        <f t="shared" si="31"/>
        <v/>
      </c>
      <c r="P130" s="43" t="str">
        <f>IF(OR(MID(A130,1,6)="ЛМДФ P",MID(A130,1,6)="ЛДСП P"),1,IFERROR(IF(VLOOKUP(A130,'Шаг1.Выбор плиты'!C:Q,12,0)*1&lt;10,"",0.4),""))</f>
        <v/>
      </c>
      <c r="Q130" s="43" t="str">
        <f>IF(OR(MID(A130,1,6)="ЛМДФ P",MID(A130,1,6)="ЛДСП P"),1,IFERROR(IF(VLOOKUP(A130,'Шаг1.Выбор плиты'!C:Q,12,0)*1&lt;10,"",IF(OR(E130=2,F130=2,H130=2,I130=2),"",0.8)),""))</f>
        <v/>
      </c>
      <c r="R130" s="43" t="str">
        <f>IF(OR(MID(A130,1,6)="ЛМДФ P",MID(A130,1,6)="ЛДСП P"),1,IFERROR(IF(VLOOKUP(A130,'Шаг1.Выбор плиты'!C:Q,12,0)*1&lt;10,"",IF(OR(E130=0.8,F130=0.8,H130=0.8,I130=0.8),"",2)),""))</f>
        <v/>
      </c>
      <c r="S130" s="44" t="str">
        <f>IF(AND(COUNTBLANK(D$19:$D129)=0,COUNTBLANK(G$19:$G129)=0),$S$17&amp;$S$16,"дозаполнить")</f>
        <v>дозаполнить</v>
      </c>
      <c r="T130" s="25">
        <f t="shared" si="32"/>
        <v>0</v>
      </c>
      <c r="U130" s="25">
        <f t="shared" si="33"/>
        <v>0</v>
      </c>
      <c r="V130" s="101">
        <f t="shared" si="34"/>
        <v>0</v>
      </c>
      <c r="W130" s="25">
        <f t="shared" si="35"/>
        <v>0</v>
      </c>
    </row>
    <row r="131" spans="1:24" ht="12.75" x14ac:dyDescent="0.2">
      <c r="A131" s="187"/>
      <c r="B131" s="42" t="str">
        <f ca="1">IF(A131="","",MAX($B$17:OFFSET(A131,-1,0))+1)</f>
        <v/>
      </c>
      <c r="C131" s="185"/>
      <c r="D131" s="184"/>
      <c r="E131" s="186"/>
      <c r="F131" s="186"/>
      <c r="G131" s="184"/>
      <c r="H131" s="186"/>
      <c r="I131" s="186"/>
      <c r="J131" s="56"/>
      <c r="K131" s="16">
        <f t="shared" si="4"/>
        <v>0</v>
      </c>
      <c r="L131" s="17" t="str">
        <f t="shared" ref="L131:L145" si="36">IF(A131="","","Нет")</f>
        <v/>
      </c>
      <c r="M131" s="57" t="str">
        <f t="shared" ref="M131:M146" si="37">IF(A131="","","Нет")</f>
        <v/>
      </c>
      <c r="N131" s="57" t="str">
        <f t="shared" ref="N131:N146" si="38">IF(A131="","","Нет")</f>
        <v/>
      </c>
      <c r="O131" s="191" t="str">
        <f t="shared" ref="O131:O146" si="39">IF(OR(M131="да",N131="да"),"укажите здесь ссылку на чертеж","")</f>
        <v/>
      </c>
      <c r="P131" s="43" t="str">
        <f>IF(OR(MID(A131,1,6)="ЛМДФ P",MID(A131,1,6)="ЛДСП P"),1,IFERROR(IF(VLOOKUP(A131,'Шаг1.Выбор плиты'!C:Q,12,0)*1&lt;10,"",0.4),""))</f>
        <v/>
      </c>
      <c r="Q131" s="43" t="str">
        <f>IF(OR(MID(A131,1,6)="ЛМДФ P",MID(A131,1,6)="ЛДСП P"),1,IFERROR(IF(VLOOKUP(A131,'Шаг1.Выбор плиты'!C:Q,12,0)*1&lt;10,"",IF(OR(E131=2,F131=2,H131=2,I131=2),"",0.8)),""))</f>
        <v/>
      </c>
      <c r="R131" s="43" t="str">
        <f>IF(OR(MID(A131,1,6)="ЛМДФ P",MID(A131,1,6)="ЛДСП P"),1,IFERROR(IF(VLOOKUP(A131,'Шаг1.Выбор плиты'!C:Q,12,0)*1&lt;10,"",IF(OR(E131=0.8,F131=0.8,H131=0.8,I131=0.8),"",2)),""))</f>
        <v/>
      </c>
      <c r="S131" s="44" t="str">
        <f>IF(AND(COUNTBLANK(D$19:$D130)=0,COUNTBLANK(G$19:$G130)=0),$S$17&amp;$S$16,"дозаполнить")</f>
        <v>дозаполнить</v>
      </c>
      <c r="T131" s="25">
        <f t="shared" si="8"/>
        <v>0</v>
      </c>
      <c r="U131" s="25">
        <f t="shared" si="5"/>
        <v>0</v>
      </c>
      <c r="V131" s="101">
        <f t="shared" si="6"/>
        <v>0</v>
      </c>
      <c r="W131" s="25">
        <f t="shared" si="7"/>
        <v>0</v>
      </c>
    </row>
    <row r="132" spans="1:24" ht="12.75" x14ac:dyDescent="0.2">
      <c r="A132" s="187"/>
      <c r="B132" s="42" t="str">
        <f ca="1">IF(A132="","",MAX($B$17:OFFSET(A132,-1,0))+1)</f>
        <v/>
      </c>
      <c r="C132" s="185"/>
      <c r="D132" s="184"/>
      <c r="E132" s="186"/>
      <c r="F132" s="186"/>
      <c r="G132" s="184"/>
      <c r="H132" s="186"/>
      <c r="I132" s="186"/>
      <c r="J132" s="56"/>
      <c r="K132" s="16">
        <f>(D132/1000)*(G132/1000)*J132</f>
        <v>0</v>
      </c>
      <c r="L132" s="17" t="str">
        <f t="shared" si="36"/>
        <v/>
      </c>
      <c r="M132" s="57" t="str">
        <f t="shared" si="37"/>
        <v/>
      </c>
      <c r="N132" s="57" t="str">
        <f t="shared" si="38"/>
        <v/>
      </c>
      <c r="O132" s="191" t="str">
        <f t="shared" si="39"/>
        <v/>
      </c>
      <c r="P132" s="43" t="str">
        <f>IF(OR(MID(A132,1,6)="ЛМДФ P",MID(A132,1,6)="ЛДСП P"),1,IFERROR(IF(VLOOKUP(A132,'Шаг1.Выбор плиты'!C:Q,12,0)*1&lt;10,"",0.4),""))</f>
        <v/>
      </c>
      <c r="Q132" s="43" t="str">
        <f>IF(OR(MID(A132,1,6)="ЛМДФ P",MID(A132,1,6)="ЛДСП P"),1,IFERROR(IF(VLOOKUP(A132,'Шаг1.Выбор плиты'!C:Q,12,0)*1&lt;10,"",IF(OR(E132=2,F132=2,H132=2,I132=2),"",0.8)),""))</f>
        <v/>
      </c>
      <c r="R132" s="43" t="str">
        <f>IF(OR(MID(A132,1,6)="ЛМДФ P",MID(A132,1,6)="ЛДСП P"),1,IFERROR(IF(VLOOKUP(A132,'Шаг1.Выбор плиты'!C:Q,12,0)*1&lt;10,"",IF(OR(E132=0.8,F132=0.8,H132=0.8,I132=0.8),"",2)),""))</f>
        <v/>
      </c>
      <c r="S132" s="44" t="str">
        <f>IF(AND(COUNTBLANK(D$19:$D131)=0,COUNTBLANK(G$19:$G131)=0),$S$17&amp;$S$16,"дозаполнить")</f>
        <v>дозаполнить</v>
      </c>
      <c r="T132" s="25">
        <f t="shared" si="8"/>
        <v>0</v>
      </c>
      <c r="U132" s="25">
        <f t="shared" si="5"/>
        <v>0</v>
      </c>
      <c r="V132" s="101">
        <f t="shared" si="6"/>
        <v>0</v>
      </c>
      <c r="W132" s="25">
        <f t="shared" si="7"/>
        <v>0</v>
      </c>
    </row>
    <row r="133" spans="1:24" ht="12.75" x14ac:dyDescent="0.2">
      <c r="A133" s="187"/>
      <c r="B133" s="42" t="str">
        <f ca="1">IF(A133="","",MAX($B$17:OFFSET(A133,-1,0))+1)</f>
        <v/>
      </c>
      <c r="C133" s="185"/>
      <c r="D133" s="184"/>
      <c r="E133" s="186"/>
      <c r="F133" s="186"/>
      <c r="G133" s="184"/>
      <c r="H133" s="186"/>
      <c r="I133" s="186"/>
      <c r="J133" s="56"/>
      <c r="K133" s="16">
        <f t="shared" si="4"/>
        <v>0</v>
      </c>
      <c r="L133" s="17" t="str">
        <f t="shared" si="36"/>
        <v/>
      </c>
      <c r="M133" s="57" t="str">
        <f t="shared" si="37"/>
        <v/>
      </c>
      <c r="N133" s="57" t="str">
        <f t="shared" si="38"/>
        <v/>
      </c>
      <c r="O133" s="191" t="str">
        <f t="shared" si="39"/>
        <v/>
      </c>
      <c r="P133" s="43" t="str">
        <f>IF(OR(MID(A133,1,6)="ЛМДФ P",MID(A133,1,6)="ЛДСП P"),1,IFERROR(IF(VLOOKUP(A133,'Шаг1.Выбор плиты'!C:Q,12,0)*1&lt;10,"",0.4),""))</f>
        <v/>
      </c>
      <c r="Q133" s="43" t="str">
        <f>IF(OR(MID(A133,1,6)="ЛМДФ P",MID(A133,1,6)="ЛДСП P"),1,IFERROR(IF(VLOOKUP(A133,'Шаг1.Выбор плиты'!C:Q,12,0)*1&lt;10,"",IF(OR(E133=2,F133=2,H133=2,I133=2),"",0.8)),""))</f>
        <v/>
      </c>
      <c r="R133" s="43" t="str">
        <f>IF(OR(MID(A133,1,6)="ЛМДФ P",MID(A133,1,6)="ЛДСП P"),1,IFERROR(IF(VLOOKUP(A133,'Шаг1.Выбор плиты'!C:Q,12,0)*1&lt;10,"",IF(OR(E133=0.8,F133=0.8,H133=0.8,I133=0.8),"",2)),""))</f>
        <v/>
      </c>
      <c r="S133" s="44" t="str">
        <f>IF(AND(COUNTBLANK(D$19:$D132)=0,COUNTBLANK(G$19:$G132)=0),$S$17&amp;$S$16,"дозаполнить")</f>
        <v>дозаполнить</v>
      </c>
      <c r="T133" s="25">
        <f t="shared" si="8"/>
        <v>0</v>
      </c>
      <c r="U133" s="25">
        <f t="shared" si="5"/>
        <v>0</v>
      </c>
      <c r="V133" s="101">
        <f t="shared" si="6"/>
        <v>0</v>
      </c>
      <c r="W133" s="25">
        <f t="shared" si="7"/>
        <v>0</v>
      </c>
    </row>
    <row r="134" spans="1:24" ht="12.75" x14ac:dyDescent="0.2">
      <c r="A134" s="187"/>
      <c r="B134" s="42" t="str">
        <f ca="1">IF(A134="","",MAX($B$17:OFFSET(A134,-1,0))+1)</f>
        <v/>
      </c>
      <c r="C134" s="185"/>
      <c r="D134" s="184"/>
      <c r="E134" s="186"/>
      <c r="F134" s="186"/>
      <c r="G134" s="184"/>
      <c r="H134" s="186"/>
      <c r="I134" s="186"/>
      <c r="J134" s="56"/>
      <c r="K134" s="16">
        <f t="shared" si="4"/>
        <v>0</v>
      </c>
      <c r="L134" s="17" t="str">
        <f t="shared" si="36"/>
        <v/>
      </c>
      <c r="M134" s="57" t="str">
        <f t="shared" si="37"/>
        <v/>
      </c>
      <c r="N134" s="57" t="str">
        <f t="shared" si="38"/>
        <v/>
      </c>
      <c r="O134" s="191" t="str">
        <f t="shared" si="39"/>
        <v/>
      </c>
      <c r="P134" s="43" t="str">
        <f>IF(OR(MID(A134,1,6)="ЛМДФ P",MID(A134,1,6)="ЛДСП P"),1,IFERROR(IF(VLOOKUP(A134,'Шаг1.Выбор плиты'!C:Q,12,0)*1&lt;10,"",0.4),""))</f>
        <v/>
      </c>
      <c r="Q134" s="43" t="str">
        <f>IF(OR(MID(A134,1,6)="ЛМДФ P",MID(A134,1,6)="ЛДСП P"),1,IFERROR(IF(VLOOKUP(A134,'Шаг1.Выбор плиты'!C:Q,12,0)*1&lt;10,"",IF(OR(E134=2,F134=2,H134=2,I134=2),"",0.8)),""))</f>
        <v/>
      </c>
      <c r="R134" s="43" t="str">
        <f>IF(OR(MID(A134,1,6)="ЛМДФ P",MID(A134,1,6)="ЛДСП P"),1,IFERROR(IF(VLOOKUP(A134,'Шаг1.Выбор плиты'!C:Q,12,0)*1&lt;10,"",IF(OR(E134=0.8,F134=0.8,H134=0.8,I134=0.8),"",2)),""))</f>
        <v/>
      </c>
      <c r="S134" s="44" t="str">
        <f>IF(AND(COUNTBLANK(D$19:$D133)=0,COUNTBLANK(G$19:$G133)=0),$S$17&amp;$S$16,"дозаполнить")</f>
        <v>дозаполнить</v>
      </c>
      <c r="T134" s="25">
        <f t="shared" si="8"/>
        <v>0</v>
      </c>
      <c r="U134" s="25">
        <f t="shared" si="5"/>
        <v>0</v>
      </c>
      <c r="V134" s="101">
        <f t="shared" si="6"/>
        <v>0</v>
      </c>
      <c r="W134" s="25">
        <f t="shared" si="7"/>
        <v>0</v>
      </c>
    </row>
    <row r="135" spans="1:24" ht="12.75" x14ac:dyDescent="0.2">
      <c r="A135" s="187"/>
      <c r="B135" s="42" t="str">
        <f ca="1">IF(A135="","",MAX($B$17:OFFSET(A135,-1,0))+1)</f>
        <v/>
      </c>
      <c r="C135" s="185"/>
      <c r="D135" s="184"/>
      <c r="E135" s="186"/>
      <c r="F135" s="186"/>
      <c r="G135" s="184"/>
      <c r="H135" s="186"/>
      <c r="I135" s="186"/>
      <c r="J135" s="56"/>
      <c r="K135" s="16">
        <f t="shared" si="4"/>
        <v>0</v>
      </c>
      <c r="L135" s="17" t="str">
        <f t="shared" si="36"/>
        <v/>
      </c>
      <c r="M135" s="57" t="str">
        <f t="shared" si="37"/>
        <v/>
      </c>
      <c r="N135" s="57" t="str">
        <f t="shared" si="38"/>
        <v/>
      </c>
      <c r="O135" s="191" t="str">
        <f t="shared" si="39"/>
        <v/>
      </c>
      <c r="P135" s="43" t="str">
        <f>IF(OR(MID(A135,1,6)="ЛМДФ P",MID(A135,1,6)="ЛДСП P"),1,IFERROR(IF(VLOOKUP(A135,'Шаг1.Выбор плиты'!C:Q,12,0)*1&lt;10,"",0.4),""))</f>
        <v/>
      </c>
      <c r="Q135" s="43" t="str">
        <f>IF(OR(MID(A135,1,6)="ЛМДФ P",MID(A135,1,6)="ЛДСП P"),1,IFERROR(IF(VLOOKUP(A135,'Шаг1.Выбор плиты'!C:Q,12,0)*1&lt;10,"",IF(OR(E135=2,F135=2,H135=2,I135=2),"",0.8)),""))</f>
        <v/>
      </c>
      <c r="R135" s="43" t="str">
        <f>IF(OR(MID(A135,1,6)="ЛМДФ P",MID(A135,1,6)="ЛДСП P"),1,IFERROR(IF(VLOOKUP(A135,'Шаг1.Выбор плиты'!C:Q,12,0)*1&lt;10,"",IF(OR(E135=0.8,F135=0.8,H135=0.8,I135=0.8),"",2)),""))</f>
        <v/>
      </c>
      <c r="S135" s="44" t="str">
        <f>IF(AND(COUNTBLANK(D$19:$D134)=0,COUNTBLANK(G$19:$G134)=0),$S$17&amp;$S$16,"дозаполнить")</f>
        <v>дозаполнить</v>
      </c>
      <c r="T135" s="25">
        <f t="shared" si="8"/>
        <v>0</v>
      </c>
      <c r="U135" s="25">
        <f t="shared" si="5"/>
        <v>0</v>
      </c>
      <c r="V135" s="101">
        <f t="shared" si="6"/>
        <v>0</v>
      </c>
      <c r="W135" s="25">
        <f t="shared" si="7"/>
        <v>0</v>
      </c>
      <c r="X135" s="102"/>
    </row>
    <row r="136" spans="1:24" ht="12.75" x14ac:dyDescent="0.2">
      <c r="A136" s="187"/>
      <c r="B136" s="42" t="str">
        <f ca="1">IF(A136="","",MAX($B$17:OFFSET(A136,-1,0))+1)</f>
        <v/>
      </c>
      <c r="C136" s="185"/>
      <c r="D136" s="184"/>
      <c r="E136" s="186"/>
      <c r="F136" s="186"/>
      <c r="G136" s="184"/>
      <c r="H136" s="186"/>
      <c r="I136" s="186"/>
      <c r="J136" s="56"/>
      <c r="K136" s="16">
        <f t="shared" si="4"/>
        <v>0</v>
      </c>
      <c r="L136" s="17" t="str">
        <f t="shared" si="36"/>
        <v/>
      </c>
      <c r="M136" s="57" t="str">
        <f t="shared" si="37"/>
        <v/>
      </c>
      <c r="N136" s="57" t="str">
        <f t="shared" si="38"/>
        <v/>
      </c>
      <c r="O136" s="191" t="str">
        <f t="shared" si="39"/>
        <v/>
      </c>
      <c r="P136" s="43" t="str">
        <f>IF(OR(MID(A136,1,6)="ЛМДФ P",MID(A136,1,6)="ЛДСП P"),1,IFERROR(IF(VLOOKUP(A136,'Шаг1.Выбор плиты'!C:Q,12,0)*1&lt;10,"",0.4),""))</f>
        <v/>
      </c>
      <c r="Q136" s="43" t="str">
        <f>IF(OR(MID(A136,1,6)="ЛМДФ P",MID(A136,1,6)="ЛДСП P"),1,IFERROR(IF(VLOOKUP(A136,'Шаг1.Выбор плиты'!C:Q,12,0)*1&lt;10,"",IF(OR(E136=2,F136=2,H136=2,I136=2),"",0.8)),""))</f>
        <v/>
      </c>
      <c r="R136" s="43" t="str">
        <f>IF(OR(MID(A136,1,6)="ЛМДФ P",MID(A136,1,6)="ЛДСП P"),1,IFERROR(IF(VLOOKUP(A136,'Шаг1.Выбор плиты'!C:Q,12,0)*1&lt;10,"",IF(OR(E136=0.8,F136=0.8,H136=0.8,I136=0.8),"",2)),""))</f>
        <v/>
      </c>
      <c r="S136" s="44" t="str">
        <f>IF(AND(COUNTBLANK(D$19:$D135)=0,COUNTBLANK(G$19:$G135)=0),$S$17&amp;$S$16,"дозаполнить")</f>
        <v>дозаполнить</v>
      </c>
      <c r="T136" s="25">
        <f t="shared" si="8"/>
        <v>0</v>
      </c>
      <c r="U136" s="25">
        <f t="shared" si="5"/>
        <v>0</v>
      </c>
      <c r="V136" s="101">
        <f t="shared" si="6"/>
        <v>0</v>
      </c>
      <c r="W136" s="25">
        <f t="shared" si="7"/>
        <v>0</v>
      </c>
    </row>
    <row r="137" spans="1:24" ht="12.75" x14ac:dyDescent="0.2">
      <c r="A137" s="187"/>
      <c r="B137" s="42" t="str">
        <f ca="1">IF(A137="","",MAX($B$17:OFFSET(A137,-1,0))+1)</f>
        <v/>
      </c>
      <c r="C137" s="185"/>
      <c r="D137" s="184"/>
      <c r="E137" s="186"/>
      <c r="F137" s="186"/>
      <c r="G137" s="184"/>
      <c r="H137" s="186"/>
      <c r="I137" s="186"/>
      <c r="J137" s="56"/>
      <c r="K137" s="16">
        <f t="shared" si="4"/>
        <v>0</v>
      </c>
      <c r="L137" s="17" t="str">
        <f t="shared" si="36"/>
        <v/>
      </c>
      <c r="M137" s="57" t="str">
        <f t="shared" si="37"/>
        <v/>
      </c>
      <c r="N137" s="57" t="str">
        <f t="shared" si="38"/>
        <v/>
      </c>
      <c r="O137" s="191" t="str">
        <f t="shared" si="39"/>
        <v/>
      </c>
      <c r="P137" s="43" t="str">
        <f>IF(OR(MID(A137,1,6)="ЛМДФ P",MID(A137,1,6)="ЛДСП P"),1,IFERROR(IF(VLOOKUP(A137,'Шаг1.Выбор плиты'!C:Q,12,0)*1&lt;10,"",0.4),""))</f>
        <v/>
      </c>
      <c r="Q137" s="43" t="str">
        <f>IF(OR(MID(A137,1,6)="ЛМДФ P",MID(A137,1,6)="ЛДСП P"),1,IFERROR(IF(VLOOKUP(A137,'Шаг1.Выбор плиты'!C:Q,12,0)*1&lt;10,"",IF(OR(E137=2,F137=2,H137=2,I137=2),"",0.8)),""))</f>
        <v/>
      </c>
      <c r="R137" s="43" t="str">
        <f>IF(OR(MID(A137,1,6)="ЛМДФ P",MID(A137,1,6)="ЛДСП P"),1,IFERROR(IF(VLOOKUP(A137,'Шаг1.Выбор плиты'!C:Q,12,0)*1&lt;10,"",IF(OR(E137=0.8,F137=0.8,H137=0.8,I137=0.8),"",2)),""))</f>
        <v/>
      </c>
      <c r="S137" s="44" t="str">
        <f>IF(AND(COUNTBLANK(D$19:$D136)=0,COUNTBLANK(G$19:$G136)=0),$S$17&amp;$S$16,"дозаполнить")</f>
        <v>дозаполнить</v>
      </c>
      <c r="T137" s="25">
        <f t="shared" si="8"/>
        <v>0</v>
      </c>
      <c r="U137" s="25">
        <f t="shared" si="5"/>
        <v>0</v>
      </c>
      <c r="V137" s="101">
        <f t="shared" si="6"/>
        <v>0</v>
      </c>
      <c r="W137" s="25">
        <f t="shared" si="7"/>
        <v>0</v>
      </c>
    </row>
    <row r="138" spans="1:24" ht="12.75" x14ac:dyDescent="0.2">
      <c r="A138" s="187"/>
      <c r="B138" s="42" t="str">
        <f ca="1">IF(A138="","",MAX($B$17:OFFSET(A138,-1,0))+1)</f>
        <v/>
      </c>
      <c r="C138" s="185"/>
      <c r="D138" s="184"/>
      <c r="E138" s="186"/>
      <c r="F138" s="186"/>
      <c r="G138" s="184"/>
      <c r="H138" s="186"/>
      <c r="I138" s="186"/>
      <c r="J138" s="56"/>
      <c r="K138" s="16">
        <f t="shared" si="4"/>
        <v>0</v>
      </c>
      <c r="L138" s="17" t="str">
        <f t="shared" si="36"/>
        <v/>
      </c>
      <c r="M138" s="57" t="str">
        <f t="shared" si="37"/>
        <v/>
      </c>
      <c r="N138" s="57" t="str">
        <f t="shared" si="38"/>
        <v/>
      </c>
      <c r="O138" s="191" t="str">
        <f t="shared" si="39"/>
        <v/>
      </c>
      <c r="P138" s="43" t="str">
        <f>IF(OR(MID(A138,1,6)="ЛМДФ P",MID(A138,1,6)="ЛДСП P"),1,IFERROR(IF(VLOOKUP(A138,'Шаг1.Выбор плиты'!C:Q,12,0)*1&lt;10,"",0.4),""))</f>
        <v/>
      </c>
      <c r="Q138" s="43" t="str">
        <f>IF(OR(MID(A138,1,6)="ЛМДФ P",MID(A138,1,6)="ЛДСП P"),1,IFERROR(IF(VLOOKUP(A138,'Шаг1.Выбор плиты'!C:Q,12,0)*1&lt;10,"",IF(OR(E138=2,F138=2,H138=2,I138=2),"",0.8)),""))</f>
        <v/>
      </c>
      <c r="R138" s="43" t="str">
        <f>IF(OR(MID(A138,1,6)="ЛМДФ P",MID(A138,1,6)="ЛДСП P"),1,IFERROR(IF(VLOOKUP(A138,'Шаг1.Выбор плиты'!C:Q,12,0)*1&lt;10,"",IF(OR(E138=0.8,F138=0.8,H138=0.8,I138=0.8),"",2)),""))</f>
        <v/>
      </c>
      <c r="S138" s="44" t="str">
        <f>IF(AND(COUNTBLANK(D$19:$D137)=0,COUNTBLANK(G$19:$G137)=0),$S$17&amp;$S$16,"дозаполнить")</f>
        <v>дозаполнить</v>
      </c>
      <c r="T138" s="25">
        <f t="shared" si="8"/>
        <v>0</v>
      </c>
      <c r="U138" s="25">
        <f t="shared" si="5"/>
        <v>0</v>
      </c>
      <c r="V138" s="101">
        <f t="shared" si="6"/>
        <v>0</v>
      </c>
      <c r="W138" s="25">
        <f t="shared" si="7"/>
        <v>0</v>
      </c>
    </row>
    <row r="139" spans="1:24" ht="12.75" x14ac:dyDescent="0.2">
      <c r="A139" s="187"/>
      <c r="B139" s="42" t="str">
        <f ca="1">IF(A139="","",MAX($B$17:OFFSET(A139,-1,0))+1)</f>
        <v/>
      </c>
      <c r="C139" s="185"/>
      <c r="D139" s="184"/>
      <c r="E139" s="186"/>
      <c r="F139" s="186"/>
      <c r="G139" s="184"/>
      <c r="H139" s="186"/>
      <c r="I139" s="186"/>
      <c r="J139" s="56"/>
      <c r="K139" s="16">
        <f t="shared" si="4"/>
        <v>0</v>
      </c>
      <c r="L139" s="17" t="str">
        <f t="shared" si="36"/>
        <v/>
      </c>
      <c r="M139" s="57" t="str">
        <f t="shared" si="37"/>
        <v/>
      </c>
      <c r="N139" s="57" t="str">
        <f t="shared" si="38"/>
        <v/>
      </c>
      <c r="O139" s="191" t="str">
        <f t="shared" si="39"/>
        <v/>
      </c>
      <c r="P139" s="43" t="str">
        <f>IF(OR(MID(A139,1,6)="ЛМДФ P",MID(A139,1,6)="ЛДСП P"),1,IFERROR(IF(VLOOKUP(A139,'Шаг1.Выбор плиты'!C:Q,12,0)*1&lt;10,"",0.4),""))</f>
        <v/>
      </c>
      <c r="Q139" s="43" t="str">
        <f>IF(OR(MID(A139,1,6)="ЛМДФ P",MID(A139,1,6)="ЛДСП P"),1,IFERROR(IF(VLOOKUP(A139,'Шаг1.Выбор плиты'!C:Q,12,0)*1&lt;10,"",IF(OR(E139=2,F139=2,H139=2,I139=2),"",0.8)),""))</f>
        <v/>
      </c>
      <c r="R139" s="43" t="str">
        <f>IF(OR(MID(A139,1,6)="ЛМДФ P",MID(A139,1,6)="ЛДСП P"),1,IFERROR(IF(VLOOKUP(A139,'Шаг1.Выбор плиты'!C:Q,12,0)*1&lt;10,"",IF(OR(E139=0.8,F139=0.8,H139=0.8,I139=0.8),"",2)),""))</f>
        <v/>
      </c>
      <c r="S139" s="44" t="str">
        <f>IF(AND(COUNTBLANK(D$19:$D138)=0,COUNTBLANK(G$19:$G138)=0),$S$17&amp;$S$16,"дозаполнить")</f>
        <v>дозаполнить</v>
      </c>
      <c r="T139" s="25">
        <f t="shared" si="8"/>
        <v>0</v>
      </c>
      <c r="U139" s="25">
        <f t="shared" si="5"/>
        <v>0</v>
      </c>
      <c r="V139" s="101">
        <f t="shared" si="6"/>
        <v>0</v>
      </c>
      <c r="W139" s="25">
        <f t="shared" si="7"/>
        <v>0</v>
      </c>
    </row>
    <row r="140" spans="1:24" ht="12.75" x14ac:dyDescent="0.2">
      <c r="A140" s="187"/>
      <c r="B140" s="42" t="str">
        <f ca="1">IF(A140="","",MAX($B$17:OFFSET(A140,-1,0))+1)</f>
        <v/>
      </c>
      <c r="C140" s="185"/>
      <c r="D140" s="184"/>
      <c r="E140" s="186"/>
      <c r="F140" s="186"/>
      <c r="G140" s="184"/>
      <c r="H140" s="186"/>
      <c r="I140" s="186"/>
      <c r="J140" s="56"/>
      <c r="K140" s="16">
        <f t="shared" si="4"/>
        <v>0</v>
      </c>
      <c r="L140" s="17" t="str">
        <f t="shared" si="36"/>
        <v/>
      </c>
      <c r="M140" s="57" t="str">
        <f t="shared" si="37"/>
        <v/>
      </c>
      <c r="N140" s="57" t="str">
        <f t="shared" si="38"/>
        <v/>
      </c>
      <c r="O140" s="191" t="str">
        <f t="shared" si="39"/>
        <v/>
      </c>
      <c r="P140" s="43" t="str">
        <f>IF(OR(MID(A140,1,6)="ЛМДФ P",MID(A140,1,6)="ЛДСП P"),1,IFERROR(IF(VLOOKUP(A140,'Шаг1.Выбор плиты'!C:Q,12,0)*1&lt;10,"",0.4),""))</f>
        <v/>
      </c>
      <c r="Q140" s="43" t="str">
        <f>IF(OR(MID(A140,1,6)="ЛМДФ P",MID(A140,1,6)="ЛДСП P"),1,IFERROR(IF(VLOOKUP(A140,'Шаг1.Выбор плиты'!C:Q,12,0)*1&lt;10,"",IF(OR(E140=2,F140=2,H140=2,I140=2),"",0.8)),""))</f>
        <v/>
      </c>
      <c r="R140" s="43" t="str">
        <f>IF(OR(MID(A140,1,6)="ЛМДФ P",MID(A140,1,6)="ЛДСП P"),1,IFERROR(IF(VLOOKUP(A140,'Шаг1.Выбор плиты'!C:Q,12,0)*1&lt;10,"",IF(OR(E140=0.8,F140=0.8,H140=0.8,I140=0.8),"",2)),""))</f>
        <v/>
      </c>
      <c r="S140" s="44" t="str">
        <f>IF(AND(COUNTBLANK(D$19:$D139)=0,COUNTBLANK(G$19:$G139)=0),$S$17&amp;$S$16,"дозаполнить")</f>
        <v>дозаполнить</v>
      </c>
      <c r="T140" s="25">
        <f t="shared" si="8"/>
        <v>0</v>
      </c>
      <c r="U140" s="25">
        <f t="shared" si="5"/>
        <v>0</v>
      </c>
      <c r="V140" s="101">
        <f t="shared" si="6"/>
        <v>0</v>
      </c>
      <c r="W140" s="25">
        <f t="shared" si="7"/>
        <v>0</v>
      </c>
    </row>
    <row r="141" spans="1:24" ht="12.75" x14ac:dyDescent="0.2">
      <c r="A141" s="187"/>
      <c r="B141" s="42" t="str">
        <f ca="1">IF(A141="","",MAX($B$17:OFFSET(A141,-1,0))+1)</f>
        <v/>
      </c>
      <c r="C141" s="185"/>
      <c r="D141" s="184"/>
      <c r="E141" s="186"/>
      <c r="F141" s="186"/>
      <c r="G141" s="184"/>
      <c r="H141" s="186"/>
      <c r="I141" s="186"/>
      <c r="J141" s="56"/>
      <c r="K141" s="16">
        <f t="shared" si="4"/>
        <v>0</v>
      </c>
      <c r="L141" s="17" t="str">
        <f t="shared" si="36"/>
        <v/>
      </c>
      <c r="M141" s="57" t="str">
        <f t="shared" si="37"/>
        <v/>
      </c>
      <c r="N141" s="57" t="str">
        <f t="shared" si="38"/>
        <v/>
      </c>
      <c r="O141" s="191" t="str">
        <f t="shared" si="39"/>
        <v/>
      </c>
      <c r="P141" s="43" t="str">
        <f>IF(OR(MID(A141,1,6)="ЛМДФ P",MID(A141,1,6)="ЛДСП P"),1,IFERROR(IF(VLOOKUP(A141,'Шаг1.Выбор плиты'!C:Q,12,0)*1&lt;10,"",0.4),""))</f>
        <v/>
      </c>
      <c r="Q141" s="43" t="str">
        <f>IF(OR(MID(A141,1,6)="ЛМДФ P",MID(A141,1,6)="ЛДСП P"),1,IFERROR(IF(VLOOKUP(A141,'Шаг1.Выбор плиты'!C:Q,12,0)*1&lt;10,"",IF(OR(E141=2,F141=2,H141=2,I141=2),"",0.8)),""))</f>
        <v/>
      </c>
      <c r="R141" s="43" t="str">
        <f>IF(OR(MID(A141,1,6)="ЛМДФ P",MID(A141,1,6)="ЛДСП P"),1,IFERROR(IF(VLOOKUP(A141,'Шаг1.Выбор плиты'!C:Q,12,0)*1&lt;10,"",IF(OR(E141=0.8,F141=0.8,H141=0.8,I141=0.8),"",2)),""))</f>
        <v/>
      </c>
      <c r="S141" s="44" t="str">
        <f>IF(AND(COUNTBLANK(D$19:$D140)=0,COUNTBLANK(G$19:$G140)=0),$S$17&amp;$S$16,"дозаполнить")</f>
        <v>дозаполнить</v>
      </c>
      <c r="T141" s="25">
        <f t="shared" si="8"/>
        <v>0</v>
      </c>
      <c r="U141" s="25">
        <f t="shared" si="5"/>
        <v>0</v>
      </c>
      <c r="V141" s="101">
        <f t="shared" si="6"/>
        <v>0</v>
      </c>
      <c r="W141" s="25">
        <f t="shared" si="7"/>
        <v>0</v>
      </c>
    </row>
    <row r="142" spans="1:24" ht="12.75" x14ac:dyDescent="0.2">
      <c r="A142" s="187"/>
      <c r="B142" s="42" t="str">
        <f ca="1">IF(A142="","",MAX($B$17:OFFSET(A142,-1,0))+1)</f>
        <v/>
      </c>
      <c r="C142" s="185"/>
      <c r="D142" s="184"/>
      <c r="E142" s="186"/>
      <c r="F142" s="186"/>
      <c r="G142" s="184"/>
      <c r="H142" s="186"/>
      <c r="I142" s="186"/>
      <c r="J142" s="56"/>
      <c r="K142" s="16">
        <f t="shared" si="4"/>
        <v>0</v>
      </c>
      <c r="L142" s="17" t="str">
        <f t="shared" si="36"/>
        <v/>
      </c>
      <c r="M142" s="57" t="str">
        <f t="shared" si="37"/>
        <v/>
      </c>
      <c r="N142" s="57" t="str">
        <f t="shared" si="38"/>
        <v/>
      </c>
      <c r="O142" s="191" t="str">
        <f t="shared" si="39"/>
        <v/>
      </c>
      <c r="P142" s="43" t="str">
        <f>IF(OR(MID(A142,1,6)="ЛМДФ P",MID(A142,1,6)="ЛДСП P"),1,IFERROR(IF(VLOOKUP(A142,'Шаг1.Выбор плиты'!C:Q,12,0)*1&lt;10,"",0.4),""))</f>
        <v/>
      </c>
      <c r="Q142" s="43" t="str">
        <f>IF(OR(MID(A142,1,6)="ЛМДФ P",MID(A142,1,6)="ЛДСП P"),1,IFERROR(IF(VLOOKUP(A142,'Шаг1.Выбор плиты'!C:Q,12,0)*1&lt;10,"",IF(OR(E142=2,F142=2,H142=2,I142=2),"",0.8)),""))</f>
        <v/>
      </c>
      <c r="R142" s="43" t="str">
        <f>IF(OR(MID(A142,1,6)="ЛМДФ P",MID(A142,1,6)="ЛДСП P"),1,IFERROR(IF(VLOOKUP(A142,'Шаг1.Выбор плиты'!C:Q,12,0)*1&lt;10,"",IF(OR(E142=0.8,F142=0.8,H142=0.8,I142=0.8),"",2)),""))</f>
        <v/>
      </c>
      <c r="S142" s="44" t="str">
        <f>IF(AND(COUNTBLANK(D$19:$D141)=0,COUNTBLANK(G$19:$G141)=0),$S$17&amp;$S$16,"дозаполнить")</f>
        <v>дозаполнить</v>
      </c>
      <c r="T142" s="25">
        <f t="shared" si="8"/>
        <v>0</v>
      </c>
      <c r="U142" s="25">
        <f t="shared" si="5"/>
        <v>0</v>
      </c>
      <c r="V142" s="101">
        <f t="shared" si="6"/>
        <v>0</v>
      </c>
      <c r="W142" s="25">
        <f t="shared" si="7"/>
        <v>0</v>
      </c>
    </row>
    <row r="143" spans="1:24" ht="12.75" x14ac:dyDescent="0.2">
      <c r="A143" s="187"/>
      <c r="B143" s="42" t="str">
        <f ca="1">IF(A143="","",MAX($B$17:OFFSET(A143,-1,0))+1)</f>
        <v/>
      </c>
      <c r="C143" s="185"/>
      <c r="D143" s="184"/>
      <c r="E143" s="186"/>
      <c r="F143" s="186"/>
      <c r="G143" s="184"/>
      <c r="H143" s="186"/>
      <c r="I143" s="186"/>
      <c r="J143" s="56"/>
      <c r="K143" s="16">
        <f t="shared" si="4"/>
        <v>0</v>
      </c>
      <c r="L143" s="17" t="str">
        <f t="shared" si="36"/>
        <v/>
      </c>
      <c r="M143" s="57" t="str">
        <f t="shared" si="37"/>
        <v/>
      </c>
      <c r="N143" s="57" t="str">
        <f t="shared" si="38"/>
        <v/>
      </c>
      <c r="O143" s="191" t="str">
        <f t="shared" si="39"/>
        <v/>
      </c>
      <c r="P143" s="43" t="str">
        <f>IF(OR(MID(A143,1,6)="ЛМДФ P",MID(A143,1,6)="ЛДСП P"),1,IFERROR(IF(VLOOKUP(A143,'Шаг1.Выбор плиты'!C:Q,12,0)*1&lt;10,"",0.4),""))</f>
        <v/>
      </c>
      <c r="Q143" s="43" t="str">
        <f>IF(OR(MID(A143,1,6)="ЛМДФ P",MID(A143,1,6)="ЛДСП P"),1,IFERROR(IF(VLOOKUP(A143,'Шаг1.Выбор плиты'!C:Q,12,0)*1&lt;10,"",IF(OR(E143=2,F143=2,H143=2,I143=2),"",0.8)),""))</f>
        <v/>
      </c>
      <c r="R143" s="43" t="str">
        <f>IF(OR(MID(A143,1,6)="ЛМДФ P",MID(A143,1,6)="ЛДСП P"),1,IFERROR(IF(VLOOKUP(A143,'Шаг1.Выбор плиты'!C:Q,12,0)*1&lt;10,"",IF(OR(E143=0.8,F143=0.8,H143=0.8,I143=0.8),"",2)),""))</f>
        <v/>
      </c>
      <c r="S143" s="44" t="str">
        <f>IF(AND(COUNTBLANK(D$19:$D142)=0,COUNTBLANK(G$19:$G142)=0),$S$17&amp;$S$16,"дозаполнить")</f>
        <v>дозаполнить</v>
      </c>
      <c r="T143" s="25">
        <f t="shared" si="8"/>
        <v>0</v>
      </c>
      <c r="U143" s="25">
        <f t="shared" si="5"/>
        <v>0</v>
      </c>
      <c r="V143" s="101">
        <f t="shared" si="6"/>
        <v>0</v>
      </c>
      <c r="W143" s="25">
        <f t="shared" si="7"/>
        <v>0</v>
      </c>
    </row>
    <row r="144" spans="1:24" ht="12.75" x14ac:dyDescent="0.2">
      <c r="A144" s="187"/>
      <c r="B144" s="42" t="str">
        <f ca="1">IF(A144="","",MAX($B$17:OFFSET(A144,-1,0))+1)</f>
        <v/>
      </c>
      <c r="C144" s="185"/>
      <c r="D144" s="184"/>
      <c r="E144" s="186"/>
      <c r="F144" s="186"/>
      <c r="G144" s="184"/>
      <c r="H144" s="186"/>
      <c r="I144" s="186"/>
      <c r="J144" s="56"/>
      <c r="K144" s="16">
        <f t="shared" si="4"/>
        <v>0</v>
      </c>
      <c r="L144" s="17" t="str">
        <f t="shared" si="36"/>
        <v/>
      </c>
      <c r="M144" s="57" t="str">
        <f t="shared" si="37"/>
        <v/>
      </c>
      <c r="N144" s="57" t="str">
        <f t="shared" si="38"/>
        <v/>
      </c>
      <c r="O144" s="191" t="str">
        <f t="shared" si="39"/>
        <v/>
      </c>
      <c r="P144" s="43" t="str">
        <f>IF(OR(MID(A144,1,6)="ЛМДФ P",MID(A144,1,6)="ЛДСП P"),1,IFERROR(IF(VLOOKUP(A144,'Шаг1.Выбор плиты'!C:Q,12,0)*1&lt;10,"",0.4),""))</f>
        <v/>
      </c>
      <c r="Q144" s="43" t="str">
        <f>IF(OR(MID(A144,1,6)="ЛМДФ P",MID(A144,1,6)="ЛДСП P"),1,IFERROR(IF(VLOOKUP(A144,'Шаг1.Выбор плиты'!C:Q,12,0)*1&lt;10,"",IF(OR(E144=2,F144=2,H144=2,I144=2),"",0.8)),""))</f>
        <v/>
      </c>
      <c r="R144" s="43" t="str">
        <f>IF(OR(MID(A144,1,6)="ЛМДФ P",MID(A144,1,6)="ЛДСП P"),1,IFERROR(IF(VLOOKUP(A144,'Шаг1.Выбор плиты'!C:Q,12,0)*1&lt;10,"",IF(OR(E144=0.8,F144=0.8,H144=0.8,I144=0.8),"",2)),""))</f>
        <v/>
      </c>
      <c r="S144" s="44" t="str">
        <f>IF(AND(COUNTBLANK(D$19:$D143)=0,COUNTBLANK(G$19:$G143)=0),$S$17&amp;$S$16,"дозаполнить")</f>
        <v>дозаполнить</v>
      </c>
      <c r="T144" s="25">
        <f t="shared" si="8"/>
        <v>0</v>
      </c>
      <c r="U144" s="25">
        <f t="shared" si="5"/>
        <v>0</v>
      </c>
      <c r="V144" s="101">
        <f t="shared" si="6"/>
        <v>0</v>
      </c>
      <c r="W144" s="25">
        <f t="shared" si="7"/>
        <v>0</v>
      </c>
    </row>
    <row r="145" spans="1:23" ht="12.75" x14ac:dyDescent="0.2">
      <c r="A145" s="187"/>
      <c r="B145" s="42" t="str">
        <f ca="1">IF(A145="","",MAX($B$17:OFFSET(A145,-1,0))+1)</f>
        <v/>
      </c>
      <c r="C145" s="185"/>
      <c r="D145" s="184"/>
      <c r="E145" s="186"/>
      <c r="F145" s="186"/>
      <c r="G145" s="184"/>
      <c r="H145" s="186"/>
      <c r="I145" s="186"/>
      <c r="J145" s="56"/>
      <c r="K145" s="16">
        <f t="shared" si="4"/>
        <v>0</v>
      </c>
      <c r="L145" s="17" t="str">
        <f t="shared" si="36"/>
        <v/>
      </c>
      <c r="M145" s="57" t="str">
        <f t="shared" si="37"/>
        <v/>
      </c>
      <c r="N145" s="57" t="str">
        <f t="shared" si="38"/>
        <v/>
      </c>
      <c r="O145" s="191" t="str">
        <f t="shared" si="39"/>
        <v/>
      </c>
      <c r="P145" s="43" t="str">
        <f>IF(OR(MID(A145,1,6)="ЛМДФ P",MID(A145,1,6)="ЛДСП P"),1,IFERROR(IF(VLOOKUP(A145,'Шаг1.Выбор плиты'!C:Q,12,0)*1&lt;10,"",0.4),""))</f>
        <v/>
      </c>
      <c r="Q145" s="43" t="str">
        <f>IF(OR(MID(A145,1,6)="ЛМДФ P",MID(A145,1,6)="ЛДСП P"),1,IFERROR(IF(VLOOKUP(A145,'Шаг1.Выбор плиты'!C:Q,12,0)*1&lt;10,"",IF(OR(E145=2,F145=2,H145=2,I145=2),"",0.8)),""))</f>
        <v/>
      </c>
      <c r="R145" s="43" t="str">
        <f>IF(OR(MID(A145,1,6)="ЛМДФ P",MID(A145,1,6)="ЛДСП P"),1,IFERROR(IF(VLOOKUP(A145,'Шаг1.Выбор плиты'!C:Q,12,0)*1&lt;10,"",IF(OR(E145=0.8,F145=0.8,H145=0.8,I145=0.8),"",2)),""))</f>
        <v/>
      </c>
      <c r="S145" s="44" t="str">
        <f>IF(AND(COUNTBLANK(D$19:$D144)=0,COUNTBLANK(G$19:$G144)=0),$S$17&amp;$S$16,"дозаполнить")</f>
        <v>дозаполнить</v>
      </c>
      <c r="T145" s="25">
        <f t="shared" si="8"/>
        <v>0</v>
      </c>
      <c r="U145" s="25">
        <f t="shared" si="5"/>
        <v>0</v>
      </c>
      <c r="V145" s="101">
        <f t="shared" si="6"/>
        <v>0</v>
      </c>
      <c r="W145" s="25">
        <f t="shared" si="7"/>
        <v>0</v>
      </c>
    </row>
    <row r="146" spans="1:23" ht="12.75" x14ac:dyDescent="0.2">
      <c r="A146" s="187"/>
      <c r="B146" s="42" t="str">
        <f ca="1">IF(A146="","",MAX($B$17:OFFSET(A146,-1,0))+1)</f>
        <v/>
      </c>
      <c r="C146" s="185"/>
      <c r="D146" s="184"/>
      <c r="E146" s="186"/>
      <c r="F146" s="186"/>
      <c r="G146" s="184"/>
      <c r="H146" s="186"/>
      <c r="I146" s="186"/>
      <c r="J146" s="56"/>
      <c r="K146" s="16">
        <f t="shared" si="4"/>
        <v>0</v>
      </c>
      <c r="L146" s="17" t="str">
        <f t="shared" ref="L146:L160" si="40">IF(A146="","","Нет")</f>
        <v/>
      </c>
      <c r="M146" s="57" t="str">
        <f t="shared" si="37"/>
        <v/>
      </c>
      <c r="N146" s="57" t="str">
        <f t="shared" si="38"/>
        <v/>
      </c>
      <c r="O146" s="191" t="str">
        <f t="shared" si="39"/>
        <v/>
      </c>
      <c r="P146" s="43" t="str">
        <f>IF(OR(MID(A146,1,6)="ЛМДФ P",MID(A146,1,6)="ЛДСП P"),1,IFERROR(IF(VLOOKUP(A146,'Шаг1.Выбор плиты'!C:Q,12,0)*1&lt;10,"",0.4),""))</f>
        <v/>
      </c>
      <c r="Q146" s="43" t="str">
        <f>IF(OR(MID(A146,1,6)="ЛМДФ P",MID(A146,1,6)="ЛДСП P"),1,IFERROR(IF(VLOOKUP(A146,'Шаг1.Выбор плиты'!C:Q,12,0)*1&lt;10,"",IF(OR(E146=2,F146=2,H146=2,I146=2),"",0.8)),""))</f>
        <v/>
      </c>
      <c r="R146" s="43" t="str">
        <f>IF(OR(MID(A146,1,6)="ЛМДФ P",MID(A146,1,6)="ЛДСП P"),1,IFERROR(IF(VLOOKUP(A146,'Шаг1.Выбор плиты'!C:Q,12,0)*1&lt;10,"",IF(OR(E146=0.8,F146=0.8,H146=0.8,I146=0.8),"",2)),""))</f>
        <v/>
      </c>
      <c r="S146" s="44" t="str">
        <f>IF(AND(COUNTBLANK(D$19:$D145)=0,COUNTBLANK(G$19:$G145)=0),$S$17&amp;$S$16,"дозаполнить")</f>
        <v>дозаполнить</v>
      </c>
      <c r="T146" s="25">
        <f t="shared" si="8"/>
        <v>0</v>
      </c>
      <c r="U146" s="25">
        <f t="shared" si="5"/>
        <v>0</v>
      </c>
      <c r="V146" s="101">
        <f t="shared" si="6"/>
        <v>0</v>
      </c>
      <c r="W146" s="25">
        <f t="shared" si="7"/>
        <v>0</v>
      </c>
    </row>
    <row r="147" spans="1:23" ht="12.75" x14ac:dyDescent="0.2">
      <c r="A147" s="187"/>
      <c r="B147" s="42" t="str">
        <f ca="1">IF(A147="","",MAX($B$17:OFFSET(A147,-1,0))+1)</f>
        <v/>
      </c>
      <c r="C147" s="185"/>
      <c r="D147" s="184"/>
      <c r="E147" s="186"/>
      <c r="F147" s="186"/>
      <c r="G147" s="184"/>
      <c r="H147" s="186"/>
      <c r="I147" s="186"/>
      <c r="J147" s="56"/>
      <c r="K147" s="16">
        <f t="shared" si="4"/>
        <v>0</v>
      </c>
      <c r="L147" s="17" t="str">
        <f t="shared" si="40"/>
        <v/>
      </c>
      <c r="M147" s="57" t="str">
        <f t="shared" ref="M147:M150" si="41">IF(A147="","","Нет")</f>
        <v/>
      </c>
      <c r="N147" s="57" t="str">
        <f t="shared" ref="N147:N150" si="42">IF(A147="","","Нет")</f>
        <v/>
      </c>
      <c r="O147" s="191" t="str">
        <f t="shared" ref="O147:O192" si="43">IF(OR(M147="да",N147="да"),"укажите здесь ссылку на чертеж","")</f>
        <v/>
      </c>
      <c r="P147" s="43" t="str">
        <f>IF(OR(MID(A147,1,6)="ЛМДФ P",MID(A147,1,6)="ЛДСП P"),1,IFERROR(IF(VLOOKUP(A147,'Шаг1.Выбор плиты'!C:Q,12,0)*1&lt;10,"",0.4),""))</f>
        <v/>
      </c>
      <c r="Q147" s="43" t="str">
        <f>IF(OR(MID(A147,1,6)="ЛМДФ P",MID(A147,1,6)="ЛДСП P"),1,IFERROR(IF(VLOOKUP(A147,'Шаг1.Выбор плиты'!C:Q,12,0)*1&lt;10,"",IF(OR(E147=2,F147=2,H147=2,I147=2),"",0.8)),""))</f>
        <v/>
      </c>
      <c r="R147" s="43" t="str">
        <f>IF(OR(MID(A147,1,6)="ЛМДФ P",MID(A147,1,6)="ЛДСП P"),1,IFERROR(IF(VLOOKUP(A147,'Шаг1.Выбор плиты'!C:Q,12,0)*1&lt;10,"",IF(OR(E147=0.8,F147=0.8,H147=0.8,I147=0.8),"",2)),""))</f>
        <v/>
      </c>
      <c r="S147" s="44" t="str">
        <f>IF(AND(COUNTBLANK(D$19:$D146)=0,COUNTBLANK(G$19:$G146)=0),$S$17&amp;$S$16,"дозаполнить")</f>
        <v>дозаполнить</v>
      </c>
      <c r="T147" s="25">
        <f t="shared" si="8"/>
        <v>0</v>
      </c>
      <c r="U147" s="25">
        <f t="shared" si="5"/>
        <v>0</v>
      </c>
      <c r="V147" s="101">
        <f t="shared" si="6"/>
        <v>0</v>
      </c>
      <c r="W147" s="25">
        <f t="shared" si="7"/>
        <v>0</v>
      </c>
    </row>
    <row r="148" spans="1:23" ht="12.75" x14ac:dyDescent="0.2">
      <c r="A148" s="187"/>
      <c r="B148" s="42" t="str">
        <f ca="1">IF(A148="","",MAX($B$17:OFFSET(A148,-1,0))+1)</f>
        <v/>
      </c>
      <c r="C148" s="185"/>
      <c r="D148" s="184"/>
      <c r="E148" s="186"/>
      <c r="F148" s="186"/>
      <c r="G148" s="184"/>
      <c r="H148" s="186"/>
      <c r="I148" s="186"/>
      <c r="J148" s="56"/>
      <c r="K148" s="16">
        <f t="shared" si="4"/>
        <v>0</v>
      </c>
      <c r="L148" s="17" t="str">
        <f t="shared" si="40"/>
        <v/>
      </c>
      <c r="M148" s="57" t="str">
        <f t="shared" si="41"/>
        <v/>
      </c>
      <c r="N148" s="57" t="str">
        <f t="shared" si="42"/>
        <v/>
      </c>
      <c r="O148" s="191" t="str">
        <f t="shared" si="43"/>
        <v/>
      </c>
      <c r="P148" s="43" t="str">
        <f>IF(OR(MID(A148,1,6)="ЛМДФ P",MID(A148,1,6)="ЛДСП P"),1,IFERROR(IF(VLOOKUP(A148,'Шаг1.Выбор плиты'!C:Q,12,0)*1&lt;10,"",0.4),""))</f>
        <v/>
      </c>
      <c r="Q148" s="43" t="str">
        <f>IF(OR(MID(A148,1,6)="ЛМДФ P",MID(A148,1,6)="ЛДСП P"),1,IFERROR(IF(VLOOKUP(A148,'Шаг1.Выбор плиты'!C:Q,12,0)*1&lt;10,"",IF(OR(E148=2,F148=2,H148=2,I148=2),"",0.8)),""))</f>
        <v/>
      </c>
      <c r="R148" s="43" t="str">
        <f>IF(OR(MID(A148,1,6)="ЛМДФ P",MID(A148,1,6)="ЛДСП P"),1,IFERROR(IF(VLOOKUP(A148,'Шаг1.Выбор плиты'!C:Q,12,0)*1&lt;10,"",IF(OR(E148=0.8,F148=0.8,H148=0.8,I148=0.8),"",2)),""))</f>
        <v/>
      </c>
      <c r="S148" s="44" t="str">
        <f>IF(AND(COUNTBLANK(D$19:$D147)=0,COUNTBLANK(G$19:$G147)=0),$S$17&amp;$S$16,"дозаполнить")</f>
        <v>дозаполнить</v>
      </c>
      <c r="T148" s="25">
        <f t="shared" si="8"/>
        <v>0</v>
      </c>
      <c r="U148" s="25">
        <f t="shared" si="5"/>
        <v>0</v>
      </c>
      <c r="V148" s="101">
        <f t="shared" si="6"/>
        <v>0</v>
      </c>
      <c r="W148" s="25">
        <f t="shared" si="7"/>
        <v>0</v>
      </c>
    </row>
    <row r="149" spans="1:23" ht="12.75" x14ac:dyDescent="0.2">
      <c r="A149" s="187"/>
      <c r="B149" s="42" t="str">
        <f ca="1">IF(A149="","",MAX($B$17:OFFSET(A149,-1,0))+1)</f>
        <v/>
      </c>
      <c r="C149" s="185"/>
      <c r="D149" s="184"/>
      <c r="E149" s="186"/>
      <c r="F149" s="186"/>
      <c r="G149" s="184"/>
      <c r="H149" s="186"/>
      <c r="I149" s="186"/>
      <c r="J149" s="56"/>
      <c r="K149" s="16">
        <f t="shared" si="4"/>
        <v>0</v>
      </c>
      <c r="L149" s="17" t="str">
        <f t="shared" si="40"/>
        <v/>
      </c>
      <c r="M149" s="57" t="str">
        <f t="shared" si="41"/>
        <v/>
      </c>
      <c r="N149" s="57" t="str">
        <f t="shared" si="42"/>
        <v/>
      </c>
      <c r="O149" s="191" t="str">
        <f t="shared" si="43"/>
        <v/>
      </c>
      <c r="P149" s="43" t="str">
        <f>IF(OR(MID(A149,1,6)="ЛМДФ P",MID(A149,1,6)="ЛДСП P"),1,IFERROR(IF(VLOOKUP(A149,'Шаг1.Выбор плиты'!C:Q,12,0)*1&lt;10,"",0.4),""))</f>
        <v/>
      </c>
      <c r="Q149" s="43" t="str">
        <f>IF(OR(MID(A149,1,6)="ЛМДФ P",MID(A149,1,6)="ЛДСП P"),1,IFERROR(IF(VLOOKUP(A149,'Шаг1.Выбор плиты'!C:Q,12,0)*1&lt;10,"",IF(OR(E149=2,F149=2,H149=2,I149=2),"",0.8)),""))</f>
        <v/>
      </c>
      <c r="R149" s="43" t="str">
        <f>IF(OR(MID(A149,1,6)="ЛМДФ P",MID(A149,1,6)="ЛДСП P"),1,IFERROR(IF(VLOOKUP(A149,'Шаг1.Выбор плиты'!C:Q,12,0)*1&lt;10,"",IF(OR(E149=0.8,F149=0.8,H149=0.8,I149=0.8),"",2)),""))</f>
        <v/>
      </c>
      <c r="S149" s="44" t="str">
        <f>IF(AND(COUNTBLANK(D$19:$D148)=0,COUNTBLANK(G$19:$G148)=0),$S$17&amp;$S$16,"дозаполнить")</f>
        <v>дозаполнить</v>
      </c>
      <c r="T149" s="25">
        <f t="shared" si="8"/>
        <v>0</v>
      </c>
      <c r="U149" s="25">
        <f t="shared" si="5"/>
        <v>0</v>
      </c>
      <c r="V149" s="101">
        <f t="shared" si="6"/>
        <v>0</v>
      </c>
      <c r="W149" s="25">
        <f t="shared" si="7"/>
        <v>0</v>
      </c>
    </row>
    <row r="150" spans="1:23" ht="12.75" x14ac:dyDescent="0.2">
      <c r="A150" s="187"/>
      <c r="B150" s="42" t="str">
        <f ca="1">IF(A150="","",MAX($B$17:OFFSET(A150,-1,0))+1)</f>
        <v/>
      </c>
      <c r="C150" s="185"/>
      <c r="D150" s="184"/>
      <c r="E150" s="186"/>
      <c r="F150" s="186"/>
      <c r="G150" s="184"/>
      <c r="H150" s="186"/>
      <c r="I150" s="186"/>
      <c r="J150" s="56"/>
      <c r="K150" s="16">
        <f t="shared" si="4"/>
        <v>0</v>
      </c>
      <c r="L150" s="17" t="str">
        <f t="shared" si="40"/>
        <v/>
      </c>
      <c r="M150" s="57" t="str">
        <f t="shared" si="41"/>
        <v/>
      </c>
      <c r="N150" s="57" t="str">
        <f t="shared" si="42"/>
        <v/>
      </c>
      <c r="O150" s="191" t="str">
        <f t="shared" si="43"/>
        <v/>
      </c>
      <c r="P150" s="43" t="str">
        <f>IF(OR(MID(A150,1,6)="ЛМДФ P",MID(A150,1,6)="ЛДСП P"),1,IFERROR(IF(VLOOKUP(A150,'Шаг1.Выбор плиты'!C:Q,12,0)*1&lt;10,"",0.4),""))</f>
        <v/>
      </c>
      <c r="Q150" s="43" t="str">
        <f>IF(OR(MID(A150,1,6)="ЛМДФ P",MID(A150,1,6)="ЛДСП P"),1,IFERROR(IF(VLOOKUP(A150,'Шаг1.Выбор плиты'!C:Q,12,0)*1&lt;10,"",IF(OR(E150=2,F150=2,H150=2,I150=2),"",0.8)),""))</f>
        <v/>
      </c>
      <c r="R150" s="43" t="str">
        <f>IF(OR(MID(A150,1,6)="ЛМДФ P",MID(A150,1,6)="ЛДСП P"),1,IFERROR(IF(VLOOKUP(A150,'Шаг1.Выбор плиты'!C:Q,12,0)*1&lt;10,"",IF(OR(E150=0.8,F150=0.8,H150=0.8,I150=0.8),"",2)),""))</f>
        <v/>
      </c>
      <c r="S150" s="44" t="str">
        <f>IF(AND(COUNTBLANK(D$19:$D149)=0,COUNTBLANK(G$19:$G149)=0),$S$17&amp;$S$16,"дозаполнить")</f>
        <v>дозаполнить</v>
      </c>
      <c r="T150" s="25">
        <f t="shared" si="8"/>
        <v>0</v>
      </c>
      <c r="U150" s="25">
        <f t="shared" si="5"/>
        <v>0</v>
      </c>
      <c r="V150" s="101">
        <f t="shared" si="6"/>
        <v>0</v>
      </c>
      <c r="W150" s="25">
        <f t="shared" si="7"/>
        <v>0</v>
      </c>
    </row>
    <row r="151" spans="1:23" ht="12.75" x14ac:dyDescent="0.2">
      <c r="A151" s="187"/>
      <c r="B151" s="42" t="str">
        <f ca="1">IF(A151="","",MAX($B$17:OFFSET(A151,-1,0))+1)</f>
        <v/>
      </c>
      <c r="C151" s="185"/>
      <c r="D151" s="184"/>
      <c r="E151" s="186"/>
      <c r="F151" s="186"/>
      <c r="G151" s="184"/>
      <c r="H151" s="186"/>
      <c r="I151" s="186"/>
      <c r="J151" s="56"/>
      <c r="K151" s="16">
        <f t="shared" si="4"/>
        <v>0</v>
      </c>
      <c r="L151" s="17" t="str">
        <f t="shared" si="40"/>
        <v/>
      </c>
      <c r="M151" s="57" t="str">
        <f t="shared" ref="M151:M160" si="44">IF(A151="","","Нет")</f>
        <v/>
      </c>
      <c r="N151" s="57" t="str">
        <f t="shared" ref="N151:N160" si="45">IF(A151="","","Нет")</f>
        <v/>
      </c>
      <c r="O151" s="191" t="str">
        <f t="shared" si="43"/>
        <v/>
      </c>
      <c r="P151" s="43" t="str">
        <f>IF(OR(MID(A151,1,6)="ЛМДФ P",MID(A151,1,6)="ЛДСП P"),1,IFERROR(IF(VLOOKUP(A151,'Шаг1.Выбор плиты'!C:Q,12,0)*1&lt;10,"",0.4),""))</f>
        <v/>
      </c>
      <c r="Q151" s="43" t="str">
        <f>IF(OR(MID(A151,1,6)="ЛМДФ P",MID(A151,1,6)="ЛДСП P"),1,IFERROR(IF(VLOOKUP(A151,'Шаг1.Выбор плиты'!C:Q,12,0)*1&lt;10,"",IF(OR(E151=2,F151=2,H151=2,I151=2),"",0.8)),""))</f>
        <v/>
      </c>
      <c r="R151" s="43" t="str">
        <f>IF(OR(MID(A151,1,6)="ЛМДФ P",MID(A151,1,6)="ЛДСП P"),1,IFERROR(IF(VLOOKUP(A151,'Шаг1.Выбор плиты'!C:Q,12,0)*1&lt;10,"",IF(OR(E151=0.8,F151=0.8,H151=0.8,I151=0.8),"",2)),""))</f>
        <v/>
      </c>
      <c r="S151" s="44" t="str">
        <f>IF(AND(COUNTBLANK(D$19:$D150)=0,COUNTBLANK(G$19:$G150)=0),$S$17&amp;$S$16,"дозаполнить")</f>
        <v>дозаполнить</v>
      </c>
      <c r="T151" s="25">
        <f t="shared" si="8"/>
        <v>0</v>
      </c>
      <c r="U151" s="25">
        <f t="shared" si="5"/>
        <v>0</v>
      </c>
      <c r="V151" s="101">
        <f t="shared" si="6"/>
        <v>0</v>
      </c>
      <c r="W151" s="25">
        <f t="shared" si="7"/>
        <v>0</v>
      </c>
    </row>
    <row r="152" spans="1:23" ht="12.75" x14ac:dyDescent="0.2">
      <c r="A152" s="187"/>
      <c r="B152" s="42" t="str">
        <f ca="1">IF(A152="","",MAX($B$17:OFFSET(A152,-1,0))+1)</f>
        <v/>
      </c>
      <c r="C152" s="185"/>
      <c r="D152" s="184"/>
      <c r="E152" s="186"/>
      <c r="F152" s="186"/>
      <c r="G152" s="184"/>
      <c r="H152" s="186"/>
      <c r="I152" s="186"/>
      <c r="J152" s="56"/>
      <c r="K152" s="16">
        <f t="shared" si="4"/>
        <v>0</v>
      </c>
      <c r="L152" s="17" t="str">
        <f t="shared" si="40"/>
        <v/>
      </c>
      <c r="M152" s="57" t="str">
        <f t="shared" si="44"/>
        <v/>
      </c>
      <c r="N152" s="57" t="str">
        <f t="shared" si="45"/>
        <v/>
      </c>
      <c r="O152" s="191" t="str">
        <f t="shared" si="43"/>
        <v/>
      </c>
      <c r="P152" s="43" t="str">
        <f>IF(OR(MID(A152,1,6)="ЛМДФ P",MID(A152,1,6)="ЛДСП P"),1,IFERROR(IF(VLOOKUP(A152,'Шаг1.Выбор плиты'!C:Q,12,0)*1&lt;10,"",0.4),""))</f>
        <v/>
      </c>
      <c r="Q152" s="43" t="str">
        <f>IF(OR(MID(A152,1,6)="ЛМДФ P",MID(A152,1,6)="ЛДСП P"),1,IFERROR(IF(VLOOKUP(A152,'Шаг1.Выбор плиты'!C:Q,12,0)*1&lt;10,"",IF(OR(E152=2,F152=2,H152=2,I152=2),"",0.8)),""))</f>
        <v/>
      </c>
      <c r="R152" s="43" t="str">
        <f>IF(OR(MID(A152,1,6)="ЛМДФ P",MID(A152,1,6)="ЛДСП P"),1,IFERROR(IF(VLOOKUP(A152,'Шаг1.Выбор плиты'!C:Q,12,0)*1&lt;10,"",IF(OR(E152=0.8,F152=0.8,H152=0.8,I152=0.8),"",2)),""))</f>
        <v/>
      </c>
      <c r="S152" s="44" t="str">
        <f>IF(AND(COUNTBLANK(D$19:$D151)=0,COUNTBLANK(G$19:$G151)=0),$S$17&amp;$S$16,"дозаполнить")</f>
        <v>дозаполнить</v>
      </c>
      <c r="T152" s="25">
        <f t="shared" si="8"/>
        <v>0</v>
      </c>
      <c r="U152" s="25">
        <f t="shared" si="5"/>
        <v>0</v>
      </c>
      <c r="V152" s="101">
        <f t="shared" si="6"/>
        <v>0</v>
      </c>
      <c r="W152" s="25">
        <f t="shared" si="7"/>
        <v>0</v>
      </c>
    </row>
    <row r="153" spans="1:23" ht="12.75" x14ac:dyDescent="0.2">
      <c r="A153" s="187"/>
      <c r="B153" s="42" t="str">
        <f ca="1">IF(A153="","",MAX($B$17:OFFSET(A153,-1,0))+1)</f>
        <v/>
      </c>
      <c r="C153" s="185"/>
      <c r="D153" s="184"/>
      <c r="E153" s="186"/>
      <c r="F153" s="186"/>
      <c r="G153" s="184"/>
      <c r="H153" s="186"/>
      <c r="I153" s="186"/>
      <c r="J153" s="56"/>
      <c r="K153" s="16">
        <f t="shared" si="4"/>
        <v>0</v>
      </c>
      <c r="L153" s="17" t="str">
        <f t="shared" si="40"/>
        <v/>
      </c>
      <c r="M153" s="57" t="str">
        <f t="shared" si="44"/>
        <v/>
      </c>
      <c r="N153" s="57" t="str">
        <f t="shared" si="45"/>
        <v/>
      </c>
      <c r="O153" s="191" t="str">
        <f t="shared" si="43"/>
        <v/>
      </c>
      <c r="P153" s="43" t="str">
        <f>IF(OR(MID(A153,1,6)="ЛМДФ P",MID(A153,1,6)="ЛДСП P"),1,IFERROR(IF(VLOOKUP(A153,'Шаг1.Выбор плиты'!C:Q,12,0)*1&lt;10,"",0.4),""))</f>
        <v/>
      </c>
      <c r="Q153" s="43" t="str">
        <f>IF(OR(MID(A153,1,6)="ЛМДФ P",MID(A153,1,6)="ЛДСП P"),1,IFERROR(IF(VLOOKUP(A153,'Шаг1.Выбор плиты'!C:Q,12,0)*1&lt;10,"",IF(OR(E153=2,F153=2,H153=2,I153=2),"",0.8)),""))</f>
        <v/>
      </c>
      <c r="R153" s="43" t="str">
        <f>IF(OR(MID(A153,1,6)="ЛМДФ P",MID(A153,1,6)="ЛДСП P"),1,IFERROR(IF(VLOOKUP(A153,'Шаг1.Выбор плиты'!C:Q,12,0)*1&lt;10,"",IF(OR(E153=0.8,F153=0.8,H153=0.8,I153=0.8),"",2)),""))</f>
        <v/>
      </c>
      <c r="S153" s="44" t="str">
        <f>IF(AND(COUNTBLANK(D$19:$D152)=0,COUNTBLANK(G$19:$G152)=0),$S$17&amp;$S$16,"дозаполнить")</f>
        <v>дозаполнить</v>
      </c>
      <c r="T153" s="25">
        <f t="shared" si="8"/>
        <v>0</v>
      </c>
      <c r="U153" s="25">
        <f t="shared" si="5"/>
        <v>0</v>
      </c>
      <c r="V153" s="101">
        <f t="shared" si="6"/>
        <v>0</v>
      </c>
      <c r="W153" s="25">
        <f t="shared" si="7"/>
        <v>0</v>
      </c>
    </row>
    <row r="154" spans="1:23" ht="12.75" x14ac:dyDescent="0.2">
      <c r="A154" s="187"/>
      <c r="B154" s="42" t="str">
        <f ca="1">IF(A154="","",MAX($B$17:OFFSET(A154,-1,0))+1)</f>
        <v/>
      </c>
      <c r="C154" s="185"/>
      <c r="D154" s="184"/>
      <c r="E154" s="186"/>
      <c r="F154" s="186"/>
      <c r="G154" s="184"/>
      <c r="H154" s="186"/>
      <c r="I154" s="186"/>
      <c r="J154" s="56"/>
      <c r="K154" s="16">
        <f t="shared" si="4"/>
        <v>0</v>
      </c>
      <c r="L154" s="17" t="str">
        <f t="shared" si="40"/>
        <v/>
      </c>
      <c r="M154" s="57" t="str">
        <f t="shared" si="44"/>
        <v/>
      </c>
      <c r="N154" s="57" t="str">
        <f t="shared" si="45"/>
        <v/>
      </c>
      <c r="O154" s="191" t="str">
        <f t="shared" si="43"/>
        <v/>
      </c>
      <c r="P154" s="43" t="str">
        <f>IF(OR(MID(A154,1,6)="ЛМДФ P",MID(A154,1,6)="ЛДСП P"),1,IFERROR(IF(VLOOKUP(A154,'Шаг1.Выбор плиты'!C:Q,12,0)*1&lt;10,"",0.4),""))</f>
        <v/>
      </c>
      <c r="Q154" s="43" t="str">
        <f>IF(OR(MID(A154,1,6)="ЛМДФ P",MID(A154,1,6)="ЛДСП P"),1,IFERROR(IF(VLOOKUP(A154,'Шаг1.Выбор плиты'!C:Q,12,0)*1&lt;10,"",IF(OR(E154=2,F154=2,H154=2,I154=2),"",0.8)),""))</f>
        <v/>
      </c>
      <c r="R154" s="43" t="str">
        <f>IF(OR(MID(A154,1,6)="ЛМДФ P",MID(A154,1,6)="ЛДСП P"),1,IFERROR(IF(VLOOKUP(A154,'Шаг1.Выбор плиты'!C:Q,12,0)*1&lt;10,"",IF(OR(E154=0.8,F154=0.8,H154=0.8,I154=0.8),"",2)),""))</f>
        <v/>
      </c>
      <c r="S154" s="44" t="str">
        <f>IF(AND(COUNTBLANK(D$19:$D153)=0,COUNTBLANK(G$19:$G153)=0),$S$17&amp;$S$16,"дозаполнить")</f>
        <v>дозаполнить</v>
      </c>
      <c r="T154" s="25">
        <f t="shared" si="8"/>
        <v>0</v>
      </c>
      <c r="U154" s="25">
        <f t="shared" si="5"/>
        <v>0</v>
      </c>
      <c r="V154" s="101">
        <f t="shared" si="6"/>
        <v>0</v>
      </c>
      <c r="W154" s="25">
        <f t="shared" si="7"/>
        <v>0</v>
      </c>
    </row>
    <row r="155" spans="1:23" ht="12.75" x14ac:dyDescent="0.2">
      <c r="A155" s="187"/>
      <c r="B155" s="42" t="str">
        <f ca="1">IF(A155="","",MAX($B$17:OFFSET(A155,-1,0))+1)</f>
        <v/>
      </c>
      <c r="C155" s="185"/>
      <c r="D155" s="184"/>
      <c r="E155" s="186"/>
      <c r="F155" s="186"/>
      <c r="G155" s="184"/>
      <c r="H155" s="186"/>
      <c r="I155" s="186"/>
      <c r="J155" s="56"/>
      <c r="K155" s="16">
        <f t="shared" si="4"/>
        <v>0</v>
      </c>
      <c r="L155" s="17" t="str">
        <f t="shared" si="40"/>
        <v/>
      </c>
      <c r="M155" s="57" t="str">
        <f t="shared" si="44"/>
        <v/>
      </c>
      <c r="N155" s="57" t="str">
        <f t="shared" si="45"/>
        <v/>
      </c>
      <c r="O155" s="191" t="str">
        <f t="shared" si="43"/>
        <v/>
      </c>
      <c r="P155" s="43" t="str">
        <f>IF(OR(MID(A155,1,6)="ЛМДФ P",MID(A155,1,6)="ЛДСП P"),1,IFERROR(IF(VLOOKUP(A155,'Шаг1.Выбор плиты'!C:Q,12,0)*1&lt;10,"",0.4),""))</f>
        <v/>
      </c>
      <c r="Q155" s="43" t="str">
        <f>IF(OR(MID(A155,1,6)="ЛМДФ P",MID(A155,1,6)="ЛДСП P"),1,IFERROR(IF(VLOOKUP(A155,'Шаг1.Выбор плиты'!C:Q,12,0)*1&lt;10,"",IF(OR(E155=2,F155=2,H155=2,I155=2),"",0.8)),""))</f>
        <v/>
      </c>
      <c r="R155" s="43" t="str">
        <f>IF(OR(MID(A155,1,6)="ЛМДФ P",MID(A155,1,6)="ЛДСП P"),1,IFERROR(IF(VLOOKUP(A155,'Шаг1.Выбор плиты'!C:Q,12,0)*1&lt;10,"",IF(OR(E155=0.8,F155=0.8,H155=0.8,I155=0.8),"",2)),""))</f>
        <v/>
      </c>
      <c r="S155" s="44" t="str">
        <f>IF(AND(COUNTBLANK(D$19:$D154)=0,COUNTBLANK(G$19:$G154)=0),$S$17&amp;$S$16,"дозаполнить")</f>
        <v>дозаполнить</v>
      </c>
      <c r="T155" s="25">
        <f t="shared" si="8"/>
        <v>0</v>
      </c>
      <c r="U155" s="25">
        <f t="shared" si="5"/>
        <v>0</v>
      </c>
      <c r="V155" s="101">
        <f t="shared" si="6"/>
        <v>0</v>
      </c>
      <c r="W155" s="25">
        <f t="shared" si="7"/>
        <v>0</v>
      </c>
    </row>
    <row r="156" spans="1:23" ht="12.75" x14ac:dyDescent="0.2">
      <c r="A156" s="187"/>
      <c r="B156" s="42" t="str">
        <f ca="1">IF(A156="","",MAX($B$17:OFFSET(A156,-1,0))+1)</f>
        <v/>
      </c>
      <c r="C156" s="185"/>
      <c r="D156" s="184"/>
      <c r="E156" s="186"/>
      <c r="F156" s="186"/>
      <c r="G156" s="184"/>
      <c r="H156" s="186"/>
      <c r="I156" s="186"/>
      <c r="J156" s="56"/>
      <c r="K156" s="16">
        <f t="shared" si="4"/>
        <v>0</v>
      </c>
      <c r="L156" s="17" t="str">
        <f t="shared" si="40"/>
        <v/>
      </c>
      <c r="M156" s="57" t="str">
        <f t="shared" si="44"/>
        <v/>
      </c>
      <c r="N156" s="57" t="str">
        <f t="shared" si="45"/>
        <v/>
      </c>
      <c r="O156" s="191" t="str">
        <f t="shared" si="43"/>
        <v/>
      </c>
      <c r="P156" s="43" t="str">
        <f>IF(OR(MID(A156,1,6)="ЛМДФ P",MID(A156,1,6)="ЛДСП P"),1,IFERROR(IF(VLOOKUP(A156,'Шаг1.Выбор плиты'!C:Q,12,0)*1&lt;10,"",0.4),""))</f>
        <v/>
      </c>
      <c r="Q156" s="43" t="str">
        <f>IF(OR(MID(A156,1,6)="ЛМДФ P",MID(A156,1,6)="ЛДСП P"),1,IFERROR(IF(VLOOKUP(A156,'Шаг1.Выбор плиты'!C:Q,12,0)*1&lt;10,"",IF(OR(E156=2,F156=2,H156=2,I156=2),"",0.8)),""))</f>
        <v/>
      </c>
      <c r="R156" s="43" t="str">
        <f>IF(OR(MID(A156,1,6)="ЛМДФ P",MID(A156,1,6)="ЛДСП P"),1,IFERROR(IF(VLOOKUP(A156,'Шаг1.Выбор плиты'!C:Q,12,0)*1&lt;10,"",IF(OR(E156=0.8,F156=0.8,H156=0.8,I156=0.8),"",2)),""))</f>
        <v/>
      </c>
      <c r="S156" s="44" t="str">
        <f>IF(AND(COUNTBLANK(D$19:$D155)=0,COUNTBLANK(G$19:$G155)=0),$S$17&amp;$S$16,"дозаполнить")</f>
        <v>дозаполнить</v>
      </c>
      <c r="T156" s="25">
        <f t="shared" si="8"/>
        <v>0</v>
      </c>
      <c r="U156" s="25">
        <f t="shared" si="5"/>
        <v>0</v>
      </c>
      <c r="V156" s="101">
        <f t="shared" si="6"/>
        <v>0</v>
      </c>
      <c r="W156" s="25">
        <f t="shared" si="7"/>
        <v>0</v>
      </c>
    </row>
    <row r="157" spans="1:23" ht="12.75" x14ac:dyDescent="0.2">
      <c r="A157" s="187"/>
      <c r="B157" s="42" t="str">
        <f ca="1">IF(A157="","",MAX($B$17:OFFSET(A157,-1,0))+1)</f>
        <v/>
      </c>
      <c r="C157" s="185"/>
      <c r="D157" s="184"/>
      <c r="E157" s="186"/>
      <c r="F157" s="186"/>
      <c r="G157" s="184"/>
      <c r="H157" s="186"/>
      <c r="I157" s="186"/>
      <c r="J157" s="56"/>
      <c r="K157" s="16">
        <f t="shared" si="4"/>
        <v>0</v>
      </c>
      <c r="L157" s="17" t="str">
        <f t="shared" si="40"/>
        <v/>
      </c>
      <c r="M157" s="57" t="str">
        <f t="shared" si="44"/>
        <v/>
      </c>
      <c r="N157" s="57" t="str">
        <f t="shared" si="45"/>
        <v/>
      </c>
      <c r="O157" s="191" t="str">
        <f t="shared" si="43"/>
        <v/>
      </c>
      <c r="P157" s="43" t="str">
        <f>IF(OR(MID(A157,1,6)="ЛМДФ P",MID(A157,1,6)="ЛДСП P"),1,IFERROR(IF(VLOOKUP(A157,'Шаг1.Выбор плиты'!C:Q,12,0)*1&lt;10,"",0.4),""))</f>
        <v/>
      </c>
      <c r="Q157" s="43" t="str">
        <f>IF(OR(MID(A157,1,6)="ЛМДФ P",MID(A157,1,6)="ЛДСП P"),1,IFERROR(IF(VLOOKUP(A157,'Шаг1.Выбор плиты'!C:Q,12,0)*1&lt;10,"",IF(OR(E157=2,F157=2,H157=2,I157=2),"",0.8)),""))</f>
        <v/>
      </c>
      <c r="R157" s="43" t="str">
        <f>IF(OR(MID(A157,1,6)="ЛМДФ P",MID(A157,1,6)="ЛДСП P"),1,IFERROR(IF(VLOOKUP(A157,'Шаг1.Выбор плиты'!C:Q,12,0)*1&lt;10,"",IF(OR(E157=0.8,F157=0.8,H157=0.8,I157=0.8),"",2)),""))</f>
        <v/>
      </c>
      <c r="S157" s="44" t="str">
        <f>IF(AND(COUNTBLANK(D$19:$D156)=0,COUNTBLANK(G$19:$G156)=0),$S$17&amp;$S$16,"дозаполнить")</f>
        <v>дозаполнить</v>
      </c>
      <c r="T157" s="25">
        <f t="shared" si="8"/>
        <v>0</v>
      </c>
      <c r="U157" s="25">
        <f t="shared" si="5"/>
        <v>0</v>
      </c>
      <c r="V157" s="101">
        <f t="shared" si="6"/>
        <v>0</v>
      </c>
      <c r="W157" s="25">
        <f t="shared" si="7"/>
        <v>0</v>
      </c>
    </row>
    <row r="158" spans="1:23" ht="12.75" x14ac:dyDescent="0.2">
      <c r="A158" s="187"/>
      <c r="B158" s="42" t="str">
        <f ca="1">IF(A158="","",MAX($B$17:OFFSET(A158,-1,0))+1)</f>
        <v/>
      </c>
      <c r="C158" s="185"/>
      <c r="D158" s="184"/>
      <c r="E158" s="186"/>
      <c r="F158" s="186"/>
      <c r="G158" s="184"/>
      <c r="H158" s="186"/>
      <c r="I158" s="186"/>
      <c r="J158" s="56"/>
      <c r="K158" s="16">
        <f t="shared" si="4"/>
        <v>0</v>
      </c>
      <c r="L158" s="17" t="str">
        <f t="shared" si="40"/>
        <v/>
      </c>
      <c r="M158" s="57" t="str">
        <f t="shared" si="44"/>
        <v/>
      </c>
      <c r="N158" s="57" t="str">
        <f t="shared" si="45"/>
        <v/>
      </c>
      <c r="O158" s="191" t="str">
        <f t="shared" si="43"/>
        <v/>
      </c>
      <c r="P158" s="43" t="str">
        <f>IF(OR(MID(A158,1,6)="ЛМДФ P",MID(A158,1,6)="ЛДСП P"),1,IFERROR(IF(VLOOKUP(A158,'Шаг1.Выбор плиты'!C:Q,12,0)*1&lt;10,"",0.4),""))</f>
        <v/>
      </c>
      <c r="Q158" s="43" t="str">
        <f>IF(OR(MID(A158,1,6)="ЛМДФ P",MID(A158,1,6)="ЛДСП P"),1,IFERROR(IF(VLOOKUP(A158,'Шаг1.Выбор плиты'!C:Q,12,0)*1&lt;10,"",IF(OR(E158=2,F158=2,H158=2,I158=2),"",0.8)),""))</f>
        <v/>
      </c>
      <c r="R158" s="43" t="str">
        <f>IF(OR(MID(A158,1,6)="ЛМДФ P",MID(A158,1,6)="ЛДСП P"),1,IFERROR(IF(VLOOKUP(A158,'Шаг1.Выбор плиты'!C:Q,12,0)*1&lt;10,"",IF(OR(E158=0.8,F158=0.8,H158=0.8,I158=0.8),"",2)),""))</f>
        <v/>
      </c>
      <c r="S158" s="44" t="str">
        <f>IF(AND(COUNTBLANK(D$19:$D157)=0,COUNTBLANK(G$19:$G157)=0),$S$17&amp;$S$16,"дозаполнить")</f>
        <v>дозаполнить</v>
      </c>
      <c r="T158" s="25">
        <f t="shared" si="8"/>
        <v>0</v>
      </c>
      <c r="U158" s="25">
        <f t="shared" si="5"/>
        <v>0</v>
      </c>
      <c r="V158" s="101">
        <f t="shared" si="6"/>
        <v>0</v>
      </c>
      <c r="W158" s="25">
        <f t="shared" si="7"/>
        <v>0</v>
      </c>
    </row>
    <row r="159" spans="1:23" ht="12.75" x14ac:dyDescent="0.2">
      <c r="A159" s="187"/>
      <c r="B159" s="42" t="str">
        <f ca="1">IF(A159="","",MAX($B$17:OFFSET(A159,-1,0))+1)</f>
        <v/>
      </c>
      <c r="C159" s="185"/>
      <c r="D159" s="184"/>
      <c r="E159" s="186"/>
      <c r="F159" s="186"/>
      <c r="G159" s="184"/>
      <c r="H159" s="186"/>
      <c r="I159" s="186"/>
      <c r="J159" s="56"/>
      <c r="K159" s="16">
        <f t="shared" si="4"/>
        <v>0</v>
      </c>
      <c r="L159" s="17" t="str">
        <f t="shared" si="40"/>
        <v/>
      </c>
      <c r="M159" s="57" t="str">
        <f t="shared" si="44"/>
        <v/>
      </c>
      <c r="N159" s="57" t="str">
        <f t="shared" si="45"/>
        <v/>
      </c>
      <c r="O159" s="191" t="str">
        <f t="shared" si="43"/>
        <v/>
      </c>
      <c r="P159" s="43" t="str">
        <f>IF(OR(MID(A159,1,6)="ЛМДФ P",MID(A159,1,6)="ЛДСП P"),1,IFERROR(IF(VLOOKUP(A159,'Шаг1.Выбор плиты'!C:Q,12,0)*1&lt;10,"",0.4),""))</f>
        <v/>
      </c>
      <c r="Q159" s="43" t="str">
        <f>IF(OR(MID(A159,1,6)="ЛМДФ P",MID(A159,1,6)="ЛДСП P"),1,IFERROR(IF(VLOOKUP(A159,'Шаг1.Выбор плиты'!C:Q,12,0)*1&lt;10,"",IF(OR(E159=2,F159=2,H159=2,I159=2),"",0.8)),""))</f>
        <v/>
      </c>
      <c r="R159" s="43" t="str">
        <f>IF(OR(MID(A159,1,6)="ЛМДФ P",MID(A159,1,6)="ЛДСП P"),1,IFERROR(IF(VLOOKUP(A159,'Шаг1.Выбор плиты'!C:Q,12,0)*1&lt;10,"",IF(OR(E159=0.8,F159=0.8,H159=0.8,I159=0.8),"",2)),""))</f>
        <v/>
      </c>
      <c r="S159" s="44" t="str">
        <f>IF(AND(COUNTBLANK(D$19:$D158)=0,COUNTBLANK(G$19:$G158)=0),$S$17&amp;$S$16,"дозаполнить")</f>
        <v>дозаполнить</v>
      </c>
      <c r="T159" s="25">
        <f t="shared" si="8"/>
        <v>0</v>
      </c>
      <c r="U159" s="25">
        <f t="shared" si="5"/>
        <v>0</v>
      </c>
      <c r="V159" s="101">
        <f t="shared" si="6"/>
        <v>0</v>
      </c>
      <c r="W159" s="25">
        <f t="shared" si="7"/>
        <v>0</v>
      </c>
    </row>
    <row r="160" spans="1:23" ht="12.75" x14ac:dyDescent="0.2">
      <c r="A160" s="187"/>
      <c r="B160" s="42" t="str">
        <f ca="1">IF(A160="","",MAX($B$17:OFFSET(A160,-1,0))+1)</f>
        <v/>
      </c>
      <c r="C160" s="185"/>
      <c r="D160" s="184"/>
      <c r="E160" s="186"/>
      <c r="F160" s="186"/>
      <c r="G160" s="184"/>
      <c r="H160" s="186"/>
      <c r="I160" s="186"/>
      <c r="J160" s="56"/>
      <c r="K160" s="16">
        <f t="shared" si="4"/>
        <v>0</v>
      </c>
      <c r="L160" s="17" t="str">
        <f t="shared" si="40"/>
        <v/>
      </c>
      <c r="M160" s="57" t="str">
        <f t="shared" si="44"/>
        <v/>
      </c>
      <c r="N160" s="57" t="str">
        <f t="shared" si="45"/>
        <v/>
      </c>
      <c r="O160" s="191" t="str">
        <f t="shared" si="43"/>
        <v/>
      </c>
      <c r="P160" s="43" t="str">
        <f>IF(OR(MID(A160,1,6)="ЛМДФ P",MID(A160,1,6)="ЛДСП P"),1,IFERROR(IF(VLOOKUP(A160,'Шаг1.Выбор плиты'!C:Q,12,0)*1&lt;10,"",0.4),""))</f>
        <v/>
      </c>
      <c r="Q160" s="43" t="str">
        <f>IF(OR(MID(A160,1,6)="ЛМДФ P",MID(A160,1,6)="ЛДСП P"),1,IFERROR(IF(VLOOKUP(A160,'Шаг1.Выбор плиты'!C:Q,12,0)*1&lt;10,"",IF(OR(E160=2,F160=2,H160=2,I160=2),"",0.8)),""))</f>
        <v/>
      </c>
      <c r="R160" s="43" t="str">
        <f>IF(OR(MID(A160,1,6)="ЛМДФ P",MID(A160,1,6)="ЛДСП P"),1,IFERROR(IF(VLOOKUP(A160,'Шаг1.Выбор плиты'!C:Q,12,0)*1&lt;10,"",IF(OR(E160=0.8,F160=0.8,H160=0.8,I160=0.8),"",2)),""))</f>
        <v/>
      </c>
      <c r="S160" s="44" t="str">
        <f>IF(AND(COUNTBLANK(D$19:$D159)=0,COUNTBLANK(G$19:$G159)=0),$S$17&amp;$S$16,"дозаполнить")</f>
        <v>дозаполнить</v>
      </c>
      <c r="T160" s="25">
        <f t="shared" si="8"/>
        <v>0</v>
      </c>
      <c r="U160" s="25">
        <f t="shared" si="5"/>
        <v>0</v>
      </c>
      <c r="V160" s="101">
        <f t="shared" si="6"/>
        <v>0</v>
      </c>
      <c r="W160" s="25">
        <f t="shared" si="7"/>
        <v>0</v>
      </c>
    </row>
    <row r="161" spans="1:23" ht="12.75" x14ac:dyDescent="0.2">
      <c r="A161" s="187"/>
      <c r="B161" s="42" t="str">
        <f ca="1">IF(A161="","",MAX($B$17:OFFSET(A161,-1,0))+1)</f>
        <v/>
      </c>
      <c r="C161" s="185"/>
      <c r="D161" s="184"/>
      <c r="E161" s="186"/>
      <c r="F161" s="186"/>
      <c r="G161" s="184"/>
      <c r="H161" s="186"/>
      <c r="I161" s="186"/>
      <c r="J161" s="56"/>
      <c r="K161" s="16">
        <f t="shared" si="4"/>
        <v>0</v>
      </c>
      <c r="L161" s="17" t="str">
        <f t="shared" ref="L161:L192" si="46">IF(A161="","","Нет")</f>
        <v/>
      </c>
      <c r="M161" s="57" t="str">
        <f t="shared" ref="M161:M192" si="47">IF(A161="","","Нет")</f>
        <v/>
      </c>
      <c r="N161" s="57" t="str">
        <f t="shared" ref="N161:N192" si="48">IF(A161="","","Нет")</f>
        <v/>
      </c>
      <c r="O161" s="191" t="str">
        <f t="shared" si="43"/>
        <v/>
      </c>
      <c r="P161" s="43" t="str">
        <f>IF(OR(MID(A161,1,6)="ЛМДФ P",MID(A161,1,6)="ЛДСП P"),1,IFERROR(IF(VLOOKUP(A161,'Шаг1.Выбор плиты'!C:Q,12,0)*1&lt;10,"",0.4),""))</f>
        <v/>
      </c>
      <c r="Q161" s="43" t="str">
        <f>IF(OR(MID(A161,1,6)="ЛМДФ P",MID(A161,1,6)="ЛДСП P"),1,IFERROR(IF(VLOOKUP(A161,'Шаг1.Выбор плиты'!C:Q,12,0)*1&lt;10,"",IF(OR(E161=2,F161=2,H161=2,I161=2),"",0.8)),""))</f>
        <v/>
      </c>
      <c r="R161" s="43" t="str">
        <f>IF(OR(MID(A161,1,6)="ЛМДФ P",MID(A161,1,6)="ЛДСП P"),1,IFERROR(IF(VLOOKUP(A161,'Шаг1.Выбор плиты'!C:Q,12,0)*1&lt;10,"",IF(OR(E161=0.8,F161=0.8,H161=0.8,I161=0.8),"",2)),""))</f>
        <v/>
      </c>
      <c r="S161" s="44" t="str">
        <f>IF(AND(COUNTBLANK(D$19:$D160)=0,COUNTBLANK(G$19:$G160)=0),$S$17&amp;$S$16,"дозаполнить")</f>
        <v>дозаполнить</v>
      </c>
      <c r="T161" s="25">
        <f t="shared" si="8"/>
        <v>0</v>
      </c>
      <c r="U161" s="25">
        <f t="shared" si="5"/>
        <v>0</v>
      </c>
      <c r="V161" s="101">
        <f t="shared" si="6"/>
        <v>0</v>
      </c>
      <c r="W161" s="25">
        <f t="shared" si="7"/>
        <v>0</v>
      </c>
    </row>
    <row r="162" spans="1:23" ht="12.75" x14ac:dyDescent="0.2">
      <c r="A162" s="187"/>
      <c r="B162" s="42" t="str">
        <f ca="1">IF(A162="","",MAX($B$17:OFFSET(A162,-1,0))+1)</f>
        <v/>
      </c>
      <c r="C162" s="185"/>
      <c r="D162" s="184"/>
      <c r="E162" s="186"/>
      <c r="F162" s="186"/>
      <c r="G162" s="184"/>
      <c r="H162" s="186"/>
      <c r="I162" s="186"/>
      <c r="J162" s="56"/>
      <c r="K162" s="16">
        <f t="shared" si="4"/>
        <v>0</v>
      </c>
      <c r="L162" s="17" t="str">
        <f t="shared" si="46"/>
        <v/>
      </c>
      <c r="M162" s="57" t="str">
        <f t="shared" si="47"/>
        <v/>
      </c>
      <c r="N162" s="57" t="str">
        <f t="shared" si="48"/>
        <v/>
      </c>
      <c r="O162" s="191" t="str">
        <f t="shared" si="43"/>
        <v/>
      </c>
      <c r="P162" s="43" t="str">
        <f>IF(OR(MID(A162,1,6)="ЛМДФ P",MID(A162,1,6)="ЛДСП P"),1,IFERROR(IF(VLOOKUP(A162,'Шаг1.Выбор плиты'!C:Q,12,0)*1&lt;10,"",0.4),""))</f>
        <v/>
      </c>
      <c r="Q162" s="43" t="str">
        <f>IF(OR(MID(A162,1,6)="ЛМДФ P",MID(A162,1,6)="ЛДСП P"),1,IFERROR(IF(VLOOKUP(A162,'Шаг1.Выбор плиты'!C:Q,12,0)*1&lt;10,"",IF(OR(E162=2,F162=2,H162=2,I162=2),"",0.8)),""))</f>
        <v/>
      </c>
      <c r="R162" s="43" t="str">
        <f>IF(OR(MID(A162,1,6)="ЛМДФ P",MID(A162,1,6)="ЛДСП P"),1,IFERROR(IF(VLOOKUP(A162,'Шаг1.Выбор плиты'!C:Q,12,0)*1&lt;10,"",IF(OR(E162=0.8,F162=0.8,H162=0.8,I162=0.8),"",2)),""))</f>
        <v/>
      </c>
      <c r="S162" s="44" t="str">
        <f>IF(AND(COUNTBLANK(D$19:$D161)=0,COUNTBLANK(G$19:$G161)=0),$S$17&amp;$S$16,"дозаполнить")</f>
        <v>дозаполнить</v>
      </c>
      <c r="T162" s="25">
        <f t="shared" si="8"/>
        <v>0</v>
      </c>
      <c r="U162" s="25">
        <f t="shared" si="5"/>
        <v>0</v>
      </c>
      <c r="V162" s="101">
        <f t="shared" si="6"/>
        <v>0</v>
      </c>
      <c r="W162" s="25">
        <f t="shared" si="7"/>
        <v>0</v>
      </c>
    </row>
    <row r="163" spans="1:23" ht="12.75" x14ac:dyDescent="0.2">
      <c r="A163" s="187"/>
      <c r="B163" s="42" t="str">
        <f ca="1">IF(A163="","",MAX($B$17:OFFSET(A163,-1,0))+1)</f>
        <v/>
      </c>
      <c r="C163" s="183"/>
      <c r="D163" s="184"/>
      <c r="E163" s="186"/>
      <c r="F163" s="186"/>
      <c r="G163" s="184"/>
      <c r="H163" s="186"/>
      <c r="I163" s="186"/>
      <c r="J163" s="56"/>
      <c r="K163" s="16">
        <f t="shared" si="4"/>
        <v>0</v>
      </c>
      <c r="L163" s="17" t="str">
        <f t="shared" si="46"/>
        <v/>
      </c>
      <c r="M163" s="57" t="str">
        <f t="shared" si="47"/>
        <v/>
      </c>
      <c r="N163" s="57" t="str">
        <f t="shared" si="48"/>
        <v/>
      </c>
      <c r="O163" s="191" t="str">
        <f t="shared" si="43"/>
        <v/>
      </c>
      <c r="P163" s="43" t="str">
        <f>IF(OR(MID(A163,1,6)="ЛМДФ P",MID(A163,1,6)="ЛДСП P"),1,IFERROR(IF(VLOOKUP(A163,'Шаг1.Выбор плиты'!C:Q,12,0)*1&lt;10,"",0.4),""))</f>
        <v/>
      </c>
      <c r="Q163" s="43" t="str">
        <f>IF(OR(MID(A163,1,6)="ЛМДФ P",MID(A163,1,6)="ЛДСП P"),1,IFERROR(IF(VLOOKUP(A163,'Шаг1.Выбор плиты'!C:Q,12,0)*1&lt;10,"",IF(OR(E163=2,F163=2,H163=2,I163=2),"",0.8)),""))</f>
        <v/>
      </c>
      <c r="R163" s="43" t="str">
        <f>IF(OR(MID(A163,1,6)="ЛМДФ P",MID(A163,1,6)="ЛДСП P"),1,IFERROR(IF(VLOOKUP(A163,'Шаг1.Выбор плиты'!C:Q,12,0)*1&lt;10,"",IF(OR(E163=0.8,F163=0.8,H163=0.8,I163=0.8),"",2)),""))</f>
        <v/>
      </c>
      <c r="S163" s="44" t="str">
        <f>IF(AND(COUNTBLANK(D$19:$D162)=0,COUNTBLANK(G$19:$G162)=0),$S$17&amp;$S$16,"дозаполнить")</f>
        <v>дозаполнить</v>
      </c>
      <c r="T163" s="25">
        <f t="shared" si="8"/>
        <v>0</v>
      </c>
      <c r="U163" s="25">
        <f t="shared" si="5"/>
        <v>0</v>
      </c>
      <c r="V163" s="101">
        <f t="shared" si="6"/>
        <v>0</v>
      </c>
      <c r="W163" s="25">
        <f t="shared" si="7"/>
        <v>0</v>
      </c>
    </row>
    <row r="164" spans="1:23" ht="12.75" x14ac:dyDescent="0.2">
      <c r="A164" s="187"/>
      <c r="B164" s="42" t="str">
        <f ca="1">IF(A164="","",MAX($B$17:OFFSET(A164,-1,0))+1)</f>
        <v/>
      </c>
      <c r="C164" s="183"/>
      <c r="D164" s="184"/>
      <c r="E164" s="186"/>
      <c r="F164" s="186"/>
      <c r="G164" s="184"/>
      <c r="H164" s="186"/>
      <c r="I164" s="186"/>
      <c r="J164" s="56"/>
      <c r="K164" s="16">
        <f t="shared" si="4"/>
        <v>0</v>
      </c>
      <c r="L164" s="17" t="str">
        <f t="shared" si="46"/>
        <v/>
      </c>
      <c r="M164" s="57" t="str">
        <f t="shared" si="47"/>
        <v/>
      </c>
      <c r="N164" s="57" t="str">
        <f t="shared" si="48"/>
        <v/>
      </c>
      <c r="O164" s="191" t="str">
        <f t="shared" si="43"/>
        <v/>
      </c>
      <c r="P164" s="43" t="str">
        <f>IF(OR(MID(A164,1,6)="ЛМДФ P",MID(A164,1,6)="ЛДСП P"),1,IFERROR(IF(VLOOKUP(A164,'Шаг1.Выбор плиты'!C:Q,12,0)*1&lt;10,"",0.4),""))</f>
        <v/>
      </c>
      <c r="Q164" s="43" t="str">
        <f>IF(OR(MID(A164,1,6)="ЛМДФ P",MID(A164,1,6)="ЛДСП P"),1,IFERROR(IF(VLOOKUP(A164,'Шаг1.Выбор плиты'!C:Q,12,0)*1&lt;10,"",IF(OR(E164=2,F164=2,H164=2,I164=2),"",0.8)),""))</f>
        <v/>
      </c>
      <c r="R164" s="43" t="str">
        <f>IF(OR(MID(A164,1,6)="ЛМДФ P",MID(A164,1,6)="ЛДСП P"),1,IFERROR(IF(VLOOKUP(A164,'Шаг1.Выбор плиты'!C:Q,12,0)*1&lt;10,"",IF(OR(E164=0.8,F164=0.8,H164=0.8,I164=0.8),"",2)),""))</f>
        <v/>
      </c>
      <c r="S164" s="44" t="str">
        <f>IF(AND(COUNTBLANK(D$19:$D163)=0,COUNTBLANK(G$19:$G163)=0),$S$17&amp;$S$16,"дозаполнить")</f>
        <v>дозаполнить</v>
      </c>
      <c r="T164" s="25">
        <f t="shared" si="8"/>
        <v>0</v>
      </c>
      <c r="U164" s="25">
        <f t="shared" si="5"/>
        <v>0</v>
      </c>
      <c r="V164" s="101">
        <f t="shared" si="6"/>
        <v>0</v>
      </c>
      <c r="W164" s="25">
        <f t="shared" si="7"/>
        <v>0</v>
      </c>
    </row>
    <row r="165" spans="1:23" ht="12.75" x14ac:dyDescent="0.2">
      <c r="A165" s="187"/>
      <c r="B165" s="42" t="str">
        <f ca="1">IF(A165="","",MAX($B$17:OFFSET(A165,-1,0))+1)</f>
        <v/>
      </c>
      <c r="C165" s="183"/>
      <c r="D165" s="184"/>
      <c r="E165" s="186"/>
      <c r="F165" s="186"/>
      <c r="G165" s="184"/>
      <c r="H165" s="186"/>
      <c r="I165" s="186"/>
      <c r="J165" s="56"/>
      <c r="K165" s="16">
        <f t="shared" si="4"/>
        <v>0</v>
      </c>
      <c r="L165" s="17" t="str">
        <f t="shared" si="46"/>
        <v/>
      </c>
      <c r="M165" s="57" t="str">
        <f t="shared" si="47"/>
        <v/>
      </c>
      <c r="N165" s="57" t="str">
        <f t="shared" si="48"/>
        <v/>
      </c>
      <c r="O165" s="191" t="str">
        <f t="shared" si="43"/>
        <v/>
      </c>
      <c r="P165" s="43" t="str">
        <f>IF(OR(MID(A165,1,6)="ЛМДФ P",MID(A165,1,6)="ЛДСП P"),1,IFERROR(IF(VLOOKUP(A165,'Шаг1.Выбор плиты'!C:Q,12,0)*1&lt;10,"",0.4),""))</f>
        <v/>
      </c>
      <c r="Q165" s="43" t="str">
        <f>IF(OR(MID(A165,1,6)="ЛМДФ P",MID(A165,1,6)="ЛДСП P"),1,IFERROR(IF(VLOOKUP(A165,'Шаг1.Выбор плиты'!C:Q,12,0)*1&lt;10,"",IF(OR(E165=2,F165=2,H165=2,I165=2),"",0.8)),""))</f>
        <v/>
      </c>
      <c r="R165" s="43" t="str">
        <f>IF(OR(MID(A165,1,6)="ЛМДФ P",MID(A165,1,6)="ЛДСП P"),1,IFERROR(IF(VLOOKUP(A165,'Шаг1.Выбор плиты'!C:Q,12,0)*1&lt;10,"",IF(OR(E165=0.8,F165=0.8,H165=0.8,I165=0.8),"",2)),""))</f>
        <v/>
      </c>
      <c r="S165" s="44" t="str">
        <f>IF(AND(COUNTBLANK(D$19:$D164)=0,COUNTBLANK(G$19:$G164)=0),$S$17&amp;$S$16,"дозаполнить")</f>
        <v>дозаполнить</v>
      </c>
      <c r="T165" s="25">
        <f t="shared" si="8"/>
        <v>0</v>
      </c>
      <c r="U165" s="25">
        <f t="shared" si="5"/>
        <v>0</v>
      </c>
      <c r="V165" s="101">
        <f t="shared" si="6"/>
        <v>0</v>
      </c>
      <c r="W165" s="25">
        <f t="shared" si="7"/>
        <v>0</v>
      </c>
    </row>
    <row r="166" spans="1:23" ht="12.75" x14ac:dyDescent="0.2">
      <c r="A166" s="187"/>
      <c r="B166" s="42" t="str">
        <f ca="1">IF(A166="","",MAX($B$17:OFFSET(A166,-1,0))+1)</f>
        <v/>
      </c>
      <c r="C166" s="183"/>
      <c r="D166" s="184"/>
      <c r="E166" s="186"/>
      <c r="F166" s="186"/>
      <c r="G166" s="184"/>
      <c r="H166" s="186"/>
      <c r="I166" s="186"/>
      <c r="J166" s="56"/>
      <c r="K166" s="16">
        <f t="shared" si="4"/>
        <v>0</v>
      </c>
      <c r="L166" s="17" t="str">
        <f t="shared" si="46"/>
        <v/>
      </c>
      <c r="M166" s="57" t="str">
        <f t="shared" si="47"/>
        <v/>
      </c>
      <c r="N166" s="57" t="str">
        <f t="shared" si="48"/>
        <v/>
      </c>
      <c r="O166" s="191" t="str">
        <f t="shared" si="43"/>
        <v/>
      </c>
      <c r="P166" s="43" t="str">
        <f>IF(OR(MID(A166,1,6)="ЛМДФ P",MID(A166,1,6)="ЛДСП P"),1,IFERROR(IF(VLOOKUP(A166,'Шаг1.Выбор плиты'!C:Q,12,0)*1&lt;10,"",0.4),""))</f>
        <v/>
      </c>
      <c r="Q166" s="43" t="str">
        <f>IF(OR(MID(A166,1,6)="ЛМДФ P",MID(A166,1,6)="ЛДСП P"),1,IFERROR(IF(VLOOKUP(A166,'Шаг1.Выбор плиты'!C:Q,12,0)*1&lt;10,"",IF(OR(E166=2,F166=2,H166=2,I166=2),"",0.8)),""))</f>
        <v/>
      </c>
      <c r="R166" s="43" t="str">
        <f>IF(OR(MID(A166,1,6)="ЛМДФ P",MID(A166,1,6)="ЛДСП P"),1,IFERROR(IF(VLOOKUP(A166,'Шаг1.Выбор плиты'!C:Q,12,0)*1&lt;10,"",IF(OR(E166=0.8,F166=0.8,H166=0.8,I166=0.8),"",2)),""))</f>
        <v/>
      </c>
      <c r="S166" s="44" t="str">
        <f>IF(AND(COUNTBLANK(D$19:$D165)=0,COUNTBLANK(G$19:$G165)=0),$S$17&amp;$S$16,"дозаполнить")</f>
        <v>дозаполнить</v>
      </c>
      <c r="T166" s="25">
        <f t="shared" si="8"/>
        <v>0</v>
      </c>
      <c r="U166" s="25">
        <f t="shared" si="5"/>
        <v>0</v>
      </c>
      <c r="V166" s="101">
        <f t="shared" si="6"/>
        <v>0</v>
      </c>
      <c r="W166" s="25">
        <f t="shared" si="7"/>
        <v>0</v>
      </c>
    </row>
    <row r="167" spans="1:23" ht="12.75" x14ac:dyDescent="0.2">
      <c r="A167" s="187"/>
      <c r="B167" s="42" t="str">
        <f ca="1">IF(A167="","",MAX($B$17:OFFSET(A167,-1,0))+1)</f>
        <v/>
      </c>
      <c r="C167" s="183"/>
      <c r="D167" s="184"/>
      <c r="E167" s="186"/>
      <c r="F167" s="186"/>
      <c r="G167" s="184"/>
      <c r="H167" s="186"/>
      <c r="I167" s="186"/>
      <c r="J167" s="56"/>
      <c r="K167" s="16">
        <f t="shared" si="4"/>
        <v>0</v>
      </c>
      <c r="L167" s="17" t="str">
        <f t="shared" si="46"/>
        <v/>
      </c>
      <c r="M167" s="57" t="str">
        <f t="shared" si="47"/>
        <v/>
      </c>
      <c r="N167" s="57" t="str">
        <f t="shared" si="48"/>
        <v/>
      </c>
      <c r="O167" s="191" t="str">
        <f t="shared" si="43"/>
        <v/>
      </c>
      <c r="P167" s="43" t="str">
        <f>IF(OR(MID(A167,1,6)="ЛМДФ P",MID(A167,1,6)="ЛДСП P"),1,IFERROR(IF(VLOOKUP(A167,'Шаг1.Выбор плиты'!C:Q,12,0)*1&lt;10,"",0.4),""))</f>
        <v/>
      </c>
      <c r="Q167" s="43" t="str">
        <f>IF(OR(MID(A167,1,6)="ЛМДФ P",MID(A167,1,6)="ЛДСП P"),1,IFERROR(IF(VLOOKUP(A167,'Шаг1.Выбор плиты'!C:Q,12,0)*1&lt;10,"",IF(OR(E167=2,F167=2,H167=2,I167=2),"",0.8)),""))</f>
        <v/>
      </c>
      <c r="R167" s="43" t="str">
        <f>IF(OR(MID(A167,1,6)="ЛМДФ P",MID(A167,1,6)="ЛДСП P"),1,IFERROR(IF(VLOOKUP(A167,'Шаг1.Выбор плиты'!C:Q,12,0)*1&lt;10,"",IF(OR(E167=0.8,F167=0.8,H167=0.8,I167=0.8),"",2)),""))</f>
        <v/>
      </c>
      <c r="S167" s="44" t="str">
        <f>IF(AND(COUNTBLANK(D$19:$D166)=0,COUNTBLANK(G$19:$G166)=0),$S$17&amp;$S$16,"дозаполнить")</f>
        <v>дозаполнить</v>
      </c>
      <c r="T167" s="25">
        <f t="shared" si="8"/>
        <v>0</v>
      </c>
      <c r="U167" s="25">
        <f t="shared" si="5"/>
        <v>0</v>
      </c>
      <c r="V167" s="101">
        <f t="shared" si="6"/>
        <v>0</v>
      </c>
      <c r="W167" s="25">
        <f t="shared" si="7"/>
        <v>0</v>
      </c>
    </row>
    <row r="168" spans="1:23" ht="12.75" x14ac:dyDescent="0.2">
      <c r="A168" s="187"/>
      <c r="B168" s="42" t="str">
        <f ca="1">IF(A168="","",MAX($B$17:OFFSET(A168,-1,0))+1)</f>
        <v/>
      </c>
      <c r="C168" s="183"/>
      <c r="D168" s="184"/>
      <c r="E168" s="186"/>
      <c r="F168" s="186"/>
      <c r="G168" s="184"/>
      <c r="H168" s="186"/>
      <c r="I168" s="186"/>
      <c r="J168" s="56"/>
      <c r="K168" s="16">
        <f t="shared" si="4"/>
        <v>0</v>
      </c>
      <c r="L168" s="17" t="str">
        <f t="shared" si="46"/>
        <v/>
      </c>
      <c r="M168" s="57" t="str">
        <f t="shared" si="47"/>
        <v/>
      </c>
      <c r="N168" s="57" t="str">
        <f t="shared" si="48"/>
        <v/>
      </c>
      <c r="O168" s="191" t="str">
        <f t="shared" si="43"/>
        <v/>
      </c>
      <c r="P168" s="43" t="str">
        <f>IF(OR(MID(A168,1,6)="ЛМДФ P",MID(A168,1,6)="ЛДСП P"),1,IFERROR(IF(VLOOKUP(A168,'Шаг1.Выбор плиты'!C:Q,12,0)*1&lt;10,"",0.4),""))</f>
        <v/>
      </c>
      <c r="Q168" s="43" t="str">
        <f>IF(OR(MID(A168,1,6)="ЛМДФ P",MID(A168,1,6)="ЛДСП P"),1,IFERROR(IF(VLOOKUP(A168,'Шаг1.Выбор плиты'!C:Q,12,0)*1&lt;10,"",IF(OR(E168=2,F168=2,H168=2,I168=2),"",0.8)),""))</f>
        <v/>
      </c>
      <c r="R168" s="43" t="str">
        <f>IF(OR(MID(A168,1,6)="ЛМДФ P",MID(A168,1,6)="ЛДСП P"),1,IFERROR(IF(VLOOKUP(A168,'Шаг1.Выбор плиты'!C:Q,12,0)*1&lt;10,"",IF(OR(E168=0.8,F168=0.8,H168=0.8,I168=0.8),"",2)),""))</f>
        <v/>
      </c>
      <c r="S168" s="44" t="str">
        <f>IF(AND(COUNTBLANK(D$19:$D167)=0,COUNTBLANK(G$19:$G167)=0),$S$17&amp;$S$16,"дозаполнить")</f>
        <v>дозаполнить</v>
      </c>
      <c r="T168" s="25">
        <f t="shared" si="8"/>
        <v>0</v>
      </c>
      <c r="U168" s="25">
        <f t="shared" si="5"/>
        <v>0</v>
      </c>
      <c r="V168" s="101">
        <f t="shared" si="6"/>
        <v>0</v>
      </c>
      <c r="W168" s="25">
        <f t="shared" si="7"/>
        <v>0</v>
      </c>
    </row>
    <row r="169" spans="1:23" ht="12.75" x14ac:dyDescent="0.2">
      <c r="A169" s="187"/>
      <c r="B169" s="42" t="str">
        <f ca="1">IF(A169="","",MAX($B$17:OFFSET(A169,-1,0))+1)</f>
        <v/>
      </c>
      <c r="C169" s="120"/>
      <c r="D169" s="184"/>
      <c r="E169" s="15"/>
      <c r="F169" s="15"/>
      <c r="G169" s="184"/>
      <c r="H169" s="15"/>
      <c r="I169" s="15"/>
      <c r="J169" s="56"/>
      <c r="K169" s="16">
        <f t="shared" si="4"/>
        <v>0</v>
      </c>
      <c r="L169" s="17" t="str">
        <f t="shared" si="46"/>
        <v/>
      </c>
      <c r="M169" s="57" t="str">
        <f t="shared" si="47"/>
        <v/>
      </c>
      <c r="N169" s="57" t="str">
        <f t="shared" si="48"/>
        <v/>
      </c>
      <c r="O169" s="191" t="str">
        <f t="shared" si="43"/>
        <v/>
      </c>
      <c r="P169" s="43" t="str">
        <f>IF(OR(MID(A169,1,6)="ЛМДФ P",MID(A169,1,6)="ЛДСП P"),1,IFERROR(IF(VLOOKUP(A169,'Шаг1.Выбор плиты'!C:Q,12,0)*1&lt;10,"",0.4),""))</f>
        <v/>
      </c>
      <c r="Q169" s="43" t="str">
        <f>IF(OR(MID(A169,1,6)="ЛМДФ P",MID(A169,1,6)="ЛДСП P"),1,IFERROR(IF(VLOOKUP(A169,'Шаг1.Выбор плиты'!C:Q,12,0)*1&lt;10,"",IF(OR(E169=2,F169=2,H169=2,I169=2),"",0.8)),""))</f>
        <v/>
      </c>
      <c r="R169" s="43" t="str">
        <f>IF(OR(MID(A169,1,6)="ЛМДФ P",MID(A169,1,6)="ЛДСП P"),1,IFERROR(IF(VLOOKUP(A169,'Шаг1.Выбор плиты'!C:Q,12,0)*1&lt;10,"",IF(OR(E169=0.8,F169=0.8,H169=0.8,I169=0.8),"",2)),""))</f>
        <v/>
      </c>
      <c r="S169" s="44" t="str">
        <f>IF(AND(COUNTBLANK(D$19:$D168)=0,COUNTBLANK(G$19:$G168)=0),$S$17&amp;$S$16,"дозаполнить")</f>
        <v>дозаполнить</v>
      </c>
      <c r="T169" s="25">
        <f t="shared" si="8"/>
        <v>0</v>
      </c>
      <c r="U169" s="25">
        <f t="shared" si="5"/>
        <v>0</v>
      </c>
      <c r="V169" s="101">
        <f t="shared" si="6"/>
        <v>0</v>
      </c>
      <c r="W169" s="25">
        <f t="shared" si="7"/>
        <v>0</v>
      </c>
    </row>
    <row r="170" spans="1:23" ht="12.75" x14ac:dyDescent="0.2">
      <c r="A170" s="187"/>
      <c r="B170" s="42" t="str">
        <f ca="1">IF(A170="","",MAX($B$17:OFFSET(A170,-1,0))+1)</f>
        <v/>
      </c>
      <c r="C170" s="120"/>
      <c r="D170" s="184"/>
      <c r="E170" s="15"/>
      <c r="F170" s="15"/>
      <c r="G170" s="184"/>
      <c r="H170" s="15"/>
      <c r="I170" s="15"/>
      <c r="J170" s="56"/>
      <c r="K170" s="16">
        <f t="shared" si="4"/>
        <v>0</v>
      </c>
      <c r="L170" s="17" t="str">
        <f t="shared" si="46"/>
        <v/>
      </c>
      <c r="M170" s="57" t="str">
        <f t="shared" si="47"/>
        <v/>
      </c>
      <c r="N170" s="57" t="str">
        <f t="shared" si="48"/>
        <v/>
      </c>
      <c r="O170" s="191" t="str">
        <f t="shared" si="43"/>
        <v/>
      </c>
      <c r="P170" s="43" t="str">
        <f>IF(OR(MID(A170,1,6)="ЛМДФ P",MID(A170,1,6)="ЛДСП P"),1,IFERROR(IF(VLOOKUP(A170,'Шаг1.Выбор плиты'!C:Q,12,0)*1&lt;10,"",0.4),""))</f>
        <v/>
      </c>
      <c r="Q170" s="43" t="str">
        <f>IF(OR(MID(A170,1,6)="ЛМДФ P",MID(A170,1,6)="ЛДСП P"),1,IFERROR(IF(VLOOKUP(A170,'Шаг1.Выбор плиты'!C:Q,12,0)*1&lt;10,"",IF(OR(E170=2,F170=2,H170=2,I170=2),"",0.8)),""))</f>
        <v/>
      </c>
      <c r="R170" s="43" t="str">
        <f>IF(OR(MID(A170,1,6)="ЛМДФ P",MID(A170,1,6)="ЛДСП P"),1,IFERROR(IF(VLOOKUP(A170,'Шаг1.Выбор плиты'!C:Q,12,0)*1&lt;10,"",IF(OR(E170=0.8,F170=0.8,H170=0.8,I170=0.8),"",2)),""))</f>
        <v/>
      </c>
      <c r="S170" s="44" t="str">
        <f>IF(AND(COUNTBLANK(D$19:$D169)=0,COUNTBLANK(G$19:$G169)=0),$S$17&amp;$S$16,"дозаполнить")</f>
        <v>дозаполнить</v>
      </c>
      <c r="T170" s="25">
        <f t="shared" si="8"/>
        <v>0</v>
      </c>
      <c r="U170" s="25">
        <f t="shared" si="5"/>
        <v>0</v>
      </c>
      <c r="V170" s="101">
        <f t="shared" si="6"/>
        <v>0</v>
      </c>
      <c r="W170" s="25">
        <f t="shared" si="7"/>
        <v>0</v>
      </c>
    </row>
    <row r="171" spans="1:23" ht="12.75" x14ac:dyDescent="0.2">
      <c r="A171" s="187"/>
      <c r="B171" s="42" t="str">
        <f ca="1">IF(A171="","",MAX($B$17:OFFSET(A171,-1,0))+1)</f>
        <v/>
      </c>
      <c r="C171" s="120"/>
      <c r="D171" s="184"/>
      <c r="E171" s="15"/>
      <c r="F171" s="15"/>
      <c r="G171" s="184"/>
      <c r="H171" s="15"/>
      <c r="I171" s="15"/>
      <c r="J171" s="56"/>
      <c r="K171" s="16">
        <f t="shared" si="4"/>
        <v>0</v>
      </c>
      <c r="L171" s="17" t="str">
        <f t="shared" si="46"/>
        <v/>
      </c>
      <c r="M171" s="57" t="str">
        <f t="shared" si="47"/>
        <v/>
      </c>
      <c r="N171" s="57" t="str">
        <f t="shared" si="48"/>
        <v/>
      </c>
      <c r="O171" s="191" t="str">
        <f t="shared" si="43"/>
        <v/>
      </c>
      <c r="P171" s="43" t="str">
        <f>IF(OR(MID(A171,1,6)="ЛМДФ P",MID(A171,1,6)="ЛДСП P"),1,IFERROR(IF(VLOOKUP(A171,'Шаг1.Выбор плиты'!C:Q,12,0)*1&lt;10,"",0.4),""))</f>
        <v/>
      </c>
      <c r="Q171" s="43" t="str">
        <f>IF(OR(MID(A171,1,6)="ЛМДФ P",MID(A171,1,6)="ЛДСП P"),1,IFERROR(IF(VLOOKUP(A171,'Шаг1.Выбор плиты'!C:Q,12,0)*1&lt;10,"",IF(OR(E171=2,F171=2,H171=2,I171=2),"",0.8)),""))</f>
        <v/>
      </c>
      <c r="R171" s="43" t="str">
        <f>IF(OR(MID(A171,1,6)="ЛМДФ P",MID(A171,1,6)="ЛДСП P"),1,IFERROR(IF(VLOOKUP(A171,'Шаг1.Выбор плиты'!C:Q,12,0)*1&lt;10,"",IF(OR(E171=0.8,F171=0.8,H171=0.8,I171=0.8),"",2)),""))</f>
        <v/>
      </c>
      <c r="S171" s="44" t="str">
        <f>IF(AND(COUNTBLANK(D$19:$D170)=0,COUNTBLANK(G$19:$G170)=0),$S$17&amp;$S$16,"дозаполнить")</f>
        <v>дозаполнить</v>
      </c>
      <c r="T171" s="25">
        <f t="shared" si="8"/>
        <v>0</v>
      </c>
      <c r="U171" s="25">
        <f t="shared" si="5"/>
        <v>0</v>
      </c>
      <c r="V171" s="101">
        <f t="shared" si="6"/>
        <v>0</v>
      </c>
      <c r="W171" s="25">
        <f t="shared" si="7"/>
        <v>0</v>
      </c>
    </row>
    <row r="172" spans="1:23" ht="12.75" x14ac:dyDescent="0.2">
      <c r="A172" s="187"/>
      <c r="B172" s="42" t="str">
        <f ca="1">IF(A172="","",MAX($B$17:OFFSET(A172,-1,0))+1)</f>
        <v/>
      </c>
      <c r="C172" s="120"/>
      <c r="D172" s="184"/>
      <c r="E172" s="15"/>
      <c r="F172" s="15"/>
      <c r="G172" s="184"/>
      <c r="H172" s="15"/>
      <c r="I172" s="15"/>
      <c r="J172" s="56"/>
      <c r="K172" s="16">
        <f t="shared" si="4"/>
        <v>0</v>
      </c>
      <c r="L172" s="17" t="str">
        <f t="shared" si="46"/>
        <v/>
      </c>
      <c r="M172" s="57" t="str">
        <f t="shared" si="47"/>
        <v/>
      </c>
      <c r="N172" s="57" t="str">
        <f t="shared" si="48"/>
        <v/>
      </c>
      <c r="O172" s="191" t="str">
        <f t="shared" si="43"/>
        <v/>
      </c>
      <c r="P172" s="43" t="str">
        <f>IF(OR(MID(A172,1,6)="ЛМДФ P",MID(A172,1,6)="ЛДСП P"),1,IFERROR(IF(VLOOKUP(A172,'Шаг1.Выбор плиты'!C:Q,12,0)*1&lt;10,"",0.4),""))</f>
        <v/>
      </c>
      <c r="Q172" s="43" t="str">
        <f>IF(OR(MID(A172,1,6)="ЛМДФ P",MID(A172,1,6)="ЛДСП P"),1,IFERROR(IF(VLOOKUP(A172,'Шаг1.Выбор плиты'!C:Q,12,0)*1&lt;10,"",IF(OR(E172=2,F172=2,H172=2,I172=2),"",0.8)),""))</f>
        <v/>
      </c>
      <c r="R172" s="43" t="str">
        <f>IF(OR(MID(A172,1,6)="ЛМДФ P",MID(A172,1,6)="ЛДСП P"),1,IFERROR(IF(VLOOKUP(A172,'Шаг1.Выбор плиты'!C:Q,12,0)*1&lt;10,"",IF(OR(E172=0.8,F172=0.8,H172=0.8,I172=0.8),"",2)),""))</f>
        <v/>
      </c>
      <c r="S172" s="44" t="str">
        <f>IF(AND(COUNTBLANK(D$19:$D171)=0,COUNTBLANK(G$19:$G171)=0),$S$17&amp;$S$16,"дозаполнить")</f>
        <v>дозаполнить</v>
      </c>
      <c r="T172" s="25">
        <f t="shared" si="8"/>
        <v>0</v>
      </c>
      <c r="U172" s="25">
        <f t="shared" si="5"/>
        <v>0</v>
      </c>
      <c r="V172" s="101">
        <f t="shared" si="6"/>
        <v>0</v>
      </c>
      <c r="W172" s="25">
        <f t="shared" si="7"/>
        <v>0</v>
      </c>
    </row>
    <row r="173" spans="1:23" ht="12.75" x14ac:dyDescent="0.2">
      <c r="A173" s="187"/>
      <c r="B173" s="42" t="str">
        <f ca="1">IF(A173="","",MAX($B$17:OFFSET(A173,-1,0))+1)</f>
        <v/>
      </c>
      <c r="C173" s="120"/>
      <c r="D173" s="184"/>
      <c r="E173" s="15"/>
      <c r="F173" s="15"/>
      <c r="G173" s="184"/>
      <c r="H173" s="15"/>
      <c r="I173" s="15"/>
      <c r="J173" s="56"/>
      <c r="K173" s="16">
        <f t="shared" si="4"/>
        <v>0</v>
      </c>
      <c r="L173" s="17" t="str">
        <f t="shared" si="46"/>
        <v/>
      </c>
      <c r="M173" s="57" t="str">
        <f t="shared" si="47"/>
        <v/>
      </c>
      <c r="N173" s="57" t="str">
        <f t="shared" si="48"/>
        <v/>
      </c>
      <c r="O173" s="191" t="str">
        <f t="shared" si="43"/>
        <v/>
      </c>
      <c r="P173" s="43" t="str">
        <f>IF(OR(MID(A173,1,6)="ЛМДФ P",MID(A173,1,6)="ЛДСП P"),1,IFERROR(IF(VLOOKUP(A173,'Шаг1.Выбор плиты'!C:Q,12,0)*1&lt;10,"",0.4),""))</f>
        <v/>
      </c>
      <c r="Q173" s="43" t="str">
        <f>IF(OR(MID(A173,1,6)="ЛМДФ P",MID(A173,1,6)="ЛДСП P"),1,IFERROR(IF(VLOOKUP(A173,'Шаг1.Выбор плиты'!C:Q,12,0)*1&lt;10,"",IF(OR(E173=2,F173=2,H173=2,I173=2),"",0.8)),""))</f>
        <v/>
      </c>
      <c r="R173" s="43" t="str">
        <f>IF(OR(MID(A173,1,6)="ЛМДФ P",MID(A173,1,6)="ЛДСП P"),1,IFERROR(IF(VLOOKUP(A173,'Шаг1.Выбор плиты'!C:Q,12,0)*1&lt;10,"",IF(OR(E173=0.8,F173=0.8,H173=0.8,I173=0.8),"",2)),""))</f>
        <v/>
      </c>
      <c r="S173" s="44" t="str">
        <f>IF(AND(COUNTBLANK(D$19:$D172)=0,COUNTBLANK(G$19:$G172)=0),$S$17&amp;$S$16,"дозаполнить")</f>
        <v>дозаполнить</v>
      </c>
      <c r="T173" s="25">
        <f t="shared" si="8"/>
        <v>0</v>
      </c>
      <c r="U173" s="25">
        <f t="shared" si="5"/>
        <v>0</v>
      </c>
      <c r="V173" s="101">
        <f t="shared" si="6"/>
        <v>0</v>
      </c>
      <c r="W173" s="25">
        <f t="shared" si="7"/>
        <v>0</v>
      </c>
    </row>
    <row r="174" spans="1:23" ht="12.75" x14ac:dyDescent="0.2">
      <c r="A174" s="187"/>
      <c r="B174" s="42" t="str">
        <f ca="1">IF(A174="","",MAX($B$17:OFFSET(A174,-1,0))+1)</f>
        <v/>
      </c>
      <c r="C174" s="120"/>
      <c r="D174" s="184"/>
      <c r="E174" s="15"/>
      <c r="F174" s="15"/>
      <c r="G174" s="184"/>
      <c r="H174" s="15"/>
      <c r="I174" s="15"/>
      <c r="J174" s="56"/>
      <c r="K174" s="16">
        <f t="shared" si="4"/>
        <v>0</v>
      </c>
      <c r="L174" s="17" t="str">
        <f t="shared" si="46"/>
        <v/>
      </c>
      <c r="M174" s="57" t="str">
        <f t="shared" si="47"/>
        <v/>
      </c>
      <c r="N174" s="57" t="str">
        <f t="shared" si="48"/>
        <v/>
      </c>
      <c r="O174" s="191" t="str">
        <f t="shared" si="43"/>
        <v/>
      </c>
      <c r="P174" s="43" t="str">
        <f>IF(OR(MID(A174,1,6)="ЛМДФ P",MID(A174,1,6)="ЛДСП P"),1,IFERROR(IF(VLOOKUP(A174,'Шаг1.Выбор плиты'!C:Q,12,0)*1&lt;10,"",0.4),""))</f>
        <v/>
      </c>
      <c r="Q174" s="43" t="str">
        <f>IF(OR(MID(A174,1,6)="ЛМДФ P",MID(A174,1,6)="ЛДСП P"),1,IFERROR(IF(VLOOKUP(A174,'Шаг1.Выбор плиты'!C:Q,12,0)*1&lt;10,"",IF(OR(E174=2,F174=2,H174=2,I174=2),"",0.8)),""))</f>
        <v/>
      </c>
      <c r="R174" s="43" t="str">
        <f>IF(OR(MID(A174,1,6)="ЛМДФ P",MID(A174,1,6)="ЛДСП P"),1,IFERROR(IF(VLOOKUP(A174,'Шаг1.Выбор плиты'!C:Q,12,0)*1&lt;10,"",IF(OR(E174=0.8,F174=0.8,H174=0.8,I174=0.8),"",2)),""))</f>
        <v/>
      </c>
      <c r="S174" s="44" t="str">
        <f>IF(AND(COUNTBLANK(D$19:$D173)=0,COUNTBLANK(G$19:$G173)=0),$S$17&amp;$S$16,"дозаполнить")</f>
        <v>дозаполнить</v>
      </c>
      <c r="T174" s="25">
        <f t="shared" si="8"/>
        <v>0</v>
      </c>
      <c r="U174" s="25">
        <f t="shared" si="5"/>
        <v>0</v>
      </c>
      <c r="V174" s="101">
        <f t="shared" si="6"/>
        <v>0</v>
      </c>
      <c r="W174" s="25">
        <f t="shared" si="7"/>
        <v>0</v>
      </c>
    </row>
    <row r="175" spans="1:23" ht="12.75" x14ac:dyDescent="0.2">
      <c r="A175" s="187"/>
      <c r="B175" s="42" t="str">
        <f ca="1">IF(A175="","",MAX($B$17:OFFSET(A175,-1,0))+1)</f>
        <v/>
      </c>
      <c r="C175" s="120"/>
      <c r="D175" s="184"/>
      <c r="E175" s="15"/>
      <c r="F175" s="15"/>
      <c r="G175" s="184"/>
      <c r="H175" s="15"/>
      <c r="I175" s="15"/>
      <c r="J175" s="56"/>
      <c r="K175" s="16">
        <f t="shared" si="4"/>
        <v>0</v>
      </c>
      <c r="L175" s="17" t="str">
        <f t="shared" si="46"/>
        <v/>
      </c>
      <c r="M175" s="57" t="str">
        <f t="shared" si="47"/>
        <v/>
      </c>
      <c r="N175" s="57" t="str">
        <f t="shared" si="48"/>
        <v/>
      </c>
      <c r="O175" s="191" t="str">
        <f t="shared" si="43"/>
        <v/>
      </c>
      <c r="P175" s="43" t="str">
        <f>IF(OR(MID(A175,1,6)="ЛМДФ P",MID(A175,1,6)="ЛДСП P"),1,IFERROR(IF(VLOOKUP(A175,'Шаг1.Выбор плиты'!C:Q,12,0)*1&lt;10,"",0.4),""))</f>
        <v/>
      </c>
      <c r="Q175" s="43" t="str">
        <f>IF(OR(MID(A175,1,6)="ЛМДФ P",MID(A175,1,6)="ЛДСП P"),1,IFERROR(IF(VLOOKUP(A175,'Шаг1.Выбор плиты'!C:Q,12,0)*1&lt;10,"",IF(OR(E175=2,F175=2,H175=2,I175=2),"",0.8)),""))</f>
        <v/>
      </c>
      <c r="R175" s="43" t="str">
        <f>IF(OR(MID(A175,1,6)="ЛМДФ P",MID(A175,1,6)="ЛДСП P"),1,IFERROR(IF(VLOOKUP(A175,'Шаг1.Выбор плиты'!C:Q,12,0)*1&lt;10,"",IF(OR(E175=0.8,F175=0.8,H175=0.8,I175=0.8),"",2)),""))</f>
        <v/>
      </c>
      <c r="S175" s="44" t="str">
        <f>IF(AND(COUNTBLANK(D$19:$D174)=0,COUNTBLANK(G$19:$G174)=0),$S$17&amp;$S$16,"дозаполнить")</f>
        <v>дозаполнить</v>
      </c>
      <c r="T175" s="25">
        <f t="shared" si="8"/>
        <v>0</v>
      </c>
      <c r="U175" s="25">
        <f t="shared" si="5"/>
        <v>0</v>
      </c>
      <c r="V175" s="101">
        <f t="shared" si="6"/>
        <v>0</v>
      </c>
      <c r="W175" s="25">
        <f t="shared" si="7"/>
        <v>0</v>
      </c>
    </row>
    <row r="176" spans="1:23" ht="12.75" x14ac:dyDescent="0.2">
      <c r="A176" s="187"/>
      <c r="B176" s="42" t="str">
        <f ca="1">IF(A176="","",MAX($B$17:OFFSET(A176,-1,0))+1)</f>
        <v/>
      </c>
      <c r="C176" s="120"/>
      <c r="D176" s="184"/>
      <c r="E176" s="15"/>
      <c r="F176" s="15"/>
      <c r="G176" s="184"/>
      <c r="H176" s="15"/>
      <c r="I176" s="15"/>
      <c r="J176" s="56"/>
      <c r="K176" s="16">
        <f t="shared" si="4"/>
        <v>0</v>
      </c>
      <c r="L176" s="17" t="str">
        <f t="shared" si="46"/>
        <v/>
      </c>
      <c r="M176" s="57" t="str">
        <f t="shared" si="47"/>
        <v/>
      </c>
      <c r="N176" s="57" t="str">
        <f t="shared" si="48"/>
        <v/>
      </c>
      <c r="O176" s="191" t="str">
        <f t="shared" si="43"/>
        <v/>
      </c>
      <c r="P176" s="43" t="str">
        <f>IF(OR(MID(A176,1,6)="ЛМДФ P",MID(A176,1,6)="ЛДСП P"),1,IFERROR(IF(VLOOKUP(A176,'Шаг1.Выбор плиты'!C:Q,12,0)*1&lt;10,"",0.4),""))</f>
        <v/>
      </c>
      <c r="Q176" s="43" t="str">
        <f>IF(OR(MID(A176,1,6)="ЛМДФ P",MID(A176,1,6)="ЛДСП P"),1,IFERROR(IF(VLOOKUP(A176,'Шаг1.Выбор плиты'!C:Q,12,0)*1&lt;10,"",IF(OR(E176=2,F176=2,H176=2,I176=2),"",0.8)),""))</f>
        <v/>
      </c>
      <c r="R176" s="43" t="str">
        <f>IF(OR(MID(A176,1,6)="ЛМДФ P",MID(A176,1,6)="ЛДСП P"),1,IFERROR(IF(VLOOKUP(A176,'Шаг1.Выбор плиты'!C:Q,12,0)*1&lt;10,"",IF(OR(E176=0.8,F176=0.8,H176=0.8,I176=0.8),"",2)),""))</f>
        <v/>
      </c>
      <c r="S176" s="44" t="str">
        <f>IF(AND(COUNTBLANK(D$19:$D175)=0,COUNTBLANK(G$19:$G175)=0),$S$17&amp;$S$16,"дозаполнить")</f>
        <v>дозаполнить</v>
      </c>
      <c r="T176" s="25">
        <f t="shared" si="8"/>
        <v>0</v>
      </c>
      <c r="U176" s="25">
        <f t="shared" si="5"/>
        <v>0</v>
      </c>
      <c r="V176" s="101">
        <f t="shared" si="6"/>
        <v>0</v>
      </c>
      <c r="W176" s="25">
        <f t="shared" si="7"/>
        <v>0</v>
      </c>
    </row>
    <row r="177" spans="1:23" ht="12.75" x14ac:dyDescent="0.2">
      <c r="A177" s="187"/>
      <c r="B177" s="42" t="str">
        <f ca="1">IF(A177="","",MAX($B$17:OFFSET(A177,-1,0))+1)</f>
        <v/>
      </c>
      <c r="C177" s="120"/>
      <c r="D177" s="184"/>
      <c r="E177" s="15"/>
      <c r="F177" s="15"/>
      <c r="G177" s="184"/>
      <c r="H177" s="15"/>
      <c r="I177" s="15"/>
      <c r="J177" s="56"/>
      <c r="K177" s="16">
        <f t="shared" si="4"/>
        <v>0</v>
      </c>
      <c r="L177" s="17" t="str">
        <f t="shared" si="46"/>
        <v/>
      </c>
      <c r="M177" s="57" t="str">
        <f t="shared" si="47"/>
        <v/>
      </c>
      <c r="N177" s="57" t="str">
        <f t="shared" si="48"/>
        <v/>
      </c>
      <c r="O177" s="191" t="str">
        <f t="shared" si="43"/>
        <v/>
      </c>
      <c r="P177" s="43" t="str">
        <f>IF(OR(MID(A177,1,6)="ЛМДФ P",MID(A177,1,6)="ЛДСП P"),1,IFERROR(IF(VLOOKUP(A177,'Шаг1.Выбор плиты'!C:Q,12,0)*1&lt;10,"",0.4),""))</f>
        <v/>
      </c>
      <c r="Q177" s="43" t="str">
        <f>IF(OR(MID(A177,1,6)="ЛМДФ P",MID(A177,1,6)="ЛДСП P"),1,IFERROR(IF(VLOOKUP(A177,'Шаг1.Выбор плиты'!C:Q,12,0)*1&lt;10,"",IF(OR(E177=2,F177=2,H177=2,I177=2),"",0.8)),""))</f>
        <v/>
      </c>
      <c r="R177" s="43" t="str">
        <f>IF(OR(MID(A177,1,6)="ЛМДФ P",MID(A177,1,6)="ЛДСП P"),1,IFERROR(IF(VLOOKUP(A177,'Шаг1.Выбор плиты'!C:Q,12,0)*1&lt;10,"",IF(OR(E177=0.8,F177=0.8,H177=0.8,I177=0.8),"",2)),""))</f>
        <v/>
      </c>
      <c r="S177" s="44" t="str">
        <f>IF(AND(COUNTBLANK(D$19:$D176)=0,COUNTBLANK(G$19:$G176)=0),$S$17&amp;$S$16,"дозаполнить")</f>
        <v>дозаполнить</v>
      </c>
      <c r="T177" s="25">
        <f t="shared" si="8"/>
        <v>0</v>
      </c>
      <c r="U177" s="25">
        <f t="shared" si="5"/>
        <v>0</v>
      </c>
      <c r="V177" s="101">
        <f t="shared" si="6"/>
        <v>0</v>
      </c>
      <c r="W177" s="25">
        <f t="shared" si="7"/>
        <v>0</v>
      </c>
    </row>
    <row r="178" spans="1:23" ht="12.75" x14ac:dyDescent="0.2">
      <c r="A178" s="187"/>
      <c r="B178" s="42" t="str">
        <f ca="1">IF(A178="","",MAX($B$17:OFFSET(A178,-1,0))+1)</f>
        <v/>
      </c>
      <c r="C178" s="120"/>
      <c r="D178" s="184"/>
      <c r="E178" s="15"/>
      <c r="F178" s="15"/>
      <c r="G178" s="184"/>
      <c r="H178" s="15"/>
      <c r="I178" s="15"/>
      <c r="J178" s="56"/>
      <c r="K178" s="16">
        <f t="shared" si="4"/>
        <v>0</v>
      </c>
      <c r="L178" s="17" t="str">
        <f t="shared" si="46"/>
        <v/>
      </c>
      <c r="M178" s="57" t="str">
        <f t="shared" si="47"/>
        <v/>
      </c>
      <c r="N178" s="57" t="str">
        <f t="shared" si="48"/>
        <v/>
      </c>
      <c r="O178" s="191" t="str">
        <f t="shared" si="43"/>
        <v/>
      </c>
      <c r="P178" s="43" t="str">
        <f>IF(OR(MID(A178,1,6)="ЛМДФ P",MID(A178,1,6)="ЛДСП P"),1,IFERROR(IF(VLOOKUP(A178,'Шаг1.Выбор плиты'!C:Q,12,0)*1&lt;10,"",0.4),""))</f>
        <v/>
      </c>
      <c r="Q178" s="43" t="str">
        <f>IF(OR(MID(A178,1,6)="ЛМДФ P",MID(A178,1,6)="ЛДСП P"),1,IFERROR(IF(VLOOKUP(A178,'Шаг1.Выбор плиты'!C:Q,12,0)*1&lt;10,"",IF(OR(E178=2,F178=2,H178=2,I178=2),"",0.8)),""))</f>
        <v/>
      </c>
      <c r="R178" s="43" t="str">
        <f>IF(OR(MID(A178,1,6)="ЛМДФ P",MID(A178,1,6)="ЛДСП P"),1,IFERROR(IF(VLOOKUP(A178,'Шаг1.Выбор плиты'!C:Q,12,0)*1&lt;10,"",IF(OR(E178=0.8,F178=0.8,H178=0.8,I178=0.8),"",2)),""))</f>
        <v/>
      </c>
      <c r="S178" s="44" t="str">
        <f>IF(AND(COUNTBLANK(D$19:$D177)=0,COUNTBLANK(G$19:$G177)=0),$S$17&amp;$S$16,"дозаполнить")</f>
        <v>дозаполнить</v>
      </c>
      <c r="T178" s="25">
        <f t="shared" si="8"/>
        <v>0</v>
      </c>
      <c r="U178" s="25">
        <f t="shared" si="5"/>
        <v>0</v>
      </c>
      <c r="V178" s="101">
        <f t="shared" si="6"/>
        <v>0</v>
      </c>
      <c r="W178" s="25">
        <f t="shared" si="7"/>
        <v>0</v>
      </c>
    </row>
    <row r="179" spans="1:23" ht="12.75" x14ac:dyDescent="0.2">
      <c r="A179" s="187"/>
      <c r="B179" s="42" t="str">
        <f ca="1">IF(A179="","",MAX($B$17:OFFSET(A179,-1,0))+1)</f>
        <v/>
      </c>
      <c r="C179" s="120"/>
      <c r="D179" s="184"/>
      <c r="E179" s="15"/>
      <c r="F179" s="15"/>
      <c r="G179" s="184"/>
      <c r="H179" s="15"/>
      <c r="I179" s="15"/>
      <c r="J179" s="56"/>
      <c r="K179" s="16">
        <f t="shared" si="4"/>
        <v>0</v>
      </c>
      <c r="L179" s="17" t="str">
        <f t="shared" si="46"/>
        <v/>
      </c>
      <c r="M179" s="57" t="str">
        <f t="shared" si="47"/>
        <v/>
      </c>
      <c r="N179" s="57" t="str">
        <f t="shared" si="48"/>
        <v/>
      </c>
      <c r="O179" s="191" t="str">
        <f t="shared" si="43"/>
        <v/>
      </c>
      <c r="P179" s="43" t="str">
        <f>IF(OR(MID(A179,1,6)="ЛМДФ P",MID(A179,1,6)="ЛДСП P"),1,IFERROR(IF(VLOOKUP(A179,'Шаг1.Выбор плиты'!C:Q,12,0)*1&lt;10,"",0.4),""))</f>
        <v/>
      </c>
      <c r="Q179" s="43" t="str">
        <f>IF(OR(MID(A179,1,6)="ЛМДФ P",MID(A179,1,6)="ЛДСП P"),1,IFERROR(IF(VLOOKUP(A179,'Шаг1.Выбор плиты'!C:Q,12,0)*1&lt;10,"",IF(OR(E179=2,F179=2,H179=2,I179=2),"",0.8)),""))</f>
        <v/>
      </c>
      <c r="R179" s="43" t="str">
        <f>IF(OR(MID(A179,1,6)="ЛМДФ P",MID(A179,1,6)="ЛДСП P"),1,IFERROR(IF(VLOOKUP(A179,'Шаг1.Выбор плиты'!C:Q,12,0)*1&lt;10,"",IF(OR(E179=0.8,F179=0.8,H179=0.8,I179=0.8),"",2)),""))</f>
        <v/>
      </c>
      <c r="S179" s="44" t="str">
        <f>IF(AND(COUNTBLANK(D$19:$D178)=0,COUNTBLANK(G$19:$G178)=0),$S$17&amp;$S$16,"дозаполнить")</f>
        <v>дозаполнить</v>
      </c>
      <c r="T179" s="25">
        <f t="shared" si="8"/>
        <v>0</v>
      </c>
      <c r="U179" s="25">
        <f t="shared" si="5"/>
        <v>0</v>
      </c>
      <c r="V179" s="101">
        <f t="shared" si="6"/>
        <v>0</v>
      </c>
      <c r="W179" s="25">
        <f t="shared" si="7"/>
        <v>0</v>
      </c>
    </row>
    <row r="180" spans="1:23" ht="12.75" x14ac:dyDescent="0.2">
      <c r="A180" s="187"/>
      <c r="B180" s="42" t="str">
        <f ca="1">IF(A180="","",MAX($B$17:OFFSET(A180,-1,0))+1)</f>
        <v/>
      </c>
      <c r="C180" s="120"/>
      <c r="D180" s="184"/>
      <c r="E180" s="15"/>
      <c r="F180" s="15"/>
      <c r="G180" s="184"/>
      <c r="H180" s="15"/>
      <c r="I180" s="15"/>
      <c r="J180" s="56"/>
      <c r="K180" s="16">
        <f t="shared" si="4"/>
        <v>0</v>
      </c>
      <c r="L180" s="17" t="str">
        <f t="shared" si="46"/>
        <v/>
      </c>
      <c r="M180" s="57" t="str">
        <f t="shared" si="47"/>
        <v/>
      </c>
      <c r="N180" s="57" t="str">
        <f t="shared" si="48"/>
        <v/>
      </c>
      <c r="O180" s="191" t="str">
        <f t="shared" si="43"/>
        <v/>
      </c>
      <c r="P180" s="43" t="str">
        <f>IF(OR(MID(A180,1,6)="ЛМДФ P",MID(A180,1,6)="ЛДСП P"),1,IFERROR(IF(VLOOKUP(A180,'Шаг1.Выбор плиты'!C:Q,12,0)*1&lt;10,"",0.4),""))</f>
        <v/>
      </c>
      <c r="Q180" s="43" t="str">
        <f>IF(OR(MID(A180,1,6)="ЛМДФ P",MID(A180,1,6)="ЛДСП P"),1,IFERROR(IF(VLOOKUP(A180,'Шаг1.Выбор плиты'!C:Q,12,0)*1&lt;10,"",IF(OR(E180=2,F180=2,H180=2,I180=2),"",0.8)),""))</f>
        <v/>
      </c>
      <c r="R180" s="43" t="str">
        <f>IF(OR(MID(A180,1,6)="ЛМДФ P",MID(A180,1,6)="ЛДСП P"),1,IFERROR(IF(VLOOKUP(A180,'Шаг1.Выбор плиты'!C:Q,12,0)*1&lt;10,"",IF(OR(E180=0.8,F180=0.8,H180=0.8,I180=0.8),"",2)),""))</f>
        <v/>
      </c>
      <c r="S180" s="44" t="str">
        <f>IF(AND(COUNTBLANK(D$19:$D179)=0,COUNTBLANK(G$19:$G179)=0),$S$17&amp;$S$16,"дозаполнить")</f>
        <v>дозаполнить</v>
      </c>
      <c r="T180" s="25">
        <f t="shared" si="8"/>
        <v>0</v>
      </c>
      <c r="U180" s="25">
        <f t="shared" si="5"/>
        <v>0</v>
      </c>
      <c r="V180" s="101">
        <f t="shared" si="6"/>
        <v>0</v>
      </c>
      <c r="W180" s="25">
        <f t="shared" si="7"/>
        <v>0</v>
      </c>
    </row>
    <row r="181" spans="1:23" ht="12.75" x14ac:dyDescent="0.2">
      <c r="A181" s="187"/>
      <c r="B181" s="42" t="str">
        <f ca="1">IF(A181="","",MAX($B$17:OFFSET(A181,-1,0))+1)</f>
        <v/>
      </c>
      <c r="C181" s="120"/>
      <c r="D181" s="184"/>
      <c r="E181" s="15"/>
      <c r="F181" s="15"/>
      <c r="G181" s="184"/>
      <c r="H181" s="15"/>
      <c r="I181" s="15"/>
      <c r="J181" s="56"/>
      <c r="K181" s="16">
        <f t="shared" si="4"/>
        <v>0</v>
      </c>
      <c r="L181" s="17" t="str">
        <f t="shared" si="46"/>
        <v/>
      </c>
      <c r="M181" s="57" t="str">
        <f t="shared" si="47"/>
        <v/>
      </c>
      <c r="N181" s="57" t="str">
        <f t="shared" si="48"/>
        <v/>
      </c>
      <c r="O181" s="191" t="str">
        <f t="shared" si="43"/>
        <v/>
      </c>
      <c r="P181" s="43" t="str">
        <f>IF(OR(MID(A181,1,6)="ЛМДФ P",MID(A181,1,6)="ЛДСП P"),1,IFERROR(IF(VLOOKUP(A181,'Шаг1.Выбор плиты'!C:Q,12,0)*1&lt;10,"",0.4),""))</f>
        <v/>
      </c>
      <c r="Q181" s="43" t="str">
        <f>IF(OR(MID(A181,1,6)="ЛМДФ P",MID(A181,1,6)="ЛДСП P"),1,IFERROR(IF(VLOOKUP(A181,'Шаг1.Выбор плиты'!C:Q,12,0)*1&lt;10,"",IF(OR(E181=2,F181=2,H181=2,I181=2),"",0.8)),""))</f>
        <v/>
      </c>
      <c r="R181" s="43" t="str">
        <f>IF(OR(MID(A181,1,6)="ЛМДФ P",MID(A181,1,6)="ЛДСП P"),1,IFERROR(IF(VLOOKUP(A181,'Шаг1.Выбор плиты'!C:Q,12,0)*1&lt;10,"",IF(OR(E181=0.8,F181=0.8,H181=0.8,I181=0.8),"",2)),""))</f>
        <v/>
      </c>
      <c r="S181" s="44" t="str">
        <f>IF(AND(COUNTBLANK(D$19:$D180)=0,COUNTBLANK(G$19:$G180)=0),$S$17&amp;$S$16,"дозаполнить")</f>
        <v>дозаполнить</v>
      </c>
      <c r="T181" s="25">
        <f t="shared" si="8"/>
        <v>0</v>
      </c>
      <c r="U181" s="25">
        <f t="shared" si="5"/>
        <v>0</v>
      </c>
      <c r="V181" s="101">
        <f t="shared" si="6"/>
        <v>0</v>
      </c>
      <c r="W181" s="25">
        <f t="shared" si="7"/>
        <v>0</v>
      </c>
    </row>
    <row r="182" spans="1:23" ht="12.75" x14ac:dyDescent="0.2">
      <c r="A182" s="187"/>
      <c r="B182" s="42" t="str">
        <f ca="1">IF(A182="","",MAX($B$17:OFFSET(A182,-1,0))+1)</f>
        <v/>
      </c>
      <c r="C182" s="120"/>
      <c r="D182" s="184"/>
      <c r="E182" s="15"/>
      <c r="F182" s="15"/>
      <c r="G182" s="184"/>
      <c r="H182" s="15"/>
      <c r="I182" s="15"/>
      <c r="J182" s="56"/>
      <c r="K182" s="16">
        <f t="shared" si="4"/>
        <v>0</v>
      </c>
      <c r="L182" s="17" t="str">
        <f t="shared" si="46"/>
        <v/>
      </c>
      <c r="M182" s="57" t="str">
        <f t="shared" si="47"/>
        <v/>
      </c>
      <c r="N182" s="57" t="str">
        <f t="shared" si="48"/>
        <v/>
      </c>
      <c r="O182" s="191" t="str">
        <f t="shared" si="43"/>
        <v/>
      </c>
      <c r="P182" s="43" t="str">
        <f>IF(OR(MID(A182,1,6)="ЛМДФ P",MID(A182,1,6)="ЛДСП P"),1,IFERROR(IF(VLOOKUP(A182,'Шаг1.Выбор плиты'!C:Q,12,0)*1&lt;10,"",0.4),""))</f>
        <v/>
      </c>
      <c r="Q182" s="43" t="str">
        <f>IF(OR(MID(A182,1,6)="ЛМДФ P",MID(A182,1,6)="ЛДСП P"),1,IFERROR(IF(VLOOKUP(A182,'Шаг1.Выбор плиты'!C:Q,12,0)*1&lt;10,"",IF(OR(E182=2,F182=2,H182=2,I182=2),"",0.8)),""))</f>
        <v/>
      </c>
      <c r="R182" s="43" t="str">
        <f>IF(OR(MID(A182,1,6)="ЛМДФ P",MID(A182,1,6)="ЛДСП P"),1,IFERROR(IF(VLOOKUP(A182,'Шаг1.Выбор плиты'!C:Q,12,0)*1&lt;10,"",IF(OR(E182=0.8,F182=0.8,H182=0.8,I182=0.8),"",2)),""))</f>
        <v/>
      </c>
      <c r="S182" s="44" t="str">
        <f>IF(AND(COUNTBLANK(D$19:$D181)=0,COUNTBLANK(G$19:$G181)=0),$S$17&amp;$S$16,"дозаполнить")</f>
        <v>дозаполнить</v>
      </c>
      <c r="T182" s="25">
        <f t="shared" si="8"/>
        <v>0</v>
      </c>
      <c r="U182" s="25">
        <f t="shared" si="5"/>
        <v>0</v>
      </c>
      <c r="V182" s="101">
        <f t="shared" si="6"/>
        <v>0</v>
      </c>
      <c r="W182" s="25">
        <f t="shared" si="7"/>
        <v>0</v>
      </c>
    </row>
    <row r="183" spans="1:23" ht="12.75" x14ac:dyDescent="0.2">
      <c r="A183" s="187"/>
      <c r="B183" s="42" t="str">
        <f ca="1">IF(A183="","",MAX($B$17:OFFSET(A183,-1,0))+1)</f>
        <v/>
      </c>
      <c r="C183" s="120"/>
      <c r="D183" s="184"/>
      <c r="E183" s="15"/>
      <c r="F183" s="15"/>
      <c r="G183" s="184"/>
      <c r="H183" s="15"/>
      <c r="I183" s="15"/>
      <c r="J183" s="56"/>
      <c r="K183" s="16">
        <f t="shared" si="4"/>
        <v>0</v>
      </c>
      <c r="L183" s="17" t="str">
        <f t="shared" si="46"/>
        <v/>
      </c>
      <c r="M183" s="57" t="str">
        <f t="shared" si="47"/>
        <v/>
      </c>
      <c r="N183" s="57" t="str">
        <f t="shared" si="48"/>
        <v/>
      </c>
      <c r="O183" s="191" t="str">
        <f t="shared" si="43"/>
        <v/>
      </c>
      <c r="P183" s="43" t="str">
        <f>IF(OR(MID(A183,1,6)="ЛМДФ P",MID(A183,1,6)="ЛДСП P"),1,IFERROR(IF(VLOOKUP(A183,'Шаг1.Выбор плиты'!C:Q,12,0)*1&lt;10,"",0.4),""))</f>
        <v/>
      </c>
      <c r="Q183" s="43" t="str">
        <f>IF(OR(MID(A183,1,6)="ЛМДФ P",MID(A183,1,6)="ЛДСП P"),1,IFERROR(IF(VLOOKUP(A183,'Шаг1.Выбор плиты'!C:Q,12,0)*1&lt;10,"",IF(OR(E183=2,F183=2,H183=2,I183=2),"",0.8)),""))</f>
        <v/>
      </c>
      <c r="R183" s="43" t="str">
        <f>IF(OR(MID(A183,1,6)="ЛМДФ P",MID(A183,1,6)="ЛДСП P"),1,IFERROR(IF(VLOOKUP(A183,'Шаг1.Выбор плиты'!C:Q,12,0)*1&lt;10,"",IF(OR(E183=0.8,F183=0.8,H183=0.8,I183=0.8),"",2)),""))</f>
        <v/>
      </c>
      <c r="S183" s="44" t="str">
        <f>IF(AND(COUNTBLANK(D$19:$D182)=0,COUNTBLANK(G$19:$G182)=0),$S$17&amp;$S$16,"дозаполнить")</f>
        <v>дозаполнить</v>
      </c>
      <c r="T183" s="25">
        <f t="shared" si="8"/>
        <v>0</v>
      </c>
      <c r="U183" s="25">
        <f t="shared" si="5"/>
        <v>0</v>
      </c>
      <c r="V183" s="101">
        <f t="shared" si="6"/>
        <v>0</v>
      </c>
      <c r="W183" s="25">
        <f t="shared" si="7"/>
        <v>0</v>
      </c>
    </row>
    <row r="184" spans="1:23" ht="12.75" x14ac:dyDescent="0.2">
      <c r="A184" s="187"/>
      <c r="B184" s="42" t="str">
        <f ca="1">IF(A184="","",MAX($B$17:OFFSET(A184,-1,0))+1)</f>
        <v/>
      </c>
      <c r="C184" s="120"/>
      <c r="D184" s="184"/>
      <c r="E184" s="15"/>
      <c r="F184" s="15"/>
      <c r="G184" s="184"/>
      <c r="H184" s="15"/>
      <c r="I184" s="15"/>
      <c r="J184" s="56"/>
      <c r="K184" s="16">
        <f t="shared" si="4"/>
        <v>0</v>
      </c>
      <c r="L184" s="17" t="str">
        <f t="shared" si="46"/>
        <v/>
      </c>
      <c r="M184" s="57" t="str">
        <f t="shared" si="47"/>
        <v/>
      </c>
      <c r="N184" s="57" t="str">
        <f t="shared" si="48"/>
        <v/>
      </c>
      <c r="O184" s="191" t="str">
        <f t="shared" si="43"/>
        <v/>
      </c>
      <c r="P184" s="43" t="str">
        <f>IF(OR(MID(A184,1,6)="ЛМДФ P",MID(A184,1,6)="ЛДСП P"),1,IFERROR(IF(VLOOKUP(A184,'Шаг1.Выбор плиты'!C:Q,12,0)*1&lt;10,"",0.4),""))</f>
        <v/>
      </c>
      <c r="Q184" s="43" t="str">
        <f>IF(OR(MID(A184,1,6)="ЛМДФ P",MID(A184,1,6)="ЛДСП P"),1,IFERROR(IF(VLOOKUP(A184,'Шаг1.Выбор плиты'!C:Q,12,0)*1&lt;10,"",IF(OR(E184=2,F184=2,H184=2,I184=2),"",0.8)),""))</f>
        <v/>
      </c>
      <c r="R184" s="43" t="str">
        <f>IF(OR(MID(A184,1,6)="ЛМДФ P",MID(A184,1,6)="ЛДСП P"),1,IFERROR(IF(VLOOKUP(A184,'Шаг1.Выбор плиты'!C:Q,12,0)*1&lt;10,"",IF(OR(E184=0.8,F184=0.8,H184=0.8,I184=0.8),"",2)),""))</f>
        <v/>
      </c>
      <c r="S184" s="44" t="str">
        <f>IF(AND(COUNTBLANK(D$19:$D183)=0,COUNTBLANK(G$19:$G183)=0),$S$17&amp;$S$16,"дозаполнить")</f>
        <v>дозаполнить</v>
      </c>
      <c r="T184" s="25">
        <f t="shared" si="8"/>
        <v>0</v>
      </c>
      <c r="U184" s="25">
        <f t="shared" si="5"/>
        <v>0</v>
      </c>
      <c r="V184" s="101">
        <f t="shared" si="6"/>
        <v>0</v>
      </c>
      <c r="W184" s="25">
        <f t="shared" si="7"/>
        <v>0</v>
      </c>
    </row>
    <row r="185" spans="1:23" ht="12.75" x14ac:dyDescent="0.2">
      <c r="A185" s="187"/>
      <c r="B185" s="42" t="str">
        <f ca="1">IF(A185="","",MAX($B$17:OFFSET(A185,-1,0))+1)</f>
        <v/>
      </c>
      <c r="C185" s="120"/>
      <c r="D185" s="184"/>
      <c r="E185" s="15"/>
      <c r="F185" s="15"/>
      <c r="G185" s="184"/>
      <c r="H185" s="15"/>
      <c r="I185" s="15"/>
      <c r="J185" s="56"/>
      <c r="K185" s="16">
        <f t="shared" si="4"/>
        <v>0</v>
      </c>
      <c r="L185" s="17" t="str">
        <f t="shared" si="46"/>
        <v/>
      </c>
      <c r="M185" s="57" t="str">
        <f t="shared" si="47"/>
        <v/>
      </c>
      <c r="N185" s="57" t="str">
        <f t="shared" si="48"/>
        <v/>
      </c>
      <c r="O185" s="191" t="str">
        <f t="shared" si="43"/>
        <v/>
      </c>
      <c r="P185" s="43" t="str">
        <f>IF(OR(MID(A185,1,6)="ЛМДФ P",MID(A185,1,6)="ЛДСП P"),1,IFERROR(IF(VLOOKUP(A185,'Шаг1.Выбор плиты'!C:Q,12,0)*1&lt;10,"",0.4),""))</f>
        <v/>
      </c>
      <c r="Q185" s="43" t="str">
        <f>IF(OR(MID(A185,1,6)="ЛМДФ P",MID(A185,1,6)="ЛДСП P"),1,IFERROR(IF(VLOOKUP(A185,'Шаг1.Выбор плиты'!C:Q,12,0)*1&lt;10,"",IF(OR(E185=2,F185=2,H185=2,I185=2),"",0.8)),""))</f>
        <v/>
      </c>
      <c r="R185" s="43" t="str">
        <f>IF(OR(MID(A185,1,6)="ЛМДФ P",MID(A185,1,6)="ЛДСП P"),1,IFERROR(IF(VLOOKUP(A185,'Шаг1.Выбор плиты'!C:Q,12,0)*1&lt;10,"",IF(OR(E185=0.8,F185=0.8,H185=0.8,I185=0.8),"",2)),""))</f>
        <v/>
      </c>
      <c r="S185" s="44" t="str">
        <f>IF(AND(COUNTBLANK(D$19:$D184)=0,COUNTBLANK(G$19:$G184)=0),$S$17&amp;$S$16,"дозаполнить")</f>
        <v>дозаполнить</v>
      </c>
      <c r="T185" s="25">
        <f t="shared" si="8"/>
        <v>0</v>
      </c>
      <c r="U185" s="25">
        <f t="shared" si="5"/>
        <v>0</v>
      </c>
      <c r="V185" s="101">
        <f t="shared" si="6"/>
        <v>0</v>
      </c>
      <c r="W185" s="25">
        <f t="shared" si="7"/>
        <v>0</v>
      </c>
    </row>
    <row r="186" spans="1:23" ht="12.75" x14ac:dyDescent="0.2">
      <c r="A186" s="187"/>
      <c r="B186" s="42" t="str">
        <f ca="1">IF(A186="","",MAX($B$17:OFFSET(A186,-1,0))+1)</f>
        <v/>
      </c>
      <c r="C186" s="120"/>
      <c r="D186" s="184"/>
      <c r="E186" s="15"/>
      <c r="F186" s="15"/>
      <c r="G186" s="184"/>
      <c r="H186" s="15"/>
      <c r="I186" s="15"/>
      <c r="J186" s="56"/>
      <c r="K186" s="16">
        <f t="shared" si="4"/>
        <v>0</v>
      </c>
      <c r="L186" s="17" t="str">
        <f t="shared" si="46"/>
        <v/>
      </c>
      <c r="M186" s="57" t="str">
        <f t="shared" si="47"/>
        <v/>
      </c>
      <c r="N186" s="57" t="str">
        <f t="shared" si="48"/>
        <v/>
      </c>
      <c r="O186" s="191" t="str">
        <f t="shared" si="43"/>
        <v/>
      </c>
      <c r="P186" s="43" t="str">
        <f>IF(OR(MID(A186,1,6)="ЛМДФ P",MID(A186,1,6)="ЛДСП P"),1,IFERROR(IF(VLOOKUP(A186,'Шаг1.Выбор плиты'!C:Q,12,0)*1&lt;10,"",0.4),""))</f>
        <v/>
      </c>
      <c r="Q186" s="43" t="str">
        <f>IF(OR(MID(A186,1,6)="ЛМДФ P",MID(A186,1,6)="ЛДСП P"),1,IFERROR(IF(VLOOKUP(A186,'Шаг1.Выбор плиты'!C:Q,12,0)*1&lt;10,"",IF(OR(E186=2,F186=2,H186=2,I186=2),"",0.8)),""))</f>
        <v/>
      </c>
      <c r="R186" s="43" t="str">
        <f>IF(OR(MID(A186,1,6)="ЛМДФ P",MID(A186,1,6)="ЛДСП P"),1,IFERROR(IF(VLOOKUP(A186,'Шаг1.Выбор плиты'!C:Q,12,0)*1&lt;10,"",IF(OR(E186=0.8,F186=0.8,H186=0.8,I186=0.8),"",2)),""))</f>
        <v/>
      </c>
      <c r="S186" s="44" t="str">
        <f>IF(AND(COUNTBLANK(D$19:$D185)=0,COUNTBLANK(G$19:$G185)=0),$S$17&amp;$S$16,"дозаполнить")</f>
        <v>дозаполнить</v>
      </c>
      <c r="T186" s="25">
        <f t="shared" si="8"/>
        <v>0</v>
      </c>
      <c r="U186" s="25">
        <f t="shared" si="5"/>
        <v>0</v>
      </c>
      <c r="V186" s="101">
        <f t="shared" si="6"/>
        <v>0</v>
      </c>
      <c r="W186" s="25">
        <f t="shared" si="7"/>
        <v>0</v>
      </c>
    </row>
    <row r="187" spans="1:23" ht="12.75" x14ac:dyDescent="0.2">
      <c r="A187" s="187"/>
      <c r="B187" s="42" t="str">
        <f ca="1">IF(A187="","",MAX($B$17:OFFSET(A187,-1,0))+1)</f>
        <v/>
      </c>
      <c r="C187" s="120"/>
      <c r="D187" s="184"/>
      <c r="E187" s="15"/>
      <c r="F187" s="15"/>
      <c r="G187" s="184"/>
      <c r="H187" s="15"/>
      <c r="I187" s="15"/>
      <c r="J187" s="56"/>
      <c r="K187" s="16">
        <f t="shared" si="4"/>
        <v>0</v>
      </c>
      <c r="L187" s="17" t="str">
        <f t="shared" si="46"/>
        <v/>
      </c>
      <c r="M187" s="57" t="str">
        <f t="shared" si="47"/>
        <v/>
      </c>
      <c r="N187" s="57" t="str">
        <f t="shared" si="48"/>
        <v/>
      </c>
      <c r="O187" s="191" t="str">
        <f t="shared" si="43"/>
        <v/>
      </c>
      <c r="P187" s="43" t="str">
        <f>IF(OR(MID(A187,1,6)="ЛМДФ P",MID(A187,1,6)="ЛДСП P"),1,IFERROR(IF(VLOOKUP(A187,'Шаг1.Выбор плиты'!C:Q,12,0)*1&lt;10,"",0.4),""))</f>
        <v/>
      </c>
      <c r="Q187" s="43" t="str">
        <f>IF(OR(MID(A187,1,6)="ЛМДФ P",MID(A187,1,6)="ЛДСП P"),1,IFERROR(IF(VLOOKUP(A187,'Шаг1.Выбор плиты'!C:Q,12,0)*1&lt;10,"",IF(OR(E187=2,F187=2,H187=2,I187=2),"",0.8)),""))</f>
        <v/>
      </c>
      <c r="R187" s="43" t="str">
        <f>IF(OR(MID(A187,1,6)="ЛМДФ P",MID(A187,1,6)="ЛДСП P"),1,IFERROR(IF(VLOOKUP(A187,'Шаг1.Выбор плиты'!C:Q,12,0)*1&lt;10,"",IF(OR(E187=0.8,F187=0.8,H187=0.8,I187=0.8),"",2)),""))</f>
        <v/>
      </c>
      <c r="S187" s="44" t="str">
        <f>IF(AND(COUNTBLANK(D$19:$D186)=0,COUNTBLANK(G$19:$G186)=0),$S$17&amp;$S$16,"дозаполнить")</f>
        <v>дозаполнить</v>
      </c>
      <c r="T187" s="25">
        <f t="shared" si="8"/>
        <v>0</v>
      </c>
      <c r="U187" s="25">
        <f t="shared" si="5"/>
        <v>0</v>
      </c>
      <c r="V187" s="101">
        <f t="shared" si="6"/>
        <v>0</v>
      </c>
      <c r="W187" s="25">
        <f t="shared" si="7"/>
        <v>0</v>
      </c>
    </row>
    <row r="188" spans="1:23" ht="12.75" x14ac:dyDescent="0.2">
      <c r="A188" s="187"/>
      <c r="B188" s="42" t="str">
        <f ca="1">IF(A188="","",MAX($B$17:OFFSET(A188,-1,0))+1)</f>
        <v/>
      </c>
      <c r="C188" s="120"/>
      <c r="D188" s="184"/>
      <c r="E188" s="15"/>
      <c r="F188" s="15"/>
      <c r="G188" s="184"/>
      <c r="H188" s="15"/>
      <c r="I188" s="15"/>
      <c r="J188" s="56"/>
      <c r="K188" s="16">
        <f t="shared" si="4"/>
        <v>0</v>
      </c>
      <c r="L188" s="17" t="str">
        <f t="shared" si="46"/>
        <v/>
      </c>
      <c r="M188" s="57" t="str">
        <f t="shared" si="47"/>
        <v/>
      </c>
      <c r="N188" s="57" t="str">
        <f t="shared" si="48"/>
        <v/>
      </c>
      <c r="O188" s="191" t="str">
        <f t="shared" si="43"/>
        <v/>
      </c>
      <c r="P188" s="43" t="str">
        <f>IF(OR(MID(A188,1,6)="ЛМДФ P",MID(A188,1,6)="ЛДСП P"),1,IFERROR(IF(VLOOKUP(A188,'Шаг1.Выбор плиты'!C:Q,12,0)*1&lt;10,"",0.4),""))</f>
        <v/>
      </c>
      <c r="Q188" s="43" t="str">
        <f>IF(OR(MID(A188,1,6)="ЛМДФ P",MID(A188,1,6)="ЛДСП P"),1,IFERROR(IF(VLOOKUP(A188,'Шаг1.Выбор плиты'!C:Q,12,0)*1&lt;10,"",IF(OR(E188=2,F188=2,H188=2,I188=2),"",0.8)),""))</f>
        <v/>
      </c>
      <c r="R188" s="43" t="str">
        <f>IF(OR(MID(A188,1,6)="ЛМДФ P",MID(A188,1,6)="ЛДСП P"),1,IFERROR(IF(VLOOKUP(A188,'Шаг1.Выбор плиты'!C:Q,12,0)*1&lt;10,"",IF(OR(E188=0.8,F188=0.8,H188=0.8,I188=0.8),"",2)),""))</f>
        <v/>
      </c>
      <c r="S188" s="44" t="str">
        <f>IF(AND(COUNTBLANK(D$19:$D187)=0,COUNTBLANK(G$19:$G187)=0),$S$17&amp;$S$16,"дозаполнить")</f>
        <v>дозаполнить</v>
      </c>
      <c r="T188" s="25">
        <f t="shared" si="8"/>
        <v>0</v>
      </c>
      <c r="U188" s="25">
        <f t="shared" si="5"/>
        <v>0</v>
      </c>
      <c r="V188" s="101">
        <f t="shared" si="6"/>
        <v>0</v>
      </c>
      <c r="W188" s="25">
        <f t="shared" si="7"/>
        <v>0</v>
      </c>
    </row>
    <row r="189" spans="1:23" ht="12.75" x14ac:dyDescent="0.2">
      <c r="A189" s="187"/>
      <c r="B189" s="42" t="str">
        <f ca="1">IF(A189="","",MAX($B$17:OFFSET(A189,-1,0))+1)</f>
        <v/>
      </c>
      <c r="C189" s="120"/>
      <c r="D189" s="184"/>
      <c r="E189" s="15"/>
      <c r="F189" s="15"/>
      <c r="G189" s="184"/>
      <c r="H189" s="15"/>
      <c r="I189" s="15"/>
      <c r="J189" s="56"/>
      <c r="K189" s="16">
        <f t="shared" si="4"/>
        <v>0</v>
      </c>
      <c r="L189" s="17" t="str">
        <f t="shared" si="46"/>
        <v/>
      </c>
      <c r="M189" s="57" t="str">
        <f t="shared" si="47"/>
        <v/>
      </c>
      <c r="N189" s="57" t="str">
        <f t="shared" si="48"/>
        <v/>
      </c>
      <c r="O189" s="191" t="str">
        <f t="shared" si="43"/>
        <v/>
      </c>
      <c r="P189" s="43" t="str">
        <f>IF(OR(MID(A189,1,6)="ЛМДФ P",MID(A189,1,6)="ЛДСП P"),1,IFERROR(IF(VLOOKUP(A189,'Шаг1.Выбор плиты'!C:Q,12,0)*1&lt;10,"",0.4),""))</f>
        <v/>
      </c>
      <c r="Q189" s="43" t="str">
        <f>IF(OR(MID(A189,1,6)="ЛМДФ P",MID(A189,1,6)="ЛДСП P"),1,IFERROR(IF(VLOOKUP(A189,'Шаг1.Выбор плиты'!C:Q,12,0)*1&lt;10,"",IF(OR(E189=2,F189=2,H189=2,I189=2),"",0.8)),""))</f>
        <v/>
      </c>
      <c r="R189" s="43" t="str">
        <f>IF(OR(MID(A189,1,6)="ЛМДФ P",MID(A189,1,6)="ЛДСП P"),1,IFERROR(IF(VLOOKUP(A189,'Шаг1.Выбор плиты'!C:Q,12,0)*1&lt;10,"",IF(OR(E189=0.8,F189=0.8,H189=0.8,I189=0.8),"",2)),""))</f>
        <v/>
      </c>
      <c r="S189" s="44" t="str">
        <f>IF(AND(COUNTBLANK(D$19:$D188)=0,COUNTBLANK(G$19:$G188)=0),$S$17&amp;$S$16,"дозаполнить")</f>
        <v>дозаполнить</v>
      </c>
      <c r="T189" s="25">
        <f t="shared" si="8"/>
        <v>0</v>
      </c>
      <c r="U189" s="25">
        <f t="shared" si="5"/>
        <v>0</v>
      </c>
      <c r="V189" s="101">
        <f t="shared" si="6"/>
        <v>0</v>
      </c>
      <c r="W189" s="25">
        <f t="shared" si="7"/>
        <v>0</v>
      </c>
    </row>
    <row r="190" spans="1:23" ht="12.75" x14ac:dyDescent="0.2">
      <c r="A190" s="187"/>
      <c r="B190" s="42" t="str">
        <f ca="1">IF(A190="","",MAX($B$17:OFFSET(A190,-1,0))+1)</f>
        <v/>
      </c>
      <c r="C190" s="120"/>
      <c r="D190" s="184"/>
      <c r="E190" s="15"/>
      <c r="F190" s="15"/>
      <c r="G190" s="184"/>
      <c r="H190" s="15"/>
      <c r="I190" s="15"/>
      <c r="J190" s="56"/>
      <c r="K190" s="16">
        <f t="shared" si="4"/>
        <v>0</v>
      </c>
      <c r="L190" s="17" t="str">
        <f t="shared" si="46"/>
        <v/>
      </c>
      <c r="M190" s="57" t="str">
        <f t="shared" si="47"/>
        <v/>
      </c>
      <c r="N190" s="57" t="str">
        <f t="shared" si="48"/>
        <v/>
      </c>
      <c r="O190" s="191" t="str">
        <f t="shared" si="43"/>
        <v/>
      </c>
      <c r="P190" s="43" t="str">
        <f>IF(OR(MID(A190,1,6)="ЛМДФ P",MID(A190,1,6)="ЛДСП P"),1,IFERROR(IF(VLOOKUP(A190,'Шаг1.Выбор плиты'!C:Q,12,0)*1&lt;10,"",0.4),""))</f>
        <v/>
      </c>
      <c r="Q190" s="43" t="str">
        <f>IF(OR(MID(A190,1,6)="ЛМДФ P",MID(A190,1,6)="ЛДСП P"),1,IFERROR(IF(VLOOKUP(A190,'Шаг1.Выбор плиты'!C:Q,12,0)*1&lt;10,"",IF(OR(E190=2,F190=2,H190=2,I190=2),"",0.8)),""))</f>
        <v/>
      </c>
      <c r="R190" s="43" t="str">
        <f>IF(OR(MID(A190,1,6)="ЛМДФ P",MID(A190,1,6)="ЛДСП P"),1,IFERROR(IF(VLOOKUP(A190,'Шаг1.Выбор плиты'!C:Q,12,0)*1&lt;10,"",IF(OR(E190=0.8,F190=0.8,H190=0.8,I190=0.8),"",2)),""))</f>
        <v/>
      </c>
      <c r="S190" s="44" t="str">
        <f>IF(AND(COUNTBLANK(D$19:$D189)=0,COUNTBLANK(G$19:$G189)=0),$S$17&amp;$S$16,"дозаполнить")</f>
        <v>дозаполнить</v>
      </c>
      <c r="T190" s="25">
        <f t="shared" si="8"/>
        <v>0</v>
      </c>
      <c r="U190" s="25">
        <f t="shared" si="5"/>
        <v>0</v>
      </c>
      <c r="V190" s="101">
        <f t="shared" si="6"/>
        <v>0</v>
      </c>
      <c r="W190" s="25">
        <f t="shared" si="7"/>
        <v>0</v>
      </c>
    </row>
    <row r="191" spans="1:23" ht="12.75" x14ac:dyDescent="0.2">
      <c r="A191" s="187"/>
      <c r="B191" s="42" t="str">
        <f ca="1">IF(A191="","",MAX($B$17:OFFSET(A191,-1,0))+1)</f>
        <v/>
      </c>
      <c r="C191" s="120"/>
      <c r="D191" s="184"/>
      <c r="E191" s="15"/>
      <c r="F191" s="15"/>
      <c r="G191" s="184"/>
      <c r="H191" s="15"/>
      <c r="I191" s="15"/>
      <c r="J191" s="56"/>
      <c r="K191" s="16">
        <f t="shared" si="4"/>
        <v>0</v>
      </c>
      <c r="L191" s="17" t="str">
        <f t="shared" si="46"/>
        <v/>
      </c>
      <c r="M191" s="57" t="str">
        <f t="shared" si="47"/>
        <v/>
      </c>
      <c r="N191" s="57" t="str">
        <f t="shared" si="48"/>
        <v/>
      </c>
      <c r="O191" s="191" t="str">
        <f t="shared" si="43"/>
        <v/>
      </c>
      <c r="P191" s="43" t="str">
        <f>IF(OR(MID(A191,1,6)="ЛМДФ P",MID(A191,1,6)="ЛДСП P"),1,IFERROR(IF(VLOOKUP(A191,'Шаг1.Выбор плиты'!C:Q,12,0)*1&lt;10,"",0.4),""))</f>
        <v/>
      </c>
      <c r="Q191" s="43" t="str">
        <f>IF(OR(MID(A191,1,6)="ЛМДФ P",MID(A191,1,6)="ЛДСП P"),1,IFERROR(IF(VLOOKUP(A191,'Шаг1.Выбор плиты'!C:Q,12,0)*1&lt;10,"",IF(OR(E191=2,F191=2,H191=2,I191=2),"",0.8)),""))</f>
        <v/>
      </c>
      <c r="R191" s="43" t="str">
        <f>IF(OR(MID(A191,1,6)="ЛМДФ P",MID(A191,1,6)="ЛДСП P"),1,IFERROR(IF(VLOOKUP(A191,'Шаг1.Выбор плиты'!C:Q,12,0)*1&lt;10,"",IF(OR(E191=0.8,F191=0.8,H191=0.8,I191=0.8),"",2)),""))</f>
        <v/>
      </c>
      <c r="S191" s="44" t="str">
        <f>IF(AND(COUNTBLANK(D$19:$D190)=0,COUNTBLANK(G$19:$G190)=0),$S$17&amp;$S$16,"дозаполнить")</f>
        <v>дозаполнить</v>
      </c>
      <c r="T191" s="25">
        <f t="shared" si="8"/>
        <v>0</v>
      </c>
      <c r="U191" s="25">
        <f t="shared" si="5"/>
        <v>0</v>
      </c>
      <c r="V191" s="101">
        <f t="shared" si="6"/>
        <v>0</v>
      </c>
      <c r="W191" s="25">
        <f t="shared" si="7"/>
        <v>0</v>
      </c>
    </row>
    <row r="192" spans="1:23" ht="12.75" x14ac:dyDescent="0.2">
      <c r="A192" s="187"/>
      <c r="B192" s="42" t="str">
        <f ca="1">IF(A192="","",MAX($B$17:OFFSET(A192,-1,0))+1)</f>
        <v/>
      </c>
      <c r="C192" s="120"/>
      <c r="D192" s="184"/>
      <c r="E192" s="15"/>
      <c r="F192" s="15"/>
      <c r="G192" s="184"/>
      <c r="H192" s="15"/>
      <c r="I192" s="15"/>
      <c r="J192" s="56"/>
      <c r="K192" s="16">
        <f t="shared" si="4"/>
        <v>0</v>
      </c>
      <c r="L192" s="17" t="str">
        <f t="shared" si="46"/>
        <v/>
      </c>
      <c r="M192" s="57" t="str">
        <f t="shared" si="47"/>
        <v/>
      </c>
      <c r="N192" s="57" t="str">
        <f t="shared" si="48"/>
        <v/>
      </c>
      <c r="O192" s="191" t="str">
        <f t="shared" si="43"/>
        <v/>
      </c>
      <c r="P192" s="43" t="str">
        <f>IF(OR(MID(A192,1,6)="ЛМДФ P",MID(A192,1,6)="ЛДСП P"),1,IFERROR(IF(VLOOKUP(A192,'Шаг1.Выбор плиты'!C:Q,12,0)*1&lt;10,"",0.4),""))</f>
        <v/>
      </c>
      <c r="Q192" s="43" t="str">
        <f>IF(OR(MID(A192,1,6)="ЛМДФ P",MID(A192,1,6)="ЛДСП P"),1,IFERROR(IF(VLOOKUP(A192,'Шаг1.Выбор плиты'!C:Q,12,0)*1&lt;10,"",IF(OR(E192=2,F192=2,H192=2,I192=2),"",0.8)),""))</f>
        <v/>
      </c>
      <c r="R192" s="43" t="str">
        <f>IF(OR(MID(A192,1,6)="ЛМДФ P",MID(A192,1,6)="ЛДСП P"),1,IFERROR(IF(VLOOKUP(A192,'Шаг1.Выбор плиты'!C:Q,12,0)*1&lt;10,"",IF(OR(E192=0.8,F192=0.8,H192=0.8,I192=0.8),"",2)),""))</f>
        <v/>
      </c>
      <c r="S192" s="44" t="str">
        <f>IF(AND(COUNTBLANK(D$19:$D191)=0,COUNTBLANK(G$19:$G191)=0),$S$17&amp;$S$16,"дозаполнить")</f>
        <v>дозаполнить</v>
      </c>
      <c r="T192" s="25">
        <f t="shared" si="8"/>
        <v>0</v>
      </c>
      <c r="U192" s="25">
        <f t="shared" si="5"/>
        <v>0</v>
      </c>
      <c r="V192" s="101">
        <f t="shared" si="6"/>
        <v>0</v>
      </c>
      <c r="W192" s="25">
        <f t="shared" si="7"/>
        <v>0</v>
      </c>
    </row>
    <row r="193" spans="1:23" ht="12.75" x14ac:dyDescent="0.2">
      <c r="A193" s="187"/>
      <c r="B193" s="42" t="str">
        <f ca="1">IF(A193="","",MAX($B$17:OFFSET(A193,-1,0))+1)</f>
        <v/>
      </c>
      <c r="C193" s="120"/>
      <c r="D193" s="184"/>
      <c r="E193" s="15"/>
      <c r="F193" s="15"/>
      <c r="G193" s="184"/>
      <c r="H193" s="15"/>
      <c r="I193" s="15"/>
      <c r="J193" s="56"/>
      <c r="K193" s="16">
        <f t="shared" ref="K193:K200" si="49">(D193/1000)*(G193/1000)*J193</f>
        <v>0</v>
      </c>
      <c r="L193" s="17" t="str">
        <f t="shared" ref="L193:L201" si="50">IF(A193="","","Нет")</f>
        <v/>
      </c>
      <c r="M193" s="57" t="str">
        <f t="shared" ref="M193:M201" si="51">IF(A193="","","Нет")</f>
        <v/>
      </c>
      <c r="N193" s="57" t="str">
        <f t="shared" ref="N193:N201" si="52">IF(A193="","","Нет")</f>
        <v/>
      </c>
      <c r="O193" s="191" t="str">
        <f t="shared" ref="O193:O201" si="53">IF(OR(M193="да",N193="да"),"укажите здесь ссылку на чертеж","")</f>
        <v/>
      </c>
      <c r="P193" s="43" t="str">
        <f>IF(OR(MID(A193,1,6)="ЛМДФ P",MID(A193,1,6)="ЛДСП P"),1,IFERROR(IF(VLOOKUP(A193,'Шаг1.Выбор плиты'!C:Q,12,0)*1&lt;10,"",0.4),""))</f>
        <v/>
      </c>
      <c r="Q193" s="43" t="str">
        <f>IF(OR(MID(A193,1,6)="ЛМДФ P",MID(A193,1,6)="ЛДСП P"),1,IFERROR(IF(VLOOKUP(A193,'Шаг1.Выбор плиты'!C:Q,12,0)*1&lt;10,"",IF(OR(E193=2,F193=2,H193=2,I193=2),"",0.8)),""))</f>
        <v/>
      </c>
      <c r="R193" s="43" t="str">
        <f>IF(OR(MID(A193,1,6)="ЛМДФ P",MID(A193,1,6)="ЛДСП P"),1,IFERROR(IF(VLOOKUP(A193,'Шаг1.Выбор плиты'!C:Q,12,0)*1&lt;10,"",IF(OR(E193=0.8,F193=0.8,H193=0.8,I193=0.8),"",2)),""))</f>
        <v/>
      </c>
      <c r="S193" s="44" t="str">
        <f>IF(AND(COUNTBLANK(D$19:$D192)=0,COUNTBLANK(G$19:$G192)=0),$S$17&amp;$S$16,"дозаполнить")</f>
        <v>дозаполнить</v>
      </c>
      <c r="T193" s="25">
        <f t="shared" ref="T193:T201" si="54">D193*J193</f>
        <v>0</v>
      </c>
      <c r="U193" s="25">
        <f t="shared" ref="U193:U201" si="55">G193*J193</f>
        <v>0</v>
      </c>
      <c r="V193" s="101">
        <f t="shared" ref="V193:V201" si="56">IF(A193="",0,MAX((D193/1000*G193/1000)*$V$11,$V$12))*J193</f>
        <v>0</v>
      </c>
      <c r="W193" s="25">
        <f t="shared" ref="W193:W201" si="57">IF(OR(M193="да",N193="да"),J193*MAX((D193/1000*G193/1000)*$V$14,$V$15),0)</f>
        <v>0</v>
      </c>
    </row>
    <row r="194" spans="1:23" ht="12.75" x14ac:dyDescent="0.2">
      <c r="A194" s="187"/>
      <c r="B194" s="42" t="str">
        <f ca="1">IF(A194="","",MAX($B$17:OFFSET(A194,-1,0))+1)</f>
        <v/>
      </c>
      <c r="C194" s="120"/>
      <c r="D194" s="184"/>
      <c r="E194" s="15"/>
      <c r="F194" s="15"/>
      <c r="G194" s="184"/>
      <c r="H194" s="15"/>
      <c r="I194" s="15"/>
      <c r="J194" s="56"/>
      <c r="K194" s="16">
        <f t="shared" si="49"/>
        <v>0</v>
      </c>
      <c r="L194" s="17" t="str">
        <f t="shared" si="50"/>
        <v/>
      </c>
      <c r="M194" s="57" t="str">
        <f t="shared" si="51"/>
        <v/>
      </c>
      <c r="N194" s="57" t="str">
        <f t="shared" si="52"/>
        <v/>
      </c>
      <c r="O194" s="191" t="str">
        <f t="shared" si="53"/>
        <v/>
      </c>
      <c r="P194" s="43" t="str">
        <f>IF(OR(MID(A194,1,6)="ЛМДФ P",MID(A194,1,6)="ЛДСП P"),1,IFERROR(IF(VLOOKUP(A194,'Шаг1.Выбор плиты'!C:Q,12,0)*1&lt;10,"",0.4),""))</f>
        <v/>
      </c>
      <c r="Q194" s="43" t="str">
        <f>IF(OR(MID(A194,1,6)="ЛМДФ P",MID(A194,1,6)="ЛДСП P"),1,IFERROR(IF(VLOOKUP(A194,'Шаг1.Выбор плиты'!C:Q,12,0)*1&lt;10,"",IF(OR(E194=2,F194=2,H194=2,I194=2),"",0.8)),""))</f>
        <v/>
      </c>
      <c r="R194" s="43" t="str">
        <f>IF(OR(MID(A194,1,6)="ЛМДФ P",MID(A194,1,6)="ЛДСП P"),1,IFERROR(IF(VLOOKUP(A194,'Шаг1.Выбор плиты'!C:Q,12,0)*1&lt;10,"",IF(OR(E194=0.8,F194=0.8,H194=0.8,I194=0.8),"",2)),""))</f>
        <v/>
      </c>
      <c r="S194" s="44" t="str">
        <f>IF(AND(COUNTBLANK(D$19:$D193)=0,COUNTBLANK(G$19:$G193)=0),$S$17&amp;$S$16,"дозаполнить")</f>
        <v>дозаполнить</v>
      </c>
      <c r="T194" s="25">
        <f t="shared" si="54"/>
        <v>0</v>
      </c>
      <c r="U194" s="25">
        <f t="shared" si="55"/>
        <v>0</v>
      </c>
      <c r="V194" s="101">
        <f t="shared" si="56"/>
        <v>0</v>
      </c>
      <c r="W194" s="25">
        <f t="shared" si="57"/>
        <v>0</v>
      </c>
    </row>
    <row r="195" spans="1:23" ht="12.75" x14ac:dyDescent="0.2">
      <c r="A195" s="187"/>
      <c r="B195" s="42" t="str">
        <f ca="1">IF(A195="","",MAX($B$17:OFFSET(A195,-1,0))+1)</f>
        <v/>
      </c>
      <c r="C195" s="120"/>
      <c r="D195" s="184"/>
      <c r="E195" s="15"/>
      <c r="F195" s="15"/>
      <c r="G195" s="184"/>
      <c r="H195" s="15"/>
      <c r="I195" s="15"/>
      <c r="J195" s="56"/>
      <c r="K195" s="16">
        <f t="shared" si="49"/>
        <v>0</v>
      </c>
      <c r="L195" s="17" t="str">
        <f t="shared" si="50"/>
        <v/>
      </c>
      <c r="M195" s="57" t="str">
        <f t="shared" si="51"/>
        <v/>
      </c>
      <c r="N195" s="57" t="str">
        <f t="shared" si="52"/>
        <v/>
      </c>
      <c r="O195" s="191" t="str">
        <f t="shared" si="53"/>
        <v/>
      </c>
      <c r="P195" s="43" t="str">
        <f>IF(OR(MID(A195,1,6)="ЛМДФ P",MID(A195,1,6)="ЛДСП P"),1,IFERROR(IF(VLOOKUP(A195,'Шаг1.Выбор плиты'!C:Q,12,0)*1&lt;10,"",0.4),""))</f>
        <v/>
      </c>
      <c r="Q195" s="43" t="str">
        <f>IF(OR(MID(A195,1,6)="ЛМДФ P",MID(A195,1,6)="ЛДСП P"),1,IFERROR(IF(VLOOKUP(A195,'Шаг1.Выбор плиты'!C:Q,12,0)*1&lt;10,"",IF(OR(E195=2,F195=2,H195=2,I195=2),"",0.8)),""))</f>
        <v/>
      </c>
      <c r="R195" s="43" t="str">
        <f>IF(OR(MID(A195,1,6)="ЛМДФ P",MID(A195,1,6)="ЛДСП P"),1,IFERROR(IF(VLOOKUP(A195,'Шаг1.Выбор плиты'!C:Q,12,0)*1&lt;10,"",IF(OR(E195=0.8,F195=0.8,H195=0.8,I195=0.8),"",2)),""))</f>
        <v/>
      </c>
      <c r="S195" s="44" t="str">
        <f>IF(AND(COUNTBLANK(D$19:$D194)=0,COUNTBLANK(G$19:$G194)=0),$S$17&amp;$S$16,"дозаполнить")</f>
        <v>дозаполнить</v>
      </c>
      <c r="T195" s="25">
        <f t="shared" si="54"/>
        <v>0</v>
      </c>
      <c r="U195" s="25">
        <f t="shared" si="55"/>
        <v>0</v>
      </c>
      <c r="V195" s="101">
        <f t="shared" si="56"/>
        <v>0</v>
      </c>
      <c r="W195" s="25">
        <f t="shared" si="57"/>
        <v>0</v>
      </c>
    </row>
    <row r="196" spans="1:23" ht="12.75" x14ac:dyDescent="0.2">
      <c r="A196" s="187"/>
      <c r="B196" s="42" t="str">
        <f ca="1">IF(A196="","",MAX($B$17:OFFSET(A196,-1,0))+1)</f>
        <v/>
      </c>
      <c r="C196" s="120"/>
      <c r="D196" s="184"/>
      <c r="E196" s="15"/>
      <c r="F196" s="15"/>
      <c r="G196" s="184"/>
      <c r="H196" s="15"/>
      <c r="I196" s="15"/>
      <c r="J196" s="56"/>
      <c r="K196" s="16">
        <f t="shared" si="49"/>
        <v>0</v>
      </c>
      <c r="L196" s="17" t="str">
        <f t="shared" si="50"/>
        <v/>
      </c>
      <c r="M196" s="57" t="str">
        <f t="shared" si="51"/>
        <v/>
      </c>
      <c r="N196" s="57" t="str">
        <f t="shared" si="52"/>
        <v/>
      </c>
      <c r="O196" s="191" t="str">
        <f t="shared" si="53"/>
        <v/>
      </c>
      <c r="P196" s="43" t="str">
        <f>IF(OR(MID(A196,1,6)="ЛМДФ P",MID(A196,1,6)="ЛДСП P"),1,IFERROR(IF(VLOOKUP(A196,'Шаг1.Выбор плиты'!C:Q,12,0)*1&lt;10,"",0.4),""))</f>
        <v/>
      </c>
      <c r="Q196" s="43" t="str">
        <f>IF(OR(MID(A196,1,6)="ЛМДФ P",MID(A196,1,6)="ЛДСП P"),1,IFERROR(IF(VLOOKUP(A196,'Шаг1.Выбор плиты'!C:Q,12,0)*1&lt;10,"",IF(OR(E196=2,F196=2,H196=2,I196=2),"",0.8)),""))</f>
        <v/>
      </c>
      <c r="R196" s="43" t="str">
        <f>IF(OR(MID(A196,1,6)="ЛМДФ P",MID(A196,1,6)="ЛДСП P"),1,IFERROR(IF(VLOOKUP(A196,'Шаг1.Выбор плиты'!C:Q,12,0)*1&lt;10,"",IF(OR(E196=0.8,F196=0.8,H196=0.8,I196=0.8),"",2)),""))</f>
        <v/>
      </c>
      <c r="S196" s="44" t="str">
        <f>IF(AND(COUNTBLANK(D$19:$D195)=0,COUNTBLANK(G$19:$G195)=0),$S$17&amp;$S$16,"дозаполнить")</f>
        <v>дозаполнить</v>
      </c>
      <c r="T196" s="25">
        <f t="shared" si="54"/>
        <v>0</v>
      </c>
      <c r="U196" s="25">
        <f t="shared" si="55"/>
        <v>0</v>
      </c>
      <c r="V196" s="101">
        <f t="shared" si="56"/>
        <v>0</v>
      </c>
      <c r="W196" s="25">
        <f t="shared" si="57"/>
        <v>0</v>
      </c>
    </row>
    <row r="197" spans="1:23" ht="12.75" x14ac:dyDescent="0.2">
      <c r="A197" s="187"/>
      <c r="B197" s="42" t="str">
        <f ca="1">IF(A197="","",MAX($B$17:OFFSET(A197,-1,0))+1)</f>
        <v/>
      </c>
      <c r="C197" s="120"/>
      <c r="D197" s="184"/>
      <c r="E197" s="15"/>
      <c r="F197" s="15"/>
      <c r="G197" s="184"/>
      <c r="H197" s="15"/>
      <c r="I197" s="15"/>
      <c r="J197" s="56"/>
      <c r="K197" s="16">
        <f t="shared" si="49"/>
        <v>0</v>
      </c>
      <c r="L197" s="17" t="str">
        <f t="shared" si="50"/>
        <v/>
      </c>
      <c r="M197" s="57" t="str">
        <f t="shared" si="51"/>
        <v/>
      </c>
      <c r="N197" s="57" t="str">
        <f t="shared" si="52"/>
        <v/>
      </c>
      <c r="O197" s="191" t="str">
        <f t="shared" si="53"/>
        <v/>
      </c>
      <c r="P197" s="43" t="str">
        <f>IF(OR(MID(A197,1,6)="ЛМДФ P",MID(A197,1,6)="ЛДСП P"),1,IFERROR(IF(VLOOKUP(A197,'Шаг1.Выбор плиты'!C:Q,12,0)*1&lt;10,"",0.4),""))</f>
        <v/>
      </c>
      <c r="Q197" s="43" t="str">
        <f>IF(OR(MID(A197,1,6)="ЛМДФ P",MID(A197,1,6)="ЛДСП P"),1,IFERROR(IF(VLOOKUP(A197,'Шаг1.Выбор плиты'!C:Q,12,0)*1&lt;10,"",IF(OR(E197=2,F197=2,H197=2,I197=2),"",0.8)),""))</f>
        <v/>
      </c>
      <c r="R197" s="43" t="str">
        <f>IF(OR(MID(A197,1,6)="ЛМДФ P",MID(A197,1,6)="ЛДСП P"),1,IFERROR(IF(VLOOKUP(A197,'Шаг1.Выбор плиты'!C:Q,12,0)*1&lt;10,"",IF(OR(E197=0.8,F197=0.8,H197=0.8,I197=0.8),"",2)),""))</f>
        <v/>
      </c>
      <c r="S197" s="44" t="str">
        <f>IF(AND(COUNTBLANK(D$19:$D196)=0,COUNTBLANK(G$19:$G196)=0),$S$17&amp;$S$16,"дозаполнить")</f>
        <v>дозаполнить</v>
      </c>
      <c r="T197" s="25">
        <f t="shared" si="54"/>
        <v>0</v>
      </c>
      <c r="U197" s="25">
        <f t="shared" si="55"/>
        <v>0</v>
      </c>
      <c r="V197" s="101">
        <f t="shared" si="56"/>
        <v>0</v>
      </c>
      <c r="W197" s="25">
        <f t="shared" si="57"/>
        <v>0</v>
      </c>
    </row>
    <row r="198" spans="1:23" ht="12.75" x14ac:dyDescent="0.2">
      <c r="A198" s="187"/>
      <c r="B198" s="42" t="str">
        <f ca="1">IF(A198="","",MAX($B$17:OFFSET(A198,-1,0))+1)</f>
        <v/>
      </c>
      <c r="C198" s="120"/>
      <c r="D198" s="184"/>
      <c r="E198" s="15"/>
      <c r="F198" s="15"/>
      <c r="G198" s="184"/>
      <c r="H198" s="15"/>
      <c r="I198" s="15"/>
      <c r="J198" s="56"/>
      <c r="K198" s="16">
        <f t="shared" si="49"/>
        <v>0</v>
      </c>
      <c r="L198" s="17" t="str">
        <f t="shared" si="50"/>
        <v/>
      </c>
      <c r="M198" s="57" t="str">
        <f t="shared" si="51"/>
        <v/>
      </c>
      <c r="N198" s="57" t="str">
        <f t="shared" si="52"/>
        <v/>
      </c>
      <c r="O198" s="191" t="str">
        <f t="shared" si="53"/>
        <v/>
      </c>
      <c r="P198" s="43" t="str">
        <f>IF(OR(MID(A198,1,6)="ЛМДФ P",MID(A198,1,6)="ЛДСП P"),1,IFERROR(IF(VLOOKUP(A198,'Шаг1.Выбор плиты'!C:Q,12,0)*1&lt;10,"",0.4),""))</f>
        <v/>
      </c>
      <c r="Q198" s="43" t="str">
        <f>IF(OR(MID(A198,1,6)="ЛМДФ P",MID(A198,1,6)="ЛДСП P"),1,IFERROR(IF(VLOOKUP(A198,'Шаг1.Выбор плиты'!C:Q,12,0)*1&lt;10,"",IF(OR(E198=2,F198=2,H198=2,I198=2),"",0.8)),""))</f>
        <v/>
      </c>
      <c r="R198" s="43" t="str">
        <f>IF(OR(MID(A198,1,6)="ЛМДФ P",MID(A198,1,6)="ЛДСП P"),1,IFERROR(IF(VLOOKUP(A198,'Шаг1.Выбор плиты'!C:Q,12,0)*1&lt;10,"",IF(OR(E198=0.8,F198=0.8,H198=0.8,I198=0.8),"",2)),""))</f>
        <v/>
      </c>
      <c r="S198" s="44" t="str">
        <f>IF(AND(COUNTBLANK(D$19:$D197)=0,COUNTBLANK(G$19:$G197)=0),$S$17&amp;$S$16,"дозаполнить")</f>
        <v>дозаполнить</v>
      </c>
      <c r="T198" s="25">
        <f t="shared" si="54"/>
        <v>0</v>
      </c>
      <c r="U198" s="25">
        <f t="shared" si="55"/>
        <v>0</v>
      </c>
      <c r="V198" s="101">
        <f t="shared" si="56"/>
        <v>0</v>
      </c>
      <c r="W198" s="25">
        <f t="shared" si="57"/>
        <v>0</v>
      </c>
    </row>
    <row r="199" spans="1:23" ht="12.75" x14ac:dyDescent="0.2">
      <c r="A199" s="187"/>
      <c r="B199" s="42" t="str">
        <f ca="1">IF(A199="","",MAX($B$17:OFFSET(A199,-1,0))+1)</f>
        <v/>
      </c>
      <c r="C199" s="120"/>
      <c r="D199" s="184"/>
      <c r="E199" s="15"/>
      <c r="F199" s="15"/>
      <c r="G199" s="184"/>
      <c r="H199" s="15"/>
      <c r="I199" s="15"/>
      <c r="J199" s="56"/>
      <c r="K199" s="16">
        <f t="shared" si="49"/>
        <v>0</v>
      </c>
      <c r="L199" s="17" t="str">
        <f t="shared" si="50"/>
        <v/>
      </c>
      <c r="M199" s="57" t="str">
        <f t="shared" si="51"/>
        <v/>
      </c>
      <c r="N199" s="57" t="str">
        <f t="shared" si="52"/>
        <v/>
      </c>
      <c r="O199" s="191" t="str">
        <f t="shared" si="53"/>
        <v/>
      </c>
      <c r="P199" s="43" t="str">
        <f>IF(OR(MID(A199,1,6)="ЛМДФ P",MID(A199,1,6)="ЛДСП P"),1,IFERROR(IF(VLOOKUP(A199,'Шаг1.Выбор плиты'!C:Q,12,0)*1&lt;10,"",0.4),""))</f>
        <v/>
      </c>
      <c r="Q199" s="43" t="str">
        <f>IF(OR(MID(A199,1,6)="ЛМДФ P",MID(A199,1,6)="ЛДСП P"),1,IFERROR(IF(VLOOKUP(A199,'Шаг1.Выбор плиты'!C:Q,12,0)*1&lt;10,"",IF(OR(E199=2,F199=2,H199=2,I199=2),"",0.8)),""))</f>
        <v/>
      </c>
      <c r="R199" s="43" t="str">
        <f>IF(OR(MID(A199,1,6)="ЛМДФ P",MID(A199,1,6)="ЛДСП P"),1,IFERROR(IF(VLOOKUP(A199,'Шаг1.Выбор плиты'!C:Q,12,0)*1&lt;10,"",IF(OR(E199=0.8,F199=0.8,H199=0.8,I199=0.8),"",2)),""))</f>
        <v/>
      </c>
      <c r="S199" s="44" t="str">
        <f>IF(AND(COUNTBLANK(D$19:$D198)=0,COUNTBLANK(G$19:$G198)=0),$S$17&amp;$S$16,"дозаполнить")</f>
        <v>дозаполнить</v>
      </c>
      <c r="T199" s="25">
        <f t="shared" si="54"/>
        <v>0</v>
      </c>
      <c r="U199" s="25">
        <f t="shared" si="55"/>
        <v>0</v>
      </c>
      <c r="V199" s="101">
        <f t="shared" si="56"/>
        <v>0</v>
      </c>
      <c r="W199" s="25">
        <f t="shared" si="57"/>
        <v>0</v>
      </c>
    </row>
    <row r="200" spans="1:23" ht="12.75" x14ac:dyDescent="0.2">
      <c r="A200" s="187"/>
      <c r="B200" s="42" t="str">
        <f ca="1">IF(A200="","",MAX($B$17:OFFSET(A200,-1,0))+1)</f>
        <v/>
      </c>
      <c r="C200" s="120"/>
      <c r="D200" s="184"/>
      <c r="E200" s="15"/>
      <c r="F200" s="15"/>
      <c r="G200" s="184"/>
      <c r="H200" s="15"/>
      <c r="I200" s="15"/>
      <c r="J200" s="56"/>
      <c r="K200" s="16">
        <f t="shared" si="49"/>
        <v>0</v>
      </c>
      <c r="L200" s="17" t="str">
        <f t="shared" si="50"/>
        <v/>
      </c>
      <c r="M200" s="57" t="str">
        <f t="shared" si="51"/>
        <v/>
      </c>
      <c r="N200" s="57" t="str">
        <f t="shared" si="52"/>
        <v/>
      </c>
      <c r="O200" s="191" t="str">
        <f t="shared" si="53"/>
        <v/>
      </c>
      <c r="P200" s="43" t="str">
        <f>IF(OR(MID(A200,1,6)="ЛМДФ P",MID(A200,1,6)="ЛДСП P"),1,IFERROR(IF(VLOOKUP(A200,'Шаг1.Выбор плиты'!C:Q,12,0)*1&lt;10,"",0.4),""))</f>
        <v/>
      </c>
      <c r="Q200" s="43" t="str">
        <f>IF(OR(MID(A200,1,6)="ЛМДФ P",MID(A200,1,6)="ЛДСП P"),1,IFERROR(IF(VLOOKUP(A200,'Шаг1.Выбор плиты'!C:Q,12,0)*1&lt;10,"",IF(OR(E200=2,F200=2,H200=2,I200=2),"",0.8)),""))</f>
        <v/>
      </c>
      <c r="R200" s="43" t="str">
        <f>IF(OR(MID(A200,1,6)="ЛМДФ P",MID(A200,1,6)="ЛДСП P"),1,IFERROR(IF(VLOOKUP(A200,'Шаг1.Выбор плиты'!C:Q,12,0)*1&lt;10,"",IF(OR(E200=0.8,F200=0.8,H200=0.8,I200=0.8),"",2)),""))</f>
        <v/>
      </c>
      <c r="S200" s="44" t="str">
        <f>IF(AND(COUNTBLANK(D$19:$D199)=0,COUNTBLANK(G$19:$G199)=0),$S$17&amp;$S$16,"дозаполнить")</f>
        <v>дозаполнить</v>
      </c>
      <c r="T200" s="25">
        <f t="shared" si="54"/>
        <v>0</v>
      </c>
      <c r="U200" s="25">
        <f t="shared" si="55"/>
        <v>0</v>
      </c>
      <c r="V200" s="101">
        <f t="shared" si="56"/>
        <v>0</v>
      </c>
      <c r="W200" s="25">
        <f t="shared" si="57"/>
        <v>0</v>
      </c>
    </row>
    <row r="201" spans="1:23" ht="6.75" customHeight="1" x14ac:dyDescent="0.2">
      <c r="A201" s="193"/>
      <c r="B201" s="42" t="str">
        <f ca="1">IF(A201="","",MAX($B$17:OFFSET(A201,-1,0))+1)</f>
        <v/>
      </c>
      <c r="C201" s="42"/>
      <c r="D201" s="194"/>
      <c r="E201" s="195"/>
      <c r="F201" s="195"/>
      <c r="G201" s="194"/>
      <c r="H201" s="195"/>
      <c r="I201" s="195"/>
      <c r="J201" s="196"/>
      <c r="K201" s="16"/>
      <c r="L201" s="197" t="str">
        <f t="shared" si="50"/>
        <v/>
      </c>
      <c r="M201" s="198" t="str">
        <f t="shared" si="51"/>
        <v/>
      </c>
      <c r="N201" s="198" t="str">
        <f t="shared" si="52"/>
        <v/>
      </c>
      <c r="O201" s="199" t="str">
        <f t="shared" si="53"/>
        <v/>
      </c>
      <c r="P201" s="43" t="str">
        <f>IF(OR(MID(A201,1,6)="ЛМДФ P",MID(A201,1,6)="ЛДСП P"),1,IFERROR(IF(VLOOKUP(A201,'Шаг1.Выбор плиты'!C:Q,12,0)*1&lt;10,"",0.4),""))</f>
        <v/>
      </c>
      <c r="Q201" s="43" t="str">
        <f>IF(OR(MID(A201,1,6)="ЛМДФ P",MID(A201,1,6)="ЛДСП P"),1,IFERROR(IF(VLOOKUP(A201,'Шаг1.Выбор плиты'!C:Q,12,0)*1&lt;10,"",IF(OR(E201=2,F201=2,H201=2,I201=2),"",0.8)),""))</f>
        <v/>
      </c>
      <c r="R201" s="43" t="str">
        <f>IF(OR(MID(A201,1,6)="ЛМДФ P",MID(A201,1,6)="ЛДСП P"),1,IFERROR(IF(VLOOKUP(A201,'Шаг1.Выбор плиты'!C:Q,12,0)*1&lt;10,"",IF(OR(E201=0.8,F201=0.8,H201=0.8,I201=0.8),"",2)),""))</f>
        <v/>
      </c>
      <c r="S201" s="44" t="str">
        <f>IF(AND(COUNTBLANK(D$19:$D200)=0,COUNTBLANK(G$19:$G200)=0),$S$17&amp;$S$16,"дозаполнить")</f>
        <v>дозаполнить</v>
      </c>
      <c r="T201" s="25">
        <f t="shared" si="54"/>
        <v>0</v>
      </c>
      <c r="U201" s="25">
        <f t="shared" si="55"/>
        <v>0</v>
      </c>
      <c r="V201" s="101">
        <f t="shared" si="56"/>
        <v>0</v>
      </c>
      <c r="W201" s="25">
        <f t="shared" si="57"/>
        <v>0</v>
      </c>
    </row>
    <row r="202" spans="1:23" ht="12.75" x14ac:dyDescent="0.2">
      <c r="A202" s="116"/>
      <c r="B202" s="116"/>
      <c r="C202" s="116"/>
      <c r="D202" s="45"/>
      <c r="E202" s="45"/>
      <c r="F202" s="45"/>
      <c r="G202" s="45"/>
      <c r="H202" s="45"/>
      <c r="I202" s="45"/>
      <c r="J202" s="45"/>
      <c r="K202" s="119">
        <f>SUM(K19:K201)</f>
        <v>0</v>
      </c>
      <c r="L202" s="46"/>
      <c r="M202" s="47"/>
      <c r="N202" s="47"/>
      <c r="O202" s="47"/>
      <c r="P202" s="48"/>
      <c r="Q202" s="48"/>
      <c r="R202" s="48"/>
      <c r="S202" s="40"/>
    </row>
    <row r="203" spans="1:23" ht="12.75" x14ac:dyDescent="0.2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7"/>
      <c r="L203" s="46"/>
      <c r="M203" s="118"/>
      <c r="N203" s="47"/>
      <c r="O203" s="47"/>
      <c r="P203" s="48"/>
      <c r="Q203" s="48"/>
      <c r="R203" s="48"/>
      <c r="S203" s="40"/>
    </row>
    <row r="204" spans="1:23" s="29" customFormat="1" ht="36.75" customHeight="1" thickBot="1" x14ac:dyDescent="0.3">
      <c r="A204" s="267" t="s">
        <v>1983</v>
      </c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49"/>
      <c r="Q204" s="49"/>
      <c r="R204" s="49"/>
      <c r="S204" s="49"/>
      <c r="T204" s="40"/>
      <c r="U204" s="40"/>
    </row>
    <row r="205" spans="1:23" s="29" customFormat="1" ht="21" customHeight="1" x14ac:dyDescent="0.25">
      <c r="A205" s="269" t="s">
        <v>1984</v>
      </c>
      <c r="B205" s="270"/>
      <c r="C205" s="270"/>
      <c r="D205" s="270"/>
      <c r="E205" s="270"/>
      <c r="F205" s="270"/>
      <c r="G205" s="270"/>
      <c r="H205" s="50"/>
      <c r="I205" s="50"/>
      <c r="J205" s="51"/>
      <c r="K205" s="52" t="s">
        <v>1985</v>
      </c>
      <c r="L205" s="52"/>
      <c r="M205" s="52"/>
      <c r="N205" s="52"/>
      <c r="O205" s="52"/>
      <c r="P205" s="52"/>
      <c r="Q205" s="52"/>
      <c r="R205" s="39"/>
      <c r="S205" s="39"/>
      <c r="T205" s="40"/>
      <c r="U205" s="40"/>
    </row>
    <row r="206" spans="1:23" s="29" customFormat="1" ht="15.75" customHeight="1" x14ac:dyDescent="0.25">
      <c r="A206" s="271" t="s">
        <v>1986</v>
      </c>
      <c r="B206" s="271"/>
      <c r="C206" s="271"/>
      <c r="D206" s="271"/>
      <c r="E206" s="271"/>
      <c r="F206" s="271"/>
      <c r="G206" s="271"/>
      <c r="H206" s="271"/>
      <c r="I206" s="271"/>
      <c r="J206" s="271"/>
      <c r="K206" s="271"/>
      <c r="L206" s="271"/>
      <c r="M206" s="271"/>
      <c r="N206" s="271"/>
      <c r="O206" s="271"/>
      <c r="P206" s="39"/>
      <c r="Q206" s="39"/>
      <c r="R206" s="39"/>
      <c r="S206" s="39"/>
      <c r="T206" s="40"/>
      <c r="U206" s="40"/>
    </row>
    <row r="207" spans="1:23" s="29" customFormat="1" ht="13.5" customHeight="1" x14ac:dyDescent="0.25">
      <c r="A207" s="271" t="s">
        <v>1987</v>
      </c>
      <c r="B207" s="271"/>
      <c r="C207" s="271"/>
      <c r="D207" s="271"/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271"/>
      <c r="P207" s="53"/>
      <c r="Q207" s="53"/>
      <c r="R207" s="53"/>
      <c r="S207" s="53"/>
      <c r="T207" s="40"/>
      <c r="U207" s="40"/>
    </row>
    <row r="208" spans="1:23" s="29" customFormat="1" ht="18.75" customHeight="1" x14ac:dyDescent="0.25">
      <c r="A208" s="272" t="s">
        <v>1988</v>
      </c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54"/>
      <c r="Q208" s="53"/>
      <c r="R208" s="53"/>
      <c r="S208" s="53"/>
      <c r="T208" s="40"/>
      <c r="U208" s="40"/>
    </row>
    <row r="209" spans="1:21" s="29" customFormat="1" ht="18.75" customHeight="1" x14ac:dyDescent="0.25">
      <c r="A209" s="259" t="s">
        <v>1989</v>
      </c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53"/>
      <c r="Q209" s="53"/>
      <c r="R209" s="53"/>
      <c r="S209" s="53"/>
      <c r="T209" s="40"/>
      <c r="U209" s="40"/>
    </row>
  </sheetData>
  <sheetProtection password="8E28" sheet="1" objects="1" scenarios="1" autoFilter="0"/>
  <autoFilter ref="A18:U202"/>
  <mergeCells count="26">
    <mergeCell ref="C17:C18"/>
    <mergeCell ref="V16:V18"/>
    <mergeCell ref="W16:W18"/>
    <mergeCell ref="A209:O209"/>
    <mergeCell ref="A12:F13"/>
    <mergeCell ref="A204:O204"/>
    <mergeCell ref="A205:G205"/>
    <mergeCell ref="A206:O206"/>
    <mergeCell ref="A207:O207"/>
    <mergeCell ref="A208:O208"/>
    <mergeCell ref="A14:F14"/>
    <mergeCell ref="D17:D18"/>
    <mergeCell ref="G17:G18"/>
    <mergeCell ref="B17:B18"/>
    <mergeCell ref="A17:A18"/>
    <mergeCell ref="T16:T18"/>
    <mergeCell ref="D9:H9"/>
    <mergeCell ref="I9:M9"/>
    <mergeCell ref="U16:U18"/>
    <mergeCell ref="H11:L14"/>
    <mergeCell ref="N17:N18"/>
    <mergeCell ref="O17:O18"/>
    <mergeCell ref="M17:M18"/>
    <mergeCell ref="L17:L18"/>
    <mergeCell ref="J17:J18"/>
    <mergeCell ref="J16:O16"/>
  </mergeCells>
  <conditionalFormatting sqref="E19:F203 H19:I203">
    <cfRule type="expression" dxfId="23" priority="28">
      <formula>AND(OR($E19=2,$F19=2,$H19=2,$I19=2),OR($E19=0.8,$F19=0.8,$H19=0.8,$I19=0.8))</formula>
    </cfRule>
  </conditionalFormatting>
  <conditionalFormatting sqref="H142">
    <cfRule type="expression" dxfId="22" priority="21">
      <formula>AND(OR($E142=2,$F142=2,$H142=2,$I142=2),OR($E142=0.8,$F142=0.8,$H142=0.8,$I142=0.8))</formula>
    </cfRule>
  </conditionalFormatting>
  <conditionalFormatting sqref="H143">
    <cfRule type="expression" dxfId="21" priority="20">
      <formula>AND(OR($E143=2,$F143=2,$H143=2,$I143=2),OR($E143=0.8,$F143=0.8,$H143=0.8,$I143=0.8))</formula>
    </cfRule>
  </conditionalFormatting>
  <conditionalFormatting sqref="H144">
    <cfRule type="expression" dxfId="20" priority="19">
      <formula>AND(OR($E144=2,$F144=2,$H144=2,$I144=2),OR($E144=0.8,$F144=0.8,$H144=0.8,$I144=0.8))</formula>
    </cfRule>
  </conditionalFormatting>
  <conditionalFormatting sqref="H147">
    <cfRule type="expression" dxfId="19" priority="18">
      <formula>AND(OR($E147=2,$F147=2,$H147=2,$I147=2),OR($E147=0.8,$F147=0.8,$H147=0.8,$I147=0.8))</formula>
    </cfRule>
  </conditionalFormatting>
  <conditionalFormatting sqref="O19:O201">
    <cfRule type="expression" dxfId="18" priority="17">
      <formula>(OR($M19="Да",$N19="Да"))=TRUE</formula>
    </cfRule>
  </conditionalFormatting>
  <conditionalFormatting sqref="M19:N201">
    <cfRule type="expression" dxfId="17" priority="16">
      <formula>(OR($M19="Да",$N19="Да"))=TRUE</formula>
    </cfRule>
  </conditionalFormatting>
  <conditionalFormatting sqref="O19:O201">
    <cfRule type="containsText" dxfId="16" priority="1" operator="containsText" text="укажите здесь ссылку на чертеж">
      <formula>NOT(ISERROR(SEARCH("укажите здесь ссылку на чертеж",O19)))</formula>
    </cfRule>
  </conditionalFormatting>
  <dataValidations xWindow="803" yWindow="417" count="6">
    <dataValidation type="list" allowBlank="1" showInputMessage="1" showErrorMessage="1" sqref="L19:L203">
      <formula1>"Да, Нет, Неважно"</formula1>
    </dataValidation>
    <dataValidation type="list" allowBlank="1" showInputMessage="1" showErrorMessage="1" sqref="A19:A201">
      <formula1>INDIRECT($S19)</formula1>
    </dataValidation>
    <dataValidation type="list" allowBlank="1" showInputMessage="1" showErrorMessage="1" errorTitle="Неверный формат" error="Варианты  Кромки: _x000a_0,4мм_x000a_0,8мм_x000a_2,0мм_x000a__x000a_Внимание! Кромление одной детали форматами 0,8 и 2,0  недопустимо." sqref="E19:F203 H19:I203">
      <formula1>$P19:$R19</formula1>
    </dataValidation>
    <dataValidation type="list" allowBlank="1" showInputMessage="1" showErrorMessage="1" sqref="M19:N201">
      <formula1>"Да, Нет"</formula1>
    </dataValidation>
    <dataValidation type="textLength" showInputMessage="1" showErrorMessage="1" errorTitle="Превышено количество символов" error="Максимум 7 знаков" sqref="C19:C201">
      <formula1>0</formula1>
      <formula2>7</formula2>
    </dataValidation>
    <dataValidation type="custom" allowBlank="1" showInputMessage="1" showErrorMessage="1" errorTitle="Укажите другую ссылку на чертеж" error="Ссылка на один и тот же чертеж невозможна" sqref="O19:O201">
      <formula1>IF(O19="",1,COUNTIF($O$19:$O$201,O19))=1</formula1>
    </dataValidation>
  </dataValidations>
  <hyperlinks>
    <hyperlink ref="O9" location="Шаг3.Стоимость!A1" display="Перейти к Расчету"/>
    <hyperlink ref="A9" location="'Шаг1.Выбор плиты'!A1" display="Перейти к Расчету"/>
    <hyperlink ref="D9" location="'Шаг2.Бланк заказа OLD 08 04'!A1" display="'Шаг2.Бланк заказа OLD 08 04'!A1"/>
    <hyperlink ref="I9" location="'Шаг2.Бланк заказа OLD 08 04'!A1" display="'Шаг2.Бланк заказа OLD 08 04'!A1"/>
    <hyperlink ref="D9:H9" location="'Бланк OLD 0.8 04'!A1" display="Оформить заказ в старом бланке. Кромка 0,8 - 0,4"/>
    <hyperlink ref="I9:M9" location="'Бланк OLD 2.0 04 '!A1" display="'Бланк OLD 2.0 04 '!A1"/>
  </hyperlinks>
  <pageMargins left="0.25" right="0.25" top="0.75" bottom="0.75" header="0.3" footer="0.3"/>
  <pageSetup paperSize="9" scale="6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803" yWindow="417" count="3"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VLOOKUP(A19,'Шаг1.Выбор плиты'!C:S,16,0)-30</xm:f>
          </x14:formula2>
          <xm:sqref>D19:D201</xm:sqref>
        </x14:dataValidation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VLOOKUP(A19,'Шаг1.Выбор плиты'!C:S,17,0)-30</xm:f>
          </x14:formula2>
          <xm:sqref>G19:G201</xm:sqref>
        </x14:dataValidation>
        <x14:dataValidation type="custom" allowBlank="1" showInputMessage="1" showErrorMessage="1" error="Номер заказа должен быть одинаковый во всех бланках">
          <x14:formula1>
            <xm:f>OR(AND('Бланк OLD 0.8 04'!J10:J10="",'Бланк OLD 2.0 04 '!J10:J10=""),'Бланк OLD 2.0 04 '!J10:J10=O13,'Бланк OLD 0.8 04'!J10:J10=O13)</xm:f>
          </x14:formula1>
          <xm:sqref>O13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208"/>
  <sheetViews>
    <sheetView showGridLines="0" workbookViewId="0">
      <pane ySplit="17" topLeftCell="A18" activePane="bottomLeft" state="frozen"/>
      <selection pane="bottomLeft" activeCell="V21" sqref="V21"/>
    </sheetView>
  </sheetViews>
  <sheetFormatPr defaultRowHeight="11.25" x14ac:dyDescent="0.2"/>
  <cols>
    <col min="1" max="1" width="31.1640625" style="24" customWidth="1"/>
    <col min="2" max="2" width="5.1640625" style="25" customWidth="1"/>
    <col min="3" max="3" width="11.83203125" style="25" customWidth="1"/>
    <col min="4" max="4" width="11.6640625" style="55" customWidth="1"/>
    <col min="5" max="6" width="9.33203125" style="25"/>
    <col min="7" max="7" width="12.33203125" style="25" customWidth="1"/>
    <col min="8" max="9" width="9.33203125" style="25"/>
    <col min="10" max="10" width="10" style="25" customWidth="1"/>
    <col min="11" max="11" width="9.33203125" style="25"/>
    <col min="12" max="12" width="22.83203125" style="25" hidden="1" customWidth="1"/>
    <col min="13" max="16" width="9.33203125" style="25" hidden="1" customWidth="1"/>
    <col min="17" max="19" width="9.33203125" style="25" customWidth="1"/>
    <col min="20" max="16384" width="9.33203125" style="25"/>
  </cols>
  <sheetData>
    <row r="1" spans="1:21" x14ac:dyDescent="0.2">
      <c r="D1" s="25"/>
      <c r="L1" s="26"/>
      <c r="M1" s="4"/>
      <c r="N1" s="4"/>
    </row>
    <row r="2" spans="1:21" x14ac:dyDescent="0.2">
      <c r="D2" s="25"/>
      <c r="L2" s="4"/>
      <c r="M2" s="4"/>
      <c r="N2" s="4"/>
    </row>
    <row r="3" spans="1:21" x14ac:dyDescent="0.2">
      <c r="D3" s="25"/>
      <c r="L3" s="4"/>
      <c r="M3" s="4"/>
      <c r="N3" s="4"/>
    </row>
    <row r="4" spans="1:21" x14ac:dyDescent="0.2">
      <c r="D4" s="25"/>
      <c r="L4" s="4"/>
      <c r="M4" s="4"/>
      <c r="N4" s="4"/>
    </row>
    <row r="5" spans="1:21" x14ac:dyDescent="0.2">
      <c r="D5" s="25"/>
      <c r="L5" s="4"/>
      <c r="M5" s="4"/>
      <c r="N5" s="4"/>
    </row>
    <row r="6" spans="1:21" ht="12" thickBot="1" x14ac:dyDescent="0.25">
      <c r="D6" s="25"/>
      <c r="L6" s="4"/>
      <c r="M6" s="4"/>
      <c r="N6" s="4"/>
    </row>
    <row r="7" spans="1:21" s="167" customFormat="1" ht="38.25" thickBot="1" x14ac:dyDescent="0.25">
      <c r="A7" s="165" t="s">
        <v>1958</v>
      </c>
      <c r="B7" s="166"/>
      <c r="C7" s="237" t="s">
        <v>2036</v>
      </c>
      <c r="D7" s="239"/>
      <c r="E7" s="237" t="s">
        <v>2093</v>
      </c>
      <c r="F7" s="239"/>
      <c r="H7" s="288" t="s">
        <v>1956</v>
      </c>
      <c r="I7" s="289"/>
      <c r="J7" s="289"/>
      <c r="K7" s="290"/>
      <c r="L7" s="161"/>
      <c r="M7" s="161"/>
      <c r="N7" s="161"/>
    </row>
    <row r="8" spans="1:21" ht="16.5" thickBot="1" x14ac:dyDescent="0.3">
      <c r="A8" s="164" t="s">
        <v>2108</v>
      </c>
      <c r="D8" s="25"/>
      <c r="L8" s="4"/>
      <c r="M8" s="4"/>
      <c r="N8" s="4"/>
    </row>
    <row r="9" spans="1:21" s="27" customFormat="1" ht="15.75" thickBot="1" x14ac:dyDescent="0.3">
      <c r="A9" s="261"/>
      <c r="B9" s="262"/>
      <c r="C9" s="262"/>
      <c r="D9" s="262"/>
      <c r="E9" s="262"/>
      <c r="F9" s="263"/>
      <c r="H9" s="28"/>
      <c r="I9" s="30" t="s">
        <v>1952</v>
      </c>
      <c r="J9" s="284"/>
      <c r="K9" s="285"/>
      <c r="L9" s="4"/>
      <c r="M9" s="4"/>
      <c r="N9" s="4"/>
      <c r="U9" s="25"/>
    </row>
    <row r="10" spans="1:21" ht="21" customHeight="1" thickBot="1" x14ac:dyDescent="0.3">
      <c r="A10" s="264"/>
      <c r="B10" s="265"/>
      <c r="C10" s="265"/>
      <c r="D10" s="265"/>
      <c r="E10" s="265"/>
      <c r="F10" s="266"/>
      <c r="H10" s="107"/>
      <c r="I10" s="30" t="s">
        <v>1953</v>
      </c>
      <c r="J10" s="286"/>
      <c r="K10" s="287"/>
      <c r="L10" s="4"/>
      <c r="M10" s="4"/>
      <c r="N10" s="4"/>
    </row>
    <row r="11" spans="1:21" s="29" customFormat="1" ht="18" customHeight="1" thickBot="1" x14ac:dyDescent="0.3">
      <c r="A11" s="274" t="s">
        <v>1954</v>
      </c>
      <c r="B11" s="274"/>
      <c r="C11" s="274"/>
      <c r="D11" s="274"/>
      <c r="E11" s="274"/>
      <c r="F11" s="274"/>
      <c r="H11" s="33"/>
      <c r="I11" s="27"/>
      <c r="J11" s="27"/>
      <c r="K11" s="27"/>
      <c r="L11" s="4"/>
      <c r="M11" s="4"/>
      <c r="N11" s="4"/>
      <c r="O11" s="25"/>
      <c r="P11" s="99" t="s">
        <v>2014</v>
      </c>
      <c r="U11" s="25"/>
    </row>
    <row r="12" spans="1:21" s="29" customFormat="1" ht="20.25" customHeight="1" thickBot="1" x14ac:dyDescent="0.3">
      <c r="A12" s="106"/>
      <c r="B12" s="106"/>
      <c r="C12" s="106"/>
      <c r="D12" s="106"/>
      <c r="E12" s="106"/>
      <c r="F12" s="106"/>
      <c r="H12" s="33"/>
      <c r="I12" s="30" t="s">
        <v>2010</v>
      </c>
      <c r="J12" s="278">
        <f ca="1">IFERROR(Шаг3.Стоимость!G31,Шаг3.Стоимость!F31)</f>
        <v>0</v>
      </c>
      <c r="K12" s="279"/>
      <c r="L12" s="4"/>
      <c r="M12" s="4"/>
      <c r="N12" s="4"/>
      <c r="O12" s="25"/>
      <c r="P12" s="99"/>
      <c r="U12" s="25"/>
    </row>
    <row r="13" spans="1:21" s="29" customFormat="1" ht="11.25" customHeight="1" x14ac:dyDescent="0.3">
      <c r="A13" s="282" t="s">
        <v>2146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35"/>
      <c r="M13" s="35"/>
      <c r="N13" s="35"/>
      <c r="O13" s="100">
        <v>205</v>
      </c>
      <c r="P13" s="25" t="s">
        <v>2012</v>
      </c>
      <c r="U13" s="25"/>
    </row>
    <row r="14" spans="1:21" s="29" customFormat="1" ht="15" customHeight="1" thickBot="1" x14ac:dyDescent="0.35">
      <c r="A14" s="291" t="s">
        <v>2097</v>
      </c>
      <c r="B14" s="291"/>
      <c r="C14" s="291"/>
      <c r="D14" s="291"/>
      <c r="E14" s="291"/>
      <c r="F14" s="291"/>
      <c r="G14" s="291"/>
      <c r="H14" s="291"/>
      <c r="I14" s="291"/>
      <c r="J14" s="291"/>
      <c r="K14" s="37"/>
      <c r="L14" s="35"/>
      <c r="M14" s="35"/>
      <c r="N14" s="35"/>
      <c r="O14" s="100">
        <v>60</v>
      </c>
      <c r="P14" s="25" t="s">
        <v>2013</v>
      </c>
      <c r="U14" s="25"/>
    </row>
    <row r="15" spans="1:21" s="29" customFormat="1" ht="7.5" customHeight="1" thickBot="1" x14ac:dyDescent="0.3">
      <c r="A15" s="292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121">
        <f ca="1">COUNTA(Шаг3.Стоимость!$B$14:$B$28)-(COUNTIFS(Шаг3.Стоимость!$B$14:$B$28,"")+COUNTIFS(Шаг3.Стоимость!$B$14:$B$28,"Распил (м2)")+COUNTIFS(Шаг3.Стоимость!$B$14:$B$28,"Упаковка (м2)")+COUNTIFS(Шаг3.Стоимость!$B$14:$B$28,"Кромление (м)")+COUNTIFS(Шаг3.Стоимость!$B$14:$B$28,"Фрезеровка/Сверление (м2)"))</f>
        <v>0</v>
      </c>
      <c r="M15" s="277">
        <v>0.8</v>
      </c>
      <c r="N15" s="240">
        <v>0.4</v>
      </c>
      <c r="O15" s="240" t="s">
        <v>2016</v>
      </c>
      <c r="U15" s="25"/>
    </row>
    <row r="16" spans="1:21" ht="25.5" customHeight="1" thickBot="1" x14ac:dyDescent="0.25">
      <c r="A16" s="257" t="s">
        <v>1962</v>
      </c>
      <c r="B16" s="275" t="s">
        <v>1943</v>
      </c>
      <c r="C16" s="257" t="s">
        <v>2099</v>
      </c>
      <c r="D16" s="240" t="s">
        <v>1964</v>
      </c>
      <c r="E16" s="280" t="s">
        <v>2033</v>
      </c>
      <c r="F16" s="281"/>
      <c r="G16" s="240" t="s">
        <v>1965</v>
      </c>
      <c r="H16" s="280" t="s">
        <v>2033</v>
      </c>
      <c r="I16" s="281"/>
      <c r="J16" s="252" t="s">
        <v>1966</v>
      </c>
      <c r="K16" s="11" t="s">
        <v>1945</v>
      </c>
      <c r="L16" s="43" t="s">
        <v>2100</v>
      </c>
      <c r="M16" s="241"/>
      <c r="N16" s="241"/>
      <c r="O16" s="241"/>
    </row>
    <row r="17" spans="1:15" ht="23.25" customHeight="1" thickBot="1" x14ac:dyDescent="0.25">
      <c r="A17" s="258"/>
      <c r="B17" s="276"/>
      <c r="C17" s="258"/>
      <c r="D17" s="242"/>
      <c r="E17" s="126" t="s">
        <v>2029</v>
      </c>
      <c r="F17" s="127" t="s">
        <v>2030</v>
      </c>
      <c r="G17" s="242"/>
      <c r="H17" s="126" t="s">
        <v>2029</v>
      </c>
      <c r="I17" s="127" t="s">
        <v>2030</v>
      </c>
      <c r="J17" s="253"/>
      <c r="K17" s="12" t="s">
        <v>1951</v>
      </c>
      <c r="L17" s="41" t="s">
        <v>1959</v>
      </c>
      <c r="M17" s="242"/>
      <c r="N17" s="242"/>
      <c r="O17" s="242"/>
    </row>
    <row r="18" spans="1:15" ht="12.75" x14ac:dyDescent="0.2">
      <c r="A18" s="187"/>
      <c r="B18" s="42" t="str">
        <f ca="1">IF(A18="","",MAX($B$16:OFFSET(A18,-1,0))+1)</f>
        <v/>
      </c>
      <c r="C18" s="120"/>
      <c r="D18" s="181"/>
      <c r="E18" s="182"/>
      <c r="F18" s="182"/>
      <c r="G18" s="181"/>
      <c r="H18" s="182"/>
      <c r="I18" s="182"/>
      <c r="J18" s="182"/>
      <c r="K18" s="16">
        <f>(D18/1000)*(G18/1000)*J18</f>
        <v>0</v>
      </c>
      <c r="L18" s="44" t="str">
        <f ca="1">L16&amp;L15</f>
        <v>Номенклатура20</v>
      </c>
      <c r="M18" s="25">
        <f>(D18*E18*J18)+(H18*G18*J18)</f>
        <v>0</v>
      </c>
      <c r="N18" s="25">
        <f>(F18*D18*J18)+(I18*G18*J18)</f>
        <v>0</v>
      </c>
      <c r="O18" s="101">
        <f>IF(A18="",0,MAX((D18/1000*G18/1000)*$O$13,$O$14))*J18</f>
        <v>0</v>
      </c>
    </row>
    <row r="19" spans="1:15" ht="12.75" x14ac:dyDescent="0.2">
      <c r="A19" s="187"/>
      <c r="B19" s="42" t="str">
        <f ca="1">IF(A19="","",MAX($B$16:OFFSET(A19,-1,0))+1)</f>
        <v/>
      </c>
      <c r="C19" s="120"/>
      <c r="D19" s="184"/>
      <c r="E19" s="182"/>
      <c r="F19" s="182"/>
      <c r="G19" s="184"/>
      <c r="H19" s="182"/>
      <c r="I19" s="182"/>
      <c r="J19" s="185"/>
      <c r="K19" s="16">
        <f t="shared" ref="K19:K191" si="0">(D19/1000)*(G19/1000)*J19</f>
        <v>0</v>
      </c>
      <c r="L19" s="44" t="str">
        <f>IF(AND(COUNTBLANK(D$18:$D18)=0,COUNTBLANK(G$18:$G18)=0),$L$16&amp;$L$15,"дозаполнить")</f>
        <v>дозаполнить</v>
      </c>
      <c r="M19" s="25">
        <f t="shared" ref="M19:M191" si="1">(D19*E19*J19)+(H19*G19*J19)</f>
        <v>0</v>
      </c>
      <c r="N19" s="25">
        <f t="shared" ref="N19:N191" si="2">(F19*D19*J19)+(I19*G19*J19)</f>
        <v>0</v>
      </c>
      <c r="O19" s="101">
        <f t="shared" ref="O19:O191" si="3">IF(A19="",0,MAX((D19/1000*G19/1000)*$O$13,$O$14))*J19</f>
        <v>0</v>
      </c>
    </row>
    <row r="20" spans="1:15" ht="12.75" x14ac:dyDescent="0.2">
      <c r="A20" s="187"/>
      <c r="B20" s="42" t="str">
        <f ca="1">IF(A20="","",MAX($B$16:OFFSET(A20,-1,0))+1)</f>
        <v/>
      </c>
      <c r="C20" s="120"/>
      <c r="D20" s="184"/>
      <c r="E20" s="15"/>
      <c r="F20" s="15"/>
      <c r="G20" s="184"/>
      <c r="H20" s="15"/>
      <c r="I20" s="15"/>
      <c r="J20" s="185"/>
      <c r="K20" s="16">
        <f t="shared" si="0"/>
        <v>0</v>
      </c>
      <c r="L20" s="44" t="str">
        <f>IF(AND(COUNTBLANK(D$18:$D19)=0,COUNTBLANK(G$18:$G19)=0),$L$16&amp;$L$15,"дозаполнить")</f>
        <v>дозаполнить</v>
      </c>
      <c r="M20" s="25">
        <f t="shared" si="1"/>
        <v>0</v>
      </c>
      <c r="N20" s="25">
        <f t="shared" si="2"/>
        <v>0</v>
      </c>
      <c r="O20" s="101">
        <f>IF(A20="",0,MAX((D20/1000*G20/1000)*$O$13,$O$14))*J20</f>
        <v>0</v>
      </c>
    </row>
    <row r="21" spans="1:15" ht="12.75" x14ac:dyDescent="0.2">
      <c r="A21" s="187"/>
      <c r="B21" s="42" t="str">
        <f ca="1">IF(A21="","",MAX($B$16:OFFSET(A21,-1,0))+1)</f>
        <v/>
      </c>
      <c r="C21" s="120"/>
      <c r="D21" s="184"/>
      <c r="E21" s="15"/>
      <c r="F21" s="15"/>
      <c r="G21" s="184"/>
      <c r="H21" s="15"/>
      <c r="I21" s="15"/>
      <c r="J21" s="185"/>
      <c r="K21" s="16">
        <f t="shared" si="0"/>
        <v>0</v>
      </c>
      <c r="L21" s="44" t="str">
        <f>IF(AND(COUNTBLANK(D$18:$D20)=0,COUNTBLANK(G$18:$G20)=0),$L$16&amp;$L$15,"дозаполнить")</f>
        <v>дозаполнить</v>
      </c>
      <c r="M21" s="25">
        <f t="shared" si="1"/>
        <v>0</v>
      </c>
      <c r="N21" s="25">
        <f t="shared" si="2"/>
        <v>0</v>
      </c>
      <c r="O21" s="101">
        <f t="shared" si="3"/>
        <v>0</v>
      </c>
    </row>
    <row r="22" spans="1:15" ht="12.75" x14ac:dyDescent="0.2">
      <c r="A22" s="187"/>
      <c r="B22" s="42" t="str">
        <f ca="1">IF(A22="","",MAX($B$16:OFFSET(A22,-1,0))+1)</f>
        <v/>
      </c>
      <c r="C22" s="120"/>
      <c r="D22" s="184"/>
      <c r="E22" s="15"/>
      <c r="F22" s="15"/>
      <c r="G22" s="184"/>
      <c r="H22" s="15"/>
      <c r="I22" s="15"/>
      <c r="J22" s="185"/>
      <c r="K22" s="16">
        <f t="shared" si="0"/>
        <v>0</v>
      </c>
      <c r="L22" s="44" t="str">
        <f>IF(AND(COUNTBLANK(D$18:$D21)=0,COUNTBLANK(G$18:$G21)=0),$L$16&amp;$L$15,"дозаполнить")</f>
        <v>дозаполнить</v>
      </c>
      <c r="M22" s="25">
        <f t="shared" si="1"/>
        <v>0</v>
      </c>
      <c r="N22" s="25">
        <f t="shared" si="2"/>
        <v>0</v>
      </c>
      <c r="O22" s="101">
        <f t="shared" si="3"/>
        <v>0</v>
      </c>
    </row>
    <row r="23" spans="1:15" ht="12.75" x14ac:dyDescent="0.2">
      <c r="A23" s="187"/>
      <c r="B23" s="42" t="str">
        <f ca="1">IF(A23="","",MAX($B$16:OFFSET(A23,-1,0))+1)</f>
        <v/>
      </c>
      <c r="C23" s="120"/>
      <c r="D23" s="184"/>
      <c r="E23" s="15"/>
      <c r="F23" s="15"/>
      <c r="G23" s="184"/>
      <c r="H23" s="15"/>
      <c r="I23" s="15"/>
      <c r="J23" s="185"/>
      <c r="K23" s="16">
        <f t="shared" si="0"/>
        <v>0</v>
      </c>
      <c r="L23" s="44" t="str">
        <f>IF(AND(COUNTBLANK(D$18:$D22)=0,COUNTBLANK(G$18:$G22)=0),$L$16&amp;$L$15,"дозаполнить")</f>
        <v>дозаполнить</v>
      </c>
      <c r="M23" s="25">
        <f t="shared" si="1"/>
        <v>0</v>
      </c>
      <c r="N23" s="25">
        <f t="shared" si="2"/>
        <v>0</v>
      </c>
      <c r="O23" s="101">
        <f t="shared" si="3"/>
        <v>0</v>
      </c>
    </row>
    <row r="24" spans="1:15" ht="12.75" x14ac:dyDescent="0.2">
      <c r="A24" s="187"/>
      <c r="B24" s="42" t="str">
        <f ca="1">IF(A24="","",MAX($B$16:OFFSET(A24,-1,0))+1)</f>
        <v/>
      </c>
      <c r="C24" s="120"/>
      <c r="D24" s="184"/>
      <c r="E24" s="15"/>
      <c r="F24" s="15"/>
      <c r="G24" s="184"/>
      <c r="H24" s="15"/>
      <c r="I24" s="15"/>
      <c r="J24" s="185"/>
      <c r="K24" s="16">
        <f t="shared" si="0"/>
        <v>0</v>
      </c>
      <c r="L24" s="44" t="str">
        <f>IF(AND(COUNTBLANK(D$18:$D23)=0,COUNTBLANK(G$18:$G23)=0),$L$16&amp;$L$15,"дозаполнить")</f>
        <v>дозаполнить</v>
      </c>
      <c r="M24" s="25">
        <f t="shared" si="1"/>
        <v>0</v>
      </c>
      <c r="N24" s="25">
        <f t="shared" si="2"/>
        <v>0</v>
      </c>
      <c r="O24" s="101">
        <f>IF(A24="",0,MAX((D24/1000*G24/1000)*$O$13,$O$14))*J24</f>
        <v>0</v>
      </c>
    </row>
    <row r="25" spans="1:15" ht="12.75" x14ac:dyDescent="0.2">
      <c r="A25" s="187"/>
      <c r="B25" s="42" t="str">
        <f ca="1">IF(A25="","",MAX($B$16:OFFSET(A25,-1,0))+1)</f>
        <v/>
      </c>
      <c r="C25" s="120"/>
      <c r="D25" s="184"/>
      <c r="E25" s="15"/>
      <c r="F25" s="15"/>
      <c r="G25" s="184"/>
      <c r="H25" s="15"/>
      <c r="I25" s="15"/>
      <c r="J25" s="185"/>
      <c r="K25" s="16">
        <f t="shared" ref="K25:K88" si="4">(D25/1000)*(G25/1000)*J25</f>
        <v>0</v>
      </c>
      <c r="L25" s="44" t="str">
        <f>IF(AND(COUNTBLANK(D$18:$D24)=0,COUNTBLANK(G$18:$G24)=0),$L$16&amp;$L$15,"дозаполнить")</f>
        <v>дозаполнить</v>
      </c>
      <c r="M25" s="25">
        <f t="shared" ref="M25:M88" si="5">(D25*E25*J25)+(H25*G25*J25)</f>
        <v>0</v>
      </c>
      <c r="N25" s="25">
        <f t="shared" ref="N25:N88" si="6">(F25*D25*J25)+(I25*G25*J25)</f>
        <v>0</v>
      </c>
      <c r="O25" s="101">
        <f t="shared" ref="O25:O88" si="7">IF(A25="",0,MAX((D25/1000*G25/1000)*$O$13,$O$14))*J25</f>
        <v>0</v>
      </c>
    </row>
    <row r="26" spans="1:15" ht="12.75" x14ac:dyDescent="0.2">
      <c r="A26" s="187"/>
      <c r="B26" s="42" t="str">
        <f ca="1">IF(A26="","",MAX($B$16:OFFSET(A26,-1,0))+1)</f>
        <v/>
      </c>
      <c r="C26" s="120"/>
      <c r="D26" s="184"/>
      <c r="E26" s="15"/>
      <c r="F26" s="15"/>
      <c r="G26" s="184"/>
      <c r="H26" s="15"/>
      <c r="I26" s="15"/>
      <c r="J26" s="185"/>
      <c r="K26" s="16">
        <f t="shared" si="4"/>
        <v>0</v>
      </c>
      <c r="L26" s="44" t="str">
        <f>IF(AND(COUNTBLANK(D$18:$D25)=0,COUNTBLANK(G$18:$G25)=0),$L$16&amp;$L$15,"дозаполнить")</f>
        <v>дозаполнить</v>
      </c>
      <c r="M26" s="25">
        <f t="shared" si="5"/>
        <v>0</v>
      </c>
      <c r="N26" s="25">
        <f t="shared" si="6"/>
        <v>0</v>
      </c>
      <c r="O26" s="101">
        <f t="shared" si="7"/>
        <v>0</v>
      </c>
    </row>
    <row r="27" spans="1:15" ht="12.75" x14ac:dyDescent="0.2">
      <c r="A27" s="187"/>
      <c r="B27" s="42" t="str">
        <f ca="1">IF(A27="","",MAX($B$16:OFFSET(A27,-1,0))+1)</f>
        <v/>
      </c>
      <c r="C27" s="120"/>
      <c r="D27" s="184"/>
      <c r="E27" s="15"/>
      <c r="F27" s="15"/>
      <c r="G27" s="184"/>
      <c r="H27" s="15"/>
      <c r="I27" s="15"/>
      <c r="J27" s="185"/>
      <c r="K27" s="16">
        <f t="shared" si="4"/>
        <v>0</v>
      </c>
      <c r="L27" s="44" t="str">
        <f>IF(AND(COUNTBLANK(D$18:$D26)=0,COUNTBLANK(G$18:$G26)=0),$L$16&amp;$L$15,"дозаполнить")</f>
        <v>дозаполнить</v>
      </c>
      <c r="M27" s="25">
        <f t="shared" si="5"/>
        <v>0</v>
      </c>
      <c r="N27" s="25">
        <f t="shared" si="6"/>
        <v>0</v>
      </c>
      <c r="O27" s="101">
        <f t="shared" si="7"/>
        <v>0</v>
      </c>
    </row>
    <row r="28" spans="1:15" ht="12.75" x14ac:dyDescent="0.2">
      <c r="A28" s="187"/>
      <c r="B28" s="42" t="str">
        <f ca="1">IF(A28="","",MAX($B$16:OFFSET(A28,-1,0))+1)</f>
        <v/>
      </c>
      <c r="C28" s="120"/>
      <c r="D28" s="184"/>
      <c r="E28" s="15"/>
      <c r="F28" s="15"/>
      <c r="G28" s="184"/>
      <c r="H28" s="15"/>
      <c r="I28" s="15"/>
      <c r="J28" s="185"/>
      <c r="K28" s="16">
        <f t="shared" si="4"/>
        <v>0</v>
      </c>
      <c r="L28" s="44" t="str">
        <f>IF(AND(COUNTBLANK(D$18:$D27)=0,COUNTBLANK(G$18:$G27)=0),$L$16&amp;$L$15,"дозаполнить")</f>
        <v>дозаполнить</v>
      </c>
      <c r="M28" s="25">
        <f t="shared" si="5"/>
        <v>0</v>
      </c>
      <c r="N28" s="25">
        <f t="shared" si="6"/>
        <v>0</v>
      </c>
      <c r="O28" s="101">
        <f t="shared" si="7"/>
        <v>0</v>
      </c>
    </row>
    <row r="29" spans="1:15" ht="12.75" x14ac:dyDescent="0.2">
      <c r="A29" s="187"/>
      <c r="B29" s="42" t="str">
        <f ca="1">IF(A29="","",MAX($B$16:OFFSET(A29,-1,0))+1)</f>
        <v/>
      </c>
      <c r="C29" s="120"/>
      <c r="D29" s="184"/>
      <c r="E29" s="15"/>
      <c r="F29" s="15"/>
      <c r="G29" s="184"/>
      <c r="H29" s="15"/>
      <c r="I29" s="15"/>
      <c r="J29" s="185"/>
      <c r="K29" s="16">
        <f t="shared" si="4"/>
        <v>0</v>
      </c>
      <c r="L29" s="44" t="str">
        <f>IF(AND(COUNTBLANK(D$18:$D28)=0,COUNTBLANK(G$18:$G28)=0),$L$16&amp;$L$15,"дозаполнить")</f>
        <v>дозаполнить</v>
      </c>
      <c r="M29" s="25">
        <f t="shared" si="5"/>
        <v>0</v>
      </c>
      <c r="N29" s="25">
        <f t="shared" si="6"/>
        <v>0</v>
      </c>
      <c r="O29" s="101">
        <f t="shared" si="7"/>
        <v>0</v>
      </c>
    </row>
    <row r="30" spans="1:15" ht="12.75" x14ac:dyDescent="0.2">
      <c r="A30" s="187"/>
      <c r="B30" s="42" t="str">
        <f ca="1">IF(A30="","",MAX($B$16:OFFSET(A30,-1,0))+1)</f>
        <v/>
      </c>
      <c r="C30" s="120"/>
      <c r="D30" s="184"/>
      <c r="E30" s="15"/>
      <c r="F30" s="15"/>
      <c r="G30" s="184"/>
      <c r="H30" s="15"/>
      <c r="I30" s="15"/>
      <c r="J30" s="185"/>
      <c r="K30" s="16">
        <f t="shared" si="4"/>
        <v>0</v>
      </c>
      <c r="L30" s="44" t="str">
        <f>IF(AND(COUNTBLANK(D$18:$D29)=0,COUNTBLANK(G$18:$G29)=0),$L$16&amp;$L$15,"дозаполнить")</f>
        <v>дозаполнить</v>
      </c>
      <c r="M30" s="25">
        <f t="shared" si="5"/>
        <v>0</v>
      </c>
      <c r="N30" s="25">
        <f t="shared" si="6"/>
        <v>0</v>
      </c>
      <c r="O30" s="101">
        <f t="shared" si="7"/>
        <v>0</v>
      </c>
    </row>
    <row r="31" spans="1:15" ht="12.75" x14ac:dyDescent="0.2">
      <c r="A31" s="187"/>
      <c r="B31" s="42" t="str">
        <f ca="1">IF(A31="","",MAX($B$16:OFFSET(A31,-1,0))+1)</f>
        <v/>
      </c>
      <c r="C31" s="120"/>
      <c r="D31" s="184"/>
      <c r="E31" s="15"/>
      <c r="F31" s="15"/>
      <c r="G31" s="184"/>
      <c r="H31" s="15"/>
      <c r="I31" s="15"/>
      <c r="J31" s="185"/>
      <c r="K31" s="16">
        <f t="shared" si="4"/>
        <v>0</v>
      </c>
      <c r="L31" s="44" t="str">
        <f>IF(AND(COUNTBLANK(D$18:$D30)=0,COUNTBLANK(G$18:$G30)=0),$L$16&amp;$L$15,"дозаполнить")</f>
        <v>дозаполнить</v>
      </c>
      <c r="M31" s="25">
        <f t="shared" si="5"/>
        <v>0</v>
      </c>
      <c r="N31" s="25">
        <f t="shared" si="6"/>
        <v>0</v>
      </c>
      <c r="O31" s="101">
        <f t="shared" si="7"/>
        <v>0</v>
      </c>
    </row>
    <row r="32" spans="1:15" ht="12.75" x14ac:dyDescent="0.2">
      <c r="A32" s="187"/>
      <c r="B32" s="42" t="str">
        <f ca="1">IF(A32="","",MAX($B$16:OFFSET(A32,-1,0))+1)</f>
        <v/>
      </c>
      <c r="C32" s="120"/>
      <c r="D32" s="184"/>
      <c r="E32" s="15"/>
      <c r="F32" s="15"/>
      <c r="G32" s="184"/>
      <c r="H32" s="15"/>
      <c r="I32" s="15"/>
      <c r="J32" s="185"/>
      <c r="K32" s="16">
        <f t="shared" si="4"/>
        <v>0</v>
      </c>
      <c r="L32" s="44" t="str">
        <f>IF(AND(COUNTBLANK(D$18:$D31)=0,COUNTBLANK(G$18:$G31)=0),$L$16&amp;$L$15,"дозаполнить")</f>
        <v>дозаполнить</v>
      </c>
      <c r="M32" s="25">
        <f t="shared" si="5"/>
        <v>0</v>
      </c>
      <c r="N32" s="25">
        <f t="shared" si="6"/>
        <v>0</v>
      </c>
      <c r="O32" s="101">
        <f t="shared" si="7"/>
        <v>0</v>
      </c>
    </row>
    <row r="33" spans="1:15" ht="12.75" x14ac:dyDescent="0.2">
      <c r="A33" s="187"/>
      <c r="B33" s="42" t="str">
        <f ca="1">IF(A33="","",MAX($B$16:OFFSET(A33,-1,0))+1)</f>
        <v/>
      </c>
      <c r="C33" s="120"/>
      <c r="D33" s="184"/>
      <c r="E33" s="15"/>
      <c r="F33" s="15"/>
      <c r="G33" s="184"/>
      <c r="H33" s="15"/>
      <c r="I33" s="15"/>
      <c r="J33" s="185"/>
      <c r="K33" s="16">
        <f t="shared" si="4"/>
        <v>0</v>
      </c>
      <c r="L33" s="44" t="str">
        <f>IF(AND(COUNTBLANK(D$18:$D32)=0,COUNTBLANK(G$18:$G32)=0),$L$16&amp;$L$15,"дозаполнить")</f>
        <v>дозаполнить</v>
      </c>
      <c r="M33" s="25">
        <f t="shared" si="5"/>
        <v>0</v>
      </c>
      <c r="N33" s="25">
        <f t="shared" si="6"/>
        <v>0</v>
      </c>
      <c r="O33" s="101">
        <f t="shared" si="7"/>
        <v>0</v>
      </c>
    </row>
    <row r="34" spans="1:15" ht="12.75" x14ac:dyDescent="0.2">
      <c r="A34" s="187"/>
      <c r="B34" s="42" t="str">
        <f ca="1">IF(A34="","",MAX($B$16:OFFSET(A34,-1,0))+1)</f>
        <v/>
      </c>
      <c r="C34" s="120"/>
      <c r="D34" s="184"/>
      <c r="E34" s="15"/>
      <c r="F34" s="15"/>
      <c r="G34" s="184"/>
      <c r="H34" s="15"/>
      <c r="I34" s="15"/>
      <c r="J34" s="185"/>
      <c r="K34" s="16">
        <f t="shared" si="4"/>
        <v>0</v>
      </c>
      <c r="L34" s="44" t="str">
        <f>IF(AND(COUNTBLANK(D$18:$D33)=0,COUNTBLANK(G$18:$G33)=0),$L$16&amp;$L$15,"дозаполнить")</f>
        <v>дозаполнить</v>
      </c>
      <c r="M34" s="25">
        <f t="shared" si="5"/>
        <v>0</v>
      </c>
      <c r="N34" s="25">
        <f t="shared" si="6"/>
        <v>0</v>
      </c>
      <c r="O34" s="101">
        <f t="shared" si="7"/>
        <v>0</v>
      </c>
    </row>
    <row r="35" spans="1:15" ht="12.75" x14ac:dyDescent="0.2">
      <c r="A35" s="187"/>
      <c r="B35" s="42" t="str">
        <f ca="1">IF(A35="","",MAX($B$16:OFFSET(A35,-1,0))+1)</f>
        <v/>
      </c>
      <c r="C35" s="120"/>
      <c r="D35" s="184"/>
      <c r="E35" s="15"/>
      <c r="F35" s="15"/>
      <c r="G35" s="184"/>
      <c r="H35" s="15"/>
      <c r="I35" s="15"/>
      <c r="J35" s="185"/>
      <c r="K35" s="16">
        <f t="shared" si="4"/>
        <v>0</v>
      </c>
      <c r="L35" s="44" t="str">
        <f>IF(AND(COUNTBLANK(D$18:$D34)=0,COUNTBLANK(G$18:$G34)=0),$L$16&amp;$L$15,"дозаполнить")</f>
        <v>дозаполнить</v>
      </c>
      <c r="M35" s="25">
        <f t="shared" si="5"/>
        <v>0</v>
      </c>
      <c r="N35" s="25">
        <f t="shared" si="6"/>
        <v>0</v>
      </c>
      <c r="O35" s="101">
        <f t="shared" si="7"/>
        <v>0</v>
      </c>
    </row>
    <row r="36" spans="1:15" ht="12.75" x14ac:dyDescent="0.2">
      <c r="A36" s="187"/>
      <c r="B36" s="42" t="str">
        <f ca="1">IF(A36="","",MAX($B$16:OFFSET(A36,-1,0))+1)</f>
        <v/>
      </c>
      <c r="C36" s="120"/>
      <c r="D36" s="184"/>
      <c r="E36" s="15"/>
      <c r="F36" s="15"/>
      <c r="G36" s="184"/>
      <c r="H36" s="15"/>
      <c r="I36" s="15"/>
      <c r="J36" s="185"/>
      <c r="K36" s="16">
        <f t="shared" si="4"/>
        <v>0</v>
      </c>
      <c r="L36" s="44" t="str">
        <f>IF(AND(COUNTBLANK(D$18:$D35)=0,COUNTBLANK(G$18:$G35)=0),$L$16&amp;$L$15,"дозаполнить")</f>
        <v>дозаполнить</v>
      </c>
      <c r="M36" s="25">
        <f t="shared" si="5"/>
        <v>0</v>
      </c>
      <c r="N36" s="25">
        <f t="shared" si="6"/>
        <v>0</v>
      </c>
      <c r="O36" s="101">
        <f t="shared" si="7"/>
        <v>0</v>
      </c>
    </row>
    <row r="37" spans="1:15" ht="12.75" x14ac:dyDescent="0.2">
      <c r="A37" s="187"/>
      <c r="B37" s="42" t="str">
        <f ca="1">IF(A37="","",MAX($B$16:OFFSET(A37,-1,0))+1)</f>
        <v/>
      </c>
      <c r="C37" s="120"/>
      <c r="D37" s="184"/>
      <c r="E37" s="15"/>
      <c r="F37" s="15"/>
      <c r="G37" s="184"/>
      <c r="H37" s="15"/>
      <c r="I37" s="15"/>
      <c r="J37" s="185"/>
      <c r="K37" s="16">
        <f t="shared" si="4"/>
        <v>0</v>
      </c>
      <c r="L37" s="44" t="str">
        <f>IF(AND(COUNTBLANK(D$18:$D36)=0,COUNTBLANK(G$18:$G36)=0),$L$16&amp;$L$15,"дозаполнить")</f>
        <v>дозаполнить</v>
      </c>
      <c r="M37" s="25">
        <f t="shared" si="5"/>
        <v>0</v>
      </c>
      <c r="N37" s="25">
        <f t="shared" si="6"/>
        <v>0</v>
      </c>
      <c r="O37" s="101">
        <f t="shared" si="7"/>
        <v>0</v>
      </c>
    </row>
    <row r="38" spans="1:15" ht="12.75" x14ac:dyDescent="0.2">
      <c r="A38" s="187"/>
      <c r="B38" s="42" t="str">
        <f ca="1">IF(A38="","",MAX($B$16:OFFSET(A38,-1,0))+1)</f>
        <v/>
      </c>
      <c r="C38" s="120"/>
      <c r="D38" s="184"/>
      <c r="E38" s="15"/>
      <c r="F38" s="15"/>
      <c r="G38" s="184"/>
      <c r="H38" s="15"/>
      <c r="I38" s="15"/>
      <c r="J38" s="185"/>
      <c r="K38" s="16">
        <f t="shared" si="4"/>
        <v>0</v>
      </c>
      <c r="L38" s="44" t="str">
        <f>IF(AND(COUNTBLANK(D$18:$D37)=0,COUNTBLANK(G$18:$G37)=0),$L$16&amp;$L$15,"дозаполнить")</f>
        <v>дозаполнить</v>
      </c>
      <c r="M38" s="25">
        <f t="shared" si="5"/>
        <v>0</v>
      </c>
      <c r="N38" s="25">
        <f t="shared" si="6"/>
        <v>0</v>
      </c>
      <c r="O38" s="101">
        <f t="shared" si="7"/>
        <v>0</v>
      </c>
    </row>
    <row r="39" spans="1:15" ht="12.75" x14ac:dyDescent="0.2">
      <c r="A39" s="187"/>
      <c r="B39" s="42" t="str">
        <f ca="1">IF(A39="","",MAX($B$16:OFFSET(A39,-1,0))+1)</f>
        <v/>
      </c>
      <c r="C39" s="120"/>
      <c r="D39" s="184"/>
      <c r="E39" s="15"/>
      <c r="F39" s="15"/>
      <c r="G39" s="184"/>
      <c r="H39" s="15"/>
      <c r="I39" s="15"/>
      <c r="J39" s="185"/>
      <c r="K39" s="16">
        <f t="shared" si="4"/>
        <v>0</v>
      </c>
      <c r="L39" s="44" t="str">
        <f>IF(AND(COUNTBLANK(D$18:$D38)=0,COUNTBLANK(G$18:$G38)=0),$L$16&amp;$L$15,"дозаполнить")</f>
        <v>дозаполнить</v>
      </c>
      <c r="M39" s="25">
        <f t="shared" si="5"/>
        <v>0</v>
      </c>
      <c r="N39" s="25">
        <f t="shared" si="6"/>
        <v>0</v>
      </c>
      <c r="O39" s="101">
        <f t="shared" si="7"/>
        <v>0</v>
      </c>
    </row>
    <row r="40" spans="1:15" ht="12.75" x14ac:dyDescent="0.2">
      <c r="A40" s="187"/>
      <c r="B40" s="42" t="str">
        <f ca="1">IF(A40="","",MAX($B$16:OFFSET(A40,-1,0))+1)</f>
        <v/>
      </c>
      <c r="C40" s="120"/>
      <c r="D40" s="184"/>
      <c r="E40" s="15"/>
      <c r="F40" s="15"/>
      <c r="G40" s="184"/>
      <c r="H40" s="15"/>
      <c r="I40" s="15"/>
      <c r="J40" s="185"/>
      <c r="K40" s="16">
        <f t="shared" si="4"/>
        <v>0</v>
      </c>
      <c r="L40" s="44" t="str">
        <f>IF(AND(COUNTBLANK(D$18:$D39)=0,COUNTBLANK(G$18:$G39)=0),$L$16&amp;$L$15,"дозаполнить")</f>
        <v>дозаполнить</v>
      </c>
      <c r="M40" s="25">
        <f t="shared" si="5"/>
        <v>0</v>
      </c>
      <c r="N40" s="25">
        <f t="shared" si="6"/>
        <v>0</v>
      </c>
      <c r="O40" s="101">
        <f t="shared" si="7"/>
        <v>0</v>
      </c>
    </row>
    <row r="41" spans="1:15" ht="12.75" x14ac:dyDescent="0.2">
      <c r="A41" s="187"/>
      <c r="B41" s="42" t="str">
        <f ca="1">IF(A41="","",MAX($B$16:OFFSET(A41,-1,0))+1)</f>
        <v/>
      </c>
      <c r="C41" s="120"/>
      <c r="D41" s="184"/>
      <c r="E41" s="15"/>
      <c r="F41" s="15"/>
      <c r="G41" s="184"/>
      <c r="H41" s="15"/>
      <c r="I41" s="15"/>
      <c r="J41" s="185"/>
      <c r="K41" s="16">
        <f t="shared" si="4"/>
        <v>0</v>
      </c>
      <c r="L41" s="44" t="str">
        <f>IF(AND(COUNTBLANK(D$18:$D40)=0,COUNTBLANK(G$18:$G40)=0),$L$16&amp;$L$15,"дозаполнить")</f>
        <v>дозаполнить</v>
      </c>
      <c r="M41" s="25">
        <f t="shared" si="5"/>
        <v>0</v>
      </c>
      <c r="N41" s="25">
        <f t="shared" si="6"/>
        <v>0</v>
      </c>
      <c r="O41" s="101">
        <f t="shared" si="7"/>
        <v>0</v>
      </c>
    </row>
    <row r="42" spans="1:15" ht="12.75" x14ac:dyDescent="0.2">
      <c r="A42" s="187"/>
      <c r="B42" s="42" t="str">
        <f ca="1">IF(A42="","",MAX($B$16:OFFSET(A42,-1,0))+1)</f>
        <v/>
      </c>
      <c r="C42" s="120"/>
      <c r="D42" s="184"/>
      <c r="E42" s="15"/>
      <c r="F42" s="15"/>
      <c r="G42" s="184"/>
      <c r="H42" s="15"/>
      <c r="I42" s="15"/>
      <c r="J42" s="185"/>
      <c r="K42" s="16">
        <f t="shared" si="4"/>
        <v>0</v>
      </c>
      <c r="L42" s="44" t="str">
        <f>IF(AND(COUNTBLANK(D$18:$D41)=0,COUNTBLANK(G$18:$G41)=0),$L$16&amp;$L$15,"дозаполнить")</f>
        <v>дозаполнить</v>
      </c>
      <c r="M42" s="25">
        <f t="shared" si="5"/>
        <v>0</v>
      </c>
      <c r="N42" s="25">
        <f t="shared" si="6"/>
        <v>0</v>
      </c>
      <c r="O42" s="101">
        <f t="shared" si="7"/>
        <v>0</v>
      </c>
    </row>
    <row r="43" spans="1:15" ht="12.75" x14ac:dyDescent="0.2">
      <c r="A43" s="187"/>
      <c r="B43" s="42" t="str">
        <f ca="1">IF(A43="","",MAX($B$16:OFFSET(A43,-1,0))+1)</f>
        <v/>
      </c>
      <c r="C43" s="120"/>
      <c r="D43" s="184"/>
      <c r="E43" s="15"/>
      <c r="F43" s="15"/>
      <c r="G43" s="184"/>
      <c r="H43" s="15"/>
      <c r="I43" s="15"/>
      <c r="J43" s="185"/>
      <c r="K43" s="16">
        <f t="shared" si="4"/>
        <v>0</v>
      </c>
      <c r="L43" s="44" t="str">
        <f>IF(AND(COUNTBLANK(D$18:$D42)=0,COUNTBLANK(G$18:$G42)=0),$L$16&amp;$L$15,"дозаполнить")</f>
        <v>дозаполнить</v>
      </c>
      <c r="M43" s="25">
        <f t="shared" si="5"/>
        <v>0</v>
      </c>
      <c r="N43" s="25">
        <f t="shared" si="6"/>
        <v>0</v>
      </c>
      <c r="O43" s="101">
        <f t="shared" si="7"/>
        <v>0</v>
      </c>
    </row>
    <row r="44" spans="1:15" ht="12.75" x14ac:dyDescent="0.2">
      <c r="A44" s="187"/>
      <c r="B44" s="42" t="str">
        <f ca="1">IF(A44="","",MAX($B$16:OFFSET(A44,-1,0))+1)</f>
        <v/>
      </c>
      <c r="C44" s="120"/>
      <c r="D44" s="184"/>
      <c r="E44" s="15"/>
      <c r="F44" s="15"/>
      <c r="G44" s="184"/>
      <c r="H44" s="15"/>
      <c r="I44" s="15"/>
      <c r="J44" s="185"/>
      <c r="K44" s="16">
        <f t="shared" si="4"/>
        <v>0</v>
      </c>
      <c r="L44" s="44" t="str">
        <f>IF(AND(COUNTBLANK(D$18:$D43)=0,COUNTBLANK(G$18:$G43)=0),$L$16&amp;$L$15,"дозаполнить")</f>
        <v>дозаполнить</v>
      </c>
      <c r="M44" s="25">
        <f t="shared" si="5"/>
        <v>0</v>
      </c>
      <c r="N44" s="25">
        <f t="shared" si="6"/>
        <v>0</v>
      </c>
      <c r="O44" s="101">
        <f t="shared" si="7"/>
        <v>0</v>
      </c>
    </row>
    <row r="45" spans="1:15" ht="12.75" x14ac:dyDescent="0.2">
      <c r="A45" s="187"/>
      <c r="B45" s="42" t="str">
        <f ca="1">IF(A45="","",MAX($B$16:OFFSET(A45,-1,0))+1)</f>
        <v/>
      </c>
      <c r="C45" s="120"/>
      <c r="D45" s="184"/>
      <c r="E45" s="15"/>
      <c r="F45" s="15"/>
      <c r="G45" s="184"/>
      <c r="H45" s="15"/>
      <c r="I45" s="15"/>
      <c r="J45" s="185"/>
      <c r="K45" s="16">
        <f t="shared" si="4"/>
        <v>0</v>
      </c>
      <c r="L45" s="44" t="str">
        <f>IF(AND(COUNTBLANK(D$18:$D44)=0,COUNTBLANK(G$18:$G44)=0),$L$16&amp;$L$15,"дозаполнить")</f>
        <v>дозаполнить</v>
      </c>
      <c r="M45" s="25">
        <f t="shared" si="5"/>
        <v>0</v>
      </c>
      <c r="N45" s="25">
        <f t="shared" si="6"/>
        <v>0</v>
      </c>
      <c r="O45" s="101">
        <f t="shared" si="7"/>
        <v>0</v>
      </c>
    </row>
    <row r="46" spans="1:15" ht="12.75" x14ac:dyDescent="0.2">
      <c r="A46" s="187"/>
      <c r="B46" s="42" t="str">
        <f ca="1">IF(A46="","",MAX($B$16:OFFSET(A46,-1,0))+1)</f>
        <v/>
      </c>
      <c r="C46" s="120"/>
      <c r="D46" s="184"/>
      <c r="E46" s="15"/>
      <c r="F46" s="15"/>
      <c r="G46" s="184"/>
      <c r="H46" s="15"/>
      <c r="I46" s="15"/>
      <c r="J46" s="185"/>
      <c r="K46" s="16">
        <f t="shared" si="4"/>
        <v>0</v>
      </c>
      <c r="L46" s="44" t="str">
        <f>IF(AND(COUNTBLANK(D$18:$D45)=0,COUNTBLANK(G$18:$G45)=0),$L$16&amp;$L$15,"дозаполнить")</f>
        <v>дозаполнить</v>
      </c>
      <c r="M46" s="25">
        <f t="shared" si="5"/>
        <v>0</v>
      </c>
      <c r="N46" s="25">
        <f t="shared" si="6"/>
        <v>0</v>
      </c>
      <c r="O46" s="101">
        <f t="shared" si="7"/>
        <v>0</v>
      </c>
    </row>
    <row r="47" spans="1:15" ht="12.75" x14ac:dyDescent="0.2">
      <c r="A47" s="187"/>
      <c r="B47" s="42" t="str">
        <f ca="1">IF(A47="","",MAX($B$16:OFFSET(A47,-1,0))+1)</f>
        <v/>
      </c>
      <c r="C47" s="120"/>
      <c r="D47" s="184"/>
      <c r="E47" s="15"/>
      <c r="F47" s="15"/>
      <c r="G47" s="184"/>
      <c r="H47" s="15"/>
      <c r="I47" s="15"/>
      <c r="J47" s="185"/>
      <c r="K47" s="16">
        <f t="shared" si="4"/>
        <v>0</v>
      </c>
      <c r="L47" s="44" t="str">
        <f>IF(AND(COUNTBLANK(D$18:$D46)=0,COUNTBLANK(G$18:$G46)=0),$L$16&amp;$L$15,"дозаполнить")</f>
        <v>дозаполнить</v>
      </c>
      <c r="M47" s="25">
        <f t="shared" si="5"/>
        <v>0</v>
      </c>
      <c r="N47" s="25">
        <f t="shared" si="6"/>
        <v>0</v>
      </c>
      <c r="O47" s="101">
        <f t="shared" si="7"/>
        <v>0</v>
      </c>
    </row>
    <row r="48" spans="1:15" ht="12.75" x14ac:dyDescent="0.2">
      <c r="A48" s="187"/>
      <c r="B48" s="42" t="str">
        <f ca="1">IF(A48="","",MAX($B$16:OFFSET(A48,-1,0))+1)</f>
        <v/>
      </c>
      <c r="C48" s="120"/>
      <c r="D48" s="184"/>
      <c r="E48" s="15"/>
      <c r="F48" s="15"/>
      <c r="G48" s="184"/>
      <c r="H48" s="15"/>
      <c r="I48" s="15"/>
      <c r="J48" s="185"/>
      <c r="K48" s="16">
        <f t="shared" si="4"/>
        <v>0</v>
      </c>
      <c r="L48" s="44" t="str">
        <f>IF(AND(COUNTBLANK(D$18:$D47)=0,COUNTBLANK(G$18:$G47)=0),$L$16&amp;$L$15,"дозаполнить")</f>
        <v>дозаполнить</v>
      </c>
      <c r="M48" s="25">
        <f t="shared" si="5"/>
        <v>0</v>
      </c>
      <c r="N48" s="25">
        <f t="shared" si="6"/>
        <v>0</v>
      </c>
      <c r="O48" s="101">
        <f t="shared" si="7"/>
        <v>0</v>
      </c>
    </row>
    <row r="49" spans="1:15" ht="12.75" x14ac:dyDescent="0.2">
      <c r="A49" s="187"/>
      <c r="B49" s="42" t="str">
        <f ca="1">IF(A49="","",MAX($B$16:OFFSET(A49,-1,0))+1)</f>
        <v/>
      </c>
      <c r="C49" s="120"/>
      <c r="D49" s="184"/>
      <c r="E49" s="15"/>
      <c r="F49" s="15"/>
      <c r="G49" s="184"/>
      <c r="H49" s="15"/>
      <c r="I49" s="15"/>
      <c r="J49" s="185"/>
      <c r="K49" s="16">
        <f t="shared" si="4"/>
        <v>0</v>
      </c>
      <c r="L49" s="44" t="str">
        <f>IF(AND(COUNTBLANK(D$18:$D48)=0,COUNTBLANK(G$18:$G48)=0),$L$16&amp;$L$15,"дозаполнить")</f>
        <v>дозаполнить</v>
      </c>
      <c r="M49" s="25">
        <f t="shared" si="5"/>
        <v>0</v>
      </c>
      <c r="N49" s="25">
        <f t="shared" si="6"/>
        <v>0</v>
      </c>
      <c r="O49" s="101">
        <f t="shared" si="7"/>
        <v>0</v>
      </c>
    </row>
    <row r="50" spans="1:15" ht="12.75" x14ac:dyDescent="0.2">
      <c r="A50" s="187"/>
      <c r="B50" s="42" t="str">
        <f ca="1">IF(A50="","",MAX($B$16:OFFSET(A50,-1,0))+1)</f>
        <v/>
      </c>
      <c r="C50" s="120"/>
      <c r="D50" s="184"/>
      <c r="E50" s="15"/>
      <c r="F50" s="15"/>
      <c r="G50" s="184"/>
      <c r="H50" s="15"/>
      <c r="I50" s="15"/>
      <c r="J50" s="185"/>
      <c r="K50" s="16">
        <f t="shared" si="4"/>
        <v>0</v>
      </c>
      <c r="L50" s="44" t="str">
        <f>IF(AND(COUNTBLANK(D$18:$D49)=0,COUNTBLANK(G$18:$G49)=0),$L$16&amp;$L$15,"дозаполнить")</f>
        <v>дозаполнить</v>
      </c>
      <c r="M50" s="25">
        <f t="shared" si="5"/>
        <v>0</v>
      </c>
      <c r="N50" s="25">
        <f t="shared" si="6"/>
        <v>0</v>
      </c>
      <c r="O50" s="101">
        <f t="shared" si="7"/>
        <v>0</v>
      </c>
    </row>
    <row r="51" spans="1:15" ht="12.75" x14ac:dyDescent="0.2">
      <c r="A51" s="187"/>
      <c r="B51" s="42" t="str">
        <f ca="1">IF(A51="","",MAX($B$16:OFFSET(A51,-1,0))+1)</f>
        <v/>
      </c>
      <c r="C51" s="120"/>
      <c r="D51" s="184"/>
      <c r="E51" s="15"/>
      <c r="F51" s="15"/>
      <c r="G51" s="184"/>
      <c r="H51" s="15"/>
      <c r="I51" s="15"/>
      <c r="J51" s="185"/>
      <c r="K51" s="16">
        <f t="shared" si="4"/>
        <v>0</v>
      </c>
      <c r="L51" s="44" t="str">
        <f>IF(AND(COUNTBLANK(D$18:$D50)=0,COUNTBLANK(G$18:$G50)=0),$L$16&amp;$L$15,"дозаполнить")</f>
        <v>дозаполнить</v>
      </c>
      <c r="M51" s="25">
        <f t="shared" si="5"/>
        <v>0</v>
      </c>
      <c r="N51" s="25">
        <f t="shared" si="6"/>
        <v>0</v>
      </c>
      <c r="O51" s="101">
        <f t="shared" si="7"/>
        <v>0</v>
      </c>
    </row>
    <row r="52" spans="1:15" ht="12.75" x14ac:dyDescent="0.2">
      <c r="A52" s="187"/>
      <c r="B52" s="42" t="str">
        <f ca="1">IF(A52="","",MAX($B$16:OFFSET(A52,-1,0))+1)</f>
        <v/>
      </c>
      <c r="C52" s="120"/>
      <c r="D52" s="184"/>
      <c r="E52" s="15"/>
      <c r="F52" s="15"/>
      <c r="G52" s="184"/>
      <c r="H52" s="15"/>
      <c r="I52" s="15"/>
      <c r="J52" s="185"/>
      <c r="K52" s="16">
        <f t="shared" si="4"/>
        <v>0</v>
      </c>
      <c r="L52" s="44" t="str">
        <f>IF(AND(COUNTBLANK(D$18:$D51)=0,COUNTBLANK(G$18:$G51)=0),$L$16&amp;$L$15,"дозаполнить")</f>
        <v>дозаполнить</v>
      </c>
      <c r="M52" s="25">
        <f t="shared" si="5"/>
        <v>0</v>
      </c>
      <c r="N52" s="25">
        <f t="shared" si="6"/>
        <v>0</v>
      </c>
      <c r="O52" s="101">
        <f t="shared" si="7"/>
        <v>0</v>
      </c>
    </row>
    <row r="53" spans="1:15" ht="12.75" x14ac:dyDescent="0.2">
      <c r="A53" s="187"/>
      <c r="B53" s="42" t="str">
        <f ca="1">IF(A53="","",MAX($B$16:OFFSET(A53,-1,0))+1)</f>
        <v/>
      </c>
      <c r="C53" s="120"/>
      <c r="D53" s="184"/>
      <c r="E53" s="15"/>
      <c r="F53" s="15"/>
      <c r="G53" s="184"/>
      <c r="H53" s="15"/>
      <c r="I53" s="15"/>
      <c r="J53" s="185"/>
      <c r="K53" s="16">
        <f t="shared" si="4"/>
        <v>0</v>
      </c>
      <c r="L53" s="44" t="str">
        <f>IF(AND(COUNTBLANK(D$18:$D52)=0,COUNTBLANK(G$18:$G52)=0),$L$16&amp;$L$15,"дозаполнить")</f>
        <v>дозаполнить</v>
      </c>
      <c r="M53" s="25">
        <f t="shared" si="5"/>
        <v>0</v>
      </c>
      <c r="N53" s="25">
        <f t="shared" si="6"/>
        <v>0</v>
      </c>
      <c r="O53" s="101">
        <f t="shared" si="7"/>
        <v>0</v>
      </c>
    </row>
    <row r="54" spans="1:15" ht="12.75" x14ac:dyDescent="0.2">
      <c r="A54" s="187"/>
      <c r="B54" s="42" t="str">
        <f ca="1">IF(A54="","",MAX($B$16:OFFSET(A54,-1,0))+1)</f>
        <v/>
      </c>
      <c r="C54" s="120"/>
      <c r="D54" s="184"/>
      <c r="E54" s="15"/>
      <c r="F54" s="15"/>
      <c r="G54" s="184"/>
      <c r="H54" s="15"/>
      <c r="I54" s="15"/>
      <c r="J54" s="185"/>
      <c r="K54" s="16">
        <f t="shared" si="4"/>
        <v>0</v>
      </c>
      <c r="L54" s="44" t="str">
        <f>IF(AND(COUNTBLANK(D$18:$D53)=0,COUNTBLANK(G$18:$G53)=0),$L$16&amp;$L$15,"дозаполнить")</f>
        <v>дозаполнить</v>
      </c>
      <c r="M54" s="25">
        <f t="shared" si="5"/>
        <v>0</v>
      </c>
      <c r="N54" s="25">
        <f t="shared" si="6"/>
        <v>0</v>
      </c>
      <c r="O54" s="101">
        <f t="shared" si="7"/>
        <v>0</v>
      </c>
    </row>
    <row r="55" spans="1:15" ht="12.75" x14ac:dyDescent="0.2">
      <c r="A55" s="187"/>
      <c r="B55" s="42" t="str">
        <f ca="1">IF(A55="","",MAX($B$16:OFFSET(A55,-1,0))+1)</f>
        <v/>
      </c>
      <c r="C55" s="120"/>
      <c r="D55" s="184"/>
      <c r="E55" s="15"/>
      <c r="F55" s="15"/>
      <c r="G55" s="184"/>
      <c r="H55" s="15"/>
      <c r="I55" s="15"/>
      <c r="J55" s="185"/>
      <c r="K55" s="16">
        <f t="shared" si="4"/>
        <v>0</v>
      </c>
      <c r="L55" s="44" t="str">
        <f>IF(AND(COUNTBLANK(D$18:$D54)=0,COUNTBLANK(G$18:$G54)=0),$L$16&amp;$L$15,"дозаполнить")</f>
        <v>дозаполнить</v>
      </c>
      <c r="M55" s="25">
        <f t="shared" si="5"/>
        <v>0</v>
      </c>
      <c r="N55" s="25">
        <f t="shared" si="6"/>
        <v>0</v>
      </c>
      <c r="O55" s="101">
        <f t="shared" si="7"/>
        <v>0</v>
      </c>
    </row>
    <row r="56" spans="1:15" ht="12.75" x14ac:dyDescent="0.2">
      <c r="A56" s="187"/>
      <c r="B56" s="42" t="str">
        <f ca="1">IF(A56="","",MAX($B$16:OFFSET(A56,-1,0))+1)</f>
        <v/>
      </c>
      <c r="C56" s="120"/>
      <c r="D56" s="184"/>
      <c r="E56" s="15"/>
      <c r="F56" s="15"/>
      <c r="G56" s="184"/>
      <c r="H56" s="15"/>
      <c r="I56" s="15"/>
      <c r="J56" s="185"/>
      <c r="K56" s="16">
        <f t="shared" si="4"/>
        <v>0</v>
      </c>
      <c r="L56" s="44" t="str">
        <f>IF(AND(COUNTBLANK(D$18:$D55)=0,COUNTBLANK(G$18:$G55)=0),$L$16&amp;$L$15,"дозаполнить")</f>
        <v>дозаполнить</v>
      </c>
      <c r="M56" s="25">
        <f t="shared" si="5"/>
        <v>0</v>
      </c>
      <c r="N56" s="25">
        <f t="shared" si="6"/>
        <v>0</v>
      </c>
      <c r="O56" s="101">
        <f t="shared" si="7"/>
        <v>0</v>
      </c>
    </row>
    <row r="57" spans="1:15" ht="12.75" x14ac:dyDescent="0.2">
      <c r="A57" s="187"/>
      <c r="B57" s="42" t="str">
        <f ca="1">IF(A57="","",MAX($B$16:OFFSET(A57,-1,0))+1)</f>
        <v/>
      </c>
      <c r="C57" s="120"/>
      <c r="D57" s="184"/>
      <c r="E57" s="15"/>
      <c r="F57" s="15"/>
      <c r="G57" s="184"/>
      <c r="H57" s="15"/>
      <c r="I57" s="15"/>
      <c r="J57" s="185"/>
      <c r="K57" s="16">
        <f t="shared" si="4"/>
        <v>0</v>
      </c>
      <c r="L57" s="44" t="str">
        <f>IF(AND(COUNTBLANK(D$18:$D56)=0,COUNTBLANK(G$18:$G56)=0),$L$16&amp;$L$15,"дозаполнить")</f>
        <v>дозаполнить</v>
      </c>
      <c r="M57" s="25">
        <f t="shared" si="5"/>
        <v>0</v>
      </c>
      <c r="N57" s="25">
        <f t="shared" si="6"/>
        <v>0</v>
      </c>
      <c r="O57" s="101">
        <f t="shared" si="7"/>
        <v>0</v>
      </c>
    </row>
    <row r="58" spans="1:15" ht="12.75" x14ac:dyDescent="0.2">
      <c r="A58" s="187"/>
      <c r="B58" s="42" t="str">
        <f ca="1">IF(A58="","",MAX($B$16:OFFSET(A58,-1,0))+1)</f>
        <v/>
      </c>
      <c r="C58" s="120"/>
      <c r="D58" s="184"/>
      <c r="E58" s="15"/>
      <c r="F58" s="15"/>
      <c r="G58" s="184"/>
      <c r="H58" s="15"/>
      <c r="I58" s="15"/>
      <c r="J58" s="185"/>
      <c r="K58" s="16">
        <f t="shared" si="4"/>
        <v>0</v>
      </c>
      <c r="L58" s="44" t="str">
        <f>IF(AND(COUNTBLANK(D$18:$D57)=0,COUNTBLANK(G$18:$G57)=0),$L$16&amp;$L$15,"дозаполнить")</f>
        <v>дозаполнить</v>
      </c>
      <c r="M58" s="25">
        <f t="shared" si="5"/>
        <v>0</v>
      </c>
      <c r="N58" s="25">
        <f t="shared" si="6"/>
        <v>0</v>
      </c>
      <c r="O58" s="101">
        <f t="shared" si="7"/>
        <v>0</v>
      </c>
    </row>
    <row r="59" spans="1:15" ht="12.75" x14ac:dyDescent="0.2">
      <c r="A59" s="187"/>
      <c r="B59" s="42" t="str">
        <f ca="1">IF(A59="","",MAX($B$16:OFFSET(A59,-1,0))+1)</f>
        <v/>
      </c>
      <c r="C59" s="120"/>
      <c r="D59" s="184"/>
      <c r="E59" s="15"/>
      <c r="F59" s="15"/>
      <c r="G59" s="184"/>
      <c r="H59" s="15"/>
      <c r="I59" s="15"/>
      <c r="J59" s="185"/>
      <c r="K59" s="16">
        <f t="shared" si="4"/>
        <v>0</v>
      </c>
      <c r="L59" s="44" t="str">
        <f>IF(AND(COUNTBLANK(D$18:$D58)=0,COUNTBLANK(G$18:$G58)=0),$L$16&amp;$L$15,"дозаполнить")</f>
        <v>дозаполнить</v>
      </c>
      <c r="M59" s="25">
        <f t="shared" si="5"/>
        <v>0</v>
      </c>
      <c r="N59" s="25">
        <f t="shared" si="6"/>
        <v>0</v>
      </c>
      <c r="O59" s="101">
        <f t="shared" si="7"/>
        <v>0</v>
      </c>
    </row>
    <row r="60" spans="1:15" ht="12.75" x14ac:dyDescent="0.2">
      <c r="A60" s="187"/>
      <c r="B60" s="42" t="str">
        <f ca="1">IF(A60="","",MAX($B$16:OFFSET(A60,-1,0))+1)</f>
        <v/>
      </c>
      <c r="C60" s="120"/>
      <c r="D60" s="184"/>
      <c r="E60" s="15"/>
      <c r="F60" s="15"/>
      <c r="G60" s="184"/>
      <c r="H60" s="15"/>
      <c r="I60" s="15"/>
      <c r="J60" s="185"/>
      <c r="K60" s="16">
        <f t="shared" si="4"/>
        <v>0</v>
      </c>
      <c r="L60" s="44" t="str">
        <f>IF(AND(COUNTBLANK(D$18:$D59)=0,COUNTBLANK(G$18:$G59)=0),$L$16&amp;$L$15,"дозаполнить")</f>
        <v>дозаполнить</v>
      </c>
      <c r="M60" s="25">
        <f t="shared" si="5"/>
        <v>0</v>
      </c>
      <c r="N60" s="25">
        <f t="shared" si="6"/>
        <v>0</v>
      </c>
      <c r="O60" s="101">
        <f t="shared" si="7"/>
        <v>0</v>
      </c>
    </row>
    <row r="61" spans="1:15" ht="12.75" x14ac:dyDescent="0.2">
      <c r="A61" s="187"/>
      <c r="B61" s="42" t="str">
        <f ca="1">IF(A61="","",MAX($B$16:OFFSET(A61,-1,0))+1)</f>
        <v/>
      </c>
      <c r="C61" s="120"/>
      <c r="D61" s="184"/>
      <c r="E61" s="15"/>
      <c r="F61" s="15"/>
      <c r="G61" s="184"/>
      <c r="H61" s="15"/>
      <c r="I61" s="15"/>
      <c r="J61" s="185"/>
      <c r="K61" s="16">
        <f t="shared" si="4"/>
        <v>0</v>
      </c>
      <c r="L61" s="44" t="str">
        <f>IF(AND(COUNTBLANK(D$18:$D60)=0,COUNTBLANK(G$18:$G60)=0),$L$16&amp;$L$15,"дозаполнить")</f>
        <v>дозаполнить</v>
      </c>
      <c r="M61" s="25">
        <f t="shared" si="5"/>
        <v>0</v>
      </c>
      <c r="N61" s="25">
        <f t="shared" si="6"/>
        <v>0</v>
      </c>
      <c r="O61" s="101">
        <f t="shared" si="7"/>
        <v>0</v>
      </c>
    </row>
    <row r="62" spans="1:15" ht="12.75" x14ac:dyDescent="0.2">
      <c r="A62" s="187"/>
      <c r="B62" s="42" t="str">
        <f ca="1">IF(A62="","",MAX($B$16:OFFSET(A62,-1,0))+1)</f>
        <v/>
      </c>
      <c r="C62" s="120"/>
      <c r="D62" s="184"/>
      <c r="E62" s="15"/>
      <c r="F62" s="15"/>
      <c r="G62" s="184"/>
      <c r="H62" s="15"/>
      <c r="I62" s="15"/>
      <c r="J62" s="185"/>
      <c r="K62" s="16">
        <f t="shared" si="4"/>
        <v>0</v>
      </c>
      <c r="L62" s="44" t="str">
        <f>IF(AND(COUNTBLANK(D$18:$D61)=0,COUNTBLANK(G$18:$G61)=0),$L$16&amp;$L$15,"дозаполнить")</f>
        <v>дозаполнить</v>
      </c>
      <c r="M62" s="25">
        <f t="shared" si="5"/>
        <v>0</v>
      </c>
      <c r="N62" s="25">
        <f t="shared" si="6"/>
        <v>0</v>
      </c>
      <c r="O62" s="101">
        <f t="shared" si="7"/>
        <v>0</v>
      </c>
    </row>
    <row r="63" spans="1:15" ht="12.75" x14ac:dyDescent="0.2">
      <c r="A63" s="187"/>
      <c r="B63" s="42" t="str">
        <f ca="1">IF(A63="","",MAX($B$16:OFFSET(A63,-1,0))+1)</f>
        <v/>
      </c>
      <c r="C63" s="120"/>
      <c r="D63" s="184"/>
      <c r="E63" s="15"/>
      <c r="F63" s="15"/>
      <c r="G63" s="184"/>
      <c r="H63" s="15"/>
      <c r="I63" s="15"/>
      <c r="J63" s="185"/>
      <c r="K63" s="16">
        <f t="shared" si="4"/>
        <v>0</v>
      </c>
      <c r="L63" s="44" t="str">
        <f>IF(AND(COUNTBLANK(D$18:$D62)=0,COUNTBLANK(G$18:$G62)=0),$L$16&amp;$L$15,"дозаполнить")</f>
        <v>дозаполнить</v>
      </c>
      <c r="M63" s="25">
        <f t="shared" si="5"/>
        <v>0</v>
      </c>
      <c r="N63" s="25">
        <f t="shared" si="6"/>
        <v>0</v>
      </c>
      <c r="O63" s="101">
        <f t="shared" si="7"/>
        <v>0</v>
      </c>
    </row>
    <row r="64" spans="1:15" ht="12.75" x14ac:dyDescent="0.2">
      <c r="A64" s="187"/>
      <c r="B64" s="42" t="str">
        <f ca="1">IF(A64="","",MAX($B$16:OFFSET(A64,-1,0))+1)</f>
        <v/>
      </c>
      <c r="C64" s="120"/>
      <c r="D64" s="184"/>
      <c r="E64" s="15"/>
      <c r="F64" s="15"/>
      <c r="G64" s="184"/>
      <c r="H64" s="15"/>
      <c r="I64" s="15"/>
      <c r="J64" s="185"/>
      <c r="K64" s="16">
        <f t="shared" si="4"/>
        <v>0</v>
      </c>
      <c r="L64" s="44" t="str">
        <f>IF(AND(COUNTBLANK(D$18:$D63)=0,COUNTBLANK(G$18:$G63)=0),$L$16&amp;$L$15,"дозаполнить")</f>
        <v>дозаполнить</v>
      </c>
      <c r="M64" s="25">
        <f t="shared" si="5"/>
        <v>0</v>
      </c>
      <c r="N64" s="25">
        <f t="shared" si="6"/>
        <v>0</v>
      </c>
      <c r="O64" s="101">
        <f t="shared" si="7"/>
        <v>0</v>
      </c>
    </row>
    <row r="65" spans="1:15" ht="12.75" x14ac:dyDescent="0.2">
      <c r="A65" s="187"/>
      <c r="B65" s="42" t="str">
        <f ca="1">IF(A65="","",MAX($B$16:OFFSET(A65,-1,0))+1)</f>
        <v/>
      </c>
      <c r="C65" s="120"/>
      <c r="D65" s="184"/>
      <c r="E65" s="15"/>
      <c r="F65" s="15"/>
      <c r="G65" s="184"/>
      <c r="H65" s="15"/>
      <c r="I65" s="15"/>
      <c r="J65" s="185"/>
      <c r="K65" s="16">
        <f t="shared" si="4"/>
        <v>0</v>
      </c>
      <c r="L65" s="44" t="str">
        <f>IF(AND(COUNTBLANK(D$18:$D64)=0,COUNTBLANK(G$18:$G64)=0),$L$16&amp;$L$15,"дозаполнить")</f>
        <v>дозаполнить</v>
      </c>
      <c r="M65" s="25">
        <f t="shared" si="5"/>
        <v>0</v>
      </c>
      <c r="N65" s="25">
        <f t="shared" si="6"/>
        <v>0</v>
      </c>
      <c r="O65" s="101">
        <f t="shared" si="7"/>
        <v>0</v>
      </c>
    </row>
    <row r="66" spans="1:15" ht="12.75" x14ac:dyDescent="0.2">
      <c r="A66" s="187"/>
      <c r="B66" s="42" t="str">
        <f ca="1">IF(A66="","",MAX($B$16:OFFSET(A66,-1,0))+1)</f>
        <v/>
      </c>
      <c r="C66" s="120"/>
      <c r="D66" s="184"/>
      <c r="E66" s="15"/>
      <c r="F66" s="15"/>
      <c r="G66" s="184"/>
      <c r="H66" s="15"/>
      <c r="I66" s="15"/>
      <c r="J66" s="185"/>
      <c r="K66" s="16">
        <f t="shared" si="4"/>
        <v>0</v>
      </c>
      <c r="L66" s="44" t="str">
        <f>IF(AND(COUNTBLANK(D$18:$D65)=0,COUNTBLANK(G$18:$G65)=0),$L$16&amp;$L$15,"дозаполнить")</f>
        <v>дозаполнить</v>
      </c>
      <c r="M66" s="25">
        <f t="shared" si="5"/>
        <v>0</v>
      </c>
      <c r="N66" s="25">
        <f t="shared" si="6"/>
        <v>0</v>
      </c>
      <c r="O66" s="101">
        <f t="shared" si="7"/>
        <v>0</v>
      </c>
    </row>
    <row r="67" spans="1:15" ht="12.75" x14ac:dyDescent="0.2">
      <c r="A67" s="187"/>
      <c r="B67" s="42" t="str">
        <f ca="1">IF(A67="","",MAX($B$16:OFFSET(A67,-1,0))+1)</f>
        <v/>
      </c>
      <c r="C67" s="120"/>
      <c r="D67" s="184"/>
      <c r="E67" s="15"/>
      <c r="F67" s="15"/>
      <c r="G67" s="184"/>
      <c r="H67" s="15"/>
      <c r="I67" s="15"/>
      <c r="J67" s="185"/>
      <c r="K67" s="16">
        <f t="shared" si="4"/>
        <v>0</v>
      </c>
      <c r="L67" s="44" t="str">
        <f>IF(AND(COUNTBLANK(D$18:$D66)=0,COUNTBLANK(G$18:$G66)=0),$L$16&amp;$L$15,"дозаполнить")</f>
        <v>дозаполнить</v>
      </c>
      <c r="M67" s="25">
        <f t="shared" si="5"/>
        <v>0</v>
      </c>
      <c r="N67" s="25">
        <f t="shared" si="6"/>
        <v>0</v>
      </c>
      <c r="O67" s="101">
        <f t="shared" si="7"/>
        <v>0</v>
      </c>
    </row>
    <row r="68" spans="1:15" ht="12.75" x14ac:dyDescent="0.2">
      <c r="A68" s="187"/>
      <c r="B68" s="42" t="str">
        <f ca="1">IF(A68="","",MAX($B$16:OFFSET(A68,-1,0))+1)</f>
        <v/>
      </c>
      <c r="C68" s="120"/>
      <c r="D68" s="184"/>
      <c r="E68" s="15"/>
      <c r="F68" s="15"/>
      <c r="G68" s="184"/>
      <c r="H68" s="15"/>
      <c r="I68" s="15"/>
      <c r="J68" s="185"/>
      <c r="K68" s="16">
        <f t="shared" si="4"/>
        <v>0</v>
      </c>
      <c r="L68" s="44" t="str">
        <f>IF(AND(COUNTBLANK(D$18:$D67)=0,COUNTBLANK(G$18:$G67)=0),$L$16&amp;$L$15,"дозаполнить")</f>
        <v>дозаполнить</v>
      </c>
      <c r="M68" s="25">
        <f t="shared" si="5"/>
        <v>0</v>
      </c>
      <c r="N68" s="25">
        <f t="shared" si="6"/>
        <v>0</v>
      </c>
      <c r="O68" s="101">
        <f t="shared" si="7"/>
        <v>0</v>
      </c>
    </row>
    <row r="69" spans="1:15" ht="12.75" x14ac:dyDescent="0.2">
      <c r="A69" s="187"/>
      <c r="B69" s="42" t="str">
        <f ca="1">IF(A69="","",MAX($B$16:OFFSET(A69,-1,0))+1)</f>
        <v/>
      </c>
      <c r="C69" s="120"/>
      <c r="D69" s="184"/>
      <c r="E69" s="15"/>
      <c r="F69" s="15"/>
      <c r="G69" s="184"/>
      <c r="H69" s="15"/>
      <c r="I69" s="15"/>
      <c r="J69" s="185"/>
      <c r="K69" s="16">
        <f t="shared" si="4"/>
        <v>0</v>
      </c>
      <c r="L69" s="44" t="str">
        <f>IF(AND(COUNTBLANK(D$18:$D68)=0,COUNTBLANK(G$18:$G68)=0),$L$16&amp;$L$15,"дозаполнить")</f>
        <v>дозаполнить</v>
      </c>
      <c r="M69" s="25">
        <f t="shared" si="5"/>
        <v>0</v>
      </c>
      <c r="N69" s="25">
        <f t="shared" si="6"/>
        <v>0</v>
      </c>
      <c r="O69" s="101">
        <f t="shared" si="7"/>
        <v>0</v>
      </c>
    </row>
    <row r="70" spans="1:15" ht="12.75" x14ac:dyDescent="0.2">
      <c r="A70" s="187"/>
      <c r="B70" s="42" t="str">
        <f ca="1">IF(A70="","",MAX($B$16:OFFSET(A70,-1,0))+1)</f>
        <v/>
      </c>
      <c r="C70" s="120"/>
      <c r="D70" s="184"/>
      <c r="E70" s="15"/>
      <c r="F70" s="15"/>
      <c r="G70" s="184"/>
      <c r="H70" s="15"/>
      <c r="I70" s="15"/>
      <c r="J70" s="185"/>
      <c r="K70" s="16">
        <f t="shared" si="4"/>
        <v>0</v>
      </c>
      <c r="L70" s="44" t="str">
        <f>IF(AND(COUNTBLANK(D$18:$D69)=0,COUNTBLANK(G$18:$G69)=0),$L$16&amp;$L$15,"дозаполнить")</f>
        <v>дозаполнить</v>
      </c>
      <c r="M70" s="25">
        <f t="shared" si="5"/>
        <v>0</v>
      </c>
      <c r="N70" s="25">
        <f t="shared" si="6"/>
        <v>0</v>
      </c>
      <c r="O70" s="101">
        <f t="shared" si="7"/>
        <v>0</v>
      </c>
    </row>
    <row r="71" spans="1:15" ht="12.75" x14ac:dyDescent="0.2">
      <c r="A71" s="187"/>
      <c r="B71" s="42" t="str">
        <f ca="1">IF(A71="","",MAX($B$16:OFFSET(A71,-1,0))+1)</f>
        <v/>
      </c>
      <c r="C71" s="120"/>
      <c r="D71" s="184"/>
      <c r="E71" s="15"/>
      <c r="F71" s="15"/>
      <c r="G71" s="184"/>
      <c r="H71" s="15"/>
      <c r="I71" s="15"/>
      <c r="J71" s="185"/>
      <c r="K71" s="16">
        <f t="shared" si="4"/>
        <v>0</v>
      </c>
      <c r="L71" s="44" t="str">
        <f>IF(AND(COUNTBLANK(D$18:$D70)=0,COUNTBLANK(G$18:$G70)=0),$L$16&amp;$L$15,"дозаполнить")</f>
        <v>дозаполнить</v>
      </c>
      <c r="M71" s="25">
        <f t="shared" si="5"/>
        <v>0</v>
      </c>
      <c r="N71" s="25">
        <f t="shared" si="6"/>
        <v>0</v>
      </c>
      <c r="O71" s="101">
        <f t="shared" si="7"/>
        <v>0</v>
      </c>
    </row>
    <row r="72" spans="1:15" ht="12.75" x14ac:dyDescent="0.2">
      <c r="A72" s="187"/>
      <c r="B72" s="42" t="str">
        <f ca="1">IF(A72="","",MAX($B$16:OFFSET(A72,-1,0))+1)</f>
        <v/>
      </c>
      <c r="C72" s="120"/>
      <c r="D72" s="184"/>
      <c r="E72" s="15"/>
      <c r="F72" s="15"/>
      <c r="G72" s="184"/>
      <c r="H72" s="15"/>
      <c r="I72" s="15"/>
      <c r="J72" s="185"/>
      <c r="K72" s="16">
        <f t="shared" si="4"/>
        <v>0</v>
      </c>
      <c r="L72" s="44" t="str">
        <f>IF(AND(COUNTBLANK(D$18:$D71)=0,COUNTBLANK(G$18:$G71)=0),$L$16&amp;$L$15,"дозаполнить")</f>
        <v>дозаполнить</v>
      </c>
      <c r="M72" s="25">
        <f t="shared" si="5"/>
        <v>0</v>
      </c>
      <c r="N72" s="25">
        <f t="shared" si="6"/>
        <v>0</v>
      </c>
      <c r="O72" s="101">
        <f t="shared" si="7"/>
        <v>0</v>
      </c>
    </row>
    <row r="73" spans="1:15" ht="12.75" x14ac:dyDescent="0.2">
      <c r="A73" s="187"/>
      <c r="B73" s="42" t="str">
        <f ca="1">IF(A73="","",MAX($B$16:OFFSET(A73,-1,0))+1)</f>
        <v/>
      </c>
      <c r="C73" s="120"/>
      <c r="D73" s="184"/>
      <c r="E73" s="15"/>
      <c r="F73" s="15"/>
      <c r="G73" s="184"/>
      <c r="H73" s="15"/>
      <c r="I73" s="15"/>
      <c r="J73" s="185"/>
      <c r="K73" s="16">
        <f t="shared" si="4"/>
        <v>0</v>
      </c>
      <c r="L73" s="44" t="str">
        <f>IF(AND(COUNTBLANK(D$18:$D72)=0,COUNTBLANK(G$18:$G72)=0),$L$16&amp;$L$15,"дозаполнить")</f>
        <v>дозаполнить</v>
      </c>
      <c r="M73" s="25">
        <f t="shared" si="5"/>
        <v>0</v>
      </c>
      <c r="N73" s="25">
        <f t="shared" si="6"/>
        <v>0</v>
      </c>
      <c r="O73" s="101">
        <f t="shared" si="7"/>
        <v>0</v>
      </c>
    </row>
    <row r="74" spans="1:15" ht="12.75" x14ac:dyDescent="0.2">
      <c r="A74" s="187"/>
      <c r="B74" s="42" t="str">
        <f ca="1">IF(A74="","",MAX($B$16:OFFSET(A74,-1,0))+1)</f>
        <v/>
      </c>
      <c r="C74" s="120"/>
      <c r="D74" s="184"/>
      <c r="E74" s="15"/>
      <c r="F74" s="15"/>
      <c r="G74" s="184"/>
      <c r="H74" s="15"/>
      <c r="I74" s="15"/>
      <c r="J74" s="185"/>
      <c r="K74" s="16">
        <f t="shared" si="4"/>
        <v>0</v>
      </c>
      <c r="L74" s="44" t="str">
        <f>IF(AND(COUNTBLANK(D$18:$D73)=0,COUNTBLANK(G$18:$G73)=0),$L$16&amp;$L$15,"дозаполнить")</f>
        <v>дозаполнить</v>
      </c>
      <c r="M74" s="25">
        <f t="shared" si="5"/>
        <v>0</v>
      </c>
      <c r="N74" s="25">
        <f t="shared" si="6"/>
        <v>0</v>
      </c>
      <c r="O74" s="101">
        <f t="shared" si="7"/>
        <v>0</v>
      </c>
    </row>
    <row r="75" spans="1:15" ht="12.75" x14ac:dyDescent="0.2">
      <c r="A75" s="187"/>
      <c r="B75" s="42" t="str">
        <f ca="1">IF(A75="","",MAX($B$16:OFFSET(A75,-1,0))+1)</f>
        <v/>
      </c>
      <c r="C75" s="120"/>
      <c r="D75" s="184"/>
      <c r="E75" s="15"/>
      <c r="F75" s="15"/>
      <c r="G75" s="184"/>
      <c r="H75" s="15"/>
      <c r="I75" s="15"/>
      <c r="J75" s="185"/>
      <c r="K75" s="16">
        <f t="shared" si="4"/>
        <v>0</v>
      </c>
      <c r="L75" s="44" t="str">
        <f>IF(AND(COUNTBLANK(D$18:$D74)=0,COUNTBLANK(G$18:$G74)=0),$L$16&amp;$L$15,"дозаполнить")</f>
        <v>дозаполнить</v>
      </c>
      <c r="M75" s="25">
        <f t="shared" si="5"/>
        <v>0</v>
      </c>
      <c r="N75" s="25">
        <f t="shared" si="6"/>
        <v>0</v>
      </c>
      <c r="O75" s="101">
        <f t="shared" si="7"/>
        <v>0</v>
      </c>
    </row>
    <row r="76" spans="1:15" ht="12.75" x14ac:dyDescent="0.2">
      <c r="A76" s="187"/>
      <c r="B76" s="42" t="str">
        <f ca="1">IF(A76="","",MAX($B$16:OFFSET(A76,-1,0))+1)</f>
        <v/>
      </c>
      <c r="C76" s="120"/>
      <c r="D76" s="184"/>
      <c r="E76" s="15"/>
      <c r="F76" s="15"/>
      <c r="G76" s="184"/>
      <c r="H76" s="15"/>
      <c r="I76" s="15"/>
      <c r="J76" s="185"/>
      <c r="K76" s="16">
        <f t="shared" si="4"/>
        <v>0</v>
      </c>
      <c r="L76" s="44" t="str">
        <f>IF(AND(COUNTBLANK(D$18:$D75)=0,COUNTBLANK(G$18:$G75)=0),$L$16&amp;$L$15,"дозаполнить")</f>
        <v>дозаполнить</v>
      </c>
      <c r="M76" s="25">
        <f t="shared" si="5"/>
        <v>0</v>
      </c>
      <c r="N76" s="25">
        <f t="shared" si="6"/>
        <v>0</v>
      </c>
      <c r="O76" s="101">
        <f t="shared" si="7"/>
        <v>0</v>
      </c>
    </row>
    <row r="77" spans="1:15" ht="12.75" x14ac:dyDescent="0.2">
      <c r="A77" s="187"/>
      <c r="B77" s="42" t="str">
        <f ca="1">IF(A77="","",MAX($B$16:OFFSET(A77,-1,0))+1)</f>
        <v/>
      </c>
      <c r="C77" s="120"/>
      <c r="D77" s="184"/>
      <c r="E77" s="15"/>
      <c r="F77" s="15"/>
      <c r="G77" s="184"/>
      <c r="H77" s="15"/>
      <c r="I77" s="15"/>
      <c r="J77" s="185"/>
      <c r="K77" s="16">
        <f t="shared" si="4"/>
        <v>0</v>
      </c>
      <c r="L77" s="44" t="str">
        <f>IF(AND(COUNTBLANK(D$18:$D76)=0,COUNTBLANK(G$18:$G76)=0),$L$16&amp;$L$15,"дозаполнить")</f>
        <v>дозаполнить</v>
      </c>
      <c r="M77" s="25">
        <f t="shared" si="5"/>
        <v>0</v>
      </c>
      <c r="N77" s="25">
        <f t="shared" si="6"/>
        <v>0</v>
      </c>
      <c r="O77" s="101">
        <f t="shared" si="7"/>
        <v>0</v>
      </c>
    </row>
    <row r="78" spans="1:15" ht="12.75" x14ac:dyDescent="0.2">
      <c r="A78" s="187"/>
      <c r="B78" s="42" t="str">
        <f ca="1">IF(A78="","",MAX($B$16:OFFSET(A78,-1,0))+1)</f>
        <v/>
      </c>
      <c r="C78" s="120"/>
      <c r="D78" s="184"/>
      <c r="E78" s="15"/>
      <c r="F78" s="15"/>
      <c r="G78" s="184"/>
      <c r="H78" s="15"/>
      <c r="I78" s="15"/>
      <c r="J78" s="185"/>
      <c r="K78" s="16">
        <f t="shared" si="4"/>
        <v>0</v>
      </c>
      <c r="L78" s="44" t="str">
        <f>IF(AND(COUNTBLANK(D$18:$D77)=0,COUNTBLANK(G$18:$G77)=0),$L$16&amp;$L$15,"дозаполнить")</f>
        <v>дозаполнить</v>
      </c>
      <c r="M78" s="25">
        <f t="shared" si="5"/>
        <v>0</v>
      </c>
      <c r="N78" s="25">
        <f t="shared" si="6"/>
        <v>0</v>
      </c>
      <c r="O78" s="101">
        <f t="shared" si="7"/>
        <v>0</v>
      </c>
    </row>
    <row r="79" spans="1:15" ht="12.75" x14ac:dyDescent="0.2">
      <c r="A79" s="187"/>
      <c r="B79" s="42" t="str">
        <f ca="1">IF(A79="","",MAX($B$16:OFFSET(A79,-1,0))+1)</f>
        <v/>
      </c>
      <c r="C79" s="120"/>
      <c r="D79" s="184"/>
      <c r="E79" s="15"/>
      <c r="F79" s="15"/>
      <c r="G79" s="184"/>
      <c r="H79" s="15"/>
      <c r="I79" s="15"/>
      <c r="J79" s="185"/>
      <c r="K79" s="16">
        <f t="shared" si="4"/>
        <v>0</v>
      </c>
      <c r="L79" s="44" t="str">
        <f>IF(AND(COUNTBLANK(D$18:$D78)=0,COUNTBLANK(G$18:$G78)=0),$L$16&amp;$L$15,"дозаполнить")</f>
        <v>дозаполнить</v>
      </c>
      <c r="M79" s="25">
        <f t="shared" si="5"/>
        <v>0</v>
      </c>
      <c r="N79" s="25">
        <f t="shared" si="6"/>
        <v>0</v>
      </c>
      <c r="O79" s="101">
        <f t="shared" si="7"/>
        <v>0</v>
      </c>
    </row>
    <row r="80" spans="1:15" ht="12.75" x14ac:dyDescent="0.2">
      <c r="A80" s="187"/>
      <c r="B80" s="42" t="str">
        <f ca="1">IF(A80="","",MAX($B$16:OFFSET(A80,-1,0))+1)</f>
        <v/>
      </c>
      <c r="C80" s="120"/>
      <c r="D80" s="184"/>
      <c r="E80" s="15"/>
      <c r="F80" s="15"/>
      <c r="G80" s="184"/>
      <c r="H80" s="15"/>
      <c r="I80" s="15"/>
      <c r="J80" s="185"/>
      <c r="K80" s="16">
        <f t="shared" si="4"/>
        <v>0</v>
      </c>
      <c r="L80" s="44" t="str">
        <f>IF(AND(COUNTBLANK(D$18:$D79)=0,COUNTBLANK(G$18:$G79)=0),$L$16&amp;$L$15,"дозаполнить")</f>
        <v>дозаполнить</v>
      </c>
      <c r="M80" s="25">
        <f t="shared" si="5"/>
        <v>0</v>
      </c>
      <c r="N80" s="25">
        <f t="shared" si="6"/>
        <v>0</v>
      </c>
      <c r="O80" s="101">
        <f t="shared" si="7"/>
        <v>0</v>
      </c>
    </row>
    <row r="81" spans="1:15" ht="12.75" x14ac:dyDescent="0.2">
      <c r="A81" s="187"/>
      <c r="B81" s="42" t="str">
        <f ca="1">IF(A81="","",MAX($B$16:OFFSET(A81,-1,0))+1)</f>
        <v/>
      </c>
      <c r="C81" s="120"/>
      <c r="D81" s="184"/>
      <c r="E81" s="15"/>
      <c r="F81" s="15"/>
      <c r="G81" s="184"/>
      <c r="H81" s="15"/>
      <c r="I81" s="15"/>
      <c r="J81" s="185"/>
      <c r="K81" s="16">
        <f t="shared" si="4"/>
        <v>0</v>
      </c>
      <c r="L81" s="44" t="str">
        <f>IF(AND(COUNTBLANK(D$18:$D80)=0,COUNTBLANK(G$18:$G80)=0),$L$16&amp;$L$15,"дозаполнить")</f>
        <v>дозаполнить</v>
      </c>
      <c r="M81" s="25">
        <f t="shared" si="5"/>
        <v>0</v>
      </c>
      <c r="N81" s="25">
        <f t="shared" si="6"/>
        <v>0</v>
      </c>
      <c r="O81" s="101">
        <f t="shared" si="7"/>
        <v>0</v>
      </c>
    </row>
    <row r="82" spans="1:15" ht="12.75" x14ac:dyDescent="0.2">
      <c r="A82" s="187"/>
      <c r="B82" s="42" t="str">
        <f ca="1">IF(A82="","",MAX($B$16:OFFSET(A82,-1,0))+1)</f>
        <v/>
      </c>
      <c r="C82" s="120"/>
      <c r="D82" s="184"/>
      <c r="E82" s="15"/>
      <c r="F82" s="15"/>
      <c r="G82" s="184"/>
      <c r="H82" s="15"/>
      <c r="I82" s="15"/>
      <c r="J82" s="185"/>
      <c r="K82" s="16">
        <f t="shared" si="4"/>
        <v>0</v>
      </c>
      <c r="L82" s="44" t="str">
        <f>IF(AND(COUNTBLANK(D$18:$D81)=0,COUNTBLANK(G$18:$G81)=0),$L$16&amp;$L$15,"дозаполнить")</f>
        <v>дозаполнить</v>
      </c>
      <c r="M82" s="25">
        <f t="shared" si="5"/>
        <v>0</v>
      </c>
      <c r="N82" s="25">
        <f t="shared" si="6"/>
        <v>0</v>
      </c>
      <c r="O82" s="101">
        <f t="shared" si="7"/>
        <v>0</v>
      </c>
    </row>
    <row r="83" spans="1:15" ht="12.75" x14ac:dyDescent="0.2">
      <c r="A83" s="187"/>
      <c r="B83" s="42" t="str">
        <f ca="1">IF(A83="","",MAX($B$16:OFFSET(A83,-1,0))+1)</f>
        <v/>
      </c>
      <c r="C83" s="120"/>
      <c r="D83" s="184"/>
      <c r="E83" s="15"/>
      <c r="F83" s="15"/>
      <c r="G83" s="184"/>
      <c r="H83" s="15"/>
      <c r="I83" s="15"/>
      <c r="J83" s="185"/>
      <c r="K83" s="16">
        <f t="shared" si="4"/>
        <v>0</v>
      </c>
      <c r="L83" s="44" t="str">
        <f>IF(AND(COUNTBLANK(D$18:$D82)=0,COUNTBLANK(G$18:$G82)=0),$L$16&amp;$L$15,"дозаполнить")</f>
        <v>дозаполнить</v>
      </c>
      <c r="M83" s="25">
        <f t="shared" si="5"/>
        <v>0</v>
      </c>
      <c r="N83" s="25">
        <f t="shared" si="6"/>
        <v>0</v>
      </c>
      <c r="O83" s="101">
        <f t="shared" si="7"/>
        <v>0</v>
      </c>
    </row>
    <row r="84" spans="1:15" ht="12.75" x14ac:dyDescent="0.2">
      <c r="A84" s="187"/>
      <c r="B84" s="42" t="str">
        <f ca="1">IF(A84="","",MAX($B$16:OFFSET(A84,-1,0))+1)</f>
        <v/>
      </c>
      <c r="C84" s="120"/>
      <c r="D84" s="184"/>
      <c r="E84" s="15"/>
      <c r="F84" s="15"/>
      <c r="G84" s="184"/>
      <c r="H84" s="15"/>
      <c r="I84" s="15"/>
      <c r="J84" s="185"/>
      <c r="K84" s="16">
        <f t="shared" si="4"/>
        <v>0</v>
      </c>
      <c r="L84" s="44" t="str">
        <f>IF(AND(COUNTBLANK(D$18:$D83)=0,COUNTBLANK(G$18:$G83)=0),$L$16&amp;$L$15,"дозаполнить")</f>
        <v>дозаполнить</v>
      </c>
      <c r="M84" s="25">
        <f t="shared" si="5"/>
        <v>0</v>
      </c>
      <c r="N84" s="25">
        <f t="shared" si="6"/>
        <v>0</v>
      </c>
      <c r="O84" s="101">
        <f t="shared" si="7"/>
        <v>0</v>
      </c>
    </row>
    <row r="85" spans="1:15" ht="12.75" x14ac:dyDescent="0.2">
      <c r="A85" s="187"/>
      <c r="B85" s="42" t="str">
        <f ca="1">IF(A85="","",MAX($B$16:OFFSET(A85,-1,0))+1)</f>
        <v/>
      </c>
      <c r="C85" s="120"/>
      <c r="D85" s="184"/>
      <c r="E85" s="15"/>
      <c r="F85" s="15"/>
      <c r="G85" s="184"/>
      <c r="H85" s="15"/>
      <c r="I85" s="15"/>
      <c r="J85" s="185"/>
      <c r="K85" s="16">
        <f t="shared" si="4"/>
        <v>0</v>
      </c>
      <c r="L85" s="44" t="str">
        <f>IF(AND(COUNTBLANK(D$18:$D84)=0,COUNTBLANK(G$18:$G84)=0),$L$16&amp;$L$15,"дозаполнить")</f>
        <v>дозаполнить</v>
      </c>
      <c r="M85" s="25">
        <f t="shared" si="5"/>
        <v>0</v>
      </c>
      <c r="N85" s="25">
        <f t="shared" si="6"/>
        <v>0</v>
      </c>
      <c r="O85" s="101">
        <f t="shared" si="7"/>
        <v>0</v>
      </c>
    </row>
    <row r="86" spans="1:15" ht="12.75" x14ac:dyDescent="0.2">
      <c r="A86" s="187"/>
      <c r="B86" s="42" t="str">
        <f ca="1">IF(A86="","",MAX($B$16:OFFSET(A86,-1,0))+1)</f>
        <v/>
      </c>
      <c r="C86" s="120"/>
      <c r="D86" s="184"/>
      <c r="E86" s="15"/>
      <c r="F86" s="15"/>
      <c r="G86" s="184"/>
      <c r="H86" s="15"/>
      <c r="I86" s="15"/>
      <c r="J86" s="185"/>
      <c r="K86" s="16">
        <f t="shared" si="4"/>
        <v>0</v>
      </c>
      <c r="L86" s="44" t="str">
        <f>IF(AND(COUNTBLANK(D$18:$D85)=0,COUNTBLANK(G$18:$G85)=0),$L$16&amp;$L$15,"дозаполнить")</f>
        <v>дозаполнить</v>
      </c>
      <c r="M86" s="25">
        <f t="shared" si="5"/>
        <v>0</v>
      </c>
      <c r="N86" s="25">
        <f t="shared" si="6"/>
        <v>0</v>
      </c>
      <c r="O86" s="101">
        <f t="shared" si="7"/>
        <v>0</v>
      </c>
    </row>
    <row r="87" spans="1:15" ht="12.75" x14ac:dyDescent="0.2">
      <c r="A87" s="187"/>
      <c r="B87" s="42" t="str">
        <f ca="1">IF(A87="","",MAX($B$16:OFFSET(A87,-1,0))+1)</f>
        <v/>
      </c>
      <c r="C87" s="120"/>
      <c r="D87" s="184"/>
      <c r="E87" s="15"/>
      <c r="F87" s="15"/>
      <c r="G87" s="184"/>
      <c r="H87" s="15"/>
      <c r="I87" s="15"/>
      <c r="J87" s="185"/>
      <c r="K87" s="16">
        <f t="shared" si="4"/>
        <v>0</v>
      </c>
      <c r="L87" s="44" t="str">
        <f>IF(AND(COUNTBLANK(D$18:$D86)=0,COUNTBLANK(G$18:$G86)=0),$L$16&amp;$L$15,"дозаполнить")</f>
        <v>дозаполнить</v>
      </c>
      <c r="M87" s="25">
        <f t="shared" si="5"/>
        <v>0</v>
      </c>
      <c r="N87" s="25">
        <f t="shared" si="6"/>
        <v>0</v>
      </c>
      <c r="O87" s="101">
        <f t="shared" si="7"/>
        <v>0</v>
      </c>
    </row>
    <row r="88" spans="1:15" ht="12.75" x14ac:dyDescent="0.2">
      <c r="A88" s="187"/>
      <c r="B88" s="42" t="str">
        <f ca="1">IF(A88="","",MAX($B$16:OFFSET(A88,-1,0))+1)</f>
        <v/>
      </c>
      <c r="C88" s="120"/>
      <c r="D88" s="184"/>
      <c r="E88" s="15"/>
      <c r="F88" s="15"/>
      <c r="G88" s="184"/>
      <c r="H88" s="15"/>
      <c r="I88" s="15"/>
      <c r="J88" s="185"/>
      <c r="K88" s="16">
        <f t="shared" si="4"/>
        <v>0</v>
      </c>
      <c r="L88" s="44" t="str">
        <f>IF(AND(COUNTBLANK(D$18:$D87)=0,COUNTBLANK(G$18:$G87)=0),$L$16&amp;$L$15,"дозаполнить")</f>
        <v>дозаполнить</v>
      </c>
      <c r="M88" s="25">
        <f t="shared" si="5"/>
        <v>0</v>
      </c>
      <c r="N88" s="25">
        <f t="shared" si="6"/>
        <v>0</v>
      </c>
      <c r="O88" s="101">
        <f t="shared" si="7"/>
        <v>0</v>
      </c>
    </row>
    <row r="89" spans="1:15" ht="12.75" x14ac:dyDescent="0.2">
      <c r="A89" s="187"/>
      <c r="B89" s="42" t="str">
        <f ca="1">IF(A89="","",MAX($B$16:OFFSET(A89,-1,0))+1)</f>
        <v/>
      </c>
      <c r="C89" s="120"/>
      <c r="D89" s="184"/>
      <c r="E89" s="15"/>
      <c r="F89" s="15"/>
      <c r="G89" s="184"/>
      <c r="H89" s="15"/>
      <c r="I89" s="15"/>
      <c r="J89" s="185"/>
      <c r="K89" s="16">
        <f t="shared" ref="K89:K152" si="8">(D89/1000)*(G89/1000)*J89</f>
        <v>0</v>
      </c>
      <c r="L89" s="44" t="str">
        <f>IF(AND(COUNTBLANK(D$18:$D88)=0,COUNTBLANK(G$18:$G88)=0),$L$16&amp;$L$15,"дозаполнить")</f>
        <v>дозаполнить</v>
      </c>
      <c r="M89" s="25">
        <f t="shared" ref="M89:M152" si="9">(D89*E89*J89)+(H89*G89*J89)</f>
        <v>0</v>
      </c>
      <c r="N89" s="25">
        <f t="shared" ref="N89:N152" si="10">(F89*D89*J89)+(I89*G89*J89)</f>
        <v>0</v>
      </c>
      <c r="O89" s="101">
        <f t="shared" ref="O89:O152" si="11">IF(A89="",0,MAX((D89/1000*G89/1000)*$O$13,$O$14))*J89</f>
        <v>0</v>
      </c>
    </row>
    <row r="90" spans="1:15" ht="12.75" x14ac:dyDescent="0.2">
      <c r="A90" s="187"/>
      <c r="B90" s="42" t="str">
        <f ca="1">IF(A90="","",MAX($B$16:OFFSET(A90,-1,0))+1)</f>
        <v/>
      </c>
      <c r="C90" s="120"/>
      <c r="D90" s="184"/>
      <c r="E90" s="15"/>
      <c r="F90" s="15"/>
      <c r="G90" s="184"/>
      <c r="H90" s="15"/>
      <c r="I90" s="15"/>
      <c r="J90" s="185"/>
      <c r="K90" s="16">
        <f t="shared" si="8"/>
        <v>0</v>
      </c>
      <c r="L90" s="44" t="str">
        <f>IF(AND(COUNTBLANK(D$18:$D89)=0,COUNTBLANK(G$18:$G89)=0),$L$16&amp;$L$15,"дозаполнить")</f>
        <v>дозаполнить</v>
      </c>
      <c r="M90" s="25">
        <f t="shared" si="9"/>
        <v>0</v>
      </c>
      <c r="N90" s="25">
        <f t="shared" si="10"/>
        <v>0</v>
      </c>
      <c r="O90" s="101">
        <f t="shared" si="11"/>
        <v>0</v>
      </c>
    </row>
    <row r="91" spans="1:15" ht="12.75" x14ac:dyDescent="0.2">
      <c r="A91" s="187"/>
      <c r="B91" s="42" t="str">
        <f ca="1">IF(A91="","",MAX($B$16:OFFSET(A91,-1,0))+1)</f>
        <v/>
      </c>
      <c r="C91" s="120"/>
      <c r="D91" s="184"/>
      <c r="E91" s="15"/>
      <c r="F91" s="15"/>
      <c r="G91" s="184"/>
      <c r="H91" s="15"/>
      <c r="I91" s="15"/>
      <c r="J91" s="185"/>
      <c r="K91" s="16">
        <f t="shared" si="8"/>
        <v>0</v>
      </c>
      <c r="L91" s="44" t="str">
        <f>IF(AND(COUNTBLANK(D$18:$D90)=0,COUNTBLANK(G$18:$G90)=0),$L$16&amp;$L$15,"дозаполнить")</f>
        <v>дозаполнить</v>
      </c>
      <c r="M91" s="25">
        <f t="shared" si="9"/>
        <v>0</v>
      </c>
      <c r="N91" s="25">
        <f t="shared" si="10"/>
        <v>0</v>
      </c>
      <c r="O91" s="101">
        <f t="shared" si="11"/>
        <v>0</v>
      </c>
    </row>
    <row r="92" spans="1:15" ht="12.75" x14ac:dyDescent="0.2">
      <c r="A92" s="187"/>
      <c r="B92" s="42" t="str">
        <f ca="1">IF(A92="","",MAX($B$16:OFFSET(A92,-1,0))+1)</f>
        <v/>
      </c>
      <c r="C92" s="120"/>
      <c r="D92" s="184"/>
      <c r="E92" s="15"/>
      <c r="F92" s="15"/>
      <c r="G92" s="184"/>
      <c r="H92" s="15"/>
      <c r="I92" s="15"/>
      <c r="J92" s="185"/>
      <c r="K92" s="16">
        <f t="shared" si="8"/>
        <v>0</v>
      </c>
      <c r="L92" s="44" t="str">
        <f>IF(AND(COUNTBLANK(D$18:$D91)=0,COUNTBLANK(G$18:$G91)=0),$L$16&amp;$L$15,"дозаполнить")</f>
        <v>дозаполнить</v>
      </c>
      <c r="M92" s="25">
        <f t="shared" si="9"/>
        <v>0</v>
      </c>
      <c r="N92" s="25">
        <f t="shared" si="10"/>
        <v>0</v>
      </c>
      <c r="O92" s="101">
        <f t="shared" si="11"/>
        <v>0</v>
      </c>
    </row>
    <row r="93" spans="1:15" ht="12.75" x14ac:dyDescent="0.2">
      <c r="A93" s="187"/>
      <c r="B93" s="42" t="str">
        <f ca="1">IF(A93="","",MAX($B$16:OFFSET(A93,-1,0))+1)</f>
        <v/>
      </c>
      <c r="C93" s="120"/>
      <c r="D93" s="184"/>
      <c r="E93" s="15"/>
      <c r="F93" s="15"/>
      <c r="G93" s="184"/>
      <c r="H93" s="15"/>
      <c r="I93" s="15"/>
      <c r="J93" s="185"/>
      <c r="K93" s="16">
        <f t="shared" si="8"/>
        <v>0</v>
      </c>
      <c r="L93" s="44" t="str">
        <f>IF(AND(COUNTBLANK(D$18:$D92)=0,COUNTBLANK(G$18:$G92)=0),$L$16&amp;$L$15,"дозаполнить")</f>
        <v>дозаполнить</v>
      </c>
      <c r="M93" s="25">
        <f t="shared" si="9"/>
        <v>0</v>
      </c>
      <c r="N93" s="25">
        <f t="shared" si="10"/>
        <v>0</v>
      </c>
      <c r="O93" s="101">
        <f t="shared" si="11"/>
        <v>0</v>
      </c>
    </row>
    <row r="94" spans="1:15" ht="12.75" x14ac:dyDescent="0.2">
      <c r="A94" s="187"/>
      <c r="B94" s="42" t="str">
        <f ca="1">IF(A94="","",MAX($B$16:OFFSET(A94,-1,0))+1)</f>
        <v/>
      </c>
      <c r="C94" s="120"/>
      <c r="D94" s="184"/>
      <c r="E94" s="15"/>
      <c r="F94" s="15"/>
      <c r="G94" s="184"/>
      <c r="H94" s="15"/>
      <c r="I94" s="15"/>
      <c r="J94" s="185"/>
      <c r="K94" s="16">
        <f t="shared" si="8"/>
        <v>0</v>
      </c>
      <c r="L94" s="44" t="str">
        <f>IF(AND(COUNTBLANK(D$18:$D93)=0,COUNTBLANK(G$18:$G93)=0),$L$16&amp;$L$15,"дозаполнить")</f>
        <v>дозаполнить</v>
      </c>
      <c r="M94" s="25">
        <f t="shared" si="9"/>
        <v>0</v>
      </c>
      <c r="N94" s="25">
        <f t="shared" si="10"/>
        <v>0</v>
      </c>
      <c r="O94" s="101">
        <f t="shared" si="11"/>
        <v>0</v>
      </c>
    </row>
    <row r="95" spans="1:15" ht="12.75" x14ac:dyDescent="0.2">
      <c r="A95" s="187"/>
      <c r="B95" s="42" t="str">
        <f ca="1">IF(A95="","",MAX($B$16:OFFSET(A95,-1,0))+1)</f>
        <v/>
      </c>
      <c r="C95" s="120"/>
      <c r="D95" s="184"/>
      <c r="E95" s="15"/>
      <c r="F95" s="15"/>
      <c r="G95" s="184"/>
      <c r="H95" s="15"/>
      <c r="I95" s="15"/>
      <c r="J95" s="185"/>
      <c r="K95" s="16">
        <f t="shared" si="8"/>
        <v>0</v>
      </c>
      <c r="L95" s="44" t="str">
        <f>IF(AND(COUNTBLANK(D$18:$D94)=0,COUNTBLANK(G$18:$G94)=0),$L$16&amp;$L$15,"дозаполнить")</f>
        <v>дозаполнить</v>
      </c>
      <c r="M95" s="25">
        <f t="shared" si="9"/>
        <v>0</v>
      </c>
      <c r="N95" s="25">
        <f t="shared" si="10"/>
        <v>0</v>
      </c>
      <c r="O95" s="101">
        <f t="shared" si="11"/>
        <v>0</v>
      </c>
    </row>
    <row r="96" spans="1:15" ht="12.75" x14ac:dyDescent="0.2">
      <c r="A96" s="187"/>
      <c r="B96" s="42" t="str">
        <f ca="1">IF(A96="","",MAX($B$16:OFFSET(A96,-1,0))+1)</f>
        <v/>
      </c>
      <c r="C96" s="120"/>
      <c r="D96" s="184"/>
      <c r="E96" s="15"/>
      <c r="F96" s="15"/>
      <c r="G96" s="184"/>
      <c r="H96" s="15"/>
      <c r="I96" s="15"/>
      <c r="J96" s="185"/>
      <c r="K96" s="16">
        <f t="shared" si="8"/>
        <v>0</v>
      </c>
      <c r="L96" s="44" t="str">
        <f>IF(AND(COUNTBLANK(D$18:$D95)=0,COUNTBLANK(G$18:$G95)=0),$L$16&amp;$L$15,"дозаполнить")</f>
        <v>дозаполнить</v>
      </c>
      <c r="M96" s="25">
        <f t="shared" si="9"/>
        <v>0</v>
      </c>
      <c r="N96" s="25">
        <f t="shared" si="10"/>
        <v>0</v>
      </c>
      <c r="O96" s="101">
        <f t="shared" si="11"/>
        <v>0</v>
      </c>
    </row>
    <row r="97" spans="1:15" ht="12.75" x14ac:dyDescent="0.2">
      <c r="A97" s="187"/>
      <c r="B97" s="42" t="str">
        <f ca="1">IF(A97="","",MAX($B$16:OFFSET(A97,-1,0))+1)</f>
        <v/>
      </c>
      <c r="C97" s="120"/>
      <c r="D97" s="184"/>
      <c r="E97" s="15"/>
      <c r="F97" s="15"/>
      <c r="G97" s="184"/>
      <c r="H97" s="15"/>
      <c r="I97" s="15"/>
      <c r="J97" s="185"/>
      <c r="K97" s="16">
        <f t="shared" si="8"/>
        <v>0</v>
      </c>
      <c r="L97" s="44" t="str">
        <f>IF(AND(COUNTBLANK(D$18:$D96)=0,COUNTBLANK(G$18:$G96)=0),$L$16&amp;$L$15,"дозаполнить")</f>
        <v>дозаполнить</v>
      </c>
      <c r="M97" s="25">
        <f t="shared" si="9"/>
        <v>0</v>
      </c>
      <c r="N97" s="25">
        <f t="shared" si="10"/>
        <v>0</v>
      </c>
      <c r="O97" s="101">
        <f t="shared" si="11"/>
        <v>0</v>
      </c>
    </row>
    <row r="98" spans="1:15" ht="12.75" x14ac:dyDescent="0.2">
      <c r="A98" s="187"/>
      <c r="B98" s="42" t="str">
        <f ca="1">IF(A98="","",MAX($B$16:OFFSET(A98,-1,0))+1)</f>
        <v/>
      </c>
      <c r="C98" s="120"/>
      <c r="D98" s="184"/>
      <c r="E98" s="15"/>
      <c r="F98" s="15"/>
      <c r="G98" s="184"/>
      <c r="H98" s="15"/>
      <c r="I98" s="15"/>
      <c r="J98" s="185"/>
      <c r="K98" s="16">
        <f t="shared" si="8"/>
        <v>0</v>
      </c>
      <c r="L98" s="44" t="str">
        <f>IF(AND(COUNTBLANK(D$18:$D97)=0,COUNTBLANK(G$18:$G97)=0),$L$16&amp;$L$15,"дозаполнить")</f>
        <v>дозаполнить</v>
      </c>
      <c r="M98" s="25">
        <f t="shared" si="9"/>
        <v>0</v>
      </c>
      <c r="N98" s="25">
        <f t="shared" si="10"/>
        <v>0</v>
      </c>
      <c r="O98" s="101">
        <f t="shared" si="11"/>
        <v>0</v>
      </c>
    </row>
    <row r="99" spans="1:15" ht="12.75" x14ac:dyDescent="0.2">
      <c r="A99" s="187"/>
      <c r="B99" s="42" t="str">
        <f ca="1">IF(A99="","",MAX($B$16:OFFSET(A99,-1,0))+1)</f>
        <v/>
      </c>
      <c r="C99" s="120"/>
      <c r="D99" s="184"/>
      <c r="E99" s="15"/>
      <c r="F99" s="15"/>
      <c r="G99" s="184"/>
      <c r="H99" s="15"/>
      <c r="I99" s="15"/>
      <c r="J99" s="185"/>
      <c r="K99" s="16">
        <f t="shared" si="8"/>
        <v>0</v>
      </c>
      <c r="L99" s="44" t="str">
        <f>IF(AND(COUNTBLANK(D$18:$D98)=0,COUNTBLANK(G$18:$G98)=0),$L$16&amp;$L$15,"дозаполнить")</f>
        <v>дозаполнить</v>
      </c>
      <c r="M99" s="25">
        <f t="shared" si="9"/>
        <v>0</v>
      </c>
      <c r="N99" s="25">
        <f t="shared" si="10"/>
        <v>0</v>
      </c>
      <c r="O99" s="101">
        <f t="shared" si="11"/>
        <v>0</v>
      </c>
    </row>
    <row r="100" spans="1:15" ht="12.75" x14ac:dyDescent="0.2">
      <c r="A100" s="187"/>
      <c r="B100" s="42" t="str">
        <f ca="1">IF(A100="","",MAX($B$16:OFFSET(A100,-1,0))+1)</f>
        <v/>
      </c>
      <c r="C100" s="120"/>
      <c r="D100" s="184"/>
      <c r="E100" s="15"/>
      <c r="F100" s="15"/>
      <c r="G100" s="184"/>
      <c r="H100" s="15"/>
      <c r="I100" s="15"/>
      <c r="J100" s="185"/>
      <c r="K100" s="16">
        <f t="shared" si="8"/>
        <v>0</v>
      </c>
      <c r="L100" s="44" t="str">
        <f>IF(AND(COUNTBLANK(D$18:$D99)=0,COUNTBLANK(G$18:$G99)=0),$L$16&amp;$L$15,"дозаполнить")</f>
        <v>дозаполнить</v>
      </c>
      <c r="M100" s="25">
        <f t="shared" si="9"/>
        <v>0</v>
      </c>
      <c r="N100" s="25">
        <f t="shared" si="10"/>
        <v>0</v>
      </c>
      <c r="O100" s="101">
        <f t="shared" si="11"/>
        <v>0</v>
      </c>
    </row>
    <row r="101" spans="1:15" ht="12.75" x14ac:dyDescent="0.2">
      <c r="A101" s="187"/>
      <c r="B101" s="42" t="str">
        <f ca="1">IF(A101="","",MAX($B$16:OFFSET(A101,-1,0))+1)</f>
        <v/>
      </c>
      <c r="C101" s="120"/>
      <c r="D101" s="184"/>
      <c r="E101" s="15"/>
      <c r="F101" s="15"/>
      <c r="G101" s="184"/>
      <c r="H101" s="15"/>
      <c r="I101" s="15"/>
      <c r="J101" s="185"/>
      <c r="K101" s="16">
        <f t="shared" si="8"/>
        <v>0</v>
      </c>
      <c r="L101" s="44" t="str">
        <f>IF(AND(COUNTBLANK(D$18:$D100)=0,COUNTBLANK(G$18:$G100)=0),$L$16&amp;$L$15,"дозаполнить")</f>
        <v>дозаполнить</v>
      </c>
      <c r="M101" s="25">
        <f t="shared" si="9"/>
        <v>0</v>
      </c>
      <c r="N101" s="25">
        <f t="shared" si="10"/>
        <v>0</v>
      </c>
      <c r="O101" s="101">
        <f t="shared" si="11"/>
        <v>0</v>
      </c>
    </row>
    <row r="102" spans="1:15" ht="12.75" x14ac:dyDescent="0.2">
      <c r="A102" s="187"/>
      <c r="B102" s="42" t="str">
        <f ca="1">IF(A102="","",MAX($B$16:OFFSET(A102,-1,0))+1)</f>
        <v/>
      </c>
      <c r="C102" s="120"/>
      <c r="D102" s="184"/>
      <c r="E102" s="15"/>
      <c r="F102" s="15"/>
      <c r="G102" s="184"/>
      <c r="H102" s="15"/>
      <c r="I102" s="15"/>
      <c r="J102" s="185"/>
      <c r="K102" s="16">
        <f t="shared" si="8"/>
        <v>0</v>
      </c>
      <c r="L102" s="44" t="str">
        <f>IF(AND(COUNTBLANK(D$18:$D101)=0,COUNTBLANK(G$18:$G101)=0),$L$16&amp;$L$15,"дозаполнить")</f>
        <v>дозаполнить</v>
      </c>
      <c r="M102" s="25">
        <f t="shared" si="9"/>
        <v>0</v>
      </c>
      <c r="N102" s="25">
        <f t="shared" si="10"/>
        <v>0</v>
      </c>
      <c r="O102" s="101">
        <f t="shared" si="11"/>
        <v>0</v>
      </c>
    </row>
    <row r="103" spans="1:15" ht="12.75" x14ac:dyDescent="0.2">
      <c r="A103" s="187"/>
      <c r="B103" s="42" t="str">
        <f ca="1">IF(A103="","",MAX($B$16:OFFSET(A103,-1,0))+1)</f>
        <v/>
      </c>
      <c r="C103" s="120"/>
      <c r="D103" s="184"/>
      <c r="E103" s="15"/>
      <c r="F103" s="15"/>
      <c r="G103" s="184"/>
      <c r="H103" s="15"/>
      <c r="I103" s="15"/>
      <c r="J103" s="185"/>
      <c r="K103" s="16">
        <f t="shared" si="8"/>
        <v>0</v>
      </c>
      <c r="L103" s="44" t="str">
        <f>IF(AND(COUNTBLANK(D$18:$D102)=0,COUNTBLANK(G$18:$G102)=0),$L$16&amp;$L$15,"дозаполнить")</f>
        <v>дозаполнить</v>
      </c>
      <c r="M103" s="25">
        <f t="shared" si="9"/>
        <v>0</v>
      </c>
      <c r="N103" s="25">
        <f t="shared" si="10"/>
        <v>0</v>
      </c>
      <c r="O103" s="101">
        <f t="shared" si="11"/>
        <v>0</v>
      </c>
    </row>
    <row r="104" spans="1:15" ht="12.75" x14ac:dyDescent="0.2">
      <c r="A104" s="187"/>
      <c r="B104" s="42" t="str">
        <f ca="1">IF(A104="","",MAX($B$16:OFFSET(A104,-1,0))+1)</f>
        <v/>
      </c>
      <c r="C104" s="120"/>
      <c r="D104" s="184"/>
      <c r="E104" s="15"/>
      <c r="F104" s="15"/>
      <c r="G104" s="184"/>
      <c r="H104" s="15"/>
      <c r="I104" s="15"/>
      <c r="J104" s="185"/>
      <c r="K104" s="16">
        <f t="shared" si="8"/>
        <v>0</v>
      </c>
      <c r="L104" s="44" t="str">
        <f>IF(AND(COUNTBLANK(D$18:$D103)=0,COUNTBLANK(G$18:$G103)=0),$L$16&amp;$L$15,"дозаполнить")</f>
        <v>дозаполнить</v>
      </c>
      <c r="M104" s="25">
        <f t="shared" si="9"/>
        <v>0</v>
      </c>
      <c r="N104" s="25">
        <f t="shared" si="10"/>
        <v>0</v>
      </c>
      <c r="O104" s="101">
        <f t="shared" si="11"/>
        <v>0</v>
      </c>
    </row>
    <row r="105" spans="1:15" ht="12.75" x14ac:dyDescent="0.2">
      <c r="A105" s="187"/>
      <c r="B105" s="42" t="str">
        <f ca="1">IF(A105="","",MAX($B$16:OFFSET(A105,-1,0))+1)</f>
        <v/>
      </c>
      <c r="C105" s="120"/>
      <c r="D105" s="184"/>
      <c r="E105" s="15"/>
      <c r="F105" s="15"/>
      <c r="G105" s="184"/>
      <c r="H105" s="15"/>
      <c r="I105" s="15"/>
      <c r="J105" s="185"/>
      <c r="K105" s="16">
        <f t="shared" si="8"/>
        <v>0</v>
      </c>
      <c r="L105" s="44" t="str">
        <f>IF(AND(COUNTBLANK(D$18:$D104)=0,COUNTBLANK(G$18:$G104)=0),$L$16&amp;$L$15,"дозаполнить")</f>
        <v>дозаполнить</v>
      </c>
      <c r="M105" s="25">
        <f t="shared" si="9"/>
        <v>0</v>
      </c>
      <c r="N105" s="25">
        <f t="shared" si="10"/>
        <v>0</v>
      </c>
      <c r="O105" s="101">
        <f t="shared" si="11"/>
        <v>0</v>
      </c>
    </row>
    <row r="106" spans="1:15" ht="12.75" x14ac:dyDescent="0.2">
      <c r="A106" s="187"/>
      <c r="B106" s="42" t="str">
        <f ca="1">IF(A106="","",MAX($B$16:OFFSET(A106,-1,0))+1)</f>
        <v/>
      </c>
      <c r="C106" s="120"/>
      <c r="D106" s="184"/>
      <c r="E106" s="15"/>
      <c r="F106" s="15"/>
      <c r="G106" s="184"/>
      <c r="H106" s="15"/>
      <c r="I106" s="15"/>
      <c r="J106" s="185"/>
      <c r="K106" s="16">
        <f t="shared" si="8"/>
        <v>0</v>
      </c>
      <c r="L106" s="44" t="str">
        <f>IF(AND(COUNTBLANK(D$18:$D105)=0,COUNTBLANK(G$18:$G105)=0),$L$16&amp;$L$15,"дозаполнить")</f>
        <v>дозаполнить</v>
      </c>
      <c r="M106" s="25">
        <f t="shared" si="9"/>
        <v>0</v>
      </c>
      <c r="N106" s="25">
        <f t="shared" si="10"/>
        <v>0</v>
      </c>
      <c r="O106" s="101">
        <f t="shared" si="11"/>
        <v>0</v>
      </c>
    </row>
    <row r="107" spans="1:15" ht="12.75" x14ac:dyDescent="0.2">
      <c r="A107" s="187"/>
      <c r="B107" s="42" t="str">
        <f ca="1">IF(A107="","",MAX($B$16:OFFSET(A107,-1,0))+1)</f>
        <v/>
      </c>
      <c r="C107" s="120"/>
      <c r="D107" s="184"/>
      <c r="E107" s="15"/>
      <c r="F107" s="15"/>
      <c r="G107" s="184"/>
      <c r="H107" s="15"/>
      <c r="I107" s="15"/>
      <c r="J107" s="185"/>
      <c r="K107" s="16">
        <f t="shared" si="8"/>
        <v>0</v>
      </c>
      <c r="L107" s="44" t="str">
        <f>IF(AND(COUNTBLANK(D$18:$D106)=0,COUNTBLANK(G$18:$G106)=0),$L$16&amp;$L$15,"дозаполнить")</f>
        <v>дозаполнить</v>
      </c>
      <c r="M107" s="25">
        <f t="shared" si="9"/>
        <v>0</v>
      </c>
      <c r="N107" s="25">
        <f t="shared" si="10"/>
        <v>0</v>
      </c>
      <c r="O107" s="101">
        <f t="shared" si="11"/>
        <v>0</v>
      </c>
    </row>
    <row r="108" spans="1:15" ht="12.75" x14ac:dyDescent="0.2">
      <c r="A108" s="187"/>
      <c r="B108" s="42" t="str">
        <f ca="1">IF(A108="","",MAX($B$16:OFFSET(A108,-1,0))+1)</f>
        <v/>
      </c>
      <c r="C108" s="120"/>
      <c r="D108" s="184"/>
      <c r="E108" s="15"/>
      <c r="F108" s="15"/>
      <c r="G108" s="184"/>
      <c r="H108" s="15"/>
      <c r="I108" s="15"/>
      <c r="J108" s="185"/>
      <c r="K108" s="16">
        <f t="shared" si="8"/>
        <v>0</v>
      </c>
      <c r="L108" s="44" t="str">
        <f>IF(AND(COUNTBLANK(D$18:$D107)=0,COUNTBLANK(G$18:$G107)=0),$L$16&amp;$L$15,"дозаполнить")</f>
        <v>дозаполнить</v>
      </c>
      <c r="M108" s="25">
        <f t="shared" si="9"/>
        <v>0</v>
      </c>
      <c r="N108" s="25">
        <f t="shared" si="10"/>
        <v>0</v>
      </c>
      <c r="O108" s="101">
        <f t="shared" si="11"/>
        <v>0</v>
      </c>
    </row>
    <row r="109" spans="1:15" ht="12.75" x14ac:dyDescent="0.2">
      <c r="A109" s="187"/>
      <c r="B109" s="42" t="str">
        <f ca="1">IF(A109="","",MAX($B$16:OFFSET(A109,-1,0))+1)</f>
        <v/>
      </c>
      <c r="C109" s="120"/>
      <c r="D109" s="184"/>
      <c r="E109" s="15"/>
      <c r="F109" s="15"/>
      <c r="G109" s="184"/>
      <c r="H109" s="15"/>
      <c r="I109" s="15"/>
      <c r="J109" s="185"/>
      <c r="K109" s="16">
        <f t="shared" si="8"/>
        <v>0</v>
      </c>
      <c r="L109" s="44" t="str">
        <f>IF(AND(COUNTBLANK(D$18:$D108)=0,COUNTBLANK(G$18:$G108)=0),$L$16&amp;$L$15,"дозаполнить")</f>
        <v>дозаполнить</v>
      </c>
      <c r="M109" s="25">
        <f t="shared" si="9"/>
        <v>0</v>
      </c>
      <c r="N109" s="25">
        <f t="shared" si="10"/>
        <v>0</v>
      </c>
      <c r="O109" s="101">
        <f t="shared" si="11"/>
        <v>0</v>
      </c>
    </row>
    <row r="110" spans="1:15" ht="12.75" x14ac:dyDescent="0.2">
      <c r="A110" s="187"/>
      <c r="B110" s="42" t="str">
        <f ca="1">IF(A110="","",MAX($B$16:OFFSET(A110,-1,0))+1)</f>
        <v/>
      </c>
      <c r="C110" s="120"/>
      <c r="D110" s="184"/>
      <c r="E110" s="15"/>
      <c r="F110" s="15"/>
      <c r="G110" s="184"/>
      <c r="H110" s="15"/>
      <c r="I110" s="15"/>
      <c r="J110" s="185"/>
      <c r="K110" s="16">
        <f t="shared" si="8"/>
        <v>0</v>
      </c>
      <c r="L110" s="44" t="str">
        <f>IF(AND(COUNTBLANK(D$18:$D109)=0,COUNTBLANK(G$18:$G109)=0),$L$16&amp;$L$15,"дозаполнить")</f>
        <v>дозаполнить</v>
      </c>
      <c r="M110" s="25">
        <f t="shared" si="9"/>
        <v>0</v>
      </c>
      <c r="N110" s="25">
        <f t="shared" si="10"/>
        <v>0</v>
      </c>
      <c r="O110" s="101">
        <f t="shared" si="11"/>
        <v>0</v>
      </c>
    </row>
    <row r="111" spans="1:15" ht="12.75" x14ac:dyDescent="0.2">
      <c r="A111" s="187"/>
      <c r="B111" s="42" t="str">
        <f ca="1">IF(A111="","",MAX($B$16:OFFSET(A111,-1,0))+1)</f>
        <v/>
      </c>
      <c r="C111" s="120"/>
      <c r="D111" s="184"/>
      <c r="E111" s="15"/>
      <c r="F111" s="15"/>
      <c r="G111" s="184"/>
      <c r="H111" s="15"/>
      <c r="I111" s="15"/>
      <c r="J111" s="185"/>
      <c r="K111" s="16">
        <f t="shared" si="8"/>
        <v>0</v>
      </c>
      <c r="L111" s="44" t="str">
        <f>IF(AND(COUNTBLANK(D$18:$D110)=0,COUNTBLANK(G$18:$G110)=0),$L$16&amp;$L$15,"дозаполнить")</f>
        <v>дозаполнить</v>
      </c>
      <c r="M111" s="25">
        <f t="shared" si="9"/>
        <v>0</v>
      </c>
      <c r="N111" s="25">
        <f t="shared" si="10"/>
        <v>0</v>
      </c>
      <c r="O111" s="101">
        <f t="shared" si="11"/>
        <v>0</v>
      </c>
    </row>
    <row r="112" spans="1:15" ht="12.75" x14ac:dyDescent="0.2">
      <c r="A112" s="187"/>
      <c r="B112" s="42" t="str">
        <f ca="1">IF(A112="","",MAX($B$16:OFFSET(A112,-1,0))+1)</f>
        <v/>
      </c>
      <c r="C112" s="120"/>
      <c r="D112" s="184"/>
      <c r="E112" s="15"/>
      <c r="F112" s="15"/>
      <c r="G112" s="184"/>
      <c r="H112" s="15"/>
      <c r="I112" s="15"/>
      <c r="J112" s="185"/>
      <c r="K112" s="16">
        <f t="shared" si="8"/>
        <v>0</v>
      </c>
      <c r="L112" s="44" t="str">
        <f>IF(AND(COUNTBLANK(D$18:$D111)=0,COUNTBLANK(G$18:$G111)=0),$L$16&amp;$L$15,"дозаполнить")</f>
        <v>дозаполнить</v>
      </c>
      <c r="M112" s="25">
        <f t="shared" si="9"/>
        <v>0</v>
      </c>
      <c r="N112" s="25">
        <f t="shared" si="10"/>
        <v>0</v>
      </c>
      <c r="O112" s="101">
        <f t="shared" si="11"/>
        <v>0</v>
      </c>
    </row>
    <row r="113" spans="1:15" ht="12.75" x14ac:dyDescent="0.2">
      <c r="A113" s="187"/>
      <c r="B113" s="42" t="str">
        <f ca="1">IF(A113="","",MAX($B$16:OFFSET(A113,-1,0))+1)</f>
        <v/>
      </c>
      <c r="C113" s="120"/>
      <c r="D113" s="184"/>
      <c r="E113" s="15"/>
      <c r="F113" s="15"/>
      <c r="G113" s="184"/>
      <c r="H113" s="15"/>
      <c r="I113" s="15"/>
      <c r="J113" s="185"/>
      <c r="K113" s="16">
        <f t="shared" si="8"/>
        <v>0</v>
      </c>
      <c r="L113" s="44" t="str">
        <f>IF(AND(COUNTBLANK(D$18:$D112)=0,COUNTBLANK(G$18:$G112)=0),$L$16&amp;$L$15,"дозаполнить")</f>
        <v>дозаполнить</v>
      </c>
      <c r="M113" s="25">
        <f t="shared" si="9"/>
        <v>0</v>
      </c>
      <c r="N113" s="25">
        <f t="shared" si="10"/>
        <v>0</v>
      </c>
      <c r="O113" s="101">
        <f t="shared" si="11"/>
        <v>0</v>
      </c>
    </row>
    <row r="114" spans="1:15" ht="12.75" x14ac:dyDescent="0.2">
      <c r="A114" s="187"/>
      <c r="B114" s="42" t="str">
        <f ca="1">IF(A114="","",MAX($B$16:OFFSET(A114,-1,0))+1)</f>
        <v/>
      </c>
      <c r="C114" s="120"/>
      <c r="D114" s="184"/>
      <c r="E114" s="15"/>
      <c r="F114" s="15"/>
      <c r="G114" s="184"/>
      <c r="H114" s="15"/>
      <c r="I114" s="15"/>
      <c r="J114" s="185"/>
      <c r="K114" s="16">
        <f t="shared" si="8"/>
        <v>0</v>
      </c>
      <c r="L114" s="44" t="str">
        <f>IF(AND(COUNTBLANK(D$18:$D113)=0,COUNTBLANK(G$18:$G113)=0),$L$16&amp;$L$15,"дозаполнить")</f>
        <v>дозаполнить</v>
      </c>
      <c r="M114" s="25">
        <f t="shared" si="9"/>
        <v>0</v>
      </c>
      <c r="N114" s="25">
        <f t="shared" si="10"/>
        <v>0</v>
      </c>
      <c r="O114" s="101">
        <f t="shared" si="11"/>
        <v>0</v>
      </c>
    </row>
    <row r="115" spans="1:15" ht="12.75" x14ac:dyDescent="0.2">
      <c r="A115" s="187"/>
      <c r="B115" s="42" t="str">
        <f ca="1">IF(A115="","",MAX($B$16:OFFSET(A115,-1,0))+1)</f>
        <v/>
      </c>
      <c r="C115" s="120"/>
      <c r="D115" s="184"/>
      <c r="E115" s="15"/>
      <c r="F115" s="15"/>
      <c r="G115" s="184"/>
      <c r="H115" s="15"/>
      <c r="I115" s="15"/>
      <c r="J115" s="185"/>
      <c r="K115" s="16">
        <f t="shared" si="8"/>
        <v>0</v>
      </c>
      <c r="L115" s="44" t="str">
        <f>IF(AND(COUNTBLANK(D$18:$D114)=0,COUNTBLANK(G$18:$G114)=0),$L$16&amp;$L$15,"дозаполнить")</f>
        <v>дозаполнить</v>
      </c>
      <c r="M115" s="25">
        <f t="shared" si="9"/>
        <v>0</v>
      </c>
      <c r="N115" s="25">
        <f t="shared" si="10"/>
        <v>0</v>
      </c>
      <c r="O115" s="101">
        <f t="shared" si="11"/>
        <v>0</v>
      </c>
    </row>
    <row r="116" spans="1:15" ht="12.75" x14ac:dyDescent="0.2">
      <c r="A116" s="187"/>
      <c r="B116" s="42" t="str">
        <f ca="1">IF(A116="","",MAX($B$16:OFFSET(A116,-1,0))+1)</f>
        <v/>
      </c>
      <c r="C116" s="120"/>
      <c r="D116" s="184"/>
      <c r="E116" s="15"/>
      <c r="F116" s="15"/>
      <c r="G116" s="184"/>
      <c r="H116" s="15"/>
      <c r="I116" s="15"/>
      <c r="J116" s="185"/>
      <c r="K116" s="16">
        <f t="shared" si="8"/>
        <v>0</v>
      </c>
      <c r="L116" s="44" t="str">
        <f>IF(AND(COUNTBLANK(D$18:$D115)=0,COUNTBLANK(G$18:$G115)=0),$L$16&amp;$L$15,"дозаполнить")</f>
        <v>дозаполнить</v>
      </c>
      <c r="M116" s="25">
        <f t="shared" si="9"/>
        <v>0</v>
      </c>
      <c r="N116" s="25">
        <f t="shared" si="10"/>
        <v>0</v>
      </c>
      <c r="O116" s="101">
        <f t="shared" si="11"/>
        <v>0</v>
      </c>
    </row>
    <row r="117" spans="1:15" ht="12.75" x14ac:dyDescent="0.2">
      <c r="A117" s="187"/>
      <c r="B117" s="42" t="str">
        <f ca="1">IF(A117="","",MAX($B$16:OFFSET(A117,-1,0))+1)</f>
        <v/>
      </c>
      <c r="C117" s="120"/>
      <c r="D117" s="184"/>
      <c r="E117" s="15"/>
      <c r="F117" s="15"/>
      <c r="G117" s="184"/>
      <c r="H117" s="15"/>
      <c r="I117" s="15"/>
      <c r="J117" s="185"/>
      <c r="K117" s="16">
        <f t="shared" si="8"/>
        <v>0</v>
      </c>
      <c r="L117" s="44" t="str">
        <f>IF(AND(COUNTBLANK(D$18:$D116)=0,COUNTBLANK(G$18:$G116)=0),$L$16&amp;$L$15,"дозаполнить")</f>
        <v>дозаполнить</v>
      </c>
      <c r="M117" s="25">
        <f t="shared" si="9"/>
        <v>0</v>
      </c>
      <c r="N117" s="25">
        <f t="shared" si="10"/>
        <v>0</v>
      </c>
      <c r="O117" s="101">
        <f t="shared" si="11"/>
        <v>0</v>
      </c>
    </row>
    <row r="118" spans="1:15" ht="12.75" x14ac:dyDescent="0.2">
      <c r="A118" s="187"/>
      <c r="B118" s="42" t="str">
        <f ca="1">IF(A118="","",MAX($B$16:OFFSET(A118,-1,0))+1)</f>
        <v/>
      </c>
      <c r="C118" s="120"/>
      <c r="D118" s="184"/>
      <c r="E118" s="15"/>
      <c r="F118" s="15"/>
      <c r="G118" s="184"/>
      <c r="H118" s="15"/>
      <c r="I118" s="15"/>
      <c r="J118" s="185"/>
      <c r="K118" s="16">
        <f t="shared" si="8"/>
        <v>0</v>
      </c>
      <c r="L118" s="44" t="str">
        <f>IF(AND(COUNTBLANK(D$18:$D117)=0,COUNTBLANK(G$18:$G117)=0),$L$16&amp;$L$15,"дозаполнить")</f>
        <v>дозаполнить</v>
      </c>
      <c r="M118" s="25">
        <f t="shared" si="9"/>
        <v>0</v>
      </c>
      <c r="N118" s="25">
        <f t="shared" si="10"/>
        <v>0</v>
      </c>
      <c r="O118" s="101">
        <f t="shared" si="11"/>
        <v>0</v>
      </c>
    </row>
    <row r="119" spans="1:15" ht="12.75" x14ac:dyDescent="0.2">
      <c r="A119" s="187"/>
      <c r="B119" s="42" t="str">
        <f ca="1">IF(A119="","",MAX($B$16:OFFSET(A119,-1,0))+1)</f>
        <v/>
      </c>
      <c r="C119" s="120"/>
      <c r="D119" s="184"/>
      <c r="E119" s="15"/>
      <c r="F119" s="15"/>
      <c r="G119" s="184"/>
      <c r="H119" s="15"/>
      <c r="I119" s="15"/>
      <c r="J119" s="185"/>
      <c r="K119" s="16">
        <f t="shared" si="8"/>
        <v>0</v>
      </c>
      <c r="L119" s="44" t="str">
        <f>IF(AND(COUNTBLANK(D$18:$D118)=0,COUNTBLANK(G$18:$G118)=0),$L$16&amp;$L$15,"дозаполнить")</f>
        <v>дозаполнить</v>
      </c>
      <c r="M119" s="25">
        <f t="shared" si="9"/>
        <v>0</v>
      </c>
      <c r="N119" s="25">
        <f t="shared" si="10"/>
        <v>0</v>
      </c>
      <c r="O119" s="101">
        <f t="shared" si="11"/>
        <v>0</v>
      </c>
    </row>
    <row r="120" spans="1:15" ht="12.75" x14ac:dyDescent="0.2">
      <c r="A120" s="187"/>
      <c r="B120" s="42" t="str">
        <f ca="1">IF(A120="","",MAX($B$16:OFFSET(A120,-1,0))+1)</f>
        <v/>
      </c>
      <c r="C120" s="120"/>
      <c r="D120" s="184"/>
      <c r="E120" s="15"/>
      <c r="F120" s="15"/>
      <c r="G120" s="184"/>
      <c r="H120" s="15"/>
      <c r="I120" s="15"/>
      <c r="J120" s="185"/>
      <c r="K120" s="16">
        <f t="shared" si="8"/>
        <v>0</v>
      </c>
      <c r="L120" s="44" t="str">
        <f>IF(AND(COUNTBLANK(D$18:$D119)=0,COUNTBLANK(G$18:$G119)=0),$L$16&amp;$L$15,"дозаполнить")</f>
        <v>дозаполнить</v>
      </c>
      <c r="M120" s="25">
        <f t="shared" si="9"/>
        <v>0</v>
      </c>
      <c r="N120" s="25">
        <f t="shared" si="10"/>
        <v>0</v>
      </c>
      <c r="O120" s="101">
        <f t="shared" si="11"/>
        <v>0</v>
      </c>
    </row>
    <row r="121" spans="1:15" ht="12.75" x14ac:dyDescent="0.2">
      <c r="A121" s="187"/>
      <c r="B121" s="42" t="str">
        <f ca="1">IF(A121="","",MAX($B$16:OFFSET(A121,-1,0))+1)</f>
        <v/>
      </c>
      <c r="C121" s="120"/>
      <c r="D121" s="184"/>
      <c r="E121" s="15"/>
      <c r="F121" s="15"/>
      <c r="G121" s="184"/>
      <c r="H121" s="15"/>
      <c r="I121" s="15"/>
      <c r="J121" s="185"/>
      <c r="K121" s="16">
        <f t="shared" si="8"/>
        <v>0</v>
      </c>
      <c r="L121" s="44" t="str">
        <f>IF(AND(COUNTBLANK(D$18:$D120)=0,COUNTBLANK(G$18:$G120)=0),$L$16&amp;$L$15,"дозаполнить")</f>
        <v>дозаполнить</v>
      </c>
      <c r="M121" s="25">
        <f t="shared" si="9"/>
        <v>0</v>
      </c>
      <c r="N121" s="25">
        <f t="shared" si="10"/>
        <v>0</v>
      </c>
      <c r="O121" s="101">
        <f t="shared" si="11"/>
        <v>0</v>
      </c>
    </row>
    <row r="122" spans="1:15" ht="12.75" x14ac:dyDescent="0.2">
      <c r="A122" s="187"/>
      <c r="B122" s="42" t="str">
        <f ca="1">IF(A122="","",MAX($B$16:OFFSET(A122,-1,0))+1)</f>
        <v/>
      </c>
      <c r="C122" s="120"/>
      <c r="D122" s="184"/>
      <c r="E122" s="15"/>
      <c r="F122" s="15"/>
      <c r="G122" s="184"/>
      <c r="H122" s="15"/>
      <c r="I122" s="15"/>
      <c r="J122" s="185"/>
      <c r="K122" s="16">
        <f t="shared" si="8"/>
        <v>0</v>
      </c>
      <c r="L122" s="44" t="str">
        <f>IF(AND(COUNTBLANK(D$18:$D121)=0,COUNTBLANK(G$18:$G121)=0),$L$16&amp;$L$15,"дозаполнить")</f>
        <v>дозаполнить</v>
      </c>
      <c r="M122" s="25">
        <f t="shared" si="9"/>
        <v>0</v>
      </c>
      <c r="N122" s="25">
        <f t="shared" si="10"/>
        <v>0</v>
      </c>
      <c r="O122" s="101">
        <f t="shared" si="11"/>
        <v>0</v>
      </c>
    </row>
    <row r="123" spans="1:15" ht="12.75" x14ac:dyDescent="0.2">
      <c r="A123" s="187"/>
      <c r="B123" s="42" t="str">
        <f ca="1">IF(A123="","",MAX($B$16:OFFSET(A123,-1,0))+1)</f>
        <v/>
      </c>
      <c r="C123" s="120"/>
      <c r="D123" s="184"/>
      <c r="E123" s="15"/>
      <c r="F123" s="15"/>
      <c r="G123" s="184"/>
      <c r="H123" s="15"/>
      <c r="I123" s="15"/>
      <c r="J123" s="185"/>
      <c r="K123" s="16">
        <f t="shared" si="8"/>
        <v>0</v>
      </c>
      <c r="L123" s="44" t="str">
        <f>IF(AND(COUNTBLANK(D$18:$D122)=0,COUNTBLANK(G$18:$G122)=0),$L$16&amp;$L$15,"дозаполнить")</f>
        <v>дозаполнить</v>
      </c>
      <c r="M123" s="25">
        <f t="shared" si="9"/>
        <v>0</v>
      </c>
      <c r="N123" s="25">
        <f t="shared" si="10"/>
        <v>0</v>
      </c>
      <c r="O123" s="101">
        <f t="shared" si="11"/>
        <v>0</v>
      </c>
    </row>
    <row r="124" spans="1:15" ht="12.75" x14ac:dyDescent="0.2">
      <c r="A124" s="187"/>
      <c r="B124" s="42" t="str">
        <f ca="1">IF(A124="","",MAX($B$16:OFFSET(A124,-1,0))+1)</f>
        <v/>
      </c>
      <c r="C124" s="120"/>
      <c r="D124" s="184"/>
      <c r="E124" s="15"/>
      <c r="F124" s="15"/>
      <c r="G124" s="184"/>
      <c r="H124" s="15"/>
      <c r="I124" s="15"/>
      <c r="J124" s="185"/>
      <c r="K124" s="16">
        <f t="shared" si="8"/>
        <v>0</v>
      </c>
      <c r="L124" s="44" t="str">
        <f>IF(AND(COUNTBLANK(D$18:$D123)=0,COUNTBLANK(G$18:$G123)=0),$L$16&amp;$L$15,"дозаполнить")</f>
        <v>дозаполнить</v>
      </c>
      <c r="M124" s="25">
        <f t="shared" si="9"/>
        <v>0</v>
      </c>
      <c r="N124" s="25">
        <f t="shared" si="10"/>
        <v>0</v>
      </c>
      <c r="O124" s="101">
        <f t="shared" si="11"/>
        <v>0</v>
      </c>
    </row>
    <row r="125" spans="1:15" ht="12.75" x14ac:dyDescent="0.2">
      <c r="A125" s="187"/>
      <c r="B125" s="42" t="str">
        <f ca="1">IF(A125="","",MAX($B$16:OFFSET(A125,-1,0))+1)</f>
        <v/>
      </c>
      <c r="C125" s="120"/>
      <c r="D125" s="184"/>
      <c r="E125" s="15"/>
      <c r="F125" s="15"/>
      <c r="G125" s="184"/>
      <c r="H125" s="15"/>
      <c r="I125" s="15"/>
      <c r="J125" s="185"/>
      <c r="K125" s="16">
        <f t="shared" si="8"/>
        <v>0</v>
      </c>
      <c r="L125" s="44" t="str">
        <f>IF(AND(COUNTBLANK(D$18:$D124)=0,COUNTBLANK(G$18:$G124)=0),$L$16&amp;$L$15,"дозаполнить")</f>
        <v>дозаполнить</v>
      </c>
      <c r="M125" s="25">
        <f t="shared" si="9"/>
        <v>0</v>
      </c>
      <c r="N125" s="25">
        <f t="shared" si="10"/>
        <v>0</v>
      </c>
      <c r="O125" s="101">
        <f t="shared" si="11"/>
        <v>0</v>
      </c>
    </row>
    <row r="126" spans="1:15" ht="12.75" x14ac:dyDescent="0.2">
      <c r="A126" s="187"/>
      <c r="B126" s="42" t="str">
        <f ca="1">IF(A126="","",MAX($B$16:OFFSET(A126,-1,0))+1)</f>
        <v/>
      </c>
      <c r="C126" s="120"/>
      <c r="D126" s="184"/>
      <c r="E126" s="15"/>
      <c r="F126" s="15"/>
      <c r="G126" s="184"/>
      <c r="H126" s="15"/>
      <c r="I126" s="15"/>
      <c r="J126" s="185"/>
      <c r="K126" s="16">
        <f t="shared" si="8"/>
        <v>0</v>
      </c>
      <c r="L126" s="44" t="str">
        <f>IF(AND(COUNTBLANK(D$18:$D125)=0,COUNTBLANK(G$18:$G125)=0),$L$16&amp;$L$15,"дозаполнить")</f>
        <v>дозаполнить</v>
      </c>
      <c r="M126" s="25">
        <f t="shared" si="9"/>
        <v>0</v>
      </c>
      <c r="N126" s="25">
        <f t="shared" si="10"/>
        <v>0</v>
      </c>
      <c r="O126" s="101">
        <f t="shared" si="11"/>
        <v>0</v>
      </c>
    </row>
    <row r="127" spans="1:15" ht="12.75" x14ac:dyDescent="0.2">
      <c r="A127" s="187"/>
      <c r="B127" s="42" t="str">
        <f ca="1">IF(A127="","",MAX($B$16:OFFSET(A127,-1,0))+1)</f>
        <v/>
      </c>
      <c r="C127" s="120"/>
      <c r="D127" s="184"/>
      <c r="E127" s="15"/>
      <c r="F127" s="15"/>
      <c r="G127" s="184"/>
      <c r="H127" s="15"/>
      <c r="I127" s="15"/>
      <c r="J127" s="185"/>
      <c r="K127" s="16">
        <f t="shared" si="8"/>
        <v>0</v>
      </c>
      <c r="L127" s="44" t="str">
        <f>IF(AND(COUNTBLANK(D$18:$D126)=0,COUNTBLANK(G$18:$G126)=0),$L$16&amp;$L$15,"дозаполнить")</f>
        <v>дозаполнить</v>
      </c>
      <c r="M127" s="25">
        <f t="shared" si="9"/>
        <v>0</v>
      </c>
      <c r="N127" s="25">
        <f t="shared" si="10"/>
        <v>0</v>
      </c>
      <c r="O127" s="101">
        <f t="shared" si="11"/>
        <v>0</v>
      </c>
    </row>
    <row r="128" spans="1:15" ht="12.75" x14ac:dyDescent="0.2">
      <c r="A128" s="187"/>
      <c r="B128" s="42" t="str">
        <f ca="1">IF(A128="","",MAX($B$16:OFFSET(A128,-1,0))+1)</f>
        <v/>
      </c>
      <c r="C128" s="120"/>
      <c r="D128" s="184"/>
      <c r="E128" s="15"/>
      <c r="F128" s="15"/>
      <c r="G128" s="184"/>
      <c r="H128" s="15"/>
      <c r="I128" s="15"/>
      <c r="J128" s="185"/>
      <c r="K128" s="16">
        <f t="shared" si="8"/>
        <v>0</v>
      </c>
      <c r="L128" s="44" t="str">
        <f>IF(AND(COUNTBLANK(D$18:$D127)=0,COUNTBLANK(G$18:$G127)=0),$L$16&amp;$L$15,"дозаполнить")</f>
        <v>дозаполнить</v>
      </c>
      <c r="M128" s="25">
        <f t="shared" si="9"/>
        <v>0</v>
      </c>
      <c r="N128" s="25">
        <f t="shared" si="10"/>
        <v>0</v>
      </c>
      <c r="O128" s="101">
        <f t="shared" si="11"/>
        <v>0</v>
      </c>
    </row>
    <row r="129" spans="1:15" ht="12.75" x14ac:dyDescent="0.2">
      <c r="A129" s="187"/>
      <c r="B129" s="42" t="str">
        <f ca="1">IF(A129="","",MAX($B$16:OFFSET(A129,-1,0))+1)</f>
        <v/>
      </c>
      <c r="C129" s="120"/>
      <c r="D129" s="184"/>
      <c r="E129" s="15"/>
      <c r="F129" s="15"/>
      <c r="G129" s="184"/>
      <c r="H129" s="15"/>
      <c r="I129" s="15"/>
      <c r="J129" s="185"/>
      <c r="K129" s="16">
        <f t="shared" si="8"/>
        <v>0</v>
      </c>
      <c r="L129" s="44" t="str">
        <f>IF(AND(COUNTBLANK(D$18:$D128)=0,COUNTBLANK(G$18:$G128)=0),$L$16&amp;$L$15,"дозаполнить")</f>
        <v>дозаполнить</v>
      </c>
      <c r="M129" s="25">
        <f t="shared" si="9"/>
        <v>0</v>
      </c>
      <c r="N129" s="25">
        <f t="shared" si="10"/>
        <v>0</v>
      </c>
      <c r="O129" s="101">
        <f t="shared" si="11"/>
        <v>0</v>
      </c>
    </row>
    <row r="130" spans="1:15" ht="12.75" x14ac:dyDescent="0.2">
      <c r="A130" s="187"/>
      <c r="B130" s="42" t="str">
        <f ca="1">IF(A130="","",MAX($B$16:OFFSET(A130,-1,0))+1)</f>
        <v/>
      </c>
      <c r="C130" s="120"/>
      <c r="D130" s="184"/>
      <c r="E130" s="15"/>
      <c r="F130" s="15"/>
      <c r="G130" s="184"/>
      <c r="H130" s="15"/>
      <c r="I130" s="15"/>
      <c r="J130" s="185"/>
      <c r="K130" s="16">
        <f t="shared" si="8"/>
        <v>0</v>
      </c>
      <c r="L130" s="44" t="str">
        <f>IF(AND(COUNTBLANK(D$18:$D129)=0,COUNTBLANK(G$18:$G129)=0),$L$16&amp;$L$15,"дозаполнить")</f>
        <v>дозаполнить</v>
      </c>
      <c r="M130" s="25">
        <f t="shared" si="9"/>
        <v>0</v>
      </c>
      <c r="N130" s="25">
        <f t="shared" si="10"/>
        <v>0</v>
      </c>
      <c r="O130" s="101">
        <f t="shared" si="11"/>
        <v>0</v>
      </c>
    </row>
    <row r="131" spans="1:15" ht="12.75" x14ac:dyDescent="0.2">
      <c r="A131" s="187"/>
      <c r="B131" s="42" t="str">
        <f ca="1">IF(A131="","",MAX($B$16:OFFSET(A131,-1,0))+1)</f>
        <v/>
      </c>
      <c r="C131" s="120"/>
      <c r="D131" s="184"/>
      <c r="E131" s="15"/>
      <c r="F131" s="15"/>
      <c r="G131" s="184"/>
      <c r="H131" s="15"/>
      <c r="I131" s="15"/>
      <c r="J131" s="185"/>
      <c r="K131" s="16">
        <f t="shared" si="8"/>
        <v>0</v>
      </c>
      <c r="L131" s="44" t="str">
        <f>IF(AND(COUNTBLANK(D$18:$D130)=0,COUNTBLANK(G$18:$G130)=0),$L$16&amp;$L$15,"дозаполнить")</f>
        <v>дозаполнить</v>
      </c>
      <c r="M131" s="25">
        <f t="shared" si="9"/>
        <v>0</v>
      </c>
      <c r="N131" s="25">
        <f t="shared" si="10"/>
        <v>0</v>
      </c>
      <c r="O131" s="101">
        <f t="shared" si="11"/>
        <v>0</v>
      </c>
    </row>
    <row r="132" spans="1:15" ht="12.75" x14ac:dyDescent="0.2">
      <c r="A132" s="187"/>
      <c r="B132" s="42" t="str">
        <f ca="1">IF(A132="","",MAX($B$16:OFFSET(A132,-1,0))+1)</f>
        <v/>
      </c>
      <c r="C132" s="120"/>
      <c r="D132" s="184"/>
      <c r="E132" s="15"/>
      <c r="F132" s="15"/>
      <c r="G132" s="184"/>
      <c r="H132" s="15"/>
      <c r="I132" s="15"/>
      <c r="J132" s="185"/>
      <c r="K132" s="16">
        <f t="shared" si="8"/>
        <v>0</v>
      </c>
      <c r="L132" s="44" t="str">
        <f>IF(AND(COUNTBLANK(D$18:$D131)=0,COUNTBLANK(G$18:$G131)=0),$L$16&amp;$L$15,"дозаполнить")</f>
        <v>дозаполнить</v>
      </c>
      <c r="M132" s="25">
        <f t="shared" si="9"/>
        <v>0</v>
      </c>
      <c r="N132" s="25">
        <f t="shared" si="10"/>
        <v>0</v>
      </c>
      <c r="O132" s="101">
        <f t="shared" si="11"/>
        <v>0</v>
      </c>
    </row>
    <row r="133" spans="1:15" ht="12.75" x14ac:dyDescent="0.2">
      <c r="A133" s="187"/>
      <c r="B133" s="42" t="str">
        <f ca="1">IF(A133="","",MAX($B$16:OFFSET(A133,-1,0))+1)</f>
        <v/>
      </c>
      <c r="C133" s="120"/>
      <c r="D133" s="184"/>
      <c r="E133" s="15"/>
      <c r="F133" s="15"/>
      <c r="G133" s="184"/>
      <c r="H133" s="15"/>
      <c r="I133" s="15"/>
      <c r="J133" s="185"/>
      <c r="K133" s="16">
        <f t="shared" si="8"/>
        <v>0</v>
      </c>
      <c r="L133" s="44" t="str">
        <f>IF(AND(COUNTBLANK(D$18:$D132)=0,COUNTBLANK(G$18:$G132)=0),$L$16&amp;$L$15,"дозаполнить")</f>
        <v>дозаполнить</v>
      </c>
      <c r="M133" s="25">
        <f t="shared" si="9"/>
        <v>0</v>
      </c>
      <c r="N133" s="25">
        <f t="shared" si="10"/>
        <v>0</v>
      </c>
      <c r="O133" s="101">
        <f t="shared" si="11"/>
        <v>0</v>
      </c>
    </row>
    <row r="134" spans="1:15" ht="12.75" x14ac:dyDescent="0.2">
      <c r="A134" s="187"/>
      <c r="B134" s="42" t="str">
        <f ca="1">IF(A134="","",MAX($B$16:OFFSET(A134,-1,0))+1)</f>
        <v/>
      </c>
      <c r="C134" s="120"/>
      <c r="D134" s="184"/>
      <c r="E134" s="15"/>
      <c r="F134" s="15"/>
      <c r="G134" s="184"/>
      <c r="H134" s="15"/>
      <c r="I134" s="15"/>
      <c r="J134" s="185"/>
      <c r="K134" s="16">
        <f t="shared" si="8"/>
        <v>0</v>
      </c>
      <c r="L134" s="44" t="str">
        <f>IF(AND(COUNTBLANK(D$18:$D133)=0,COUNTBLANK(G$18:$G133)=0),$L$16&amp;$L$15,"дозаполнить")</f>
        <v>дозаполнить</v>
      </c>
      <c r="M134" s="25">
        <f t="shared" si="9"/>
        <v>0</v>
      </c>
      <c r="N134" s="25">
        <f t="shared" si="10"/>
        <v>0</v>
      </c>
      <c r="O134" s="101">
        <f t="shared" si="11"/>
        <v>0</v>
      </c>
    </row>
    <row r="135" spans="1:15" ht="12.75" x14ac:dyDescent="0.2">
      <c r="A135" s="187"/>
      <c r="B135" s="42" t="str">
        <f ca="1">IF(A135="","",MAX($B$16:OFFSET(A135,-1,0))+1)</f>
        <v/>
      </c>
      <c r="C135" s="120"/>
      <c r="D135" s="184"/>
      <c r="E135" s="15"/>
      <c r="F135" s="15"/>
      <c r="G135" s="184"/>
      <c r="H135" s="15"/>
      <c r="I135" s="15"/>
      <c r="J135" s="185"/>
      <c r="K135" s="16">
        <f t="shared" si="8"/>
        <v>0</v>
      </c>
      <c r="L135" s="44" t="str">
        <f>IF(AND(COUNTBLANK(D$18:$D134)=0,COUNTBLANK(G$18:$G134)=0),$L$16&amp;$L$15,"дозаполнить")</f>
        <v>дозаполнить</v>
      </c>
      <c r="M135" s="25">
        <f t="shared" si="9"/>
        <v>0</v>
      </c>
      <c r="N135" s="25">
        <f t="shared" si="10"/>
        <v>0</v>
      </c>
      <c r="O135" s="101">
        <f t="shared" si="11"/>
        <v>0</v>
      </c>
    </row>
    <row r="136" spans="1:15" ht="12.75" x14ac:dyDescent="0.2">
      <c r="A136" s="187"/>
      <c r="B136" s="42" t="str">
        <f ca="1">IF(A136="","",MAX($B$16:OFFSET(A136,-1,0))+1)</f>
        <v/>
      </c>
      <c r="C136" s="120"/>
      <c r="D136" s="184"/>
      <c r="E136" s="15"/>
      <c r="F136" s="15"/>
      <c r="G136" s="184"/>
      <c r="H136" s="15"/>
      <c r="I136" s="15"/>
      <c r="J136" s="185"/>
      <c r="K136" s="16">
        <f t="shared" si="8"/>
        <v>0</v>
      </c>
      <c r="L136" s="44" t="str">
        <f>IF(AND(COUNTBLANK(D$18:$D135)=0,COUNTBLANK(G$18:$G135)=0),$L$16&amp;$L$15,"дозаполнить")</f>
        <v>дозаполнить</v>
      </c>
      <c r="M136" s="25">
        <f t="shared" si="9"/>
        <v>0</v>
      </c>
      <c r="N136" s="25">
        <f t="shared" si="10"/>
        <v>0</v>
      </c>
      <c r="O136" s="101">
        <f t="shared" si="11"/>
        <v>0</v>
      </c>
    </row>
    <row r="137" spans="1:15" ht="12.75" x14ac:dyDescent="0.2">
      <c r="A137" s="187"/>
      <c r="B137" s="42" t="str">
        <f ca="1">IF(A137="","",MAX($B$16:OFFSET(A137,-1,0))+1)</f>
        <v/>
      </c>
      <c r="C137" s="120"/>
      <c r="D137" s="184"/>
      <c r="E137" s="15"/>
      <c r="F137" s="15"/>
      <c r="G137" s="184"/>
      <c r="H137" s="15"/>
      <c r="I137" s="15"/>
      <c r="J137" s="185"/>
      <c r="K137" s="16">
        <f t="shared" si="8"/>
        <v>0</v>
      </c>
      <c r="L137" s="44" t="str">
        <f>IF(AND(COUNTBLANK(D$18:$D136)=0,COUNTBLANK(G$18:$G136)=0),$L$16&amp;$L$15,"дозаполнить")</f>
        <v>дозаполнить</v>
      </c>
      <c r="M137" s="25">
        <f t="shared" si="9"/>
        <v>0</v>
      </c>
      <c r="N137" s="25">
        <f t="shared" si="10"/>
        <v>0</v>
      </c>
      <c r="O137" s="101">
        <f t="shared" si="11"/>
        <v>0</v>
      </c>
    </row>
    <row r="138" spans="1:15" ht="12.75" x14ac:dyDescent="0.2">
      <c r="A138" s="187"/>
      <c r="B138" s="42" t="str">
        <f ca="1">IF(A138="","",MAX($B$16:OFFSET(A138,-1,0))+1)</f>
        <v/>
      </c>
      <c r="C138" s="120"/>
      <c r="D138" s="184"/>
      <c r="E138" s="15"/>
      <c r="F138" s="15"/>
      <c r="G138" s="184"/>
      <c r="H138" s="15"/>
      <c r="I138" s="15"/>
      <c r="J138" s="185"/>
      <c r="K138" s="16">
        <f t="shared" si="8"/>
        <v>0</v>
      </c>
      <c r="L138" s="44" t="str">
        <f>IF(AND(COUNTBLANK(D$18:$D137)=0,COUNTBLANK(G$18:$G137)=0),$L$16&amp;$L$15,"дозаполнить")</f>
        <v>дозаполнить</v>
      </c>
      <c r="M138" s="25">
        <f t="shared" si="9"/>
        <v>0</v>
      </c>
      <c r="N138" s="25">
        <f t="shared" si="10"/>
        <v>0</v>
      </c>
      <c r="O138" s="101">
        <f t="shared" si="11"/>
        <v>0</v>
      </c>
    </row>
    <row r="139" spans="1:15" ht="12.75" x14ac:dyDescent="0.2">
      <c r="A139" s="187"/>
      <c r="B139" s="42" t="str">
        <f ca="1">IF(A139="","",MAX($B$16:OFFSET(A139,-1,0))+1)</f>
        <v/>
      </c>
      <c r="C139" s="120"/>
      <c r="D139" s="184"/>
      <c r="E139" s="15"/>
      <c r="F139" s="15"/>
      <c r="G139" s="184"/>
      <c r="H139" s="15"/>
      <c r="I139" s="15"/>
      <c r="J139" s="185"/>
      <c r="K139" s="16">
        <f t="shared" si="8"/>
        <v>0</v>
      </c>
      <c r="L139" s="44" t="str">
        <f>IF(AND(COUNTBLANK(D$18:$D138)=0,COUNTBLANK(G$18:$G138)=0),$L$16&amp;$L$15,"дозаполнить")</f>
        <v>дозаполнить</v>
      </c>
      <c r="M139" s="25">
        <f t="shared" si="9"/>
        <v>0</v>
      </c>
      <c r="N139" s="25">
        <f t="shared" si="10"/>
        <v>0</v>
      </c>
      <c r="O139" s="101">
        <f t="shared" si="11"/>
        <v>0</v>
      </c>
    </row>
    <row r="140" spans="1:15" ht="12.75" x14ac:dyDescent="0.2">
      <c r="A140" s="187"/>
      <c r="B140" s="42" t="str">
        <f ca="1">IF(A140="","",MAX($B$16:OFFSET(A140,-1,0))+1)</f>
        <v/>
      </c>
      <c r="C140" s="120"/>
      <c r="D140" s="184"/>
      <c r="E140" s="15"/>
      <c r="F140" s="15"/>
      <c r="G140" s="184"/>
      <c r="H140" s="15"/>
      <c r="I140" s="15"/>
      <c r="J140" s="185"/>
      <c r="K140" s="16">
        <f t="shared" si="8"/>
        <v>0</v>
      </c>
      <c r="L140" s="44" t="str">
        <f>IF(AND(COUNTBLANK(D$18:$D139)=0,COUNTBLANK(G$18:$G139)=0),$L$16&amp;$L$15,"дозаполнить")</f>
        <v>дозаполнить</v>
      </c>
      <c r="M140" s="25">
        <f t="shared" si="9"/>
        <v>0</v>
      </c>
      <c r="N140" s="25">
        <f t="shared" si="10"/>
        <v>0</v>
      </c>
      <c r="O140" s="101">
        <f t="shared" si="11"/>
        <v>0</v>
      </c>
    </row>
    <row r="141" spans="1:15" ht="12.75" x14ac:dyDescent="0.2">
      <c r="A141" s="187"/>
      <c r="B141" s="42" t="str">
        <f ca="1">IF(A141="","",MAX($B$16:OFFSET(A141,-1,0))+1)</f>
        <v/>
      </c>
      <c r="C141" s="120"/>
      <c r="D141" s="184"/>
      <c r="E141" s="15"/>
      <c r="F141" s="15"/>
      <c r="G141" s="184"/>
      <c r="H141" s="15"/>
      <c r="I141" s="15"/>
      <c r="J141" s="185"/>
      <c r="K141" s="16">
        <f t="shared" si="8"/>
        <v>0</v>
      </c>
      <c r="L141" s="44" t="str">
        <f>IF(AND(COUNTBLANK(D$18:$D140)=0,COUNTBLANK(G$18:$G140)=0),$L$16&amp;$L$15,"дозаполнить")</f>
        <v>дозаполнить</v>
      </c>
      <c r="M141" s="25">
        <f t="shared" si="9"/>
        <v>0</v>
      </c>
      <c r="N141" s="25">
        <f t="shared" si="10"/>
        <v>0</v>
      </c>
      <c r="O141" s="101">
        <f t="shared" si="11"/>
        <v>0</v>
      </c>
    </row>
    <row r="142" spans="1:15" ht="12.75" x14ac:dyDescent="0.2">
      <c r="A142" s="187"/>
      <c r="B142" s="42" t="str">
        <f ca="1">IF(A142="","",MAX($B$16:OFFSET(A142,-1,0))+1)</f>
        <v/>
      </c>
      <c r="C142" s="120"/>
      <c r="D142" s="184"/>
      <c r="E142" s="15"/>
      <c r="F142" s="15"/>
      <c r="G142" s="184"/>
      <c r="H142" s="15"/>
      <c r="I142" s="15"/>
      <c r="J142" s="185"/>
      <c r="K142" s="16">
        <f t="shared" si="8"/>
        <v>0</v>
      </c>
      <c r="L142" s="44" t="str">
        <f>IF(AND(COUNTBLANK(D$18:$D141)=0,COUNTBLANK(G$18:$G141)=0),$L$16&amp;$L$15,"дозаполнить")</f>
        <v>дозаполнить</v>
      </c>
      <c r="M142" s="25">
        <f t="shared" si="9"/>
        <v>0</v>
      </c>
      <c r="N142" s="25">
        <f t="shared" si="10"/>
        <v>0</v>
      </c>
      <c r="O142" s="101">
        <f t="shared" si="11"/>
        <v>0</v>
      </c>
    </row>
    <row r="143" spans="1:15" ht="12.75" x14ac:dyDescent="0.2">
      <c r="A143" s="187"/>
      <c r="B143" s="42" t="str">
        <f ca="1">IF(A143="","",MAX($B$16:OFFSET(A143,-1,0))+1)</f>
        <v/>
      </c>
      <c r="C143" s="120"/>
      <c r="D143" s="184"/>
      <c r="E143" s="15"/>
      <c r="F143" s="15"/>
      <c r="G143" s="184"/>
      <c r="H143" s="15"/>
      <c r="I143" s="15"/>
      <c r="J143" s="185"/>
      <c r="K143" s="16">
        <f t="shared" si="8"/>
        <v>0</v>
      </c>
      <c r="L143" s="44" t="str">
        <f>IF(AND(COUNTBLANK(D$18:$D142)=0,COUNTBLANK(G$18:$G142)=0),$L$16&amp;$L$15,"дозаполнить")</f>
        <v>дозаполнить</v>
      </c>
      <c r="M143" s="25">
        <f t="shared" si="9"/>
        <v>0</v>
      </c>
      <c r="N143" s="25">
        <f t="shared" si="10"/>
        <v>0</v>
      </c>
      <c r="O143" s="101">
        <f t="shared" si="11"/>
        <v>0</v>
      </c>
    </row>
    <row r="144" spans="1:15" ht="12.75" x14ac:dyDescent="0.2">
      <c r="A144" s="187"/>
      <c r="B144" s="42" t="str">
        <f ca="1">IF(A144="","",MAX($B$16:OFFSET(A144,-1,0))+1)</f>
        <v/>
      </c>
      <c r="C144" s="120"/>
      <c r="D144" s="184"/>
      <c r="E144" s="15"/>
      <c r="F144" s="15"/>
      <c r="G144" s="184"/>
      <c r="H144" s="15"/>
      <c r="I144" s="15"/>
      <c r="J144" s="185"/>
      <c r="K144" s="16">
        <f t="shared" si="8"/>
        <v>0</v>
      </c>
      <c r="L144" s="44" t="str">
        <f>IF(AND(COUNTBLANK(D$18:$D143)=0,COUNTBLANK(G$18:$G143)=0),$L$16&amp;$L$15,"дозаполнить")</f>
        <v>дозаполнить</v>
      </c>
      <c r="M144" s="25">
        <f t="shared" si="9"/>
        <v>0</v>
      </c>
      <c r="N144" s="25">
        <f t="shared" si="10"/>
        <v>0</v>
      </c>
      <c r="O144" s="101">
        <f t="shared" si="11"/>
        <v>0</v>
      </c>
    </row>
    <row r="145" spans="1:15" ht="12.75" x14ac:dyDescent="0.2">
      <c r="A145" s="187"/>
      <c r="B145" s="42" t="str">
        <f ca="1">IF(A145="","",MAX($B$16:OFFSET(A145,-1,0))+1)</f>
        <v/>
      </c>
      <c r="C145" s="120"/>
      <c r="D145" s="184"/>
      <c r="E145" s="15"/>
      <c r="F145" s="15"/>
      <c r="G145" s="184"/>
      <c r="H145" s="15"/>
      <c r="I145" s="15"/>
      <c r="J145" s="185"/>
      <c r="K145" s="16">
        <f t="shared" si="8"/>
        <v>0</v>
      </c>
      <c r="L145" s="44" t="str">
        <f>IF(AND(COUNTBLANK(D$18:$D144)=0,COUNTBLANK(G$18:$G144)=0),$L$16&amp;$L$15,"дозаполнить")</f>
        <v>дозаполнить</v>
      </c>
      <c r="M145" s="25">
        <f t="shared" si="9"/>
        <v>0</v>
      </c>
      <c r="N145" s="25">
        <f t="shared" si="10"/>
        <v>0</v>
      </c>
      <c r="O145" s="101">
        <f t="shared" si="11"/>
        <v>0</v>
      </c>
    </row>
    <row r="146" spans="1:15" ht="12.75" x14ac:dyDescent="0.2">
      <c r="A146" s="187"/>
      <c r="B146" s="42" t="str">
        <f ca="1">IF(A146="","",MAX($B$16:OFFSET(A146,-1,0))+1)</f>
        <v/>
      </c>
      <c r="C146" s="120"/>
      <c r="D146" s="184"/>
      <c r="E146" s="15"/>
      <c r="F146" s="15"/>
      <c r="G146" s="184"/>
      <c r="H146" s="15"/>
      <c r="I146" s="15"/>
      <c r="J146" s="185"/>
      <c r="K146" s="16">
        <f t="shared" si="8"/>
        <v>0</v>
      </c>
      <c r="L146" s="44" t="str">
        <f>IF(AND(COUNTBLANK(D$18:$D145)=0,COUNTBLANK(G$18:$G145)=0),$L$16&amp;$L$15,"дозаполнить")</f>
        <v>дозаполнить</v>
      </c>
      <c r="M146" s="25">
        <f t="shared" si="9"/>
        <v>0</v>
      </c>
      <c r="N146" s="25">
        <f t="shared" si="10"/>
        <v>0</v>
      </c>
      <c r="O146" s="101">
        <f t="shared" si="11"/>
        <v>0</v>
      </c>
    </row>
    <row r="147" spans="1:15" ht="12.75" x14ac:dyDescent="0.2">
      <c r="A147" s="187"/>
      <c r="B147" s="42" t="str">
        <f ca="1">IF(A147="","",MAX($B$16:OFFSET(A147,-1,0))+1)</f>
        <v/>
      </c>
      <c r="C147" s="120"/>
      <c r="D147" s="184"/>
      <c r="E147" s="15"/>
      <c r="F147" s="15"/>
      <c r="G147" s="184"/>
      <c r="H147" s="15"/>
      <c r="I147" s="15"/>
      <c r="J147" s="185"/>
      <c r="K147" s="16">
        <f t="shared" si="8"/>
        <v>0</v>
      </c>
      <c r="L147" s="44" t="str">
        <f>IF(AND(COUNTBLANK(D$18:$D146)=0,COUNTBLANK(G$18:$G146)=0),$L$16&amp;$L$15,"дозаполнить")</f>
        <v>дозаполнить</v>
      </c>
      <c r="M147" s="25">
        <f t="shared" si="9"/>
        <v>0</v>
      </c>
      <c r="N147" s="25">
        <f t="shared" si="10"/>
        <v>0</v>
      </c>
      <c r="O147" s="101">
        <f t="shared" si="11"/>
        <v>0</v>
      </c>
    </row>
    <row r="148" spans="1:15" ht="12.75" x14ac:dyDescent="0.2">
      <c r="A148" s="187"/>
      <c r="B148" s="42" t="str">
        <f ca="1">IF(A148="","",MAX($B$16:OFFSET(A148,-1,0))+1)</f>
        <v/>
      </c>
      <c r="C148" s="120"/>
      <c r="D148" s="184"/>
      <c r="E148" s="15"/>
      <c r="F148" s="15"/>
      <c r="G148" s="184"/>
      <c r="H148" s="15"/>
      <c r="I148" s="15"/>
      <c r="J148" s="185"/>
      <c r="K148" s="16">
        <f t="shared" si="8"/>
        <v>0</v>
      </c>
      <c r="L148" s="44" t="str">
        <f>IF(AND(COUNTBLANK(D$18:$D147)=0,COUNTBLANK(G$18:$G147)=0),$L$16&amp;$L$15,"дозаполнить")</f>
        <v>дозаполнить</v>
      </c>
      <c r="M148" s="25">
        <f t="shared" si="9"/>
        <v>0</v>
      </c>
      <c r="N148" s="25">
        <f t="shared" si="10"/>
        <v>0</v>
      </c>
      <c r="O148" s="101">
        <f t="shared" si="11"/>
        <v>0</v>
      </c>
    </row>
    <row r="149" spans="1:15" ht="12.75" x14ac:dyDescent="0.2">
      <c r="A149" s="187"/>
      <c r="B149" s="42" t="str">
        <f ca="1">IF(A149="","",MAX($B$16:OFFSET(A149,-1,0))+1)</f>
        <v/>
      </c>
      <c r="C149" s="120"/>
      <c r="D149" s="184"/>
      <c r="E149" s="15"/>
      <c r="F149" s="15"/>
      <c r="G149" s="184"/>
      <c r="H149" s="15"/>
      <c r="I149" s="15"/>
      <c r="J149" s="185"/>
      <c r="K149" s="16">
        <f t="shared" si="8"/>
        <v>0</v>
      </c>
      <c r="L149" s="44" t="str">
        <f>IF(AND(COUNTBLANK(D$18:$D148)=0,COUNTBLANK(G$18:$G148)=0),$L$16&amp;$L$15,"дозаполнить")</f>
        <v>дозаполнить</v>
      </c>
      <c r="M149" s="25">
        <f t="shared" si="9"/>
        <v>0</v>
      </c>
      <c r="N149" s="25">
        <f t="shared" si="10"/>
        <v>0</v>
      </c>
      <c r="O149" s="101">
        <f t="shared" si="11"/>
        <v>0</v>
      </c>
    </row>
    <row r="150" spans="1:15" ht="12.75" x14ac:dyDescent="0.2">
      <c r="A150" s="187"/>
      <c r="B150" s="42" t="str">
        <f ca="1">IF(A150="","",MAX($B$16:OFFSET(A150,-1,0))+1)</f>
        <v/>
      </c>
      <c r="C150" s="120"/>
      <c r="D150" s="184"/>
      <c r="E150" s="15"/>
      <c r="F150" s="15"/>
      <c r="G150" s="184"/>
      <c r="H150" s="15"/>
      <c r="I150" s="15"/>
      <c r="J150" s="185"/>
      <c r="K150" s="16">
        <f t="shared" si="8"/>
        <v>0</v>
      </c>
      <c r="L150" s="44" t="str">
        <f>IF(AND(COUNTBLANK(D$18:$D149)=0,COUNTBLANK(G$18:$G149)=0),$L$16&amp;$L$15,"дозаполнить")</f>
        <v>дозаполнить</v>
      </c>
      <c r="M150" s="25">
        <f t="shared" si="9"/>
        <v>0</v>
      </c>
      <c r="N150" s="25">
        <f t="shared" si="10"/>
        <v>0</v>
      </c>
      <c r="O150" s="101">
        <f t="shared" si="11"/>
        <v>0</v>
      </c>
    </row>
    <row r="151" spans="1:15" ht="12.75" x14ac:dyDescent="0.2">
      <c r="A151" s="187"/>
      <c r="B151" s="42" t="str">
        <f ca="1">IF(A151="","",MAX($B$16:OFFSET(A151,-1,0))+1)</f>
        <v/>
      </c>
      <c r="C151" s="120"/>
      <c r="D151" s="184"/>
      <c r="E151" s="15"/>
      <c r="F151" s="15"/>
      <c r="G151" s="184"/>
      <c r="H151" s="15"/>
      <c r="I151" s="15"/>
      <c r="J151" s="185"/>
      <c r="K151" s="16">
        <f t="shared" si="8"/>
        <v>0</v>
      </c>
      <c r="L151" s="44" t="str">
        <f>IF(AND(COUNTBLANK(D$18:$D150)=0,COUNTBLANK(G$18:$G150)=0),$L$16&amp;$L$15,"дозаполнить")</f>
        <v>дозаполнить</v>
      </c>
      <c r="M151" s="25">
        <f t="shared" si="9"/>
        <v>0</v>
      </c>
      <c r="N151" s="25">
        <f t="shared" si="10"/>
        <v>0</v>
      </c>
      <c r="O151" s="101">
        <f t="shared" si="11"/>
        <v>0</v>
      </c>
    </row>
    <row r="152" spans="1:15" ht="12.75" x14ac:dyDescent="0.2">
      <c r="A152" s="187"/>
      <c r="B152" s="42" t="str">
        <f ca="1">IF(A152="","",MAX($B$16:OFFSET(A152,-1,0))+1)</f>
        <v/>
      </c>
      <c r="C152" s="120"/>
      <c r="D152" s="184"/>
      <c r="E152" s="15"/>
      <c r="F152" s="15"/>
      <c r="G152" s="184"/>
      <c r="H152" s="15"/>
      <c r="I152" s="15"/>
      <c r="J152" s="185"/>
      <c r="K152" s="16">
        <f t="shared" si="8"/>
        <v>0</v>
      </c>
      <c r="L152" s="44" t="str">
        <f>IF(AND(COUNTBLANK(D$18:$D151)=0,COUNTBLANK(G$18:$G151)=0),$L$16&amp;$L$15,"дозаполнить")</f>
        <v>дозаполнить</v>
      </c>
      <c r="M152" s="25">
        <f t="shared" si="9"/>
        <v>0</v>
      </c>
      <c r="N152" s="25">
        <f t="shared" si="10"/>
        <v>0</v>
      </c>
      <c r="O152" s="101">
        <f t="shared" si="11"/>
        <v>0</v>
      </c>
    </row>
    <row r="153" spans="1:15" ht="12.75" x14ac:dyDescent="0.2">
      <c r="A153" s="187"/>
      <c r="B153" s="42" t="str">
        <f ca="1">IF(A153="","",MAX($B$16:OFFSET(A153,-1,0))+1)</f>
        <v/>
      </c>
      <c r="C153" s="120"/>
      <c r="D153" s="184"/>
      <c r="E153" s="15"/>
      <c r="F153" s="15"/>
      <c r="G153" s="184"/>
      <c r="H153" s="15"/>
      <c r="I153" s="15"/>
      <c r="J153" s="185"/>
      <c r="K153" s="16">
        <f t="shared" ref="K153:K157" si="12">(D153/1000)*(G153/1000)*J153</f>
        <v>0</v>
      </c>
      <c r="L153" s="44" t="str">
        <f>IF(AND(COUNTBLANK(D$18:$D152)=0,COUNTBLANK(G$18:$G152)=0),$L$16&amp;$L$15,"дозаполнить")</f>
        <v>дозаполнить</v>
      </c>
      <c r="M153" s="25">
        <f t="shared" ref="M153:M157" si="13">(D153*E153*J153)+(H153*G153*J153)</f>
        <v>0</v>
      </c>
      <c r="N153" s="25">
        <f t="shared" ref="N153:N157" si="14">(F153*D153*J153)+(I153*G153*J153)</f>
        <v>0</v>
      </c>
      <c r="O153" s="101">
        <f t="shared" ref="O153:O157" si="15">IF(A153="",0,MAX((D153/1000*G153/1000)*$O$13,$O$14))*J153</f>
        <v>0</v>
      </c>
    </row>
    <row r="154" spans="1:15" ht="12.75" x14ac:dyDescent="0.2">
      <c r="A154" s="187"/>
      <c r="B154" s="42" t="str">
        <f ca="1">IF(A154="","",MAX($B$16:OFFSET(A154,-1,0))+1)</f>
        <v/>
      </c>
      <c r="C154" s="120"/>
      <c r="D154" s="184"/>
      <c r="E154" s="15"/>
      <c r="F154" s="15"/>
      <c r="G154" s="184"/>
      <c r="H154" s="15"/>
      <c r="I154" s="15"/>
      <c r="J154" s="185"/>
      <c r="K154" s="16">
        <f t="shared" si="12"/>
        <v>0</v>
      </c>
      <c r="L154" s="44" t="str">
        <f>IF(AND(COUNTBLANK(D$18:$D153)=0,COUNTBLANK(G$18:$G153)=0),$L$16&amp;$L$15,"дозаполнить")</f>
        <v>дозаполнить</v>
      </c>
      <c r="M154" s="25">
        <f t="shared" si="13"/>
        <v>0</v>
      </c>
      <c r="N154" s="25">
        <f t="shared" si="14"/>
        <v>0</v>
      </c>
      <c r="O154" s="101">
        <f t="shared" si="15"/>
        <v>0</v>
      </c>
    </row>
    <row r="155" spans="1:15" ht="12.75" x14ac:dyDescent="0.2">
      <c r="A155" s="187"/>
      <c r="B155" s="42" t="str">
        <f ca="1">IF(A155="","",MAX($B$16:OFFSET(A155,-1,0))+1)</f>
        <v/>
      </c>
      <c r="C155" s="120"/>
      <c r="D155" s="184"/>
      <c r="E155" s="15"/>
      <c r="F155" s="15"/>
      <c r="G155" s="184"/>
      <c r="H155" s="15"/>
      <c r="I155" s="15"/>
      <c r="J155" s="185"/>
      <c r="K155" s="16">
        <f t="shared" si="12"/>
        <v>0</v>
      </c>
      <c r="L155" s="44" t="str">
        <f>IF(AND(COUNTBLANK(D$18:$D154)=0,COUNTBLANK(G$18:$G154)=0),$L$16&amp;$L$15,"дозаполнить")</f>
        <v>дозаполнить</v>
      </c>
      <c r="M155" s="25">
        <f t="shared" si="13"/>
        <v>0</v>
      </c>
      <c r="N155" s="25">
        <f t="shared" si="14"/>
        <v>0</v>
      </c>
      <c r="O155" s="101">
        <f t="shared" si="15"/>
        <v>0</v>
      </c>
    </row>
    <row r="156" spans="1:15" ht="12.75" x14ac:dyDescent="0.2">
      <c r="A156" s="187"/>
      <c r="B156" s="42" t="str">
        <f ca="1">IF(A156="","",MAX($B$16:OFFSET(A156,-1,0))+1)</f>
        <v/>
      </c>
      <c r="C156" s="120"/>
      <c r="D156" s="184"/>
      <c r="E156" s="15"/>
      <c r="F156" s="15"/>
      <c r="G156" s="184"/>
      <c r="H156" s="15"/>
      <c r="I156" s="15"/>
      <c r="J156" s="185"/>
      <c r="K156" s="16">
        <f t="shared" si="12"/>
        <v>0</v>
      </c>
      <c r="L156" s="44" t="str">
        <f>IF(AND(COUNTBLANK(D$18:$D155)=0,COUNTBLANK(G$18:$G155)=0),$L$16&amp;$L$15,"дозаполнить")</f>
        <v>дозаполнить</v>
      </c>
      <c r="M156" s="25">
        <f t="shared" si="13"/>
        <v>0</v>
      </c>
      <c r="N156" s="25">
        <f t="shared" si="14"/>
        <v>0</v>
      </c>
      <c r="O156" s="101">
        <f t="shared" si="15"/>
        <v>0</v>
      </c>
    </row>
    <row r="157" spans="1:15" ht="12.75" x14ac:dyDescent="0.2">
      <c r="A157" s="187"/>
      <c r="B157" s="42" t="str">
        <f ca="1">IF(A157="","",MAX($B$16:OFFSET(A157,-1,0))+1)</f>
        <v/>
      </c>
      <c r="C157" s="120"/>
      <c r="D157" s="184"/>
      <c r="E157" s="15"/>
      <c r="F157" s="15"/>
      <c r="G157" s="184"/>
      <c r="H157" s="15"/>
      <c r="I157" s="15"/>
      <c r="J157" s="185"/>
      <c r="K157" s="16">
        <f t="shared" si="12"/>
        <v>0</v>
      </c>
      <c r="L157" s="44" t="str">
        <f>IF(AND(COUNTBLANK(D$18:$D156)=0,COUNTBLANK(G$18:$G156)=0),$L$16&amp;$L$15,"дозаполнить")</f>
        <v>дозаполнить</v>
      </c>
      <c r="M157" s="25">
        <f t="shared" si="13"/>
        <v>0</v>
      </c>
      <c r="N157" s="25">
        <f t="shared" si="14"/>
        <v>0</v>
      </c>
      <c r="O157" s="101">
        <f t="shared" si="15"/>
        <v>0</v>
      </c>
    </row>
    <row r="158" spans="1:15" ht="12.75" x14ac:dyDescent="0.2">
      <c r="A158" s="187"/>
      <c r="B158" s="42" t="str">
        <f ca="1">IF(A158="","",MAX($B$16:OFFSET(A158,-1,0))+1)</f>
        <v/>
      </c>
      <c r="C158" s="120"/>
      <c r="D158" s="184"/>
      <c r="E158" s="15"/>
      <c r="F158" s="15"/>
      <c r="G158" s="184"/>
      <c r="H158" s="15"/>
      <c r="I158" s="15"/>
      <c r="J158" s="185"/>
      <c r="K158" s="16">
        <f t="shared" si="0"/>
        <v>0</v>
      </c>
      <c r="L158" s="44" t="str">
        <f>IF(AND(COUNTBLANK(D$18:$D157)=0,COUNTBLANK(G$18:$G157)=0),$L$16&amp;$L$15,"дозаполнить")</f>
        <v>дозаполнить</v>
      </c>
      <c r="M158" s="25">
        <f t="shared" si="1"/>
        <v>0</v>
      </c>
      <c r="N158" s="25">
        <f t="shared" si="2"/>
        <v>0</v>
      </c>
      <c r="O158" s="101">
        <f t="shared" si="3"/>
        <v>0</v>
      </c>
    </row>
    <row r="159" spans="1:15" ht="12.75" x14ac:dyDescent="0.2">
      <c r="A159" s="187"/>
      <c r="B159" s="42" t="str">
        <f ca="1">IF(A159="","",MAX($B$16:OFFSET(A159,-1,0))+1)</f>
        <v/>
      </c>
      <c r="C159" s="120"/>
      <c r="D159" s="184"/>
      <c r="E159" s="15"/>
      <c r="F159" s="15"/>
      <c r="G159" s="184"/>
      <c r="H159" s="15"/>
      <c r="I159" s="15"/>
      <c r="J159" s="185"/>
      <c r="K159" s="16">
        <f t="shared" si="0"/>
        <v>0</v>
      </c>
      <c r="L159" s="44" t="str">
        <f>IF(AND(COUNTBLANK(D$18:$D158)=0,COUNTBLANK(G$18:$G158)=0),$L$16&amp;$L$15,"дозаполнить")</f>
        <v>дозаполнить</v>
      </c>
      <c r="M159" s="25">
        <f t="shared" si="1"/>
        <v>0</v>
      </c>
      <c r="N159" s="25">
        <f t="shared" si="2"/>
        <v>0</v>
      </c>
      <c r="O159" s="101">
        <f t="shared" si="3"/>
        <v>0</v>
      </c>
    </row>
    <row r="160" spans="1:15" ht="12.75" x14ac:dyDescent="0.2">
      <c r="A160" s="187"/>
      <c r="B160" s="42" t="str">
        <f ca="1">IF(A160="","",MAX($B$16:OFFSET(A160,-1,0))+1)</f>
        <v/>
      </c>
      <c r="C160" s="120"/>
      <c r="D160" s="184"/>
      <c r="E160" s="15"/>
      <c r="F160" s="15"/>
      <c r="G160" s="184"/>
      <c r="H160" s="15"/>
      <c r="I160" s="15"/>
      <c r="J160" s="185"/>
      <c r="K160" s="16">
        <f t="shared" si="0"/>
        <v>0</v>
      </c>
      <c r="L160" s="44" t="str">
        <f>IF(AND(COUNTBLANK(D$18:$D159)=0,COUNTBLANK(G$18:$G159)=0),$L$16&amp;$L$15,"дозаполнить")</f>
        <v>дозаполнить</v>
      </c>
      <c r="M160" s="25">
        <f t="shared" si="1"/>
        <v>0</v>
      </c>
      <c r="N160" s="25">
        <f t="shared" si="2"/>
        <v>0</v>
      </c>
      <c r="O160" s="101">
        <f t="shared" si="3"/>
        <v>0</v>
      </c>
    </row>
    <row r="161" spans="1:15" ht="12.75" x14ac:dyDescent="0.2">
      <c r="A161" s="187"/>
      <c r="B161" s="42" t="str">
        <f ca="1">IF(A161="","",MAX($B$16:OFFSET(A161,-1,0))+1)</f>
        <v/>
      </c>
      <c r="C161" s="120"/>
      <c r="D161" s="184"/>
      <c r="E161" s="15"/>
      <c r="F161" s="15"/>
      <c r="G161" s="184"/>
      <c r="H161" s="15"/>
      <c r="I161" s="15"/>
      <c r="J161" s="185"/>
      <c r="K161" s="16">
        <f t="shared" si="0"/>
        <v>0</v>
      </c>
      <c r="L161" s="44" t="str">
        <f>IF(AND(COUNTBLANK(D$18:$D160)=0,COUNTBLANK(G$18:$G160)=0),$L$16&amp;$L$15,"дозаполнить")</f>
        <v>дозаполнить</v>
      </c>
      <c r="M161" s="25">
        <f t="shared" si="1"/>
        <v>0</v>
      </c>
      <c r="N161" s="25">
        <f t="shared" si="2"/>
        <v>0</v>
      </c>
      <c r="O161" s="101">
        <f t="shared" si="3"/>
        <v>0</v>
      </c>
    </row>
    <row r="162" spans="1:15" ht="12.75" x14ac:dyDescent="0.2">
      <c r="A162" s="187"/>
      <c r="B162" s="42" t="str">
        <f ca="1">IF(A162="","",MAX($B$16:OFFSET(A162,-1,0))+1)</f>
        <v/>
      </c>
      <c r="C162" s="120"/>
      <c r="D162" s="184"/>
      <c r="E162" s="15"/>
      <c r="F162" s="15"/>
      <c r="G162" s="184"/>
      <c r="H162" s="15"/>
      <c r="I162" s="15"/>
      <c r="J162" s="185"/>
      <c r="K162" s="16">
        <f t="shared" si="0"/>
        <v>0</v>
      </c>
      <c r="L162" s="44" t="str">
        <f>IF(AND(COUNTBLANK(D$18:$D161)=0,COUNTBLANK(G$18:$G161)=0),$L$16&amp;$L$15,"дозаполнить")</f>
        <v>дозаполнить</v>
      </c>
      <c r="M162" s="25">
        <f t="shared" si="1"/>
        <v>0</v>
      </c>
      <c r="N162" s="25">
        <f t="shared" si="2"/>
        <v>0</v>
      </c>
      <c r="O162" s="101">
        <f t="shared" si="3"/>
        <v>0</v>
      </c>
    </row>
    <row r="163" spans="1:15" ht="12.75" x14ac:dyDescent="0.2">
      <c r="A163" s="187"/>
      <c r="B163" s="42" t="str">
        <f ca="1">IF(A163="","",MAX($B$16:OFFSET(A163,-1,0))+1)</f>
        <v/>
      </c>
      <c r="C163" s="120"/>
      <c r="D163" s="184"/>
      <c r="E163" s="15"/>
      <c r="F163" s="15"/>
      <c r="G163" s="184"/>
      <c r="H163" s="15"/>
      <c r="I163" s="15"/>
      <c r="J163" s="185"/>
      <c r="K163" s="16">
        <f t="shared" si="0"/>
        <v>0</v>
      </c>
      <c r="L163" s="44" t="str">
        <f>IF(AND(COUNTBLANK(D$18:$D162)=0,COUNTBLANK(G$18:$G162)=0),$L$16&amp;$L$15,"дозаполнить")</f>
        <v>дозаполнить</v>
      </c>
      <c r="M163" s="25">
        <f t="shared" si="1"/>
        <v>0</v>
      </c>
      <c r="N163" s="25">
        <f t="shared" si="2"/>
        <v>0</v>
      </c>
      <c r="O163" s="101">
        <f t="shared" si="3"/>
        <v>0</v>
      </c>
    </row>
    <row r="164" spans="1:15" ht="12.75" x14ac:dyDescent="0.2">
      <c r="A164" s="187"/>
      <c r="B164" s="42" t="str">
        <f ca="1">IF(A164="","",MAX($B$16:OFFSET(A164,-1,0))+1)</f>
        <v/>
      </c>
      <c r="C164" s="120"/>
      <c r="D164" s="184"/>
      <c r="E164" s="15"/>
      <c r="F164" s="15"/>
      <c r="G164" s="184"/>
      <c r="H164" s="15"/>
      <c r="I164" s="15"/>
      <c r="J164" s="185"/>
      <c r="K164" s="16">
        <f t="shared" si="0"/>
        <v>0</v>
      </c>
      <c r="L164" s="44" t="str">
        <f>IF(AND(COUNTBLANK(D$18:$D163)=0,COUNTBLANK(G$18:$G163)=0),$L$16&amp;$L$15,"дозаполнить")</f>
        <v>дозаполнить</v>
      </c>
      <c r="M164" s="25">
        <f t="shared" si="1"/>
        <v>0</v>
      </c>
      <c r="N164" s="25">
        <f t="shared" si="2"/>
        <v>0</v>
      </c>
      <c r="O164" s="101">
        <f t="shared" si="3"/>
        <v>0</v>
      </c>
    </row>
    <row r="165" spans="1:15" ht="12.75" x14ac:dyDescent="0.2">
      <c r="A165" s="187"/>
      <c r="B165" s="42" t="str">
        <f ca="1">IF(A165="","",MAX($B$16:OFFSET(A165,-1,0))+1)</f>
        <v/>
      </c>
      <c r="C165" s="120"/>
      <c r="D165" s="184"/>
      <c r="E165" s="15"/>
      <c r="F165" s="15"/>
      <c r="G165" s="184"/>
      <c r="H165" s="15"/>
      <c r="I165" s="15"/>
      <c r="J165" s="185"/>
      <c r="K165" s="16">
        <f t="shared" si="0"/>
        <v>0</v>
      </c>
      <c r="L165" s="44" t="str">
        <f>IF(AND(COUNTBLANK(D$18:$D164)=0,COUNTBLANK(G$18:$G164)=0),$L$16&amp;$L$15,"дозаполнить")</f>
        <v>дозаполнить</v>
      </c>
      <c r="M165" s="25">
        <f t="shared" si="1"/>
        <v>0</v>
      </c>
      <c r="N165" s="25">
        <f t="shared" si="2"/>
        <v>0</v>
      </c>
      <c r="O165" s="101">
        <f t="shared" si="3"/>
        <v>0</v>
      </c>
    </row>
    <row r="166" spans="1:15" ht="12.75" x14ac:dyDescent="0.2">
      <c r="A166" s="187"/>
      <c r="B166" s="42" t="str">
        <f ca="1">IF(A166="","",MAX($B$16:OFFSET(A166,-1,0))+1)</f>
        <v/>
      </c>
      <c r="C166" s="120"/>
      <c r="D166" s="184"/>
      <c r="E166" s="15"/>
      <c r="F166" s="15"/>
      <c r="G166" s="184"/>
      <c r="H166" s="15"/>
      <c r="I166" s="15"/>
      <c r="J166" s="185"/>
      <c r="K166" s="16">
        <f t="shared" si="0"/>
        <v>0</v>
      </c>
      <c r="L166" s="44" t="str">
        <f>IF(AND(COUNTBLANK(D$18:$D165)=0,COUNTBLANK(G$18:$G165)=0),$L$16&amp;$L$15,"дозаполнить")</f>
        <v>дозаполнить</v>
      </c>
      <c r="M166" s="25">
        <f t="shared" si="1"/>
        <v>0</v>
      </c>
      <c r="N166" s="25">
        <f t="shared" si="2"/>
        <v>0</v>
      </c>
      <c r="O166" s="101">
        <f t="shared" si="3"/>
        <v>0</v>
      </c>
    </row>
    <row r="167" spans="1:15" ht="12.75" x14ac:dyDescent="0.2">
      <c r="A167" s="187"/>
      <c r="B167" s="42" t="str">
        <f ca="1">IF(A167="","",MAX($B$16:OFFSET(A167,-1,0))+1)</f>
        <v/>
      </c>
      <c r="C167" s="120"/>
      <c r="D167" s="184"/>
      <c r="E167" s="15"/>
      <c r="F167" s="15"/>
      <c r="G167" s="184"/>
      <c r="H167" s="15"/>
      <c r="I167" s="15"/>
      <c r="J167" s="185"/>
      <c r="K167" s="16">
        <f t="shared" si="0"/>
        <v>0</v>
      </c>
      <c r="L167" s="44" t="str">
        <f>IF(AND(COUNTBLANK(D$18:$D166)=0,COUNTBLANK(G$18:$G166)=0),$L$16&amp;$L$15,"дозаполнить")</f>
        <v>дозаполнить</v>
      </c>
      <c r="M167" s="25">
        <f t="shared" si="1"/>
        <v>0</v>
      </c>
      <c r="N167" s="25">
        <f t="shared" si="2"/>
        <v>0</v>
      </c>
      <c r="O167" s="101">
        <f t="shared" si="3"/>
        <v>0</v>
      </c>
    </row>
    <row r="168" spans="1:15" ht="12.75" x14ac:dyDescent="0.2">
      <c r="A168" s="187"/>
      <c r="B168" s="42" t="str">
        <f ca="1">IF(A168="","",MAX($B$16:OFFSET(A168,-1,0))+1)</f>
        <v/>
      </c>
      <c r="C168" s="120"/>
      <c r="D168" s="184"/>
      <c r="E168" s="15"/>
      <c r="F168" s="15"/>
      <c r="G168" s="184"/>
      <c r="H168" s="15"/>
      <c r="I168" s="15"/>
      <c r="J168" s="185"/>
      <c r="K168" s="16">
        <f t="shared" si="0"/>
        <v>0</v>
      </c>
      <c r="L168" s="44" t="str">
        <f>IF(AND(COUNTBLANK(D$18:$D167)=0,COUNTBLANK(G$18:$G167)=0),$L$16&amp;$L$15,"дозаполнить")</f>
        <v>дозаполнить</v>
      </c>
      <c r="M168" s="25">
        <f t="shared" si="1"/>
        <v>0</v>
      </c>
      <c r="N168" s="25">
        <f t="shared" si="2"/>
        <v>0</v>
      </c>
      <c r="O168" s="101">
        <f t="shared" si="3"/>
        <v>0</v>
      </c>
    </row>
    <row r="169" spans="1:15" ht="12.75" x14ac:dyDescent="0.2">
      <c r="A169" s="187"/>
      <c r="B169" s="42" t="str">
        <f ca="1">IF(A169="","",MAX($B$16:OFFSET(A169,-1,0))+1)</f>
        <v/>
      </c>
      <c r="C169" s="120"/>
      <c r="D169" s="184"/>
      <c r="E169" s="15"/>
      <c r="F169" s="15"/>
      <c r="G169" s="184"/>
      <c r="H169" s="15"/>
      <c r="I169" s="15"/>
      <c r="J169" s="185"/>
      <c r="K169" s="16">
        <f t="shared" si="0"/>
        <v>0</v>
      </c>
      <c r="L169" s="44" t="str">
        <f>IF(AND(COUNTBLANK(D$18:$D168)=0,COUNTBLANK(G$18:$G168)=0),$L$16&amp;$L$15,"дозаполнить")</f>
        <v>дозаполнить</v>
      </c>
      <c r="M169" s="25">
        <f t="shared" si="1"/>
        <v>0</v>
      </c>
      <c r="N169" s="25">
        <f t="shared" si="2"/>
        <v>0</v>
      </c>
      <c r="O169" s="101">
        <f t="shared" si="3"/>
        <v>0</v>
      </c>
    </row>
    <row r="170" spans="1:15" ht="12.75" x14ac:dyDescent="0.2">
      <c r="A170" s="187"/>
      <c r="B170" s="42" t="str">
        <f ca="1">IF(A170="","",MAX($B$16:OFFSET(A170,-1,0))+1)</f>
        <v/>
      </c>
      <c r="C170" s="120"/>
      <c r="D170" s="184"/>
      <c r="E170" s="15"/>
      <c r="F170" s="15"/>
      <c r="G170" s="184"/>
      <c r="H170" s="15"/>
      <c r="I170" s="15"/>
      <c r="J170" s="185"/>
      <c r="K170" s="16">
        <f t="shared" si="0"/>
        <v>0</v>
      </c>
      <c r="L170" s="44" t="str">
        <f>IF(AND(COUNTBLANK(D$18:$D169)=0,COUNTBLANK(G$18:$G169)=0),$L$16&amp;$L$15,"дозаполнить")</f>
        <v>дозаполнить</v>
      </c>
      <c r="M170" s="25">
        <f t="shared" si="1"/>
        <v>0</v>
      </c>
      <c r="N170" s="25">
        <f t="shared" si="2"/>
        <v>0</v>
      </c>
      <c r="O170" s="101">
        <f t="shared" si="3"/>
        <v>0</v>
      </c>
    </row>
    <row r="171" spans="1:15" ht="12.75" x14ac:dyDescent="0.2">
      <c r="A171" s="187"/>
      <c r="B171" s="42" t="str">
        <f ca="1">IF(A171="","",MAX($B$16:OFFSET(A171,-1,0))+1)</f>
        <v/>
      </c>
      <c r="C171" s="120"/>
      <c r="D171" s="184"/>
      <c r="E171" s="15"/>
      <c r="F171" s="15"/>
      <c r="G171" s="184"/>
      <c r="H171" s="15"/>
      <c r="I171" s="15"/>
      <c r="J171" s="185"/>
      <c r="K171" s="16">
        <f t="shared" si="0"/>
        <v>0</v>
      </c>
      <c r="L171" s="44" t="str">
        <f>IF(AND(COUNTBLANK(D$18:$D170)=0,COUNTBLANK(G$18:$G170)=0),$L$16&amp;$L$15,"дозаполнить")</f>
        <v>дозаполнить</v>
      </c>
      <c r="M171" s="25">
        <f t="shared" si="1"/>
        <v>0</v>
      </c>
      <c r="N171" s="25">
        <f t="shared" si="2"/>
        <v>0</v>
      </c>
      <c r="O171" s="101">
        <f t="shared" si="3"/>
        <v>0</v>
      </c>
    </row>
    <row r="172" spans="1:15" ht="12.75" x14ac:dyDescent="0.2">
      <c r="A172" s="187"/>
      <c r="B172" s="42" t="str">
        <f ca="1">IF(A172="","",MAX($B$16:OFFSET(A172,-1,0))+1)</f>
        <v/>
      </c>
      <c r="C172" s="120"/>
      <c r="D172" s="184"/>
      <c r="E172" s="15"/>
      <c r="F172" s="15"/>
      <c r="G172" s="184"/>
      <c r="H172" s="15"/>
      <c r="I172" s="15"/>
      <c r="J172" s="185"/>
      <c r="K172" s="16">
        <f t="shared" si="0"/>
        <v>0</v>
      </c>
      <c r="L172" s="44" t="str">
        <f>IF(AND(COUNTBLANK(D$18:$D171)=0,COUNTBLANK(G$18:$G171)=0),$L$16&amp;$L$15,"дозаполнить")</f>
        <v>дозаполнить</v>
      </c>
      <c r="M172" s="25">
        <f t="shared" si="1"/>
        <v>0</v>
      </c>
      <c r="N172" s="25">
        <f t="shared" si="2"/>
        <v>0</v>
      </c>
      <c r="O172" s="101">
        <f t="shared" si="3"/>
        <v>0</v>
      </c>
    </row>
    <row r="173" spans="1:15" ht="12.75" x14ac:dyDescent="0.2">
      <c r="A173" s="187"/>
      <c r="B173" s="42" t="str">
        <f ca="1">IF(A173="","",MAX($B$16:OFFSET(A173,-1,0))+1)</f>
        <v/>
      </c>
      <c r="C173" s="120"/>
      <c r="D173" s="184"/>
      <c r="E173" s="15"/>
      <c r="F173" s="15"/>
      <c r="G173" s="184"/>
      <c r="H173" s="15"/>
      <c r="I173" s="15"/>
      <c r="J173" s="185"/>
      <c r="K173" s="16">
        <f t="shared" si="0"/>
        <v>0</v>
      </c>
      <c r="L173" s="44" t="str">
        <f>IF(AND(COUNTBLANK(D$18:$D172)=0,COUNTBLANK(G$18:$G172)=0),$L$16&amp;$L$15,"дозаполнить")</f>
        <v>дозаполнить</v>
      </c>
      <c r="M173" s="25">
        <f t="shared" si="1"/>
        <v>0</v>
      </c>
      <c r="N173" s="25">
        <f t="shared" si="2"/>
        <v>0</v>
      </c>
      <c r="O173" s="101">
        <f t="shared" si="3"/>
        <v>0</v>
      </c>
    </row>
    <row r="174" spans="1:15" ht="12.75" x14ac:dyDescent="0.2">
      <c r="A174" s="187"/>
      <c r="B174" s="42" t="str">
        <f ca="1">IF(A174="","",MAX($B$16:OFFSET(A174,-1,0))+1)</f>
        <v/>
      </c>
      <c r="C174" s="120"/>
      <c r="D174" s="184"/>
      <c r="E174" s="15"/>
      <c r="F174" s="15"/>
      <c r="G174" s="184"/>
      <c r="H174" s="15"/>
      <c r="I174" s="15"/>
      <c r="J174" s="185"/>
      <c r="K174" s="16">
        <f t="shared" si="0"/>
        <v>0</v>
      </c>
      <c r="L174" s="44" t="str">
        <f>IF(AND(COUNTBLANK(D$18:$D173)=0,COUNTBLANK(G$18:$G173)=0),$L$16&amp;$L$15,"дозаполнить")</f>
        <v>дозаполнить</v>
      </c>
      <c r="M174" s="25">
        <f t="shared" si="1"/>
        <v>0</v>
      </c>
      <c r="N174" s="25">
        <f t="shared" si="2"/>
        <v>0</v>
      </c>
      <c r="O174" s="101">
        <f t="shared" si="3"/>
        <v>0</v>
      </c>
    </row>
    <row r="175" spans="1:15" ht="12.75" x14ac:dyDescent="0.2">
      <c r="A175" s="187"/>
      <c r="B175" s="42" t="str">
        <f ca="1">IF(A175="","",MAX($B$16:OFFSET(A175,-1,0))+1)</f>
        <v/>
      </c>
      <c r="C175" s="120"/>
      <c r="D175" s="184"/>
      <c r="E175" s="15"/>
      <c r="F175" s="15"/>
      <c r="G175" s="184"/>
      <c r="H175" s="15"/>
      <c r="I175" s="15"/>
      <c r="J175" s="185"/>
      <c r="K175" s="16">
        <f t="shared" si="0"/>
        <v>0</v>
      </c>
      <c r="L175" s="44" t="str">
        <f>IF(AND(COUNTBLANK(D$18:$D174)=0,COUNTBLANK(G$18:$G174)=0),$L$16&amp;$L$15,"дозаполнить")</f>
        <v>дозаполнить</v>
      </c>
      <c r="M175" s="25">
        <f t="shared" si="1"/>
        <v>0</v>
      </c>
      <c r="N175" s="25">
        <f t="shared" si="2"/>
        <v>0</v>
      </c>
      <c r="O175" s="101">
        <f t="shared" si="3"/>
        <v>0</v>
      </c>
    </row>
    <row r="176" spans="1:15" ht="12.75" x14ac:dyDescent="0.2">
      <c r="A176" s="187"/>
      <c r="B176" s="42" t="str">
        <f ca="1">IF(A176="","",MAX($B$16:OFFSET(A176,-1,0))+1)</f>
        <v/>
      </c>
      <c r="C176" s="120"/>
      <c r="D176" s="184"/>
      <c r="E176" s="15"/>
      <c r="F176" s="15"/>
      <c r="G176" s="184"/>
      <c r="H176" s="15"/>
      <c r="I176" s="15"/>
      <c r="J176" s="185"/>
      <c r="K176" s="16">
        <f t="shared" si="0"/>
        <v>0</v>
      </c>
      <c r="L176" s="44" t="str">
        <f>IF(AND(COUNTBLANK(D$18:$D175)=0,COUNTBLANK(G$18:$G175)=0),$L$16&amp;$L$15,"дозаполнить")</f>
        <v>дозаполнить</v>
      </c>
      <c r="M176" s="25">
        <f t="shared" si="1"/>
        <v>0</v>
      </c>
      <c r="N176" s="25">
        <f t="shared" si="2"/>
        <v>0</v>
      </c>
      <c r="O176" s="101">
        <f t="shared" si="3"/>
        <v>0</v>
      </c>
    </row>
    <row r="177" spans="1:15" ht="12.75" x14ac:dyDescent="0.2">
      <c r="A177" s="187"/>
      <c r="B177" s="42" t="str">
        <f ca="1">IF(A177="","",MAX($B$16:OFFSET(A177,-1,0))+1)</f>
        <v/>
      </c>
      <c r="C177" s="120"/>
      <c r="D177" s="184"/>
      <c r="E177" s="15"/>
      <c r="F177" s="15"/>
      <c r="G177" s="184"/>
      <c r="H177" s="15"/>
      <c r="I177" s="15"/>
      <c r="J177" s="185"/>
      <c r="K177" s="16">
        <f t="shared" si="0"/>
        <v>0</v>
      </c>
      <c r="L177" s="44" t="str">
        <f>IF(AND(COUNTBLANK(D$18:$D176)=0,COUNTBLANK(G$18:$G176)=0),$L$16&amp;$L$15,"дозаполнить")</f>
        <v>дозаполнить</v>
      </c>
      <c r="M177" s="25">
        <f t="shared" si="1"/>
        <v>0</v>
      </c>
      <c r="N177" s="25">
        <f t="shared" si="2"/>
        <v>0</v>
      </c>
      <c r="O177" s="101">
        <f t="shared" si="3"/>
        <v>0</v>
      </c>
    </row>
    <row r="178" spans="1:15" ht="12.75" x14ac:dyDescent="0.2">
      <c r="A178" s="187"/>
      <c r="B178" s="42" t="str">
        <f ca="1">IF(A178="","",MAX($B$16:OFFSET(A178,-1,0))+1)</f>
        <v/>
      </c>
      <c r="C178" s="120"/>
      <c r="D178" s="184"/>
      <c r="E178" s="15"/>
      <c r="F178" s="15"/>
      <c r="G178" s="184"/>
      <c r="H178" s="15"/>
      <c r="I178" s="15"/>
      <c r="J178" s="185"/>
      <c r="K178" s="16">
        <f t="shared" si="0"/>
        <v>0</v>
      </c>
      <c r="L178" s="44" t="str">
        <f>IF(AND(COUNTBLANK(D$18:$D177)=0,COUNTBLANK(G$18:$G177)=0),$L$16&amp;$L$15,"дозаполнить")</f>
        <v>дозаполнить</v>
      </c>
      <c r="M178" s="25">
        <f t="shared" si="1"/>
        <v>0</v>
      </c>
      <c r="N178" s="25">
        <f t="shared" si="2"/>
        <v>0</v>
      </c>
      <c r="O178" s="101">
        <f t="shared" si="3"/>
        <v>0</v>
      </c>
    </row>
    <row r="179" spans="1:15" ht="12.75" x14ac:dyDescent="0.2">
      <c r="A179" s="187"/>
      <c r="B179" s="42" t="str">
        <f ca="1">IF(A179="","",MAX($B$16:OFFSET(A179,-1,0))+1)</f>
        <v/>
      </c>
      <c r="C179" s="120"/>
      <c r="D179" s="184"/>
      <c r="E179" s="15"/>
      <c r="F179" s="15"/>
      <c r="G179" s="184"/>
      <c r="H179" s="15"/>
      <c r="I179" s="15"/>
      <c r="J179" s="185"/>
      <c r="K179" s="16">
        <f t="shared" si="0"/>
        <v>0</v>
      </c>
      <c r="L179" s="44" t="str">
        <f>IF(AND(COUNTBLANK(D$18:$D178)=0,COUNTBLANK(G$18:$G178)=0),$L$16&amp;$L$15,"дозаполнить")</f>
        <v>дозаполнить</v>
      </c>
      <c r="M179" s="25">
        <f t="shared" si="1"/>
        <v>0</v>
      </c>
      <c r="N179" s="25">
        <f t="shared" si="2"/>
        <v>0</v>
      </c>
      <c r="O179" s="101">
        <f t="shared" si="3"/>
        <v>0</v>
      </c>
    </row>
    <row r="180" spans="1:15" ht="12.75" x14ac:dyDescent="0.2">
      <c r="A180" s="187"/>
      <c r="B180" s="42" t="str">
        <f ca="1">IF(A180="","",MAX($B$16:OFFSET(A180,-1,0))+1)</f>
        <v/>
      </c>
      <c r="C180" s="120"/>
      <c r="D180" s="184"/>
      <c r="E180" s="15"/>
      <c r="F180" s="15"/>
      <c r="G180" s="184"/>
      <c r="H180" s="15"/>
      <c r="I180" s="15"/>
      <c r="J180" s="185"/>
      <c r="K180" s="16">
        <f t="shared" si="0"/>
        <v>0</v>
      </c>
      <c r="L180" s="44" t="str">
        <f>IF(AND(COUNTBLANK(D$18:$D179)=0,COUNTBLANK(G$18:$G179)=0),$L$16&amp;$L$15,"дозаполнить")</f>
        <v>дозаполнить</v>
      </c>
      <c r="M180" s="25">
        <f t="shared" si="1"/>
        <v>0</v>
      </c>
      <c r="N180" s="25">
        <f t="shared" si="2"/>
        <v>0</v>
      </c>
      <c r="O180" s="101">
        <f t="shared" si="3"/>
        <v>0</v>
      </c>
    </row>
    <row r="181" spans="1:15" ht="12.75" x14ac:dyDescent="0.2">
      <c r="A181" s="187"/>
      <c r="B181" s="42" t="str">
        <f ca="1">IF(A181="","",MAX($B$16:OFFSET(A181,-1,0))+1)</f>
        <v/>
      </c>
      <c r="C181" s="120"/>
      <c r="D181" s="184"/>
      <c r="E181" s="15"/>
      <c r="F181" s="15"/>
      <c r="G181" s="184"/>
      <c r="H181" s="15"/>
      <c r="I181" s="15"/>
      <c r="J181" s="185"/>
      <c r="K181" s="16">
        <f t="shared" si="0"/>
        <v>0</v>
      </c>
      <c r="L181" s="44" t="str">
        <f>IF(AND(COUNTBLANK(D$18:$D180)=0,COUNTBLANK(G$18:$G180)=0),$L$16&amp;$L$15,"дозаполнить")</f>
        <v>дозаполнить</v>
      </c>
      <c r="M181" s="25">
        <f t="shared" si="1"/>
        <v>0</v>
      </c>
      <c r="N181" s="25">
        <f t="shared" si="2"/>
        <v>0</v>
      </c>
      <c r="O181" s="101">
        <f t="shared" si="3"/>
        <v>0</v>
      </c>
    </row>
    <row r="182" spans="1:15" ht="12.75" x14ac:dyDescent="0.2">
      <c r="A182" s="187"/>
      <c r="B182" s="42" t="str">
        <f ca="1">IF(A182="","",MAX($B$16:OFFSET(A182,-1,0))+1)</f>
        <v/>
      </c>
      <c r="C182" s="120"/>
      <c r="D182" s="184"/>
      <c r="E182" s="15"/>
      <c r="F182" s="15"/>
      <c r="G182" s="184"/>
      <c r="H182" s="15"/>
      <c r="I182" s="15"/>
      <c r="J182" s="185"/>
      <c r="K182" s="16">
        <f t="shared" si="0"/>
        <v>0</v>
      </c>
      <c r="L182" s="44" t="str">
        <f>IF(AND(COUNTBLANK(D$18:$D181)=0,COUNTBLANK(G$18:$G181)=0),$L$16&amp;$L$15,"дозаполнить")</f>
        <v>дозаполнить</v>
      </c>
      <c r="M182" s="25">
        <f t="shared" si="1"/>
        <v>0</v>
      </c>
      <c r="N182" s="25">
        <f t="shared" si="2"/>
        <v>0</v>
      </c>
      <c r="O182" s="101">
        <f t="shared" si="3"/>
        <v>0</v>
      </c>
    </row>
    <row r="183" spans="1:15" ht="12.75" x14ac:dyDescent="0.2">
      <c r="A183" s="187"/>
      <c r="B183" s="42" t="str">
        <f ca="1">IF(A183="","",MAX($B$16:OFFSET(A183,-1,0))+1)</f>
        <v/>
      </c>
      <c r="C183" s="120"/>
      <c r="D183" s="184"/>
      <c r="E183" s="15"/>
      <c r="F183" s="15"/>
      <c r="G183" s="184"/>
      <c r="H183" s="15"/>
      <c r="I183" s="15"/>
      <c r="J183" s="185"/>
      <c r="K183" s="16">
        <f t="shared" si="0"/>
        <v>0</v>
      </c>
      <c r="L183" s="44" t="str">
        <f>IF(AND(COUNTBLANK(D$18:$D182)=0,COUNTBLANK(G$18:$G182)=0),$L$16&amp;$L$15,"дозаполнить")</f>
        <v>дозаполнить</v>
      </c>
      <c r="M183" s="25">
        <f t="shared" si="1"/>
        <v>0</v>
      </c>
      <c r="N183" s="25">
        <f t="shared" si="2"/>
        <v>0</v>
      </c>
      <c r="O183" s="101">
        <f t="shared" si="3"/>
        <v>0</v>
      </c>
    </row>
    <row r="184" spans="1:15" ht="12.75" x14ac:dyDescent="0.2">
      <c r="A184" s="187"/>
      <c r="B184" s="42" t="str">
        <f ca="1">IF(A184="","",MAX($B$16:OFFSET(A184,-1,0))+1)</f>
        <v/>
      </c>
      <c r="C184" s="120"/>
      <c r="D184" s="184"/>
      <c r="E184" s="15"/>
      <c r="F184" s="15"/>
      <c r="G184" s="184"/>
      <c r="H184" s="15"/>
      <c r="I184" s="15"/>
      <c r="J184" s="185"/>
      <c r="K184" s="16">
        <f t="shared" si="0"/>
        <v>0</v>
      </c>
      <c r="L184" s="44" t="str">
        <f>IF(AND(COUNTBLANK(D$18:$D183)=0,COUNTBLANK(G$18:$G183)=0),$L$16&amp;$L$15,"дозаполнить")</f>
        <v>дозаполнить</v>
      </c>
      <c r="M184" s="25">
        <f t="shared" si="1"/>
        <v>0</v>
      </c>
      <c r="N184" s="25">
        <f t="shared" si="2"/>
        <v>0</v>
      </c>
      <c r="O184" s="101">
        <f t="shared" si="3"/>
        <v>0</v>
      </c>
    </row>
    <row r="185" spans="1:15" ht="12.75" x14ac:dyDescent="0.2">
      <c r="A185" s="187"/>
      <c r="B185" s="42" t="str">
        <f ca="1">IF(A185="","",MAX($B$16:OFFSET(A185,-1,0))+1)</f>
        <v/>
      </c>
      <c r="C185" s="120"/>
      <c r="D185" s="184"/>
      <c r="E185" s="15"/>
      <c r="F185" s="15"/>
      <c r="G185" s="184"/>
      <c r="H185" s="15"/>
      <c r="I185" s="15"/>
      <c r="J185" s="185"/>
      <c r="K185" s="16">
        <f t="shared" si="0"/>
        <v>0</v>
      </c>
      <c r="L185" s="44" t="str">
        <f>IF(AND(COUNTBLANK(D$18:$D184)=0,COUNTBLANK(G$18:$G184)=0),$L$16&amp;$L$15,"дозаполнить")</f>
        <v>дозаполнить</v>
      </c>
      <c r="M185" s="25">
        <f t="shared" si="1"/>
        <v>0</v>
      </c>
      <c r="N185" s="25">
        <f t="shared" si="2"/>
        <v>0</v>
      </c>
      <c r="O185" s="101">
        <f t="shared" si="3"/>
        <v>0</v>
      </c>
    </row>
    <row r="186" spans="1:15" ht="12.75" x14ac:dyDescent="0.2">
      <c r="A186" s="187"/>
      <c r="B186" s="42" t="str">
        <f ca="1">IF(A186="","",MAX($B$16:OFFSET(A186,-1,0))+1)</f>
        <v/>
      </c>
      <c r="C186" s="120"/>
      <c r="D186" s="184"/>
      <c r="E186" s="15"/>
      <c r="F186" s="15"/>
      <c r="G186" s="184"/>
      <c r="H186" s="15"/>
      <c r="I186" s="15"/>
      <c r="J186" s="185"/>
      <c r="K186" s="16">
        <f t="shared" si="0"/>
        <v>0</v>
      </c>
      <c r="L186" s="44" t="str">
        <f>IF(AND(COUNTBLANK(D$18:$D185)=0,COUNTBLANK(G$18:$G185)=0),$L$16&amp;$L$15,"дозаполнить")</f>
        <v>дозаполнить</v>
      </c>
      <c r="M186" s="25">
        <f t="shared" si="1"/>
        <v>0</v>
      </c>
      <c r="N186" s="25">
        <f t="shared" si="2"/>
        <v>0</v>
      </c>
      <c r="O186" s="101">
        <f t="shared" si="3"/>
        <v>0</v>
      </c>
    </row>
    <row r="187" spans="1:15" ht="12.75" x14ac:dyDescent="0.2">
      <c r="A187" s="187"/>
      <c r="B187" s="42" t="str">
        <f ca="1">IF(A187="","",MAX($B$16:OFFSET(A187,-1,0))+1)</f>
        <v/>
      </c>
      <c r="C187" s="120"/>
      <c r="D187" s="184"/>
      <c r="E187" s="15"/>
      <c r="F187" s="15"/>
      <c r="G187" s="184"/>
      <c r="H187" s="15"/>
      <c r="I187" s="15"/>
      <c r="J187" s="185"/>
      <c r="K187" s="16">
        <f t="shared" si="0"/>
        <v>0</v>
      </c>
      <c r="L187" s="44" t="str">
        <f>IF(AND(COUNTBLANK(D$18:$D186)=0,COUNTBLANK(G$18:$G186)=0),$L$16&amp;$L$15,"дозаполнить")</f>
        <v>дозаполнить</v>
      </c>
      <c r="M187" s="25">
        <f t="shared" si="1"/>
        <v>0</v>
      </c>
      <c r="N187" s="25">
        <f t="shared" si="2"/>
        <v>0</v>
      </c>
      <c r="O187" s="101">
        <f t="shared" si="3"/>
        <v>0</v>
      </c>
    </row>
    <row r="188" spans="1:15" ht="12.75" x14ac:dyDescent="0.2">
      <c r="A188" s="187"/>
      <c r="B188" s="42" t="str">
        <f ca="1">IF(A188="","",MAX($B$16:OFFSET(A188,-1,0))+1)</f>
        <v/>
      </c>
      <c r="C188" s="120"/>
      <c r="D188" s="184"/>
      <c r="E188" s="15"/>
      <c r="F188" s="15"/>
      <c r="G188" s="184"/>
      <c r="H188" s="15"/>
      <c r="I188" s="15"/>
      <c r="J188" s="185"/>
      <c r="K188" s="16">
        <f t="shared" si="0"/>
        <v>0</v>
      </c>
      <c r="L188" s="44" t="str">
        <f>IF(AND(COUNTBLANK(D$18:$D187)=0,COUNTBLANK(G$18:$G187)=0),$L$16&amp;$L$15,"дозаполнить")</f>
        <v>дозаполнить</v>
      </c>
      <c r="M188" s="25">
        <f t="shared" si="1"/>
        <v>0</v>
      </c>
      <c r="N188" s="25">
        <f t="shared" si="2"/>
        <v>0</v>
      </c>
      <c r="O188" s="101">
        <f t="shared" si="3"/>
        <v>0</v>
      </c>
    </row>
    <row r="189" spans="1:15" ht="12.75" x14ac:dyDescent="0.2">
      <c r="A189" s="187"/>
      <c r="B189" s="42" t="str">
        <f ca="1">IF(A189="","",MAX($B$16:OFFSET(A189,-1,0))+1)</f>
        <v/>
      </c>
      <c r="C189" s="120"/>
      <c r="D189" s="184"/>
      <c r="E189" s="15"/>
      <c r="F189" s="15"/>
      <c r="G189" s="184"/>
      <c r="H189" s="15"/>
      <c r="I189" s="15"/>
      <c r="J189" s="185"/>
      <c r="K189" s="16">
        <f t="shared" si="0"/>
        <v>0</v>
      </c>
      <c r="L189" s="44" t="str">
        <f>IF(AND(COUNTBLANK(D$18:$D188)=0,COUNTBLANK(G$18:$G188)=0),$L$16&amp;$L$15,"дозаполнить")</f>
        <v>дозаполнить</v>
      </c>
      <c r="M189" s="25">
        <f t="shared" si="1"/>
        <v>0</v>
      </c>
      <c r="N189" s="25">
        <f t="shared" si="2"/>
        <v>0</v>
      </c>
      <c r="O189" s="101">
        <f t="shared" si="3"/>
        <v>0</v>
      </c>
    </row>
    <row r="190" spans="1:15" ht="12.75" x14ac:dyDescent="0.2">
      <c r="A190" s="187"/>
      <c r="B190" s="42" t="str">
        <f ca="1">IF(A190="","",MAX($B$16:OFFSET(A190,-1,0))+1)</f>
        <v/>
      </c>
      <c r="C190" s="120"/>
      <c r="D190" s="184"/>
      <c r="E190" s="15"/>
      <c r="F190" s="15"/>
      <c r="G190" s="184"/>
      <c r="H190" s="15"/>
      <c r="I190" s="15"/>
      <c r="J190" s="185"/>
      <c r="K190" s="16">
        <f t="shared" si="0"/>
        <v>0</v>
      </c>
      <c r="L190" s="44" t="str">
        <f>IF(AND(COUNTBLANK(D$18:$D189)=0,COUNTBLANK(G$18:$G189)=0),$L$16&amp;$L$15,"дозаполнить")</f>
        <v>дозаполнить</v>
      </c>
      <c r="M190" s="25">
        <f t="shared" si="1"/>
        <v>0</v>
      </c>
      <c r="N190" s="25">
        <f t="shared" si="2"/>
        <v>0</v>
      </c>
      <c r="O190" s="101">
        <f t="shared" si="3"/>
        <v>0</v>
      </c>
    </row>
    <row r="191" spans="1:15" ht="12.75" x14ac:dyDescent="0.2">
      <c r="A191" s="187"/>
      <c r="B191" s="42" t="str">
        <f ca="1">IF(A191="","",MAX($B$16:OFFSET(A191,-1,0))+1)</f>
        <v/>
      </c>
      <c r="C191" s="120"/>
      <c r="D191" s="184"/>
      <c r="E191" s="15"/>
      <c r="F191" s="15"/>
      <c r="G191" s="184"/>
      <c r="H191" s="15"/>
      <c r="I191" s="15"/>
      <c r="J191" s="185"/>
      <c r="K191" s="16">
        <f t="shared" si="0"/>
        <v>0</v>
      </c>
      <c r="L191" s="44" t="str">
        <f>IF(AND(COUNTBLANK(D$18:$D190)=0,COUNTBLANK(G$18:$G190)=0),$L$16&amp;$L$15,"дозаполнить")</f>
        <v>дозаполнить</v>
      </c>
      <c r="M191" s="25">
        <f t="shared" si="1"/>
        <v>0</v>
      </c>
      <c r="N191" s="25">
        <f t="shared" si="2"/>
        <v>0</v>
      </c>
      <c r="O191" s="101">
        <f t="shared" si="3"/>
        <v>0</v>
      </c>
    </row>
    <row r="192" spans="1:15" ht="12.75" x14ac:dyDescent="0.2">
      <c r="A192" s="187"/>
      <c r="B192" s="42" t="str">
        <f ca="1">IF(A192="","",MAX($B$16:OFFSET(A192,-1,0))+1)</f>
        <v/>
      </c>
      <c r="C192" s="120"/>
      <c r="D192" s="184"/>
      <c r="E192" s="15"/>
      <c r="F192" s="15"/>
      <c r="G192" s="184"/>
      <c r="H192" s="15"/>
      <c r="I192" s="15"/>
      <c r="J192" s="185"/>
      <c r="K192" s="16">
        <f t="shared" ref="K192:K200" si="16">(D192/1000)*(G192/1000)*J192</f>
        <v>0</v>
      </c>
      <c r="L192" s="44" t="str">
        <f>IF(AND(COUNTBLANK(D$18:$D191)=0,COUNTBLANK(G$18:$G191)=0),$L$16&amp;$L$15,"дозаполнить")</f>
        <v>дозаполнить</v>
      </c>
      <c r="M192" s="25">
        <f t="shared" ref="M192:M200" si="17">(D192*E192*J192)+(H192*G192*J192)</f>
        <v>0</v>
      </c>
      <c r="N192" s="25">
        <f t="shared" ref="N192:N200" si="18">(F192*D192*J192)+(I192*G192*J192)</f>
        <v>0</v>
      </c>
      <c r="O192" s="101">
        <f t="shared" ref="O192:O200" si="19">IF(A192="",0,MAX((D192/1000*G192/1000)*$O$13,$O$14))*J192</f>
        <v>0</v>
      </c>
    </row>
    <row r="193" spans="1:15" ht="12.75" x14ac:dyDescent="0.2">
      <c r="A193" s="187"/>
      <c r="B193" s="42" t="str">
        <f ca="1">IF(A193="","",MAX($B$16:OFFSET(A193,-1,0))+1)</f>
        <v/>
      </c>
      <c r="C193" s="120"/>
      <c r="D193" s="184"/>
      <c r="E193" s="15"/>
      <c r="F193" s="15"/>
      <c r="G193" s="184"/>
      <c r="H193" s="15"/>
      <c r="I193" s="15"/>
      <c r="J193" s="185"/>
      <c r="K193" s="16">
        <f t="shared" si="16"/>
        <v>0</v>
      </c>
      <c r="L193" s="44" t="str">
        <f>IF(AND(COUNTBLANK(D$18:$D192)=0,COUNTBLANK(G$18:$G192)=0),$L$16&amp;$L$15,"дозаполнить")</f>
        <v>дозаполнить</v>
      </c>
      <c r="M193" s="25">
        <f t="shared" si="17"/>
        <v>0</v>
      </c>
      <c r="N193" s="25">
        <f t="shared" si="18"/>
        <v>0</v>
      </c>
      <c r="O193" s="101">
        <f t="shared" si="19"/>
        <v>0</v>
      </c>
    </row>
    <row r="194" spans="1:15" ht="12.75" x14ac:dyDescent="0.2">
      <c r="A194" s="187"/>
      <c r="B194" s="42" t="str">
        <f ca="1">IF(A194="","",MAX($B$16:OFFSET(A194,-1,0))+1)</f>
        <v/>
      </c>
      <c r="C194" s="120"/>
      <c r="D194" s="184"/>
      <c r="E194" s="15"/>
      <c r="F194" s="15"/>
      <c r="G194" s="184"/>
      <c r="H194" s="15"/>
      <c r="I194" s="15"/>
      <c r="J194" s="185"/>
      <c r="K194" s="16">
        <f t="shared" si="16"/>
        <v>0</v>
      </c>
      <c r="L194" s="44" t="str">
        <f>IF(AND(COUNTBLANK(D$18:$D193)=0,COUNTBLANK(G$18:$G193)=0),$L$16&amp;$L$15,"дозаполнить")</f>
        <v>дозаполнить</v>
      </c>
      <c r="M194" s="25">
        <f t="shared" si="17"/>
        <v>0</v>
      </c>
      <c r="N194" s="25">
        <f t="shared" si="18"/>
        <v>0</v>
      </c>
      <c r="O194" s="101">
        <f t="shared" si="19"/>
        <v>0</v>
      </c>
    </row>
    <row r="195" spans="1:15" ht="12.75" x14ac:dyDescent="0.2">
      <c r="A195" s="187"/>
      <c r="B195" s="42" t="str">
        <f ca="1">IF(A195="","",MAX($B$16:OFFSET(A195,-1,0))+1)</f>
        <v/>
      </c>
      <c r="C195" s="120"/>
      <c r="D195" s="184"/>
      <c r="E195" s="15"/>
      <c r="F195" s="15"/>
      <c r="G195" s="184"/>
      <c r="H195" s="15"/>
      <c r="I195" s="15"/>
      <c r="J195" s="185"/>
      <c r="K195" s="16">
        <f t="shared" si="16"/>
        <v>0</v>
      </c>
      <c r="L195" s="44" t="str">
        <f>IF(AND(COUNTBLANK(D$18:$D194)=0,COUNTBLANK(G$18:$G194)=0),$L$16&amp;$L$15,"дозаполнить")</f>
        <v>дозаполнить</v>
      </c>
      <c r="M195" s="25">
        <f t="shared" si="17"/>
        <v>0</v>
      </c>
      <c r="N195" s="25">
        <f t="shared" si="18"/>
        <v>0</v>
      </c>
      <c r="O195" s="101">
        <f t="shared" si="19"/>
        <v>0</v>
      </c>
    </row>
    <row r="196" spans="1:15" ht="12.75" x14ac:dyDescent="0.2">
      <c r="A196" s="187"/>
      <c r="B196" s="42" t="str">
        <f ca="1">IF(A196="","",MAX($B$16:OFFSET(A196,-1,0))+1)</f>
        <v/>
      </c>
      <c r="C196" s="120"/>
      <c r="D196" s="184"/>
      <c r="E196" s="15"/>
      <c r="F196" s="15"/>
      <c r="G196" s="184"/>
      <c r="H196" s="15"/>
      <c r="I196" s="15"/>
      <c r="J196" s="185"/>
      <c r="K196" s="16">
        <f t="shared" si="16"/>
        <v>0</v>
      </c>
      <c r="L196" s="44" t="str">
        <f>IF(AND(COUNTBLANK(D$18:$D195)=0,COUNTBLANK(G$18:$G195)=0),$L$16&amp;$L$15,"дозаполнить")</f>
        <v>дозаполнить</v>
      </c>
      <c r="M196" s="25">
        <f t="shared" si="17"/>
        <v>0</v>
      </c>
      <c r="N196" s="25">
        <f t="shared" si="18"/>
        <v>0</v>
      </c>
      <c r="O196" s="101">
        <f t="shared" si="19"/>
        <v>0</v>
      </c>
    </row>
    <row r="197" spans="1:15" ht="12.75" x14ac:dyDescent="0.2">
      <c r="A197" s="187"/>
      <c r="B197" s="42" t="str">
        <f ca="1">IF(A197="","",MAX($B$16:OFFSET(A197,-1,0))+1)</f>
        <v/>
      </c>
      <c r="C197" s="120"/>
      <c r="D197" s="184"/>
      <c r="E197" s="15"/>
      <c r="F197" s="15"/>
      <c r="G197" s="184"/>
      <c r="H197" s="15"/>
      <c r="I197" s="15"/>
      <c r="J197" s="185"/>
      <c r="K197" s="16">
        <f t="shared" si="16"/>
        <v>0</v>
      </c>
      <c r="L197" s="44" t="str">
        <f>IF(AND(COUNTBLANK(D$18:$D196)=0,COUNTBLANK(G$18:$G196)=0),$L$16&amp;$L$15,"дозаполнить")</f>
        <v>дозаполнить</v>
      </c>
      <c r="M197" s="25">
        <f t="shared" si="17"/>
        <v>0</v>
      </c>
      <c r="N197" s="25">
        <f t="shared" si="18"/>
        <v>0</v>
      </c>
      <c r="O197" s="101">
        <f t="shared" si="19"/>
        <v>0</v>
      </c>
    </row>
    <row r="198" spans="1:15" ht="12.75" x14ac:dyDescent="0.2">
      <c r="A198" s="187"/>
      <c r="B198" s="42" t="str">
        <f ca="1">IF(A198="","",MAX($B$16:OFFSET(A198,-1,0))+1)</f>
        <v/>
      </c>
      <c r="C198" s="120"/>
      <c r="D198" s="184"/>
      <c r="E198" s="15"/>
      <c r="F198" s="15"/>
      <c r="G198" s="184"/>
      <c r="H198" s="15"/>
      <c r="I198" s="15"/>
      <c r="J198" s="185"/>
      <c r="K198" s="16">
        <f t="shared" si="16"/>
        <v>0</v>
      </c>
      <c r="L198" s="44" t="str">
        <f>IF(AND(COUNTBLANK(D$18:$D197)=0,COUNTBLANK(G$18:$G197)=0),$L$16&amp;$L$15,"дозаполнить")</f>
        <v>дозаполнить</v>
      </c>
      <c r="M198" s="25">
        <f t="shared" si="17"/>
        <v>0</v>
      </c>
      <c r="N198" s="25">
        <f t="shared" si="18"/>
        <v>0</v>
      </c>
      <c r="O198" s="101">
        <f t="shared" si="19"/>
        <v>0</v>
      </c>
    </row>
    <row r="199" spans="1:15" ht="12.75" x14ac:dyDescent="0.2">
      <c r="A199" s="187"/>
      <c r="B199" s="42" t="str">
        <f ca="1">IF(A199="","",MAX($B$16:OFFSET(A199,-1,0))+1)</f>
        <v/>
      </c>
      <c r="C199" s="120"/>
      <c r="D199" s="184"/>
      <c r="E199" s="15"/>
      <c r="F199" s="15"/>
      <c r="G199" s="184"/>
      <c r="H199" s="15"/>
      <c r="I199" s="15"/>
      <c r="J199" s="185"/>
      <c r="K199" s="16">
        <f t="shared" si="16"/>
        <v>0</v>
      </c>
      <c r="L199" s="44" t="str">
        <f>IF(AND(COUNTBLANK(D$18:$D198)=0,COUNTBLANK(G$18:$G198)=0),$L$16&amp;$L$15,"дозаполнить")</f>
        <v>дозаполнить</v>
      </c>
      <c r="M199" s="25">
        <f t="shared" si="17"/>
        <v>0</v>
      </c>
      <c r="N199" s="25">
        <f t="shared" si="18"/>
        <v>0</v>
      </c>
      <c r="O199" s="101">
        <f t="shared" si="19"/>
        <v>0</v>
      </c>
    </row>
    <row r="200" spans="1:15" ht="12.75" x14ac:dyDescent="0.2">
      <c r="A200" s="187"/>
      <c r="B200" s="42" t="str">
        <f ca="1">IF(A200="","",MAX($B$16:OFFSET(A200,-1,0))+1)</f>
        <v/>
      </c>
      <c r="C200" s="120"/>
      <c r="D200" s="184"/>
      <c r="E200" s="15"/>
      <c r="F200" s="15"/>
      <c r="G200" s="184"/>
      <c r="H200" s="15"/>
      <c r="I200" s="15"/>
      <c r="J200" s="185"/>
      <c r="K200" s="16">
        <f t="shared" si="16"/>
        <v>0</v>
      </c>
      <c r="L200" s="44" t="str">
        <f>IF(AND(COUNTBLANK(D$18:$D199)=0,COUNTBLANK(G$18:$G199)=0),$L$16&amp;$L$15,"дозаполнить")</f>
        <v>дозаполнить</v>
      </c>
      <c r="M200" s="25">
        <f t="shared" si="17"/>
        <v>0</v>
      </c>
      <c r="N200" s="25">
        <f t="shared" si="18"/>
        <v>0</v>
      </c>
      <c r="O200" s="101">
        <f t="shared" si="19"/>
        <v>0</v>
      </c>
    </row>
    <row r="201" spans="1:15" ht="12.75" x14ac:dyDescent="0.2">
      <c r="A201" s="116"/>
      <c r="B201" s="116"/>
      <c r="C201" s="116"/>
      <c r="D201" s="45"/>
      <c r="E201" s="45"/>
      <c r="F201" s="45"/>
      <c r="G201" s="45"/>
      <c r="H201" s="45"/>
      <c r="I201" s="45"/>
      <c r="J201" s="45"/>
      <c r="K201" s="119">
        <f>SUM(K18:K200)</f>
        <v>0</v>
      </c>
      <c r="L201" s="40"/>
    </row>
    <row r="202" spans="1:15" ht="12.75" x14ac:dyDescent="0.2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7"/>
      <c r="L202" s="40"/>
    </row>
    <row r="203" spans="1:15" s="29" customFormat="1" ht="54.75" customHeight="1" thickBot="1" x14ac:dyDescent="0.3">
      <c r="A203" s="267" t="s">
        <v>1983</v>
      </c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49"/>
      <c r="M203" s="40"/>
      <c r="N203" s="40"/>
    </row>
    <row r="204" spans="1:15" s="29" customFormat="1" ht="42.75" customHeight="1" x14ac:dyDescent="0.25">
      <c r="A204" s="293" t="s">
        <v>2031</v>
      </c>
      <c r="B204" s="293"/>
      <c r="C204" s="293"/>
      <c r="D204" s="105"/>
      <c r="E204" s="105"/>
      <c r="F204" s="52" t="s">
        <v>1985</v>
      </c>
      <c r="G204" s="52"/>
      <c r="H204" s="52"/>
      <c r="I204" s="52"/>
      <c r="J204" s="52"/>
      <c r="L204" s="39"/>
      <c r="M204" s="40"/>
      <c r="N204" s="40"/>
    </row>
    <row r="205" spans="1:15" s="29" customFormat="1" ht="15.75" customHeight="1" x14ac:dyDescent="0.25">
      <c r="A205" s="294" t="s">
        <v>1986</v>
      </c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39"/>
      <c r="M205" s="40"/>
      <c r="N205" s="40"/>
    </row>
    <row r="206" spans="1:15" s="29" customFormat="1" ht="13.5" customHeight="1" x14ac:dyDescent="0.25">
      <c r="A206" s="294" t="s">
        <v>2032</v>
      </c>
      <c r="B206" s="294"/>
      <c r="C206" s="294"/>
      <c r="D206" s="294"/>
      <c r="E206" s="294"/>
      <c r="F206" s="294"/>
      <c r="G206" s="294"/>
      <c r="H206" s="294"/>
      <c r="I206" s="294"/>
      <c r="J206" s="294"/>
      <c r="K206" s="294"/>
      <c r="L206" s="53"/>
      <c r="M206" s="40"/>
      <c r="N206" s="40"/>
    </row>
    <row r="207" spans="1:15" s="29" customFormat="1" ht="18.75" customHeight="1" x14ac:dyDescent="0.25">
      <c r="A207" s="259" t="s">
        <v>1988</v>
      </c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53"/>
      <c r="M207" s="40"/>
      <c r="N207" s="40"/>
    </row>
    <row r="208" spans="1:15" s="29" customFormat="1" ht="18.75" customHeight="1" x14ac:dyDescent="0.25">
      <c r="A208" s="259" t="s">
        <v>1989</v>
      </c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53"/>
      <c r="M208" s="40"/>
      <c r="N208" s="40"/>
    </row>
  </sheetData>
  <sheetProtection password="8E28" sheet="1" objects="1" scenarios="1" autoFilter="0"/>
  <autoFilter ref="A17:N201"/>
  <dataConsolidate/>
  <mergeCells count="28">
    <mergeCell ref="O15:O17"/>
    <mergeCell ref="H7:K7"/>
    <mergeCell ref="A208:K208"/>
    <mergeCell ref="A14:J14"/>
    <mergeCell ref="A15:K15"/>
    <mergeCell ref="A9:F10"/>
    <mergeCell ref="A203:K203"/>
    <mergeCell ref="A204:C204"/>
    <mergeCell ref="A205:K205"/>
    <mergeCell ref="A206:K206"/>
    <mergeCell ref="A16:A17"/>
    <mergeCell ref="B16:B17"/>
    <mergeCell ref="C16:C17"/>
    <mergeCell ref="D16:D17"/>
    <mergeCell ref="E16:F16"/>
    <mergeCell ref="M15:M17"/>
    <mergeCell ref="N15:N17"/>
    <mergeCell ref="A207:K207"/>
    <mergeCell ref="J12:K12"/>
    <mergeCell ref="C7:D7"/>
    <mergeCell ref="E7:F7"/>
    <mergeCell ref="G16:G17"/>
    <mergeCell ref="H16:I16"/>
    <mergeCell ref="A13:K13"/>
    <mergeCell ref="J16:J17"/>
    <mergeCell ref="A11:F11"/>
    <mergeCell ref="J9:K9"/>
    <mergeCell ref="J10:K10"/>
  </mergeCells>
  <conditionalFormatting sqref="E20:F202 H20:I202">
    <cfRule type="expression" dxfId="15" priority="8">
      <formula>AND(OR($E20=2,$F20=2,$H20=2,$I20=2),OR($E20=0.8,$F20=0.8,$H20=0.8,$I20=0.8))</formula>
    </cfRule>
  </conditionalFormatting>
  <conditionalFormatting sqref="H18:I19 E18:F19">
    <cfRule type="expression" dxfId="14" priority="1">
      <formula>AND(OR($E18=2,$F18=2,$H18=2,$I18=2),OR($E18=0.8,$F18=0.8,$H18=0.8,$I18=0.8))</formula>
    </cfRule>
  </conditionalFormatting>
  <dataValidations count="8">
    <dataValidation type="list" allowBlank="1" showInputMessage="1" showErrorMessage="1" sqref="A18:A200">
      <formula1>INDIRECT($L18)</formula1>
    </dataValidation>
    <dataValidation allowBlank="1" showInputMessage="1" showErrorMessage="1" errorTitle="Неверный формат" error="Варианты  Кромки: _x000a_0,4мм_x000a_0,8мм_x000a_2,0мм_x000a__x000a_Внимание! Кромление одной детали форматами 0,8 и 2,0  недопустимо." sqref="E201:F201"/>
    <dataValidation type="list" allowBlank="1" showInputMessage="1" showErrorMessage="1" errorTitle="Неверный формат" error="Варианты  Кромки: _x000a_0,4мм_x000a_0,8мм_x000a_2,0мм_x000a__x000a_Внимание! Кромление одной детали форматами 0,8 и 2,0  недопустимо." sqref="E202:F202 H201:I202">
      <formula1>#REF!</formula1>
    </dataValidation>
    <dataValidation type="textLength" showInputMessage="1" showErrorMessage="1" errorTitle="Превышено количество символов" error="Максимум 7 знаков" sqref="C18:C200">
      <formula1>0</formula1>
      <formula2>7</formula2>
    </dataValidation>
    <dataValidation type="whole" operator="lessThanOrEqual" showInputMessage="1" showErrorMessage="1" errorTitle="Вдоль волокон всего 2 стороны" error="уточните: данной кромкой кромим 1 сторону или 2?_x000a_если 2, то удалите значение из соседней клетки" sqref="E18:E200">
      <formula1>IF(F18="",2,IF(F18=1,1,0))</formula1>
    </dataValidation>
    <dataValidation type="whole" operator="lessThanOrEqual" showInputMessage="1" showErrorMessage="1" errorTitle="Вдоль волокон всего 2 стороны" error="уточните: данной кромкой кромим 1 сторону или 2?_x000a_если 2, то удалите значение из соседней клетки" sqref="F18:F200">
      <formula1>IF(E18="",2,IF(E18=1,1,0))</formula1>
    </dataValidation>
    <dataValidation type="whole" operator="lessThanOrEqual" showInputMessage="1" showErrorMessage="1" errorTitle="Поперек волокон всего 2 стороны" error="уточните: данной кромкой кромим 1 сторону или 2?_x000a_если 2, то удалите значение из соседней клетки" sqref="I18:I200">
      <formula1>IF(H18="",2,IF(H18=1,1,0))</formula1>
    </dataValidation>
    <dataValidation type="whole" operator="lessThanOrEqual" showInputMessage="1" showErrorMessage="1" errorTitle="Поперек волокон всего 2 стороны" error="уточните: данной кромкой кромим 1 сторону или 2?_x000a_если 2, то удалите значение из соседней клетки" sqref="H18:H200">
      <formula1>IF(I18="",2,IF(I18=1,1,0))</formula1>
    </dataValidation>
  </dataValidations>
  <hyperlinks>
    <hyperlink ref="H7" location="Шаг3.Стоимость!A1" display="Перейти к Расчету"/>
    <hyperlink ref="A7" location="'Шаг1.Выбор плиты'!A1" display="Перейти к Расчету"/>
    <hyperlink ref="E7:F7" location="'Бланк OLD 2.0 04 '!A1" display="Бланк с кромкой 2.0"/>
    <hyperlink ref="C7:D7" location="'Шаг2.Бланк заказа NEW'!A1" display="Бланк заказа NEW"/>
  </hyperlinks>
  <pageMargins left="0.25" right="0.25" top="0.75" bottom="0.75" header="0.3" footer="0.3"/>
  <pageSetup paperSize="9" scale="6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whole" operator="lessThanOrEqual" allowBlank="1" showInputMessage="1" showErrorMessage="1" errorTitle="Перейди к Бланку заказа NEW" error="здесь Только ЛДСП или шлифованные МДФ ДСП, только РАСПИЛ И КРОМЛЕНИЕ">
          <x14:formula1>
            <xm:f>IF(OR(VLOOKUP(A18,'Шаг1.Выбор плиты'!C:D,2,0)="ЛДСП",VLOOKUP(A18,'Шаг1.Выбор плиты'!C:D,2,0)="ДСП",VLOOKUP(A18,'Шаг1.Выбор плиты'!C:D,2,0)="МДФ"),10000000,0)</xm:f>
          </x14:formula1>
          <xm:sqref>J18:J200</xm:sqref>
        </x14:dataValidation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VLOOKUP(A18,'Шаг1.Выбор плиты'!C:S,16,0)-30</xm:f>
          </x14:formula2>
          <xm:sqref>D18:D200</xm:sqref>
        </x14:dataValidation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VLOOKUP(A18,'Шаг1.Выбор плиты'!C:S,17,0)-30</xm:f>
          </x14:formula2>
          <xm:sqref>G18:G200</xm:sqref>
        </x14:dataValidation>
        <x14:dataValidation type="custom" allowBlank="1" showInputMessage="1" showErrorMessage="1" error="Номер заказа должен быть одинаковый во всех бланках">
          <x14:formula1>
            <xm:f>OR(AND('Шаг2.Бланк заказа NEW'!O13="",'Бланк OLD 2.0 04 '!J10:J10=""),'Шаг2.Бланк заказа NEW'!O13=J10:J10,'Бланк OLD 2.0 04 '!J10:J10=J10:J10)</xm:f>
          </x14:formula1>
          <xm:sqref>J10:K10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208"/>
  <sheetViews>
    <sheetView showGridLines="0" workbookViewId="0">
      <pane ySplit="17" topLeftCell="A18" activePane="bottomLeft" state="frozen"/>
      <selection pane="bottomLeft" activeCell="T24" sqref="T24"/>
    </sheetView>
  </sheetViews>
  <sheetFormatPr defaultRowHeight="11.25" x14ac:dyDescent="0.2"/>
  <cols>
    <col min="1" max="1" width="31.1640625" style="24" customWidth="1"/>
    <col min="2" max="2" width="5.1640625" style="25" customWidth="1"/>
    <col min="3" max="3" width="11.83203125" style="25" customWidth="1"/>
    <col min="4" max="4" width="11.6640625" style="55" customWidth="1"/>
    <col min="5" max="6" width="9.33203125" style="25"/>
    <col min="7" max="7" width="12.33203125" style="25" customWidth="1"/>
    <col min="8" max="9" width="9.33203125" style="25"/>
    <col min="10" max="10" width="10" style="25" customWidth="1"/>
    <col min="11" max="11" width="9.33203125" style="25"/>
    <col min="12" max="12" width="22.83203125" style="25" hidden="1" customWidth="1"/>
    <col min="13" max="18" width="9.33203125" style="25" hidden="1" customWidth="1"/>
    <col min="19" max="20" width="9.33203125" style="25" customWidth="1"/>
    <col min="21" max="16384" width="9.33203125" style="25"/>
  </cols>
  <sheetData>
    <row r="1" spans="1:21" x14ac:dyDescent="0.2">
      <c r="A1" s="133"/>
      <c r="D1" s="25"/>
      <c r="L1" s="26"/>
      <c r="M1" s="4"/>
      <c r="N1" s="4"/>
    </row>
    <row r="2" spans="1:21" x14ac:dyDescent="0.2">
      <c r="D2" s="25"/>
      <c r="L2" s="4"/>
      <c r="M2" s="4"/>
      <c r="N2" s="4"/>
    </row>
    <row r="3" spans="1:21" x14ac:dyDescent="0.2">
      <c r="D3" s="25"/>
      <c r="L3" s="4"/>
      <c r="M3" s="4"/>
      <c r="N3" s="4"/>
    </row>
    <row r="4" spans="1:21" x14ac:dyDescent="0.2">
      <c r="D4" s="25"/>
      <c r="L4" s="4"/>
      <c r="M4" s="4"/>
      <c r="N4" s="4"/>
    </row>
    <row r="5" spans="1:21" x14ac:dyDescent="0.2">
      <c r="D5" s="25"/>
      <c r="L5" s="4"/>
      <c r="M5" s="4"/>
      <c r="N5" s="4"/>
    </row>
    <row r="6" spans="1:21" ht="12" thickBot="1" x14ac:dyDescent="0.25">
      <c r="D6" s="25"/>
      <c r="L6" s="4"/>
      <c r="M6" s="4"/>
      <c r="N6" s="4"/>
    </row>
    <row r="7" spans="1:21" s="167" customFormat="1" ht="38.25" thickBot="1" x14ac:dyDescent="0.25">
      <c r="A7" s="165" t="s">
        <v>1958</v>
      </c>
      <c r="B7" s="166"/>
      <c r="C7" s="237" t="s">
        <v>2036</v>
      </c>
      <c r="D7" s="239"/>
      <c r="E7" s="237" t="s">
        <v>2094</v>
      </c>
      <c r="F7" s="239"/>
      <c r="H7" s="288" t="s">
        <v>1956</v>
      </c>
      <c r="I7" s="289"/>
      <c r="J7" s="289"/>
      <c r="K7" s="290"/>
      <c r="L7" s="161"/>
      <c r="M7" s="161"/>
      <c r="N7" s="161"/>
    </row>
    <row r="8" spans="1:21" ht="16.5" thickBot="1" x14ac:dyDescent="0.3">
      <c r="A8" s="164" t="s">
        <v>2108</v>
      </c>
      <c r="D8" s="25"/>
      <c r="L8" s="4"/>
      <c r="M8" s="4"/>
      <c r="N8" s="4"/>
    </row>
    <row r="9" spans="1:21" s="27" customFormat="1" ht="15.75" thickBot="1" x14ac:dyDescent="0.3">
      <c r="A9" s="297"/>
      <c r="B9" s="298"/>
      <c r="C9" s="298"/>
      <c r="D9" s="298"/>
      <c r="E9" s="298"/>
      <c r="F9" s="299"/>
      <c r="H9" s="28"/>
      <c r="I9" s="30" t="s">
        <v>1952</v>
      </c>
      <c r="J9" s="284"/>
      <c r="K9" s="285"/>
      <c r="L9" s="4"/>
      <c r="M9" s="4"/>
      <c r="N9" s="4"/>
      <c r="U9" s="25"/>
    </row>
    <row r="10" spans="1:21" ht="21" customHeight="1" thickBot="1" x14ac:dyDescent="0.3">
      <c r="A10" s="300"/>
      <c r="B10" s="301"/>
      <c r="C10" s="301"/>
      <c r="D10" s="301"/>
      <c r="E10" s="301"/>
      <c r="F10" s="302"/>
      <c r="H10" s="124"/>
      <c r="I10" s="30" t="s">
        <v>1953</v>
      </c>
      <c r="J10" s="286"/>
      <c r="K10" s="287"/>
      <c r="L10" s="4"/>
      <c r="M10" s="4"/>
      <c r="N10" s="4"/>
    </row>
    <row r="11" spans="1:21" s="29" customFormat="1" ht="14.25" customHeight="1" thickBot="1" x14ac:dyDescent="0.3">
      <c r="A11" s="274" t="s">
        <v>1954</v>
      </c>
      <c r="B11" s="274"/>
      <c r="C11" s="274"/>
      <c r="D11" s="274"/>
      <c r="E11" s="274"/>
      <c r="F11" s="274"/>
      <c r="H11" s="33"/>
      <c r="I11" s="27"/>
      <c r="J11" s="27"/>
      <c r="K11" s="27"/>
      <c r="L11" s="4"/>
      <c r="M11" s="4"/>
      <c r="N11" s="4"/>
      <c r="O11" s="25"/>
      <c r="P11" s="99" t="s">
        <v>2014</v>
      </c>
      <c r="U11" s="25"/>
    </row>
    <row r="12" spans="1:21" s="29" customFormat="1" ht="21.75" customHeight="1" thickBot="1" x14ac:dyDescent="0.3">
      <c r="A12" s="123"/>
      <c r="B12" s="123"/>
      <c r="C12" s="123"/>
      <c r="D12" s="123"/>
      <c r="E12" s="123"/>
      <c r="F12" s="123"/>
      <c r="H12" s="33"/>
      <c r="I12" s="30" t="s">
        <v>2010</v>
      </c>
      <c r="J12" s="278">
        <f ca="1">IFERROR(Шаг3.Стоимость!G31,Шаг3.Стоимость!F31)</f>
        <v>0</v>
      </c>
      <c r="K12" s="279"/>
      <c r="L12" s="4"/>
      <c r="M12" s="4"/>
      <c r="N12" s="4"/>
      <c r="O12" s="25"/>
      <c r="P12" s="99"/>
      <c r="U12" s="25"/>
    </row>
    <row r="13" spans="1:21" s="29" customFormat="1" ht="9.75" customHeight="1" x14ac:dyDescent="0.25">
      <c r="A13" s="282" t="s">
        <v>2146</v>
      </c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35"/>
      <c r="M13" s="35"/>
      <c r="N13" s="35"/>
      <c r="O13" s="100">
        <v>205</v>
      </c>
      <c r="P13" s="25" t="s">
        <v>2012</v>
      </c>
      <c r="U13" s="25"/>
    </row>
    <row r="14" spans="1:21" s="29" customFormat="1" ht="15" customHeight="1" thickBot="1" x14ac:dyDescent="0.35">
      <c r="A14" s="291" t="s">
        <v>2097</v>
      </c>
      <c r="B14" s="291"/>
      <c r="C14" s="291"/>
      <c r="D14" s="291"/>
      <c r="E14" s="291"/>
      <c r="F14" s="291"/>
      <c r="G14" s="291"/>
      <c r="H14" s="291"/>
      <c r="I14" s="291"/>
      <c r="J14" s="291"/>
      <c r="K14" s="125"/>
      <c r="L14" s="35"/>
      <c r="M14" s="35"/>
      <c r="N14" s="35"/>
      <c r="O14" s="100">
        <v>60</v>
      </c>
      <c r="P14" s="25" t="s">
        <v>2013</v>
      </c>
      <c r="U14" s="25"/>
    </row>
    <row r="15" spans="1:21" s="29" customFormat="1" ht="6.75" customHeight="1" thickBot="1" x14ac:dyDescent="0.3">
      <c r="A15" s="292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121">
        <f ca="1">COUNTA(Шаг3.Стоимость!$B$14:$B$28)-(COUNTIFS(Шаг3.Стоимость!$B$14:$B$28,"")+COUNTIFS(Шаг3.Стоимость!$B$14:$B$28,"Распил (м2)")+COUNTIFS(Шаг3.Стоимость!$B$14:$B$28,"Упаковка (м2)")+COUNTIFS(Шаг3.Стоимость!$B$14:$B$28,"Кромление (м)")+COUNTIFS(Шаг3.Стоимость!$B$14:$B$28,"Фрезеровка/Сверление (м2)"))</f>
        <v>0</v>
      </c>
      <c r="M15" s="277" t="s">
        <v>2035</v>
      </c>
      <c r="N15" s="240">
        <v>0.4</v>
      </c>
      <c r="O15" s="240" t="s">
        <v>2016</v>
      </c>
      <c r="U15" s="25"/>
    </row>
    <row r="16" spans="1:21" ht="25.5" customHeight="1" thickBot="1" x14ac:dyDescent="0.25">
      <c r="A16" s="257" t="s">
        <v>1962</v>
      </c>
      <c r="B16" s="275" t="s">
        <v>1943</v>
      </c>
      <c r="C16" s="257" t="s">
        <v>2099</v>
      </c>
      <c r="D16" s="240" t="s">
        <v>1964</v>
      </c>
      <c r="E16" s="202" t="s">
        <v>2033</v>
      </c>
      <c r="F16" s="203"/>
      <c r="G16" s="240" t="s">
        <v>1965</v>
      </c>
      <c r="H16" s="202" t="s">
        <v>2033</v>
      </c>
      <c r="I16" s="203"/>
      <c r="J16" s="252" t="s">
        <v>1966</v>
      </c>
      <c r="K16" s="11" t="s">
        <v>1945</v>
      </c>
      <c r="L16" s="43" t="s">
        <v>2100</v>
      </c>
      <c r="M16" s="295"/>
      <c r="N16" s="241"/>
      <c r="O16" s="241"/>
    </row>
    <row r="17" spans="1:15" ht="23.25" customHeight="1" thickBot="1" x14ac:dyDescent="0.25">
      <c r="A17" s="258"/>
      <c r="B17" s="276"/>
      <c r="C17" s="258"/>
      <c r="D17" s="242"/>
      <c r="E17" s="126" t="s">
        <v>2034</v>
      </c>
      <c r="F17" s="127" t="s">
        <v>2030</v>
      </c>
      <c r="G17" s="242"/>
      <c r="H17" s="126" t="s">
        <v>2034</v>
      </c>
      <c r="I17" s="127" t="s">
        <v>2030</v>
      </c>
      <c r="J17" s="253"/>
      <c r="K17" s="12" t="s">
        <v>1951</v>
      </c>
      <c r="L17" s="41" t="s">
        <v>1959</v>
      </c>
      <c r="M17" s="296"/>
      <c r="N17" s="242"/>
      <c r="O17" s="242"/>
    </row>
    <row r="18" spans="1:15" ht="12.75" x14ac:dyDescent="0.2">
      <c r="A18" s="187"/>
      <c r="B18" s="42" t="str">
        <f ca="1">IF(A18="","",MAX($B$16:OFFSET(A18,-1,0))+1)</f>
        <v/>
      </c>
      <c r="C18" s="180"/>
      <c r="D18" s="179"/>
      <c r="E18" s="180"/>
      <c r="F18" s="180"/>
      <c r="G18" s="179"/>
      <c r="H18" s="180"/>
      <c r="I18" s="180"/>
      <c r="J18" s="180"/>
      <c r="K18" s="16">
        <f>(D18/1000)*(G18/1000)*J18</f>
        <v>0</v>
      </c>
      <c r="L18" s="44" t="str">
        <f ca="1">L16&amp;L15</f>
        <v>Номенклатура20</v>
      </c>
      <c r="M18" s="25">
        <f>(D18*E18*J18)+(H18*G18*J18)</f>
        <v>0</v>
      </c>
      <c r="N18" s="25">
        <f>(F18*D18*J18)+(I18*G18*J18)</f>
        <v>0</v>
      </c>
      <c r="O18" s="101">
        <f>IF(A18="",0,MAX((D18/1000*G18/1000)*$O$13,$O$14))*J18</f>
        <v>0</v>
      </c>
    </row>
    <row r="19" spans="1:15" ht="12.75" x14ac:dyDescent="0.2">
      <c r="A19" s="187"/>
      <c r="B19" s="42" t="str">
        <f ca="1">IF(A19="","",MAX($B$16:OFFSET(A19,-1,0))+1)</f>
        <v/>
      </c>
      <c r="C19" s="180"/>
      <c r="D19" s="184"/>
      <c r="E19" s="180"/>
      <c r="F19" s="180"/>
      <c r="G19" s="184"/>
      <c r="H19" s="180"/>
      <c r="I19" s="180"/>
      <c r="J19" s="185"/>
      <c r="K19" s="16">
        <f t="shared" ref="K19:K191" si="0">(D19/1000)*(G19/1000)*J19</f>
        <v>0</v>
      </c>
      <c r="L19" s="44" t="str">
        <f>IF(AND(COUNTBLANK(D$18:$D18)=0,COUNTBLANK(G$18:$G18)=0),$L$16&amp;$L$15,"дозаполнить")</f>
        <v>дозаполнить</v>
      </c>
      <c r="M19" s="25">
        <f t="shared" ref="M19:M191" si="1">(D19*E19*J19)+(H19*G19*J19)</f>
        <v>0</v>
      </c>
      <c r="N19" s="25">
        <f t="shared" ref="N19:N191" si="2">(F19*D19*J19)+(I19*G19*J19)</f>
        <v>0</v>
      </c>
      <c r="O19" s="101">
        <f>IF(A19="",0,MAX((D19/1000*G19/1000)*$O$13,$O$14))*J19</f>
        <v>0</v>
      </c>
    </row>
    <row r="20" spans="1:15" ht="12.75" x14ac:dyDescent="0.2">
      <c r="A20" s="187"/>
      <c r="B20" s="42" t="str">
        <f ca="1">IF(A20="","",MAX($B$16:OFFSET(A20,-1,0))+1)</f>
        <v/>
      </c>
      <c r="C20" s="180"/>
      <c r="D20" s="184"/>
      <c r="E20" s="180"/>
      <c r="F20" s="180"/>
      <c r="G20" s="184"/>
      <c r="H20" s="180"/>
      <c r="I20" s="180"/>
      <c r="J20" s="185"/>
      <c r="K20" s="16">
        <f t="shared" si="0"/>
        <v>0</v>
      </c>
      <c r="L20" s="44" t="str">
        <f>IF(AND(COUNTBLANK(D$18:$D19)=0,COUNTBLANK(G$18:$G19)=0),$L$16&amp;$L$15,"дозаполнить")</f>
        <v>дозаполнить</v>
      </c>
      <c r="M20" s="25">
        <f t="shared" si="1"/>
        <v>0</v>
      </c>
      <c r="N20" s="25">
        <f t="shared" si="2"/>
        <v>0</v>
      </c>
      <c r="O20" s="101">
        <f t="shared" ref="O20:O191" si="3">IF(A20="",0,MAX((D20/1000*G20/1000)*$O$13,$O$14))*J20</f>
        <v>0</v>
      </c>
    </row>
    <row r="21" spans="1:15" ht="12.75" x14ac:dyDescent="0.2">
      <c r="A21" s="187"/>
      <c r="B21" s="42" t="str">
        <f ca="1">IF(A21="","",MAX($B$16:OFFSET(A21,-1,0))+1)</f>
        <v/>
      </c>
      <c r="C21" s="180"/>
      <c r="D21" s="184"/>
      <c r="E21" s="180"/>
      <c r="F21" s="180"/>
      <c r="G21" s="184"/>
      <c r="H21" s="180"/>
      <c r="I21" s="180"/>
      <c r="J21" s="185"/>
      <c r="K21" s="16">
        <f t="shared" si="0"/>
        <v>0</v>
      </c>
      <c r="L21" s="44" t="str">
        <f>IF(AND(COUNTBLANK(D$18:$D20)=0,COUNTBLANK(G$18:$G20)=0),$L$16&amp;$L$15,"дозаполнить")</f>
        <v>дозаполнить</v>
      </c>
      <c r="M21" s="25">
        <f t="shared" si="1"/>
        <v>0</v>
      </c>
      <c r="N21" s="25">
        <f t="shared" si="2"/>
        <v>0</v>
      </c>
      <c r="O21" s="101">
        <f t="shared" si="3"/>
        <v>0</v>
      </c>
    </row>
    <row r="22" spans="1:15" ht="12.75" x14ac:dyDescent="0.2">
      <c r="A22" s="187"/>
      <c r="B22" s="42" t="str">
        <f ca="1">IF(A22="","",MAX($B$16:OFFSET(A22,-1,0))+1)</f>
        <v/>
      </c>
      <c r="C22" s="180"/>
      <c r="D22" s="184"/>
      <c r="E22" s="180"/>
      <c r="F22" s="180"/>
      <c r="G22" s="184"/>
      <c r="H22" s="180"/>
      <c r="I22" s="180"/>
      <c r="J22" s="185"/>
      <c r="K22" s="16">
        <f t="shared" si="0"/>
        <v>0</v>
      </c>
      <c r="L22" s="44" t="str">
        <f>IF(AND(COUNTBLANK(D$18:$D21)=0,COUNTBLANK(G$18:$G21)=0),$L$16&amp;$L$15,"дозаполнить")</f>
        <v>дозаполнить</v>
      </c>
      <c r="M22" s="25">
        <f t="shared" si="1"/>
        <v>0</v>
      </c>
      <c r="N22" s="25">
        <f t="shared" si="2"/>
        <v>0</v>
      </c>
      <c r="O22" s="101">
        <f t="shared" si="3"/>
        <v>0</v>
      </c>
    </row>
    <row r="23" spans="1:15" ht="12.75" x14ac:dyDescent="0.2">
      <c r="A23" s="187"/>
      <c r="B23" s="42" t="str">
        <f ca="1">IF(A23="","",MAX($B$16:OFFSET(A23,-1,0))+1)</f>
        <v/>
      </c>
      <c r="C23" s="180"/>
      <c r="D23" s="184"/>
      <c r="E23" s="180"/>
      <c r="F23" s="180"/>
      <c r="G23" s="184"/>
      <c r="H23" s="180"/>
      <c r="I23" s="180"/>
      <c r="J23" s="185"/>
      <c r="K23" s="16">
        <f t="shared" si="0"/>
        <v>0</v>
      </c>
      <c r="L23" s="44" t="str">
        <f>IF(AND(COUNTBLANK(D$18:$D22)=0,COUNTBLANK(G$18:$G22)=0),$L$16&amp;$L$15,"дозаполнить")</f>
        <v>дозаполнить</v>
      </c>
      <c r="M23" s="25">
        <f t="shared" si="1"/>
        <v>0</v>
      </c>
      <c r="N23" s="25">
        <f t="shared" si="2"/>
        <v>0</v>
      </c>
      <c r="O23" s="101">
        <f t="shared" si="3"/>
        <v>0</v>
      </c>
    </row>
    <row r="24" spans="1:15" ht="12.75" x14ac:dyDescent="0.2">
      <c r="A24" s="187"/>
      <c r="B24" s="42" t="str">
        <f ca="1">IF(A24="","",MAX($B$16:OFFSET(A24,-1,0))+1)</f>
        <v/>
      </c>
      <c r="C24" s="180"/>
      <c r="D24" s="184"/>
      <c r="E24" s="180"/>
      <c r="F24" s="180"/>
      <c r="G24" s="184"/>
      <c r="H24" s="180"/>
      <c r="I24" s="180"/>
      <c r="J24" s="185"/>
      <c r="K24" s="16">
        <f t="shared" si="0"/>
        <v>0</v>
      </c>
      <c r="L24" s="44" t="str">
        <f>IF(AND(COUNTBLANK(D$18:$D23)=0,COUNTBLANK(G$18:$G23)=0),$L$16&amp;$L$15,"дозаполнить")</f>
        <v>дозаполнить</v>
      </c>
      <c r="M24" s="25">
        <f t="shared" si="1"/>
        <v>0</v>
      </c>
      <c r="N24" s="25">
        <f t="shared" si="2"/>
        <v>0</v>
      </c>
      <c r="O24" s="101">
        <f t="shared" si="3"/>
        <v>0</v>
      </c>
    </row>
    <row r="25" spans="1:15" ht="12.75" x14ac:dyDescent="0.2">
      <c r="A25" s="187"/>
      <c r="B25" s="42" t="str">
        <f ca="1">IF(A25="","",MAX($B$16:OFFSET(A25,-1,0))+1)</f>
        <v/>
      </c>
      <c r="C25" s="185"/>
      <c r="D25" s="184"/>
      <c r="E25" s="185"/>
      <c r="F25" s="185"/>
      <c r="G25" s="184"/>
      <c r="H25" s="185"/>
      <c r="I25" s="185"/>
      <c r="J25" s="185"/>
      <c r="K25" s="16">
        <f t="shared" ref="K25:K88" si="4">(D25/1000)*(G25/1000)*J25</f>
        <v>0</v>
      </c>
      <c r="L25" s="44" t="str">
        <f>IF(AND(COUNTBLANK(D$18:$D24)=0,COUNTBLANK(G$18:$G24)=0),$L$16&amp;$L$15,"дозаполнить")</f>
        <v>дозаполнить</v>
      </c>
      <c r="M25" s="25">
        <f t="shared" ref="M25:M88" si="5">(D25*E25*J25)+(H25*G25*J25)</f>
        <v>0</v>
      </c>
      <c r="N25" s="25">
        <f t="shared" ref="N25:N88" si="6">(F25*D25*J25)+(I25*G25*J25)</f>
        <v>0</v>
      </c>
      <c r="O25" s="101">
        <f t="shared" ref="O25:O88" si="7">IF(A25="",0,MAX((D25/1000*G25/1000)*$O$13,$O$14))*J25</f>
        <v>0</v>
      </c>
    </row>
    <row r="26" spans="1:15" ht="12.75" x14ac:dyDescent="0.2">
      <c r="A26" s="187"/>
      <c r="B26" s="42" t="str">
        <f ca="1">IF(A26="","",MAX($B$16:OFFSET(A26,-1,0))+1)</f>
        <v/>
      </c>
      <c r="C26" s="185"/>
      <c r="D26" s="184"/>
      <c r="E26" s="185"/>
      <c r="F26" s="185"/>
      <c r="G26" s="184"/>
      <c r="H26" s="185"/>
      <c r="I26" s="185"/>
      <c r="J26" s="185"/>
      <c r="K26" s="16">
        <f t="shared" si="4"/>
        <v>0</v>
      </c>
      <c r="L26" s="44" t="str">
        <f>IF(AND(COUNTBLANK(D$18:$D25)=0,COUNTBLANK(G$18:$G25)=0),$L$16&amp;$L$15,"дозаполнить")</f>
        <v>дозаполнить</v>
      </c>
      <c r="M26" s="25">
        <f t="shared" si="5"/>
        <v>0</v>
      </c>
      <c r="N26" s="25">
        <f t="shared" si="6"/>
        <v>0</v>
      </c>
      <c r="O26" s="101">
        <f t="shared" si="7"/>
        <v>0</v>
      </c>
    </row>
    <row r="27" spans="1:15" ht="12.75" x14ac:dyDescent="0.2">
      <c r="A27" s="187"/>
      <c r="B27" s="42" t="str">
        <f ca="1">IF(A27="","",MAX($B$16:OFFSET(A27,-1,0))+1)</f>
        <v/>
      </c>
      <c r="C27" s="185"/>
      <c r="D27" s="184"/>
      <c r="E27" s="185"/>
      <c r="F27" s="185"/>
      <c r="G27" s="184"/>
      <c r="H27" s="185"/>
      <c r="I27" s="185"/>
      <c r="J27" s="185"/>
      <c r="K27" s="16">
        <f t="shared" si="4"/>
        <v>0</v>
      </c>
      <c r="L27" s="44" t="str">
        <f>IF(AND(COUNTBLANK(D$18:$D26)=0,COUNTBLANK(G$18:$G26)=0),$L$16&amp;$L$15,"дозаполнить")</f>
        <v>дозаполнить</v>
      </c>
      <c r="M27" s="25">
        <f t="shared" si="5"/>
        <v>0</v>
      </c>
      <c r="N27" s="25">
        <f t="shared" si="6"/>
        <v>0</v>
      </c>
      <c r="O27" s="101">
        <f t="shared" si="7"/>
        <v>0</v>
      </c>
    </row>
    <row r="28" spans="1:15" ht="12.75" x14ac:dyDescent="0.2">
      <c r="A28" s="187"/>
      <c r="B28" s="42" t="str">
        <f ca="1">IF(A28="","",MAX($B$16:OFFSET(A28,-1,0))+1)</f>
        <v/>
      </c>
      <c r="C28" s="185"/>
      <c r="D28" s="184"/>
      <c r="E28" s="185"/>
      <c r="F28" s="185"/>
      <c r="G28" s="184"/>
      <c r="H28" s="185"/>
      <c r="I28" s="185"/>
      <c r="J28" s="185"/>
      <c r="K28" s="16">
        <f t="shared" si="4"/>
        <v>0</v>
      </c>
      <c r="L28" s="44" t="str">
        <f>IF(AND(COUNTBLANK(D$18:$D27)=0,COUNTBLANK(G$18:$G27)=0),$L$16&amp;$L$15,"дозаполнить")</f>
        <v>дозаполнить</v>
      </c>
      <c r="M28" s="25">
        <f t="shared" si="5"/>
        <v>0</v>
      </c>
      <c r="N28" s="25">
        <f t="shared" si="6"/>
        <v>0</v>
      </c>
      <c r="O28" s="101">
        <f t="shared" si="7"/>
        <v>0</v>
      </c>
    </row>
    <row r="29" spans="1:15" ht="12.75" x14ac:dyDescent="0.2">
      <c r="A29" s="187"/>
      <c r="B29" s="42" t="str">
        <f ca="1">IF(A29="","",MAX($B$16:OFFSET(A29,-1,0))+1)</f>
        <v/>
      </c>
      <c r="C29" s="185"/>
      <c r="D29" s="184"/>
      <c r="E29" s="185"/>
      <c r="F29" s="185"/>
      <c r="G29" s="184"/>
      <c r="H29" s="185"/>
      <c r="I29" s="185"/>
      <c r="J29" s="185"/>
      <c r="K29" s="16">
        <f t="shared" si="4"/>
        <v>0</v>
      </c>
      <c r="L29" s="44" t="str">
        <f>IF(AND(COUNTBLANK(D$18:$D28)=0,COUNTBLANK(G$18:$G28)=0),$L$16&amp;$L$15,"дозаполнить")</f>
        <v>дозаполнить</v>
      </c>
      <c r="M29" s="25">
        <f t="shared" si="5"/>
        <v>0</v>
      </c>
      <c r="N29" s="25">
        <f t="shared" si="6"/>
        <v>0</v>
      </c>
      <c r="O29" s="101">
        <f t="shared" si="7"/>
        <v>0</v>
      </c>
    </row>
    <row r="30" spans="1:15" ht="12.75" x14ac:dyDescent="0.2">
      <c r="A30" s="187"/>
      <c r="B30" s="42" t="str">
        <f ca="1">IF(A30="","",MAX($B$16:OFFSET(A30,-1,0))+1)</f>
        <v/>
      </c>
      <c r="C30" s="185"/>
      <c r="D30" s="184"/>
      <c r="E30" s="185"/>
      <c r="F30" s="185"/>
      <c r="G30" s="184"/>
      <c r="H30" s="185"/>
      <c r="I30" s="185"/>
      <c r="J30" s="185"/>
      <c r="K30" s="16">
        <f t="shared" si="4"/>
        <v>0</v>
      </c>
      <c r="L30" s="44" t="str">
        <f>IF(AND(COUNTBLANK(D$18:$D29)=0,COUNTBLANK(G$18:$G29)=0),$L$16&amp;$L$15,"дозаполнить")</f>
        <v>дозаполнить</v>
      </c>
      <c r="M30" s="25">
        <f t="shared" si="5"/>
        <v>0</v>
      </c>
      <c r="N30" s="25">
        <f t="shared" si="6"/>
        <v>0</v>
      </c>
      <c r="O30" s="101">
        <f t="shared" si="7"/>
        <v>0</v>
      </c>
    </row>
    <row r="31" spans="1:15" ht="12.75" x14ac:dyDescent="0.2">
      <c r="A31" s="187"/>
      <c r="B31" s="42" t="str">
        <f ca="1">IF(A31="","",MAX($B$16:OFFSET(A31,-1,0))+1)</f>
        <v/>
      </c>
      <c r="C31" s="185"/>
      <c r="D31" s="184"/>
      <c r="E31" s="185"/>
      <c r="F31" s="185"/>
      <c r="G31" s="184"/>
      <c r="H31" s="185"/>
      <c r="I31" s="185"/>
      <c r="J31" s="185"/>
      <c r="K31" s="16">
        <f t="shared" si="4"/>
        <v>0</v>
      </c>
      <c r="L31" s="44" t="str">
        <f>IF(AND(COUNTBLANK(D$18:$D30)=0,COUNTBLANK(G$18:$G30)=0),$L$16&amp;$L$15,"дозаполнить")</f>
        <v>дозаполнить</v>
      </c>
      <c r="M31" s="25">
        <f t="shared" si="5"/>
        <v>0</v>
      </c>
      <c r="N31" s="25">
        <f t="shared" si="6"/>
        <v>0</v>
      </c>
      <c r="O31" s="101">
        <f t="shared" si="7"/>
        <v>0</v>
      </c>
    </row>
    <row r="32" spans="1:15" ht="12.75" x14ac:dyDescent="0.2">
      <c r="A32" s="187"/>
      <c r="B32" s="42" t="str">
        <f ca="1">IF(A32="","",MAX($B$16:OFFSET(A32,-1,0))+1)</f>
        <v/>
      </c>
      <c r="C32" s="185"/>
      <c r="D32" s="184"/>
      <c r="E32" s="185"/>
      <c r="F32" s="185"/>
      <c r="G32" s="184"/>
      <c r="H32" s="185"/>
      <c r="I32" s="185"/>
      <c r="J32" s="185"/>
      <c r="K32" s="16">
        <f t="shared" si="4"/>
        <v>0</v>
      </c>
      <c r="L32" s="44" t="str">
        <f>IF(AND(COUNTBLANK(D$18:$D31)=0,COUNTBLANK(G$18:$G31)=0),$L$16&amp;$L$15,"дозаполнить")</f>
        <v>дозаполнить</v>
      </c>
      <c r="M32" s="25">
        <f t="shared" si="5"/>
        <v>0</v>
      </c>
      <c r="N32" s="25">
        <f t="shared" si="6"/>
        <v>0</v>
      </c>
      <c r="O32" s="101">
        <f t="shared" si="7"/>
        <v>0</v>
      </c>
    </row>
    <row r="33" spans="1:15" ht="12.75" x14ac:dyDescent="0.2">
      <c r="A33" s="187"/>
      <c r="B33" s="42" t="str">
        <f ca="1">IF(A33="","",MAX($B$16:OFFSET(A33,-1,0))+1)</f>
        <v/>
      </c>
      <c r="C33" s="185"/>
      <c r="D33" s="184"/>
      <c r="E33" s="185"/>
      <c r="F33" s="185"/>
      <c r="G33" s="184"/>
      <c r="H33" s="185"/>
      <c r="I33" s="185"/>
      <c r="J33" s="185"/>
      <c r="K33" s="16">
        <f t="shared" si="4"/>
        <v>0</v>
      </c>
      <c r="L33" s="44" t="str">
        <f>IF(AND(COUNTBLANK(D$18:$D32)=0,COUNTBLANK(G$18:$G32)=0),$L$16&amp;$L$15,"дозаполнить")</f>
        <v>дозаполнить</v>
      </c>
      <c r="M33" s="25">
        <f t="shared" si="5"/>
        <v>0</v>
      </c>
      <c r="N33" s="25">
        <f t="shared" si="6"/>
        <v>0</v>
      </c>
      <c r="O33" s="101">
        <f t="shared" si="7"/>
        <v>0</v>
      </c>
    </row>
    <row r="34" spans="1:15" ht="12.75" x14ac:dyDescent="0.2">
      <c r="A34" s="187"/>
      <c r="B34" s="42" t="str">
        <f ca="1">IF(A34="","",MAX($B$16:OFFSET(A34,-1,0))+1)</f>
        <v/>
      </c>
      <c r="C34" s="185"/>
      <c r="D34" s="184"/>
      <c r="E34" s="185"/>
      <c r="F34" s="185"/>
      <c r="G34" s="184"/>
      <c r="H34" s="185"/>
      <c r="I34" s="185"/>
      <c r="J34" s="185"/>
      <c r="K34" s="16">
        <f t="shared" si="4"/>
        <v>0</v>
      </c>
      <c r="L34" s="44" t="str">
        <f>IF(AND(COUNTBLANK(D$18:$D33)=0,COUNTBLANK(G$18:$G33)=0),$L$16&amp;$L$15,"дозаполнить")</f>
        <v>дозаполнить</v>
      </c>
      <c r="M34" s="25">
        <f t="shared" si="5"/>
        <v>0</v>
      </c>
      <c r="N34" s="25">
        <f t="shared" si="6"/>
        <v>0</v>
      </c>
      <c r="O34" s="101">
        <f t="shared" si="7"/>
        <v>0</v>
      </c>
    </row>
    <row r="35" spans="1:15" ht="12.75" x14ac:dyDescent="0.2">
      <c r="A35" s="187"/>
      <c r="B35" s="42" t="str">
        <f ca="1">IF(A35="","",MAX($B$16:OFFSET(A35,-1,0))+1)</f>
        <v/>
      </c>
      <c r="C35" s="185"/>
      <c r="D35" s="184"/>
      <c r="E35" s="185"/>
      <c r="F35" s="185"/>
      <c r="G35" s="184"/>
      <c r="H35" s="185"/>
      <c r="I35" s="185"/>
      <c r="J35" s="185"/>
      <c r="K35" s="16">
        <f t="shared" si="4"/>
        <v>0</v>
      </c>
      <c r="L35" s="44" t="str">
        <f>IF(AND(COUNTBLANK(D$18:$D34)=0,COUNTBLANK(G$18:$G34)=0),$L$16&amp;$L$15,"дозаполнить")</f>
        <v>дозаполнить</v>
      </c>
      <c r="M35" s="25">
        <f t="shared" si="5"/>
        <v>0</v>
      </c>
      <c r="N35" s="25">
        <f t="shared" si="6"/>
        <v>0</v>
      </c>
      <c r="O35" s="101">
        <f t="shared" si="7"/>
        <v>0</v>
      </c>
    </row>
    <row r="36" spans="1:15" ht="12.75" x14ac:dyDescent="0.2">
      <c r="A36" s="187"/>
      <c r="B36" s="42" t="str">
        <f ca="1">IF(A36="","",MAX($B$16:OFFSET(A36,-1,0))+1)</f>
        <v/>
      </c>
      <c r="C36" s="185"/>
      <c r="D36" s="184"/>
      <c r="E36" s="185"/>
      <c r="F36" s="185"/>
      <c r="G36" s="184"/>
      <c r="H36" s="185"/>
      <c r="I36" s="185"/>
      <c r="J36" s="185"/>
      <c r="K36" s="16">
        <f t="shared" si="4"/>
        <v>0</v>
      </c>
      <c r="L36" s="44" t="str">
        <f>IF(AND(COUNTBLANK(D$18:$D35)=0,COUNTBLANK(G$18:$G35)=0),$L$16&amp;$L$15,"дозаполнить")</f>
        <v>дозаполнить</v>
      </c>
      <c r="M36" s="25">
        <f t="shared" si="5"/>
        <v>0</v>
      </c>
      <c r="N36" s="25">
        <f t="shared" si="6"/>
        <v>0</v>
      </c>
      <c r="O36" s="101">
        <f t="shared" si="7"/>
        <v>0</v>
      </c>
    </row>
    <row r="37" spans="1:15" ht="12.75" x14ac:dyDescent="0.2">
      <c r="A37" s="187"/>
      <c r="B37" s="42" t="str">
        <f ca="1">IF(A37="","",MAX($B$16:OFFSET(A37,-1,0))+1)</f>
        <v/>
      </c>
      <c r="C37" s="185"/>
      <c r="D37" s="184"/>
      <c r="E37" s="185"/>
      <c r="F37" s="185"/>
      <c r="G37" s="184"/>
      <c r="H37" s="185"/>
      <c r="I37" s="185"/>
      <c r="J37" s="185"/>
      <c r="K37" s="16">
        <f t="shared" si="4"/>
        <v>0</v>
      </c>
      <c r="L37" s="44" t="str">
        <f>IF(AND(COUNTBLANK(D$18:$D36)=0,COUNTBLANK(G$18:$G36)=0),$L$16&amp;$L$15,"дозаполнить")</f>
        <v>дозаполнить</v>
      </c>
      <c r="M37" s="25">
        <f t="shared" si="5"/>
        <v>0</v>
      </c>
      <c r="N37" s="25">
        <f t="shared" si="6"/>
        <v>0</v>
      </c>
      <c r="O37" s="101">
        <f t="shared" si="7"/>
        <v>0</v>
      </c>
    </row>
    <row r="38" spans="1:15" ht="12.75" x14ac:dyDescent="0.2">
      <c r="A38" s="187"/>
      <c r="B38" s="42" t="str">
        <f ca="1">IF(A38="","",MAX($B$16:OFFSET(A38,-1,0))+1)</f>
        <v/>
      </c>
      <c r="C38" s="185"/>
      <c r="D38" s="184"/>
      <c r="E38" s="185"/>
      <c r="F38" s="185"/>
      <c r="G38" s="184"/>
      <c r="H38" s="185"/>
      <c r="I38" s="185"/>
      <c r="J38" s="185"/>
      <c r="K38" s="16">
        <f t="shared" si="4"/>
        <v>0</v>
      </c>
      <c r="L38" s="44" t="str">
        <f>IF(AND(COUNTBLANK(D$18:$D37)=0,COUNTBLANK(G$18:$G37)=0),$L$16&amp;$L$15,"дозаполнить")</f>
        <v>дозаполнить</v>
      </c>
      <c r="M38" s="25">
        <f t="shared" si="5"/>
        <v>0</v>
      </c>
      <c r="N38" s="25">
        <f t="shared" si="6"/>
        <v>0</v>
      </c>
      <c r="O38" s="101">
        <f t="shared" si="7"/>
        <v>0</v>
      </c>
    </row>
    <row r="39" spans="1:15" ht="12.75" x14ac:dyDescent="0.2">
      <c r="A39" s="187"/>
      <c r="B39" s="42" t="str">
        <f ca="1">IF(A39="","",MAX($B$16:OFFSET(A39,-1,0))+1)</f>
        <v/>
      </c>
      <c r="C39" s="185"/>
      <c r="D39" s="184"/>
      <c r="E39" s="185"/>
      <c r="F39" s="185"/>
      <c r="G39" s="184"/>
      <c r="H39" s="185"/>
      <c r="I39" s="185"/>
      <c r="J39" s="185"/>
      <c r="K39" s="16">
        <f t="shared" si="4"/>
        <v>0</v>
      </c>
      <c r="L39" s="44" t="str">
        <f>IF(AND(COUNTBLANK(D$18:$D38)=0,COUNTBLANK(G$18:$G38)=0),$L$16&amp;$L$15,"дозаполнить")</f>
        <v>дозаполнить</v>
      </c>
      <c r="M39" s="25">
        <f t="shared" si="5"/>
        <v>0</v>
      </c>
      <c r="N39" s="25">
        <f t="shared" si="6"/>
        <v>0</v>
      </c>
      <c r="O39" s="101">
        <f t="shared" si="7"/>
        <v>0</v>
      </c>
    </row>
    <row r="40" spans="1:15" ht="12.75" x14ac:dyDescent="0.2">
      <c r="A40" s="187"/>
      <c r="B40" s="42" t="str">
        <f ca="1">IF(A40="","",MAX($B$16:OFFSET(A40,-1,0))+1)</f>
        <v/>
      </c>
      <c r="C40" s="185"/>
      <c r="D40" s="184"/>
      <c r="E40" s="185"/>
      <c r="F40" s="185"/>
      <c r="G40" s="184"/>
      <c r="H40" s="185"/>
      <c r="I40" s="185"/>
      <c r="J40" s="185"/>
      <c r="K40" s="16">
        <f t="shared" si="4"/>
        <v>0</v>
      </c>
      <c r="L40" s="44" t="str">
        <f>IF(AND(COUNTBLANK(D$18:$D39)=0,COUNTBLANK(G$18:$G39)=0),$L$16&amp;$L$15,"дозаполнить")</f>
        <v>дозаполнить</v>
      </c>
      <c r="M40" s="25">
        <f t="shared" si="5"/>
        <v>0</v>
      </c>
      <c r="N40" s="25">
        <f t="shared" si="6"/>
        <v>0</v>
      </c>
      <c r="O40" s="101">
        <f t="shared" si="7"/>
        <v>0</v>
      </c>
    </row>
    <row r="41" spans="1:15" ht="12.75" x14ac:dyDescent="0.2">
      <c r="A41" s="187"/>
      <c r="B41" s="42" t="str">
        <f ca="1">IF(A41="","",MAX($B$16:OFFSET(A41,-1,0))+1)</f>
        <v/>
      </c>
      <c r="C41" s="185"/>
      <c r="D41" s="184"/>
      <c r="E41" s="185"/>
      <c r="F41" s="185"/>
      <c r="G41" s="184"/>
      <c r="H41" s="185"/>
      <c r="I41" s="185"/>
      <c r="J41" s="185"/>
      <c r="K41" s="16">
        <f t="shared" si="4"/>
        <v>0</v>
      </c>
      <c r="L41" s="44" t="str">
        <f>IF(AND(COUNTBLANK(D$18:$D40)=0,COUNTBLANK(G$18:$G40)=0),$L$16&amp;$L$15,"дозаполнить")</f>
        <v>дозаполнить</v>
      </c>
      <c r="M41" s="25">
        <f t="shared" si="5"/>
        <v>0</v>
      </c>
      <c r="N41" s="25">
        <f t="shared" si="6"/>
        <v>0</v>
      </c>
      <c r="O41" s="101">
        <f t="shared" si="7"/>
        <v>0</v>
      </c>
    </row>
    <row r="42" spans="1:15" ht="12.75" x14ac:dyDescent="0.2">
      <c r="A42" s="187"/>
      <c r="B42" s="42" t="str">
        <f ca="1">IF(A42="","",MAX($B$16:OFFSET(A42,-1,0))+1)</f>
        <v/>
      </c>
      <c r="C42" s="185"/>
      <c r="D42" s="184"/>
      <c r="E42" s="185"/>
      <c r="F42" s="185"/>
      <c r="G42" s="184"/>
      <c r="H42" s="185"/>
      <c r="I42" s="185"/>
      <c r="J42" s="185"/>
      <c r="K42" s="16">
        <f t="shared" si="4"/>
        <v>0</v>
      </c>
      <c r="L42" s="44" t="str">
        <f>IF(AND(COUNTBLANK(D$18:$D41)=0,COUNTBLANK(G$18:$G41)=0),$L$16&amp;$L$15,"дозаполнить")</f>
        <v>дозаполнить</v>
      </c>
      <c r="M42" s="25">
        <f t="shared" si="5"/>
        <v>0</v>
      </c>
      <c r="N42" s="25">
        <f t="shared" si="6"/>
        <v>0</v>
      </c>
      <c r="O42" s="101">
        <f t="shared" si="7"/>
        <v>0</v>
      </c>
    </row>
    <row r="43" spans="1:15" ht="12.75" x14ac:dyDescent="0.2">
      <c r="A43" s="187"/>
      <c r="B43" s="42" t="str">
        <f ca="1">IF(A43="","",MAX($B$16:OFFSET(A43,-1,0))+1)</f>
        <v/>
      </c>
      <c r="C43" s="185"/>
      <c r="D43" s="184"/>
      <c r="E43" s="185"/>
      <c r="F43" s="185"/>
      <c r="G43" s="184"/>
      <c r="H43" s="185"/>
      <c r="I43" s="185"/>
      <c r="J43" s="185"/>
      <c r="K43" s="16">
        <f t="shared" si="4"/>
        <v>0</v>
      </c>
      <c r="L43" s="44" t="str">
        <f>IF(AND(COUNTBLANK(D$18:$D42)=0,COUNTBLANK(G$18:$G42)=0),$L$16&amp;$L$15,"дозаполнить")</f>
        <v>дозаполнить</v>
      </c>
      <c r="M43" s="25">
        <f t="shared" si="5"/>
        <v>0</v>
      </c>
      <c r="N43" s="25">
        <f t="shared" si="6"/>
        <v>0</v>
      </c>
      <c r="O43" s="101">
        <f t="shared" si="7"/>
        <v>0</v>
      </c>
    </row>
    <row r="44" spans="1:15" ht="12.75" x14ac:dyDescent="0.2">
      <c r="A44" s="187"/>
      <c r="B44" s="42" t="str">
        <f ca="1">IF(A44="","",MAX($B$16:OFFSET(A44,-1,0))+1)</f>
        <v/>
      </c>
      <c r="C44" s="185"/>
      <c r="D44" s="184"/>
      <c r="E44" s="185"/>
      <c r="F44" s="185"/>
      <c r="G44" s="184"/>
      <c r="H44" s="185"/>
      <c r="I44" s="185"/>
      <c r="J44" s="185"/>
      <c r="K44" s="16">
        <f t="shared" si="4"/>
        <v>0</v>
      </c>
      <c r="L44" s="44" t="str">
        <f>IF(AND(COUNTBLANK(D$18:$D43)=0,COUNTBLANK(G$18:$G43)=0),$L$16&amp;$L$15,"дозаполнить")</f>
        <v>дозаполнить</v>
      </c>
      <c r="M44" s="25">
        <f t="shared" si="5"/>
        <v>0</v>
      </c>
      <c r="N44" s="25">
        <f t="shared" si="6"/>
        <v>0</v>
      </c>
      <c r="O44" s="101">
        <f t="shared" si="7"/>
        <v>0</v>
      </c>
    </row>
    <row r="45" spans="1:15" ht="12.75" x14ac:dyDescent="0.2">
      <c r="A45" s="187"/>
      <c r="B45" s="42" t="str">
        <f ca="1">IF(A45="","",MAX($B$16:OFFSET(A45,-1,0))+1)</f>
        <v/>
      </c>
      <c r="C45" s="185"/>
      <c r="D45" s="184"/>
      <c r="E45" s="185"/>
      <c r="F45" s="185"/>
      <c r="G45" s="184"/>
      <c r="H45" s="185"/>
      <c r="I45" s="185"/>
      <c r="J45" s="185"/>
      <c r="K45" s="16">
        <f t="shared" si="4"/>
        <v>0</v>
      </c>
      <c r="L45" s="44" t="str">
        <f>IF(AND(COUNTBLANK(D$18:$D44)=0,COUNTBLANK(G$18:$G44)=0),$L$16&amp;$L$15,"дозаполнить")</f>
        <v>дозаполнить</v>
      </c>
      <c r="M45" s="25">
        <f t="shared" si="5"/>
        <v>0</v>
      </c>
      <c r="N45" s="25">
        <f t="shared" si="6"/>
        <v>0</v>
      </c>
      <c r="O45" s="101">
        <f t="shared" si="7"/>
        <v>0</v>
      </c>
    </row>
    <row r="46" spans="1:15" ht="12.75" x14ac:dyDescent="0.2">
      <c r="A46" s="187"/>
      <c r="B46" s="42" t="str">
        <f ca="1">IF(A46="","",MAX($B$16:OFFSET(A46,-1,0))+1)</f>
        <v/>
      </c>
      <c r="C46" s="185"/>
      <c r="D46" s="184"/>
      <c r="E46" s="185"/>
      <c r="F46" s="185"/>
      <c r="G46" s="184"/>
      <c r="H46" s="185"/>
      <c r="I46" s="185"/>
      <c r="J46" s="185"/>
      <c r="K46" s="16">
        <f t="shared" si="4"/>
        <v>0</v>
      </c>
      <c r="L46" s="44" t="str">
        <f>IF(AND(COUNTBLANK(D$18:$D45)=0,COUNTBLANK(G$18:$G45)=0),$L$16&amp;$L$15,"дозаполнить")</f>
        <v>дозаполнить</v>
      </c>
      <c r="M46" s="25">
        <f t="shared" si="5"/>
        <v>0</v>
      </c>
      <c r="N46" s="25">
        <f t="shared" si="6"/>
        <v>0</v>
      </c>
      <c r="O46" s="101">
        <f t="shared" si="7"/>
        <v>0</v>
      </c>
    </row>
    <row r="47" spans="1:15" ht="12.75" x14ac:dyDescent="0.2">
      <c r="A47" s="187"/>
      <c r="B47" s="42" t="str">
        <f ca="1">IF(A47="","",MAX($B$16:OFFSET(A47,-1,0))+1)</f>
        <v/>
      </c>
      <c r="C47" s="185"/>
      <c r="D47" s="184"/>
      <c r="E47" s="185"/>
      <c r="F47" s="185"/>
      <c r="G47" s="184"/>
      <c r="H47" s="185"/>
      <c r="I47" s="185"/>
      <c r="J47" s="185"/>
      <c r="K47" s="16">
        <f t="shared" si="4"/>
        <v>0</v>
      </c>
      <c r="L47" s="44" t="str">
        <f>IF(AND(COUNTBLANK(D$18:$D46)=0,COUNTBLANK(G$18:$G46)=0),$L$16&amp;$L$15,"дозаполнить")</f>
        <v>дозаполнить</v>
      </c>
      <c r="M47" s="25">
        <f t="shared" si="5"/>
        <v>0</v>
      </c>
      <c r="N47" s="25">
        <f t="shared" si="6"/>
        <v>0</v>
      </c>
      <c r="O47" s="101">
        <f t="shared" si="7"/>
        <v>0</v>
      </c>
    </row>
    <row r="48" spans="1:15" ht="12.75" x14ac:dyDescent="0.2">
      <c r="A48" s="187"/>
      <c r="B48" s="42" t="str">
        <f ca="1">IF(A48="","",MAX($B$16:OFFSET(A48,-1,0))+1)</f>
        <v/>
      </c>
      <c r="C48" s="185"/>
      <c r="D48" s="184"/>
      <c r="E48" s="185"/>
      <c r="F48" s="185"/>
      <c r="G48" s="184"/>
      <c r="H48" s="185"/>
      <c r="I48" s="185"/>
      <c r="J48" s="185"/>
      <c r="K48" s="16">
        <f t="shared" si="4"/>
        <v>0</v>
      </c>
      <c r="L48" s="44" t="str">
        <f>IF(AND(COUNTBLANK(D$18:$D47)=0,COUNTBLANK(G$18:$G47)=0),$L$16&amp;$L$15,"дозаполнить")</f>
        <v>дозаполнить</v>
      </c>
      <c r="M48" s="25">
        <f t="shared" si="5"/>
        <v>0</v>
      </c>
      <c r="N48" s="25">
        <f t="shared" si="6"/>
        <v>0</v>
      </c>
      <c r="O48" s="101">
        <f t="shared" si="7"/>
        <v>0</v>
      </c>
    </row>
    <row r="49" spans="1:15" ht="12.75" x14ac:dyDescent="0.2">
      <c r="A49" s="187"/>
      <c r="B49" s="42" t="str">
        <f ca="1">IF(A49="","",MAX($B$16:OFFSET(A49,-1,0))+1)</f>
        <v/>
      </c>
      <c r="C49" s="185"/>
      <c r="D49" s="184"/>
      <c r="E49" s="185"/>
      <c r="F49" s="185"/>
      <c r="G49" s="184"/>
      <c r="H49" s="185"/>
      <c r="I49" s="185"/>
      <c r="J49" s="185"/>
      <c r="K49" s="16">
        <f t="shared" si="4"/>
        <v>0</v>
      </c>
      <c r="L49" s="44" t="str">
        <f>IF(AND(COUNTBLANK(D$18:$D48)=0,COUNTBLANK(G$18:$G48)=0),$L$16&amp;$L$15,"дозаполнить")</f>
        <v>дозаполнить</v>
      </c>
      <c r="M49" s="25">
        <f t="shared" si="5"/>
        <v>0</v>
      </c>
      <c r="N49" s="25">
        <f t="shared" si="6"/>
        <v>0</v>
      </c>
      <c r="O49" s="101">
        <f t="shared" si="7"/>
        <v>0</v>
      </c>
    </row>
    <row r="50" spans="1:15" ht="12.75" x14ac:dyDescent="0.2">
      <c r="A50" s="187"/>
      <c r="B50" s="42" t="str">
        <f ca="1">IF(A50="","",MAX($B$16:OFFSET(A50,-1,0))+1)</f>
        <v/>
      </c>
      <c r="C50" s="185"/>
      <c r="D50" s="184"/>
      <c r="E50" s="185"/>
      <c r="F50" s="185"/>
      <c r="G50" s="184"/>
      <c r="H50" s="185"/>
      <c r="I50" s="185"/>
      <c r="J50" s="185"/>
      <c r="K50" s="16">
        <f t="shared" si="4"/>
        <v>0</v>
      </c>
      <c r="L50" s="44" t="str">
        <f>IF(AND(COUNTBLANK(D$18:$D49)=0,COUNTBLANK(G$18:$G49)=0),$L$16&amp;$L$15,"дозаполнить")</f>
        <v>дозаполнить</v>
      </c>
      <c r="M50" s="25">
        <f t="shared" si="5"/>
        <v>0</v>
      </c>
      <c r="N50" s="25">
        <f t="shared" si="6"/>
        <v>0</v>
      </c>
      <c r="O50" s="101">
        <f t="shared" si="7"/>
        <v>0</v>
      </c>
    </row>
    <row r="51" spans="1:15" ht="12.75" x14ac:dyDescent="0.2">
      <c r="A51" s="187"/>
      <c r="B51" s="42" t="str">
        <f ca="1">IF(A51="","",MAX($B$16:OFFSET(A51,-1,0))+1)</f>
        <v/>
      </c>
      <c r="C51" s="185"/>
      <c r="D51" s="184"/>
      <c r="E51" s="185"/>
      <c r="F51" s="185"/>
      <c r="G51" s="184"/>
      <c r="H51" s="185"/>
      <c r="I51" s="185"/>
      <c r="J51" s="185"/>
      <c r="K51" s="16">
        <f t="shared" si="4"/>
        <v>0</v>
      </c>
      <c r="L51" s="44" t="str">
        <f>IF(AND(COUNTBLANK(D$18:$D50)=0,COUNTBLANK(G$18:$G50)=0),$L$16&amp;$L$15,"дозаполнить")</f>
        <v>дозаполнить</v>
      </c>
      <c r="M51" s="25">
        <f t="shared" si="5"/>
        <v>0</v>
      </c>
      <c r="N51" s="25">
        <f t="shared" si="6"/>
        <v>0</v>
      </c>
      <c r="O51" s="101">
        <f t="shared" si="7"/>
        <v>0</v>
      </c>
    </row>
    <row r="52" spans="1:15" ht="12.75" x14ac:dyDescent="0.2">
      <c r="A52" s="187"/>
      <c r="B52" s="42" t="str">
        <f ca="1">IF(A52="","",MAX($B$16:OFFSET(A52,-1,0))+1)</f>
        <v/>
      </c>
      <c r="C52" s="185"/>
      <c r="D52" s="184"/>
      <c r="E52" s="185"/>
      <c r="F52" s="185"/>
      <c r="G52" s="184"/>
      <c r="H52" s="185"/>
      <c r="I52" s="185"/>
      <c r="J52" s="185"/>
      <c r="K52" s="16">
        <f t="shared" si="4"/>
        <v>0</v>
      </c>
      <c r="L52" s="44" t="str">
        <f>IF(AND(COUNTBLANK(D$18:$D51)=0,COUNTBLANK(G$18:$G51)=0),$L$16&amp;$L$15,"дозаполнить")</f>
        <v>дозаполнить</v>
      </c>
      <c r="M52" s="25">
        <f t="shared" si="5"/>
        <v>0</v>
      </c>
      <c r="N52" s="25">
        <f t="shared" si="6"/>
        <v>0</v>
      </c>
      <c r="O52" s="101">
        <f t="shared" si="7"/>
        <v>0</v>
      </c>
    </row>
    <row r="53" spans="1:15" ht="12.75" x14ac:dyDescent="0.2">
      <c r="A53" s="187"/>
      <c r="B53" s="42" t="str">
        <f ca="1">IF(A53="","",MAX($B$16:OFFSET(A53,-1,0))+1)</f>
        <v/>
      </c>
      <c r="C53" s="185"/>
      <c r="D53" s="184"/>
      <c r="E53" s="185"/>
      <c r="F53" s="185"/>
      <c r="G53" s="184"/>
      <c r="H53" s="185"/>
      <c r="I53" s="185"/>
      <c r="J53" s="185"/>
      <c r="K53" s="16">
        <f t="shared" si="4"/>
        <v>0</v>
      </c>
      <c r="L53" s="44" t="str">
        <f>IF(AND(COUNTBLANK(D$18:$D52)=0,COUNTBLANK(G$18:$G52)=0),$L$16&amp;$L$15,"дозаполнить")</f>
        <v>дозаполнить</v>
      </c>
      <c r="M53" s="25">
        <f t="shared" si="5"/>
        <v>0</v>
      </c>
      <c r="N53" s="25">
        <f t="shared" si="6"/>
        <v>0</v>
      </c>
      <c r="O53" s="101">
        <f t="shared" si="7"/>
        <v>0</v>
      </c>
    </row>
    <row r="54" spans="1:15" ht="12.75" x14ac:dyDescent="0.2">
      <c r="A54" s="187"/>
      <c r="B54" s="42" t="str">
        <f ca="1">IF(A54="","",MAX($B$16:OFFSET(A54,-1,0))+1)</f>
        <v/>
      </c>
      <c r="C54" s="185"/>
      <c r="D54" s="184"/>
      <c r="E54" s="185"/>
      <c r="F54" s="185"/>
      <c r="G54" s="184"/>
      <c r="H54" s="185"/>
      <c r="I54" s="185"/>
      <c r="J54" s="185"/>
      <c r="K54" s="16">
        <f t="shared" si="4"/>
        <v>0</v>
      </c>
      <c r="L54" s="44" t="str">
        <f>IF(AND(COUNTBLANK(D$18:$D53)=0,COUNTBLANK(G$18:$G53)=0),$L$16&amp;$L$15,"дозаполнить")</f>
        <v>дозаполнить</v>
      </c>
      <c r="M54" s="25">
        <f t="shared" si="5"/>
        <v>0</v>
      </c>
      <c r="N54" s="25">
        <f t="shared" si="6"/>
        <v>0</v>
      </c>
      <c r="O54" s="101">
        <f t="shared" si="7"/>
        <v>0</v>
      </c>
    </row>
    <row r="55" spans="1:15" ht="12.75" x14ac:dyDescent="0.2">
      <c r="A55" s="187"/>
      <c r="B55" s="42" t="str">
        <f ca="1">IF(A55="","",MAX($B$16:OFFSET(A55,-1,0))+1)</f>
        <v/>
      </c>
      <c r="C55" s="185"/>
      <c r="D55" s="184"/>
      <c r="E55" s="185"/>
      <c r="F55" s="185"/>
      <c r="G55" s="184"/>
      <c r="H55" s="185"/>
      <c r="I55" s="185"/>
      <c r="J55" s="185"/>
      <c r="K55" s="16">
        <f t="shared" si="4"/>
        <v>0</v>
      </c>
      <c r="L55" s="44" t="str">
        <f>IF(AND(COUNTBLANK(D$18:$D54)=0,COUNTBLANK(G$18:$G54)=0),$L$16&amp;$L$15,"дозаполнить")</f>
        <v>дозаполнить</v>
      </c>
      <c r="M55" s="25">
        <f t="shared" si="5"/>
        <v>0</v>
      </c>
      <c r="N55" s="25">
        <f t="shared" si="6"/>
        <v>0</v>
      </c>
      <c r="O55" s="101">
        <f t="shared" si="7"/>
        <v>0</v>
      </c>
    </row>
    <row r="56" spans="1:15" ht="12.75" x14ac:dyDescent="0.2">
      <c r="A56" s="187"/>
      <c r="B56" s="42" t="str">
        <f ca="1">IF(A56="","",MAX($B$16:OFFSET(A56,-1,0))+1)</f>
        <v/>
      </c>
      <c r="C56" s="185"/>
      <c r="D56" s="184"/>
      <c r="E56" s="185"/>
      <c r="F56" s="185"/>
      <c r="G56" s="184"/>
      <c r="H56" s="185"/>
      <c r="I56" s="185"/>
      <c r="J56" s="185"/>
      <c r="K56" s="16">
        <f t="shared" si="4"/>
        <v>0</v>
      </c>
      <c r="L56" s="44" t="str">
        <f>IF(AND(COUNTBLANK(D$18:$D55)=0,COUNTBLANK(G$18:$G55)=0),$L$16&amp;$L$15,"дозаполнить")</f>
        <v>дозаполнить</v>
      </c>
      <c r="M56" s="25">
        <f t="shared" si="5"/>
        <v>0</v>
      </c>
      <c r="N56" s="25">
        <f t="shared" si="6"/>
        <v>0</v>
      </c>
      <c r="O56" s="101">
        <f t="shared" si="7"/>
        <v>0</v>
      </c>
    </row>
    <row r="57" spans="1:15" ht="12.75" x14ac:dyDescent="0.2">
      <c r="A57" s="187"/>
      <c r="B57" s="42" t="str">
        <f ca="1">IF(A57="","",MAX($B$16:OFFSET(A57,-1,0))+1)</f>
        <v/>
      </c>
      <c r="C57" s="185"/>
      <c r="D57" s="184"/>
      <c r="E57" s="185"/>
      <c r="F57" s="185"/>
      <c r="G57" s="184"/>
      <c r="H57" s="185"/>
      <c r="I57" s="185"/>
      <c r="J57" s="185"/>
      <c r="K57" s="16">
        <f t="shared" si="4"/>
        <v>0</v>
      </c>
      <c r="L57" s="44" t="str">
        <f>IF(AND(COUNTBLANK(D$18:$D56)=0,COUNTBLANK(G$18:$G56)=0),$L$16&amp;$L$15,"дозаполнить")</f>
        <v>дозаполнить</v>
      </c>
      <c r="M57" s="25">
        <f t="shared" si="5"/>
        <v>0</v>
      </c>
      <c r="N57" s="25">
        <f t="shared" si="6"/>
        <v>0</v>
      </c>
      <c r="O57" s="101">
        <f t="shared" si="7"/>
        <v>0</v>
      </c>
    </row>
    <row r="58" spans="1:15" ht="12.75" x14ac:dyDescent="0.2">
      <c r="A58" s="187"/>
      <c r="B58" s="42" t="str">
        <f ca="1">IF(A58="","",MAX($B$16:OFFSET(A58,-1,0))+1)</f>
        <v/>
      </c>
      <c r="C58" s="185"/>
      <c r="D58" s="184"/>
      <c r="E58" s="185"/>
      <c r="F58" s="185"/>
      <c r="G58" s="184"/>
      <c r="H58" s="185"/>
      <c r="I58" s="185"/>
      <c r="J58" s="185"/>
      <c r="K58" s="16">
        <f t="shared" si="4"/>
        <v>0</v>
      </c>
      <c r="L58" s="44" t="str">
        <f>IF(AND(COUNTBLANK(D$18:$D57)=0,COUNTBLANK(G$18:$G57)=0),$L$16&amp;$L$15,"дозаполнить")</f>
        <v>дозаполнить</v>
      </c>
      <c r="M58" s="25">
        <f t="shared" si="5"/>
        <v>0</v>
      </c>
      <c r="N58" s="25">
        <f t="shared" si="6"/>
        <v>0</v>
      </c>
      <c r="O58" s="101">
        <f t="shared" si="7"/>
        <v>0</v>
      </c>
    </row>
    <row r="59" spans="1:15" ht="12.75" x14ac:dyDescent="0.2">
      <c r="A59" s="187"/>
      <c r="B59" s="42" t="str">
        <f ca="1">IF(A59="","",MAX($B$16:OFFSET(A59,-1,0))+1)</f>
        <v/>
      </c>
      <c r="C59" s="185"/>
      <c r="D59" s="184"/>
      <c r="E59" s="185"/>
      <c r="F59" s="185"/>
      <c r="G59" s="184"/>
      <c r="H59" s="185"/>
      <c r="I59" s="185"/>
      <c r="J59" s="185"/>
      <c r="K59" s="16">
        <f t="shared" si="4"/>
        <v>0</v>
      </c>
      <c r="L59" s="44" t="str">
        <f>IF(AND(COUNTBLANK(D$18:$D58)=0,COUNTBLANK(G$18:$G58)=0),$L$16&amp;$L$15,"дозаполнить")</f>
        <v>дозаполнить</v>
      </c>
      <c r="M59" s="25">
        <f t="shared" si="5"/>
        <v>0</v>
      </c>
      <c r="N59" s="25">
        <f t="shared" si="6"/>
        <v>0</v>
      </c>
      <c r="O59" s="101">
        <f t="shared" si="7"/>
        <v>0</v>
      </c>
    </row>
    <row r="60" spans="1:15" ht="12.75" x14ac:dyDescent="0.2">
      <c r="A60" s="187"/>
      <c r="B60" s="42" t="str">
        <f ca="1">IF(A60="","",MAX($B$16:OFFSET(A60,-1,0))+1)</f>
        <v/>
      </c>
      <c r="C60" s="185"/>
      <c r="D60" s="184"/>
      <c r="E60" s="185"/>
      <c r="F60" s="185"/>
      <c r="G60" s="184"/>
      <c r="H60" s="185"/>
      <c r="I60" s="185"/>
      <c r="J60" s="185"/>
      <c r="K60" s="16">
        <f t="shared" si="4"/>
        <v>0</v>
      </c>
      <c r="L60" s="44" t="str">
        <f>IF(AND(COUNTBLANK(D$18:$D59)=0,COUNTBLANK(G$18:$G59)=0),$L$16&amp;$L$15,"дозаполнить")</f>
        <v>дозаполнить</v>
      </c>
      <c r="M60" s="25">
        <f t="shared" si="5"/>
        <v>0</v>
      </c>
      <c r="N60" s="25">
        <f t="shared" si="6"/>
        <v>0</v>
      </c>
      <c r="O60" s="101">
        <f t="shared" si="7"/>
        <v>0</v>
      </c>
    </row>
    <row r="61" spans="1:15" ht="12.75" x14ac:dyDescent="0.2">
      <c r="A61" s="187"/>
      <c r="B61" s="42" t="str">
        <f ca="1">IF(A61="","",MAX($B$16:OFFSET(A61,-1,0))+1)</f>
        <v/>
      </c>
      <c r="C61" s="185"/>
      <c r="D61" s="184"/>
      <c r="E61" s="185"/>
      <c r="F61" s="185"/>
      <c r="G61" s="184"/>
      <c r="H61" s="185"/>
      <c r="I61" s="185"/>
      <c r="J61" s="185"/>
      <c r="K61" s="16">
        <f t="shared" si="4"/>
        <v>0</v>
      </c>
      <c r="L61" s="44" t="str">
        <f>IF(AND(COUNTBLANK(D$18:$D60)=0,COUNTBLANK(G$18:$G60)=0),$L$16&amp;$L$15,"дозаполнить")</f>
        <v>дозаполнить</v>
      </c>
      <c r="M61" s="25">
        <f t="shared" si="5"/>
        <v>0</v>
      </c>
      <c r="N61" s="25">
        <f t="shared" si="6"/>
        <v>0</v>
      </c>
      <c r="O61" s="101">
        <f t="shared" si="7"/>
        <v>0</v>
      </c>
    </row>
    <row r="62" spans="1:15" ht="12.75" x14ac:dyDescent="0.2">
      <c r="A62" s="187"/>
      <c r="B62" s="42" t="str">
        <f ca="1">IF(A62="","",MAX($B$16:OFFSET(A62,-1,0))+1)</f>
        <v/>
      </c>
      <c r="C62" s="185"/>
      <c r="D62" s="184"/>
      <c r="E62" s="185"/>
      <c r="F62" s="185"/>
      <c r="G62" s="184"/>
      <c r="H62" s="185"/>
      <c r="I62" s="185"/>
      <c r="J62" s="185"/>
      <c r="K62" s="16">
        <f t="shared" si="4"/>
        <v>0</v>
      </c>
      <c r="L62" s="44" t="str">
        <f>IF(AND(COUNTBLANK(D$18:$D61)=0,COUNTBLANK(G$18:$G61)=0),$L$16&amp;$L$15,"дозаполнить")</f>
        <v>дозаполнить</v>
      </c>
      <c r="M62" s="25">
        <f t="shared" si="5"/>
        <v>0</v>
      </c>
      <c r="N62" s="25">
        <f t="shared" si="6"/>
        <v>0</v>
      </c>
      <c r="O62" s="101">
        <f t="shared" si="7"/>
        <v>0</v>
      </c>
    </row>
    <row r="63" spans="1:15" ht="12.75" x14ac:dyDescent="0.2">
      <c r="A63" s="187"/>
      <c r="B63" s="42" t="str">
        <f ca="1">IF(A63="","",MAX($B$16:OFFSET(A63,-1,0))+1)</f>
        <v/>
      </c>
      <c r="C63" s="185"/>
      <c r="D63" s="184"/>
      <c r="E63" s="185"/>
      <c r="F63" s="185"/>
      <c r="G63" s="184"/>
      <c r="H63" s="185"/>
      <c r="I63" s="185"/>
      <c r="J63" s="185"/>
      <c r="K63" s="16">
        <f t="shared" si="4"/>
        <v>0</v>
      </c>
      <c r="L63" s="44" t="str">
        <f>IF(AND(COUNTBLANK(D$18:$D62)=0,COUNTBLANK(G$18:$G62)=0),$L$16&amp;$L$15,"дозаполнить")</f>
        <v>дозаполнить</v>
      </c>
      <c r="M63" s="25">
        <f t="shared" si="5"/>
        <v>0</v>
      </c>
      <c r="N63" s="25">
        <f t="shared" si="6"/>
        <v>0</v>
      </c>
      <c r="O63" s="101">
        <f t="shared" si="7"/>
        <v>0</v>
      </c>
    </row>
    <row r="64" spans="1:15" ht="12.75" x14ac:dyDescent="0.2">
      <c r="A64" s="187"/>
      <c r="B64" s="42" t="str">
        <f ca="1">IF(A64="","",MAX($B$16:OFFSET(A64,-1,0))+1)</f>
        <v/>
      </c>
      <c r="C64" s="185"/>
      <c r="D64" s="184"/>
      <c r="E64" s="185"/>
      <c r="F64" s="185"/>
      <c r="G64" s="184"/>
      <c r="H64" s="185"/>
      <c r="I64" s="185"/>
      <c r="J64" s="185"/>
      <c r="K64" s="16">
        <f t="shared" si="4"/>
        <v>0</v>
      </c>
      <c r="L64" s="44" t="str">
        <f>IF(AND(COUNTBLANK(D$18:$D63)=0,COUNTBLANK(G$18:$G63)=0),$L$16&amp;$L$15,"дозаполнить")</f>
        <v>дозаполнить</v>
      </c>
      <c r="M64" s="25">
        <f t="shared" si="5"/>
        <v>0</v>
      </c>
      <c r="N64" s="25">
        <f t="shared" si="6"/>
        <v>0</v>
      </c>
      <c r="O64" s="101">
        <f t="shared" si="7"/>
        <v>0</v>
      </c>
    </row>
    <row r="65" spans="1:15" ht="12.75" x14ac:dyDescent="0.2">
      <c r="A65" s="187"/>
      <c r="B65" s="42" t="str">
        <f ca="1">IF(A65="","",MAX($B$16:OFFSET(A65,-1,0))+1)</f>
        <v/>
      </c>
      <c r="C65" s="185"/>
      <c r="D65" s="184"/>
      <c r="E65" s="185"/>
      <c r="F65" s="185"/>
      <c r="G65" s="184"/>
      <c r="H65" s="185"/>
      <c r="I65" s="185"/>
      <c r="J65" s="185"/>
      <c r="K65" s="16">
        <f t="shared" si="4"/>
        <v>0</v>
      </c>
      <c r="L65" s="44" t="str">
        <f>IF(AND(COUNTBLANK(D$18:$D64)=0,COUNTBLANK(G$18:$G64)=0),$L$16&amp;$L$15,"дозаполнить")</f>
        <v>дозаполнить</v>
      </c>
      <c r="M65" s="25">
        <f t="shared" si="5"/>
        <v>0</v>
      </c>
      <c r="N65" s="25">
        <f t="shared" si="6"/>
        <v>0</v>
      </c>
      <c r="O65" s="101">
        <f t="shared" si="7"/>
        <v>0</v>
      </c>
    </row>
    <row r="66" spans="1:15" ht="12.75" x14ac:dyDescent="0.2">
      <c r="A66" s="187"/>
      <c r="B66" s="42" t="str">
        <f ca="1">IF(A66="","",MAX($B$16:OFFSET(A66,-1,0))+1)</f>
        <v/>
      </c>
      <c r="C66" s="185"/>
      <c r="D66" s="184"/>
      <c r="E66" s="185"/>
      <c r="F66" s="185"/>
      <c r="G66" s="184"/>
      <c r="H66" s="185"/>
      <c r="I66" s="185"/>
      <c r="J66" s="185"/>
      <c r="K66" s="16">
        <f t="shared" si="4"/>
        <v>0</v>
      </c>
      <c r="L66" s="44" t="str">
        <f>IF(AND(COUNTBLANK(D$18:$D65)=0,COUNTBLANK(G$18:$G65)=0),$L$16&amp;$L$15,"дозаполнить")</f>
        <v>дозаполнить</v>
      </c>
      <c r="M66" s="25">
        <f t="shared" si="5"/>
        <v>0</v>
      </c>
      <c r="N66" s="25">
        <f t="shared" si="6"/>
        <v>0</v>
      </c>
      <c r="O66" s="101">
        <f t="shared" si="7"/>
        <v>0</v>
      </c>
    </row>
    <row r="67" spans="1:15" ht="12.75" x14ac:dyDescent="0.2">
      <c r="A67" s="187"/>
      <c r="B67" s="42" t="str">
        <f ca="1">IF(A67="","",MAX($B$16:OFFSET(A67,-1,0))+1)</f>
        <v/>
      </c>
      <c r="C67" s="185"/>
      <c r="D67" s="184"/>
      <c r="E67" s="185"/>
      <c r="F67" s="185"/>
      <c r="G67" s="184"/>
      <c r="H67" s="185"/>
      <c r="I67" s="185"/>
      <c r="J67" s="185"/>
      <c r="K67" s="16">
        <f t="shared" si="4"/>
        <v>0</v>
      </c>
      <c r="L67" s="44" t="str">
        <f>IF(AND(COUNTBLANK(D$18:$D66)=0,COUNTBLANK(G$18:$G66)=0),$L$16&amp;$L$15,"дозаполнить")</f>
        <v>дозаполнить</v>
      </c>
      <c r="M67" s="25">
        <f t="shared" si="5"/>
        <v>0</v>
      </c>
      <c r="N67" s="25">
        <f t="shared" si="6"/>
        <v>0</v>
      </c>
      <c r="O67" s="101">
        <f t="shared" si="7"/>
        <v>0</v>
      </c>
    </row>
    <row r="68" spans="1:15" ht="12.75" x14ac:dyDescent="0.2">
      <c r="A68" s="187"/>
      <c r="B68" s="42" t="str">
        <f ca="1">IF(A68="","",MAX($B$16:OFFSET(A68,-1,0))+1)</f>
        <v/>
      </c>
      <c r="C68" s="185"/>
      <c r="D68" s="184"/>
      <c r="E68" s="185"/>
      <c r="F68" s="185"/>
      <c r="G68" s="184"/>
      <c r="H68" s="185"/>
      <c r="I68" s="185"/>
      <c r="J68" s="185"/>
      <c r="K68" s="16">
        <f t="shared" si="4"/>
        <v>0</v>
      </c>
      <c r="L68" s="44" t="str">
        <f>IF(AND(COUNTBLANK(D$18:$D67)=0,COUNTBLANK(G$18:$G67)=0),$L$16&amp;$L$15,"дозаполнить")</f>
        <v>дозаполнить</v>
      </c>
      <c r="M68" s="25">
        <f t="shared" si="5"/>
        <v>0</v>
      </c>
      <c r="N68" s="25">
        <f t="shared" si="6"/>
        <v>0</v>
      </c>
      <c r="O68" s="101">
        <f t="shared" si="7"/>
        <v>0</v>
      </c>
    </row>
    <row r="69" spans="1:15" ht="12.75" x14ac:dyDescent="0.2">
      <c r="A69" s="187"/>
      <c r="B69" s="42" t="str">
        <f ca="1">IF(A69="","",MAX($B$16:OFFSET(A69,-1,0))+1)</f>
        <v/>
      </c>
      <c r="C69" s="185"/>
      <c r="D69" s="184"/>
      <c r="E69" s="185"/>
      <c r="F69" s="185"/>
      <c r="G69" s="184"/>
      <c r="H69" s="185"/>
      <c r="I69" s="185"/>
      <c r="J69" s="185"/>
      <c r="K69" s="16">
        <f t="shared" si="4"/>
        <v>0</v>
      </c>
      <c r="L69" s="44" t="str">
        <f>IF(AND(COUNTBLANK(D$18:$D68)=0,COUNTBLANK(G$18:$G68)=0),$L$16&amp;$L$15,"дозаполнить")</f>
        <v>дозаполнить</v>
      </c>
      <c r="M69" s="25">
        <f t="shared" si="5"/>
        <v>0</v>
      </c>
      <c r="N69" s="25">
        <f t="shared" si="6"/>
        <v>0</v>
      </c>
      <c r="O69" s="101">
        <f t="shared" si="7"/>
        <v>0</v>
      </c>
    </row>
    <row r="70" spans="1:15" ht="12.75" x14ac:dyDescent="0.2">
      <c r="A70" s="187"/>
      <c r="B70" s="42" t="str">
        <f ca="1">IF(A70="","",MAX($B$16:OFFSET(A70,-1,0))+1)</f>
        <v/>
      </c>
      <c r="C70" s="185"/>
      <c r="D70" s="184"/>
      <c r="E70" s="185"/>
      <c r="F70" s="185"/>
      <c r="G70" s="184"/>
      <c r="H70" s="185"/>
      <c r="I70" s="185"/>
      <c r="J70" s="185"/>
      <c r="K70" s="16">
        <f t="shared" si="4"/>
        <v>0</v>
      </c>
      <c r="L70" s="44" t="str">
        <f>IF(AND(COUNTBLANK(D$18:$D69)=0,COUNTBLANK(G$18:$G69)=0),$L$16&amp;$L$15,"дозаполнить")</f>
        <v>дозаполнить</v>
      </c>
      <c r="M70" s="25">
        <f t="shared" si="5"/>
        <v>0</v>
      </c>
      <c r="N70" s="25">
        <f t="shared" si="6"/>
        <v>0</v>
      </c>
      <c r="O70" s="101">
        <f t="shared" si="7"/>
        <v>0</v>
      </c>
    </row>
    <row r="71" spans="1:15" ht="12.75" x14ac:dyDescent="0.2">
      <c r="A71" s="187"/>
      <c r="B71" s="42" t="str">
        <f ca="1">IF(A71="","",MAX($B$16:OFFSET(A71,-1,0))+1)</f>
        <v/>
      </c>
      <c r="C71" s="185"/>
      <c r="D71" s="184"/>
      <c r="E71" s="185"/>
      <c r="F71" s="185"/>
      <c r="G71" s="184"/>
      <c r="H71" s="185"/>
      <c r="I71" s="185"/>
      <c r="J71" s="185"/>
      <c r="K71" s="16">
        <f t="shared" si="4"/>
        <v>0</v>
      </c>
      <c r="L71" s="44" t="str">
        <f>IF(AND(COUNTBLANK(D$18:$D70)=0,COUNTBLANK(G$18:$G70)=0),$L$16&amp;$L$15,"дозаполнить")</f>
        <v>дозаполнить</v>
      </c>
      <c r="M71" s="25">
        <f t="shared" si="5"/>
        <v>0</v>
      </c>
      <c r="N71" s="25">
        <f t="shared" si="6"/>
        <v>0</v>
      </c>
      <c r="O71" s="101">
        <f t="shared" si="7"/>
        <v>0</v>
      </c>
    </row>
    <row r="72" spans="1:15" ht="12.75" x14ac:dyDescent="0.2">
      <c r="A72" s="187"/>
      <c r="B72" s="42" t="str">
        <f ca="1">IF(A72="","",MAX($B$16:OFFSET(A72,-1,0))+1)</f>
        <v/>
      </c>
      <c r="C72" s="185"/>
      <c r="D72" s="184"/>
      <c r="E72" s="185"/>
      <c r="F72" s="185"/>
      <c r="G72" s="184"/>
      <c r="H72" s="185"/>
      <c r="I72" s="185"/>
      <c r="J72" s="185"/>
      <c r="K72" s="16">
        <f t="shared" si="4"/>
        <v>0</v>
      </c>
      <c r="L72" s="44" t="str">
        <f>IF(AND(COUNTBLANK(D$18:$D71)=0,COUNTBLANK(G$18:$G71)=0),$L$16&amp;$L$15,"дозаполнить")</f>
        <v>дозаполнить</v>
      </c>
      <c r="M72" s="25">
        <f t="shared" si="5"/>
        <v>0</v>
      </c>
      <c r="N72" s="25">
        <f t="shared" si="6"/>
        <v>0</v>
      </c>
      <c r="O72" s="101">
        <f t="shared" si="7"/>
        <v>0</v>
      </c>
    </row>
    <row r="73" spans="1:15" ht="12.75" x14ac:dyDescent="0.2">
      <c r="A73" s="187"/>
      <c r="B73" s="42" t="str">
        <f ca="1">IF(A73="","",MAX($B$16:OFFSET(A73,-1,0))+1)</f>
        <v/>
      </c>
      <c r="C73" s="185"/>
      <c r="D73" s="184"/>
      <c r="E73" s="185"/>
      <c r="F73" s="185"/>
      <c r="G73" s="184"/>
      <c r="H73" s="185"/>
      <c r="I73" s="185"/>
      <c r="J73" s="185"/>
      <c r="K73" s="16">
        <f t="shared" si="4"/>
        <v>0</v>
      </c>
      <c r="L73" s="44" t="str">
        <f>IF(AND(COUNTBLANK(D$18:$D72)=0,COUNTBLANK(G$18:$G72)=0),$L$16&amp;$L$15,"дозаполнить")</f>
        <v>дозаполнить</v>
      </c>
      <c r="M73" s="25">
        <f t="shared" si="5"/>
        <v>0</v>
      </c>
      <c r="N73" s="25">
        <f t="shared" si="6"/>
        <v>0</v>
      </c>
      <c r="O73" s="101">
        <f t="shared" si="7"/>
        <v>0</v>
      </c>
    </row>
    <row r="74" spans="1:15" ht="12.75" x14ac:dyDescent="0.2">
      <c r="A74" s="187"/>
      <c r="B74" s="42" t="str">
        <f ca="1">IF(A74="","",MAX($B$16:OFFSET(A74,-1,0))+1)</f>
        <v/>
      </c>
      <c r="C74" s="185"/>
      <c r="D74" s="184"/>
      <c r="E74" s="185"/>
      <c r="F74" s="185"/>
      <c r="G74" s="184"/>
      <c r="H74" s="185"/>
      <c r="I74" s="185"/>
      <c r="J74" s="185"/>
      <c r="K74" s="16">
        <f t="shared" si="4"/>
        <v>0</v>
      </c>
      <c r="L74" s="44" t="str">
        <f>IF(AND(COUNTBLANK(D$18:$D73)=0,COUNTBLANK(G$18:$G73)=0),$L$16&amp;$L$15,"дозаполнить")</f>
        <v>дозаполнить</v>
      </c>
      <c r="M74" s="25">
        <f t="shared" si="5"/>
        <v>0</v>
      </c>
      <c r="N74" s="25">
        <f t="shared" si="6"/>
        <v>0</v>
      </c>
      <c r="O74" s="101">
        <f t="shared" si="7"/>
        <v>0</v>
      </c>
    </row>
    <row r="75" spans="1:15" ht="12.75" x14ac:dyDescent="0.2">
      <c r="A75" s="187"/>
      <c r="B75" s="42" t="str">
        <f ca="1">IF(A75="","",MAX($B$16:OFFSET(A75,-1,0))+1)</f>
        <v/>
      </c>
      <c r="C75" s="185"/>
      <c r="D75" s="184"/>
      <c r="E75" s="185"/>
      <c r="F75" s="185"/>
      <c r="G75" s="184"/>
      <c r="H75" s="185"/>
      <c r="I75" s="185"/>
      <c r="J75" s="185"/>
      <c r="K75" s="16">
        <f t="shared" si="4"/>
        <v>0</v>
      </c>
      <c r="L75" s="44" t="str">
        <f>IF(AND(COUNTBLANK(D$18:$D74)=0,COUNTBLANK(G$18:$G74)=0),$L$16&amp;$L$15,"дозаполнить")</f>
        <v>дозаполнить</v>
      </c>
      <c r="M75" s="25">
        <f t="shared" si="5"/>
        <v>0</v>
      </c>
      <c r="N75" s="25">
        <f t="shared" si="6"/>
        <v>0</v>
      </c>
      <c r="O75" s="101">
        <f t="shared" si="7"/>
        <v>0</v>
      </c>
    </row>
    <row r="76" spans="1:15" ht="12.75" x14ac:dyDescent="0.2">
      <c r="A76" s="187"/>
      <c r="B76" s="42" t="str">
        <f ca="1">IF(A76="","",MAX($B$16:OFFSET(A76,-1,0))+1)</f>
        <v/>
      </c>
      <c r="C76" s="185"/>
      <c r="D76" s="184"/>
      <c r="E76" s="185"/>
      <c r="F76" s="185"/>
      <c r="G76" s="184"/>
      <c r="H76" s="185"/>
      <c r="I76" s="185"/>
      <c r="J76" s="185"/>
      <c r="K76" s="16">
        <f t="shared" si="4"/>
        <v>0</v>
      </c>
      <c r="L76" s="44" t="str">
        <f>IF(AND(COUNTBLANK(D$18:$D75)=0,COUNTBLANK(G$18:$G75)=0),$L$16&amp;$L$15,"дозаполнить")</f>
        <v>дозаполнить</v>
      </c>
      <c r="M76" s="25">
        <f t="shared" si="5"/>
        <v>0</v>
      </c>
      <c r="N76" s="25">
        <f t="shared" si="6"/>
        <v>0</v>
      </c>
      <c r="O76" s="101">
        <f t="shared" si="7"/>
        <v>0</v>
      </c>
    </row>
    <row r="77" spans="1:15" ht="12.75" x14ac:dyDescent="0.2">
      <c r="A77" s="187"/>
      <c r="B77" s="42" t="str">
        <f ca="1">IF(A77="","",MAX($B$16:OFFSET(A77,-1,0))+1)</f>
        <v/>
      </c>
      <c r="C77" s="185"/>
      <c r="D77" s="184"/>
      <c r="E77" s="185"/>
      <c r="F77" s="185"/>
      <c r="G77" s="184"/>
      <c r="H77" s="185"/>
      <c r="I77" s="185"/>
      <c r="J77" s="185"/>
      <c r="K77" s="16">
        <f t="shared" si="4"/>
        <v>0</v>
      </c>
      <c r="L77" s="44" t="str">
        <f>IF(AND(COUNTBLANK(D$18:$D76)=0,COUNTBLANK(G$18:$G76)=0),$L$16&amp;$L$15,"дозаполнить")</f>
        <v>дозаполнить</v>
      </c>
      <c r="M77" s="25">
        <f t="shared" si="5"/>
        <v>0</v>
      </c>
      <c r="N77" s="25">
        <f t="shared" si="6"/>
        <v>0</v>
      </c>
      <c r="O77" s="101">
        <f t="shared" si="7"/>
        <v>0</v>
      </c>
    </row>
    <row r="78" spans="1:15" ht="12.75" x14ac:dyDescent="0.2">
      <c r="A78" s="187"/>
      <c r="B78" s="42" t="str">
        <f ca="1">IF(A78="","",MAX($B$16:OFFSET(A78,-1,0))+1)</f>
        <v/>
      </c>
      <c r="C78" s="185"/>
      <c r="D78" s="184"/>
      <c r="E78" s="185"/>
      <c r="F78" s="185"/>
      <c r="G78" s="184"/>
      <c r="H78" s="185"/>
      <c r="I78" s="185"/>
      <c r="J78" s="185"/>
      <c r="K78" s="16">
        <f t="shared" si="4"/>
        <v>0</v>
      </c>
      <c r="L78" s="44" t="str">
        <f>IF(AND(COUNTBLANK(D$18:$D77)=0,COUNTBLANK(G$18:$G77)=0),$L$16&amp;$L$15,"дозаполнить")</f>
        <v>дозаполнить</v>
      </c>
      <c r="M78" s="25">
        <f t="shared" si="5"/>
        <v>0</v>
      </c>
      <c r="N78" s="25">
        <f t="shared" si="6"/>
        <v>0</v>
      </c>
      <c r="O78" s="101">
        <f t="shared" si="7"/>
        <v>0</v>
      </c>
    </row>
    <row r="79" spans="1:15" ht="12.75" x14ac:dyDescent="0.2">
      <c r="A79" s="187"/>
      <c r="B79" s="42" t="str">
        <f ca="1">IF(A79="","",MAX($B$16:OFFSET(A79,-1,0))+1)</f>
        <v/>
      </c>
      <c r="C79" s="185"/>
      <c r="D79" s="184"/>
      <c r="E79" s="185"/>
      <c r="F79" s="185"/>
      <c r="G79" s="184"/>
      <c r="H79" s="185"/>
      <c r="I79" s="185"/>
      <c r="J79" s="185"/>
      <c r="K79" s="16">
        <f t="shared" si="4"/>
        <v>0</v>
      </c>
      <c r="L79" s="44" t="str">
        <f>IF(AND(COUNTBLANK(D$18:$D78)=0,COUNTBLANK(G$18:$G78)=0),$L$16&amp;$L$15,"дозаполнить")</f>
        <v>дозаполнить</v>
      </c>
      <c r="M79" s="25">
        <f t="shared" si="5"/>
        <v>0</v>
      </c>
      <c r="N79" s="25">
        <f t="shared" si="6"/>
        <v>0</v>
      </c>
      <c r="O79" s="101">
        <f t="shared" si="7"/>
        <v>0</v>
      </c>
    </row>
    <row r="80" spans="1:15" ht="12.75" x14ac:dyDescent="0.2">
      <c r="A80" s="187"/>
      <c r="B80" s="42" t="str">
        <f ca="1">IF(A80="","",MAX($B$16:OFFSET(A80,-1,0))+1)</f>
        <v/>
      </c>
      <c r="C80" s="185"/>
      <c r="D80" s="184"/>
      <c r="E80" s="185"/>
      <c r="F80" s="185"/>
      <c r="G80" s="184"/>
      <c r="H80" s="185"/>
      <c r="I80" s="185"/>
      <c r="J80" s="185"/>
      <c r="K80" s="16">
        <f t="shared" si="4"/>
        <v>0</v>
      </c>
      <c r="L80" s="44" t="str">
        <f>IF(AND(COUNTBLANK(D$18:$D79)=0,COUNTBLANK(G$18:$G79)=0),$L$16&amp;$L$15,"дозаполнить")</f>
        <v>дозаполнить</v>
      </c>
      <c r="M80" s="25">
        <f t="shared" si="5"/>
        <v>0</v>
      </c>
      <c r="N80" s="25">
        <f t="shared" si="6"/>
        <v>0</v>
      </c>
      <c r="O80" s="101">
        <f t="shared" si="7"/>
        <v>0</v>
      </c>
    </row>
    <row r="81" spans="1:15" ht="12.75" x14ac:dyDescent="0.2">
      <c r="A81" s="187"/>
      <c r="B81" s="42" t="str">
        <f ca="1">IF(A81="","",MAX($B$16:OFFSET(A81,-1,0))+1)</f>
        <v/>
      </c>
      <c r="C81" s="185"/>
      <c r="D81" s="184"/>
      <c r="E81" s="185"/>
      <c r="F81" s="185"/>
      <c r="G81" s="184"/>
      <c r="H81" s="185"/>
      <c r="I81" s="185"/>
      <c r="J81" s="185"/>
      <c r="K81" s="16">
        <f t="shared" si="4"/>
        <v>0</v>
      </c>
      <c r="L81" s="44" t="str">
        <f>IF(AND(COUNTBLANK(D$18:$D80)=0,COUNTBLANK(G$18:$G80)=0),$L$16&amp;$L$15,"дозаполнить")</f>
        <v>дозаполнить</v>
      </c>
      <c r="M81" s="25">
        <f t="shared" si="5"/>
        <v>0</v>
      </c>
      <c r="N81" s="25">
        <f t="shared" si="6"/>
        <v>0</v>
      </c>
      <c r="O81" s="101">
        <f t="shared" si="7"/>
        <v>0</v>
      </c>
    </row>
    <row r="82" spans="1:15" ht="12.75" x14ac:dyDescent="0.2">
      <c r="A82" s="187"/>
      <c r="B82" s="42" t="str">
        <f ca="1">IF(A82="","",MAX($B$16:OFFSET(A82,-1,0))+1)</f>
        <v/>
      </c>
      <c r="C82" s="185"/>
      <c r="D82" s="184"/>
      <c r="E82" s="185"/>
      <c r="F82" s="185"/>
      <c r="G82" s="184"/>
      <c r="H82" s="185"/>
      <c r="I82" s="185"/>
      <c r="J82" s="185"/>
      <c r="K82" s="16">
        <f t="shared" si="4"/>
        <v>0</v>
      </c>
      <c r="L82" s="44" t="str">
        <f>IF(AND(COUNTBLANK(D$18:$D81)=0,COUNTBLANK(G$18:$G81)=0),$L$16&amp;$L$15,"дозаполнить")</f>
        <v>дозаполнить</v>
      </c>
      <c r="M82" s="25">
        <f t="shared" si="5"/>
        <v>0</v>
      </c>
      <c r="N82" s="25">
        <f t="shared" si="6"/>
        <v>0</v>
      </c>
      <c r="O82" s="101">
        <f t="shared" si="7"/>
        <v>0</v>
      </c>
    </row>
    <row r="83" spans="1:15" ht="12.75" x14ac:dyDescent="0.2">
      <c r="A83" s="187"/>
      <c r="B83" s="42" t="str">
        <f ca="1">IF(A83="","",MAX($B$16:OFFSET(A83,-1,0))+1)</f>
        <v/>
      </c>
      <c r="C83" s="185"/>
      <c r="D83" s="184"/>
      <c r="E83" s="185"/>
      <c r="F83" s="185"/>
      <c r="G83" s="184"/>
      <c r="H83" s="185"/>
      <c r="I83" s="185"/>
      <c r="J83" s="185"/>
      <c r="K83" s="16">
        <f t="shared" si="4"/>
        <v>0</v>
      </c>
      <c r="L83" s="44" t="str">
        <f>IF(AND(COUNTBLANK(D$18:$D82)=0,COUNTBLANK(G$18:$G82)=0),$L$16&amp;$L$15,"дозаполнить")</f>
        <v>дозаполнить</v>
      </c>
      <c r="M83" s="25">
        <f t="shared" si="5"/>
        <v>0</v>
      </c>
      <c r="N83" s="25">
        <f t="shared" si="6"/>
        <v>0</v>
      </c>
      <c r="O83" s="101">
        <f t="shared" si="7"/>
        <v>0</v>
      </c>
    </row>
    <row r="84" spans="1:15" ht="12.75" x14ac:dyDescent="0.2">
      <c r="A84" s="187"/>
      <c r="B84" s="42" t="str">
        <f ca="1">IF(A84="","",MAX($B$16:OFFSET(A84,-1,0))+1)</f>
        <v/>
      </c>
      <c r="C84" s="185"/>
      <c r="D84" s="184"/>
      <c r="E84" s="185"/>
      <c r="F84" s="185"/>
      <c r="G84" s="184"/>
      <c r="H84" s="185"/>
      <c r="I84" s="185"/>
      <c r="J84" s="185"/>
      <c r="K84" s="16">
        <f t="shared" si="4"/>
        <v>0</v>
      </c>
      <c r="L84" s="44" t="str">
        <f>IF(AND(COUNTBLANK(D$18:$D83)=0,COUNTBLANK(G$18:$G83)=0),$L$16&amp;$L$15,"дозаполнить")</f>
        <v>дозаполнить</v>
      </c>
      <c r="M84" s="25">
        <f t="shared" si="5"/>
        <v>0</v>
      </c>
      <c r="N84" s="25">
        <f t="shared" si="6"/>
        <v>0</v>
      </c>
      <c r="O84" s="101">
        <f t="shared" si="7"/>
        <v>0</v>
      </c>
    </row>
    <row r="85" spans="1:15" ht="12.75" x14ac:dyDescent="0.2">
      <c r="A85" s="187"/>
      <c r="B85" s="42" t="str">
        <f ca="1">IF(A85="","",MAX($B$16:OFFSET(A85,-1,0))+1)</f>
        <v/>
      </c>
      <c r="C85" s="185"/>
      <c r="D85" s="184"/>
      <c r="E85" s="185"/>
      <c r="F85" s="185"/>
      <c r="G85" s="184"/>
      <c r="H85" s="185"/>
      <c r="I85" s="185"/>
      <c r="J85" s="185"/>
      <c r="K85" s="16">
        <f t="shared" si="4"/>
        <v>0</v>
      </c>
      <c r="L85" s="44" t="str">
        <f>IF(AND(COUNTBLANK(D$18:$D84)=0,COUNTBLANK(G$18:$G84)=0),$L$16&amp;$L$15,"дозаполнить")</f>
        <v>дозаполнить</v>
      </c>
      <c r="M85" s="25">
        <f t="shared" si="5"/>
        <v>0</v>
      </c>
      <c r="N85" s="25">
        <f t="shared" si="6"/>
        <v>0</v>
      </c>
      <c r="O85" s="101">
        <f t="shared" si="7"/>
        <v>0</v>
      </c>
    </row>
    <row r="86" spans="1:15" ht="12.75" x14ac:dyDescent="0.2">
      <c r="A86" s="187"/>
      <c r="B86" s="42" t="str">
        <f ca="1">IF(A86="","",MAX($B$16:OFFSET(A86,-1,0))+1)</f>
        <v/>
      </c>
      <c r="C86" s="185"/>
      <c r="D86" s="184"/>
      <c r="E86" s="185"/>
      <c r="F86" s="185"/>
      <c r="G86" s="184"/>
      <c r="H86" s="185"/>
      <c r="I86" s="185"/>
      <c r="J86" s="185"/>
      <c r="K86" s="16">
        <f t="shared" si="4"/>
        <v>0</v>
      </c>
      <c r="L86" s="44" t="str">
        <f>IF(AND(COUNTBLANK(D$18:$D85)=0,COUNTBLANK(G$18:$G85)=0),$L$16&amp;$L$15,"дозаполнить")</f>
        <v>дозаполнить</v>
      </c>
      <c r="M86" s="25">
        <f t="shared" si="5"/>
        <v>0</v>
      </c>
      <c r="N86" s="25">
        <f t="shared" si="6"/>
        <v>0</v>
      </c>
      <c r="O86" s="101">
        <f t="shared" si="7"/>
        <v>0</v>
      </c>
    </row>
    <row r="87" spans="1:15" ht="12.75" x14ac:dyDescent="0.2">
      <c r="A87" s="187"/>
      <c r="B87" s="42" t="str">
        <f ca="1">IF(A87="","",MAX($B$16:OFFSET(A87,-1,0))+1)</f>
        <v/>
      </c>
      <c r="C87" s="185"/>
      <c r="D87" s="184"/>
      <c r="E87" s="185"/>
      <c r="F87" s="185"/>
      <c r="G87" s="184"/>
      <c r="H87" s="185"/>
      <c r="I87" s="185"/>
      <c r="J87" s="185"/>
      <c r="K87" s="16">
        <f t="shared" si="4"/>
        <v>0</v>
      </c>
      <c r="L87" s="44" t="str">
        <f>IF(AND(COUNTBLANK(D$18:$D86)=0,COUNTBLANK(G$18:$G86)=0),$L$16&amp;$L$15,"дозаполнить")</f>
        <v>дозаполнить</v>
      </c>
      <c r="M87" s="25">
        <f t="shared" si="5"/>
        <v>0</v>
      </c>
      <c r="N87" s="25">
        <f t="shared" si="6"/>
        <v>0</v>
      </c>
      <c r="O87" s="101">
        <f t="shared" si="7"/>
        <v>0</v>
      </c>
    </row>
    <row r="88" spans="1:15" ht="12.75" x14ac:dyDescent="0.2">
      <c r="A88" s="187"/>
      <c r="B88" s="42" t="str">
        <f ca="1">IF(A88="","",MAX($B$16:OFFSET(A88,-1,0))+1)</f>
        <v/>
      </c>
      <c r="C88" s="185"/>
      <c r="D88" s="184"/>
      <c r="E88" s="185"/>
      <c r="F88" s="185"/>
      <c r="G88" s="184"/>
      <c r="H88" s="185"/>
      <c r="I88" s="185"/>
      <c r="J88" s="185"/>
      <c r="K88" s="16">
        <f t="shared" si="4"/>
        <v>0</v>
      </c>
      <c r="L88" s="44" t="str">
        <f>IF(AND(COUNTBLANK(D$18:$D87)=0,COUNTBLANK(G$18:$G87)=0),$L$16&amp;$L$15,"дозаполнить")</f>
        <v>дозаполнить</v>
      </c>
      <c r="M88" s="25">
        <f t="shared" si="5"/>
        <v>0</v>
      </c>
      <c r="N88" s="25">
        <f t="shared" si="6"/>
        <v>0</v>
      </c>
      <c r="O88" s="101">
        <f t="shared" si="7"/>
        <v>0</v>
      </c>
    </row>
    <row r="89" spans="1:15" ht="12.75" x14ac:dyDescent="0.2">
      <c r="A89" s="187"/>
      <c r="B89" s="42" t="str">
        <f ca="1">IF(A89="","",MAX($B$16:OFFSET(A89,-1,0))+1)</f>
        <v/>
      </c>
      <c r="C89" s="185"/>
      <c r="D89" s="184"/>
      <c r="E89" s="185"/>
      <c r="F89" s="185"/>
      <c r="G89" s="184"/>
      <c r="H89" s="185"/>
      <c r="I89" s="185"/>
      <c r="J89" s="185"/>
      <c r="K89" s="16">
        <f t="shared" ref="K89:K142" si="8">(D89/1000)*(G89/1000)*J89</f>
        <v>0</v>
      </c>
      <c r="L89" s="44" t="str">
        <f>IF(AND(COUNTBLANK(D$18:$D88)=0,COUNTBLANK(G$18:$G88)=0),$L$16&amp;$L$15,"дозаполнить")</f>
        <v>дозаполнить</v>
      </c>
      <c r="M89" s="25">
        <f t="shared" ref="M89:M142" si="9">(D89*E89*J89)+(H89*G89*J89)</f>
        <v>0</v>
      </c>
      <c r="N89" s="25">
        <f t="shared" ref="N89:N142" si="10">(F89*D89*J89)+(I89*G89*J89)</f>
        <v>0</v>
      </c>
      <c r="O89" s="101">
        <f t="shared" ref="O89:O142" si="11">IF(A89="",0,MAX((D89/1000*G89/1000)*$O$13,$O$14))*J89</f>
        <v>0</v>
      </c>
    </row>
    <row r="90" spans="1:15" ht="12.75" x14ac:dyDescent="0.2">
      <c r="A90" s="187"/>
      <c r="B90" s="42" t="str">
        <f ca="1">IF(A90="","",MAX($B$16:OFFSET(A90,-1,0))+1)</f>
        <v/>
      </c>
      <c r="C90" s="185"/>
      <c r="D90" s="184"/>
      <c r="E90" s="185"/>
      <c r="F90" s="185"/>
      <c r="G90" s="184"/>
      <c r="H90" s="185"/>
      <c r="I90" s="185"/>
      <c r="J90" s="185"/>
      <c r="K90" s="16">
        <f t="shared" si="8"/>
        <v>0</v>
      </c>
      <c r="L90" s="44" t="str">
        <f>IF(AND(COUNTBLANK(D$18:$D89)=0,COUNTBLANK(G$18:$G89)=0),$L$16&amp;$L$15,"дозаполнить")</f>
        <v>дозаполнить</v>
      </c>
      <c r="M90" s="25">
        <f t="shared" si="9"/>
        <v>0</v>
      </c>
      <c r="N90" s="25">
        <f t="shared" si="10"/>
        <v>0</v>
      </c>
      <c r="O90" s="101">
        <f t="shared" si="11"/>
        <v>0</v>
      </c>
    </row>
    <row r="91" spans="1:15" ht="12.75" x14ac:dyDescent="0.2">
      <c r="A91" s="187"/>
      <c r="B91" s="42" t="str">
        <f ca="1">IF(A91="","",MAX($B$16:OFFSET(A91,-1,0))+1)</f>
        <v/>
      </c>
      <c r="C91" s="185"/>
      <c r="D91" s="184"/>
      <c r="E91" s="185"/>
      <c r="F91" s="185"/>
      <c r="G91" s="184"/>
      <c r="H91" s="185"/>
      <c r="I91" s="185"/>
      <c r="J91" s="185"/>
      <c r="K91" s="16">
        <f t="shared" si="8"/>
        <v>0</v>
      </c>
      <c r="L91" s="44" t="str">
        <f>IF(AND(COUNTBLANK(D$18:$D90)=0,COUNTBLANK(G$18:$G90)=0),$L$16&amp;$L$15,"дозаполнить")</f>
        <v>дозаполнить</v>
      </c>
      <c r="M91" s="25">
        <f t="shared" si="9"/>
        <v>0</v>
      </c>
      <c r="N91" s="25">
        <f t="shared" si="10"/>
        <v>0</v>
      </c>
      <c r="O91" s="101">
        <f t="shared" si="11"/>
        <v>0</v>
      </c>
    </row>
    <row r="92" spans="1:15" ht="12.75" x14ac:dyDescent="0.2">
      <c r="A92" s="187"/>
      <c r="B92" s="42" t="str">
        <f ca="1">IF(A92="","",MAX($B$16:OFFSET(A92,-1,0))+1)</f>
        <v/>
      </c>
      <c r="C92" s="185"/>
      <c r="D92" s="184"/>
      <c r="E92" s="185"/>
      <c r="F92" s="185"/>
      <c r="G92" s="184"/>
      <c r="H92" s="185"/>
      <c r="I92" s="185"/>
      <c r="J92" s="185"/>
      <c r="K92" s="16">
        <f t="shared" si="8"/>
        <v>0</v>
      </c>
      <c r="L92" s="44" t="str">
        <f>IF(AND(COUNTBLANK(D$18:$D91)=0,COUNTBLANK(G$18:$G91)=0),$L$16&amp;$L$15,"дозаполнить")</f>
        <v>дозаполнить</v>
      </c>
      <c r="M92" s="25">
        <f t="shared" si="9"/>
        <v>0</v>
      </c>
      <c r="N92" s="25">
        <f t="shared" si="10"/>
        <v>0</v>
      </c>
      <c r="O92" s="101">
        <f t="shared" si="11"/>
        <v>0</v>
      </c>
    </row>
    <row r="93" spans="1:15" ht="12.75" x14ac:dyDescent="0.2">
      <c r="A93" s="187"/>
      <c r="B93" s="42" t="str">
        <f ca="1">IF(A93="","",MAX($B$16:OFFSET(A93,-1,0))+1)</f>
        <v/>
      </c>
      <c r="C93" s="185"/>
      <c r="D93" s="184"/>
      <c r="E93" s="185"/>
      <c r="F93" s="185"/>
      <c r="G93" s="184"/>
      <c r="H93" s="185"/>
      <c r="I93" s="185"/>
      <c r="J93" s="185"/>
      <c r="K93" s="16">
        <f t="shared" si="8"/>
        <v>0</v>
      </c>
      <c r="L93" s="44" t="str">
        <f>IF(AND(COUNTBLANK(D$18:$D92)=0,COUNTBLANK(G$18:$G92)=0),$L$16&amp;$L$15,"дозаполнить")</f>
        <v>дозаполнить</v>
      </c>
      <c r="M93" s="25">
        <f t="shared" si="9"/>
        <v>0</v>
      </c>
      <c r="N93" s="25">
        <f t="shared" si="10"/>
        <v>0</v>
      </c>
      <c r="O93" s="101">
        <f t="shared" si="11"/>
        <v>0</v>
      </c>
    </row>
    <row r="94" spans="1:15" ht="12.75" x14ac:dyDescent="0.2">
      <c r="A94" s="187"/>
      <c r="B94" s="42" t="str">
        <f ca="1">IF(A94="","",MAX($B$16:OFFSET(A94,-1,0))+1)</f>
        <v/>
      </c>
      <c r="C94" s="185"/>
      <c r="D94" s="184"/>
      <c r="E94" s="185"/>
      <c r="F94" s="185"/>
      <c r="G94" s="184"/>
      <c r="H94" s="185"/>
      <c r="I94" s="185"/>
      <c r="J94" s="185"/>
      <c r="K94" s="16">
        <f t="shared" si="8"/>
        <v>0</v>
      </c>
      <c r="L94" s="44" t="str">
        <f>IF(AND(COUNTBLANK(D$18:$D93)=0,COUNTBLANK(G$18:$G93)=0),$L$16&amp;$L$15,"дозаполнить")</f>
        <v>дозаполнить</v>
      </c>
      <c r="M94" s="25">
        <f t="shared" si="9"/>
        <v>0</v>
      </c>
      <c r="N94" s="25">
        <f t="shared" si="10"/>
        <v>0</v>
      </c>
      <c r="O94" s="101">
        <f t="shared" si="11"/>
        <v>0</v>
      </c>
    </row>
    <row r="95" spans="1:15" ht="12.75" x14ac:dyDescent="0.2">
      <c r="A95" s="187"/>
      <c r="B95" s="42" t="str">
        <f ca="1">IF(A95="","",MAX($B$16:OFFSET(A95,-1,0))+1)</f>
        <v/>
      </c>
      <c r="C95" s="185"/>
      <c r="D95" s="184"/>
      <c r="E95" s="185"/>
      <c r="F95" s="185"/>
      <c r="G95" s="184"/>
      <c r="H95" s="185"/>
      <c r="I95" s="185"/>
      <c r="J95" s="185"/>
      <c r="K95" s="16">
        <f t="shared" si="8"/>
        <v>0</v>
      </c>
      <c r="L95" s="44" t="str">
        <f>IF(AND(COUNTBLANK(D$18:$D94)=0,COUNTBLANK(G$18:$G94)=0),$L$16&amp;$L$15,"дозаполнить")</f>
        <v>дозаполнить</v>
      </c>
      <c r="M95" s="25">
        <f t="shared" si="9"/>
        <v>0</v>
      </c>
      <c r="N95" s="25">
        <f t="shared" si="10"/>
        <v>0</v>
      </c>
      <c r="O95" s="101">
        <f t="shared" si="11"/>
        <v>0</v>
      </c>
    </row>
    <row r="96" spans="1:15" ht="12.75" x14ac:dyDescent="0.2">
      <c r="A96" s="187"/>
      <c r="B96" s="42" t="str">
        <f ca="1">IF(A96="","",MAX($B$16:OFFSET(A96,-1,0))+1)</f>
        <v/>
      </c>
      <c r="C96" s="185"/>
      <c r="D96" s="184"/>
      <c r="E96" s="185"/>
      <c r="F96" s="185"/>
      <c r="G96" s="184"/>
      <c r="H96" s="185"/>
      <c r="I96" s="185"/>
      <c r="J96" s="185"/>
      <c r="K96" s="16">
        <f t="shared" si="8"/>
        <v>0</v>
      </c>
      <c r="L96" s="44" t="str">
        <f>IF(AND(COUNTBLANK(D$18:$D95)=0,COUNTBLANK(G$18:$G95)=0),$L$16&amp;$L$15,"дозаполнить")</f>
        <v>дозаполнить</v>
      </c>
      <c r="M96" s="25">
        <f t="shared" si="9"/>
        <v>0</v>
      </c>
      <c r="N96" s="25">
        <f t="shared" si="10"/>
        <v>0</v>
      </c>
      <c r="O96" s="101">
        <f t="shared" si="11"/>
        <v>0</v>
      </c>
    </row>
    <row r="97" spans="1:15" ht="12.75" x14ac:dyDescent="0.2">
      <c r="A97" s="187"/>
      <c r="B97" s="42" t="str">
        <f ca="1">IF(A97="","",MAX($B$16:OFFSET(A97,-1,0))+1)</f>
        <v/>
      </c>
      <c r="C97" s="185"/>
      <c r="D97" s="184"/>
      <c r="E97" s="185"/>
      <c r="F97" s="185"/>
      <c r="G97" s="184"/>
      <c r="H97" s="185"/>
      <c r="I97" s="185"/>
      <c r="J97" s="185"/>
      <c r="K97" s="16">
        <f t="shared" si="8"/>
        <v>0</v>
      </c>
      <c r="L97" s="44" t="str">
        <f>IF(AND(COUNTBLANK(D$18:$D96)=0,COUNTBLANK(G$18:$G96)=0),$L$16&amp;$L$15,"дозаполнить")</f>
        <v>дозаполнить</v>
      </c>
      <c r="M97" s="25">
        <f t="shared" si="9"/>
        <v>0</v>
      </c>
      <c r="N97" s="25">
        <f t="shared" si="10"/>
        <v>0</v>
      </c>
      <c r="O97" s="101">
        <f t="shared" si="11"/>
        <v>0</v>
      </c>
    </row>
    <row r="98" spans="1:15" ht="12.75" x14ac:dyDescent="0.2">
      <c r="A98" s="187"/>
      <c r="B98" s="42" t="str">
        <f ca="1">IF(A98="","",MAX($B$16:OFFSET(A98,-1,0))+1)</f>
        <v/>
      </c>
      <c r="C98" s="185"/>
      <c r="D98" s="184"/>
      <c r="E98" s="185"/>
      <c r="F98" s="185"/>
      <c r="G98" s="184"/>
      <c r="H98" s="185"/>
      <c r="I98" s="185"/>
      <c r="J98" s="185"/>
      <c r="K98" s="16">
        <f t="shared" si="8"/>
        <v>0</v>
      </c>
      <c r="L98" s="44" t="str">
        <f>IF(AND(COUNTBLANK(D$18:$D97)=0,COUNTBLANK(G$18:$G97)=0),$L$16&amp;$L$15,"дозаполнить")</f>
        <v>дозаполнить</v>
      </c>
      <c r="M98" s="25">
        <f t="shared" si="9"/>
        <v>0</v>
      </c>
      <c r="N98" s="25">
        <f t="shared" si="10"/>
        <v>0</v>
      </c>
      <c r="O98" s="101">
        <f t="shared" si="11"/>
        <v>0</v>
      </c>
    </row>
    <row r="99" spans="1:15" ht="12.75" x14ac:dyDescent="0.2">
      <c r="A99" s="187"/>
      <c r="B99" s="42" t="str">
        <f ca="1">IF(A99="","",MAX($B$16:OFFSET(A99,-1,0))+1)</f>
        <v/>
      </c>
      <c r="C99" s="185"/>
      <c r="D99" s="184"/>
      <c r="E99" s="185"/>
      <c r="F99" s="185"/>
      <c r="G99" s="184"/>
      <c r="H99" s="185"/>
      <c r="I99" s="185"/>
      <c r="J99" s="185"/>
      <c r="K99" s="16">
        <f t="shared" si="8"/>
        <v>0</v>
      </c>
      <c r="L99" s="44" t="str">
        <f>IF(AND(COUNTBLANK(D$18:$D98)=0,COUNTBLANK(G$18:$G98)=0),$L$16&amp;$L$15,"дозаполнить")</f>
        <v>дозаполнить</v>
      </c>
      <c r="M99" s="25">
        <f t="shared" si="9"/>
        <v>0</v>
      </c>
      <c r="N99" s="25">
        <f t="shared" si="10"/>
        <v>0</v>
      </c>
      <c r="O99" s="101">
        <f t="shared" si="11"/>
        <v>0</v>
      </c>
    </row>
    <row r="100" spans="1:15" ht="12.75" x14ac:dyDescent="0.2">
      <c r="A100" s="187"/>
      <c r="B100" s="42" t="str">
        <f ca="1">IF(A100="","",MAX($B$16:OFFSET(A100,-1,0))+1)</f>
        <v/>
      </c>
      <c r="C100" s="185"/>
      <c r="D100" s="184"/>
      <c r="E100" s="185"/>
      <c r="F100" s="185"/>
      <c r="G100" s="184"/>
      <c r="H100" s="185"/>
      <c r="I100" s="185"/>
      <c r="J100" s="185"/>
      <c r="K100" s="16">
        <f t="shared" si="8"/>
        <v>0</v>
      </c>
      <c r="L100" s="44" t="str">
        <f>IF(AND(COUNTBLANK(D$18:$D99)=0,COUNTBLANK(G$18:$G99)=0),$L$16&amp;$L$15,"дозаполнить")</f>
        <v>дозаполнить</v>
      </c>
      <c r="M100" s="25">
        <f t="shared" si="9"/>
        <v>0</v>
      </c>
      <c r="N100" s="25">
        <f t="shared" si="10"/>
        <v>0</v>
      </c>
      <c r="O100" s="101">
        <f t="shared" si="11"/>
        <v>0</v>
      </c>
    </row>
    <row r="101" spans="1:15" ht="12.75" x14ac:dyDescent="0.2">
      <c r="A101" s="187"/>
      <c r="B101" s="42" t="str">
        <f ca="1">IF(A101="","",MAX($B$16:OFFSET(A101,-1,0))+1)</f>
        <v/>
      </c>
      <c r="C101" s="185"/>
      <c r="D101" s="184"/>
      <c r="E101" s="185"/>
      <c r="F101" s="185"/>
      <c r="G101" s="184"/>
      <c r="H101" s="185"/>
      <c r="I101" s="185"/>
      <c r="J101" s="185"/>
      <c r="K101" s="16">
        <f t="shared" si="8"/>
        <v>0</v>
      </c>
      <c r="L101" s="44" t="str">
        <f>IF(AND(COUNTBLANK(D$18:$D100)=0,COUNTBLANK(G$18:$G100)=0),$L$16&amp;$L$15,"дозаполнить")</f>
        <v>дозаполнить</v>
      </c>
      <c r="M101" s="25">
        <f t="shared" si="9"/>
        <v>0</v>
      </c>
      <c r="N101" s="25">
        <f t="shared" si="10"/>
        <v>0</v>
      </c>
      <c r="O101" s="101">
        <f t="shared" si="11"/>
        <v>0</v>
      </c>
    </row>
    <row r="102" spans="1:15" ht="12.75" x14ac:dyDescent="0.2">
      <c r="A102" s="187"/>
      <c r="B102" s="42" t="str">
        <f ca="1">IF(A102="","",MAX($B$16:OFFSET(A102,-1,0))+1)</f>
        <v/>
      </c>
      <c r="C102" s="185"/>
      <c r="D102" s="184"/>
      <c r="E102" s="185"/>
      <c r="F102" s="185"/>
      <c r="G102" s="184"/>
      <c r="H102" s="185"/>
      <c r="I102" s="185"/>
      <c r="J102" s="185"/>
      <c r="K102" s="16">
        <f t="shared" si="8"/>
        <v>0</v>
      </c>
      <c r="L102" s="44" t="str">
        <f>IF(AND(COUNTBLANK(D$18:$D101)=0,COUNTBLANK(G$18:$G101)=0),$L$16&amp;$L$15,"дозаполнить")</f>
        <v>дозаполнить</v>
      </c>
      <c r="M102" s="25">
        <f t="shared" si="9"/>
        <v>0</v>
      </c>
      <c r="N102" s="25">
        <f t="shared" si="10"/>
        <v>0</v>
      </c>
      <c r="O102" s="101">
        <f t="shared" si="11"/>
        <v>0</v>
      </c>
    </row>
    <row r="103" spans="1:15" ht="12.75" x14ac:dyDescent="0.2">
      <c r="A103" s="187"/>
      <c r="B103" s="42" t="str">
        <f ca="1">IF(A103="","",MAX($B$16:OFFSET(A103,-1,0))+1)</f>
        <v/>
      </c>
      <c r="C103" s="185"/>
      <c r="D103" s="184"/>
      <c r="E103" s="185"/>
      <c r="F103" s="185"/>
      <c r="G103" s="184"/>
      <c r="H103" s="185"/>
      <c r="I103" s="185"/>
      <c r="J103" s="185"/>
      <c r="K103" s="16">
        <f t="shared" si="8"/>
        <v>0</v>
      </c>
      <c r="L103" s="44" t="str">
        <f>IF(AND(COUNTBLANK(D$18:$D102)=0,COUNTBLANK(G$18:$G102)=0),$L$16&amp;$L$15,"дозаполнить")</f>
        <v>дозаполнить</v>
      </c>
      <c r="M103" s="25">
        <f t="shared" si="9"/>
        <v>0</v>
      </c>
      <c r="N103" s="25">
        <f t="shared" si="10"/>
        <v>0</v>
      </c>
      <c r="O103" s="101">
        <f t="shared" si="11"/>
        <v>0</v>
      </c>
    </row>
    <row r="104" spans="1:15" ht="12.75" x14ac:dyDescent="0.2">
      <c r="A104" s="187"/>
      <c r="B104" s="42" t="str">
        <f ca="1">IF(A104="","",MAX($B$16:OFFSET(A104,-1,0))+1)</f>
        <v/>
      </c>
      <c r="C104" s="185"/>
      <c r="D104" s="184"/>
      <c r="E104" s="185"/>
      <c r="F104" s="185"/>
      <c r="G104" s="184"/>
      <c r="H104" s="185"/>
      <c r="I104" s="185"/>
      <c r="J104" s="185"/>
      <c r="K104" s="16">
        <f t="shared" si="8"/>
        <v>0</v>
      </c>
      <c r="L104" s="44" t="str">
        <f>IF(AND(COUNTBLANK(D$18:$D103)=0,COUNTBLANK(G$18:$G103)=0),$L$16&amp;$L$15,"дозаполнить")</f>
        <v>дозаполнить</v>
      </c>
      <c r="M104" s="25">
        <f t="shared" si="9"/>
        <v>0</v>
      </c>
      <c r="N104" s="25">
        <f t="shared" si="10"/>
        <v>0</v>
      </c>
      <c r="O104" s="101">
        <f t="shared" si="11"/>
        <v>0</v>
      </c>
    </row>
    <row r="105" spans="1:15" ht="12.75" x14ac:dyDescent="0.2">
      <c r="A105" s="187"/>
      <c r="B105" s="42" t="str">
        <f ca="1">IF(A105="","",MAX($B$16:OFFSET(A105,-1,0))+1)</f>
        <v/>
      </c>
      <c r="C105" s="185"/>
      <c r="D105" s="184"/>
      <c r="E105" s="185"/>
      <c r="F105" s="185"/>
      <c r="G105" s="184"/>
      <c r="H105" s="185"/>
      <c r="I105" s="185"/>
      <c r="J105" s="185"/>
      <c r="K105" s="16">
        <f t="shared" si="8"/>
        <v>0</v>
      </c>
      <c r="L105" s="44" t="str">
        <f>IF(AND(COUNTBLANK(D$18:$D104)=0,COUNTBLANK(G$18:$G104)=0),$L$16&amp;$L$15,"дозаполнить")</f>
        <v>дозаполнить</v>
      </c>
      <c r="M105" s="25">
        <f t="shared" si="9"/>
        <v>0</v>
      </c>
      <c r="N105" s="25">
        <f t="shared" si="10"/>
        <v>0</v>
      </c>
      <c r="O105" s="101">
        <f t="shared" si="11"/>
        <v>0</v>
      </c>
    </row>
    <row r="106" spans="1:15" ht="12.75" x14ac:dyDescent="0.2">
      <c r="A106" s="187"/>
      <c r="B106" s="42" t="str">
        <f ca="1">IF(A106="","",MAX($B$16:OFFSET(A106,-1,0))+1)</f>
        <v/>
      </c>
      <c r="C106" s="185"/>
      <c r="D106" s="184"/>
      <c r="E106" s="185"/>
      <c r="F106" s="185"/>
      <c r="G106" s="184"/>
      <c r="H106" s="185"/>
      <c r="I106" s="185"/>
      <c r="J106" s="185"/>
      <c r="K106" s="16">
        <f t="shared" si="8"/>
        <v>0</v>
      </c>
      <c r="L106" s="44" t="str">
        <f>IF(AND(COUNTBLANK(D$18:$D105)=0,COUNTBLANK(G$18:$G105)=0),$L$16&amp;$L$15,"дозаполнить")</f>
        <v>дозаполнить</v>
      </c>
      <c r="M106" s="25">
        <f t="shared" si="9"/>
        <v>0</v>
      </c>
      <c r="N106" s="25">
        <f t="shared" si="10"/>
        <v>0</v>
      </c>
      <c r="O106" s="101">
        <f t="shared" si="11"/>
        <v>0</v>
      </c>
    </row>
    <row r="107" spans="1:15" ht="12.75" x14ac:dyDescent="0.2">
      <c r="A107" s="187"/>
      <c r="B107" s="42" t="str">
        <f ca="1">IF(A107="","",MAX($B$16:OFFSET(A107,-1,0))+1)</f>
        <v/>
      </c>
      <c r="C107" s="185"/>
      <c r="D107" s="184"/>
      <c r="E107" s="185"/>
      <c r="F107" s="185"/>
      <c r="G107" s="184"/>
      <c r="H107" s="185"/>
      <c r="I107" s="185"/>
      <c r="J107" s="185"/>
      <c r="K107" s="16">
        <f t="shared" si="8"/>
        <v>0</v>
      </c>
      <c r="L107" s="44" t="str">
        <f>IF(AND(COUNTBLANK(D$18:$D106)=0,COUNTBLANK(G$18:$G106)=0),$L$16&amp;$L$15,"дозаполнить")</f>
        <v>дозаполнить</v>
      </c>
      <c r="M107" s="25">
        <f t="shared" si="9"/>
        <v>0</v>
      </c>
      <c r="N107" s="25">
        <f t="shared" si="10"/>
        <v>0</v>
      </c>
      <c r="O107" s="101">
        <f t="shared" si="11"/>
        <v>0</v>
      </c>
    </row>
    <row r="108" spans="1:15" ht="12.75" x14ac:dyDescent="0.2">
      <c r="A108" s="187"/>
      <c r="B108" s="42" t="str">
        <f ca="1">IF(A108="","",MAX($B$16:OFFSET(A108,-1,0))+1)</f>
        <v/>
      </c>
      <c r="C108" s="185"/>
      <c r="D108" s="184"/>
      <c r="E108" s="185"/>
      <c r="F108" s="185"/>
      <c r="G108" s="184"/>
      <c r="H108" s="185"/>
      <c r="I108" s="185"/>
      <c r="J108" s="185"/>
      <c r="K108" s="16">
        <f t="shared" si="8"/>
        <v>0</v>
      </c>
      <c r="L108" s="44" t="str">
        <f>IF(AND(COUNTBLANK(D$18:$D107)=0,COUNTBLANK(G$18:$G107)=0),$L$16&amp;$L$15,"дозаполнить")</f>
        <v>дозаполнить</v>
      </c>
      <c r="M108" s="25">
        <f t="shared" si="9"/>
        <v>0</v>
      </c>
      <c r="N108" s="25">
        <f t="shared" si="10"/>
        <v>0</v>
      </c>
      <c r="O108" s="101">
        <f t="shared" si="11"/>
        <v>0</v>
      </c>
    </row>
    <row r="109" spans="1:15" ht="12.75" x14ac:dyDescent="0.2">
      <c r="A109" s="187"/>
      <c r="B109" s="42" t="str">
        <f ca="1">IF(A109="","",MAX($B$16:OFFSET(A109,-1,0))+1)</f>
        <v/>
      </c>
      <c r="C109" s="185"/>
      <c r="D109" s="184"/>
      <c r="E109" s="185"/>
      <c r="F109" s="185"/>
      <c r="G109" s="184"/>
      <c r="H109" s="185"/>
      <c r="I109" s="185"/>
      <c r="J109" s="185"/>
      <c r="K109" s="16">
        <f t="shared" si="8"/>
        <v>0</v>
      </c>
      <c r="L109" s="44" t="str">
        <f>IF(AND(COUNTBLANK(D$18:$D108)=0,COUNTBLANK(G$18:$G108)=0),$L$16&amp;$L$15,"дозаполнить")</f>
        <v>дозаполнить</v>
      </c>
      <c r="M109" s="25">
        <f t="shared" si="9"/>
        <v>0</v>
      </c>
      <c r="N109" s="25">
        <f t="shared" si="10"/>
        <v>0</v>
      </c>
      <c r="O109" s="101">
        <f t="shared" si="11"/>
        <v>0</v>
      </c>
    </row>
    <row r="110" spans="1:15" ht="12.75" x14ac:dyDescent="0.2">
      <c r="A110" s="187"/>
      <c r="B110" s="42" t="str">
        <f ca="1">IF(A110="","",MAX($B$16:OFFSET(A110,-1,0))+1)</f>
        <v/>
      </c>
      <c r="C110" s="185"/>
      <c r="D110" s="184"/>
      <c r="E110" s="185"/>
      <c r="F110" s="185"/>
      <c r="G110" s="184"/>
      <c r="H110" s="185"/>
      <c r="I110" s="185"/>
      <c r="J110" s="185"/>
      <c r="K110" s="16">
        <f t="shared" si="8"/>
        <v>0</v>
      </c>
      <c r="L110" s="44" t="str">
        <f>IF(AND(COUNTBLANK(D$18:$D109)=0,COUNTBLANK(G$18:$G109)=0),$L$16&amp;$L$15,"дозаполнить")</f>
        <v>дозаполнить</v>
      </c>
      <c r="M110" s="25">
        <f t="shared" si="9"/>
        <v>0</v>
      </c>
      <c r="N110" s="25">
        <f t="shared" si="10"/>
        <v>0</v>
      </c>
      <c r="O110" s="101">
        <f t="shared" si="11"/>
        <v>0</v>
      </c>
    </row>
    <row r="111" spans="1:15" ht="12.75" x14ac:dyDescent="0.2">
      <c r="A111" s="187"/>
      <c r="B111" s="42" t="str">
        <f ca="1">IF(A111="","",MAX($B$16:OFFSET(A111,-1,0))+1)</f>
        <v/>
      </c>
      <c r="C111" s="185"/>
      <c r="D111" s="184"/>
      <c r="E111" s="185"/>
      <c r="F111" s="185"/>
      <c r="G111" s="184"/>
      <c r="H111" s="185"/>
      <c r="I111" s="185"/>
      <c r="J111" s="185"/>
      <c r="K111" s="16">
        <f t="shared" si="8"/>
        <v>0</v>
      </c>
      <c r="L111" s="44" t="str">
        <f>IF(AND(COUNTBLANK(D$18:$D110)=0,COUNTBLANK(G$18:$G110)=0),$L$16&amp;$L$15,"дозаполнить")</f>
        <v>дозаполнить</v>
      </c>
      <c r="M111" s="25">
        <f t="shared" si="9"/>
        <v>0</v>
      </c>
      <c r="N111" s="25">
        <f t="shared" si="10"/>
        <v>0</v>
      </c>
      <c r="O111" s="101">
        <f t="shared" si="11"/>
        <v>0</v>
      </c>
    </row>
    <row r="112" spans="1:15" ht="12.75" x14ac:dyDescent="0.2">
      <c r="A112" s="187"/>
      <c r="B112" s="42" t="str">
        <f ca="1">IF(A112="","",MAX($B$16:OFFSET(A112,-1,0))+1)</f>
        <v/>
      </c>
      <c r="C112" s="185"/>
      <c r="D112" s="184"/>
      <c r="E112" s="185"/>
      <c r="F112" s="185"/>
      <c r="G112" s="184"/>
      <c r="H112" s="185"/>
      <c r="I112" s="185"/>
      <c r="J112" s="185"/>
      <c r="K112" s="16">
        <f t="shared" si="8"/>
        <v>0</v>
      </c>
      <c r="L112" s="44" t="str">
        <f>IF(AND(COUNTBLANK(D$18:$D111)=0,COUNTBLANK(G$18:$G111)=0),$L$16&amp;$L$15,"дозаполнить")</f>
        <v>дозаполнить</v>
      </c>
      <c r="M112" s="25">
        <f t="shared" si="9"/>
        <v>0</v>
      </c>
      <c r="N112" s="25">
        <f t="shared" si="10"/>
        <v>0</v>
      </c>
      <c r="O112" s="101">
        <f t="shared" si="11"/>
        <v>0</v>
      </c>
    </row>
    <row r="113" spans="1:15" ht="12.75" x14ac:dyDescent="0.2">
      <c r="A113" s="187"/>
      <c r="B113" s="42" t="str">
        <f ca="1">IF(A113="","",MAX($B$16:OFFSET(A113,-1,0))+1)</f>
        <v/>
      </c>
      <c r="C113" s="185"/>
      <c r="D113" s="184"/>
      <c r="E113" s="185"/>
      <c r="F113" s="185"/>
      <c r="G113" s="184"/>
      <c r="H113" s="185"/>
      <c r="I113" s="185"/>
      <c r="J113" s="185"/>
      <c r="K113" s="16">
        <f t="shared" si="8"/>
        <v>0</v>
      </c>
      <c r="L113" s="44" t="str">
        <f>IF(AND(COUNTBLANK(D$18:$D112)=0,COUNTBLANK(G$18:$G112)=0),$L$16&amp;$L$15,"дозаполнить")</f>
        <v>дозаполнить</v>
      </c>
      <c r="M113" s="25">
        <f t="shared" si="9"/>
        <v>0</v>
      </c>
      <c r="N113" s="25">
        <f t="shared" si="10"/>
        <v>0</v>
      </c>
      <c r="O113" s="101">
        <f t="shared" si="11"/>
        <v>0</v>
      </c>
    </row>
    <row r="114" spans="1:15" ht="12.75" x14ac:dyDescent="0.2">
      <c r="A114" s="187"/>
      <c r="B114" s="42" t="str">
        <f ca="1">IF(A114="","",MAX($B$16:OFFSET(A114,-1,0))+1)</f>
        <v/>
      </c>
      <c r="C114" s="185"/>
      <c r="D114" s="184"/>
      <c r="E114" s="185"/>
      <c r="F114" s="185"/>
      <c r="G114" s="184"/>
      <c r="H114" s="185"/>
      <c r="I114" s="185"/>
      <c r="J114" s="185"/>
      <c r="K114" s="16">
        <f t="shared" si="8"/>
        <v>0</v>
      </c>
      <c r="L114" s="44" t="str">
        <f>IF(AND(COUNTBLANK(D$18:$D113)=0,COUNTBLANK(G$18:$G113)=0),$L$16&amp;$L$15,"дозаполнить")</f>
        <v>дозаполнить</v>
      </c>
      <c r="M114" s="25">
        <f t="shared" si="9"/>
        <v>0</v>
      </c>
      <c r="N114" s="25">
        <f t="shared" si="10"/>
        <v>0</v>
      </c>
      <c r="O114" s="101">
        <f t="shared" si="11"/>
        <v>0</v>
      </c>
    </row>
    <row r="115" spans="1:15" ht="12.75" x14ac:dyDescent="0.2">
      <c r="A115" s="187"/>
      <c r="B115" s="42" t="str">
        <f ca="1">IF(A115="","",MAX($B$16:OFFSET(A115,-1,0))+1)</f>
        <v/>
      </c>
      <c r="C115" s="185"/>
      <c r="D115" s="184"/>
      <c r="E115" s="185"/>
      <c r="F115" s="185"/>
      <c r="G115" s="184"/>
      <c r="H115" s="185"/>
      <c r="I115" s="185"/>
      <c r="J115" s="185"/>
      <c r="K115" s="16">
        <f t="shared" si="8"/>
        <v>0</v>
      </c>
      <c r="L115" s="44" t="str">
        <f>IF(AND(COUNTBLANK(D$18:$D114)=0,COUNTBLANK(G$18:$G114)=0),$L$16&amp;$L$15,"дозаполнить")</f>
        <v>дозаполнить</v>
      </c>
      <c r="M115" s="25">
        <f t="shared" si="9"/>
        <v>0</v>
      </c>
      <c r="N115" s="25">
        <f t="shared" si="10"/>
        <v>0</v>
      </c>
      <c r="O115" s="101">
        <f t="shared" si="11"/>
        <v>0</v>
      </c>
    </row>
    <row r="116" spans="1:15" ht="12.75" x14ac:dyDescent="0.2">
      <c r="A116" s="187"/>
      <c r="B116" s="42" t="str">
        <f ca="1">IF(A116="","",MAX($B$16:OFFSET(A116,-1,0))+1)</f>
        <v/>
      </c>
      <c r="C116" s="185"/>
      <c r="D116" s="184"/>
      <c r="E116" s="185"/>
      <c r="F116" s="185"/>
      <c r="G116" s="184"/>
      <c r="H116" s="185"/>
      <c r="I116" s="185"/>
      <c r="J116" s="185"/>
      <c r="K116" s="16">
        <f t="shared" si="8"/>
        <v>0</v>
      </c>
      <c r="L116" s="44" t="str">
        <f>IF(AND(COUNTBLANK(D$18:$D115)=0,COUNTBLANK(G$18:$G115)=0),$L$16&amp;$L$15,"дозаполнить")</f>
        <v>дозаполнить</v>
      </c>
      <c r="M116" s="25">
        <f t="shared" si="9"/>
        <v>0</v>
      </c>
      <c r="N116" s="25">
        <f t="shared" si="10"/>
        <v>0</v>
      </c>
      <c r="O116" s="101">
        <f t="shared" si="11"/>
        <v>0</v>
      </c>
    </row>
    <row r="117" spans="1:15" ht="12.75" x14ac:dyDescent="0.2">
      <c r="A117" s="187"/>
      <c r="B117" s="42" t="str">
        <f ca="1">IF(A117="","",MAX($B$16:OFFSET(A117,-1,0))+1)</f>
        <v/>
      </c>
      <c r="C117" s="185"/>
      <c r="D117" s="184"/>
      <c r="E117" s="185"/>
      <c r="F117" s="185"/>
      <c r="G117" s="184"/>
      <c r="H117" s="185"/>
      <c r="I117" s="185"/>
      <c r="J117" s="185"/>
      <c r="K117" s="16">
        <f t="shared" si="8"/>
        <v>0</v>
      </c>
      <c r="L117" s="44" t="str">
        <f>IF(AND(COUNTBLANK(D$18:$D116)=0,COUNTBLANK(G$18:$G116)=0),$L$16&amp;$L$15,"дозаполнить")</f>
        <v>дозаполнить</v>
      </c>
      <c r="M117" s="25">
        <f t="shared" si="9"/>
        <v>0</v>
      </c>
      <c r="N117" s="25">
        <f t="shared" si="10"/>
        <v>0</v>
      </c>
      <c r="O117" s="101">
        <f t="shared" si="11"/>
        <v>0</v>
      </c>
    </row>
    <row r="118" spans="1:15" ht="12.75" x14ac:dyDescent="0.2">
      <c r="A118" s="187"/>
      <c r="B118" s="42" t="str">
        <f ca="1">IF(A118="","",MAX($B$16:OFFSET(A118,-1,0))+1)</f>
        <v/>
      </c>
      <c r="C118" s="185"/>
      <c r="D118" s="184"/>
      <c r="E118" s="185"/>
      <c r="F118" s="185"/>
      <c r="G118" s="184"/>
      <c r="H118" s="185"/>
      <c r="I118" s="185"/>
      <c r="J118" s="185"/>
      <c r="K118" s="16">
        <f t="shared" si="8"/>
        <v>0</v>
      </c>
      <c r="L118" s="44" t="str">
        <f>IF(AND(COUNTBLANK(D$18:$D117)=0,COUNTBLANK(G$18:$G117)=0),$L$16&amp;$L$15,"дозаполнить")</f>
        <v>дозаполнить</v>
      </c>
      <c r="M118" s="25">
        <f t="shared" si="9"/>
        <v>0</v>
      </c>
      <c r="N118" s="25">
        <f t="shared" si="10"/>
        <v>0</v>
      </c>
      <c r="O118" s="101">
        <f t="shared" si="11"/>
        <v>0</v>
      </c>
    </row>
    <row r="119" spans="1:15" ht="12.75" x14ac:dyDescent="0.2">
      <c r="A119" s="187"/>
      <c r="B119" s="42" t="str">
        <f ca="1">IF(A119="","",MAX($B$16:OFFSET(A119,-1,0))+1)</f>
        <v/>
      </c>
      <c r="C119" s="185"/>
      <c r="D119" s="184"/>
      <c r="E119" s="185"/>
      <c r="F119" s="185"/>
      <c r="G119" s="184"/>
      <c r="H119" s="185"/>
      <c r="I119" s="185"/>
      <c r="J119" s="185"/>
      <c r="K119" s="16">
        <f t="shared" si="8"/>
        <v>0</v>
      </c>
      <c r="L119" s="44" t="str">
        <f>IF(AND(COUNTBLANK(D$18:$D118)=0,COUNTBLANK(G$18:$G118)=0),$L$16&amp;$L$15,"дозаполнить")</f>
        <v>дозаполнить</v>
      </c>
      <c r="M119" s="25">
        <f t="shared" si="9"/>
        <v>0</v>
      </c>
      <c r="N119" s="25">
        <f t="shared" si="10"/>
        <v>0</v>
      </c>
      <c r="O119" s="101">
        <f t="shared" si="11"/>
        <v>0</v>
      </c>
    </row>
    <row r="120" spans="1:15" ht="12.75" x14ac:dyDescent="0.2">
      <c r="A120" s="187"/>
      <c r="B120" s="42" t="str">
        <f ca="1">IF(A120="","",MAX($B$16:OFFSET(A120,-1,0))+1)</f>
        <v/>
      </c>
      <c r="C120" s="185"/>
      <c r="D120" s="184"/>
      <c r="E120" s="185"/>
      <c r="F120" s="185"/>
      <c r="G120" s="184"/>
      <c r="H120" s="185"/>
      <c r="I120" s="185"/>
      <c r="J120" s="185"/>
      <c r="K120" s="16">
        <f t="shared" si="8"/>
        <v>0</v>
      </c>
      <c r="L120" s="44" t="str">
        <f>IF(AND(COUNTBLANK(D$18:$D119)=0,COUNTBLANK(G$18:$G119)=0),$L$16&amp;$L$15,"дозаполнить")</f>
        <v>дозаполнить</v>
      </c>
      <c r="M120" s="25">
        <f t="shared" si="9"/>
        <v>0</v>
      </c>
      <c r="N120" s="25">
        <f t="shared" si="10"/>
        <v>0</v>
      </c>
      <c r="O120" s="101">
        <f t="shared" si="11"/>
        <v>0</v>
      </c>
    </row>
    <row r="121" spans="1:15" ht="12.75" x14ac:dyDescent="0.2">
      <c r="A121" s="187"/>
      <c r="B121" s="42" t="str">
        <f ca="1">IF(A121="","",MAX($B$16:OFFSET(A121,-1,0))+1)</f>
        <v/>
      </c>
      <c r="C121" s="185"/>
      <c r="D121" s="184"/>
      <c r="E121" s="185"/>
      <c r="F121" s="185"/>
      <c r="G121" s="184"/>
      <c r="H121" s="185"/>
      <c r="I121" s="185"/>
      <c r="J121" s="185"/>
      <c r="K121" s="16">
        <f t="shared" si="8"/>
        <v>0</v>
      </c>
      <c r="L121" s="44" t="str">
        <f>IF(AND(COUNTBLANK(D$18:$D120)=0,COUNTBLANK(G$18:$G120)=0),$L$16&amp;$L$15,"дозаполнить")</f>
        <v>дозаполнить</v>
      </c>
      <c r="M121" s="25">
        <f t="shared" si="9"/>
        <v>0</v>
      </c>
      <c r="N121" s="25">
        <f t="shared" si="10"/>
        <v>0</v>
      </c>
      <c r="O121" s="101">
        <f t="shared" si="11"/>
        <v>0</v>
      </c>
    </row>
    <row r="122" spans="1:15" ht="12.75" x14ac:dyDescent="0.2">
      <c r="A122" s="187"/>
      <c r="B122" s="42" t="str">
        <f ca="1">IF(A122="","",MAX($B$16:OFFSET(A122,-1,0))+1)</f>
        <v/>
      </c>
      <c r="C122" s="185"/>
      <c r="D122" s="184"/>
      <c r="E122" s="185"/>
      <c r="F122" s="185"/>
      <c r="G122" s="184"/>
      <c r="H122" s="185"/>
      <c r="I122" s="185"/>
      <c r="J122" s="185"/>
      <c r="K122" s="16">
        <f t="shared" si="8"/>
        <v>0</v>
      </c>
      <c r="L122" s="44" t="str">
        <f>IF(AND(COUNTBLANK(D$18:$D121)=0,COUNTBLANK(G$18:$G121)=0),$L$16&amp;$L$15,"дозаполнить")</f>
        <v>дозаполнить</v>
      </c>
      <c r="M122" s="25">
        <f t="shared" si="9"/>
        <v>0</v>
      </c>
      <c r="N122" s="25">
        <f t="shared" si="10"/>
        <v>0</v>
      </c>
      <c r="O122" s="101">
        <f t="shared" si="11"/>
        <v>0</v>
      </c>
    </row>
    <row r="123" spans="1:15" ht="12.75" x14ac:dyDescent="0.2">
      <c r="A123" s="187"/>
      <c r="B123" s="42" t="str">
        <f ca="1">IF(A123="","",MAX($B$16:OFFSET(A123,-1,0))+1)</f>
        <v/>
      </c>
      <c r="C123" s="185"/>
      <c r="D123" s="184"/>
      <c r="E123" s="185"/>
      <c r="F123" s="185"/>
      <c r="G123" s="184"/>
      <c r="H123" s="185"/>
      <c r="I123" s="185"/>
      <c r="J123" s="185"/>
      <c r="K123" s="16">
        <f t="shared" si="8"/>
        <v>0</v>
      </c>
      <c r="L123" s="44" t="str">
        <f>IF(AND(COUNTBLANK(D$18:$D122)=0,COUNTBLANK(G$18:$G122)=0),$L$16&amp;$L$15,"дозаполнить")</f>
        <v>дозаполнить</v>
      </c>
      <c r="M123" s="25">
        <f t="shared" si="9"/>
        <v>0</v>
      </c>
      <c r="N123" s="25">
        <f t="shared" si="10"/>
        <v>0</v>
      </c>
      <c r="O123" s="101">
        <f t="shared" si="11"/>
        <v>0</v>
      </c>
    </row>
    <row r="124" spans="1:15" ht="12.75" x14ac:dyDescent="0.2">
      <c r="A124" s="187"/>
      <c r="B124" s="42" t="str">
        <f ca="1">IF(A124="","",MAX($B$16:OFFSET(A124,-1,0))+1)</f>
        <v/>
      </c>
      <c r="C124" s="185"/>
      <c r="D124" s="184"/>
      <c r="E124" s="185"/>
      <c r="F124" s="185"/>
      <c r="G124" s="184"/>
      <c r="H124" s="185"/>
      <c r="I124" s="185"/>
      <c r="J124" s="185"/>
      <c r="K124" s="16">
        <f t="shared" si="8"/>
        <v>0</v>
      </c>
      <c r="L124" s="44" t="str">
        <f>IF(AND(COUNTBLANK(D$18:$D123)=0,COUNTBLANK(G$18:$G123)=0),$L$16&amp;$L$15,"дозаполнить")</f>
        <v>дозаполнить</v>
      </c>
      <c r="M124" s="25">
        <f t="shared" si="9"/>
        <v>0</v>
      </c>
      <c r="N124" s="25">
        <f t="shared" si="10"/>
        <v>0</v>
      </c>
      <c r="O124" s="101">
        <f t="shared" si="11"/>
        <v>0</v>
      </c>
    </row>
    <row r="125" spans="1:15" ht="12.75" x14ac:dyDescent="0.2">
      <c r="A125" s="187"/>
      <c r="B125" s="42" t="str">
        <f ca="1">IF(A125="","",MAX($B$16:OFFSET(A125,-1,0))+1)</f>
        <v/>
      </c>
      <c r="C125" s="185"/>
      <c r="D125" s="184"/>
      <c r="E125" s="185"/>
      <c r="F125" s="185"/>
      <c r="G125" s="184"/>
      <c r="H125" s="185"/>
      <c r="I125" s="185"/>
      <c r="J125" s="185"/>
      <c r="K125" s="16">
        <f t="shared" si="8"/>
        <v>0</v>
      </c>
      <c r="L125" s="44" t="str">
        <f>IF(AND(COUNTBLANK(D$18:$D124)=0,COUNTBLANK(G$18:$G124)=0),$L$16&amp;$L$15,"дозаполнить")</f>
        <v>дозаполнить</v>
      </c>
      <c r="M125" s="25">
        <f t="shared" si="9"/>
        <v>0</v>
      </c>
      <c r="N125" s="25">
        <f t="shared" si="10"/>
        <v>0</v>
      </c>
      <c r="O125" s="101">
        <f t="shared" si="11"/>
        <v>0</v>
      </c>
    </row>
    <row r="126" spans="1:15" ht="12.75" x14ac:dyDescent="0.2">
      <c r="A126" s="187"/>
      <c r="B126" s="42" t="str">
        <f ca="1">IF(A126="","",MAX($B$16:OFFSET(A126,-1,0))+1)</f>
        <v/>
      </c>
      <c r="C126" s="185"/>
      <c r="D126" s="184"/>
      <c r="E126" s="185"/>
      <c r="F126" s="185"/>
      <c r="G126" s="184"/>
      <c r="H126" s="185"/>
      <c r="I126" s="185"/>
      <c r="J126" s="185"/>
      <c r="K126" s="16">
        <f t="shared" si="8"/>
        <v>0</v>
      </c>
      <c r="L126" s="44" t="str">
        <f>IF(AND(COUNTBLANK(D$18:$D125)=0,COUNTBLANK(G$18:$G125)=0),$L$16&amp;$L$15,"дозаполнить")</f>
        <v>дозаполнить</v>
      </c>
      <c r="M126" s="25">
        <f t="shared" si="9"/>
        <v>0</v>
      </c>
      <c r="N126" s="25">
        <f t="shared" si="10"/>
        <v>0</v>
      </c>
      <c r="O126" s="101">
        <f t="shared" si="11"/>
        <v>0</v>
      </c>
    </row>
    <row r="127" spans="1:15" ht="12.75" x14ac:dyDescent="0.2">
      <c r="A127" s="187"/>
      <c r="B127" s="42" t="str">
        <f ca="1">IF(A127="","",MAX($B$16:OFFSET(A127,-1,0))+1)</f>
        <v/>
      </c>
      <c r="C127" s="185"/>
      <c r="D127" s="184"/>
      <c r="E127" s="185"/>
      <c r="F127" s="185"/>
      <c r="G127" s="184"/>
      <c r="H127" s="185"/>
      <c r="I127" s="185"/>
      <c r="J127" s="185"/>
      <c r="K127" s="16">
        <f t="shared" si="8"/>
        <v>0</v>
      </c>
      <c r="L127" s="44" t="str">
        <f>IF(AND(COUNTBLANK(D$18:$D126)=0,COUNTBLANK(G$18:$G126)=0),$L$16&amp;$L$15,"дозаполнить")</f>
        <v>дозаполнить</v>
      </c>
      <c r="M127" s="25">
        <f t="shared" si="9"/>
        <v>0</v>
      </c>
      <c r="N127" s="25">
        <f t="shared" si="10"/>
        <v>0</v>
      </c>
      <c r="O127" s="101">
        <f t="shared" si="11"/>
        <v>0</v>
      </c>
    </row>
    <row r="128" spans="1:15" ht="12.75" x14ac:dyDescent="0.2">
      <c r="A128" s="187"/>
      <c r="B128" s="42" t="str">
        <f ca="1">IF(A128="","",MAX($B$16:OFFSET(A128,-1,0))+1)</f>
        <v/>
      </c>
      <c r="C128" s="185"/>
      <c r="D128" s="184"/>
      <c r="E128" s="185"/>
      <c r="F128" s="185"/>
      <c r="G128" s="184"/>
      <c r="H128" s="185"/>
      <c r="I128" s="185"/>
      <c r="J128" s="185"/>
      <c r="K128" s="16">
        <f t="shared" si="8"/>
        <v>0</v>
      </c>
      <c r="L128" s="44" t="str">
        <f>IF(AND(COUNTBLANK(D$18:$D127)=0,COUNTBLANK(G$18:$G127)=0),$L$16&amp;$L$15,"дозаполнить")</f>
        <v>дозаполнить</v>
      </c>
      <c r="M128" s="25">
        <f t="shared" si="9"/>
        <v>0</v>
      </c>
      <c r="N128" s="25">
        <f t="shared" si="10"/>
        <v>0</v>
      </c>
      <c r="O128" s="101">
        <f t="shared" si="11"/>
        <v>0</v>
      </c>
    </row>
    <row r="129" spans="1:15" ht="12.75" x14ac:dyDescent="0.2">
      <c r="A129" s="187"/>
      <c r="B129" s="42" t="str">
        <f ca="1">IF(A129="","",MAX($B$16:OFFSET(A129,-1,0))+1)</f>
        <v/>
      </c>
      <c r="C129" s="185"/>
      <c r="D129" s="184"/>
      <c r="E129" s="185"/>
      <c r="F129" s="185"/>
      <c r="G129" s="184"/>
      <c r="H129" s="185"/>
      <c r="I129" s="185"/>
      <c r="J129" s="185"/>
      <c r="K129" s="16">
        <f t="shared" si="8"/>
        <v>0</v>
      </c>
      <c r="L129" s="44" t="str">
        <f>IF(AND(COUNTBLANK(D$18:$D128)=0,COUNTBLANK(G$18:$G128)=0),$L$16&amp;$L$15,"дозаполнить")</f>
        <v>дозаполнить</v>
      </c>
      <c r="M129" s="25">
        <f t="shared" si="9"/>
        <v>0</v>
      </c>
      <c r="N129" s="25">
        <f t="shared" si="10"/>
        <v>0</v>
      </c>
      <c r="O129" s="101">
        <f t="shared" si="11"/>
        <v>0</v>
      </c>
    </row>
    <row r="130" spans="1:15" ht="12.75" x14ac:dyDescent="0.2">
      <c r="A130" s="187"/>
      <c r="B130" s="42" t="str">
        <f ca="1">IF(A130="","",MAX($B$16:OFFSET(A130,-1,0))+1)</f>
        <v/>
      </c>
      <c r="C130" s="185"/>
      <c r="D130" s="184"/>
      <c r="E130" s="185"/>
      <c r="F130" s="185"/>
      <c r="G130" s="184"/>
      <c r="H130" s="185"/>
      <c r="I130" s="185"/>
      <c r="J130" s="185"/>
      <c r="K130" s="16">
        <f t="shared" si="8"/>
        <v>0</v>
      </c>
      <c r="L130" s="44" t="str">
        <f>IF(AND(COUNTBLANK(D$18:$D129)=0,COUNTBLANK(G$18:$G129)=0),$L$16&amp;$L$15,"дозаполнить")</f>
        <v>дозаполнить</v>
      </c>
      <c r="M130" s="25">
        <f t="shared" si="9"/>
        <v>0</v>
      </c>
      <c r="N130" s="25">
        <f t="shared" si="10"/>
        <v>0</v>
      </c>
      <c r="O130" s="101">
        <f t="shared" si="11"/>
        <v>0</v>
      </c>
    </row>
    <row r="131" spans="1:15" ht="12.75" x14ac:dyDescent="0.2">
      <c r="A131" s="187"/>
      <c r="B131" s="42" t="str">
        <f ca="1">IF(A131="","",MAX($B$16:OFFSET(A131,-1,0))+1)</f>
        <v/>
      </c>
      <c r="C131" s="185"/>
      <c r="D131" s="184"/>
      <c r="E131" s="185"/>
      <c r="F131" s="185"/>
      <c r="G131" s="184"/>
      <c r="H131" s="185"/>
      <c r="I131" s="185"/>
      <c r="J131" s="185"/>
      <c r="K131" s="16">
        <f t="shared" si="8"/>
        <v>0</v>
      </c>
      <c r="L131" s="44" t="str">
        <f>IF(AND(COUNTBLANK(D$18:$D130)=0,COUNTBLANK(G$18:$G130)=0),$L$16&amp;$L$15,"дозаполнить")</f>
        <v>дозаполнить</v>
      </c>
      <c r="M131" s="25">
        <f t="shared" si="9"/>
        <v>0</v>
      </c>
      <c r="N131" s="25">
        <f t="shared" si="10"/>
        <v>0</v>
      </c>
      <c r="O131" s="101">
        <f t="shared" si="11"/>
        <v>0</v>
      </c>
    </row>
    <row r="132" spans="1:15" ht="12.75" x14ac:dyDescent="0.2">
      <c r="A132" s="187"/>
      <c r="B132" s="42" t="str">
        <f ca="1">IF(A132="","",MAX($B$16:OFFSET(A132,-1,0))+1)</f>
        <v/>
      </c>
      <c r="C132" s="185"/>
      <c r="D132" s="184"/>
      <c r="E132" s="185"/>
      <c r="F132" s="185"/>
      <c r="G132" s="184"/>
      <c r="H132" s="185"/>
      <c r="I132" s="185"/>
      <c r="J132" s="185"/>
      <c r="K132" s="16">
        <f t="shared" si="8"/>
        <v>0</v>
      </c>
      <c r="L132" s="44" t="str">
        <f>IF(AND(COUNTBLANK(D$18:$D131)=0,COUNTBLANK(G$18:$G131)=0),$L$16&amp;$L$15,"дозаполнить")</f>
        <v>дозаполнить</v>
      </c>
      <c r="M132" s="25">
        <f t="shared" si="9"/>
        <v>0</v>
      </c>
      <c r="N132" s="25">
        <f t="shared" si="10"/>
        <v>0</v>
      </c>
      <c r="O132" s="101">
        <f t="shared" si="11"/>
        <v>0</v>
      </c>
    </row>
    <row r="133" spans="1:15" ht="12.75" x14ac:dyDescent="0.2">
      <c r="A133" s="187"/>
      <c r="B133" s="42" t="str">
        <f ca="1">IF(A133="","",MAX($B$16:OFFSET(A133,-1,0))+1)</f>
        <v/>
      </c>
      <c r="C133" s="185"/>
      <c r="D133" s="184"/>
      <c r="E133" s="185"/>
      <c r="F133" s="185"/>
      <c r="G133" s="184"/>
      <c r="H133" s="185"/>
      <c r="I133" s="185"/>
      <c r="J133" s="185"/>
      <c r="K133" s="16">
        <f t="shared" si="8"/>
        <v>0</v>
      </c>
      <c r="L133" s="44" t="str">
        <f>IF(AND(COUNTBLANK(D$18:$D132)=0,COUNTBLANK(G$18:$G132)=0),$L$16&amp;$L$15,"дозаполнить")</f>
        <v>дозаполнить</v>
      </c>
      <c r="M133" s="25">
        <f t="shared" si="9"/>
        <v>0</v>
      </c>
      <c r="N133" s="25">
        <f t="shared" si="10"/>
        <v>0</v>
      </c>
      <c r="O133" s="101">
        <f t="shared" si="11"/>
        <v>0</v>
      </c>
    </row>
    <row r="134" spans="1:15" ht="12.75" x14ac:dyDescent="0.2">
      <c r="A134" s="187"/>
      <c r="B134" s="42" t="str">
        <f ca="1">IF(A134="","",MAX($B$16:OFFSET(A134,-1,0))+1)</f>
        <v/>
      </c>
      <c r="C134" s="185"/>
      <c r="D134" s="184"/>
      <c r="E134" s="185"/>
      <c r="F134" s="185"/>
      <c r="G134" s="184"/>
      <c r="H134" s="185"/>
      <c r="I134" s="185"/>
      <c r="J134" s="185"/>
      <c r="K134" s="16">
        <f t="shared" si="8"/>
        <v>0</v>
      </c>
      <c r="L134" s="44" t="str">
        <f>IF(AND(COUNTBLANK(D$18:$D133)=0,COUNTBLANK(G$18:$G133)=0),$L$16&amp;$L$15,"дозаполнить")</f>
        <v>дозаполнить</v>
      </c>
      <c r="M134" s="25">
        <f t="shared" si="9"/>
        <v>0</v>
      </c>
      <c r="N134" s="25">
        <f t="shared" si="10"/>
        <v>0</v>
      </c>
      <c r="O134" s="101">
        <f t="shared" si="11"/>
        <v>0</v>
      </c>
    </row>
    <row r="135" spans="1:15" ht="12.75" x14ac:dyDescent="0.2">
      <c r="A135" s="187"/>
      <c r="B135" s="42" t="str">
        <f ca="1">IF(A135="","",MAX($B$16:OFFSET(A135,-1,0))+1)</f>
        <v/>
      </c>
      <c r="C135" s="185"/>
      <c r="D135" s="184"/>
      <c r="E135" s="185"/>
      <c r="F135" s="185"/>
      <c r="G135" s="184"/>
      <c r="H135" s="185"/>
      <c r="I135" s="185"/>
      <c r="J135" s="185"/>
      <c r="K135" s="16">
        <f t="shared" si="8"/>
        <v>0</v>
      </c>
      <c r="L135" s="44" t="str">
        <f>IF(AND(COUNTBLANK(D$18:$D134)=0,COUNTBLANK(G$18:$G134)=0),$L$16&amp;$L$15,"дозаполнить")</f>
        <v>дозаполнить</v>
      </c>
      <c r="M135" s="25">
        <f t="shared" si="9"/>
        <v>0</v>
      </c>
      <c r="N135" s="25">
        <f t="shared" si="10"/>
        <v>0</v>
      </c>
      <c r="O135" s="101">
        <f t="shared" si="11"/>
        <v>0</v>
      </c>
    </row>
    <row r="136" spans="1:15" ht="12.75" x14ac:dyDescent="0.2">
      <c r="A136" s="187"/>
      <c r="B136" s="42" t="str">
        <f ca="1">IF(A136="","",MAX($B$16:OFFSET(A136,-1,0))+1)</f>
        <v/>
      </c>
      <c r="C136" s="185"/>
      <c r="D136" s="184"/>
      <c r="E136" s="185"/>
      <c r="F136" s="185"/>
      <c r="G136" s="184"/>
      <c r="H136" s="185"/>
      <c r="I136" s="185"/>
      <c r="J136" s="185"/>
      <c r="K136" s="16">
        <f t="shared" si="8"/>
        <v>0</v>
      </c>
      <c r="L136" s="44" t="str">
        <f>IF(AND(COUNTBLANK(D$18:$D135)=0,COUNTBLANK(G$18:$G135)=0),$L$16&amp;$L$15,"дозаполнить")</f>
        <v>дозаполнить</v>
      </c>
      <c r="M136" s="25">
        <f t="shared" si="9"/>
        <v>0</v>
      </c>
      <c r="N136" s="25">
        <f t="shared" si="10"/>
        <v>0</v>
      </c>
      <c r="O136" s="101">
        <f t="shared" si="11"/>
        <v>0</v>
      </c>
    </row>
    <row r="137" spans="1:15" ht="12.75" x14ac:dyDescent="0.2">
      <c r="A137" s="187"/>
      <c r="B137" s="42" t="str">
        <f ca="1">IF(A137="","",MAX($B$16:OFFSET(A137,-1,0))+1)</f>
        <v/>
      </c>
      <c r="C137" s="185"/>
      <c r="D137" s="184"/>
      <c r="E137" s="185"/>
      <c r="F137" s="185"/>
      <c r="G137" s="184"/>
      <c r="H137" s="185"/>
      <c r="I137" s="185"/>
      <c r="J137" s="185"/>
      <c r="K137" s="16">
        <f t="shared" si="8"/>
        <v>0</v>
      </c>
      <c r="L137" s="44" t="str">
        <f>IF(AND(COUNTBLANK(D$18:$D136)=0,COUNTBLANK(G$18:$G136)=0),$L$16&amp;$L$15,"дозаполнить")</f>
        <v>дозаполнить</v>
      </c>
      <c r="M137" s="25">
        <f t="shared" si="9"/>
        <v>0</v>
      </c>
      <c r="N137" s="25">
        <f t="shared" si="10"/>
        <v>0</v>
      </c>
      <c r="O137" s="101">
        <f t="shared" si="11"/>
        <v>0</v>
      </c>
    </row>
    <row r="138" spans="1:15" ht="12.75" x14ac:dyDescent="0.2">
      <c r="A138" s="187"/>
      <c r="B138" s="42" t="str">
        <f ca="1">IF(A138="","",MAX($B$16:OFFSET(A138,-1,0))+1)</f>
        <v/>
      </c>
      <c r="C138" s="185"/>
      <c r="D138" s="184"/>
      <c r="E138" s="185"/>
      <c r="F138" s="185"/>
      <c r="G138" s="184"/>
      <c r="H138" s="185"/>
      <c r="I138" s="185"/>
      <c r="J138" s="185"/>
      <c r="K138" s="16">
        <f t="shared" si="8"/>
        <v>0</v>
      </c>
      <c r="L138" s="44" t="str">
        <f>IF(AND(COUNTBLANK(D$18:$D137)=0,COUNTBLANK(G$18:$G137)=0),$L$16&amp;$L$15,"дозаполнить")</f>
        <v>дозаполнить</v>
      </c>
      <c r="M138" s="25">
        <f t="shared" si="9"/>
        <v>0</v>
      </c>
      <c r="N138" s="25">
        <f t="shared" si="10"/>
        <v>0</v>
      </c>
      <c r="O138" s="101">
        <f t="shared" si="11"/>
        <v>0</v>
      </c>
    </row>
    <row r="139" spans="1:15" ht="12.75" x14ac:dyDescent="0.2">
      <c r="A139" s="187"/>
      <c r="B139" s="42" t="str">
        <f ca="1">IF(A139="","",MAX($B$16:OFFSET(A139,-1,0))+1)</f>
        <v/>
      </c>
      <c r="C139" s="185"/>
      <c r="D139" s="184"/>
      <c r="E139" s="185"/>
      <c r="F139" s="185"/>
      <c r="G139" s="184"/>
      <c r="H139" s="185"/>
      <c r="I139" s="185"/>
      <c r="J139" s="185"/>
      <c r="K139" s="16">
        <f t="shared" si="8"/>
        <v>0</v>
      </c>
      <c r="L139" s="44" t="str">
        <f>IF(AND(COUNTBLANK(D$18:$D138)=0,COUNTBLANK(G$18:$G138)=0),$L$16&amp;$L$15,"дозаполнить")</f>
        <v>дозаполнить</v>
      </c>
      <c r="M139" s="25">
        <f t="shared" si="9"/>
        <v>0</v>
      </c>
      <c r="N139" s="25">
        <f t="shared" si="10"/>
        <v>0</v>
      </c>
      <c r="O139" s="101">
        <f t="shared" si="11"/>
        <v>0</v>
      </c>
    </row>
    <row r="140" spans="1:15" ht="12.75" x14ac:dyDescent="0.2">
      <c r="A140" s="187"/>
      <c r="B140" s="42" t="str">
        <f ca="1">IF(A140="","",MAX($B$16:OFFSET(A140,-1,0))+1)</f>
        <v/>
      </c>
      <c r="C140" s="185"/>
      <c r="D140" s="184"/>
      <c r="E140" s="185"/>
      <c r="F140" s="185"/>
      <c r="G140" s="184"/>
      <c r="H140" s="185"/>
      <c r="I140" s="185"/>
      <c r="J140" s="185"/>
      <c r="K140" s="16">
        <f t="shared" si="8"/>
        <v>0</v>
      </c>
      <c r="L140" s="44" t="str">
        <f>IF(AND(COUNTBLANK(D$18:$D139)=0,COUNTBLANK(G$18:$G139)=0),$L$16&amp;$L$15,"дозаполнить")</f>
        <v>дозаполнить</v>
      </c>
      <c r="M140" s="25">
        <f t="shared" si="9"/>
        <v>0</v>
      </c>
      <c r="N140" s="25">
        <f t="shared" si="10"/>
        <v>0</v>
      </c>
      <c r="O140" s="101">
        <f t="shared" si="11"/>
        <v>0</v>
      </c>
    </row>
    <row r="141" spans="1:15" ht="12.75" x14ac:dyDescent="0.2">
      <c r="A141" s="187"/>
      <c r="B141" s="42" t="str">
        <f ca="1">IF(A141="","",MAX($B$16:OFFSET(A141,-1,0))+1)</f>
        <v/>
      </c>
      <c r="C141" s="185"/>
      <c r="D141" s="184"/>
      <c r="E141" s="185"/>
      <c r="F141" s="185"/>
      <c r="G141" s="184"/>
      <c r="H141" s="185"/>
      <c r="I141" s="185"/>
      <c r="J141" s="185"/>
      <c r="K141" s="16">
        <f t="shared" si="8"/>
        <v>0</v>
      </c>
      <c r="L141" s="44" t="str">
        <f>IF(AND(COUNTBLANK(D$18:$D140)=0,COUNTBLANK(G$18:$G140)=0),$L$16&amp;$L$15,"дозаполнить")</f>
        <v>дозаполнить</v>
      </c>
      <c r="M141" s="25">
        <f t="shared" si="9"/>
        <v>0</v>
      </c>
      <c r="N141" s="25">
        <f t="shared" si="10"/>
        <v>0</v>
      </c>
      <c r="O141" s="101">
        <f t="shared" si="11"/>
        <v>0</v>
      </c>
    </row>
    <row r="142" spans="1:15" ht="12.75" x14ac:dyDescent="0.2">
      <c r="A142" s="187"/>
      <c r="B142" s="42" t="str">
        <f ca="1">IF(A142="","",MAX($B$16:OFFSET(A142,-1,0))+1)</f>
        <v/>
      </c>
      <c r="C142" s="185"/>
      <c r="D142" s="184"/>
      <c r="E142" s="185"/>
      <c r="F142" s="185"/>
      <c r="G142" s="184"/>
      <c r="H142" s="185"/>
      <c r="I142" s="185"/>
      <c r="J142" s="185"/>
      <c r="K142" s="16">
        <f t="shared" si="8"/>
        <v>0</v>
      </c>
      <c r="L142" s="44" t="str">
        <f>IF(AND(COUNTBLANK(D$18:$D141)=0,COUNTBLANK(G$18:$G141)=0),$L$16&amp;$L$15,"дозаполнить")</f>
        <v>дозаполнить</v>
      </c>
      <c r="M142" s="25">
        <f t="shared" si="9"/>
        <v>0</v>
      </c>
      <c r="N142" s="25">
        <f t="shared" si="10"/>
        <v>0</v>
      </c>
      <c r="O142" s="101">
        <f t="shared" si="11"/>
        <v>0</v>
      </c>
    </row>
    <row r="143" spans="1:15" ht="12.75" x14ac:dyDescent="0.2">
      <c r="A143" s="187"/>
      <c r="B143" s="42" t="str">
        <f ca="1">IF(A143="","",MAX($B$16:OFFSET(A143,-1,0))+1)</f>
        <v/>
      </c>
      <c r="C143" s="180"/>
      <c r="D143" s="184"/>
      <c r="E143" s="180"/>
      <c r="F143" s="180"/>
      <c r="G143" s="184"/>
      <c r="H143" s="180"/>
      <c r="I143" s="180"/>
      <c r="J143" s="185"/>
      <c r="K143" s="16">
        <f t="shared" si="0"/>
        <v>0</v>
      </c>
      <c r="L143" s="44" t="str">
        <f>IF(AND(COUNTBLANK(D$18:$D142)=0,COUNTBLANK(G$18:$G142)=0),$L$16&amp;$L$15,"дозаполнить")</f>
        <v>дозаполнить</v>
      </c>
      <c r="M143" s="25">
        <f t="shared" si="1"/>
        <v>0</v>
      </c>
      <c r="N143" s="25">
        <f t="shared" si="2"/>
        <v>0</v>
      </c>
      <c r="O143" s="101">
        <f t="shared" si="3"/>
        <v>0</v>
      </c>
    </row>
    <row r="144" spans="1:15" ht="12.75" x14ac:dyDescent="0.2">
      <c r="A144" s="187"/>
      <c r="B144" s="42" t="str">
        <f ca="1">IF(A144="","",MAX($B$16:OFFSET(A144,-1,0))+1)</f>
        <v/>
      </c>
      <c r="C144" s="180"/>
      <c r="D144" s="184"/>
      <c r="E144" s="180"/>
      <c r="F144" s="180"/>
      <c r="G144" s="184"/>
      <c r="H144" s="180"/>
      <c r="I144" s="180"/>
      <c r="J144" s="185"/>
      <c r="K144" s="16">
        <f t="shared" si="0"/>
        <v>0</v>
      </c>
      <c r="L144" s="44" t="str">
        <f>IF(AND(COUNTBLANK(D$18:$D143)=0,COUNTBLANK(G$18:$G143)=0),$L$16&amp;$L$15,"дозаполнить")</f>
        <v>дозаполнить</v>
      </c>
      <c r="M144" s="25">
        <f t="shared" si="1"/>
        <v>0</v>
      </c>
      <c r="N144" s="25">
        <f t="shared" si="2"/>
        <v>0</v>
      </c>
      <c r="O144" s="101">
        <f t="shared" si="3"/>
        <v>0</v>
      </c>
    </row>
    <row r="145" spans="1:15" ht="12.75" x14ac:dyDescent="0.2">
      <c r="A145" s="187"/>
      <c r="B145" s="42" t="str">
        <f ca="1">IF(A145="","",MAX($B$16:OFFSET(A145,-1,0))+1)</f>
        <v/>
      </c>
      <c r="C145" s="180"/>
      <c r="D145" s="184"/>
      <c r="E145" s="180"/>
      <c r="F145" s="180"/>
      <c r="G145" s="184"/>
      <c r="H145" s="180"/>
      <c r="I145" s="180"/>
      <c r="J145" s="185"/>
      <c r="K145" s="16">
        <f t="shared" si="0"/>
        <v>0</v>
      </c>
      <c r="L145" s="44" t="str">
        <f>IF(AND(COUNTBLANK(D$18:$D144)=0,COUNTBLANK(G$18:$G144)=0),$L$16&amp;$L$15,"дозаполнить")</f>
        <v>дозаполнить</v>
      </c>
      <c r="M145" s="25">
        <f t="shared" si="1"/>
        <v>0</v>
      </c>
      <c r="N145" s="25">
        <f t="shared" si="2"/>
        <v>0</v>
      </c>
      <c r="O145" s="101">
        <f t="shared" si="3"/>
        <v>0</v>
      </c>
    </row>
    <row r="146" spans="1:15" ht="12.75" x14ac:dyDescent="0.2">
      <c r="A146" s="187"/>
      <c r="B146" s="42" t="str">
        <f ca="1">IF(A146="","",MAX($B$16:OFFSET(A146,-1,0))+1)</f>
        <v/>
      </c>
      <c r="C146" s="180"/>
      <c r="D146" s="184"/>
      <c r="E146" s="180"/>
      <c r="F146" s="180"/>
      <c r="G146" s="184"/>
      <c r="H146" s="180"/>
      <c r="I146" s="180"/>
      <c r="J146" s="185"/>
      <c r="K146" s="16">
        <f t="shared" si="0"/>
        <v>0</v>
      </c>
      <c r="L146" s="44" t="str">
        <f>IF(AND(COUNTBLANK(D$18:$D145)=0,COUNTBLANK(G$18:$G145)=0),$L$16&amp;$L$15,"дозаполнить")</f>
        <v>дозаполнить</v>
      </c>
      <c r="M146" s="25">
        <f t="shared" si="1"/>
        <v>0</v>
      </c>
      <c r="N146" s="25">
        <f t="shared" si="2"/>
        <v>0</v>
      </c>
      <c r="O146" s="101">
        <f t="shared" si="3"/>
        <v>0</v>
      </c>
    </row>
    <row r="147" spans="1:15" ht="12.75" x14ac:dyDescent="0.2">
      <c r="A147" s="187"/>
      <c r="B147" s="42" t="str">
        <f ca="1">IF(A147="","",MAX($B$16:OFFSET(A147,-1,0))+1)</f>
        <v/>
      </c>
      <c r="C147" s="180"/>
      <c r="D147" s="184"/>
      <c r="E147" s="180"/>
      <c r="F147" s="180"/>
      <c r="G147" s="184"/>
      <c r="H147" s="180"/>
      <c r="I147" s="180"/>
      <c r="J147" s="185"/>
      <c r="K147" s="16">
        <f t="shared" si="0"/>
        <v>0</v>
      </c>
      <c r="L147" s="44" t="str">
        <f>IF(AND(COUNTBLANK(D$18:$D146)=0,COUNTBLANK(G$18:$G146)=0),$L$16&amp;$L$15,"дозаполнить")</f>
        <v>дозаполнить</v>
      </c>
      <c r="M147" s="25">
        <f t="shared" si="1"/>
        <v>0</v>
      </c>
      <c r="N147" s="25">
        <f t="shared" si="2"/>
        <v>0</v>
      </c>
      <c r="O147" s="101">
        <f t="shared" si="3"/>
        <v>0</v>
      </c>
    </row>
    <row r="148" spans="1:15" ht="12.75" x14ac:dyDescent="0.2">
      <c r="A148" s="187"/>
      <c r="B148" s="42" t="str">
        <f ca="1">IF(A148="","",MAX($B$16:OFFSET(A148,-1,0))+1)</f>
        <v/>
      </c>
      <c r="C148" s="180"/>
      <c r="D148" s="184"/>
      <c r="E148" s="180"/>
      <c r="F148" s="180"/>
      <c r="G148" s="184"/>
      <c r="H148" s="180"/>
      <c r="I148" s="180"/>
      <c r="J148" s="185"/>
      <c r="K148" s="16">
        <f t="shared" si="0"/>
        <v>0</v>
      </c>
      <c r="L148" s="44" t="str">
        <f>IF(AND(COUNTBLANK(D$18:$D147)=0,COUNTBLANK(G$18:$G147)=0),$L$16&amp;$L$15,"дозаполнить")</f>
        <v>дозаполнить</v>
      </c>
      <c r="M148" s="25">
        <f t="shared" si="1"/>
        <v>0</v>
      </c>
      <c r="N148" s="25">
        <f t="shared" si="2"/>
        <v>0</v>
      </c>
      <c r="O148" s="101">
        <f t="shared" si="3"/>
        <v>0</v>
      </c>
    </row>
    <row r="149" spans="1:15" ht="12.75" x14ac:dyDescent="0.2">
      <c r="A149" s="187"/>
      <c r="B149" s="42" t="str">
        <f ca="1">IF(A149="","",MAX($B$16:OFFSET(A149,-1,0))+1)</f>
        <v/>
      </c>
      <c r="C149" s="180"/>
      <c r="D149" s="184"/>
      <c r="E149" s="180"/>
      <c r="F149" s="180"/>
      <c r="G149" s="184"/>
      <c r="H149" s="180"/>
      <c r="I149" s="180"/>
      <c r="J149" s="185"/>
      <c r="K149" s="16">
        <f t="shared" si="0"/>
        <v>0</v>
      </c>
      <c r="L149" s="44" t="str">
        <f>IF(AND(COUNTBLANK(D$18:$D148)=0,COUNTBLANK(G$18:$G148)=0),$L$16&amp;$L$15,"дозаполнить")</f>
        <v>дозаполнить</v>
      </c>
      <c r="M149" s="25">
        <f t="shared" si="1"/>
        <v>0</v>
      </c>
      <c r="N149" s="25">
        <f t="shared" si="2"/>
        <v>0</v>
      </c>
      <c r="O149" s="101">
        <f t="shared" si="3"/>
        <v>0</v>
      </c>
    </row>
    <row r="150" spans="1:15" ht="12.75" x14ac:dyDescent="0.2">
      <c r="A150" s="187"/>
      <c r="B150" s="42" t="str">
        <f ca="1">IF(A150="","",MAX($B$16:OFFSET(A150,-1,0))+1)</f>
        <v/>
      </c>
      <c r="C150" s="180"/>
      <c r="D150" s="184"/>
      <c r="E150" s="180"/>
      <c r="F150" s="180"/>
      <c r="G150" s="184"/>
      <c r="H150" s="180"/>
      <c r="I150" s="180"/>
      <c r="J150" s="185"/>
      <c r="K150" s="16">
        <f t="shared" si="0"/>
        <v>0</v>
      </c>
      <c r="L150" s="44" t="str">
        <f>IF(AND(COUNTBLANK(D$18:$D149)=0,COUNTBLANK(G$18:$G149)=0),$L$16&amp;$L$15,"дозаполнить")</f>
        <v>дозаполнить</v>
      </c>
      <c r="M150" s="25">
        <f t="shared" si="1"/>
        <v>0</v>
      </c>
      <c r="N150" s="25">
        <f t="shared" si="2"/>
        <v>0</v>
      </c>
      <c r="O150" s="101">
        <f t="shared" si="3"/>
        <v>0</v>
      </c>
    </row>
    <row r="151" spans="1:15" ht="12.75" x14ac:dyDescent="0.2">
      <c r="A151" s="187"/>
      <c r="B151" s="42" t="str">
        <f ca="1">IF(A151="","",MAX($B$16:OFFSET(A151,-1,0))+1)</f>
        <v/>
      </c>
      <c r="C151" s="180"/>
      <c r="D151" s="184"/>
      <c r="E151" s="180"/>
      <c r="F151" s="180"/>
      <c r="G151" s="184"/>
      <c r="H151" s="180"/>
      <c r="I151" s="180"/>
      <c r="J151" s="185"/>
      <c r="K151" s="16">
        <f t="shared" si="0"/>
        <v>0</v>
      </c>
      <c r="L151" s="44" t="str">
        <f>IF(AND(COUNTBLANK(D$18:$D150)=0,COUNTBLANK(G$18:$G150)=0),$L$16&amp;$L$15,"дозаполнить")</f>
        <v>дозаполнить</v>
      </c>
      <c r="M151" s="25">
        <f t="shared" si="1"/>
        <v>0</v>
      </c>
      <c r="N151" s="25">
        <f t="shared" si="2"/>
        <v>0</v>
      </c>
      <c r="O151" s="101">
        <f t="shared" si="3"/>
        <v>0</v>
      </c>
    </row>
    <row r="152" spans="1:15" ht="12.75" x14ac:dyDescent="0.2">
      <c r="A152" s="187"/>
      <c r="B152" s="42" t="str">
        <f ca="1">IF(A152="","",MAX($B$16:OFFSET(A152,-1,0))+1)</f>
        <v/>
      </c>
      <c r="C152" s="180"/>
      <c r="D152" s="184"/>
      <c r="E152" s="180"/>
      <c r="F152" s="180"/>
      <c r="G152" s="184"/>
      <c r="H152" s="180"/>
      <c r="I152" s="180"/>
      <c r="J152" s="185"/>
      <c r="K152" s="16">
        <f t="shared" si="0"/>
        <v>0</v>
      </c>
      <c r="L152" s="44" t="str">
        <f>IF(AND(COUNTBLANK(D$18:$D151)=0,COUNTBLANK(G$18:$G151)=0),$L$16&amp;$L$15,"дозаполнить")</f>
        <v>дозаполнить</v>
      </c>
      <c r="M152" s="25">
        <f t="shared" si="1"/>
        <v>0</v>
      </c>
      <c r="N152" s="25">
        <f t="shared" si="2"/>
        <v>0</v>
      </c>
      <c r="O152" s="101">
        <f t="shared" si="3"/>
        <v>0</v>
      </c>
    </row>
    <row r="153" spans="1:15" ht="12.75" x14ac:dyDescent="0.2">
      <c r="A153" s="187"/>
      <c r="B153" s="42" t="str">
        <f ca="1">IF(A153="","",MAX($B$16:OFFSET(A153,-1,0))+1)</f>
        <v/>
      </c>
      <c r="C153" s="180"/>
      <c r="D153" s="184"/>
      <c r="E153" s="180"/>
      <c r="F153" s="180"/>
      <c r="G153" s="184"/>
      <c r="H153" s="180"/>
      <c r="I153" s="180"/>
      <c r="J153" s="185"/>
      <c r="K153" s="16">
        <f t="shared" si="0"/>
        <v>0</v>
      </c>
      <c r="L153" s="44" t="str">
        <f>IF(AND(COUNTBLANK(D$18:$D152)=0,COUNTBLANK(G$18:$G152)=0),$L$16&amp;$L$15,"дозаполнить")</f>
        <v>дозаполнить</v>
      </c>
      <c r="M153" s="25">
        <f t="shared" si="1"/>
        <v>0</v>
      </c>
      <c r="N153" s="25">
        <f t="shared" si="2"/>
        <v>0</v>
      </c>
      <c r="O153" s="101">
        <f t="shared" si="3"/>
        <v>0</v>
      </c>
    </row>
    <row r="154" spans="1:15" ht="12.75" x14ac:dyDescent="0.2">
      <c r="A154" s="187"/>
      <c r="B154" s="42" t="str">
        <f ca="1">IF(A154="","",MAX($B$16:OFFSET(A154,-1,0))+1)</f>
        <v/>
      </c>
      <c r="C154" s="180"/>
      <c r="D154" s="184"/>
      <c r="E154" s="180"/>
      <c r="F154" s="180"/>
      <c r="G154" s="184"/>
      <c r="H154" s="180"/>
      <c r="I154" s="180"/>
      <c r="J154" s="185"/>
      <c r="K154" s="16">
        <f t="shared" si="0"/>
        <v>0</v>
      </c>
      <c r="L154" s="44" t="str">
        <f>IF(AND(COUNTBLANK(D$18:$D153)=0,COUNTBLANK(G$18:$G153)=0),$L$16&amp;$L$15,"дозаполнить")</f>
        <v>дозаполнить</v>
      </c>
      <c r="M154" s="25">
        <f t="shared" si="1"/>
        <v>0</v>
      </c>
      <c r="N154" s="25">
        <f t="shared" si="2"/>
        <v>0</v>
      </c>
      <c r="O154" s="101">
        <f t="shared" si="3"/>
        <v>0</v>
      </c>
    </row>
    <row r="155" spans="1:15" ht="12.75" x14ac:dyDescent="0.2">
      <c r="A155" s="187"/>
      <c r="B155" s="42" t="str">
        <f ca="1">IF(A155="","",MAX($B$16:OFFSET(A155,-1,0))+1)</f>
        <v/>
      </c>
      <c r="C155" s="180"/>
      <c r="D155" s="184"/>
      <c r="E155" s="180"/>
      <c r="F155" s="180"/>
      <c r="G155" s="184"/>
      <c r="H155" s="180"/>
      <c r="I155" s="180"/>
      <c r="J155" s="185"/>
      <c r="K155" s="16">
        <f t="shared" si="0"/>
        <v>0</v>
      </c>
      <c r="L155" s="44" t="str">
        <f>IF(AND(COUNTBLANK(D$18:$D154)=0,COUNTBLANK(G$18:$G154)=0),$L$16&amp;$L$15,"дозаполнить")</f>
        <v>дозаполнить</v>
      </c>
      <c r="M155" s="25">
        <f t="shared" si="1"/>
        <v>0</v>
      </c>
      <c r="N155" s="25">
        <f t="shared" si="2"/>
        <v>0</v>
      </c>
      <c r="O155" s="101">
        <f t="shared" si="3"/>
        <v>0</v>
      </c>
    </row>
    <row r="156" spans="1:15" ht="12.75" x14ac:dyDescent="0.2">
      <c r="A156" s="187"/>
      <c r="B156" s="42" t="str">
        <f ca="1">IF(A156="","",MAX($B$16:OFFSET(A156,-1,0))+1)</f>
        <v/>
      </c>
      <c r="C156" s="180"/>
      <c r="D156" s="184"/>
      <c r="E156" s="180"/>
      <c r="F156" s="180"/>
      <c r="G156" s="184"/>
      <c r="H156" s="180"/>
      <c r="I156" s="180"/>
      <c r="J156" s="185"/>
      <c r="K156" s="16">
        <f t="shared" si="0"/>
        <v>0</v>
      </c>
      <c r="L156" s="44" t="str">
        <f>IF(AND(COUNTBLANK(D$18:$D155)=0,COUNTBLANK(G$18:$G155)=0),$L$16&amp;$L$15,"дозаполнить")</f>
        <v>дозаполнить</v>
      </c>
      <c r="M156" s="25">
        <f t="shared" si="1"/>
        <v>0</v>
      </c>
      <c r="N156" s="25">
        <f t="shared" si="2"/>
        <v>0</v>
      </c>
      <c r="O156" s="101">
        <f t="shared" si="3"/>
        <v>0</v>
      </c>
    </row>
    <row r="157" spans="1:15" ht="12.75" x14ac:dyDescent="0.2">
      <c r="A157" s="187"/>
      <c r="B157" s="42" t="str">
        <f ca="1">IF(A157="","",MAX($B$16:OFFSET(A157,-1,0))+1)</f>
        <v/>
      </c>
      <c r="C157" s="180"/>
      <c r="D157" s="184"/>
      <c r="E157" s="180"/>
      <c r="F157" s="180"/>
      <c r="G157" s="184"/>
      <c r="H157" s="180"/>
      <c r="I157" s="180"/>
      <c r="J157" s="185"/>
      <c r="K157" s="16">
        <f t="shared" si="0"/>
        <v>0</v>
      </c>
      <c r="L157" s="44" t="str">
        <f>IF(AND(COUNTBLANK(D$18:$D156)=0,COUNTBLANK(G$18:$G156)=0),$L$16&amp;$L$15,"дозаполнить")</f>
        <v>дозаполнить</v>
      </c>
      <c r="M157" s="25">
        <f t="shared" si="1"/>
        <v>0</v>
      </c>
      <c r="N157" s="25">
        <f t="shared" si="2"/>
        <v>0</v>
      </c>
      <c r="O157" s="101">
        <f t="shared" si="3"/>
        <v>0</v>
      </c>
    </row>
    <row r="158" spans="1:15" ht="12.75" x14ac:dyDescent="0.2">
      <c r="A158" s="187"/>
      <c r="B158" s="42" t="str">
        <f ca="1">IF(A158="","",MAX($B$16:OFFSET(A158,-1,0))+1)</f>
        <v/>
      </c>
      <c r="C158" s="180"/>
      <c r="D158" s="184"/>
      <c r="E158" s="180"/>
      <c r="F158" s="180"/>
      <c r="G158" s="184"/>
      <c r="H158" s="180"/>
      <c r="I158" s="180"/>
      <c r="J158" s="185"/>
      <c r="K158" s="16">
        <f t="shared" si="0"/>
        <v>0</v>
      </c>
      <c r="L158" s="44" t="str">
        <f>IF(AND(COUNTBLANK(D$18:$D157)=0,COUNTBLANK(G$18:$G157)=0),$L$16&amp;$L$15,"дозаполнить")</f>
        <v>дозаполнить</v>
      </c>
      <c r="M158" s="25">
        <f t="shared" si="1"/>
        <v>0</v>
      </c>
      <c r="N158" s="25">
        <f t="shared" si="2"/>
        <v>0</v>
      </c>
      <c r="O158" s="101">
        <f t="shared" si="3"/>
        <v>0</v>
      </c>
    </row>
    <row r="159" spans="1:15" ht="12.75" x14ac:dyDescent="0.2">
      <c r="A159" s="187"/>
      <c r="B159" s="42" t="str">
        <f ca="1">IF(A159="","",MAX($B$16:OFFSET(A159,-1,0))+1)</f>
        <v/>
      </c>
      <c r="C159" s="180"/>
      <c r="D159" s="184"/>
      <c r="E159" s="180"/>
      <c r="F159" s="180"/>
      <c r="G159" s="184"/>
      <c r="H159" s="180"/>
      <c r="I159" s="180"/>
      <c r="J159" s="185"/>
      <c r="K159" s="16">
        <f t="shared" si="0"/>
        <v>0</v>
      </c>
      <c r="L159" s="44" t="str">
        <f>IF(AND(COUNTBLANK(D$18:$D158)=0,COUNTBLANK(G$18:$G158)=0),$L$16&amp;$L$15,"дозаполнить")</f>
        <v>дозаполнить</v>
      </c>
      <c r="M159" s="25">
        <f t="shared" si="1"/>
        <v>0</v>
      </c>
      <c r="N159" s="25">
        <f t="shared" si="2"/>
        <v>0</v>
      </c>
      <c r="O159" s="101">
        <f t="shared" si="3"/>
        <v>0</v>
      </c>
    </row>
    <row r="160" spans="1:15" ht="12.75" x14ac:dyDescent="0.2">
      <c r="A160" s="187"/>
      <c r="B160" s="42" t="str">
        <f ca="1">IF(A160="","",MAX($B$16:OFFSET(A160,-1,0))+1)</f>
        <v/>
      </c>
      <c r="C160" s="180"/>
      <c r="D160" s="184"/>
      <c r="E160" s="180"/>
      <c r="F160" s="180"/>
      <c r="G160" s="184"/>
      <c r="H160" s="180"/>
      <c r="I160" s="180"/>
      <c r="J160" s="185"/>
      <c r="K160" s="16">
        <f t="shared" si="0"/>
        <v>0</v>
      </c>
      <c r="L160" s="44" t="str">
        <f>IF(AND(COUNTBLANK(D$18:$D159)=0,COUNTBLANK(G$18:$G159)=0),$L$16&amp;$L$15,"дозаполнить")</f>
        <v>дозаполнить</v>
      </c>
      <c r="M160" s="25">
        <f t="shared" si="1"/>
        <v>0</v>
      </c>
      <c r="N160" s="25">
        <f t="shared" si="2"/>
        <v>0</v>
      </c>
      <c r="O160" s="101">
        <f t="shared" si="3"/>
        <v>0</v>
      </c>
    </row>
    <row r="161" spans="1:15" ht="12.75" x14ac:dyDescent="0.2">
      <c r="A161" s="187"/>
      <c r="B161" s="42" t="str">
        <f ca="1">IF(A161="","",MAX($B$16:OFFSET(A161,-1,0))+1)</f>
        <v/>
      </c>
      <c r="C161" s="180"/>
      <c r="D161" s="184"/>
      <c r="E161" s="180"/>
      <c r="F161" s="180"/>
      <c r="G161" s="184"/>
      <c r="H161" s="180"/>
      <c r="I161" s="180"/>
      <c r="J161" s="185"/>
      <c r="K161" s="16">
        <f t="shared" si="0"/>
        <v>0</v>
      </c>
      <c r="L161" s="44" t="str">
        <f>IF(AND(COUNTBLANK(D$18:$D160)=0,COUNTBLANK(G$18:$G160)=0),$L$16&amp;$L$15,"дозаполнить")</f>
        <v>дозаполнить</v>
      </c>
      <c r="M161" s="25">
        <f t="shared" si="1"/>
        <v>0</v>
      </c>
      <c r="N161" s="25">
        <f t="shared" si="2"/>
        <v>0</v>
      </c>
      <c r="O161" s="101">
        <f t="shared" si="3"/>
        <v>0</v>
      </c>
    </row>
    <row r="162" spans="1:15" ht="12.75" x14ac:dyDescent="0.2">
      <c r="A162" s="187"/>
      <c r="B162" s="42" t="str">
        <f ca="1">IF(A162="","",MAX($B$16:OFFSET(A162,-1,0))+1)</f>
        <v/>
      </c>
      <c r="C162" s="178"/>
      <c r="D162" s="184"/>
      <c r="E162" s="180"/>
      <c r="F162" s="180"/>
      <c r="G162" s="184"/>
      <c r="H162" s="180"/>
      <c r="I162" s="180"/>
      <c r="J162" s="185"/>
      <c r="K162" s="16">
        <f t="shared" si="0"/>
        <v>0</v>
      </c>
      <c r="L162" s="44" t="str">
        <f>IF(AND(COUNTBLANK(D$18:$D161)=0,COUNTBLANK(G$18:$G161)=0),$L$16&amp;$L$15,"дозаполнить")</f>
        <v>дозаполнить</v>
      </c>
      <c r="M162" s="25">
        <f t="shared" si="1"/>
        <v>0</v>
      </c>
      <c r="N162" s="25">
        <f t="shared" si="2"/>
        <v>0</v>
      </c>
      <c r="O162" s="101">
        <f t="shared" si="3"/>
        <v>0</v>
      </c>
    </row>
    <row r="163" spans="1:15" ht="12.75" x14ac:dyDescent="0.2">
      <c r="A163" s="187"/>
      <c r="B163" s="42" t="str">
        <f ca="1">IF(A163="","",MAX($B$16:OFFSET(A163,-1,0))+1)</f>
        <v/>
      </c>
      <c r="C163" s="178"/>
      <c r="D163" s="184"/>
      <c r="E163" s="180"/>
      <c r="F163" s="180"/>
      <c r="G163" s="184"/>
      <c r="H163" s="180"/>
      <c r="I163" s="180"/>
      <c r="J163" s="185"/>
      <c r="K163" s="16">
        <f t="shared" si="0"/>
        <v>0</v>
      </c>
      <c r="L163" s="44" t="str">
        <f>IF(AND(COUNTBLANK(D$18:$D162)=0,COUNTBLANK(G$18:$G162)=0),$L$16&amp;$L$15,"дозаполнить")</f>
        <v>дозаполнить</v>
      </c>
      <c r="M163" s="25">
        <f t="shared" si="1"/>
        <v>0</v>
      </c>
      <c r="N163" s="25">
        <f t="shared" si="2"/>
        <v>0</v>
      </c>
      <c r="O163" s="101">
        <f t="shared" si="3"/>
        <v>0</v>
      </c>
    </row>
    <row r="164" spans="1:15" ht="12.75" x14ac:dyDescent="0.2">
      <c r="A164" s="187"/>
      <c r="B164" s="42" t="str">
        <f ca="1">IF(A164="","",MAX($B$16:OFFSET(A164,-1,0))+1)</f>
        <v/>
      </c>
      <c r="C164" s="178"/>
      <c r="D164" s="184"/>
      <c r="E164" s="180"/>
      <c r="F164" s="180"/>
      <c r="G164" s="184"/>
      <c r="H164" s="180"/>
      <c r="I164" s="180"/>
      <c r="J164" s="185"/>
      <c r="K164" s="16">
        <f t="shared" si="0"/>
        <v>0</v>
      </c>
      <c r="L164" s="44" t="str">
        <f>IF(AND(COUNTBLANK(D$18:$D163)=0,COUNTBLANK(G$18:$G163)=0),$L$16&amp;$L$15,"дозаполнить")</f>
        <v>дозаполнить</v>
      </c>
      <c r="M164" s="25">
        <f t="shared" si="1"/>
        <v>0</v>
      </c>
      <c r="N164" s="25">
        <f t="shared" si="2"/>
        <v>0</v>
      </c>
      <c r="O164" s="101">
        <f t="shared" si="3"/>
        <v>0</v>
      </c>
    </row>
    <row r="165" spans="1:15" ht="12.75" x14ac:dyDescent="0.2">
      <c r="A165" s="187"/>
      <c r="B165" s="42" t="str">
        <f ca="1">IF(A165="","",MAX($B$16:OFFSET(A165,-1,0))+1)</f>
        <v/>
      </c>
      <c r="C165" s="178"/>
      <c r="D165" s="184"/>
      <c r="E165" s="180"/>
      <c r="F165" s="180"/>
      <c r="G165" s="184"/>
      <c r="H165" s="180"/>
      <c r="I165" s="180"/>
      <c r="J165" s="185"/>
      <c r="K165" s="16">
        <f t="shared" si="0"/>
        <v>0</v>
      </c>
      <c r="L165" s="44" t="str">
        <f>IF(AND(COUNTBLANK(D$18:$D164)=0,COUNTBLANK(G$18:$G164)=0),$L$16&amp;$L$15,"дозаполнить")</f>
        <v>дозаполнить</v>
      </c>
      <c r="M165" s="25">
        <f t="shared" si="1"/>
        <v>0</v>
      </c>
      <c r="N165" s="25">
        <f t="shared" si="2"/>
        <v>0</v>
      </c>
      <c r="O165" s="101">
        <f t="shared" si="3"/>
        <v>0</v>
      </c>
    </row>
    <row r="166" spans="1:15" ht="12.75" x14ac:dyDescent="0.2">
      <c r="A166" s="187"/>
      <c r="B166" s="42" t="str">
        <f ca="1">IF(A166="","",MAX($B$16:OFFSET(A166,-1,0))+1)</f>
        <v/>
      </c>
      <c r="C166" s="178"/>
      <c r="D166" s="184"/>
      <c r="E166" s="180"/>
      <c r="F166" s="180"/>
      <c r="G166" s="184"/>
      <c r="H166" s="180"/>
      <c r="I166" s="180"/>
      <c r="J166" s="185"/>
      <c r="K166" s="16">
        <f t="shared" si="0"/>
        <v>0</v>
      </c>
      <c r="L166" s="44" t="str">
        <f>IF(AND(COUNTBLANK(D$18:$D165)=0,COUNTBLANK(G$18:$G165)=0),$L$16&amp;$L$15,"дозаполнить")</f>
        <v>дозаполнить</v>
      </c>
      <c r="M166" s="25">
        <f t="shared" si="1"/>
        <v>0</v>
      </c>
      <c r="N166" s="25">
        <f t="shared" si="2"/>
        <v>0</v>
      </c>
      <c r="O166" s="101">
        <f t="shared" si="3"/>
        <v>0</v>
      </c>
    </row>
    <row r="167" spans="1:15" ht="12.75" x14ac:dyDescent="0.2">
      <c r="A167" s="187"/>
      <c r="B167" s="42" t="str">
        <f ca="1">IF(A167="","",MAX($B$16:OFFSET(A167,-1,0))+1)</f>
        <v/>
      </c>
      <c r="C167" s="178"/>
      <c r="D167" s="184"/>
      <c r="E167" s="180"/>
      <c r="F167" s="180"/>
      <c r="G167" s="184"/>
      <c r="H167" s="180"/>
      <c r="I167" s="180"/>
      <c r="J167" s="185"/>
      <c r="K167" s="16">
        <f t="shared" si="0"/>
        <v>0</v>
      </c>
      <c r="L167" s="44" t="str">
        <f>IF(AND(COUNTBLANK(D$18:$D166)=0,COUNTBLANK(G$18:$G166)=0),$L$16&amp;$L$15,"дозаполнить")</f>
        <v>дозаполнить</v>
      </c>
      <c r="M167" s="25">
        <f t="shared" si="1"/>
        <v>0</v>
      </c>
      <c r="N167" s="25">
        <f t="shared" si="2"/>
        <v>0</v>
      </c>
      <c r="O167" s="101">
        <f t="shared" si="3"/>
        <v>0</v>
      </c>
    </row>
    <row r="168" spans="1:15" ht="12.75" x14ac:dyDescent="0.2">
      <c r="A168" s="187"/>
      <c r="B168" s="42" t="str">
        <f ca="1">IF(A168="","",MAX($B$16:OFFSET(A168,-1,0))+1)</f>
        <v/>
      </c>
      <c r="C168" s="120"/>
      <c r="D168" s="184"/>
      <c r="E168" s="15"/>
      <c r="F168" s="15"/>
      <c r="G168" s="184"/>
      <c r="H168" s="15"/>
      <c r="I168" s="15"/>
      <c r="J168" s="185"/>
      <c r="K168" s="16">
        <f t="shared" si="0"/>
        <v>0</v>
      </c>
      <c r="L168" s="44" t="str">
        <f>IF(AND(COUNTBLANK(D$18:$D167)=0,COUNTBLANK(G$18:$G167)=0),$L$16&amp;$L$15,"дозаполнить")</f>
        <v>дозаполнить</v>
      </c>
      <c r="M168" s="25">
        <f t="shared" si="1"/>
        <v>0</v>
      </c>
      <c r="N168" s="25">
        <f t="shared" si="2"/>
        <v>0</v>
      </c>
      <c r="O168" s="101">
        <f t="shared" si="3"/>
        <v>0</v>
      </c>
    </row>
    <row r="169" spans="1:15" ht="12.75" x14ac:dyDescent="0.2">
      <c r="A169" s="187"/>
      <c r="B169" s="42" t="str">
        <f ca="1">IF(A169="","",MAX($B$16:OFFSET(A169,-1,0))+1)</f>
        <v/>
      </c>
      <c r="C169" s="120"/>
      <c r="D169" s="184"/>
      <c r="E169" s="15"/>
      <c r="F169" s="15"/>
      <c r="G169" s="184"/>
      <c r="H169" s="15"/>
      <c r="I169" s="15"/>
      <c r="J169" s="185"/>
      <c r="K169" s="16">
        <f t="shared" si="0"/>
        <v>0</v>
      </c>
      <c r="L169" s="44" t="str">
        <f>IF(AND(COUNTBLANK(D$18:$D168)=0,COUNTBLANK(G$18:$G168)=0),$L$16&amp;$L$15,"дозаполнить")</f>
        <v>дозаполнить</v>
      </c>
      <c r="M169" s="25">
        <f t="shared" si="1"/>
        <v>0</v>
      </c>
      <c r="N169" s="25">
        <f t="shared" si="2"/>
        <v>0</v>
      </c>
      <c r="O169" s="101">
        <f t="shared" si="3"/>
        <v>0</v>
      </c>
    </row>
    <row r="170" spans="1:15" ht="12.75" x14ac:dyDescent="0.2">
      <c r="A170" s="187"/>
      <c r="B170" s="42" t="str">
        <f ca="1">IF(A170="","",MAX($B$16:OFFSET(A170,-1,0))+1)</f>
        <v/>
      </c>
      <c r="C170" s="120"/>
      <c r="D170" s="184"/>
      <c r="E170" s="15"/>
      <c r="F170" s="15"/>
      <c r="G170" s="184"/>
      <c r="H170" s="15"/>
      <c r="I170" s="15"/>
      <c r="J170" s="185"/>
      <c r="K170" s="16">
        <f t="shared" si="0"/>
        <v>0</v>
      </c>
      <c r="L170" s="44" t="str">
        <f>IF(AND(COUNTBLANK(D$18:$D169)=0,COUNTBLANK(G$18:$G169)=0),$L$16&amp;$L$15,"дозаполнить")</f>
        <v>дозаполнить</v>
      </c>
      <c r="M170" s="25">
        <f t="shared" si="1"/>
        <v>0</v>
      </c>
      <c r="N170" s="25">
        <f t="shared" si="2"/>
        <v>0</v>
      </c>
      <c r="O170" s="101">
        <f t="shared" si="3"/>
        <v>0</v>
      </c>
    </row>
    <row r="171" spans="1:15" ht="12.75" x14ac:dyDescent="0.2">
      <c r="A171" s="187"/>
      <c r="B171" s="42" t="str">
        <f ca="1">IF(A171="","",MAX($B$16:OFFSET(A171,-1,0))+1)</f>
        <v/>
      </c>
      <c r="C171" s="120"/>
      <c r="D171" s="184"/>
      <c r="E171" s="15"/>
      <c r="F171" s="15"/>
      <c r="G171" s="184"/>
      <c r="H171" s="15"/>
      <c r="I171" s="15"/>
      <c r="J171" s="185"/>
      <c r="K171" s="16">
        <f t="shared" si="0"/>
        <v>0</v>
      </c>
      <c r="L171" s="44" t="str">
        <f>IF(AND(COUNTBLANK(D$18:$D170)=0,COUNTBLANK(G$18:$G170)=0),$L$16&amp;$L$15,"дозаполнить")</f>
        <v>дозаполнить</v>
      </c>
      <c r="M171" s="25">
        <f t="shared" si="1"/>
        <v>0</v>
      </c>
      <c r="N171" s="25">
        <f t="shared" si="2"/>
        <v>0</v>
      </c>
      <c r="O171" s="101">
        <f t="shared" si="3"/>
        <v>0</v>
      </c>
    </row>
    <row r="172" spans="1:15" ht="12.75" x14ac:dyDescent="0.2">
      <c r="A172" s="187"/>
      <c r="B172" s="42" t="str">
        <f ca="1">IF(A172="","",MAX($B$16:OFFSET(A172,-1,0))+1)</f>
        <v/>
      </c>
      <c r="C172" s="120"/>
      <c r="D172" s="184"/>
      <c r="E172" s="15"/>
      <c r="F172" s="15"/>
      <c r="G172" s="184"/>
      <c r="H172" s="15"/>
      <c r="I172" s="15"/>
      <c r="J172" s="185"/>
      <c r="K172" s="16">
        <f t="shared" si="0"/>
        <v>0</v>
      </c>
      <c r="L172" s="44" t="str">
        <f>IF(AND(COUNTBLANK(D$18:$D171)=0,COUNTBLANK(G$18:$G171)=0),$L$16&amp;$L$15,"дозаполнить")</f>
        <v>дозаполнить</v>
      </c>
      <c r="M172" s="25">
        <f t="shared" si="1"/>
        <v>0</v>
      </c>
      <c r="N172" s="25">
        <f t="shared" si="2"/>
        <v>0</v>
      </c>
      <c r="O172" s="101">
        <f t="shared" si="3"/>
        <v>0</v>
      </c>
    </row>
    <row r="173" spans="1:15" ht="12.75" x14ac:dyDescent="0.2">
      <c r="A173" s="187"/>
      <c r="B173" s="42" t="str">
        <f ca="1">IF(A173="","",MAX($B$16:OFFSET(A173,-1,0))+1)</f>
        <v/>
      </c>
      <c r="C173" s="120"/>
      <c r="D173" s="184"/>
      <c r="E173" s="15"/>
      <c r="F173" s="15"/>
      <c r="G173" s="184"/>
      <c r="H173" s="15"/>
      <c r="I173" s="15"/>
      <c r="J173" s="185"/>
      <c r="K173" s="16">
        <f t="shared" si="0"/>
        <v>0</v>
      </c>
      <c r="L173" s="44" t="str">
        <f>IF(AND(COUNTBLANK(D$18:$D172)=0,COUNTBLANK(G$18:$G172)=0),$L$16&amp;$L$15,"дозаполнить")</f>
        <v>дозаполнить</v>
      </c>
      <c r="M173" s="25">
        <f t="shared" si="1"/>
        <v>0</v>
      </c>
      <c r="N173" s="25">
        <f t="shared" si="2"/>
        <v>0</v>
      </c>
      <c r="O173" s="101">
        <f t="shared" si="3"/>
        <v>0</v>
      </c>
    </row>
    <row r="174" spans="1:15" ht="12.75" x14ac:dyDescent="0.2">
      <c r="A174" s="187"/>
      <c r="B174" s="42" t="str">
        <f ca="1">IF(A174="","",MAX($B$16:OFFSET(A174,-1,0))+1)</f>
        <v/>
      </c>
      <c r="C174" s="120"/>
      <c r="D174" s="184"/>
      <c r="E174" s="15"/>
      <c r="F174" s="15"/>
      <c r="G174" s="184"/>
      <c r="H174" s="15"/>
      <c r="I174" s="15"/>
      <c r="J174" s="185"/>
      <c r="K174" s="16">
        <f t="shared" si="0"/>
        <v>0</v>
      </c>
      <c r="L174" s="44" t="str">
        <f>IF(AND(COUNTBLANK(D$18:$D173)=0,COUNTBLANK(G$18:$G173)=0),$L$16&amp;$L$15,"дозаполнить")</f>
        <v>дозаполнить</v>
      </c>
      <c r="M174" s="25">
        <f t="shared" si="1"/>
        <v>0</v>
      </c>
      <c r="N174" s="25">
        <f t="shared" si="2"/>
        <v>0</v>
      </c>
      <c r="O174" s="101">
        <f t="shared" si="3"/>
        <v>0</v>
      </c>
    </row>
    <row r="175" spans="1:15" ht="12.75" x14ac:dyDescent="0.2">
      <c r="A175" s="187"/>
      <c r="B175" s="42" t="str">
        <f ca="1">IF(A175="","",MAX($B$16:OFFSET(A175,-1,0))+1)</f>
        <v/>
      </c>
      <c r="C175" s="120"/>
      <c r="D175" s="184"/>
      <c r="E175" s="15"/>
      <c r="F175" s="15"/>
      <c r="G175" s="184"/>
      <c r="H175" s="15"/>
      <c r="I175" s="15"/>
      <c r="J175" s="185"/>
      <c r="K175" s="16">
        <f t="shared" si="0"/>
        <v>0</v>
      </c>
      <c r="L175" s="44" t="str">
        <f>IF(AND(COUNTBLANK(D$18:$D174)=0,COUNTBLANK(G$18:$G174)=0),$L$16&amp;$L$15,"дозаполнить")</f>
        <v>дозаполнить</v>
      </c>
      <c r="M175" s="25">
        <f t="shared" si="1"/>
        <v>0</v>
      </c>
      <c r="N175" s="25">
        <f t="shared" si="2"/>
        <v>0</v>
      </c>
      <c r="O175" s="101">
        <f t="shared" si="3"/>
        <v>0</v>
      </c>
    </row>
    <row r="176" spans="1:15" ht="12.75" x14ac:dyDescent="0.2">
      <c r="A176" s="187"/>
      <c r="B176" s="42" t="str">
        <f ca="1">IF(A176="","",MAX($B$16:OFFSET(A176,-1,0))+1)</f>
        <v/>
      </c>
      <c r="C176" s="120"/>
      <c r="D176" s="184"/>
      <c r="E176" s="15"/>
      <c r="F176" s="15"/>
      <c r="G176" s="184"/>
      <c r="H176" s="15"/>
      <c r="I176" s="15"/>
      <c r="J176" s="185"/>
      <c r="K176" s="16">
        <f t="shared" si="0"/>
        <v>0</v>
      </c>
      <c r="L176" s="44" t="str">
        <f>IF(AND(COUNTBLANK(D$18:$D175)=0,COUNTBLANK(G$18:$G175)=0),$L$16&amp;$L$15,"дозаполнить")</f>
        <v>дозаполнить</v>
      </c>
      <c r="M176" s="25">
        <f t="shared" si="1"/>
        <v>0</v>
      </c>
      <c r="N176" s="25">
        <f t="shared" si="2"/>
        <v>0</v>
      </c>
      <c r="O176" s="101">
        <f t="shared" si="3"/>
        <v>0</v>
      </c>
    </row>
    <row r="177" spans="1:15" ht="12.75" x14ac:dyDescent="0.2">
      <c r="A177" s="187"/>
      <c r="B177" s="42" t="str">
        <f ca="1">IF(A177="","",MAX($B$16:OFFSET(A177,-1,0))+1)</f>
        <v/>
      </c>
      <c r="C177" s="120"/>
      <c r="D177" s="184"/>
      <c r="E177" s="15"/>
      <c r="F177" s="15"/>
      <c r="G177" s="184"/>
      <c r="H177" s="15"/>
      <c r="I177" s="15"/>
      <c r="J177" s="185"/>
      <c r="K177" s="16">
        <f t="shared" si="0"/>
        <v>0</v>
      </c>
      <c r="L177" s="44" t="str">
        <f>IF(AND(COUNTBLANK(D$18:$D176)=0,COUNTBLANK(G$18:$G176)=0),$L$16&amp;$L$15,"дозаполнить")</f>
        <v>дозаполнить</v>
      </c>
      <c r="M177" s="25">
        <f t="shared" si="1"/>
        <v>0</v>
      </c>
      <c r="N177" s="25">
        <f t="shared" si="2"/>
        <v>0</v>
      </c>
      <c r="O177" s="101">
        <f t="shared" si="3"/>
        <v>0</v>
      </c>
    </row>
    <row r="178" spans="1:15" ht="12.75" x14ac:dyDescent="0.2">
      <c r="A178" s="187"/>
      <c r="B178" s="42" t="str">
        <f ca="1">IF(A178="","",MAX($B$16:OFFSET(A178,-1,0))+1)</f>
        <v/>
      </c>
      <c r="C178" s="120"/>
      <c r="D178" s="184"/>
      <c r="E178" s="15"/>
      <c r="F178" s="15"/>
      <c r="G178" s="184"/>
      <c r="H178" s="15"/>
      <c r="I178" s="15"/>
      <c r="J178" s="185"/>
      <c r="K178" s="16">
        <f t="shared" si="0"/>
        <v>0</v>
      </c>
      <c r="L178" s="44" t="str">
        <f>IF(AND(COUNTBLANK(D$18:$D177)=0,COUNTBLANK(G$18:$G177)=0),$L$16&amp;$L$15,"дозаполнить")</f>
        <v>дозаполнить</v>
      </c>
      <c r="M178" s="25">
        <f t="shared" si="1"/>
        <v>0</v>
      </c>
      <c r="N178" s="25">
        <f t="shared" si="2"/>
        <v>0</v>
      </c>
      <c r="O178" s="101">
        <f t="shared" si="3"/>
        <v>0</v>
      </c>
    </row>
    <row r="179" spans="1:15" ht="12.75" x14ac:dyDescent="0.2">
      <c r="A179" s="187"/>
      <c r="B179" s="42" t="str">
        <f ca="1">IF(A179="","",MAX($B$16:OFFSET(A179,-1,0))+1)</f>
        <v/>
      </c>
      <c r="C179" s="120"/>
      <c r="D179" s="184"/>
      <c r="E179" s="15"/>
      <c r="F179" s="15"/>
      <c r="G179" s="184"/>
      <c r="H179" s="15"/>
      <c r="I179" s="15"/>
      <c r="J179" s="185"/>
      <c r="K179" s="16">
        <f t="shared" si="0"/>
        <v>0</v>
      </c>
      <c r="L179" s="44" t="str">
        <f>IF(AND(COUNTBLANK(D$18:$D178)=0,COUNTBLANK(G$18:$G178)=0),$L$16&amp;$L$15,"дозаполнить")</f>
        <v>дозаполнить</v>
      </c>
      <c r="M179" s="25">
        <f t="shared" si="1"/>
        <v>0</v>
      </c>
      <c r="N179" s="25">
        <f t="shared" si="2"/>
        <v>0</v>
      </c>
      <c r="O179" s="101">
        <f t="shared" si="3"/>
        <v>0</v>
      </c>
    </row>
    <row r="180" spans="1:15" ht="12.75" x14ac:dyDescent="0.2">
      <c r="A180" s="187"/>
      <c r="B180" s="42" t="str">
        <f ca="1">IF(A180="","",MAX($B$16:OFFSET(A180,-1,0))+1)</f>
        <v/>
      </c>
      <c r="C180" s="120"/>
      <c r="D180" s="184"/>
      <c r="E180" s="15"/>
      <c r="F180" s="15"/>
      <c r="G180" s="184"/>
      <c r="H180" s="15"/>
      <c r="I180" s="15"/>
      <c r="J180" s="185"/>
      <c r="K180" s="16">
        <f t="shared" si="0"/>
        <v>0</v>
      </c>
      <c r="L180" s="44" t="str">
        <f>IF(AND(COUNTBLANK(D$18:$D179)=0,COUNTBLANK(G$18:$G179)=0),$L$16&amp;$L$15,"дозаполнить")</f>
        <v>дозаполнить</v>
      </c>
      <c r="M180" s="25">
        <f t="shared" si="1"/>
        <v>0</v>
      </c>
      <c r="N180" s="25">
        <f t="shared" si="2"/>
        <v>0</v>
      </c>
      <c r="O180" s="101">
        <f t="shared" si="3"/>
        <v>0</v>
      </c>
    </row>
    <row r="181" spans="1:15" ht="12.75" x14ac:dyDescent="0.2">
      <c r="A181" s="187"/>
      <c r="B181" s="42" t="str">
        <f ca="1">IF(A181="","",MAX($B$16:OFFSET(A181,-1,0))+1)</f>
        <v/>
      </c>
      <c r="C181" s="120"/>
      <c r="D181" s="184"/>
      <c r="E181" s="15"/>
      <c r="F181" s="15"/>
      <c r="G181" s="184"/>
      <c r="H181" s="15"/>
      <c r="I181" s="15"/>
      <c r="J181" s="185"/>
      <c r="K181" s="16">
        <f t="shared" si="0"/>
        <v>0</v>
      </c>
      <c r="L181" s="44" t="str">
        <f>IF(AND(COUNTBLANK(D$18:$D180)=0,COUNTBLANK(G$18:$G180)=0),$L$16&amp;$L$15,"дозаполнить")</f>
        <v>дозаполнить</v>
      </c>
      <c r="M181" s="25">
        <f t="shared" si="1"/>
        <v>0</v>
      </c>
      <c r="N181" s="25">
        <f t="shared" si="2"/>
        <v>0</v>
      </c>
      <c r="O181" s="101">
        <f t="shared" si="3"/>
        <v>0</v>
      </c>
    </row>
    <row r="182" spans="1:15" ht="12.75" x14ac:dyDescent="0.2">
      <c r="A182" s="187"/>
      <c r="B182" s="42" t="str">
        <f ca="1">IF(A182="","",MAX($B$16:OFFSET(A182,-1,0))+1)</f>
        <v/>
      </c>
      <c r="C182" s="120"/>
      <c r="D182" s="184"/>
      <c r="E182" s="15"/>
      <c r="F182" s="15"/>
      <c r="G182" s="184"/>
      <c r="H182" s="15"/>
      <c r="I182" s="15"/>
      <c r="J182" s="185"/>
      <c r="K182" s="16">
        <f t="shared" si="0"/>
        <v>0</v>
      </c>
      <c r="L182" s="44" t="str">
        <f>IF(AND(COUNTBLANK(D$18:$D181)=0,COUNTBLANK(G$18:$G181)=0),$L$16&amp;$L$15,"дозаполнить")</f>
        <v>дозаполнить</v>
      </c>
      <c r="M182" s="25">
        <f t="shared" si="1"/>
        <v>0</v>
      </c>
      <c r="N182" s="25">
        <f t="shared" si="2"/>
        <v>0</v>
      </c>
      <c r="O182" s="101">
        <f t="shared" si="3"/>
        <v>0</v>
      </c>
    </row>
    <row r="183" spans="1:15" ht="12.75" x14ac:dyDescent="0.2">
      <c r="A183" s="187"/>
      <c r="B183" s="42" t="str">
        <f ca="1">IF(A183="","",MAX($B$16:OFFSET(A183,-1,0))+1)</f>
        <v/>
      </c>
      <c r="C183" s="120"/>
      <c r="D183" s="184"/>
      <c r="E183" s="15"/>
      <c r="F183" s="15"/>
      <c r="G183" s="184"/>
      <c r="H183" s="15"/>
      <c r="I183" s="15"/>
      <c r="J183" s="185"/>
      <c r="K183" s="16">
        <f t="shared" si="0"/>
        <v>0</v>
      </c>
      <c r="L183" s="44" t="str">
        <f>IF(AND(COUNTBLANK(D$18:$D182)=0,COUNTBLANK(G$18:$G182)=0),$L$16&amp;$L$15,"дозаполнить")</f>
        <v>дозаполнить</v>
      </c>
      <c r="M183" s="25">
        <f t="shared" si="1"/>
        <v>0</v>
      </c>
      <c r="N183" s="25">
        <f t="shared" si="2"/>
        <v>0</v>
      </c>
      <c r="O183" s="101">
        <f t="shared" si="3"/>
        <v>0</v>
      </c>
    </row>
    <row r="184" spans="1:15" ht="12.75" x14ac:dyDescent="0.2">
      <c r="A184" s="187"/>
      <c r="B184" s="42" t="str">
        <f ca="1">IF(A184="","",MAX($B$16:OFFSET(A184,-1,0))+1)</f>
        <v/>
      </c>
      <c r="C184" s="120"/>
      <c r="D184" s="184"/>
      <c r="E184" s="15"/>
      <c r="F184" s="15"/>
      <c r="G184" s="184"/>
      <c r="H184" s="15"/>
      <c r="I184" s="15"/>
      <c r="J184" s="185"/>
      <c r="K184" s="16">
        <f t="shared" si="0"/>
        <v>0</v>
      </c>
      <c r="L184" s="44" t="str">
        <f>IF(AND(COUNTBLANK(D$18:$D183)=0,COUNTBLANK(G$18:$G183)=0),$L$16&amp;$L$15,"дозаполнить")</f>
        <v>дозаполнить</v>
      </c>
      <c r="M184" s="25">
        <f t="shared" si="1"/>
        <v>0</v>
      </c>
      <c r="N184" s="25">
        <f t="shared" si="2"/>
        <v>0</v>
      </c>
      <c r="O184" s="101">
        <f t="shared" si="3"/>
        <v>0</v>
      </c>
    </row>
    <row r="185" spans="1:15" ht="12.75" x14ac:dyDescent="0.2">
      <c r="A185" s="187"/>
      <c r="B185" s="42" t="str">
        <f ca="1">IF(A185="","",MAX($B$16:OFFSET(A185,-1,0))+1)</f>
        <v/>
      </c>
      <c r="C185" s="120"/>
      <c r="D185" s="184"/>
      <c r="E185" s="15"/>
      <c r="F185" s="15"/>
      <c r="G185" s="184"/>
      <c r="H185" s="15"/>
      <c r="I185" s="15"/>
      <c r="J185" s="185"/>
      <c r="K185" s="16">
        <f t="shared" si="0"/>
        <v>0</v>
      </c>
      <c r="L185" s="44" t="str">
        <f>IF(AND(COUNTBLANK(D$18:$D184)=0,COUNTBLANK(G$18:$G184)=0),$L$16&amp;$L$15,"дозаполнить")</f>
        <v>дозаполнить</v>
      </c>
      <c r="M185" s="25">
        <f t="shared" si="1"/>
        <v>0</v>
      </c>
      <c r="N185" s="25">
        <f t="shared" si="2"/>
        <v>0</v>
      </c>
      <c r="O185" s="101">
        <f t="shared" si="3"/>
        <v>0</v>
      </c>
    </row>
    <row r="186" spans="1:15" ht="12.75" x14ac:dyDescent="0.2">
      <c r="A186" s="187"/>
      <c r="B186" s="42" t="str">
        <f ca="1">IF(A186="","",MAX($B$16:OFFSET(A186,-1,0))+1)</f>
        <v/>
      </c>
      <c r="C186" s="120"/>
      <c r="D186" s="184"/>
      <c r="E186" s="15"/>
      <c r="F186" s="15"/>
      <c r="G186" s="184"/>
      <c r="H186" s="15"/>
      <c r="I186" s="15"/>
      <c r="J186" s="185"/>
      <c r="K186" s="16">
        <f t="shared" si="0"/>
        <v>0</v>
      </c>
      <c r="L186" s="44" t="str">
        <f>IF(AND(COUNTBLANK(D$18:$D185)=0,COUNTBLANK(G$18:$G185)=0),$L$16&amp;$L$15,"дозаполнить")</f>
        <v>дозаполнить</v>
      </c>
      <c r="M186" s="25">
        <f t="shared" si="1"/>
        <v>0</v>
      </c>
      <c r="N186" s="25">
        <f t="shared" si="2"/>
        <v>0</v>
      </c>
      <c r="O186" s="101">
        <f t="shared" si="3"/>
        <v>0</v>
      </c>
    </row>
    <row r="187" spans="1:15" ht="12.75" x14ac:dyDescent="0.2">
      <c r="A187" s="187"/>
      <c r="B187" s="42" t="str">
        <f ca="1">IF(A187="","",MAX($B$16:OFFSET(A187,-1,0))+1)</f>
        <v/>
      </c>
      <c r="C187" s="120"/>
      <c r="D187" s="184"/>
      <c r="E187" s="15"/>
      <c r="F187" s="15"/>
      <c r="G187" s="184"/>
      <c r="H187" s="15"/>
      <c r="I187" s="15"/>
      <c r="J187" s="185"/>
      <c r="K187" s="16">
        <f t="shared" si="0"/>
        <v>0</v>
      </c>
      <c r="L187" s="44" t="str">
        <f>IF(AND(COUNTBLANK(D$18:$D186)=0,COUNTBLANK(G$18:$G186)=0),$L$16&amp;$L$15,"дозаполнить")</f>
        <v>дозаполнить</v>
      </c>
      <c r="M187" s="25">
        <f t="shared" si="1"/>
        <v>0</v>
      </c>
      <c r="N187" s="25">
        <f t="shared" si="2"/>
        <v>0</v>
      </c>
      <c r="O187" s="101">
        <f t="shared" si="3"/>
        <v>0</v>
      </c>
    </row>
    <row r="188" spans="1:15" ht="12.75" x14ac:dyDescent="0.2">
      <c r="A188" s="187"/>
      <c r="B188" s="42" t="str">
        <f ca="1">IF(A188="","",MAX($B$16:OFFSET(A188,-1,0))+1)</f>
        <v/>
      </c>
      <c r="C188" s="120"/>
      <c r="D188" s="184"/>
      <c r="E188" s="15"/>
      <c r="F188" s="15"/>
      <c r="G188" s="184"/>
      <c r="H188" s="15"/>
      <c r="I188" s="15"/>
      <c r="J188" s="185"/>
      <c r="K188" s="16">
        <f t="shared" si="0"/>
        <v>0</v>
      </c>
      <c r="L188" s="44" t="str">
        <f>IF(AND(COUNTBLANK(D$18:$D187)=0,COUNTBLANK(G$18:$G187)=0),$L$16&amp;$L$15,"дозаполнить")</f>
        <v>дозаполнить</v>
      </c>
      <c r="M188" s="25">
        <f t="shared" si="1"/>
        <v>0</v>
      </c>
      <c r="N188" s="25">
        <f t="shared" si="2"/>
        <v>0</v>
      </c>
      <c r="O188" s="101">
        <f t="shared" si="3"/>
        <v>0</v>
      </c>
    </row>
    <row r="189" spans="1:15" ht="12.75" x14ac:dyDescent="0.2">
      <c r="A189" s="187"/>
      <c r="B189" s="42" t="str">
        <f ca="1">IF(A189="","",MAX($B$16:OFFSET(A189,-1,0))+1)</f>
        <v/>
      </c>
      <c r="C189" s="120"/>
      <c r="D189" s="184"/>
      <c r="E189" s="15"/>
      <c r="F189" s="15"/>
      <c r="G189" s="184"/>
      <c r="H189" s="15"/>
      <c r="I189" s="15"/>
      <c r="J189" s="185"/>
      <c r="K189" s="16">
        <f t="shared" si="0"/>
        <v>0</v>
      </c>
      <c r="L189" s="44" t="str">
        <f>IF(AND(COUNTBLANK(D$18:$D188)=0,COUNTBLANK(G$18:$G188)=0),$L$16&amp;$L$15,"дозаполнить")</f>
        <v>дозаполнить</v>
      </c>
      <c r="M189" s="25">
        <f t="shared" si="1"/>
        <v>0</v>
      </c>
      <c r="N189" s="25">
        <f t="shared" si="2"/>
        <v>0</v>
      </c>
      <c r="O189" s="101">
        <f t="shared" si="3"/>
        <v>0</v>
      </c>
    </row>
    <row r="190" spans="1:15" ht="12.75" x14ac:dyDescent="0.2">
      <c r="A190" s="187"/>
      <c r="B190" s="42" t="str">
        <f ca="1">IF(A190="","",MAX($B$16:OFFSET(A190,-1,0))+1)</f>
        <v/>
      </c>
      <c r="C190" s="120"/>
      <c r="D190" s="184"/>
      <c r="E190" s="15"/>
      <c r="F190" s="15"/>
      <c r="G190" s="184"/>
      <c r="H190" s="15"/>
      <c r="I190" s="15"/>
      <c r="J190" s="185"/>
      <c r="K190" s="16">
        <f t="shared" si="0"/>
        <v>0</v>
      </c>
      <c r="L190" s="44" t="str">
        <f>IF(AND(COUNTBLANK(D$18:$D189)=0,COUNTBLANK(G$18:$G189)=0),$L$16&amp;$L$15,"дозаполнить")</f>
        <v>дозаполнить</v>
      </c>
      <c r="M190" s="25">
        <f t="shared" si="1"/>
        <v>0</v>
      </c>
      <c r="N190" s="25">
        <f t="shared" si="2"/>
        <v>0</v>
      </c>
      <c r="O190" s="101">
        <f t="shared" si="3"/>
        <v>0</v>
      </c>
    </row>
    <row r="191" spans="1:15" ht="12.75" x14ac:dyDescent="0.2">
      <c r="A191" s="187"/>
      <c r="B191" s="42" t="str">
        <f ca="1">IF(A191="","",MAX($B$16:OFFSET(A191,-1,0))+1)</f>
        <v/>
      </c>
      <c r="C191" s="120"/>
      <c r="D191" s="184"/>
      <c r="E191" s="15"/>
      <c r="F191" s="15"/>
      <c r="G191" s="184"/>
      <c r="H191" s="15"/>
      <c r="I191" s="15"/>
      <c r="J191" s="185"/>
      <c r="K191" s="16">
        <f t="shared" si="0"/>
        <v>0</v>
      </c>
      <c r="L191" s="44" t="str">
        <f>IF(AND(COUNTBLANK(D$18:$D190)=0,COUNTBLANK(G$18:$G190)=0),$L$16&amp;$L$15,"дозаполнить")</f>
        <v>дозаполнить</v>
      </c>
      <c r="M191" s="25">
        <f t="shared" si="1"/>
        <v>0</v>
      </c>
      <c r="N191" s="25">
        <f t="shared" si="2"/>
        <v>0</v>
      </c>
      <c r="O191" s="101">
        <f t="shared" si="3"/>
        <v>0</v>
      </c>
    </row>
    <row r="192" spans="1:15" ht="12.75" x14ac:dyDescent="0.2">
      <c r="A192" s="187"/>
      <c r="B192" s="42" t="str">
        <f ca="1">IF(A192="","",MAX($B$16:OFFSET(A192,-1,0))+1)</f>
        <v/>
      </c>
      <c r="C192" s="120"/>
      <c r="D192" s="184"/>
      <c r="E192" s="15"/>
      <c r="F192" s="15"/>
      <c r="G192" s="184"/>
      <c r="H192" s="15"/>
      <c r="I192" s="15"/>
      <c r="J192" s="185"/>
      <c r="K192" s="16">
        <f t="shared" ref="K192:K200" si="12">(D192/1000)*(G192/1000)*J192</f>
        <v>0</v>
      </c>
      <c r="L192" s="44" t="str">
        <f>IF(AND(COUNTBLANK(D$18:$D191)=0,COUNTBLANK(G$18:$G191)=0),$L$16&amp;$L$15,"дозаполнить")</f>
        <v>дозаполнить</v>
      </c>
      <c r="M192" s="25">
        <f t="shared" ref="M192:M200" si="13">(D192*E192*J192)+(H192*G192*J192)</f>
        <v>0</v>
      </c>
      <c r="N192" s="25">
        <f t="shared" ref="N192:N200" si="14">(F192*D192*J192)+(I192*G192*J192)</f>
        <v>0</v>
      </c>
      <c r="O192" s="101">
        <f t="shared" ref="O192:O200" si="15">IF(A192="",0,MAX((D192/1000*G192/1000)*$O$13,$O$14))*J192</f>
        <v>0</v>
      </c>
    </row>
    <row r="193" spans="1:15" ht="12.75" x14ac:dyDescent="0.2">
      <c r="A193" s="187"/>
      <c r="B193" s="42" t="str">
        <f ca="1">IF(A193="","",MAX($B$16:OFFSET(A193,-1,0))+1)</f>
        <v/>
      </c>
      <c r="C193" s="120"/>
      <c r="D193" s="184"/>
      <c r="E193" s="15"/>
      <c r="F193" s="15"/>
      <c r="G193" s="184"/>
      <c r="H193" s="15"/>
      <c r="I193" s="15"/>
      <c r="J193" s="185"/>
      <c r="K193" s="16">
        <f t="shared" si="12"/>
        <v>0</v>
      </c>
      <c r="L193" s="44" t="str">
        <f>IF(AND(COUNTBLANK(D$18:$D192)=0,COUNTBLANK(G$18:$G192)=0),$L$16&amp;$L$15,"дозаполнить")</f>
        <v>дозаполнить</v>
      </c>
      <c r="M193" s="25">
        <f t="shared" si="13"/>
        <v>0</v>
      </c>
      <c r="N193" s="25">
        <f t="shared" si="14"/>
        <v>0</v>
      </c>
      <c r="O193" s="101">
        <f t="shared" si="15"/>
        <v>0</v>
      </c>
    </row>
    <row r="194" spans="1:15" ht="12.75" x14ac:dyDescent="0.2">
      <c r="A194" s="187"/>
      <c r="B194" s="42" t="str">
        <f ca="1">IF(A194="","",MAX($B$16:OFFSET(A194,-1,0))+1)</f>
        <v/>
      </c>
      <c r="C194" s="120"/>
      <c r="D194" s="184"/>
      <c r="E194" s="15"/>
      <c r="F194" s="15"/>
      <c r="G194" s="184"/>
      <c r="H194" s="15"/>
      <c r="I194" s="15"/>
      <c r="J194" s="185"/>
      <c r="K194" s="16">
        <f t="shared" si="12"/>
        <v>0</v>
      </c>
      <c r="L194" s="44" t="str">
        <f>IF(AND(COUNTBLANK(D$18:$D193)=0,COUNTBLANK(G$18:$G193)=0),$L$16&amp;$L$15,"дозаполнить")</f>
        <v>дозаполнить</v>
      </c>
      <c r="M194" s="25">
        <f t="shared" si="13"/>
        <v>0</v>
      </c>
      <c r="N194" s="25">
        <f t="shared" si="14"/>
        <v>0</v>
      </c>
      <c r="O194" s="101">
        <f t="shared" si="15"/>
        <v>0</v>
      </c>
    </row>
    <row r="195" spans="1:15" ht="12.75" x14ac:dyDescent="0.2">
      <c r="A195" s="187"/>
      <c r="B195" s="42" t="str">
        <f ca="1">IF(A195="","",MAX($B$16:OFFSET(A195,-1,0))+1)</f>
        <v/>
      </c>
      <c r="C195" s="120"/>
      <c r="D195" s="184"/>
      <c r="E195" s="15"/>
      <c r="F195" s="15"/>
      <c r="G195" s="184"/>
      <c r="H195" s="15"/>
      <c r="I195" s="15"/>
      <c r="J195" s="185"/>
      <c r="K195" s="16">
        <f t="shared" si="12"/>
        <v>0</v>
      </c>
      <c r="L195" s="44" t="str">
        <f>IF(AND(COUNTBLANK(D$18:$D194)=0,COUNTBLANK(G$18:$G194)=0),$L$16&amp;$L$15,"дозаполнить")</f>
        <v>дозаполнить</v>
      </c>
      <c r="M195" s="25">
        <f t="shared" si="13"/>
        <v>0</v>
      </c>
      <c r="N195" s="25">
        <f t="shared" si="14"/>
        <v>0</v>
      </c>
      <c r="O195" s="101">
        <f t="shared" si="15"/>
        <v>0</v>
      </c>
    </row>
    <row r="196" spans="1:15" ht="12.75" x14ac:dyDescent="0.2">
      <c r="A196" s="187"/>
      <c r="B196" s="42" t="str">
        <f ca="1">IF(A196="","",MAX($B$16:OFFSET(A196,-1,0))+1)</f>
        <v/>
      </c>
      <c r="C196" s="120"/>
      <c r="D196" s="184"/>
      <c r="E196" s="15"/>
      <c r="F196" s="15"/>
      <c r="G196" s="184"/>
      <c r="H196" s="15"/>
      <c r="I196" s="15"/>
      <c r="J196" s="185"/>
      <c r="K196" s="16">
        <f t="shared" si="12"/>
        <v>0</v>
      </c>
      <c r="L196" s="44" t="str">
        <f>IF(AND(COUNTBLANK(D$18:$D195)=0,COUNTBLANK(G$18:$G195)=0),$L$16&amp;$L$15,"дозаполнить")</f>
        <v>дозаполнить</v>
      </c>
      <c r="M196" s="25">
        <f t="shared" si="13"/>
        <v>0</v>
      </c>
      <c r="N196" s="25">
        <f t="shared" si="14"/>
        <v>0</v>
      </c>
      <c r="O196" s="101">
        <f t="shared" si="15"/>
        <v>0</v>
      </c>
    </row>
    <row r="197" spans="1:15" ht="12.75" x14ac:dyDescent="0.2">
      <c r="A197" s="187"/>
      <c r="B197" s="42" t="str">
        <f ca="1">IF(A197="","",MAX($B$16:OFFSET(A197,-1,0))+1)</f>
        <v/>
      </c>
      <c r="C197" s="120"/>
      <c r="D197" s="184"/>
      <c r="E197" s="15"/>
      <c r="F197" s="15"/>
      <c r="G197" s="184"/>
      <c r="H197" s="15"/>
      <c r="I197" s="15"/>
      <c r="J197" s="185"/>
      <c r="K197" s="16">
        <f t="shared" si="12"/>
        <v>0</v>
      </c>
      <c r="L197" s="44" t="str">
        <f>IF(AND(COUNTBLANK(D$18:$D196)=0,COUNTBLANK(G$18:$G196)=0),$L$16&amp;$L$15,"дозаполнить")</f>
        <v>дозаполнить</v>
      </c>
      <c r="M197" s="25">
        <f t="shared" si="13"/>
        <v>0</v>
      </c>
      <c r="N197" s="25">
        <f t="shared" si="14"/>
        <v>0</v>
      </c>
      <c r="O197" s="101">
        <f t="shared" si="15"/>
        <v>0</v>
      </c>
    </row>
    <row r="198" spans="1:15" ht="12.75" x14ac:dyDescent="0.2">
      <c r="A198" s="187"/>
      <c r="B198" s="42" t="str">
        <f ca="1">IF(A198="","",MAX($B$16:OFFSET(A198,-1,0))+1)</f>
        <v/>
      </c>
      <c r="C198" s="120"/>
      <c r="D198" s="184"/>
      <c r="E198" s="15"/>
      <c r="F198" s="15"/>
      <c r="G198" s="184"/>
      <c r="H198" s="15"/>
      <c r="I198" s="15"/>
      <c r="J198" s="185"/>
      <c r="K198" s="16">
        <f t="shared" si="12"/>
        <v>0</v>
      </c>
      <c r="L198" s="44" t="str">
        <f>IF(AND(COUNTBLANK(D$18:$D197)=0,COUNTBLANK(G$18:$G197)=0),$L$16&amp;$L$15,"дозаполнить")</f>
        <v>дозаполнить</v>
      </c>
      <c r="M198" s="25">
        <f t="shared" si="13"/>
        <v>0</v>
      </c>
      <c r="N198" s="25">
        <f t="shared" si="14"/>
        <v>0</v>
      </c>
      <c r="O198" s="101">
        <f t="shared" si="15"/>
        <v>0</v>
      </c>
    </row>
    <row r="199" spans="1:15" ht="12.75" x14ac:dyDescent="0.2">
      <c r="A199" s="187"/>
      <c r="B199" s="42" t="str">
        <f ca="1">IF(A199="","",MAX($B$16:OFFSET(A199,-1,0))+1)</f>
        <v/>
      </c>
      <c r="C199" s="120"/>
      <c r="D199" s="184"/>
      <c r="E199" s="15"/>
      <c r="F199" s="15"/>
      <c r="G199" s="184"/>
      <c r="H199" s="15"/>
      <c r="I199" s="15"/>
      <c r="J199" s="185"/>
      <c r="K199" s="16">
        <f t="shared" si="12"/>
        <v>0</v>
      </c>
      <c r="L199" s="44" t="str">
        <f>IF(AND(COUNTBLANK(D$18:$D198)=0,COUNTBLANK(G$18:$G198)=0),$L$16&amp;$L$15,"дозаполнить")</f>
        <v>дозаполнить</v>
      </c>
      <c r="M199" s="25">
        <f t="shared" si="13"/>
        <v>0</v>
      </c>
      <c r="N199" s="25">
        <f t="shared" si="14"/>
        <v>0</v>
      </c>
      <c r="O199" s="101">
        <f t="shared" si="15"/>
        <v>0</v>
      </c>
    </row>
    <row r="200" spans="1:15" ht="12.75" x14ac:dyDescent="0.2">
      <c r="A200" s="187"/>
      <c r="B200" s="42" t="str">
        <f ca="1">IF(A200="","",MAX($B$16:OFFSET(A200,-1,0))+1)</f>
        <v/>
      </c>
      <c r="C200" s="120"/>
      <c r="D200" s="184"/>
      <c r="E200" s="15"/>
      <c r="F200" s="15"/>
      <c r="G200" s="184"/>
      <c r="H200" s="15"/>
      <c r="I200" s="15"/>
      <c r="J200" s="185"/>
      <c r="K200" s="16">
        <f t="shared" si="12"/>
        <v>0</v>
      </c>
      <c r="L200" s="44" t="str">
        <f>IF(AND(COUNTBLANK(D$18:$D199)=0,COUNTBLANK(G$18:$G199)=0),$L$16&amp;$L$15,"дозаполнить")</f>
        <v>дозаполнить</v>
      </c>
      <c r="M200" s="25">
        <f t="shared" si="13"/>
        <v>0</v>
      </c>
      <c r="N200" s="25">
        <f t="shared" si="14"/>
        <v>0</v>
      </c>
      <c r="O200" s="101">
        <f t="shared" si="15"/>
        <v>0</v>
      </c>
    </row>
    <row r="201" spans="1:15" ht="12.75" x14ac:dyDescent="0.2">
      <c r="A201" s="116"/>
      <c r="B201" s="116"/>
      <c r="C201" s="116"/>
      <c r="D201" s="45"/>
      <c r="E201" s="45"/>
      <c r="F201" s="45"/>
      <c r="G201" s="45"/>
      <c r="H201" s="45"/>
      <c r="I201" s="45"/>
      <c r="J201" s="45"/>
      <c r="K201" s="119">
        <f>SUM(K18:K200)</f>
        <v>0</v>
      </c>
      <c r="L201" s="40"/>
    </row>
    <row r="202" spans="1:15" ht="12.75" x14ac:dyDescent="0.2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7"/>
      <c r="L202" s="40"/>
    </row>
    <row r="203" spans="1:15" s="29" customFormat="1" ht="54.75" customHeight="1" thickBot="1" x14ac:dyDescent="0.3">
      <c r="A203" s="267" t="s">
        <v>1983</v>
      </c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49"/>
      <c r="M203" s="40"/>
      <c r="N203" s="40"/>
    </row>
    <row r="204" spans="1:15" s="29" customFormat="1" ht="42.75" customHeight="1" x14ac:dyDescent="0.25">
      <c r="A204" s="293" t="s">
        <v>2031</v>
      </c>
      <c r="B204" s="293"/>
      <c r="C204" s="293"/>
      <c r="D204" s="122"/>
      <c r="E204" s="122"/>
      <c r="F204" s="52" t="s">
        <v>1985</v>
      </c>
      <c r="G204" s="52"/>
      <c r="H204" s="52"/>
      <c r="I204" s="52"/>
      <c r="J204" s="52"/>
      <c r="L204" s="39"/>
      <c r="M204" s="40"/>
      <c r="N204" s="40"/>
    </row>
    <row r="205" spans="1:15" s="29" customFormat="1" ht="15.75" customHeight="1" x14ac:dyDescent="0.25">
      <c r="A205" s="294" t="s">
        <v>1986</v>
      </c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39"/>
      <c r="M205" s="40"/>
      <c r="N205" s="40"/>
    </row>
    <row r="206" spans="1:15" s="29" customFormat="1" ht="13.5" customHeight="1" x14ac:dyDescent="0.25">
      <c r="A206" s="294" t="s">
        <v>2032</v>
      </c>
      <c r="B206" s="294"/>
      <c r="C206" s="294"/>
      <c r="D206" s="294"/>
      <c r="E206" s="294"/>
      <c r="F206" s="294"/>
      <c r="G206" s="294"/>
      <c r="H206" s="294"/>
      <c r="I206" s="294"/>
      <c r="J206" s="294"/>
      <c r="K206" s="294"/>
      <c r="L206" s="53"/>
      <c r="M206" s="40"/>
      <c r="N206" s="40"/>
    </row>
    <row r="207" spans="1:15" s="29" customFormat="1" ht="18.75" customHeight="1" x14ac:dyDescent="0.25">
      <c r="A207" s="259" t="s">
        <v>1988</v>
      </c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53"/>
      <c r="M207" s="40"/>
      <c r="N207" s="40"/>
    </row>
    <row r="208" spans="1:15" s="29" customFormat="1" ht="18.75" customHeight="1" x14ac:dyDescent="0.25">
      <c r="A208" s="259" t="s">
        <v>1989</v>
      </c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53"/>
      <c r="M208" s="40"/>
      <c r="N208" s="40"/>
    </row>
  </sheetData>
  <sheetProtection password="8E28" sheet="1" objects="1" scenarios="1" autoFilter="0"/>
  <autoFilter ref="A17:N201"/>
  <mergeCells count="26">
    <mergeCell ref="O15:O17"/>
    <mergeCell ref="H7:K7"/>
    <mergeCell ref="A203:K203"/>
    <mergeCell ref="A204:C204"/>
    <mergeCell ref="A9:F10"/>
    <mergeCell ref="A11:F11"/>
    <mergeCell ref="A13:K13"/>
    <mergeCell ref="A14:J14"/>
    <mergeCell ref="J12:K12"/>
    <mergeCell ref="C7:D7"/>
    <mergeCell ref="E7:F7"/>
    <mergeCell ref="J9:K9"/>
    <mergeCell ref="J10:K10"/>
    <mergeCell ref="A205:K205"/>
    <mergeCell ref="A206:K206"/>
    <mergeCell ref="A207:K207"/>
    <mergeCell ref="A208:K208"/>
    <mergeCell ref="N15:N17"/>
    <mergeCell ref="A16:A17"/>
    <mergeCell ref="B16:B17"/>
    <mergeCell ref="C16:C17"/>
    <mergeCell ref="D16:D17"/>
    <mergeCell ref="G16:G17"/>
    <mergeCell ref="J16:J17"/>
    <mergeCell ref="A15:K15"/>
    <mergeCell ref="M15:M17"/>
  </mergeCells>
  <conditionalFormatting sqref="H18:I202 E18:F202">
    <cfRule type="expression" dxfId="13" priority="5">
      <formula>AND(OR($E18=2,$F18=2,$H18=2,$I18=2),OR($E18=0.8,$F18=0.8,$H18=0.8,$I18=0.8))</formula>
    </cfRule>
  </conditionalFormatting>
  <conditionalFormatting sqref="H143">
    <cfRule type="expression" dxfId="12" priority="2">
      <formula>AND(OR($E143=2,$F143=2,$H143=2,$I143=2),OR($E143=0.8,$F143=0.8,$H143=0.8,$I143=0.8))</formula>
    </cfRule>
  </conditionalFormatting>
  <conditionalFormatting sqref="H146">
    <cfRule type="expression" dxfId="11" priority="1">
      <formula>AND(OR($E146=2,$F146=2,$H146=2,$I146=2),OR($E146=0.8,$F146=0.8,$H146=0.8,$I146=0.8))</formula>
    </cfRule>
  </conditionalFormatting>
  <dataValidations count="8">
    <dataValidation type="list" allowBlank="1" showInputMessage="1" showErrorMessage="1" errorTitle="Неверный формат" error="Варианты  Кромки: _x000a_0,4мм_x000a_0,8мм_x000a_2,0мм_x000a__x000a_Внимание! Кромление одной детали форматами 0,8 и 2,0  недопустимо." sqref="E202:F202 H201:I202">
      <formula1>#REF!</formula1>
    </dataValidation>
    <dataValidation allowBlank="1" showInputMessage="1" showErrorMessage="1" errorTitle="Неверный формат" error="Варианты  Кромки: _x000a_0,4мм_x000a_0,8мм_x000a_2,0мм_x000a__x000a_Внимание! Кромление одной детали форматами 0,8 и 2,0  недопустимо." sqref="E201:F201"/>
    <dataValidation type="list" allowBlank="1" showInputMessage="1" showErrorMessage="1" sqref="A18:A200">
      <formula1>INDIRECT($L18)</formula1>
    </dataValidation>
    <dataValidation type="textLength" showInputMessage="1" showErrorMessage="1" errorTitle="Превышено количество символов" error="Максимум 7 знаков" sqref="C18:C200">
      <formula1>0</formula1>
      <formula2>7</formula2>
    </dataValidation>
    <dataValidation type="whole" operator="lessThanOrEqual" showInputMessage="1" showErrorMessage="1" errorTitle="Вдоль волокон всего 2 стороны" error="уточните: данной кромкой кромим 1 сторону или 2?_x000a_если 2, то удалите значение из соседней клетки" sqref="E18:E200">
      <formula1>IF(F18="",2,IF(F18=1,1,0))</formula1>
    </dataValidation>
    <dataValidation type="whole" operator="lessThanOrEqual" showInputMessage="1" showErrorMessage="1" errorTitle="Вдоль волокон всего 2 стороны" error="уточните: данной кромкой кромим 1 сторону или 2?_x000a_если 2, то удалите значение из соседней клетки" sqref="F18:F200">
      <formula1>IF(E18="",2,IF(E18=1,1,0))</formula1>
    </dataValidation>
    <dataValidation type="whole" operator="lessThanOrEqual" showInputMessage="1" showErrorMessage="1" errorTitle="Поперек волокон всего 2 стороны" error="уточните: данной кромкой кромим 1 сторону или 2?_x000a_если 2, то удалите значение из соседней клетки" sqref="H18:H200">
      <formula1>IF(I18="",2,IF(I18=1,1,0))</formula1>
    </dataValidation>
    <dataValidation type="whole" operator="lessThanOrEqual" showInputMessage="1" showErrorMessage="1" errorTitle="Поперек волокон всего 2 стороны" error="уточните: данной кромкой кромим 1 сторону или 2?_x000a_если 2, то удалите значение из соседней клетки" sqref="I18:I200">
      <formula1>IF(H18="",2,IF(H18=1,1,0))</formula1>
    </dataValidation>
  </dataValidations>
  <hyperlinks>
    <hyperlink ref="H7" location="Шаг3.Стоимость!A1" display="Перейти к Расчету"/>
    <hyperlink ref="A7" location="'Шаг1.Выбор плиты'!A1" display="Перейти к Расчету"/>
    <hyperlink ref="E7:F7" location="'Бланк OLD 0.8 04'!дозаполнить" display="Бланк с кромкой 0,4"/>
    <hyperlink ref="C7:D7" location="'Шаг2.Бланк заказа NEW'!A1" display="Бланк заказа NEW"/>
  </hyperlinks>
  <pageMargins left="0.25" right="0.25" top="0.75" bottom="0.75" header="0.3" footer="0.3"/>
  <pageSetup paperSize="9" scale="6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whole" operator="lessThanOrEqual" allowBlank="1" showInputMessage="1" showErrorMessage="1" errorTitle="Перейди к Бланку заказа NEW" error="здесь Только ЛДСП или шлифованные МДФ ДСП, только РАСПИЛ И КРОМЛЕНИЕ">
          <x14:formula1>
            <xm:f>IF(OR(VLOOKUP(A18,'Шаг1.Выбор плиты'!C:D,2,0)="ЛДСП",VLOOKUP(A18,'Шаг1.Выбор плиты'!C:D,2,0)="ДСП",VLOOKUP(A18,'Шаг1.Выбор плиты'!C:D,2,0)="МДФ"),10000000,0)</xm:f>
          </x14:formula1>
          <xm:sqref>J18:J200</xm:sqref>
        </x14:dataValidation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VLOOKUP(A18,'Шаг1.Выбор плиты'!C:S,16,0)-30</xm:f>
          </x14:formula2>
          <xm:sqref>D18:D200</xm:sqref>
        </x14:dataValidation>
        <x14:dataValidation type="whole" allowBlank="1" showInputMessage="1" showErrorMessage="1" errorTitle="Недопустимый формат" error="Минимальный размер = 25мм_x000a_Максимальный размер = длина листа минус 30мм">
          <x14:formula1>
            <xm:f>25</xm:f>
          </x14:formula1>
          <x14:formula2>
            <xm:f>VLOOKUP(A18,'Шаг1.Выбор плиты'!C:S,17,0)-30</xm:f>
          </x14:formula2>
          <xm:sqref>G18:G200</xm:sqref>
        </x14:dataValidation>
        <x14:dataValidation type="custom" allowBlank="1" showInputMessage="1" showErrorMessage="1" error="Номер заказа должен быть одинаковый во всех бланках">
          <x14:formula1>
            <xm:f>OR(AND('Шаг2.Бланк заказа NEW'!O13="",'Бланк OLD 0.8 04'!J10:J10=""),'Шаг2.Бланк заказа NEW'!O13=J10:J10,'Бланк OLD 0.8 04'!J10:J10=J10:J10)</xm:f>
          </x14:formula1>
          <xm:sqref>J10:K10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C00000"/>
  </sheetPr>
  <dimension ref="A2:AE41"/>
  <sheetViews>
    <sheetView showGridLines="0" zoomScale="85" zoomScaleNormal="85" workbookViewId="0">
      <selection activeCell="B54" sqref="B54"/>
    </sheetView>
  </sheetViews>
  <sheetFormatPr defaultRowHeight="11.25" x14ac:dyDescent="0.2"/>
  <cols>
    <col min="1" max="1" width="4.33203125" style="25" customWidth="1"/>
    <col min="2" max="2" width="30.5" style="24" customWidth="1"/>
    <col min="3" max="4" width="9.33203125" style="25" hidden="1" customWidth="1"/>
    <col min="5" max="5" width="9.1640625" style="25" customWidth="1"/>
    <col min="6" max="6" width="25.83203125" style="25" customWidth="1"/>
    <col min="7" max="7" width="9.33203125" style="25" hidden="1" customWidth="1"/>
    <col min="8" max="8" width="9.33203125" style="25" customWidth="1"/>
    <col min="9" max="9" width="9.33203125" style="25" hidden="1" customWidth="1"/>
    <col min="10" max="10" width="9.33203125" style="25" customWidth="1"/>
    <col min="11" max="11" width="9.33203125" style="25" hidden="1" customWidth="1"/>
    <col min="12" max="12" width="9.33203125" style="25" customWidth="1"/>
    <col min="13" max="13" width="9.33203125" style="25" hidden="1" customWidth="1"/>
    <col min="14" max="14" width="9.33203125" style="25" customWidth="1"/>
    <col min="15" max="15" width="9.33203125" style="25" hidden="1" customWidth="1"/>
    <col min="16" max="16" width="17.33203125" style="25" customWidth="1"/>
    <col min="17" max="18" width="25.83203125" style="25" hidden="1" customWidth="1"/>
    <col min="19" max="27" width="9.33203125" style="25" hidden="1" customWidth="1"/>
    <col min="28" max="28" width="25.83203125" style="25" hidden="1" customWidth="1"/>
    <col min="29" max="29" width="11.6640625" style="25" hidden="1" customWidth="1"/>
    <col min="30" max="30" width="25.83203125" style="25" hidden="1" customWidth="1"/>
    <col min="31" max="31" width="24.83203125" style="25" hidden="1" customWidth="1"/>
    <col min="32" max="16384" width="9.33203125" style="25"/>
  </cols>
  <sheetData>
    <row r="2" spans="1:31" ht="15" x14ac:dyDescent="0.25">
      <c r="Q2" s="99" t="s">
        <v>2014</v>
      </c>
      <c r="R2" s="99"/>
      <c r="S2" s="75" t="s">
        <v>1968</v>
      </c>
      <c r="T2" s="76" t="s">
        <v>1969</v>
      </c>
      <c r="U2" s="76"/>
      <c r="V2" s="76"/>
      <c r="W2" s="76"/>
    </row>
    <row r="3" spans="1:31" ht="15" x14ac:dyDescent="0.25">
      <c r="Q3" s="104" t="s">
        <v>2018</v>
      </c>
      <c r="R3" s="104"/>
      <c r="S3" s="75" t="s">
        <v>1382</v>
      </c>
      <c r="T3" s="75"/>
      <c r="U3" s="75"/>
      <c r="V3" s="75"/>
      <c r="W3" s="75"/>
    </row>
    <row r="4" spans="1:31" ht="15" x14ac:dyDescent="0.25">
      <c r="Q4" s="104" t="s">
        <v>2019</v>
      </c>
      <c r="R4" s="104"/>
      <c r="S4" s="75" t="s">
        <v>1407</v>
      </c>
      <c r="T4" s="75">
        <v>19</v>
      </c>
      <c r="U4" s="75">
        <v>23</v>
      </c>
      <c r="V4" s="75">
        <v>28</v>
      </c>
      <c r="W4" s="77">
        <v>35</v>
      </c>
    </row>
    <row r="5" spans="1:31" ht="15" x14ac:dyDescent="0.25">
      <c r="Q5" s="99" t="s">
        <v>2015</v>
      </c>
      <c r="R5" s="99"/>
      <c r="S5" s="75" t="s">
        <v>235</v>
      </c>
      <c r="T5" s="75">
        <v>19</v>
      </c>
      <c r="U5" s="75">
        <v>23</v>
      </c>
      <c r="V5" s="75">
        <v>28</v>
      </c>
      <c r="W5" s="77">
        <v>35</v>
      </c>
    </row>
    <row r="6" spans="1:31" ht="15.75" thickBot="1" x14ac:dyDescent="0.3">
      <c r="Q6" s="104" t="s">
        <v>2020</v>
      </c>
      <c r="R6" s="104"/>
      <c r="S6" s="75" t="s">
        <v>1385</v>
      </c>
      <c r="T6" s="75">
        <v>23</v>
      </c>
      <c r="U6" s="75">
        <v>28</v>
      </c>
      <c r="V6" s="75">
        <v>35</v>
      </c>
      <c r="W6" s="75"/>
    </row>
    <row r="7" spans="1:31" ht="15" x14ac:dyDescent="0.25">
      <c r="A7" s="303" t="s">
        <v>1992</v>
      </c>
      <c r="B7" s="304"/>
      <c r="C7" s="304"/>
      <c r="D7" s="304"/>
      <c r="E7" s="305"/>
      <c r="Q7" s="104" t="s">
        <v>2021</v>
      </c>
      <c r="R7" s="104"/>
      <c r="S7" s="75">
        <v>19</v>
      </c>
      <c r="T7" s="75">
        <v>23</v>
      </c>
      <c r="U7" s="75">
        <v>28</v>
      </c>
      <c r="V7" s="75">
        <v>35</v>
      </c>
      <c r="W7" s="75"/>
    </row>
    <row r="8" spans="1:31" ht="15" x14ac:dyDescent="0.25">
      <c r="A8" s="306"/>
      <c r="B8" s="307"/>
      <c r="C8" s="307"/>
      <c r="D8" s="307"/>
      <c r="E8" s="308"/>
      <c r="S8" s="75">
        <v>22</v>
      </c>
      <c r="T8" s="75">
        <v>28</v>
      </c>
      <c r="U8" s="75">
        <v>35</v>
      </c>
      <c r="V8" s="75"/>
      <c r="W8" s="75"/>
    </row>
    <row r="9" spans="1:31" ht="15" customHeight="1" thickBot="1" x14ac:dyDescent="0.3">
      <c r="A9" s="309"/>
      <c r="B9" s="310"/>
      <c r="C9" s="310"/>
      <c r="D9" s="310"/>
      <c r="E9" s="311"/>
      <c r="S9" s="75" t="s">
        <v>1387</v>
      </c>
      <c r="T9" s="75">
        <v>28</v>
      </c>
      <c r="U9" s="75">
        <v>35</v>
      </c>
      <c r="V9" s="75"/>
      <c r="W9" s="75"/>
    </row>
    <row r="11" spans="1:31" ht="20.25" x14ac:dyDescent="0.3">
      <c r="A11" s="36" t="s">
        <v>1955</v>
      </c>
    </row>
    <row r="12" spans="1:31" ht="12" thickBot="1" x14ac:dyDescent="0.25"/>
    <row r="13" spans="1:31" ht="51" x14ac:dyDescent="0.2">
      <c r="A13" s="9" t="s">
        <v>1943</v>
      </c>
      <c r="B13" s="9" t="s">
        <v>1</v>
      </c>
      <c r="C13" s="78" t="s">
        <v>2008</v>
      </c>
      <c r="D13" s="78" t="s">
        <v>1938</v>
      </c>
      <c r="E13" s="9" t="s">
        <v>2114</v>
      </c>
      <c r="F13" s="9" t="s">
        <v>2003</v>
      </c>
      <c r="G13" s="79" t="s">
        <v>1939</v>
      </c>
      <c r="H13" s="9" t="s">
        <v>1940</v>
      </c>
      <c r="I13" s="79" t="s">
        <v>1941</v>
      </c>
      <c r="J13" s="9" t="s">
        <v>1995</v>
      </c>
      <c r="K13" s="79" t="s">
        <v>1942</v>
      </c>
      <c r="L13" s="9" t="s">
        <v>1996</v>
      </c>
      <c r="M13" s="79" t="s">
        <v>1970</v>
      </c>
      <c r="N13" s="9" t="s">
        <v>1997</v>
      </c>
      <c r="O13" s="79" t="s">
        <v>1944</v>
      </c>
      <c r="P13" s="9" t="s">
        <v>1971</v>
      </c>
      <c r="Q13" s="79" t="s">
        <v>1972</v>
      </c>
      <c r="R13" s="79" t="s">
        <v>2022</v>
      </c>
      <c r="S13" s="79" t="s">
        <v>1973</v>
      </c>
      <c r="T13" s="79" t="s">
        <v>1974</v>
      </c>
      <c r="U13" s="79" t="s">
        <v>1975</v>
      </c>
      <c r="V13" s="79" t="s">
        <v>1976</v>
      </c>
      <c r="W13" s="79" t="s">
        <v>1977</v>
      </c>
      <c r="X13" s="79" t="s">
        <v>1978</v>
      </c>
      <c r="Y13" s="79" t="s">
        <v>1979</v>
      </c>
      <c r="Z13" s="79" t="s">
        <v>1980</v>
      </c>
      <c r="AA13" s="79" t="s">
        <v>1981</v>
      </c>
      <c r="AB13" s="79" t="s">
        <v>1982</v>
      </c>
      <c r="AC13" s="79" t="s">
        <v>2111</v>
      </c>
      <c r="AD13" s="79" t="s">
        <v>2001</v>
      </c>
      <c r="AE13" s="79" t="s">
        <v>2101</v>
      </c>
    </row>
    <row r="14" spans="1:31" ht="12" x14ac:dyDescent="0.2">
      <c r="A14" s="80">
        <f ca="1">IFERROR(VLOOKUP(ROW(A14)-ROW($A$13),'Шаг1.Выбор плиты'!B:B,1,0),"")</f>
        <v>1</v>
      </c>
      <c r="B14" s="81" t="str">
        <f ca="1">IFERROR(VLOOKUP(ROW(B14)-ROW($B$13),'Шаг1.Выбор плиты'!B:D,2,0),"")</f>
        <v>Распил (м2)</v>
      </c>
      <c r="C14" s="82">
        <f ca="1">IFERROR(
(SUMIFS('Шаг2.Бланк заказа NEW'!$K$19:$K$201,'Шаг2.Бланк заказа NEW'!$A$19:$A$201,B14)+SUMIFS('Бланк OLD 0.8 04'!$K$18:$K$200,'Бланк OLD 0.8 04'!$A$18:$A$200,B14)+
SUMIFS('Бланк OLD 2.0 04 '!$K$18:$K$200,'Бланк OLD 2.0 04 '!$A$18:$A$200,B14))
*IF(VLOOKUP(B14,'Шаг1.Выбор плиты'!C:Q,12,0)*1&lt;15,1.2,1.2),0)</f>
        <v>0</v>
      </c>
      <c r="D14" s="82" t="str">
        <f ca="1">IFERROR(VLOOKUP(B14,'Шаг1.Выбор плиты'!C:Q,15,0),"")</f>
        <v>Прайс Услуги</v>
      </c>
      <c r="E14" s="188">
        <f ca="1">IFERROR(_xlfn.CEILING.PRECISE(C14/(VLOOKUP(B14,'Шаг1.Выбор плиты'!C:S,16,0)/1000*VLOOKUP(B14,'Шаг1.Выбор плиты'!C:S,17,0)/1000),0.01),IF(B14='Шаг1.Выбор плиты'!$C$560,$AC$29,IF(B14='Шаг1.Выбор плиты'!$C$562,$AA$29,IF(B14='Шаг1.Выбор плиты'!$C$561,$AC$29,IF(B14='Шаг1.Выбор плиты'!$C$563,$R$30,"")))))</f>
        <v>0</v>
      </c>
      <c r="F14" s="83">
        <f ca="1">IFERROR(IF(B14='Шаг1.Выбор плиты'!$C$560,$Q$29,IF(B14='Шаг1.Выбор плиты'!$C$562,$AB$29,IF(B14='Шаг1.Выбор плиты'!$C$561,$AD$29,IF(B14='Шаг1.Выбор плиты'!$C$563,$R$29,D14*E14)))),"")</f>
        <v>0</v>
      </c>
      <c r="G14" s="84">
        <f ca="1">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плиты'!N:N,2,'Шаг1.Выбор плиты'!M:M,SMALL(INDIRECT("мм"&amp;VLOOKUP(B14,'Шаг1.Выбор плиты'!C:Q,12,0)),1))=0,
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плиты'!N:N,2,'Шаг1.Выбор плиты'!M:M,SMALL(INDIRECT("мм"&amp;VLOOKUP(B14,'Шаг1.Выбор плиты'!C:Q,12,0)),2))=0,
SUMIFS('Шаг1.Выбор плиты'!$Q:$Q,'Шаг1.Выбор плиты'!J:J,"*"&amp;RIGHT(VLOOKUP(B14,'Шаг1.Выбор плиты'!C:Q,8,0),4),'Шаг1.Выбор плиты'!L:L,VLOOKUP(B14,'Шаг1.Выбор плиты'!C:Q,10,0),'Шаг1.Выбор плиты'!N:N,2,'Шаг1.Выбор плиты'!M:M,SMALL(INDIRECT("мм"&amp;VLOOKUP(B14,'Шаг1.Выбор плиты'!C:Q,12,0)),3)),
SUMIFS('Шаг1.Выбор плиты'!$Q:$Q,'Шаг1.Выбор плиты'!J:J,"*"&amp;RIGHT(VLOOKUP(B14,'Шаг1.Выбор плиты'!C:Q,8,0),4),'Шаг1.Выбор плиты'!L:L,VLOOKUP(B14,'Шаг1.Выбор плиты'!C:Q,10,0),'Шаг1.Выбор плиты'!N:N,2,'Шаг1.Выбор плиты'!M:M,SMALL(INDIRECT("мм"&amp;VLOOKUP(B14,'Шаг1.Выбор плиты'!C:Q,12,0)),2))),
(SUMIFS('Шаг1.Выбор плиты'!$Q:$Q,'Шаг1.Выбор плиты'!J:J,"*"&amp;RIGHT(VLOOKUP(B14,'Шаг1.Выбор плиты'!C:Q,8,0),4),'Шаг1.Выбор плиты'!L:L,VLOOKUP(B14,'Шаг1.Выбор плиты'!C:Q,10,0),'Шаг1.Выбор плиты'!N:N,2,'Шаг1.Выбор плиты'!M:M,SMALL(INDIRECT("мм"&amp;VLOOKUP(B14,'Шаг1.Выбор плиты'!C:Q,12,0)),1))))</f>
        <v>0</v>
      </c>
      <c r="H14" s="84">
        <f ca="1">_xlfn.CEILING.PRECISE((SUMIFS('Шаг2.Бланк заказа NEW'!$T$19:$T$201,'Шаг2.Бланк заказа NEW'!$A$19:$A$201,$B14,'Шаг2.Бланк заказа NEW'!$E$19:$E$201,2)+
SUMIFS('Шаг2.Бланк заказа NEW'!$T$19:$T$201,'Шаг2.Бланк заказа NEW'!$A$19:$A$201,$B14,'Шаг2.Бланк заказа NEW'!$F$19:$F$201,2)+
SUMIFS('Шаг2.Бланк заказа NEW'!$U$19:$U$201,'Шаг2.Бланк заказа NEW'!$A$19:$A$201,$B14,'Шаг2.Бланк заказа NEW'!$H$19:$H$201,2)+
SUMIFS('Шаг2.Бланк заказа NEW'!$U$19:$U$201,'Шаг2.Бланк заказа NEW'!$A$19:$A$201,$B14,'Шаг2.Бланк заказа NEW'!$I$19:$I$201,2)+
SUMIFS('Бланк OLD 2.0 04 '!$M$18:$M$200,'Бланк OLD 2.0 04 '!$A$18:$A$200,$B14))/1000*1.2,5)</f>
        <v>0</v>
      </c>
      <c r="I14" s="84">
        <f ca="1">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плиты'!N:N,0.8,'Шаг1.Выбор плиты'!M:M,SMALL(INDIRECT("мм"&amp;VLOOKUP(B14,'Шаг1.Выбор плиты'!C:Q,12,0)),1))=0,
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плиты'!N:N,0.8,'Шаг1.Выбор плиты'!M:M,SMALL(INDIRECT("мм"&amp;VLOOKUP(B14,'Шаг1.Выбор плиты'!C:Q,12,0)),2))=0,
SUMIFS('Шаг1.Выбор плиты'!$Q:$Q,'Шаг1.Выбор плиты'!J:J,"*"&amp;RIGHT(VLOOKUP(B14,'Шаг1.Выбор плиты'!C:Q,8,0),4),'Шаг1.Выбор плиты'!L:L,VLOOKUP(B14,'Шаг1.Выбор плиты'!C:Q,10,0),'Шаг1.Выбор плиты'!N:N,0.8,'Шаг1.Выбор плиты'!M:M,SMALL(INDIRECT("мм"&amp;VLOOKUP(B14,'Шаг1.Выбор плиты'!C:Q,12,0)),3)),
SUMIFS('Шаг1.Выбор плиты'!$Q:$Q,'Шаг1.Выбор плиты'!J:J,"*"&amp;RIGHT(VLOOKUP(B14,'Шаг1.Выбор плиты'!C:Q,8,0),4),'Шаг1.Выбор плиты'!L:L,VLOOKUP(B14,'Шаг1.Выбор плиты'!C:Q,10,0),'Шаг1.Выбор плиты'!N:N,0.8,'Шаг1.Выбор плиты'!M:M,SMALL(INDIRECT("мм"&amp;VLOOKUP(B14,'Шаг1.Выбор плиты'!C:Q,12,0)),2))),
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плиты'!N:N,0.8,'Шаг1.Выбор плиты'!M:M,SMALL(INDIRECT("мм"&amp;VLOOKUP(B14,'Шаг1.Выбор плиты'!C:Q,12,0)),1))))</f>
        <v>0</v>
      </c>
      <c r="J14" s="84">
        <f ca="1">_xlfn.CEILING.PRECISE((SUMIFS('Шаг2.Бланк заказа NEW'!$T$19:$T$201,'Шаг2.Бланк заказа NEW'!$A$19:$A$201,$B14,'Шаг2.Бланк заказа NEW'!$E$19:$E$201,0.8)+
SUMIFS('Шаг2.Бланк заказа NEW'!$T$19:$T$201,'Шаг2.Бланк заказа NEW'!$A$19:$A$201,$B14,'Шаг2.Бланк заказа NEW'!$F$19:$F$201,0.8)+
SUMIFS('Шаг2.Бланк заказа NEW'!$U$19:$U$201,'Шаг2.Бланк заказа NEW'!$A$19:$A$201,$B14,'Шаг2.Бланк заказа NEW'!$H$19:$H$201,0.8)+
SUMIFS('Шаг2.Бланк заказа NEW'!$U$19:$U$201,'Шаг2.Бланк заказа NEW'!$A$19:$A$201,$B14,'Шаг2.Бланк заказа NEW'!$I$19:$I$201,0.8)+
SUMIFS('Бланк OLD 0.8 04'!$M$18:$M$200,'Бланк OLD 0.8 04'!$A$18:$A$200,$B14))/1000*1.2,5)</f>
        <v>0</v>
      </c>
      <c r="K14" s="84">
        <f ca="1">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плиты'!N:N,0.4,'Шаг1.Выбор плиты'!M:M,SMALL(INDIRECT("мм"&amp;VLOOKUP(B14,'Шаг1.Выбор плиты'!C:Q,12,0)),1))=0,
IF(SUMIFS('Шаг1.Выбор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плиты'!N:N,0.4,'Шаг1.Выбор плиты'!M:M,SMALL(INDIRECT("мм"&amp;VLOOKUP(B14,'Шаг1.Выбор плиты'!C:Q,12,0)),2))=0,
SUMIFS('Шаг1.Выбор плиты'!$Q:$Q,'Шаг1.Выбор плиты'!J:J,"*"&amp;RIGHT(VLOOKUP(B14,'Шаг1.Выбор плиты'!C:Q,8,0),4),'Шаг1.Выбор плиты'!L:L,VLOOKUP(B14,'Шаг1.Выбор плиты'!C:Q,10,0),'Шаг1.Выбор плиты'!N:N,0.4,'Шаг1.Выбор плиты'!M:M,SMALL(INDIRECT("мм"&amp;VLOOKUP(B14,'Шаг1.Выбор плиты'!C:Q,12,0)),3)),
SUMIFS('Шаг1.Выбор плиты'!$Q:$Q,'Шаг1.Выбор плиты'!J:J,"*"&amp;RIGHT(VLOOKUP(B14,'Шаг1.Выбор плиты'!C:Q,8,0),4),'Шаг1.Выбор плиты'!L:L,VLOOKUP(B14,'Шаг1.Выбор плиты'!C:Q,10,0),'Шаг1.Выбор плиты'!N:N,0.4,'Шаг1.Выбор плиты'!M:M,SMALL(INDIRECT("мм"&amp;VLOOKUP(B14,'Шаг1.Выбор плиты'!C:Q,12,0)),2))),
(SUMIFS('Шаг1.Выбор плиты'!$Q:$Q,'Шаг1.Выбор плиты'!J:J,"*"&amp;RIGHT(VLOOKUP(B14,'Шаг1.Выбор плиты'!C:Q,8,0),4),'Шаг1.Выбор плиты'!L:L,VLOOKUP(B14,'Шаг1.Выбор плиты'!C:Q,10,0),'Шаг1.Выбор плиты'!N:N,0.4,'Шаг1.Выбор плиты'!M:M,SMALL(INDIRECT("мм"&amp;VLOOKUP(B14,'Шаг1.Выбор плиты'!C:Q,12,0)),1))))</f>
        <v>0</v>
      </c>
      <c r="L14" s="84">
        <f ca="1">_xlfn.CEILING.PRECISE((SUMIFS('Шаг2.Бланк заказа NEW'!$T$19:$T$201,'Шаг2.Бланк заказа NEW'!$A$19:$A$201,$B14,'Шаг2.Бланк заказа NEW'!$E$19:$E$201,0.4)+
SUMIFS('Шаг2.Бланк заказа NEW'!$T$19:$T$201,'Шаг2.Бланк заказа NEW'!$A$19:$A$201,$B14,'Шаг2.Бланк заказа NEW'!$F$19:$F$201,0.4)+
SUMIFS('Шаг2.Бланк заказа NEW'!$U$19:$U$201,'Шаг2.Бланк заказа NEW'!$A$19:$A$201,$B14,'Шаг2.Бланк заказа NEW'!$H$19:$H$201,0.4)+
SUMIFS('Шаг2.Бланк заказа NEW'!$U$19:$U$201,'Шаг2.Бланк заказа NEW'!$A$19:$A$201,$B14,'Шаг2.Бланк заказа NEW'!$I$19:$I$201,0.4)+
SUMIFS('Бланк OLD 0.8 04'!$N$18:$N$200,'Бланк OLD 0.8 04'!$A$18:$A$200,$B14)+
SUMIFS('Бланк OLD 2.0 04 '!$N$18:$N$200,'Бланк OLD 2.0 04 '!$A$18:$A$200,$B14))/1000*1.2,5)</f>
        <v>0</v>
      </c>
      <c r="M14" s="84">
        <f ca="1">SUMIFS('Шаг1.Выбор плиты'!$Q:$Q,'Шаг1.Выбор плиты'!J:J,VLOOKUP(B14,'Шаг1.Выбор плиты'!C:Q,8,0),'Шаг1.Выбор плиты'!L:L,IF(MID(B14,1,6)="ЛДСП P","TM"&amp;MID(VLOOKUP(B14,'Шаг1.Выбор плиты'!C:Q,10,0),3,2),MID(VLOOKUP(B14,'Шаг1.Выбор плиты'!C:Q,10,0),1,2)),
'Шаг1.Выбор плиты'!N:N,1)</f>
        <v>0</v>
      </c>
      <c r="N14" s="84">
        <f ca="1">_xlfn.CEILING.PRECISE((SUMIFS('Шаг2.Бланк заказа NEW'!$T$19:$T$201,'Шаг2.Бланк заказа NEW'!$A$19:$A$201,$B14,'Шаг2.Бланк заказа NEW'!$E$19:$E$201,1)+
SUMIFS('Шаг2.Бланк заказа NEW'!$T$19:$T$201,'Шаг2.Бланк заказа NEW'!$A$19:$A$201,$B14,'Шаг2.Бланк заказа NEW'!$F$19:$F$201,1)+
SUMIFS('Шаг2.Бланк заказа NEW'!$U$19:$U$201,'Шаг2.Бланк заказа NEW'!$A$19:$A$201,$B14,'Шаг2.Бланк заказа NEW'!$H$19:$H$201,1)+
SUMIFS('Шаг2.Бланк заказа NEW'!$U$19:$U$201,'Шаг2.Бланк заказа NEW'!$A$19:$A$201,$B14,'Шаг2.Бланк заказа NEW'!$I$19:$I$201,1))/1000*1.2,5)</f>
        <v>0</v>
      </c>
      <c r="O14" s="85">
        <f t="shared" ref="O14:O28" ca="1" si="0">H14+J14+L14</f>
        <v>0</v>
      </c>
      <c r="P14" s="86">
        <f ca="1">IF(OR(AND(G14=0,H14&gt;0),AND(I14=0,J14&gt;0),AND(K14=0,L14&gt;0),AND(M14=0,N14&gt;0)),"Уточните цену у менеджера",G14*H14+I14*J14+K14*L14+M14*N14)</f>
        <v>0</v>
      </c>
      <c r="Q14" s="103">
        <f ca="1">ROUND(SUMIFS('Шаг2.Бланк заказа NEW'!$V$19:$V$201,'Шаг2.Бланк заказа NEW'!$A$19:$A$201,B14)+
SUMIFS('Бланк OLD 0.8 04'!$O$18:$O$200,'Бланк OLD 0.8 04'!$A$18:$A$200,B14)+
SUMIFS('Бланк OLD 2.0 04 '!$O$18:$O$200,'Бланк OLD 2.0 04 '!$A$18:$A$200,B14),0)</f>
        <v>0</v>
      </c>
      <c r="R14" s="103">
        <f ca="1">ROUND(SUMIFS('Шаг2.Бланк заказа NEW'!$W$19:$W$201,'Шаг2.Бланк заказа NEW'!$A$19:$A$201,B14),0)</f>
        <v>0</v>
      </c>
      <c r="S14" s="84">
        <f ca="1">IFERROR(IF(VLOOKUP(B14,'Шаг1.Выбор плиты'!C:Q,12,0)*1&lt;10,0,
IF(VLOOKUP(B14,'Шаг1.Выбор плиты'!C:Q,12,0)*1&lt;25,'Прайс Производственные Услуги'!$C$9,
IF(VLOOKUP(B14,'Шаг1.Выбор плиты'!C:Q,12,0)*1=25,'Прайс Производственные Услуги'!$C$10,
IF(VLOOKUP(B14,'Шаг1.Выбор плиты'!C:Q,12,0)*1&gt;25,'Прайс Производственные Услуги'!$C$11,
0)))),0)</f>
        <v>0</v>
      </c>
      <c r="T14" s="84">
        <f ca="1">_xlfn.CEILING.PRECISE((SUMIFS('Шаг2.Бланк заказа NEW'!$T$19:$T$201,'Шаг2.Бланк заказа NEW'!$A$19:$A$201,$B14,'Шаг2.Бланк заказа NEW'!$E$19:$E$201,2)+
SUMIFS('Шаг2.Бланк заказа NEW'!$T$19:$T$201,'Шаг2.Бланк заказа NEW'!$A$19:$A$201,$B14,'Шаг2.Бланк заказа NEW'!$F$19:$F$201,2)+
SUMIFS('Шаг2.Бланк заказа NEW'!$U$19:$U$201,'Шаг2.Бланк заказа NEW'!$A$19:$A$201,$B14,'Шаг2.Бланк заказа NEW'!$H$19:$H$201,2)+
SUMIFS('Шаг2.Бланк заказа NEW'!$U$19:$U$201,'Шаг2.Бланк заказа NEW'!$A$19:$A$201,$B14,'Шаг2.Бланк заказа NEW'!$I$19:$I$201,2)+
SUMIFS('Бланк OLD 2.0 04 '!$M$18:$M$200,'Бланк OLD 2.0 04 '!$A$18:$A$200,$B14))/1000,1)</f>
        <v>0</v>
      </c>
      <c r="U14" s="84">
        <f ca="1">IFERROR(IF(VLOOKUP(B14,'Шаг1.Выбор плиты'!C:Q,12,0)*1&lt;10,0,
IF(VLOOKUP(B14,'Шаг1.Выбор плиты'!C:Q,12,0)*1&lt;25,'Прайс Производственные Услуги'!$C$7,
IF(VLOOKUP(B14,'Шаг1.Выбор плиты'!C:Q,12,0)*1&gt;24,'Прайс Производственные Услуги'!$C$8,
0))),0)</f>
        <v>0</v>
      </c>
      <c r="V14" s="84">
        <f ca="1">_xlfn.CEILING.PRECISE((SUMIFS('Шаг2.Бланк заказа NEW'!$T$19:$T$201,'Шаг2.Бланк заказа NEW'!$A$19:$A$201,$B14,'Шаг2.Бланк заказа NEW'!$E$19:$E$201,0.8)+
SUMIFS('Шаг2.Бланк заказа NEW'!$T$19:$T$201,'Шаг2.Бланк заказа NEW'!$A$19:$A$201,$B14,'Шаг2.Бланк заказа NEW'!$F$19:$F$201,0.8)+
SUMIFS('Шаг2.Бланк заказа NEW'!$U$19:$U$201,'Шаг2.Бланк заказа NEW'!$A$19:$A$201,$B14,'Шаг2.Бланк заказа NEW'!$H$19:$H$201,0.8)+
SUMIFS('Шаг2.Бланк заказа NEW'!$U$19:$U$201,'Шаг2.Бланк заказа NEW'!$A$19:$A$201,$B14,'Шаг2.Бланк заказа NEW'!$I$19:$I$201,0.8)+
SUMIFS('Бланк OLD 0.8 04'!$M$18:$M$200,'Бланк OLD 0.8 04'!$A$18:$A$200,$B14))/1000,1)</f>
        <v>0</v>
      </c>
      <c r="W14" s="84">
        <f ca="1">IFERROR(IF(VLOOKUP(B14,'Шаг1.Выбор плиты'!C:Q,12,0)*1&lt;10,0,
IF(VLOOKUP(B14,'Шаг1.Выбор плиты'!C:Q,12,0)*1&lt;25,'Прайс Производственные Услуги'!$C$5,
IF(VLOOKUP(B14,'Шаг1.Выбор плиты'!C:Q,12,0)*1&gt;24,'Прайс Производственные Услуги'!$C$6,
0))),0)</f>
        <v>0</v>
      </c>
      <c r="X14" s="84">
        <f ca="1">_xlfn.CEILING.PRECISE((SUMIFS('Шаг2.Бланк заказа NEW'!$T$19:$T$201,'Шаг2.Бланк заказа NEW'!$A$19:$A$201,$B14,'Шаг2.Бланк заказа NEW'!$E$19:$E$201,0.4)+
SUMIFS('Шаг2.Бланк заказа NEW'!$T$19:$T$201,'Шаг2.Бланк заказа NEW'!$A$19:$A$201,$B14,'Шаг2.Бланк заказа NEW'!$F$19:$F$201,0.4)+
SUMIFS('Шаг2.Бланк заказа NEW'!$U$19:$U$201,'Шаг2.Бланк заказа NEW'!$A$19:$A$201,$B14,'Шаг2.Бланк заказа NEW'!$H$19:$H$201,0.4)+
SUMIFS('Шаг2.Бланк заказа NEW'!$U$19:$U$201,'Шаг2.Бланк заказа NEW'!$A$19:$A$201,$B14,'Шаг2.Бланк заказа NEW'!$I$19:$I$201,0.4)+
SUMIFS('Бланк OLD 0.8 04'!$N$18:$N$200,'Бланк OLD 0.8 04'!$A$18:$A$200,$B14)+
SUMIFS('Бланк OLD 2.0 04 '!$N$18:$N$200,'Бланк OLD 2.0 04 '!$A$18:$A$200,$B14))/1000,1)</f>
        <v>0</v>
      </c>
      <c r="Y14" s="84">
        <f ca="1">IF(OR(MID(B14,1,6)="ЛМДФ P",MID(B14,1,6)="ЛДСП P"),'Прайс Производственные Услуги'!$C$4,0)</f>
        <v>0</v>
      </c>
      <c r="Z14" s="84">
        <f ca="1">_xlfn.CEILING.PRECISE((SUMIFS('Шаг2.Бланк заказа NEW'!$T$19:$T$201,'Шаг2.Бланк заказа NEW'!$A$19:$A$201,$B14,'Шаг2.Бланк заказа NEW'!$E$19:$E$201,1)+
SUMIFS('Шаг2.Бланк заказа NEW'!$T$19:$T$201,'Шаг2.Бланк заказа NEW'!$A$19:$A$201,$B14,'Шаг2.Бланк заказа NEW'!$F$19:$F$201,1)+
SUMIFS('Шаг2.Бланк заказа NEW'!$U$19:$U$201,'Шаг2.Бланк заказа NEW'!$A$19:$A$201,$B14,'Шаг2.Бланк заказа NEW'!$H$19:$H$201,1)+
SUMIFS('Шаг2.Бланк заказа NEW'!$U$19:$U$201,'Шаг2.Бланк заказа NEW'!$A$19:$A$201,$B14,'Шаг2.Бланк заказа NEW'!$I$19:$I$201,1))/1000,1)</f>
        <v>0</v>
      </c>
      <c r="AA14" s="84">
        <f t="shared" ref="AA14:AA28" ca="1" si="1">T14+V14+X14</f>
        <v>0</v>
      </c>
      <c r="AB14" s="84">
        <f ca="1">IF(OR(AND(S14=0,T14&gt;0),AND(U14=0,V14&gt;0),AND(W14=0,X14&gt;0),AND(Y14=0,Z14&gt;0)),"Уточните цену у менеджера",S14*T14+U14*V14+W14*X14+Y14*Z14)</f>
        <v>0</v>
      </c>
      <c r="AC14" s="84">
        <f ca="1">IF(B14="","",_xlfn.CEILING.PRECISE((SUMIFS('Шаг2.Бланк заказа NEW'!$K$17:$K$201,'Шаг2.Бланк заказа NEW'!$A$17:$A$201,Шаг3.Стоимость!B14)+SUMIFS('Бланк OLD 0.8 04'!$K$18:$K$200,'Бланк OLD 0.8 04'!$A$18:$A$200,Шаг3.Стоимость!B14)+SUMIFS('Бланк OLD 2.0 04 '!$K$18:$K$200,'Бланк OLD 2.0 04 '!$A$18:$A$200,Шаг3.Стоимость!B14)),1))</f>
        <v>0</v>
      </c>
      <c r="AD14" s="84">
        <f ca="1">IF(B14="","",_xlfn.CEILING.PRECISE((SUMIFS('Шаг2.Бланк заказа NEW'!$K$17:$K$201,'Шаг2.Бланк заказа NEW'!$A$17:$A$201,Шаг3.Стоимость!B14)+SUMIFS('Бланк OLD 0.8 04'!$K$18:$K$200,'Бланк OLD 0.8 04'!$A$18:$A$200,Шаг3.Стоимость!B14)+SUMIFS('Бланк OLD 2.0 04 '!$K$18:$K$200,'Бланк OLD 2.0 04 '!$A$18:$A$200,Шаг3.Стоимость!B14)),1)*'Прайс Производственные Услуги'!$C$15)</f>
        <v>0</v>
      </c>
      <c r="AE14" s="85" t="str">
        <f ca="1">IFERROR(IF(OR(VLOOKUP(B14,'Шаг1.Выбор плиты'!C:D,2,0)="ЛДСП",VLOOKUP(B14,'Шаг1.Выбор плиты'!C:D,2,0)="МДФ",VLOOKUP(B14,'Шаг1.Выбор плиты'!C:D,2,0)="ДСП"),B14,""),"")</f>
        <v/>
      </c>
    </row>
    <row r="15" spans="1:31" ht="12" x14ac:dyDescent="0.2">
      <c r="A15" s="80">
        <f ca="1">IFERROR(VLOOKUP(ROW(A15)-ROW($A$13),'Шаг1.Выбор плиты'!B:B,1,0),"")</f>
        <v>2</v>
      </c>
      <c r="B15" s="81" t="str">
        <f ca="1">IFERROR(VLOOKUP(ROW(B15)-ROW($B$13),'Шаг1.Выбор плиты'!B:D,2,0),"")</f>
        <v>Упаковка (м2)</v>
      </c>
      <c r="C15" s="82">
        <f ca="1">IFERROR(
(SUMIFS('Шаг2.Бланк заказа NEW'!$K$19:$K$201,'Шаг2.Бланк заказа NEW'!$A$19:$A$201,B15)+SUMIFS('Бланк OLD 0.8 04'!$K$18:$K$200,'Бланк OLD 0.8 04'!$A$18:$A$200,B15)+
SUMIFS('Бланк OLD 2.0 04 '!$K$18:$K$200,'Бланк OLD 2.0 04 '!$A$18:$A$200,B15))
*IF(VLOOKUP(B15,'Шаг1.Выбор плиты'!C:Q,12,0)*1&lt;15,1.2,1.2),0)</f>
        <v>0</v>
      </c>
      <c r="D15" s="82" t="str">
        <f ca="1">IFERROR(VLOOKUP(B15,'Шаг1.Выбор плиты'!C:Q,15,0),"")</f>
        <v>Прайс Услуги</v>
      </c>
      <c r="E15" s="188">
        <f ca="1">IFERROR(_xlfn.CEILING.PRECISE(C15/(VLOOKUP(B15,'Шаг1.Выбор плиты'!C:S,16,0)/1000*VLOOKUP(B15,'Шаг1.Выбор плиты'!C:S,17,0)/1000),0.01),IF(B15='Шаг1.Выбор плиты'!$C$560,$AC$29,IF(B15='Шаг1.Выбор плиты'!$C$562,$AA$29,IF(B15='Шаг1.Выбор плиты'!$C$561,$AC$29,IF(B15='Шаг1.Выбор плиты'!$C$563,$R$30,"")))))</f>
        <v>0</v>
      </c>
      <c r="F15" s="83">
        <f ca="1">IFERROR(IF(B15='Шаг1.Выбор плиты'!$C$560,$Q$29,IF(B15='Шаг1.Выбор плиты'!$C$562,$AB$29,IF(B15='Шаг1.Выбор плиты'!$C$561,$AD$29,IF(B15='Шаг1.Выбор плиты'!$C$563,$R$29,D15*E15)))),"")</f>
        <v>0</v>
      </c>
      <c r="G15" s="84">
        <f ca="1">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плиты'!N:N,2,'Шаг1.Выбор плиты'!M:M,SMALL(INDIRECT("мм"&amp;VLOOKUP(B15,'Шаг1.Выбор плиты'!C:Q,12,0)),1))=0,
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плиты'!N:N,2,'Шаг1.Выбор плиты'!M:M,SMALL(INDIRECT("мм"&amp;VLOOKUP(B15,'Шаг1.Выбор плиты'!C:Q,12,0)),2))=0,
SUMIFS('Шаг1.Выбор плиты'!$Q:$Q,'Шаг1.Выбор плиты'!J:J,"*"&amp;RIGHT(VLOOKUP(B15,'Шаг1.Выбор плиты'!C:Q,8,0),4),'Шаг1.Выбор плиты'!L:L,VLOOKUP(B15,'Шаг1.Выбор плиты'!C:Q,10,0),'Шаг1.Выбор плиты'!N:N,2,'Шаг1.Выбор плиты'!M:M,SMALL(INDIRECT("мм"&amp;VLOOKUP(B15,'Шаг1.Выбор плиты'!C:Q,12,0)),3)),
SUMIFS('Шаг1.Выбор плиты'!$Q:$Q,'Шаг1.Выбор плиты'!J:J,"*"&amp;RIGHT(VLOOKUP(B15,'Шаг1.Выбор плиты'!C:Q,8,0),4),'Шаг1.Выбор плиты'!L:L,VLOOKUP(B15,'Шаг1.Выбор плиты'!C:Q,10,0),'Шаг1.Выбор плиты'!N:N,2,'Шаг1.Выбор плиты'!M:M,SMALL(INDIRECT("мм"&amp;VLOOKUP(B15,'Шаг1.Выбор плиты'!C:Q,12,0)),2))),
(SUMIFS('Шаг1.Выбор плиты'!$Q:$Q,'Шаг1.Выбор плиты'!J:J,"*"&amp;RIGHT(VLOOKUP(B15,'Шаг1.Выбор плиты'!C:Q,8,0),4),'Шаг1.Выбор плиты'!L:L,VLOOKUP(B15,'Шаг1.Выбор плиты'!C:Q,10,0),'Шаг1.Выбор плиты'!N:N,2,'Шаг1.Выбор плиты'!M:M,SMALL(INDIRECT("мм"&amp;VLOOKUP(B15,'Шаг1.Выбор плиты'!C:Q,12,0)),1))))</f>
        <v>0</v>
      </c>
      <c r="H15" s="84">
        <f ca="1">_xlfn.CEILING.PRECISE((SUMIFS('Шаг2.Бланк заказа NEW'!$T$19:$T$201,'Шаг2.Бланк заказа NEW'!$A$19:$A$201,$B15,'Шаг2.Бланк заказа NEW'!$E$19:$E$201,2)+
SUMIFS('Шаг2.Бланк заказа NEW'!$T$19:$T$201,'Шаг2.Бланк заказа NEW'!$A$19:$A$201,$B15,'Шаг2.Бланк заказа NEW'!$F$19:$F$201,2)+
SUMIFS('Шаг2.Бланк заказа NEW'!$U$19:$U$201,'Шаг2.Бланк заказа NEW'!$A$19:$A$201,$B15,'Шаг2.Бланк заказа NEW'!$H$19:$H$201,2)+
SUMIFS('Шаг2.Бланк заказа NEW'!$U$19:$U$201,'Шаг2.Бланк заказа NEW'!$A$19:$A$201,$B15,'Шаг2.Бланк заказа NEW'!$I$19:$I$201,2)+
SUMIFS('Бланк OLD 2.0 04 '!$M$18:$M$200,'Бланк OLD 2.0 04 '!$A$18:$A$200,$B15))/1000*1.2,5)</f>
        <v>0</v>
      </c>
      <c r="I15" s="84">
        <f ca="1">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плиты'!N:N,0.8,'Шаг1.Выбор плиты'!M:M,SMALL(INDIRECT("мм"&amp;VLOOKUP(B15,'Шаг1.Выбор плиты'!C:Q,12,0)),1))=0,
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плиты'!N:N,0.8,'Шаг1.Выбор плиты'!M:M,SMALL(INDIRECT("мм"&amp;VLOOKUP(B15,'Шаг1.Выбор плиты'!C:Q,12,0)),2))=0,
SUMIFS('Шаг1.Выбор плиты'!$Q:$Q,'Шаг1.Выбор плиты'!J:J,"*"&amp;RIGHT(VLOOKUP(B15,'Шаг1.Выбор плиты'!C:Q,8,0),4),'Шаг1.Выбор плиты'!L:L,VLOOKUP(B15,'Шаг1.Выбор плиты'!C:Q,10,0),'Шаг1.Выбор плиты'!N:N,0.8,'Шаг1.Выбор плиты'!M:M,SMALL(INDIRECT("мм"&amp;VLOOKUP(B15,'Шаг1.Выбор плиты'!C:Q,12,0)),3)),
SUMIFS('Шаг1.Выбор плиты'!$Q:$Q,'Шаг1.Выбор плиты'!J:J,"*"&amp;RIGHT(VLOOKUP(B15,'Шаг1.Выбор плиты'!C:Q,8,0),4),'Шаг1.Выбор плиты'!L:L,VLOOKUP(B15,'Шаг1.Выбор плиты'!C:Q,10,0),'Шаг1.Выбор плиты'!N:N,0.8,'Шаг1.Выбор плиты'!M:M,SMALL(INDIRECT("мм"&amp;VLOOKUP(B15,'Шаг1.Выбор плиты'!C:Q,12,0)),2))),
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плиты'!N:N,0.8,'Шаг1.Выбор плиты'!M:M,SMALL(INDIRECT("мм"&amp;VLOOKUP(B15,'Шаг1.Выбор плиты'!C:Q,12,0)),1))))</f>
        <v>0</v>
      </c>
      <c r="J15" s="84">
        <f ca="1">_xlfn.CEILING.PRECISE((SUMIFS('Шаг2.Бланк заказа NEW'!$T$19:$T$201,'Шаг2.Бланк заказа NEW'!$A$19:$A$201,$B15,'Шаг2.Бланк заказа NEW'!$E$19:$E$201,0.8)+
SUMIFS('Шаг2.Бланк заказа NEW'!$T$19:$T$201,'Шаг2.Бланк заказа NEW'!$A$19:$A$201,$B15,'Шаг2.Бланк заказа NEW'!$F$19:$F$201,0.8)+
SUMIFS('Шаг2.Бланк заказа NEW'!$U$19:$U$201,'Шаг2.Бланк заказа NEW'!$A$19:$A$201,$B15,'Шаг2.Бланк заказа NEW'!$H$19:$H$201,0.8)+
SUMIFS('Шаг2.Бланк заказа NEW'!$U$19:$U$201,'Шаг2.Бланк заказа NEW'!$A$19:$A$201,$B15,'Шаг2.Бланк заказа NEW'!$I$19:$I$201,0.8)+
SUMIFS('Бланк OLD 0.8 04'!$M$18:$M$200,'Бланк OLD 0.8 04'!$A$18:$A$200,$B15))/1000*1.2,5)</f>
        <v>0</v>
      </c>
      <c r="K15" s="84">
        <f ca="1">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плиты'!N:N,0.4,'Шаг1.Выбор плиты'!M:M,SMALL(INDIRECT("мм"&amp;VLOOKUP(B15,'Шаг1.Выбор плиты'!C:Q,12,0)),1))=0,
IF(SUMIFS('Шаг1.Выбор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плиты'!N:N,0.4,'Шаг1.Выбор плиты'!M:M,SMALL(INDIRECT("мм"&amp;VLOOKUP(B15,'Шаг1.Выбор плиты'!C:Q,12,0)),2))=0,
SUMIFS('Шаг1.Выбор плиты'!$Q:$Q,'Шаг1.Выбор плиты'!J:J,"*"&amp;RIGHT(VLOOKUP(B15,'Шаг1.Выбор плиты'!C:Q,8,0),4),'Шаг1.Выбор плиты'!L:L,VLOOKUP(B15,'Шаг1.Выбор плиты'!C:Q,10,0),'Шаг1.Выбор плиты'!N:N,0.4,'Шаг1.Выбор плиты'!M:M,SMALL(INDIRECT("мм"&amp;VLOOKUP(B15,'Шаг1.Выбор плиты'!C:Q,12,0)),3)),
SUMIFS('Шаг1.Выбор плиты'!$Q:$Q,'Шаг1.Выбор плиты'!J:J,"*"&amp;RIGHT(VLOOKUP(B15,'Шаг1.Выбор плиты'!C:Q,8,0),4),'Шаг1.Выбор плиты'!L:L,VLOOKUP(B15,'Шаг1.Выбор плиты'!C:Q,10,0),'Шаг1.Выбор плиты'!N:N,0.4,'Шаг1.Выбор плиты'!M:M,SMALL(INDIRECT("мм"&amp;VLOOKUP(B15,'Шаг1.Выбор плиты'!C:Q,12,0)),2))),
(SUMIFS('Шаг1.Выбор плиты'!$Q:$Q,'Шаг1.Выбор плиты'!J:J,"*"&amp;RIGHT(VLOOKUP(B15,'Шаг1.Выбор плиты'!C:Q,8,0),4),'Шаг1.Выбор плиты'!L:L,VLOOKUP(B15,'Шаг1.Выбор плиты'!C:Q,10,0),'Шаг1.Выбор плиты'!N:N,0.4,'Шаг1.Выбор плиты'!M:M,SMALL(INDIRECT("мм"&amp;VLOOKUP(B15,'Шаг1.Выбор плиты'!C:Q,12,0)),1))))</f>
        <v>0</v>
      </c>
      <c r="L15" s="84">
        <f ca="1">_xlfn.CEILING.PRECISE((SUMIFS('Шаг2.Бланк заказа NEW'!$T$19:$T$201,'Шаг2.Бланк заказа NEW'!$A$19:$A$201,$B15,'Шаг2.Бланк заказа NEW'!$E$19:$E$201,0.4)+
SUMIFS('Шаг2.Бланк заказа NEW'!$T$19:$T$201,'Шаг2.Бланк заказа NEW'!$A$19:$A$201,$B15,'Шаг2.Бланк заказа NEW'!$F$19:$F$201,0.4)+
SUMIFS('Шаг2.Бланк заказа NEW'!$U$19:$U$201,'Шаг2.Бланк заказа NEW'!$A$19:$A$201,$B15,'Шаг2.Бланк заказа NEW'!$H$19:$H$201,0.4)+
SUMIFS('Шаг2.Бланк заказа NEW'!$U$19:$U$201,'Шаг2.Бланк заказа NEW'!$A$19:$A$201,$B15,'Шаг2.Бланк заказа NEW'!$I$19:$I$201,0.4)+
SUMIFS('Бланк OLD 0.8 04'!$N$18:$N$200,'Бланк OLD 0.8 04'!$A$18:$A$200,$B15)+
SUMIFS('Бланк OLD 2.0 04 '!$N$18:$N$200,'Бланк OLD 2.0 04 '!$A$18:$A$200,$B15))/1000*1.2,5)</f>
        <v>0</v>
      </c>
      <c r="M15" s="84">
        <f ca="1">SUMIFS('Шаг1.Выбор плиты'!$Q:$Q,'Шаг1.Выбор плиты'!J:J,VLOOKUP(B15,'Шаг1.Выбор плиты'!C:Q,8,0),'Шаг1.Выбор плиты'!L:L,IF(MID(B15,1,6)="ЛДСП P","TM"&amp;MID(VLOOKUP(B15,'Шаг1.Выбор плиты'!C:Q,10,0),3,2),MID(VLOOKUP(B15,'Шаг1.Выбор плиты'!C:Q,10,0),1,2)),
'Шаг1.Выбор плиты'!N:N,1)</f>
        <v>0</v>
      </c>
      <c r="N15" s="84">
        <f ca="1">_xlfn.CEILING.PRECISE((SUMIFS('Шаг2.Бланк заказа NEW'!$T$19:$T$201,'Шаг2.Бланк заказа NEW'!$A$19:$A$201,$B15,'Шаг2.Бланк заказа NEW'!$E$19:$E$201,1)+
SUMIFS('Шаг2.Бланк заказа NEW'!$T$19:$T$201,'Шаг2.Бланк заказа NEW'!$A$19:$A$201,$B15,'Шаг2.Бланк заказа NEW'!$F$19:$F$201,1)+
SUMIFS('Шаг2.Бланк заказа NEW'!$U$19:$U$201,'Шаг2.Бланк заказа NEW'!$A$19:$A$201,$B15,'Шаг2.Бланк заказа NEW'!$H$19:$H$201,1)+
SUMIFS('Шаг2.Бланк заказа NEW'!$U$19:$U$201,'Шаг2.Бланк заказа NEW'!$A$19:$A$201,$B15,'Шаг2.Бланк заказа NEW'!$I$19:$I$201,1))/1000*1.2,5)</f>
        <v>0</v>
      </c>
      <c r="O15" s="85">
        <f t="shared" ca="1" si="0"/>
        <v>0</v>
      </c>
      <c r="P15" s="86">
        <f t="shared" ref="P15:P28" ca="1" si="2">IF(OR(AND(G15=0,H15&gt;0),AND(I15=0,J15&gt;0),AND(K15=0,L15&gt;0),AND(M15=0,N15&gt;0)),"Уточните цену у менеджера",G15*H15+I15*J15+K15*L15+M15*N15)</f>
        <v>0</v>
      </c>
      <c r="Q15" s="103">
        <f ca="1">ROUND(SUMIFS('Шаг2.Бланк заказа NEW'!$V$19:$V$201,'Шаг2.Бланк заказа NEW'!$A$19:$A$201,B15)+
SUMIFS('Бланк OLD 0.8 04'!$O$18:$O$200,'Бланк OLD 0.8 04'!$A$18:$A$200,B15)+
SUMIFS('Бланк OLD 2.0 04 '!$O$18:$O$200,'Бланк OLD 2.0 04 '!$A$18:$A$200,B15),0)</f>
        <v>0</v>
      </c>
      <c r="R15" s="103">
        <f ca="1">ROUND(SUMIFS('Шаг2.Бланк заказа NEW'!$W$19:$W$201,'Шаг2.Бланк заказа NEW'!$A$19:$A$201,B15),0)</f>
        <v>0</v>
      </c>
      <c r="S15" s="84">
        <f ca="1">IFERROR(IF(VLOOKUP(B15,'Шаг1.Выбор плиты'!C:Q,12,0)*1&lt;10,0,
IF(VLOOKUP(B15,'Шаг1.Выбор плиты'!C:Q,12,0)*1&lt;25,'Прайс Производственные Услуги'!$C$9,
IF(VLOOKUP(B15,'Шаг1.Выбор плиты'!C:Q,12,0)*1=25,'Прайс Производственные Услуги'!$C$10,
IF(VLOOKUP(B15,'Шаг1.Выбор плиты'!C:Q,12,0)*1&gt;25,'Прайс Производственные Услуги'!$C$11,
0)))),0)</f>
        <v>0</v>
      </c>
      <c r="T15" s="84">
        <f ca="1">_xlfn.CEILING.PRECISE((SUMIFS('Шаг2.Бланк заказа NEW'!$T$19:$T$201,'Шаг2.Бланк заказа NEW'!$A$19:$A$201,$B15,'Шаг2.Бланк заказа NEW'!$E$19:$E$201,2)+
SUMIFS('Шаг2.Бланк заказа NEW'!$T$19:$T$201,'Шаг2.Бланк заказа NEW'!$A$19:$A$201,$B15,'Шаг2.Бланк заказа NEW'!$F$19:$F$201,2)+
SUMIFS('Шаг2.Бланк заказа NEW'!$U$19:$U$201,'Шаг2.Бланк заказа NEW'!$A$19:$A$201,$B15,'Шаг2.Бланк заказа NEW'!$H$19:$H$201,2)+
SUMIFS('Шаг2.Бланк заказа NEW'!$U$19:$U$201,'Шаг2.Бланк заказа NEW'!$A$19:$A$201,$B15,'Шаг2.Бланк заказа NEW'!$I$19:$I$201,2)+
SUMIFS('Бланк OLD 2.0 04 '!$M$18:$M$200,'Бланк OLD 2.0 04 '!$A$18:$A$200,$B15))/1000,1)</f>
        <v>0</v>
      </c>
      <c r="U15" s="84">
        <f ca="1">IFERROR(IF(VLOOKUP(B15,'Шаг1.Выбор плиты'!C:Q,12,0)*1&lt;10,0,
IF(VLOOKUP(B15,'Шаг1.Выбор плиты'!C:Q,12,0)*1&lt;25,'Прайс Производственные Услуги'!$C$7,
IF(VLOOKUP(B15,'Шаг1.Выбор плиты'!C:Q,12,0)*1&gt;24,'Прайс Производственные Услуги'!$C$8,
0))),0)</f>
        <v>0</v>
      </c>
      <c r="V15" s="84">
        <f ca="1">_xlfn.CEILING.PRECISE((SUMIFS('Шаг2.Бланк заказа NEW'!$T$19:$T$201,'Шаг2.Бланк заказа NEW'!$A$19:$A$201,$B15,'Шаг2.Бланк заказа NEW'!$E$19:$E$201,0.8)+
SUMIFS('Шаг2.Бланк заказа NEW'!$T$19:$T$201,'Шаг2.Бланк заказа NEW'!$A$19:$A$201,$B15,'Шаг2.Бланк заказа NEW'!$F$19:$F$201,0.8)+
SUMIFS('Шаг2.Бланк заказа NEW'!$U$19:$U$201,'Шаг2.Бланк заказа NEW'!$A$19:$A$201,$B15,'Шаг2.Бланк заказа NEW'!$H$19:$H$201,0.8)+
SUMIFS('Шаг2.Бланк заказа NEW'!$U$19:$U$201,'Шаг2.Бланк заказа NEW'!$A$19:$A$201,$B15,'Шаг2.Бланк заказа NEW'!$I$19:$I$201,0.8)+
SUMIFS('Бланк OLD 0.8 04'!$M$18:$M$200,'Бланк OLD 0.8 04'!$A$18:$A$200,$B15))/1000,1)</f>
        <v>0</v>
      </c>
      <c r="W15" s="84">
        <f ca="1">IFERROR(IF(VLOOKUP(B15,'Шаг1.Выбор плиты'!C:Q,12,0)*1&lt;10,0,
IF(VLOOKUP(B15,'Шаг1.Выбор плиты'!C:Q,12,0)*1&lt;25,'Прайс Производственные Услуги'!$C$5,
IF(VLOOKUP(B15,'Шаг1.Выбор плиты'!C:Q,12,0)*1&gt;24,'Прайс Производственные Услуги'!$C$6,
0))),0)</f>
        <v>0</v>
      </c>
      <c r="X15" s="84">
        <f ca="1">_xlfn.CEILING.PRECISE((SUMIFS('Шаг2.Бланк заказа NEW'!$T$19:$T$201,'Шаг2.Бланк заказа NEW'!$A$19:$A$201,$B15,'Шаг2.Бланк заказа NEW'!$E$19:$E$201,0.4)+
SUMIFS('Шаг2.Бланк заказа NEW'!$T$19:$T$201,'Шаг2.Бланк заказа NEW'!$A$19:$A$201,$B15,'Шаг2.Бланк заказа NEW'!$F$19:$F$201,0.4)+
SUMIFS('Шаг2.Бланк заказа NEW'!$U$19:$U$201,'Шаг2.Бланк заказа NEW'!$A$19:$A$201,$B15,'Шаг2.Бланк заказа NEW'!$H$19:$H$201,0.4)+
SUMIFS('Шаг2.Бланк заказа NEW'!$U$19:$U$201,'Шаг2.Бланк заказа NEW'!$A$19:$A$201,$B15,'Шаг2.Бланк заказа NEW'!$I$19:$I$201,0.4)+
SUMIFS('Бланк OLD 0.8 04'!$N$18:$N$200,'Бланк OLD 0.8 04'!$A$18:$A$200,$B15)+
SUMIFS('Бланк OLD 2.0 04 '!$N$18:$N$200,'Бланк OLD 2.0 04 '!$A$18:$A$200,$B15))/1000,1)</f>
        <v>0</v>
      </c>
      <c r="Y15" s="84">
        <f ca="1">IF(OR(MID(B15,1,6)="ЛМДФ P",MID(B15,1,6)="ЛДСП P"),'Прайс Производственные Услуги'!$C$4,0)</f>
        <v>0</v>
      </c>
      <c r="Z15" s="84">
        <f ca="1">_xlfn.CEILING.PRECISE((SUMIFS('Шаг2.Бланк заказа NEW'!$T$19:$T$201,'Шаг2.Бланк заказа NEW'!$A$19:$A$201,$B15,'Шаг2.Бланк заказа NEW'!$E$19:$E$201,1)+
SUMIFS('Шаг2.Бланк заказа NEW'!$T$19:$T$201,'Шаг2.Бланк заказа NEW'!$A$19:$A$201,$B15,'Шаг2.Бланк заказа NEW'!$F$19:$F$201,1)+
SUMIFS('Шаг2.Бланк заказа NEW'!$U$19:$U$201,'Шаг2.Бланк заказа NEW'!$A$19:$A$201,$B15,'Шаг2.Бланк заказа NEW'!$H$19:$H$201,1)+
SUMIFS('Шаг2.Бланк заказа NEW'!$U$19:$U$201,'Шаг2.Бланк заказа NEW'!$A$19:$A$201,$B15,'Шаг2.Бланк заказа NEW'!$I$19:$I$201,1))/1000,1)</f>
        <v>0</v>
      </c>
      <c r="AA15" s="84">
        <f ca="1">T15+V15+X15</f>
        <v>0</v>
      </c>
      <c r="AB15" s="84">
        <f t="shared" ref="AB15:AB28" ca="1" si="3">IF(OR(AND(S15=0,T15&gt;0),AND(U15=0,V15&gt;0),AND(W15=0,X15&gt;0),AND(Y15=0,Z15&gt;0)),"Уточните цену у менеджера",S15*T15+U15*V15+W15*X15+Y15*Z15)</f>
        <v>0</v>
      </c>
      <c r="AC15" s="84">
        <f ca="1">IF(B15="","",_xlfn.CEILING.PRECISE((SUMIFS('Шаг2.Бланк заказа NEW'!$K$17:$K$201,'Шаг2.Бланк заказа NEW'!$A$17:$A$201,Шаг3.Стоимость!B15)+SUMIFS('Бланк OLD 0.8 04'!$K$18:$K$200,'Бланк OLD 0.8 04'!$A$18:$A$200,Шаг3.Стоимость!B15)+SUMIFS('Бланк OLD 2.0 04 '!$K$18:$K$200,'Бланк OLD 2.0 04 '!$A$18:$A$200,Шаг3.Стоимость!B15)),1))</f>
        <v>0</v>
      </c>
      <c r="AD15" s="84">
        <f ca="1">IF(B15="","",_xlfn.CEILING.PRECISE((SUMIFS('Шаг2.Бланк заказа NEW'!$K$17:$K$201,'Шаг2.Бланк заказа NEW'!$A$17:$A$201,Шаг3.Стоимость!B15)+SUMIFS('Бланк OLD 0.8 04'!$K$18:$K$200,'Бланк OLD 0.8 04'!$A$18:$A$200,Шаг3.Стоимость!B15)+SUMIFS('Бланк OLD 2.0 04 '!$K$18:$K$200,'Бланк OLD 2.0 04 '!$A$18:$A$200,Шаг3.Стоимость!B15)),1)*'Прайс Производственные Услуги'!$C$15)</f>
        <v>0</v>
      </c>
      <c r="AE15" s="85" t="str">
        <f ca="1">IFERROR(IF(OR(VLOOKUP(B15,'Шаг1.Выбор плиты'!C:D,2,0)="ЛДСП",VLOOKUP(B15,'Шаг1.Выбор плиты'!C:D,2,0)="МДФ",VLOOKUP(B15,'Шаг1.Выбор плиты'!C:D,2,0)="ДСП"),B15,""),"")</f>
        <v/>
      </c>
    </row>
    <row r="16" spans="1:31" ht="12" x14ac:dyDescent="0.2">
      <c r="A16" s="80" t="str">
        <f ca="1">IFERROR(VLOOKUP(ROW(A16)-ROW($A$13),'Шаг1.Выбор плиты'!B:B,1,0),"")</f>
        <v/>
      </c>
      <c r="B16" s="81" t="str">
        <f ca="1">IFERROR(VLOOKUP(ROW(B16)-ROW($B$13),'Шаг1.Выбор плиты'!B:D,2,0),"")</f>
        <v/>
      </c>
      <c r="C16" s="82">
        <f ca="1">IFERROR(
(SUMIFS('Шаг2.Бланк заказа NEW'!$K$19:$K$201,'Шаг2.Бланк заказа NEW'!$A$19:$A$201,B16)+SUMIFS('Бланк OLD 0.8 04'!$K$18:$K$200,'Бланк OLD 0.8 04'!$A$18:$A$200,B16)+
SUMIFS('Бланк OLD 2.0 04 '!$K$18:$K$200,'Бланк OLD 2.0 04 '!$A$18:$A$200,B16))
*IF(VLOOKUP(B16,'Шаг1.Выбор плиты'!C:Q,12,0)*1&lt;15,1.2,1.2),0)</f>
        <v>0</v>
      </c>
      <c r="D16" s="82" t="str">
        <f ca="1">IFERROR(VLOOKUP(B16,'Шаг1.Выбор плиты'!C:Q,15,0),"")</f>
        <v/>
      </c>
      <c r="E16" s="188" t="str">
        <f ca="1">IFERROR(_xlfn.CEILING.PRECISE(C16/(VLOOKUP(B16,'Шаг1.Выбор плиты'!C:S,16,0)/1000*VLOOKUP(B16,'Шаг1.Выбор плиты'!C:S,17,0)/1000),0.01),IF(B16='Шаг1.Выбор плиты'!$C$560,$AC$29,IF(B16='Шаг1.Выбор плиты'!$C$562,$AA$29,IF(B16='Шаг1.Выбор плиты'!$C$561,$AC$29,IF(B16='Шаг1.Выбор плиты'!$C$563,$R$30,"")))))</f>
        <v/>
      </c>
      <c r="F16" s="83" t="str">
        <f ca="1">IFERROR(IF(B16='Шаг1.Выбор плиты'!$C$560,$Q$29,IF(B16='Шаг1.Выбор плиты'!$C$562,$AB$29,IF(B16='Шаг1.Выбор плиты'!$C$561,$AD$29,IF(B16='Шаг1.Выбор плиты'!$C$563,$R$29,D16*E16)))),"")</f>
        <v/>
      </c>
      <c r="G16" s="84">
        <f ca="1">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плиты'!N:N,2,'Шаг1.Выбор плиты'!M:M,SMALL(INDIRECT("мм"&amp;VLOOKUP(B16,'Шаг1.Выбор плиты'!C:Q,12,0)),1))=0,
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плиты'!N:N,2,'Шаг1.Выбор плиты'!M:M,SMALL(INDIRECT("мм"&amp;VLOOKUP(B16,'Шаг1.Выбор плиты'!C:Q,12,0)),2))=0,
SUMIFS('Шаг1.Выбор плиты'!$Q:$Q,'Шаг1.Выбор плиты'!J:J,"*"&amp;RIGHT(VLOOKUP(B16,'Шаг1.Выбор плиты'!C:Q,8,0),4),'Шаг1.Выбор плиты'!L:L,VLOOKUP(B16,'Шаг1.Выбор плиты'!C:Q,10,0),'Шаг1.Выбор плиты'!N:N,2,'Шаг1.Выбор плиты'!M:M,SMALL(INDIRECT("мм"&amp;VLOOKUP(B16,'Шаг1.Выбор плиты'!C:Q,12,0)),3)),
SUMIFS('Шаг1.Выбор плиты'!$Q:$Q,'Шаг1.Выбор плиты'!J:J,"*"&amp;RIGHT(VLOOKUP(B16,'Шаг1.Выбор плиты'!C:Q,8,0),4),'Шаг1.Выбор плиты'!L:L,VLOOKUP(B16,'Шаг1.Выбор плиты'!C:Q,10,0),'Шаг1.Выбор плиты'!N:N,2,'Шаг1.Выбор плиты'!M:M,SMALL(INDIRECT("мм"&amp;VLOOKUP(B16,'Шаг1.Выбор плиты'!C:Q,12,0)),2))),
(SUMIFS('Шаг1.Выбор плиты'!$Q:$Q,'Шаг1.Выбор плиты'!J:J,"*"&amp;RIGHT(VLOOKUP(B16,'Шаг1.Выбор плиты'!C:Q,8,0),4),'Шаг1.Выбор плиты'!L:L,VLOOKUP(B16,'Шаг1.Выбор плиты'!C:Q,10,0),'Шаг1.Выбор плиты'!N:N,2,'Шаг1.Выбор плиты'!M:M,SMALL(INDIRECT("мм"&amp;VLOOKUP(B16,'Шаг1.Выбор плиты'!C:Q,12,0)),1))))</f>
        <v>0</v>
      </c>
      <c r="H16" s="84">
        <f ca="1">_xlfn.CEILING.PRECISE((SUMIFS('Шаг2.Бланк заказа NEW'!$T$19:$T$201,'Шаг2.Бланк заказа NEW'!$A$19:$A$201,$B16,'Шаг2.Бланк заказа NEW'!$E$19:$E$201,2)+
SUMIFS('Шаг2.Бланк заказа NEW'!$T$19:$T$201,'Шаг2.Бланк заказа NEW'!$A$19:$A$201,$B16,'Шаг2.Бланк заказа NEW'!$F$19:$F$201,2)+
SUMIFS('Шаг2.Бланк заказа NEW'!$U$19:$U$201,'Шаг2.Бланк заказа NEW'!$A$19:$A$201,$B16,'Шаг2.Бланк заказа NEW'!$H$19:$H$201,2)+
SUMIFS('Шаг2.Бланк заказа NEW'!$U$19:$U$201,'Шаг2.Бланк заказа NEW'!$A$19:$A$201,$B16,'Шаг2.Бланк заказа NEW'!$I$19:$I$201,2)+
SUMIFS('Бланк OLD 2.0 04 '!$M$18:$M$200,'Бланк OLD 2.0 04 '!$A$18:$A$200,$B16))/1000*1.2,5)</f>
        <v>0</v>
      </c>
      <c r="I16" s="84">
        <f ca="1">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плиты'!N:N,0.8,'Шаг1.Выбор плиты'!M:M,SMALL(INDIRECT("мм"&amp;VLOOKUP(B16,'Шаг1.Выбор плиты'!C:Q,12,0)),1))=0,
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плиты'!N:N,0.8,'Шаг1.Выбор плиты'!M:M,SMALL(INDIRECT("мм"&amp;VLOOKUP(B16,'Шаг1.Выбор плиты'!C:Q,12,0)),2))=0,
SUMIFS('Шаг1.Выбор плиты'!$Q:$Q,'Шаг1.Выбор плиты'!J:J,"*"&amp;RIGHT(VLOOKUP(B16,'Шаг1.Выбор плиты'!C:Q,8,0),4),'Шаг1.Выбор плиты'!L:L,VLOOKUP(B16,'Шаг1.Выбор плиты'!C:Q,10,0),'Шаг1.Выбор плиты'!N:N,0.8,'Шаг1.Выбор плиты'!M:M,SMALL(INDIRECT("мм"&amp;VLOOKUP(B16,'Шаг1.Выбор плиты'!C:Q,12,0)),3)),
SUMIFS('Шаг1.Выбор плиты'!$Q:$Q,'Шаг1.Выбор плиты'!J:J,"*"&amp;RIGHT(VLOOKUP(B16,'Шаг1.Выбор плиты'!C:Q,8,0),4),'Шаг1.Выбор плиты'!L:L,VLOOKUP(B16,'Шаг1.Выбор плиты'!C:Q,10,0),'Шаг1.Выбор плиты'!N:N,0.8,'Шаг1.Выбор плиты'!M:M,SMALL(INDIRECT("мм"&amp;VLOOKUP(B16,'Шаг1.Выбор плиты'!C:Q,12,0)),2))),
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плиты'!N:N,0.8,'Шаг1.Выбор плиты'!M:M,SMALL(INDIRECT("мм"&amp;VLOOKUP(B16,'Шаг1.Выбор плиты'!C:Q,12,0)),1))))</f>
        <v>0</v>
      </c>
      <c r="J16" s="84">
        <f ca="1">_xlfn.CEILING.PRECISE((SUMIFS('Шаг2.Бланк заказа NEW'!$T$19:$T$201,'Шаг2.Бланк заказа NEW'!$A$19:$A$201,$B16,'Шаг2.Бланк заказа NEW'!$E$19:$E$201,0.8)+
SUMIFS('Шаг2.Бланк заказа NEW'!$T$19:$T$201,'Шаг2.Бланк заказа NEW'!$A$19:$A$201,$B16,'Шаг2.Бланк заказа NEW'!$F$19:$F$201,0.8)+
SUMIFS('Шаг2.Бланк заказа NEW'!$U$19:$U$201,'Шаг2.Бланк заказа NEW'!$A$19:$A$201,$B16,'Шаг2.Бланк заказа NEW'!$H$19:$H$201,0.8)+
SUMIFS('Шаг2.Бланк заказа NEW'!$U$19:$U$201,'Шаг2.Бланк заказа NEW'!$A$19:$A$201,$B16,'Шаг2.Бланк заказа NEW'!$I$19:$I$201,0.8)+
SUMIFS('Бланк OLD 0.8 04'!$M$18:$M$200,'Бланк OLD 0.8 04'!$A$18:$A$200,$B16))/1000*1.2,5)</f>
        <v>0</v>
      </c>
      <c r="K16" s="84">
        <f ca="1">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плиты'!N:N,0.4,'Шаг1.Выбор плиты'!M:M,SMALL(INDIRECT("мм"&amp;VLOOKUP(B16,'Шаг1.Выбор плиты'!C:Q,12,0)),1))=0,
IF(SUMIFS('Шаг1.Выбор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плиты'!N:N,0.4,'Шаг1.Выбор плиты'!M:M,SMALL(INDIRECT("мм"&amp;VLOOKUP(B16,'Шаг1.Выбор плиты'!C:Q,12,0)),2))=0,
SUMIFS('Шаг1.Выбор плиты'!$Q:$Q,'Шаг1.Выбор плиты'!J:J,"*"&amp;RIGHT(VLOOKUP(B16,'Шаг1.Выбор плиты'!C:Q,8,0),4),'Шаг1.Выбор плиты'!L:L,VLOOKUP(B16,'Шаг1.Выбор плиты'!C:Q,10,0),'Шаг1.Выбор плиты'!N:N,0.4,'Шаг1.Выбор плиты'!M:M,SMALL(INDIRECT("мм"&amp;VLOOKUP(B16,'Шаг1.Выбор плиты'!C:Q,12,0)),3)),
SUMIFS('Шаг1.Выбор плиты'!$Q:$Q,'Шаг1.Выбор плиты'!J:J,"*"&amp;RIGHT(VLOOKUP(B16,'Шаг1.Выбор плиты'!C:Q,8,0),4),'Шаг1.Выбор плиты'!L:L,VLOOKUP(B16,'Шаг1.Выбор плиты'!C:Q,10,0),'Шаг1.Выбор плиты'!N:N,0.4,'Шаг1.Выбор плиты'!M:M,SMALL(INDIRECT("мм"&amp;VLOOKUP(B16,'Шаг1.Выбор плиты'!C:Q,12,0)),2))),
(SUMIFS('Шаг1.Выбор плиты'!$Q:$Q,'Шаг1.Выбор плиты'!J:J,"*"&amp;RIGHT(VLOOKUP(B16,'Шаг1.Выбор плиты'!C:Q,8,0),4),'Шаг1.Выбор плиты'!L:L,VLOOKUP(B16,'Шаг1.Выбор плиты'!C:Q,10,0),'Шаг1.Выбор плиты'!N:N,0.4,'Шаг1.Выбор плиты'!M:M,SMALL(INDIRECT("мм"&amp;VLOOKUP(B16,'Шаг1.Выбор плиты'!C:Q,12,0)),1))))</f>
        <v>0</v>
      </c>
      <c r="L16" s="84">
        <f ca="1">_xlfn.CEILING.PRECISE((SUMIFS('Шаг2.Бланк заказа NEW'!$T$19:$T$201,'Шаг2.Бланк заказа NEW'!$A$19:$A$201,$B16,'Шаг2.Бланк заказа NEW'!$E$19:$E$201,0.4)+
SUMIFS('Шаг2.Бланк заказа NEW'!$T$19:$T$201,'Шаг2.Бланк заказа NEW'!$A$19:$A$201,$B16,'Шаг2.Бланк заказа NEW'!$F$19:$F$201,0.4)+
SUMIFS('Шаг2.Бланк заказа NEW'!$U$19:$U$201,'Шаг2.Бланк заказа NEW'!$A$19:$A$201,$B16,'Шаг2.Бланк заказа NEW'!$H$19:$H$201,0.4)+
SUMIFS('Шаг2.Бланк заказа NEW'!$U$19:$U$201,'Шаг2.Бланк заказа NEW'!$A$19:$A$201,$B16,'Шаг2.Бланк заказа NEW'!$I$19:$I$201,0.4)+
SUMIFS('Бланк OLD 0.8 04'!$N$18:$N$200,'Бланк OLD 0.8 04'!$A$18:$A$200,$B16)+
SUMIFS('Бланк OLD 2.0 04 '!$N$18:$N$200,'Бланк OLD 2.0 04 '!$A$18:$A$200,$B16))/1000*1.2,5)</f>
        <v>0</v>
      </c>
      <c r="M16" s="84">
        <f ca="1">SUMIFS('Шаг1.Выбор плиты'!$Q:$Q,'Шаг1.Выбор плиты'!J:J,VLOOKUP(B16,'Шаг1.Выбор плиты'!C:Q,8,0),'Шаг1.Выбор плиты'!L:L,IF(MID(B16,1,6)="ЛДСП P","TM"&amp;MID(VLOOKUP(B16,'Шаг1.Выбор плиты'!C:Q,10,0),3,2),MID(VLOOKUP(B16,'Шаг1.Выбор плиты'!C:Q,10,0),1,2)),
'Шаг1.Выбор плиты'!N:N,1)</f>
        <v>0</v>
      </c>
      <c r="N16" s="84">
        <f ca="1">_xlfn.CEILING.PRECISE((SUMIFS('Шаг2.Бланк заказа NEW'!$T$19:$T$201,'Шаг2.Бланк заказа NEW'!$A$19:$A$201,$B16,'Шаг2.Бланк заказа NEW'!$E$19:$E$201,1)+
SUMIFS('Шаг2.Бланк заказа NEW'!$T$19:$T$201,'Шаг2.Бланк заказа NEW'!$A$19:$A$201,$B16,'Шаг2.Бланк заказа NEW'!$F$19:$F$201,1)+
SUMIFS('Шаг2.Бланк заказа NEW'!$U$19:$U$201,'Шаг2.Бланк заказа NEW'!$A$19:$A$201,$B16,'Шаг2.Бланк заказа NEW'!$H$19:$H$201,1)+
SUMIFS('Шаг2.Бланк заказа NEW'!$U$19:$U$201,'Шаг2.Бланк заказа NEW'!$A$19:$A$201,$B16,'Шаг2.Бланк заказа NEW'!$I$19:$I$201,1))/1000*1.2,5)</f>
        <v>0</v>
      </c>
      <c r="O16" s="85">
        <f t="shared" ca="1" si="0"/>
        <v>0</v>
      </c>
      <c r="P16" s="86">
        <f t="shared" ca="1" si="2"/>
        <v>0</v>
      </c>
      <c r="Q16" s="103">
        <f ca="1">ROUND(SUMIFS('Шаг2.Бланк заказа NEW'!$V$19:$V$201,'Шаг2.Бланк заказа NEW'!$A$19:$A$201,B16)+
SUMIFS('Бланк OLD 0.8 04'!$O$18:$O$200,'Бланк OLD 0.8 04'!$A$18:$A$200,B16)+
SUMIFS('Бланк OLD 2.0 04 '!$O$18:$O$200,'Бланк OLD 2.0 04 '!$A$18:$A$200,B16),0)</f>
        <v>0</v>
      </c>
      <c r="R16" s="103">
        <f ca="1">ROUND(SUMIFS('Шаг2.Бланк заказа NEW'!$W$19:$W$201,'Шаг2.Бланк заказа NEW'!$A$19:$A$201,B16),0)</f>
        <v>0</v>
      </c>
      <c r="S16" s="84">
        <f ca="1">IFERROR(IF(VLOOKUP(B16,'Шаг1.Выбор плиты'!C:Q,12,0)*1&lt;10,0,
IF(VLOOKUP(B16,'Шаг1.Выбор плиты'!C:Q,12,0)*1&lt;25,'Прайс Производственные Услуги'!$C$9,
IF(VLOOKUP(B16,'Шаг1.Выбор плиты'!C:Q,12,0)*1=25,'Прайс Производственные Услуги'!$C$10,
IF(VLOOKUP(B16,'Шаг1.Выбор плиты'!C:Q,12,0)*1&gt;25,'Прайс Производственные Услуги'!$C$11,
0)))),0)</f>
        <v>0</v>
      </c>
      <c r="T16" s="84">
        <f ca="1">_xlfn.CEILING.PRECISE((SUMIFS('Шаг2.Бланк заказа NEW'!$T$19:$T$201,'Шаг2.Бланк заказа NEW'!$A$19:$A$201,$B16,'Шаг2.Бланк заказа NEW'!$E$19:$E$201,2)+
SUMIFS('Шаг2.Бланк заказа NEW'!$T$19:$T$201,'Шаг2.Бланк заказа NEW'!$A$19:$A$201,$B16,'Шаг2.Бланк заказа NEW'!$F$19:$F$201,2)+
SUMIFS('Шаг2.Бланк заказа NEW'!$U$19:$U$201,'Шаг2.Бланк заказа NEW'!$A$19:$A$201,$B16,'Шаг2.Бланк заказа NEW'!$H$19:$H$201,2)+
SUMIFS('Шаг2.Бланк заказа NEW'!$U$19:$U$201,'Шаг2.Бланк заказа NEW'!$A$19:$A$201,$B16,'Шаг2.Бланк заказа NEW'!$I$19:$I$201,2)+
SUMIFS('Бланк OLD 2.0 04 '!$M$18:$M$200,'Бланк OLD 2.0 04 '!$A$18:$A$200,$B16))/1000,1)</f>
        <v>0</v>
      </c>
      <c r="U16" s="84">
        <f ca="1">IFERROR(IF(VLOOKUP(B16,'Шаг1.Выбор плиты'!C:Q,12,0)*1&lt;10,0,
IF(VLOOKUP(B16,'Шаг1.Выбор плиты'!C:Q,12,0)*1&lt;25,'Прайс Производственные Услуги'!$C$7,
IF(VLOOKUP(B16,'Шаг1.Выбор плиты'!C:Q,12,0)*1&gt;24,'Прайс Производственные Услуги'!$C$8,
0))),0)</f>
        <v>0</v>
      </c>
      <c r="V16" s="84">
        <f ca="1">_xlfn.CEILING.PRECISE((SUMIFS('Шаг2.Бланк заказа NEW'!$T$19:$T$201,'Шаг2.Бланк заказа NEW'!$A$19:$A$201,$B16,'Шаг2.Бланк заказа NEW'!$E$19:$E$201,0.8)+
SUMIFS('Шаг2.Бланк заказа NEW'!$T$19:$T$201,'Шаг2.Бланк заказа NEW'!$A$19:$A$201,$B16,'Шаг2.Бланк заказа NEW'!$F$19:$F$201,0.8)+
SUMIFS('Шаг2.Бланк заказа NEW'!$U$19:$U$201,'Шаг2.Бланк заказа NEW'!$A$19:$A$201,$B16,'Шаг2.Бланк заказа NEW'!$H$19:$H$201,0.8)+
SUMIFS('Шаг2.Бланк заказа NEW'!$U$19:$U$201,'Шаг2.Бланк заказа NEW'!$A$19:$A$201,$B16,'Шаг2.Бланк заказа NEW'!$I$19:$I$201,0.8)+
SUMIFS('Бланк OLD 0.8 04'!$M$18:$M$200,'Бланк OLD 0.8 04'!$A$18:$A$200,$B16))/1000,1)</f>
        <v>0</v>
      </c>
      <c r="W16" s="84">
        <f ca="1">IFERROR(IF(VLOOKUP(B16,'Шаг1.Выбор плиты'!C:Q,12,0)*1&lt;10,0,
IF(VLOOKUP(B16,'Шаг1.Выбор плиты'!C:Q,12,0)*1&lt;25,'Прайс Производственные Услуги'!$C$5,
IF(VLOOKUP(B16,'Шаг1.Выбор плиты'!C:Q,12,0)*1&gt;24,'Прайс Производственные Услуги'!$C$6,
0))),0)</f>
        <v>0</v>
      </c>
      <c r="X16" s="84">
        <f ca="1">_xlfn.CEILING.PRECISE((SUMIFS('Шаг2.Бланк заказа NEW'!$T$19:$T$201,'Шаг2.Бланк заказа NEW'!$A$19:$A$201,$B16,'Шаг2.Бланк заказа NEW'!$E$19:$E$201,0.4)+
SUMIFS('Шаг2.Бланк заказа NEW'!$T$19:$T$201,'Шаг2.Бланк заказа NEW'!$A$19:$A$201,$B16,'Шаг2.Бланк заказа NEW'!$F$19:$F$201,0.4)+
SUMIFS('Шаг2.Бланк заказа NEW'!$U$19:$U$201,'Шаг2.Бланк заказа NEW'!$A$19:$A$201,$B16,'Шаг2.Бланк заказа NEW'!$H$19:$H$201,0.4)+
SUMIFS('Шаг2.Бланк заказа NEW'!$U$19:$U$201,'Шаг2.Бланк заказа NEW'!$A$19:$A$201,$B16,'Шаг2.Бланк заказа NEW'!$I$19:$I$201,0.4)+
SUMIFS('Бланк OLD 0.8 04'!$N$18:$N$200,'Бланк OLD 0.8 04'!$A$18:$A$200,$B16)+
SUMIFS('Бланк OLD 2.0 04 '!$N$18:$N$200,'Бланк OLD 2.0 04 '!$A$18:$A$200,$B16))/1000,1)</f>
        <v>0</v>
      </c>
      <c r="Y16" s="84">
        <f ca="1">IF(OR(MID(B16,1,6)="ЛМДФ P",MID(B16,1,6)="ЛДСП P"),'Прайс Производственные Услуги'!$C$4,0)</f>
        <v>0</v>
      </c>
      <c r="Z16" s="84">
        <f ca="1">_xlfn.CEILING.PRECISE((SUMIFS('Шаг2.Бланк заказа NEW'!$T$19:$T$201,'Шаг2.Бланк заказа NEW'!$A$19:$A$201,$B16,'Шаг2.Бланк заказа NEW'!$E$19:$E$201,1)+
SUMIFS('Шаг2.Бланк заказа NEW'!$T$19:$T$201,'Шаг2.Бланк заказа NEW'!$A$19:$A$201,$B16,'Шаг2.Бланк заказа NEW'!$F$19:$F$201,1)+
SUMIFS('Шаг2.Бланк заказа NEW'!$U$19:$U$201,'Шаг2.Бланк заказа NEW'!$A$19:$A$201,$B16,'Шаг2.Бланк заказа NEW'!$H$19:$H$201,1)+
SUMIFS('Шаг2.Бланк заказа NEW'!$U$19:$U$201,'Шаг2.Бланк заказа NEW'!$A$19:$A$201,$B16,'Шаг2.Бланк заказа NEW'!$I$19:$I$201,1))/1000,1)</f>
        <v>0</v>
      </c>
      <c r="AA16" s="84">
        <f t="shared" ca="1" si="1"/>
        <v>0</v>
      </c>
      <c r="AB16" s="84">
        <f t="shared" ca="1" si="3"/>
        <v>0</v>
      </c>
      <c r="AC16" s="84" t="str">
        <f ca="1">IF(B16="","",_xlfn.CEILING.PRECISE((SUMIFS('Шаг2.Бланк заказа NEW'!$K$17:$K$201,'Шаг2.Бланк заказа NEW'!$A$17:$A$201,Шаг3.Стоимость!B16)+SUMIFS('Бланк OLD 0.8 04'!$K$18:$K$200,'Бланк OLD 0.8 04'!$A$18:$A$200,Шаг3.Стоимость!B16)+SUMIFS('Бланк OLD 2.0 04 '!$K$18:$K$200,'Бланк OLD 2.0 04 '!$A$18:$A$200,Шаг3.Стоимость!B16)),1))</f>
        <v/>
      </c>
      <c r="AD16" s="84" t="str">
        <f ca="1">IF(B16="","",_xlfn.CEILING.PRECISE((SUMIFS('Шаг2.Бланк заказа NEW'!$K$17:$K$201,'Шаг2.Бланк заказа NEW'!$A$17:$A$201,Шаг3.Стоимость!B16)+SUMIFS('Бланк OLD 0.8 04'!$K$18:$K$200,'Бланк OLD 0.8 04'!$A$18:$A$200,Шаг3.Стоимость!B16)+SUMIFS('Бланк OLD 2.0 04 '!$K$18:$K$200,'Бланк OLD 2.0 04 '!$A$18:$A$200,Шаг3.Стоимость!B16)),1)*'Прайс Производственные Услуги'!$C$15)</f>
        <v/>
      </c>
      <c r="AE16" s="85" t="str">
        <f ca="1">IFERROR(IF(OR(VLOOKUP(B16,'Шаг1.Выбор плиты'!C:D,2,0)="ЛДСП",VLOOKUP(B16,'Шаг1.Выбор плиты'!C:D,2,0)="МДФ",VLOOKUP(B16,'Шаг1.Выбор плиты'!C:D,2,0)="ДСП"),B16,""),"")</f>
        <v/>
      </c>
    </row>
    <row r="17" spans="1:31" ht="12" x14ac:dyDescent="0.2">
      <c r="A17" s="80" t="str">
        <f ca="1">IFERROR(VLOOKUP(ROW(A17)-ROW($A$13),'Шаг1.Выбор плиты'!B:B,1,0),"")</f>
        <v/>
      </c>
      <c r="B17" s="81" t="str">
        <f ca="1">IFERROR(VLOOKUP(ROW(B17)-ROW($B$13),'Шаг1.Выбор плиты'!B:D,2,0),"")</f>
        <v/>
      </c>
      <c r="C17" s="82">
        <f ca="1">IFERROR(
(SUMIFS('Шаг2.Бланк заказа NEW'!$K$19:$K$201,'Шаг2.Бланк заказа NEW'!$A$19:$A$201,B17)+SUMIFS('Бланк OLD 0.8 04'!$K$18:$K$200,'Бланк OLD 0.8 04'!$A$18:$A$200,B17)+
SUMIFS('Бланк OLD 2.0 04 '!$K$18:$K$200,'Бланк OLD 2.0 04 '!$A$18:$A$200,B17))
*IF(VLOOKUP(B17,'Шаг1.Выбор плиты'!C:Q,12,0)*1&lt;15,1.2,1.2),0)</f>
        <v>0</v>
      </c>
      <c r="D17" s="82" t="str">
        <f ca="1">IFERROR(VLOOKUP(B17,'Шаг1.Выбор плиты'!C:Q,15,0),"")</f>
        <v/>
      </c>
      <c r="E17" s="188" t="str">
        <f ca="1">IFERROR(_xlfn.CEILING.PRECISE(C17/(VLOOKUP(B17,'Шаг1.Выбор плиты'!C:S,16,0)/1000*VLOOKUP(B17,'Шаг1.Выбор плиты'!C:S,17,0)/1000),0.01),IF(B17='Шаг1.Выбор плиты'!$C$560,$AC$29,IF(B17='Шаг1.Выбор плиты'!$C$562,$AA$29,IF(B17='Шаг1.Выбор плиты'!$C$561,$AC$29,IF(B17='Шаг1.Выбор плиты'!$C$563,$R$30,"")))))</f>
        <v/>
      </c>
      <c r="F17" s="83" t="str">
        <f ca="1">IFERROR(IF(B17='Шаг1.Выбор плиты'!$C$560,$Q$29,IF(B17='Шаг1.Выбор плиты'!$C$562,$AB$29,IF(B17='Шаг1.Выбор плиты'!$C$561,$AD$29,IF(B17='Шаг1.Выбор плиты'!$C$563,$R$29,D17*E17)))),"")</f>
        <v/>
      </c>
      <c r="G17" s="84">
        <f ca="1">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плиты'!N:N,2,'Шаг1.Выбор плиты'!M:M,SMALL(INDIRECT("мм"&amp;VLOOKUP(B17,'Шаг1.Выбор плиты'!C:Q,12,0)),1))=0,
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плиты'!N:N,2,'Шаг1.Выбор плиты'!M:M,SMALL(INDIRECT("мм"&amp;VLOOKUP(B17,'Шаг1.Выбор плиты'!C:Q,12,0)),2))=0,
SUMIFS('Шаг1.Выбор плиты'!$Q:$Q,'Шаг1.Выбор плиты'!J:J,"*"&amp;RIGHT(VLOOKUP(B17,'Шаг1.Выбор плиты'!C:Q,8,0),4),'Шаг1.Выбор плиты'!L:L,VLOOKUP(B17,'Шаг1.Выбор плиты'!C:Q,10,0),'Шаг1.Выбор плиты'!N:N,2,'Шаг1.Выбор плиты'!M:M,SMALL(INDIRECT("мм"&amp;VLOOKUP(B17,'Шаг1.Выбор плиты'!C:Q,12,0)),3)),
SUMIFS('Шаг1.Выбор плиты'!$Q:$Q,'Шаг1.Выбор плиты'!J:J,"*"&amp;RIGHT(VLOOKUP(B17,'Шаг1.Выбор плиты'!C:Q,8,0),4),'Шаг1.Выбор плиты'!L:L,VLOOKUP(B17,'Шаг1.Выбор плиты'!C:Q,10,0),'Шаг1.Выбор плиты'!N:N,2,'Шаг1.Выбор плиты'!M:M,SMALL(INDIRECT("мм"&amp;VLOOKUP(B17,'Шаг1.Выбор плиты'!C:Q,12,0)),2))),
(SUMIFS('Шаг1.Выбор плиты'!$Q:$Q,'Шаг1.Выбор плиты'!J:J,"*"&amp;RIGHT(VLOOKUP(B17,'Шаг1.Выбор плиты'!C:Q,8,0),4),'Шаг1.Выбор плиты'!L:L,VLOOKUP(B17,'Шаг1.Выбор плиты'!C:Q,10,0),'Шаг1.Выбор плиты'!N:N,2,'Шаг1.Выбор плиты'!M:M,SMALL(INDIRECT("мм"&amp;VLOOKUP(B17,'Шаг1.Выбор плиты'!C:Q,12,0)),1))))</f>
        <v>0</v>
      </c>
      <c r="H17" s="84">
        <f ca="1">_xlfn.CEILING.PRECISE((SUMIFS('Шаг2.Бланк заказа NEW'!$T$19:$T$201,'Шаг2.Бланк заказа NEW'!$A$19:$A$201,$B17,'Шаг2.Бланк заказа NEW'!$E$19:$E$201,2)+
SUMIFS('Шаг2.Бланк заказа NEW'!$T$19:$T$201,'Шаг2.Бланк заказа NEW'!$A$19:$A$201,$B17,'Шаг2.Бланк заказа NEW'!$F$19:$F$201,2)+
SUMIFS('Шаг2.Бланк заказа NEW'!$U$19:$U$201,'Шаг2.Бланк заказа NEW'!$A$19:$A$201,$B17,'Шаг2.Бланк заказа NEW'!$H$19:$H$201,2)+
SUMIFS('Шаг2.Бланк заказа NEW'!$U$19:$U$201,'Шаг2.Бланк заказа NEW'!$A$19:$A$201,$B17,'Шаг2.Бланк заказа NEW'!$I$19:$I$201,2)+
SUMIFS('Бланк OLD 2.0 04 '!$M$18:$M$200,'Бланк OLD 2.0 04 '!$A$18:$A$200,$B17))/1000*1.2,5)</f>
        <v>0</v>
      </c>
      <c r="I17" s="84">
        <f ca="1">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плиты'!N:N,0.8,'Шаг1.Выбор плиты'!M:M,SMALL(INDIRECT("мм"&amp;VLOOKUP(B17,'Шаг1.Выбор плиты'!C:Q,12,0)),1))=0,
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плиты'!N:N,0.8,'Шаг1.Выбор плиты'!M:M,SMALL(INDIRECT("мм"&amp;VLOOKUP(B17,'Шаг1.Выбор плиты'!C:Q,12,0)),2))=0,
SUMIFS('Шаг1.Выбор плиты'!$Q:$Q,'Шаг1.Выбор плиты'!J:J,"*"&amp;RIGHT(VLOOKUP(B17,'Шаг1.Выбор плиты'!C:Q,8,0),4),'Шаг1.Выбор плиты'!L:L,VLOOKUP(B17,'Шаг1.Выбор плиты'!C:Q,10,0),'Шаг1.Выбор плиты'!N:N,0.8,'Шаг1.Выбор плиты'!M:M,SMALL(INDIRECT("мм"&amp;VLOOKUP(B17,'Шаг1.Выбор плиты'!C:Q,12,0)),3)),
SUMIFS('Шаг1.Выбор плиты'!$Q:$Q,'Шаг1.Выбор плиты'!J:J,"*"&amp;RIGHT(VLOOKUP(B17,'Шаг1.Выбор плиты'!C:Q,8,0),4),'Шаг1.Выбор плиты'!L:L,VLOOKUP(B17,'Шаг1.Выбор плиты'!C:Q,10,0),'Шаг1.Выбор плиты'!N:N,0.8,'Шаг1.Выбор плиты'!M:M,SMALL(INDIRECT("мм"&amp;VLOOKUP(B17,'Шаг1.Выбор плиты'!C:Q,12,0)),2))),
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плиты'!N:N,0.8,'Шаг1.Выбор плиты'!M:M,SMALL(INDIRECT("мм"&amp;VLOOKUP(B17,'Шаг1.Выбор плиты'!C:Q,12,0)),1))))</f>
        <v>0</v>
      </c>
      <c r="J17" s="84">
        <f ca="1">_xlfn.CEILING.PRECISE((SUMIFS('Шаг2.Бланк заказа NEW'!$T$19:$T$201,'Шаг2.Бланк заказа NEW'!$A$19:$A$201,$B17,'Шаг2.Бланк заказа NEW'!$E$19:$E$201,0.8)+
SUMIFS('Шаг2.Бланк заказа NEW'!$T$19:$T$201,'Шаг2.Бланк заказа NEW'!$A$19:$A$201,$B17,'Шаг2.Бланк заказа NEW'!$F$19:$F$201,0.8)+
SUMIFS('Шаг2.Бланк заказа NEW'!$U$19:$U$201,'Шаг2.Бланк заказа NEW'!$A$19:$A$201,$B17,'Шаг2.Бланк заказа NEW'!$H$19:$H$201,0.8)+
SUMIFS('Шаг2.Бланк заказа NEW'!$U$19:$U$201,'Шаг2.Бланк заказа NEW'!$A$19:$A$201,$B17,'Шаг2.Бланк заказа NEW'!$I$19:$I$201,0.8)+
SUMIFS('Бланк OLD 0.8 04'!$M$18:$M$200,'Бланк OLD 0.8 04'!$A$18:$A$200,$B17))/1000*1.2,5)</f>
        <v>0</v>
      </c>
      <c r="K17" s="84">
        <f ca="1">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плиты'!N:N,0.4,'Шаг1.Выбор плиты'!M:M,SMALL(INDIRECT("мм"&amp;VLOOKUP(B17,'Шаг1.Выбор плиты'!C:Q,12,0)),1))=0,
IF(SUMIFS('Шаг1.Выбор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плиты'!N:N,0.4,'Шаг1.Выбор плиты'!M:M,SMALL(INDIRECT("мм"&amp;VLOOKUP(B17,'Шаг1.Выбор плиты'!C:Q,12,0)),2))=0,
SUMIFS('Шаг1.Выбор плиты'!$Q:$Q,'Шаг1.Выбор плиты'!J:J,"*"&amp;RIGHT(VLOOKUP(B17,'Шаг1.Выбор плиты'!C:Q,8,0),4),'Шаг1.Выбор плиты'!L:L,VLOOKUP(B17,'Шаг1.Выбор плиты'!C:Q,10,0),'Шаг1.Выбор плиты'!N:N,0.4,'Шаг1.Выбор плиты'!M:M,SMALL(INDIRECT("мм"&amp;VLOOKUP(B17,'Шаг1.Выбор плиты'!C:Q,12,0)),3)),
SUMIFS('Шаг1.Выбор плиты'!$Q:$Q,'Шаг1.Выбор плиты'!J:J,"*"&amp;RIGHT(VLOOKUP(B17,'Шаг1.Выбор плиты'!C:Q,8,0),4),'Шаг1.Выбор плиты'!L:L,VLOOKUP(B17,'Шаг1.Выбор плиты'!C:Q,10,0),'Шаг1.Выбор плиты'!N:N,0.4,'Шаг1.Выбор плиты'!M:M,SMALL(INDIRECT("мм"&amp;VLOOKUP(B17,'Шаг1.Выбор плиты'!C:Q,12,0)),2))),
(SUMIFS('Шаг1.Выбор плиты'!$Q:$Q,'Шаг1.Выбор плиты'!J:J,"*"&amp;RIGHT(VLOOKUP(B17,'Шаг1.Выбор плиты'!C:Q,8,0),4),'Шаг1.Выбор плиты'!L:L,VLOOKUP(B17,'Шаг1.Выбор плиты'!C:Q,10,0),'Шаг1.Выбор плиты'!N:N,0.4,'Шаг1.Выбор плиты'!M:M,SMALL(INDIRECT("мм"&amp;VLOOKUP(B17,'Шаг1.Выбор плиты'!C:Q,12,0)),1))))</f>
        <v>0</v>
      </c>
      <c r="L17" s="84">
        <f ca="1">_xlfn.CEILING.PRECISE((SUMIFS('Шаг2.Бланк заказа NEW'!$T$19:$T$201,'Шаг2.Бланк заказа NEW'!$A$19:$A$201,$B17,'Шаг2.Бланк заказа NEW'!$E$19:$E$201,0.4)+
SUMIFS('Шаг2.Бланк заказа NEW'!$T$19:$T$201,'Шаг2.Бланк заказа NEW'!$A$19:$A$201,$B17,'Шаг2.Бланк заказа NEW'!$F$19:$F$201,0.4)+
SUMIFS('Шаг2.Бланк заказа NEW'!$U$19:$U$201,'Шаг2.Бланк заказа NEW'!$A$19:$A$201,$B17,'Шаг2.Бланк заказа NEW'!$H$19:$H$201,0.4)+
SUMIFS('Шаг2.Бланк заказа NEW'!$U$19:$U$201,'Шаг2.Бланк заказа NEW'!$A$19:$A$201,$B17,'Шаг2.Бланк заказа NEW'!$I$19:$I$201,0.4)+
SUMIFS('Бланк OLD 0.8 04'!$N$18:$N$200,'Бланк OLD 0.8 04'!$A$18:$A$200,$B17)+
SUMIFS('Бланк OLD 2.0 04 '!$N$18:$N$200,'Бланк OLD 2.0 04 '!$A$18:$A$200,$B17))/1000*1.2,5)</f>
        <v>0</v>
      </c>
      <c r="M17" s="84">
        <f ca="1">SUMIFS('Шаг1.Выбор плиты'!$Q:$Q,'Шаг1.Выбор плиты'!J:J,VLOOKUP(B17,'Шаг1.Выбор плиты'!C:Q,8,0),'Шаг1.Выбор плиты'!L:L,IF(MID(B17,1,6)="ЛДСП P","TM"&amp;MID(VLOOKUP(B17,'Шаг1.Выбор плиты'!C:Q,10,0),3,2),MID(VLOOKUP(B17,'Шаг1.Выбор плиты'!C:Q,10,0),1,2)),
'Шаг1.Выбор плиты'!N:N,1)</f>
        <v>0</v>
      </c>
      <c r="N17" s="84">
        <f ca="1">_xlfn.CEILING.PRECISE((SUMIFS('Шаг2.Бланк заказа NEW'!$T$19:$T$201,'Шаг2.Бланк заказа NEW'!$A$19:$A$201,$B17,'Шаг2.Бланк заказа NEW'!$E$19:$E$201,1)+
SUMIFS('Шаг2.Бланк заказа NEW'!$T$19:$T$201,'Шаг2.Бланк заказа NEW'!$A$19:$A$201,$B17,'Шаг2.Бланк заказа NEW'!$F$19:$F$201,1)+
SUMIFS('Шаг2.Бланк заказа NEW'!$U$19:$U$201,'Шаг2.Бланк заказа NEW'!$A$19:$A$201,$B17,'Шаг2.Бланк заказа NEW'!$H$19:$H$201,1)+
SUMIFS('Шаг2.Бланк заказа NEW'!$U$19:$U$201,'Шаг2.Бланк заказа NEW'!$A$19:$A$201,$B17,'Шаг2.Бланк заказа NEW'!$I$19:$I$201,1))/1000*1.2,5)</f>
        <v>0</v>
      </c>
      <c r="O17" s="85">
        <f t="shared" ca="1" si="0"/>
        <v>0</v>
      </c>
      <c r="P17" s="86">
        <f ca="1">IF(OR(AND(G17=0,H17&gt;0),AND(I17=0,J17&gt;0),AND(K17=0,L17&gt;0),AND(M17=0,N17&gt;0)),"Уточните цену у менеджера",G17*H17+I17*J17+K17*L17+M17*N17)</f>
        <v>0</v>
      </c>
      <c r="Q17" s="103">
        <f ca="1">ROUND(SUMIFS('Шаг2.Бланк заказа NEW'!$V$19:$V$201,'Шаг2.Бланк заказа NEW'!$A$19:$A$201,B17)+
SUMIFS('Бланк OLD 0.8 04'!$O$18:$O$200,'Бланк OLD 0.8 04'!$A$18:$A$200,B17)+
SUMIFS('Бланк OLD 2.0 04 '!$O$18:$O$200,'Бланк OLD 2.0 04 '!$A$18:$A$200,B17),0)</f>
        <v>0</v>
      </c>
      <c r="R17" s="103">
        <f ca="1">ROUND(SUMIFS('Шаг2.Бланк заказа NEW'!$W$19:$W$201,'Шаг2.Бланк заказа NEW'!$A$19:$A$201,B17),0)</f>
        <v>0</v>
      </c>
      <c r="S17" s="84">
        <f ca="1">IFERROR(IF(VLOOKUP(B17,'Шаг1.Выбор плиты'!C:Q,12,0)*1&lt;10,0,
IF(VLOOKUP(B17,'Шаг1.Выбор плиты'!C:Q,12,0)*1&lt;25,'Прайс Производственные Услуги'!$C$9,
IF(VLOOKUP(B17,'Шаг1.Выбор плиты'!C:Q,12,0)*1=25,'Прайс Производственные Услуги'!$C$10,
IF(VLOOKUP(B17,'Шаг1.Выбор плиты'!C:Q,12,0)*1&gt;25,'Прайс Производственные Услуги'!$C$11,
0)))),0)</f>
        <v>0</v>
      </c>
      <c r="T17" s="84">
        <f ca="1">_xlfn.CEILING.PRECISE((SUMIFS('Шаг2.Бланк заказа NEW'!$T$19:$T$201,'Шаг2.Бланк заказа NEW'!$A$19:$A$201,$B17,'Шаг2.Бланк заказа NEW'!$E$19:$E$201,2)+
SUMIFS('Шаг2.Бланк заказа NEW'!$T$19:$T$201,'Шаг2.Бланк заказа NEW'!$A$19:$A$201,$B17,'Шаг2.Бланк заказа NEW'!$F$19:$F$201,2)+
SUMIFS('Шаг2.Бланк заказа NEW'!$U$19:$U$201,'Шаг2.Бланк заказа NEW'!$A$19:$A$201,$B17,'Шаг2.Бланк заказа NEW'!$H$19:$H$201,2)+
SUMIFS('Шаг2.Бланк заказа NEW'!$U$19:$U$201,'Шаг2.Бланк заказа NEW'!$A$19:$A$201,$B17,'Шаг2.Бланк заказа NEW'!$I$19:$I$201,2)+
SUMIFS('Бланк OLD 2.0 04 '!$M$18:$M$200,'Бланк OLD 2.0 04 '!$A$18:$A$200,$B17))/1000,1)</f>
        <v>0</v>
      </c>
      <c r="U17" s="84">
        <f ca="1">IFERROR(IF(VLOOKUP(B17,'Шаг1.Выбор плиты'!C:Q,12,0)*1&lt;10,0,
IF(VLOOKUP(B17,'Шаг1.Выбор плиты'!C:Q,12,0)*1&lt;25,'Прайс Производственные Услуги'!$C$7,
IF(VLOOKUP(B17,'Шаг1.Выбор плиты'!C:Q,12,0)*1&gt;24,'Прайс Производственные Услуги'!$C$8,
0))),0)</f>
        <v>0</v>
      </c>
      <c r="V17" s="84">
        <f ca="1">_xlfn.CEILING.PRECISE((SUMIFS('Шаг2.Бланк заказа NEW'!$T$19:$T$201,'Шаг2.Бланк заказа NEW'!$A$19:$A$201,$B17,'Шаг2.Бланк заказа NEW'!$E$19:$E$201,0.8)+
SUMIFS('Шаг2.Бланк заказа NEW'!$T$19:$T$201,'Шаг2.Бланк заказа NEW'!$A$19:$A$201,$B17,'Шаг2.Бланк заказа NEW'!$F$19:$F$201,0.8)+
SUMIFS('Шаг2.Бланк заказа NEW'!$U$19:$U$201,'Шаг2.Бланк заказа NEW'!$A$19:$A$201,$B17,'Шаг2.Бланк заказа NEW'!$H$19:$H$201,0.8)+
SUMIFS('Шаг2.Бланк заказа NEW'!$U$19:$U$201,'Шаг2.Бланк заказа NEW'!$A$19:$A$201,$B17,'Шаг2.Бланк заказа NEW'!$I$19:$I$201,0.8)+
SUMIFS('Бланк OLD 0.8 04'!$M$18:$M$200,'Бланк OLD 0.8 04'!$A$18:$A$200,$B17))/1000,1)</f>
        <v>0</v>
      </c>
      <c r="W17" s="84">
        <f ca="1">IFERROR(IF(VLOOKUP(B17,'Шаг1.Выбор плиты'!C:Q,12,0)*1&lt;10,0,
IF(VLOOKUP(B17,'Шаг1.Выбор плиты'!C:Q,12,0)*1&lt;25,'Прайс Производственные Услуги'!$C$5,
IF(VLOOKUP(B17,'Шаг1.Выбор плиты'!C:Q,12,0)*1&gt;24,'Прайс Производственные Услуги'!$C$6,
0))),0)</f>
        <v>0</v>
      </c>
      <c r="X17" s="84">
        <f ca="1">_xlfn.CEILING.PRECISE((SUMIFS('Шаг2.Бланк заказа NEW'!$T$19:$T$201,'Шаг2.Бланк заказа NEW'!$A$19:$A$201,$B17,'Шаг2.Бланк заказа NEW'!$E$19:$E$201,0.4)+
SUMIFS('Шаг2.Бланк заказа NEW'!$T$19:$T$201,'Шаг2.Бланк заказа NEW'!$A$19:$A$201,$B17,'Шаг2.Бланк заказа NEW'!$F$19:$F$201,0.4)+
SUMIFS('Шаг2.Бланк заказа NEW'!$U$19:$U$201,'Шаг2.Бланк заказа NEW'!$A$19:$A$201,$B17,'Шаг2.Бланк заказа NEW'!$H$19:$H$201,0.4)+
SUMIFS('Шаг2.Бланк заказа NEW'!$U$19:$U$201,'Шаг2.Бланк заказа NEW'!$A$19:$A$201,$B17,'Шаг2.Бланк заказа NEW'!$I$19:$I$201,0.4)+
SUMIFS('Бланк OLD 0.8 04'!$N$18:$N$200,'Бланк OLD 0.8 04'!$A$18:$A$200,$B17)+
SUMIFS('Бланк OLD 2.0 04 '!$N$18:$N$200,'Бланк OLD 2.0 04 '!$A$18:$A$200,$B17))/1000,1)</f>
        <v>0</v>
      </c>
      <c r="Y17" s="84">
        <f ca="1">IF(OR(MID(B17,1,6)="ЛМДФ P",MID(B17,1,6)="ЛДСП P"),'Прайс Производственные Услуги'!$C$4,0)</f>
        <v>0</v>
      </c>
      <c r="Z17" s="84">
        <f ca="1">_xlfn.CEILING.PRECISE((SUMIFS('Шаг2.Бланк заказа NEW'!$T$19:$T$201,'Шаг2.Бланк заказа NEW'!$A$19:$A$201,$B17,'Шаг2.Бланк заказа NEW'!$E$19:$E$201,1)+
SUMIFS('Шаг2.Бланк заказа NEW'!$T$19:$T$201,'Шаг2.Бланк заказа NEW'!$A$19:$A$201,$B17,'Шаг2.Бланк заказа NEW'!$F$19:$F$201,1)+
SUMIFS('Шаг2.Бланк заказа NEW'!$U$19:$U$201,'Шаг2.Бланк заказа NEW'!$A$19:$A$201,$B17,'Шаг2.Бланк заказа NEW'!$H$19:$H$201,1)+
SUMIFS('Шаг2.Бланк заказа NEW'!$U$19:$U$201,'Шаг2.Бланк заказа NEW'!$A$19:$A$201,$B17,'Шаг2.Бланк заказа NEW'!$I$19:$I$201,1))/1000,1)</f>
        <v>0</v>
      </c>
      <c r="AA17" s="84">
        <f t="shared" ca="1" si="1"/>
        <v>0</v>
      </c>
      <c r="AB17" s="84">
        <f t="shared" ca="1" si="3"/>
        <v>0</v>
      </c>
      <c r="AC17" s="84" t="str">
        <f ca="1">IF(B17="","",_xlfn.CEILING.PRECISE((SUMIFS('Шаг2.Бланк заказа NEW'!$K$17:$K$201,'Шаг2.Бланк заказа NEW'!$A$17:$A$201,Шаг3.Стоимость!B17)+SUMIFS('Бланк OLD 0.8 04'!$K$18:$K$200,'Бланк OLD 0.8 04'!$A$18:$A$200,Шаг3.Стоимость!B17)+SUMIFS('Бланк OLD 2.0 04 '!$K$18:$K$200,'Бланк OLD 2.0 04 '!$A$18:$A$200,Шаг3.Стоимость!B17)),1))</f>
        <v/>
      </c>
      <c r="AD17" s="84" t="str">
        <f ca="1">IF(B17="","",_xlfn.CEILING.PRECISE((SUMIFS('Шаг2.Бланк заказа NEW'!$K$17:$K$201,'Шаг2.Бланк заказа NEW'!$A$17:$A$201,Шаг3.Стоимость!B17)+SUMIFS('Бланк OLD 0.8 04'!$K$18:$K$200,'Бланк OLD 0.8 04'!$A$18:$A$200,Шаг3.Стоимость!B17)+SUMIFS('Бланк OLD 2.0 04 '!$K$18:$K$200,'Бланк OLD 2.0 04 '!$A$18:$A$200,Шаг3.Стоимость!B17)),1)*'Прайс Производственные Услуги'!$C$15)</f>
        <v/>
      </c>
      <c r="AE17" s="85" t="str">
        <f ca="1">IFERROR(IF(OR(VLOOKUP(B17,'Шаг1.Выбор плиты'!C:D,2,0)="ЛДСП",VLOOKUP(B17,'Шаг1.Выбор плиты'!C:D,2,0)="МДФ",VLOOKUP(B17,'Шаг1.Выбор плиты'!C:D,2,0)="ДСП"),B17,""),"")</f>
        <v/>
      </c>
    </row>
    <row r="18" spans="1:31" ht="12" x14ac:dyDescent="0.2">
      <c r="A18" s="80" t="str">
        <f ca="1">IFERROR(VLOOKUP(ROW(A18)-ROW($A$13),'Шаг1.Выбор плиты'!B:B,1,0),"")</f>
        <v/>
      </c>
      <c r="B18" s="81" t="str">
        <f ca="1">IFERROR(VLOOKUP(ROW(B18)-ROW($B$13),'Шаг1.Выбор плиты'!B:D,2,0),"")</f>
        <v/>
      </c>
      <c r="C18" s="82">
        <f ca="1">IFERROR(
(SUMIFS('Шаг2.Бланк заказа NEW'!$K$19:$K$201,'Шаг2.Бланк заказа NEW'!$A$19:$A$201,B18)+SUMIFS('Бланк OLD 0.8 04'!$K$18:$K$200,'Бланк OLD 0.8 04'!$A$18:$A$200,B18)+
SUMIFS('Бланк OLD 2.0 04 '!$K$18:$K$200,'Бланк OLD 2.0 04 '!$A$18:$A$200,B18))
*IF(VLOOKUP(B18,'Шаг1.Выбор плиты'!C:Q,12,0)*1&lt;15,1.2,1.2),0)</f>
        <v>0</v>
      </c>
      <c r="D18" s="82" t="str">
        <f ca="1">IFERROR(VLOOKUP(B18,'Шаг1.Выбор плиты'!C:Q,15,0),"")</f>
        <v/>
      </c>
      <c r="E18" s="188" t="str">
        <f ca="1">IFERROR(_xlfn.CEILING.PRECISE(C18/(VLOOKUP(B18,'Шаг1.Выбор плиты'!C:S,16,0)/1000*VLOOKUP(B18,'Шаг1.Выбор плиты'!C:S,17,0)/1000),0.01),IF(B18='Шаг1.Выбор плиты'!$C$560,$AC$29,IF(B18='Шаг1.Выбор плиты'!$C$562,$AA$29,IF(B18='Шаг1.Выбор плиты'!$C$561,$AC$29,IF(B18='Шаг1.Выбор плиты'!$C$563,$R$30,"")))))</f>
        <v/>
      </c>
      <c r="F18" s="83" t="str">
        <f ca="1">IFERROR(IF(B18='Шаг1.Выбор плиты'!$C$560,$Q$29,IF(B18='Шаг1.Выбор плиты'!$C$562,$AB$29,IF(B18='Шаг1.Выбор плиты'!$C$561,$AD$29,IF(B18='Шаг1.Выбор плиты'!$C$563,$R$29,D18*E18)))),"")</f>
        <v/>
      </c>
      <c r="G18" s="84">
        <f ca="1">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плиты'!N:N,2,'Шаг1.Выбор плиты'!M:M,SMALL(INDIRECT("мм"&amp;VLOOKUP(B18,'Шаг1.Выбор плиты'!C:Q,12,0)),1))=0,
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плиты'!N:N,2,'Шаг1.Выбор плиты'!M:M,SMALL(INDIRECT("мм"&amp;VLOOKUP(B18,'Шаг1.Выбор плиты'!C:Q,12,0)),2))=0,
SUMIFS('Шаг1.Выбор плиты'!$Q:$Q,'Шаг1.Выбор плиты'!J:J,"*"&amp;RIGHT(VLOOKUP(B18,'Шаг1.Выбор плиты'!C:Q,8,0),4),'Шаг1.Выбор плиты'!L:L,VLOOKUP(B18,'Шаг1.Выбор плиты'!C:Q,10,0),'Шаг1.Выбор плиты'!N:N,2,'Шаг1.Выбор плиты'!M:M,SMALL(INDIRECT("мм"&amp;VLOOKUP(B18,'Шаг1.Выбор плиты'!C:Q,12,0)),3)),
SUMIFS('Шаг1.Выбор плиты'!$Q:$Q,'Шаг1.Выбор плиты'!J:J,"*"&amp;RIGHT(VLOOKUP(B18,'Шаг1.Выбор плиты'!C:Q,8,0),4),'Шаг1.Выбор плиты'!L:L,VLOOKUP(B18,'Шаг1.Выбор плиты'!C:Q,10,0),'Шаг1.Выбор плиты'!N:N,2,'Шаг1.Выбор плиты'!M:M,SMALL(INDIRECT("мм"&amp;VLOOKUP(B18,'Шаг1.Выбор плиты'!C:Q,12,0)),2))),
(SUMIFS('Шаг1.Выбор плиты'!$Q:$Q,'Шаг1.Выбор плиты'!J:J,"*"&amp;RIGHT(VLOOKUP(B18,'Шаг1.Выбор плиты'!C:Q,8,0),4),'Шаг1.Выбор плиты'!L:L,VLOOKUP(B18,'Шаг1.Выбор плиты'!C:Q,10,0),'Шаг1.Выбор плиты'!N:N,2,'Шаг1.Выбор плиты'!M:M,SMALL(INDIRECT("мм"&amp;VLOOKUP(B18,'Шаг1.Выбор плиты'!C:Q,12,0)),1))))</f>
        <v>0</v>
      </c>
      <c r="H18" s="84">
        <f ca="1">_xlfn.CEILING.PRECISE((SUMIFS('Шаг2.Бланк заказа NEW'!$T$19:$T$201,'Шаг2.Бланк заказа NEW'!$A$19:$A$201,$B18,'Шаг2.Бланк заказа NEW'!$E$19:$E$201,2)+
SUMIFS('Шаг2.Бланк заказа NEW'!$T$19:$T$201,'Шаг2.Бланк заказа NEW'!$A$19:$A$201,$B18,'Шаг2.Бланк заказа NEW'!$F$19:$F$201,2)+
SUMIFS('Шаг2.Бланк заказа NEW'!$U$19:$U$201,'Шаг2.Бланк заказа NEW'!$A$19:$A$201,$B18,'Шаг2.Бланк заказа NEW'!$H$19:$H$201,2)+
SUMIFS('Шаг2.Бланк заказа NEW'!$U$19:$U$201,'Шаг2.Бланк заказа NEW'!$A$19:$A$201,$B18,'Шаг2.Бланк заказа NEW'!$I$19:$I$201,2)+
SUMIFS('Бланк OLD 2.0 04 '!$M$18:$M$200,'Бланк OLD 2.0 04 '!$A$18:$A$200,$B18))/1000*1.2,5)</f>
        <v>0</v>
      </c>
      <c r="I18" s="84">
        <f ca="1">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плиты'!N:N,0.8,'Шаг1.Выбор плиты'!M:M,SMALL(INDIRECT("мм"&amp;VLOOKUP(B18,'Шаг1.Выбор плиты'!C:Q,12,0)),1))=0,
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плиты'!N:N,0.8,'Шаг1.Выбор плиты'!M:M,SMALL(INDIRECT("мм"&amp;VLOOKUP(B18,'Шаг1.Выбор плиты'!C:Q,12,0)),2))=0,
SUMIFS('Шаг1.Выбор плиты'!$Q:$Q,'Шаг1.Выбор плиты'!J:J,"*"&amp;RIGHT(VLOOKUP(B18,'Шаг1.Выбор плиты'!C:Q,8,0),4),'Шаг1.Выбор плиты'!L:L,VLOOKUP(B18,'Шаг1.Выбор плиты'!C:Q,10,0),'Шаг1.Выбор плиты'!N:N,0.8,'Шаг1.Выбор плиты'!M:M,SMALL(INDIRECT("мм"&amp;VLOOKUP(B18,'Шаг1.Выбор плиты'!C:Q,12,0)),3)),
SUMIFS('Шаг1.Выбор плиты'!$Q:$Q,'Шаг1.Выбор плиты'!J:J,"*"&amp;RIGHT(VLOOKUP(B18,'Шаг1.Выбор плиты'!C:Q,8,0),4),'Шаг1.Выбор плиты'!L:L,VLOOKUP(B18,'Шаг1.Выбор плиты'!C:Q,10,0),'Шаг1.Выбор плиты'!N:N,0.8,'Шаг1.Выбор плиты'!M:M,SMALL(INDIRECT("мм"&amp;VLOOKUP(B18,'Шаг1.Выбор плиты'!C:Q,12,0)),2))),
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плиты'!N:N,0.8,'Шаг1.Выбор плиты'!M:M,SMALL(INDIRECT("мм"&amp;VLOOKUP(B18,'Шаг1.Выбор плиты'!C:Q,12,0)),1))))</f>
        <v>0</v>
      </c>
      <c r="J18" s="84">
        <f ca="1">_xlfn.CEILING.PRECISE((SUMIFS('Шаг2.Бланк заказа NEW'!$T$19:$T$201,'Шаг2.Бланк заказа NEW'!$A$19:$A$201,$B18,'Шаг2.Бланк заказа NEW'!$E$19:$E$201,0.8)+
SUMIFS('Шаг2.Бланк заказа NEW'!$T$19:$T$201,'Шаг2.Бланк заказа NEW'!$A$19:$A$201,$B18,'Шаг2.Бланк заказа NEW'!$F$19:$F$201,0.8)+
SUMIFS('Шаг2.Бланк заказа NEW'!$U$19:$U$201,'Шаг2.Бланк заказа NEW'!$A$19:$A$201,$B18,'Шаг2.Бланк заказа NEW'!$H$19:$H$201,0.8)+
SUMIFS('Шаг2.Бланк заказа NEW'!$U$19:$U$201,'Шаг2.Бланк заказа NEW'!$A$19:$A$201,$B18,'Шаг2.Бланк заказа NEW'!$I$19:$I$201,0.8)+
SUMIFS('Бланк OLD 0.8 04'!$M$18:$M$200,'Бланк OLD 0.8 04'!$A$18:$A$200,$B18))/1000*1.2,5)</f>
        <v>0</v>
      </c>
      <c r="K18" s="84">
        <f ca="1">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плиты'!N:N,0.4,'Шаг1.Выбор плиты'!M:M,SMALL(INDIRECT("мм"&amp;VLOOKUP(B18,'Шаг1.Выбор плиты'!C:Q,12,0)),1))=0,
IF(SUMIFS('Шаг1.Выбор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плиты'!N:N,0.4,'Шаг1.Выбор плиты'!M:M,SMALL(INDIRECT("мм"&amp;VLOOKUP(B18,'Шаг1.Выбор плиты'!C:Q,12,0)),2))=0,
SUMIFS('Шаг1.Выбор плиты'!$Q:$Q,'Шаг1.Выбор плиты'!J:J,"*"&amp;RIGHT(VLOOKUP(B18,'Шаг1.Выбор плиты'!C:Q,8,0),4),'Шаг1.Выбор плиты'!L:L,VLOOKUP(B18,'Шаг1.Выбор плиты'!C:Q,10,0),'Шаг1.Выбор плиты'!N:N,0.4,'Шаг1.Выбор плиты'!M:M,SMALL(INDIRECT("мм"&amp;VLOOKUP(B18,'Шаг1.Выбор плиты'!C:Q,12,0)),3)),
SUMIFS('Шаг1.Выбор плиты'!$Q:$Q,'Шаг1.Выбор плиты'!J:J,"*"&amp;RIGHT(VLOOKUP(B18,'Шаг1.Выбор плиты'!C:Q,8,0),4),'Шаг1.Выбор плиты'!L:L,VLOOKUP(B18,'Шаг1.Выбор плиты'!C:Q,10,0),'Шаг1.Выбор плиты'!N:N,0.4,'Шаг1.Выбор плиты'!M:M,SMALL(INDIRECT("мм"&amp;VLOOKUP(B18,'Шаг1.Выбор плиты'!C:Q,12,0)),2))),
(SUMIFS('Шаг1.Выбор плиты'!$Q:$Q,'Шаг1.Выбор плиты'!J:J,"*"&amp;RIGHT(VLOOKUP(B18,'Шаг1.Выбор плиты'!C:Q,8,0),4),'Шаг1.Выбор плиты'!L:L,VLOOKUP(B18,'Шаг1.Выбор плиты'!C:Q,10,0),'Шаг1.Выбор плиты'!N:N,0.4,'Шаг1.Выбор плиты'!M:M,SMALL(INDIRECT("мм"&amp;VLOOKUP(B18,'Шаг1.Выбор плиты'!C:Q,12,0)),1))))</f>
        <v>0</v>
      </c>
      <c r="L18" s="84">
        <f ca="1">_xlfn.CEILING.PRECISE((SUMIFS('Шаг2.Бланк заказа NEW'!$T$19:$T$201,'Шаг2.Бланк заказа NEW'!$A$19:$A$201,$B18,'Шаг2.Бланк заказа NEW'!$E$19:$E$201,0.4)+
SUMIFS('Шаг2.Бланк заказа NEW'!$T$19:$T$201,'Шаг2.Бланк заказа NEW'!$A$19:$A$201,$B18,'Шаг2.Бланк заказа NEW'!$F$19:$F$201,0.4)+
SUMIFS('Шаг2.Бланк заказа NEW'!$U$19:$U$201,'Шаг2.Бланк заказа NEW'!$A$19:$A$201,$B18,'Шаг2.Бланк заказа NEW'!$H$19:$H$201,0.4)+
SUMIFS('Шаг2.Бланк заказа NEW'!$U$19:$U$201,'Шаг2.Бланк заказа NEW'!$A$19:$A$201,$B18,'Шаг2.Бланк заказа NEW'!$I$19:$I$201,0.4)+
SUMIFS('Бланк OLD 0.8 04'!$N$18:$N$200,'Бланк OLD 0.8 04'!$A$18:$A$200,$B18)+
SUMIFS('Бланк OLD 2.0 04 '!$N$18:$N$200,'Бланк OLD 2.0 04 '!$A$18:$A$200,$B18))/1000*1.2,5)</f>
        <v>0</v>
      </c>
      <c r="M18" s="84">
        <f ca="1">SUMIFS('Шаг1.Выбор плиты'!$Q:$Q,'Шаг1.Выбор плиты'!J:J,VLOOKUP(B18,'Шаг1.Выбор плиты'!C:Q,8,0),'Шаг1.Выбор плиты'!L:L,IF(MID(B18,1,6)="ЛДСП P","TM"&amp;MID(VLOOKUP(B18,'Шаг1.Выбор плиты'!C:Q,10,0),3,2),MID(VLOOKUP(B18,'Шаг1.Выбор плиты'!C:Q,10,0),1,2)),
'Шаг1.Выбор плиты'!N:N,1)</f>
        <v>0</v>
      </c>
      <c r="N18" s="84">
        <f ca="1">_xlfn.CEILING.PRECISE((SUMIFS('Шаг2.Бланк заказа NEW'!$T$19:$T$201,'Шаг2.Бланк заказа NEW'!$A$19:$A$201,$B18,'Шаг2.Бланк заказа NEW'!$E$19:$E$201,1)+
SUMIFS('Шаг2.Бланк заказа NEW'!$T$19:$T$201,'Шаг2.Бланк заказа NEW'!$A$19:$A$201,$B18,'Шаг2.Бланк заказа NEW'!$F$19:$F$201,1)+
SUMIFS('Шаг2.Бланк заказа NEW'!$U$19:$U$201,'Шаг2.Бланк заказа NEW'!$A$19:$A$201,$B18,'Шаг2.Бланк заказа NEW'!$H$19:$H$201,1)+
SUMIFS('Шаг2.Бланк заказа NEW'!$U$19:$U$201,'Шаг2.Бланк заказа NEW'!$A$19:$A$201,$B18,'Шаг2.Бланк заказа NEW'!$I$19:$I$201,1))/1000*1.2,5)</f>
        <v>0</v>
      </c>
      <c r="O18" s="85">
        <f t="shared" ca="1" si="0"/>
        <v>0</v>
      </c>
      <c r="P18" s="86">
        <f t="shared" ca="1" si="2"/>
        <v>0</v>
      </c>
      <c r="Q18" s="103">
        <f ca="1">ROUND(SUMIFS('Шаг2.Бланк заказа NEW'!$V$19:$V$201,'Шаг2.Бланк заказа NEW'!$A$19:$A$201,B18)+
SUMIFS('Бланк OLD 0.8 04'!$O$18:$O$200,'Бланк OLD 0.8 04'!$A$18:$A$200,B18)+
SUMIFS('Бланк OLD 2.0 04 '!$O$18:$O$200,'Бланк OLD 2.0 04 '!$A$18:$A$200,B18),0)</f>
        <v>0</v>
      </c>
      <c r="R18" s="103">
        <f ca="1">ROUND(SUMIFS('Шаг2.Бланк заказа NEW'!$W$19:$W$201,'Шаг2.Бланк заказа NEW'!$A$19:$A$201,B18),0)</f>
        <v>0</v>
      </c>
      <c r="S18" s="84">
        <f ca="1">IFERROR(IF(VLOOKUP(B18,'Шаг1.Выбор плиты'!C:Q,12,0)*1&lt;10,0,
IF(VLOOKUP(B18,'Шаг1.Выбор плиты'!C:Q,12,0)*1&lt;25,'Прайс Производственные Услуги'!$C$9,
IF(VLOOKUP(B18,'Шаг1.Выбор плиты'!C:Q,12,0)*1=25,'Прайс Производственные Услуги'!$C$10,
IF(VLOOKUP(B18,'Шаг1.Выбор плиты'!C:Q,12,0)*1&gt;25,'Прайс Производственные Услуги'!$C$11,
0)))),0)</f>
        <v>0</v>
      </c>
      <c r="T18" s="84">
        <f ca="1">_xlfn.CEILING.PRECISE((SUMIFS('Шаг2.Бланк заказа NEW'!$T$19:$T$201,'Шаг2.Бланк заказа NEW'!$A$19:$A$201,$B18,'Шаг2.Бланк заказа NEW'!$E$19:$E$201,2)+
SUMIFS('Шаг2.Бланк заказа NEW'!$T$19:$T$201,'Шаг2.Бланк заказа NEW'!$A$19:$A$201,$B18,'Шаг2.Бланк заказа NEW'!$F$19:$F$201,2)+
SUMIFS('Шаг2.Бланк заказа NEW'!$U$19:$U$201,'Шаг2.Бланк заказа NEW'!$A$19:$A$201,$B18,'Шаг2.Бланк заказа NEW'!$H$19:$H$201,2)+
SUMIFS('Шаг2.Бланк заказа NEW'!$U$19:$U$201,'Шаг2.Бланк заказа NEW'!$A$19:$A$201,$B18,'Шаг2.Бланк заказа NEW'!$I$19:$I$201,2)+
SUMIFS('Бланк OLD 2.0 04 '!$M$18:$M$200,'Бланк OLD 2.0 04 '!$A$18:$A$200,$B18))/1000,1)</f>
        <v>0</v>
      </c>
      <c r="U18" s="84">
        <f ca="1">IFERROR(IF(VLOOKUP(B18,'Шаг1.Выбор плиты'!C:Q,12,0)*1&lt;10,0,
IF(VLOOKUP(B18,'Шаг1.Выбор плиты'!C:Q,12,0)*1&lt;25,'Прайс Производственные Услуги'!$C$7,
IF(VLOOKUP(B18,'Шаг1.Выбор плиты'!C:Q,12,0)*1&gt;24,'Прайс Производственные Услуги'!$C$8,
0))),0)</f>
        <v>0</v>
      </c>
      <c r="V18" s="84">
        <f ca="1">_xlfn.CEILING.PRECISE((SUMIFS('Шаг2.Бланк заказа NEW'!$T$19:$T$201,'Шаг2.Бланк заказа NEW'!$A$19:$A$201,$B18,'Шаг2.Бланк заказа NEW'!$E$19:$E$201,0.8)+
SUMIFS('Шаг2.Бланк заказа NEW'!$T$19:$T$201,'Шаг2.Бланк заказа NEW'!$A$19:$A$201,$B18,'Шаг2.Бланк заказа NEW'!$F$19:$F$201,0.8)+
SUMIFS('Шаг2.Бланк заказа NEW'!$U$19:$U$201,'Шаг2.Бланк заказа NEW'!$A$19:$A$201,$B18,'Шаг2.Бланк заказа NEW'!$H$19:$H$201,0.8)+
SUMIFS('Шаг2.Бланк заказа NEW'!$U$19:$U$201,'Шаг2.Бланк заказа NEW'!$A$19:$A$201,$B18,'Шаг2.Бланк заказа NEW'!$I$19:$I$201,0.8)+
SUMIFS('Бланк OLD 0.8 04'!$M$18:$M$200,'Бланк OLD 0.8 04'!$A$18:$A$200,$B18))/1000,1)</f>
        <v>0</v>
      </c>
      <c r="W18" s="84">
        <f ca="1">IFERROR(IF(VLOOKUP(B18,'Шаг1.Выбор плиты'!C:Q,12,0)*1&lt;10,0,
IF(VLOOKUP(B18,'Шаг1.Выбор плиты'!C:Q,12,0)*1&lt;25,'Прайс Производственные Услуги'!$C$5,
IF(VLOOKUP(B18,'Шаг1.Выбор плиты'!C:Q,12,0)*1&gt;24,'Прайс Производственные Услуги'!$C$6,
0))),0)</f>
        <v>0</v>
      </c>
      <c r="X18" s="84">
        <f ca="1">_xlfn.CEILING.PRECISE((SUMIFS('Шаг2.Бланк заказа NEW'!$T$19:$T$201,'Шаг2.Бланк заказа NEW'!$A$19:$A$201,$B18,'Шаг2.Бланк заказа NEW'!$E$19:$E$201,0.4)+
SUMIFS('Шаг2.Бланк заказа NEW'!$T$19:$T$201,'Шаг2.Бланк заказа NEW'!$A$19:$A$201,$B18,'Шаг2.Бланк заказа NEW'!$F$19:$F$201,0.4)+
SUMIFS('Шаг2.Бланк заказа NEW'!$U$19:$U$201,'Шаг2.Бланк заказа NEW'!$A$19:$A$201,$B18,'Шаг2.Бланк заказа NEW'!$H$19:$H$201,0.4)+
SUMIFS('Шаг2.Бланк заказа NEW'!$U$19:$U$201,'Шаг2.Бланк заказа NEW'!$A$19:$A$201,$B18,'Шаг2.Бланк заказа NEW'!$I$19:$I$201,0.4)+
SUMIFS('Бланк OLD 0.8 04'!$N$18:$N$200,'Бланк OLD 0.8 04'!$A$18:$A$200,$B18)+
SUMIFS('Бланк OLD 2.0 04 '!$N$18:$N$200,'Бланк OLD 2.0 04 '!$A$18:$A$200,$B18))/1000,1)</f>
        <v>0</v>
      </c>
      <c r="Y18" s="84">
        <f ca="1">IF(OR(MID(B18,1,6)="ЛМДФ P",MID(B18,1,6)="ЛДСП P"),'Прайс Производственные Услуги'!$C$4,0)</f>
        <v>0</v>
      </c>
      <c r="Z18" s="84">
        <f ca="1">_xlfn.CEILING.PRECISE((SUMIFS('Шаг2.Бланк заказа NEW'!$T$19:$T$201,'Шаг2.Бланк заказа NEW'!$A$19:$A$201,$B18,'Шаг2.Бланк заказа NEW'!$E$19:$E$201,1)+
SUMIFS('Шаг2.Бланк заказа NEW'!$T$19:$T$201,'Шаг2.Бланк заказа NEW'!$A$19:$A$201,$B18,'Шаг2.Бланк заказа NEW'!$F$19:$F$201,1)+
SUMIFS('Шаг2.Бланк заказа NEW'!$U$19:$U$201,'Шаг2.Бланк заказа NEW'!$A$19:$A$201,$B18,'Шаг2.Бланк заказа NEW'!$H$19:$H$201,1)+
SUMIFS('Шаг2.Бланк заказа NEW'!$U$19:$U$201,'Шаг2.Бланк заказа NEW'!$A$19:$A$201,$B18,'Шаг2.Бланк заказа NEW'!$I$19:$I$201,1))/1000,1)</f>
        <v>0</v>
      </c>
      <c r="AA18" s="84">
        <f t="shared" ca="1" si="1"/>
        <v>0</v>
      </c>
      <c r="AB18" s="84">
        <f t="shared" ca="1" si="3"/>
        <v>0</v>
      </c>
      <c r="AC18" s="84" t="str">
        <f ca="1">IF(B18="","",_xlfn.CEILING.PRECISE((SUMIFS('Шаг2.Бланк заказа NEW'!$K$17:$K$201,'Шаг2.Бланк заказа NEW'!$A$17:$A$201,Шаг3.Стоимость!B18)+SUMIFS('Бланк OLD 0.8 04'!$K$18:$K$200,'Бланк OLD 0.8 04'!$A$18:$A$200,Шаг3.Стоимость!B18)+SUMIFS('Бланк OLD 2.0 04 '!$K$18:$K$200,'Бланк OLD 2.0 04 '!$A$18:$A$200,Шаг3.Стоимость!B18)),1))</f>
        <v/>
      </c>
      <c r="AD18" s="84" t="str">
        <f ca="1">IF(B18="","",_xlfn.CEILING.PRECISE((SUMIFS('Шаг2.Бланк заказа NEW'!$K$17:$K$201,'Шаг2.Бланк заказа NEW'!$A$17:$A$201,Шаг3.Стоимость!B18)+SUMIFS('Бланк OLD 0.8 04'!$K$18:$K$200,'Бланк OLD 0.8 04'!$A$18:$A$200,Шаг3.Стоимость!B18)+SUMIFS('Бланк OLD 2.0 04 '!$K$18:$K$200,'Бланк OLD 2.0 04 '!$A$18:$A$200,Шаг3.Стоимость!B18)),1)*'Прайс Производственные Услуги'!$C$15)</f>
        <v/>
      </c>
      <c r="AE18" s="85" t="str">
        <f ca="1">IFERROR(IF(OR(VLOOKUP(B18,'Шаг1.Выбор плиты'!C:D,2,0)="ЛДСП",VLOOKUP(B18,'Шаг1.Выбор плиты'!C:D,2,0)="МДФ",VLOOKUP(B18,'Шаг1.Выбор плиты'!C:D,2,0)="ДСП"),B18,""),"")</f>
        <v/>
      </c>
    </row>
    <row r="19" spans="1:31" ht="12" x14ac:dyDescent="0.2">
      <c r="A19" s="80" t="str">
        <f ca="1">IFERROR(VLOOKUP(ROW(A19)-ROW($A$13),'Шаг1.Выбор плиты'!B:B,1,0),"")</f>
        <v/>
      </c>
      <c r="B19" s="81" t="str">
        <f ca="1">IFERROR(VLOOKUP(ROW(B19)-ROW($B$13),'Шаг1.Выбор плиты'!B:D,2,0),"")</f>
        <v/>
      </c>
      <c r="C19" s="82">
        <f ca="1">IFERROR(
(SUMIFS('Шаг2.Бланк заказа NEW'!$K$19:$K$201,'Шаг2.Бланк заказа NEW'!$A$19:$A$201,B19)+SUMIFS('Бланк OLD 0.8 04'!$K$18:$K$200,'Бланк OLD 0.8 04'!$A$18:$A$200,B19)+
SUMIFS('Бланк OLD 2.0 04 '!$K$18:$K$200,'Бланк OLD 2.0 04 '!$A$18:$A$200,B19))
*IF(VLOOKUP(B19,'Шаг1.Выбор плиты'!C:Q,12,0)*1&lt;15,1.2,1.2),0)</f>
        <v>0</v>
      </c>
      <c r="D19" s="82" t="str">
        <f ca="1">IFERROR(VLOOKUP(B19,'Шаг1.Выбор плиты'!C:Q,15,0),"")</f>
        <v/>
      </c>
      <c r="E19" s="188" t="str">
        <f ca="1">IFERROR(_xlfn.CEILING.PRECISE(C19/(VLOOKUP(B19,'Шаг1.Выбор плиты'!C:S,16,0)/1000*VLOOKUP(B19,'Шаг1.Выбор плиты'!C:S,17,0)/1000),0.01),IF(B19='Шаг1.Выбор плиты'!$C$560,$AC$29,IF(B19='Шаг1.Выбор плиты'!$C$562,$AA$29,IF(B19='Шаг1.Выбор плиты'!$C$561,$AC$29,IF(B19='Шаг1.Выбор плиты'!$C$563,$R$30,"")))))</f>
        <v/>
      </c>
      <c r="F19" s="83" t="str">
        <f ca="1">IFERROR(IF(B19='Шаг1.Выбор плиты'!$C$560,$Q$29,IF(B19='Шаг1.Выбор плиты'!$C$562,$AB$29,IF(B19='Шаг1.Выбор плиты'!$C$561,$AD$29,IF(B19='Шаг1.Выбор плиты'!$C$563,$R$29,D19*E19)))),"")</f>
        <v/>
      </c>
      <c r="G19" s="84">
        <f ca="1">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плиты'!N:N,2,'Шаг1.Выбор плиты'!M:M,SMALL(INDIRECT("мм"&amp;VLOOKUP(B19,'Шаг1.Выбор плиты'!C:Q,12,0)),1))=0,
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плиты'!N:N,2,'Шаг1.Выбор плиты'!M:M,SMALL(INDIRECT("мм"&amp;VLOOKUP(B19,'Шаг1.Выбор плиты'!C:Q,12,0)),2))=0,
SUMIFS('Шаг1.Выбор плиты'!$Q:$Q,'Шаг1.Выбор плиты'!J:J,"*"&amp;RIGHT(VLOOKUP(B19,'Шаг1.Выбор плиты'!C:Q,8,0),4),'Шаг1.Выбор плиты'!L:L,VLOOKUP(B19,'Шаг1.Выбор плиты'!C:Q,10,0),'Шаг1.Выбор плиты'!N:N,2,'Шаг1.Выбор плиты'!M:M,SMALL(INDIRECT("мм"&amp;VLOOKUP(B19,'Шаг1.Выбор плиты'!C:Q,12,0)),3)),
SUMIFS('Шаг1.Выбор плиты'!$Q:$Q,'Шаг1.Выбор плиты'!J:J,"*"&amp;RIGHT(VLOOKUP(B19,'Шаг1.Выбор плиты'!C:Q,8,0),4),'Шаг1.Выбор плиты'!L:L,VLOOKUP(B19,'Шаг1.Выбор плиты'!C:Q,10,0),'Шаг1.Выбор плиты'!N:N,2,'Шаг1.Выбор плиты'!M:M,SMALL(INDIRECT("мм"&amp;VLOOKUP(B19,'Шаг1.Выбор плиты'!C:Q,12,0)),2))),
(SUMIFS('Шаг1.Выбор плиты'!$Q:$Q,'Шаг1.Выбор плиты'!J:J,"*"&amp;RIGHT(VLOOKUP(B19,'Шаг1.Выбор плиты'!C:Q,8,0),4),'Шаг1.Выбор плиты'!L:L,VLOOKUP(B19,'Шаг1.Выбор плиты'!C:Q,10,0),'Шаг1.Выбор плиты'!N:N,2,'Шаг1.Выбор плиты'!M:M,SMALL(INDIRECT("мм"&amp;VLOOKUP(B19,'Шаг1.Выбор плиты'!C:Q,12,0)),1))))</f>
        <v>0</v>
      </c>
      <c r="H19" s="84">
        <f ca="1">_xlfn.CEILING.PRECISE((SUMIFS('Шаг2.Бланк заказа NEW'!$T$19:$T$201,'Шаг2.Бланк заказа NEW'!$A$19:$A$201,$B19,'Шаг2.Бланк заказа NEW'!$E$19:$E$201,2)+
SUMIFS('Шаг2.Бланк заказа NEW'!$T$19:$T$201,'Шаг2.Бланк заказа NEW'!$A$19:$A$201,$B19,'Шаг2.Бланк заказа NEW'!$F$19:$F$201,2)+
SUMIFS('Шаг2.Бланк заказа NEW'!$U$19:$U$201,'Шаг2.Бланк заказа NEW'!$A$19:$A$201,$B19,'Шаг2.Бланк заказа NEW'!$H$19:$H$201,2)+
SUMIFS('Шаг2.Бланк заказа NEW'!$U$19:$U$201,'Шаг2.Бланк заказа NEW'!$A$19:$A$201,$B19,'Шаг2.Бланк заказа NEW'!$I$19:$I$201,2)+
SUMIFS('Бланк OLD 2.0 04 '!$M$18:$M$200,'Бланк OLD 2.0 04 '!$A$18:$A$200,$B19))/1000*1.2,5)</f>
        <v>0</v>
      </c>
      <c r="I19" s="84">
        <f ca="1">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плиты'!N:N,0.8,'Шаг1.Выбор плиты'!M:M,SMALL(INDIRECT("мм"&amp;VLOOKUP(B19,'Шаг1.Выбор плиты'!C:Q,12,0)),1))=0,
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плиты'!N:N,0.8,'Шаг1.Выбор плиты'!M:M,SMALL(INDIRECT("мм"&amp;VLOOKUP(B19,'Шаг1.Выбор плиты'!C:Q,12,0)),2))=0,
SUMIFS('Шаг1.Выбор плиты'!$Q:$Q,'Шаг1.Выбор плиты'!J:J,"*"&amp;RIGHT(VLOOKUP(B19,'Шаг1.Выбор плиты'!C:Q,8,0),4),'Шаг1.Выбор плиты'!L:L,VLOOKUP(B19,'Шаг1.Выбор плиты'!C:Q,10,0),'Шаг1.Выбор плиты'!N:N,0.8,'Шаг1.Выбор плиты'!M:M,SMALL(INDIRECT("мм"&amp;VLOOKUP(B19,'Шаг1.Выбор плиты'!C:Q,12,0)),3)),
SUMIFS('Шаг1.Выбор плиты'!$Q:$Q,'Шаг1.Выбор плиты'!J:J,"*"&amp;RIGHT(VLOOKUP(B19,'Шаг1.Выбор плиты'!C:Q,8,0),4),'Шаг1.Выбор плиты'!L:L,VLOOKUP(B19,'Шаг1.Выбор плиты'!C:Q,10,0),'Шаг1.Выбор плиты'!N:N,0.8,'Шаг1.Выбор плиты'!M:M,SMALL(INDIRECT("мм"&amp;VLOOKUP(B19,'Шаг1.Выбор плиты'!C:Q,12,0)),2))),
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плиты'!N:N,0.8,'Шаг1.Выбор плиты'!M:M,SMALL(INDIRECT("мм"&amp;VLOOKUP(B19,'Шаг1.Выбор плиты'!C:Q,12,0)),1))))</f>
        <v>0</v>
      </c>
      <c r="J19" s="84">
        <f ca="1">_xlfn.CEILING.PRECISE((SUMIFS('Шаг2.Бланк заказа NEW'!$T$19:$T$201,'Шаг2.Бланк заказа NEW'!$A$19:$A$201,$B19,'Шаг2.Бланк заказа NEW'!$E$19:$E$201,0.8)+
SUMIFS('Шаг2.Бланк заказа NEW'!$T$19:$T$201,'Шаг2.Бланк заказа NEW'!$A$19:$A$201,$B19,'Шаг2.Бланк заказа NEW'!$F$19:$F$201,0.8)+
SUMIFS('Шаг2.Бланк заказа NEW'!$U$19:$U$201,'Шаг2.Бланк заказа NEW'!$A$19:$A$201,$B19,'Шаг2.Бланк заказа NEW'!$H$19:$H$201,0.8)+
SUMIFS('Шаг2.Бланк заказа NEW'!$U$19:$U$201,'Шаг2.Бланк заказа NEW'!$A$19:$A$201,$B19,'Шаг2.Бланк заказа NEW'!$I$19:$I$201,0.8)+
SUMIFS('Бланк OLD 0.8 04'!$M$18:$M$200,'Бланк OLD 0.8 04'!$A$18:$A$200,$B19))/1000*1.2,5)</f>
        <v>0</v>
      </c>
      <c r="K19" s="84">
        <f ca="1">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плиты'!N:N,0.4,'Шаг1.Выбор плиты'!M:M,SMALL(INDIRECT("мм"&amp;VLOOKUP(B19,'Шаг1.Выбор плиты'!C:Q,12,0)),1))=0,
IF(SUMIFS('Шаг1.Выбор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плиты'!N:N,0.4,'Шаг1.Выбор плиты'!M:M,SMALL(INDIRECT("мм"&amp;VLOOKUP(B19,'Шаг1.Выбор плиты'!C:Q,12,0)),2))=0,
SUMIFS('Шаг1.Выбор плиты'!$Q:$Q,'Шаг1.Выбор плиты'!J:J,"*"&amp;RIGHT(VLOOKUP(B19,'Шаг1.Выбор плиты'!C:Q,8,0),4),'Шаг1.Выбор плиты'!L:L,VLOOKUP(B19,'Шаг1.Выбор плиты'!C:Q,10,0),'Шаг1.Выбор плиты'!N:N,0.4,'Шаг1.Выбор плиты'!M:M,SMALL(INDIRECT("мм"&amp;VLOOKUP(B19,'Шаг1.Выбор плиты'!C:Q,12,0)),3)),
SUMIFS('Шаг1.Выбор плиты'!$Q:$Q,'Шаг1.Выбор плиты'!J:J,"*"&amp;RIGHT(VLOOKUP(B19,'Шаг1.Выбор плиты'!C:Q,8,0),4),'Шаг1.Выбор плиты'!L:L,VLOOKUP(B19,'Шаг1.Выбор плиты'!C:Q,10,0),'Шаг1.Выбор плиты'!N:N,0.4,'Шаг1.Выбор плиты'!M:M,SMALL(INDIRECT("мм"&amp;VLOOKUP(B19,'Шаг1.Выбор плиты'!C:Q,12,0)),2))),
(SUMIFS('Шаг1.Выбор плиты'!$Q:$Q,'Шаг1.Выбор плиты'!J:J,"*"&amp;RIGHT(VLOOKUP(B19,'Шаг1.Выбор плиты'!C:Q,8,0),4),'Шаг1.Выбор плиты'!L:L,VLOOKUP(B19,'Шаг1.Выбор плиты'!C:Q,10,0),'Шаг1.Выбор плиты'!N:N,0.4,'Шаг1.Выбор плиты'!M:M,SMALL(INDIRECT("мм"&amp;VLOOKUP(B19,'Шаг1.Выбор плиты'!C:Q,12,0)),1))))</f>
        <v>0</v>
      </c>
      <c r="L19" s="84">
        <f ca="1">_xlfn.CEILING.PRECISE((SUMIFS('Шаг2.Бланк заказа NEW'!$T$19:$T$201,'Шаг2.Бланк заказа NEW'!$A$19:$A$201,$B19,'Шаг2.Бланк заказа NEW'!$E$19:$E$201,0.4)+
SUMIFS('Шаг2.Бланк заказа NEW'!$T$19:$T$201,'Шаг2.Бланк заказа NEW'!$A$19:$A$201,$B19,'Шаг2.Бланк заказа NEW'!$F$19:$F$201,0.4)+
SUMIFS('Шаг2.Бланк заказа NEW'!$U$19:$U$201,'Шаг2.Бланк заказа NEW'!$A$19:$A$201,$B19,'Шаг2.Бланк заказа NEW'!$H$19:$H$201,0.4)+
SUMIFS('Шаг2.Бланк заказа NEW'!$U$19:$U$201,'Шаг2.Бланк заказа NEW'!$A$19:$A$201,$B19,'Шаг2.Бланк заказа NEW'!$I$19:$I$201,0.4)+
SUMIFS('Бланк OLD 0.8 04'!$N$18:$N$200,'Бланк OLD 0.8 04'!$A$18:$A$200,$B19)+
SUMIFS('Бланк OLD 2.0 04 '!$N$18:$N$200,'Бланк OLD 2.0 04 '!$A$18:$A$200,$B19))/1000*1.2,5)</f>
        <v>0</v>
      </c>
      <c r="M19" s="84">
        <f ca="1">SUMIFS('Шаг1.Выбор плиты'!$Q:$Q,'Шаг1.Выбор плиты'!J:J,VLOOKUP(B19,'Шаг1.Выбор плиты'!C:Q,8,0),'Шаг1.Выбор плиты'!L:L,IF(MID(B19,1,6)="ЛДСП P","TM"&amp;MID(VLOOKUP(B19,'Шаг1.Выбор плиты'!C:Q,10,0),3,2),MID(VLOOKUP(B19,'Шаг1.Выбор плиты'!C:Q,10,0),1,2)),
'Шаг1.Выбор плиты'!N:N,1)</f>
        <v>0</v>
      </c>
      <c r="N19" s="84">
        <f ca="1">_xlfn.CEILING.PRECISE((SUMIFS('Шаг2.Бланк заказа NEW'!$T$19:$T$201,'Шаг2.Бланк заказа NEW'!$A$19:$A$201,$B19,'Шаг2.Бланк заказа NEW'!$E$19:$E$201,1)+
SUMIFS('Шаг2.Бланк заказа NEW'!$T$19:$T$201,'Шаг2.Бланк заказа NEW'!$A$19:$A$201,$B19,'Шаг2.Бланк заказа NEW'!$F$19:$F$201,1)+
SUMIFS('Шаг2.Бланк заказа NEW'!$U$19:$U$201,'Шаг2.Бланк заказа NEW'!$A$19:$A$201,$B19,'Шаг2.Бланк заказа NEW'!$H$19:$H$201,1)+
SUMIFS('Шаг2.Бланк заказа NEW'!$U$19:$U$201,'Шаг2.Бланк заказа NEW'!$A$19:$A$201,$B19,'Шаг2.Бланк заказа NEW'!$I$19:$I$201,1))/1000*1.2,5)</f>
        <v>0</v>
      </c>
      <c r="O19" s="85">
        <f t="shared" ca="1" si="0"/>
        <v>0</v>
      </c>
      <c r="P19" s="86">
        <f t="shared" ca="1" si="2"/>
        <v>0</v>
      </c>
      <c r="Q19" s="103">
        <f ca="1">ROUND(SUMIFS('Шаг2.Бланк заказа NEW'!$V$19:$V$201,'Шаг2.Бланк заказа NEW'!$A$19:$A$201,B19)+
SUMIFS('Бланк OLD 0.8 04'!$O$18:$O$200,'Бланк OLD 0.8 04'!$A$18:$A$200,B19)+
SUMIFS('Бланк OLD 2.0 04 '!$O$18:$O$200,'Бланк OLD 2.0 04 '!$A$18:$A$200,B19),0)</f>
        <v>0</v>
      </c>
      <c r="R19" s="103">
        <f ca="1">ROUND(SUMIFS('Шаг2.Бланк заказа NEW'!$W$19:$W$201,'Шаг2.Бланк заказа NEW'!$A$19:$A$201,B19),0)</f>
        <v>0</v>
      </c>
      <c r="S19" s="84">
        <f ca="1">IFERROR(IF(VLOOKUP(B19,'Шаг1.Выбор плиты'!C:Q,12,0)*1&lt;10,0,
IF(VLOOKUP(B19,'Шаг1.Выбор плиты'!C:Q,12,0)*1&lt;25,'Прайс Производственные Услуги'!$C$9,
IF(VLOOKUP(B19,'Шаг1.Выбор плиты'!C:Q,12,0)*1=25,'Прайс Производственные Услуги'!$C$10,
IF(VLOOKUP(B19,'Шаг1.Выбор плиты'!C:Q,12,0)*1&gt;25,'Прайс Производственные Услуги'!$C$11,
0)))),0)</f>
        <v>0</v>
      </c>
      <c r="T19" s="84">
        <f ca="1">_xlfn.CEILING.PRECISE((SUMIFS('Шаг2.Бланк заказа NEW'!$T$19:$T$201,'Шаг2.Бланк заказа NEW'!$A$19:$A$201,$B19,'Шаг2.Бланк заказа NEW'!$E$19:$E$201,2)+
SUMIFS('Шаг2.Бланк заказа NEW'!$T$19:$T$201,'Шаг2.Бланк заказа NEW'!$A$19:$A$201,$B19,'Шаг2.Бланк заказа NEW'!$F$19:$F$201,2)+
SUMIFS('Шаг2.Бланк заказа NEW'!$U$19:$U$201,'Шаг2.Бланк заказа NEW'!$A$19:$A$201,$B19,'Шаг2.Бланк заказа NEW'!$H$19:$H$201,2)+
SUMIFS('Шаг2.Бланк заказа NEW'!$U$19:$U$201,'Шаг2.Бланк заказа NEW'!$A$19:$A$201,$B19,'Шаг2.Бланк заказа NEW'!$I$19:$I$201,2)+
SUMIFS('Бланк OLD 2.0 04 '!$M$18:$M$200,'Бланк OLD 2.0 04 '!$A$18:$A$200,$B19))/1000,1)</f>
        <v>0</v>
      </c>
      <c r="U19" s="84">
        <f ca="1">IFERROR(IF(VLOOKUP(B19,'Шаг1.Выбор плиты'!C:Q,12,0)*1&lt;10,0,
IF(VLOOKUP(B19,'Шаг1.Выбор плиты'!C:Q,12,0)*1&lt;25,'Прайс Производственные Услуги'!$C$7,
IF(VLOOKUP(B19,'Шаг1.Выбор плиты'!C:Q,12,0)*1&gt;24,'Прайс Производственные Услуги'!$C$8,
0))),0)</f>
        <v>0</v>
      </c>
      <c r="V19" s="84">
        <f ca="1">_xlfn.CEILING.PRECISE((SUMIFS('Шаг2.Бланк заказа NEW'!$T$19:$T$201,'Шаг2.Бланк заказа NEW'!$A$19:$A$201,$B19,'Шаг2.Бланк заказа NEW'!$E$19:$E$201,0.8)+
SUMIFS('Шаг2.Бланк заказа NEW'!$T$19:$T$201,'Шаг2.Бланк заказа NEW'!$A$19:$A$201,$B19,'Шаг2.Бланк заказа NEW'!$F$19:$F$201,0.8)+
SUMIFS('Шаг2.Бланк заказа NEW'!$U$19:$U$201,'Шаг2.Бланк заказа NEW'!$A$19:$A$201,$B19,'Шаг2.Бланк заказа NEW'!$H$19:$H$201,0.8)+
SUMIFS('Шаг2.Бланк заказа NEW'!$U$19:$U$201,'Шаг2.Бланк заказа NEW'!$A$19:$A$201,$B19,'Шаг2.Бланк заказа NEW'!$I$19:$I$201,0.8)+
SUMIFS('Бланк OLD 0.8 04'!$M$18:$M$200,'Бланк OLD 0.8 04'!$A$18:$A$200,$B19))/1000,1)</f>
        <v>0</v>
      </c>
      <c r="W19" s="84">
        <f ca="1">IFERROR(IF(VLOOKUP(B19,'Шаг1.Выбор плиты'!C:Q,12,0)*1&lt;10,0,
IF(VLOOKUP(B19,'Шаг1.Выбор плиты'!C:Q,12,0)*1&lt;25,'Прайс Производственные Услуги'!$C$5,
IF(VLOOKUP(B19,'Шаг1.Выбор плиты'!C:Q,12,0)*1&gt;24,'Прайс Производственные Услуги'!$C$6,
0))),0)</f>
        <v>0</v>
      </c>
      <c r="X19" s="84">
        <f ca="1">_xlfn.CEILING.PRECISE((SUMIFS('Шаг2.Бланк заказа NEW'!$T$19:$T$201,'Шаг2.Бланк заказа NEW'!$A$19:$A$201,$B19,'Шаг2.Бланк заказа NEW'!$E$19:$E$201,0.4)+
SUMIFS('Шаг2.Бланк заказа NEW'!$T$19:$T$201,'Шаг2.Бланк заказа NEW'!$A$19:$A$201,$B19,'Шаг2.Бланк заказа NEW'!$F$19:$F$201,0.4)+
SUMIFS('Шаг2.Бланк заказа NEW'!$U$19:$U$201,'Шаг2.Бланк заказа NEW'!$A$19:$A$201,$B19,'Шаг2.Бланк заказа NEW'!$H$19:$H$201,0.4)+
SUMIFS('Шаг2.Бланк заказа NEW'!$U$19:$U$201,'Шаг2.Бланк заказа NEW'!$A$19:$A$201,$B19,'Шаг2.Бланк заказа NEW'!$I$19:$I$201,0.4)+
SUMIFS('Бланк OLD 0.8 04'!$N$18:$N$200,'Бланк OLD 0.8 04'!$A$18:$A$200,$B19)+
SUMIFS('Бланк OLD 2.0 04 '!$N$18:$N$200,'Бланк OLD 2.0 04 '!$A$18:$A$200,$B19))/1000,1)</f>
        <v>0</v>
      </c>
      <c r="Y19" s="84">
        <f ca="1">IF(OR(MID(B19,1,6)="ЛМДФ P",MID(B19,1,6)="ЛДСП P"),'Прайс Производственные Услуги'!$C$4,0)</f>
        <v>0</v>
      </c>
      <c r="Z19" s="84">
        <f ca="1">_xlfn.CEILING.PRECISE((SUMIFS('Шаг2.Бланк заказа NEW'!$T$19:$T$201,'Шаг2.Бланк заказа NEW'!$A$19:$A$201,$B19,'Шаг2.Бланк заказа NEW'!$E$19:$E$201,1)+
SUMIFS('Шаг2.Бланк заказа NEW'!$T$19:$T$201,'Шаг2.Бланк заказа NEW'!$A$19:$A$201,$B19,'Шаг2.Бланк заказа NEW'!$F$19:$F$201,1)+
SUMIFS('Шаг2.Бланк заказа NEW'!$U$19:$U$201,'Шаг2.Бланк заказа NEW'!$A$19:$A$201,$B19,'Шаг2.Бланк заказа NEW'!$H$19:$H$201,1)+
SUMIFS('Шаг2.Бланк заказа NEW'!$U$19:$U$201,'Шаг2.Бланк заказа NEW'!$A$19:$A$201,$B19,'Шаг2.Бланк заказа NEW'!$I$19:$I$201,1))/1000,1)</f>
        <v>0</v>
      </c>
      <c r="AA19" s="84">
        <f t="shared" ca="1" si="1"/>
        <v>0</v>
      </c>
      <c r="AB19" s="84">
        <f t="shared" ca="1" si="3"/>
        <v>0</v>
      </c>
      <c r="AC19" s="84" t="str">
        <f ca="1">IF(B19="","",_xlfn.CEILING.PRECISE((SUMIFS('Шаг2.Бланк заказа NEW'!$K$17:$K$201,'Шаг2.Бланк заказа NEW'!$A$17:$A$201,Шаг3.Стоимость!B19)+SUMIFS('Бланк OLD 0.8 04'!$K$18:$K$200,'Бланк OLD 0.8 04'!$A$18:$A$200,Шаг3.Стоимость!B19)+SUMIFS('Бланк OLD 2.0 04 '!$K$18:$K$200,'Бланк OLD 2.0 04 '!$A$18:$A$200,Шаг3.Стоимость!B19)),1))</f>
        <v/>
      </c>
      <c r="AD19" s="84" t="str">
        <f ca="1">IF(B19="","",_xlfn.CEILING.PRECISE((SUMIFS('Шаг2.Бланк заказа NEW'!$K$17:$K$201,'Шаг2.Бланк заказа NEW'!$A$17:$A$201,Шаг3.Стоимость!B19)+SUMIFS('Бланк OLD 0.8 04'!$K$18:$K$200,'Бланк OLD 0.8 04'!$A$18:$A$200,Шаг3.Стоимость!B19)+SUMIFS('Бланк OLD 2.0 04 '!$K$18:$K$200,'Бланк OLD 2.0 04 '!$A$18:$A$200,Шаг3.Стоимость!B19)),1)*'Прайс Производственные Услуги'!$C$15)</f>
        <v/>
      </c>
      <c r="AE19" s="85" t="str">
        <f ca="1">IFERROR(IF(OR(VLOOKUP(B19,'Шаг1.Выбор плиты'!C:D,2,0)="ЛДСП",VLOOKUP(B19,'Шаг1.Выбор плиты'!C:D,2,0)="МДФ",VLOOKUP(B19,'Шаг1.Выбор плиты'!C:D,2,0)="ДСП"),B19,""),"")</f>
        <v/>
      </c>
    </row>
    <row r="20" spans="1:31" ht="12" x14ac:dyDescent="0.2">
      <c r="A20" s="80" t="str">
        <f ca="1">IFERROR(VLOOKUP(ROW(A20)-ROW($A$13),'Шаг1.Выбор плиты'!B:B,1,0),"")</f>
        <v/>
      </c>
      <c r="B20" s="81" t="str">
        <f ca="1">IFERROR(VLOOKUP(ROW(B20)-ROW($B$13),'Шаг1.Выбор плиты'!B:D,2,0),"")</f>
        <v/>
      </c>
      <c r="C20" s="82">
        <f ca="1">IFERROR(
(SUMIFS('Шаг2.Бланк заказа NEW'!$K$19:$K$201,'Шаг2.Бланк заказа NEW'!$A$19:$A$201,B20)+SUMIFS('Бланк OLD 0.8 04'!$K$18:$K$200,'Бланк OLD 0.8 04'!$A$18:$A$200,B20)+
SUMIFS('Бланк OLD 2.0 04 '!$K$18:$K$200,'Бланк OLD 2.0 04 '!$A$18:$A$200,B20))
*IF(VLOOKUP(B20,'Шаг1.Выбор плиты'!C:Q,12,0)*1&lt;15,1.2,1.2),0)</f>
        <v>0</v>
      </c>
      <c r="D20" s="82" t="str">
        <f ca="1">IFERROR(VLOOKUP(B20,'Шаг1.Выбор плиты'!C:Q,15,0),"")</f>
        <v/>
      </c>
      <c r="E20" s="188" t="str">
        <f ca="1">IFERROR(_xlfn.CEILING.PRECISE(C20/(VLOOKUP(B20,'Шаг1.Выбор плиты'!C:S,16,0)/1000*VLOOKUP(B20,'Шаг1.Выбор плиты'!C:S,17,0)/1000),0.01),IF(B20='Шаг1.Выбор плиты'!$C$560,$AC$29,IF(B20='Шаг1.Выбор плиты'!$C$562,$AA$29,IF(B20='Шаг1.Выбор плиты'!$C$561,$AC$29,IF(B20='Шаг1.Выбор плиты'!$C$563,$R$30,"")))))</f>
        <v/>
      </c>
      <c r="F20" s="83" t="str">
        <f ca="1">IFERROR(IF(B20='Шаг1.Выбор плиты'!$C$560,$Q$29,IF(B20='Шаг1.Выбор плиты'!$C$562,$AB$29,IF(B20='Шаг1.Выбор плиты'!$C$561,$AD$29,IF(B20='Шаг1.Выбор плиты'!$C$563,$R$29,D20*E20)))),"")</f>
        <v/>
      </c>
      <c r="G20" s="84">
        <f ca="1">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плиты'!N:N,2,'Шаг1.Выбор плиты'!M:M,SMALL(INDIRECT("мм"&amp;VLOOKUP(B20,'Шаг1.Выбор плиты'!C:Q,12,0)),1))=0,
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плиты'!N:N,2,'Шаг1.Выбор плиты'!M:M,SMALL(INDIRECT("мм"&amp;VLOOKUP(B20,'Шаг1.Выбор плиты'!C:Q,12,0)),2))=0,
SUMIFS('Шаг1.Выбор плиты'!$Q:$Q,'Шаг1.Выбор плиты'!J:J,"*"&amp;RIGHT(VLOOKUP(B20,'Шаг1.Выбор плиты'!C:Q,8,0),4),'Шаг1.Выбор плиты'!L:L,VLOOKUP(B20,'Шаг1.Выбор плиты'!C:Q,10,0),'Шаг1.Выбор плиты'!N:N,2,'Шаг1.Выбор плиты'!M:M,SMALL(INDIRECT("мм"&amp;VLOOKUP(B20,'Шаг1.Выбор плиты'!C:Q,12,0)),3)),
SUMIFS('Шаг1.Выбор плиты'!$Q:$Q,'Шаг1.Выбор плиты'!J:J,"*"&amp;RIGHT(VLOOKUP(B20,'Шаг1.Выбор плиты'!C:Q,8,0),4),'Шаг1.Выбор плиты'!L:L,VLOOKUP(B20,'Шаг1.Выбор плиты'!C:Q,10,0),'Шаг1.Выбор плиты'!N:N,2,'Шаг1.Выбор плиты'!M:M,SMALL(INDIRECT("мм"&amp;VLOOKUP(B20,'Шаг1.Выбор плиты'!C:Q,12,0)),2))),
(SUMIFS('Шаг1.Выбор плиты'!$Q:$Q,'Шаг1.Выбор плиты'!J:J,"*"&amp;RIGHT(VLOOKUP(B20,'Шаг1.Выбор плиты'!C:Q,8,0),4),'Шаг1.Выбор плиты'!L:L,VLOOKUP(B20,'Шаг1.Выбор плиты'!C:Q,10,0),'Шаг1.Выбор плиты'!N:N,2,'Шаг1.Выбор плиты'!M:M,SMALL(INDIRECT("мм"&amp;VLOOKUP(B20,'Шаг1.Выбор плиты'!C:Q,12,0)),1))))</f>
        <v>0</v>
      </c>
      <c r="H20" s="84">
        <f ca="1">_xlfn.CEILING.PRECISE((SUMIFS('Шаг2.Бланк заказа NEW'!$T$19:$T$201,'Шаг2.Бланк заказа NEW'!$A$19:$A$201,$B20,'Шаг2.Бланк заказа NEW'!$E$19:$E$201,2)+
SUMIFS('Шаг2.Бланк заказа NEW'!$T$19:$T$201,'Шаг2.Бланк заказа NEW'!$A$19:$A$201,$B20,'Шаг2.Бланк заказа NEW'!$F$19:$F$201,2)+
SUMIFS('Шаг2.Бланк заказа NEW'!$U$19:$U$201,'Шаг2.Бланк заказа NEW'!$A$19:$A$201,$B20,'Шаг2.Бланк заказа NEW'!$H$19:$H$201,2)+
SUMIFS('Шаг2.Бланк заказа NEW'!$U$19:$U$201,'Шаг2.Бланк заказа NEW'!$A$19:$A$201,$B20,'Шаг2.Бланк заказа NEW'!$I$19:$I$201,2)+
SUMIFS('Бланк OLD 2.0 04 '!$M$18:$M$200,'Бланк OLD 2.0 04 '!$A$18:$A$200,$B20))/1000*1.2,5)</f>
        <v>0</v>
      </c>
      <c r="I20" s="84">
        <f ca="1">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плиты'!N:N,0.8,'Шаг1.Выбор плиты'!M:M,SMALL(INDIRECT("мм"&amp;VLOOKUP(B20,'Шаг1.Выбор плиты'!C:Q,12,0)),1))=0,
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плиты'!N:N,0.8,'Шаг1.Выбор плиты'!M:M,SMALL(INDIRECT("мм"&amp;VLOOKUP(B20,'Шаг1.Выбор плиты'!C:Q,12,0)),2))=0,
SUMIFS('Шаг1.Выбор плиты'!$Q:$Q,'Шаг1.Выбор плиты'!J:J,"*"&amp;RIGHT(VLOOKUP(B20,'Шаг1.Выбор плиты'!C:Q,8,0),4),'Шаг1.Выбор плиты'!L:L,VLOOKUP(B20,'Шаг1.Выбор плиты'!C:Q,10,0),'Шаг1.Выбор плиты'!N:N,0.8,'Шаг1.Выбор плиты'!M:M,SMALL(INDIRECT("мм"&amp;VLOOKUP(B20,'Шаг1.Выбор плиты'!C:Q,12,0)),3)),
SUMIFS('Шаг1.Выбор плиты'!$Q:$Q,'Шаг1.Выбор плиты'!J:J,"*"&amp;RIGHT(VLOOKUP(B20,'Шаг1.Выбор плиты'!C:Q,8,0),4),'Шаг1.Выбор плиты'!L:L,VLOOKUP(B20,'Шаг1.Выбор плиты'!C:Q,10,0),'Шаг1.Выбор плиты'!N:N,0.8,'Шаг1.Выбор плиты'!M:M,SMALL(INDIRECT("мм"&amp;VLOOKUP(B20,'Шаг1.Выбор плиты'!C:Q,12,0)),2))),
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плиты'!N:N,0.8,'Шаг1.Выбор плиты'!M:M,SMALL(INDIRECT("мм"&amp;VLOOKUP(B20,'Шаг1.Выбор плиты'!C:Q,12,0)),1))))</f>
        <v>0</v>
      </c>
      <c r="J20" s="84">
        <f ca="1">_xlfn.CEILING.PRECISE((SUMIFS('Шаг2.Бланк заказа NEW'!$T$19:$T$201,'Шаг2.Бланк заказа NEW'!$A$19:$A$201,$B20,'Шаг2.Бланк заказа NEW'!$E$19:$E$201,0.8)+
SUMIFS('Шаг2.Бланк заказа NEW'!$T$19:$T$201,'Шаг2.Бланк заказа NEW'!$A$19:$A$201,$B20,'Шаг2.Бланк заказа NEW'!$F$19:$F$201,0.8)+
SUMIFS('Шаг2.Бланк заказа NEW'!$U$19:$U$201,'Шаг2.Бланк заказа NEW'!$A$19:$A$201,$B20,'Шаг2.Бланк заказа NEW'!$H$19:$H$201,0.8)+
SUMIFS('Шаг2.Бланк заказа NEW'!$U$19:$U$201,'Шаг2.Бланк заказа NEW'!$A$19:$A$201,$B20,'Шаг2.Бланк заказа NEW'!$I$19:$I$201,0.8)+
SUMIFS('Бланк OLD 0.8 04'!$M$18:$M$200,'Бланк OLD 0.8 04'!$A$18:$A$200,$B20))/1000*1.2,5)</f>
        <v>0</v>
      </c>
      <c r="K20" s="84">
        <f ca="1">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плиты'!N:N,0.4,'Шаг1.Выбор плиты'!M:M,SMALL(INDIRECT("мм"&amp;VLOOKUP(B20,'Шаг1.Выбор плиты'!C:Q,12,0)),1))=0,
IF(SUMIFS('Шаг1.Выбор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плиты'!N:N,0.4,'Шаг1.Выбор плиты'!M:M,SMALL(INDIRECT("мм"&amp;VLOOKUP(B20,'Шаг1.Выбор плиты'!C:Q,12,0)),2))=0,
SUMIFS('Шаг1.Выбор плиты'!$Q:$Q,'Шаг1.Выбор плиты'!J:J,"*"&amp;RIGHT(VLOOKUP(B20,'Шаг1.Выбор плиты'!C:Q,8,0),4),'Шаг1.Выбор плиты'!L:L,VLOOKUP(B20,'Шаг1.Выбор плиты'!C:Q,10,0),'Шаг1.Выбор плиты'!N:N,0.4,'Шаг1.Выбор плиты'!M:M,SMALL(INDIRECT("мм"&amp;VLOOKUP(B20,'Шаг1.Выбор плиты'!C:Q,12,0)),3)),
SUMIFS('Шаг1.Выбор плиты'!$Q:$Q,'Шаг1.Выбор плиты'!J:J,"*"&amp;RIGHT(VLOOKUP(B20,'Шаг1.Выбор плиты'!C:Q,8,0),4),'Шаг1.Выбор плиты'!L:L,VLOOKUP(B20,'Шаг1.Выбор плиты'!C:Q,10,0),'Шаг1.Выбор плиты'!N:N,0.4,'Шаг1.Выбор плиты'!M:M,SMALL(INDIRECT("мм"&amp;VLOOKUP(B20,'Шаг1.Выбор плиты'!C:Q,12,0)),2))),
(SUMIFS('Шаг1.Выбор плиты'!$Q:$Q,'Шаг1.Выбор плиты'!J:J,"*"&amp;RIGHT(VLOOKUP(B20,'Шаг1.Выбор плиты'!C:Q,8,0),4),'Шаг1.Выбор плиты'!L:L,VLOOKUP(B20,'Шаг1.Выбор плиты'!C:Q,10,0),'Шаг1.Выбор плиты'!N:N,0.4,'Шаг1.Выбор плиты'!M:M,SMALL(INDIRECT("мм"&amp;VLOOKUP(B20,'Шаг1.Выбор плиты'!C:Q,12,0)),1))))</f>
        <v>0</v>
      </c>
      <c r="L20" s="84">
        <f ca="1">_xlfn.CEILING.PRECISE((SUMIFS('Шаг2.Бланк заказа NEW'!$T$19:$T$201,'Шаг2.Бланк заказа NEW'!$A$19:$A$201,$B20,'Шаг2.Бланк заказа NEW'!$E$19:$E$201,0.4)+
SUMIFS('Шаг2.Бланк заказа NEW'!$T$19:$T$201,'Шаг2.Бланк заказа NEW'!$A$19:$A$201,$B20,'Шаг2.Бланк заказа NEW'!$F$19:$F$201,0.4)+
SUMIFS('Шаг2.Бланк заказа NEW'!$U$19:$U$201,'Шаг2.Бланк заказа NEW'!$A$19:$A$201,$B20,'Шаг2.Бланк заказа NEW'!$H$19:$H$201,0.4)+
SUMIFS('Шаг2.Бланк заказа NEW'!$U$19:$U$201,'Шаг2.Бланк заказа NEW'!$A$19:$A$201,$B20,'Шаг2.Бланк заказа NEW'!$I$19:$I$201,0.4)+
SUMIFS('Бланк OLD 0.8 04'!$N$18:$N$200,'Бланк OLD 0.8 04'!$A$18:$A$200,$B20)+
SUMIFS('Бланк OLD 2.0 04 '!$N$18:$N$200,'Бланк OLD 2.0 04 '!$A$18:$A$200,$B20))/1000*1.2,5)</f>
        <v>0</v>
      </c>
      <c r="M20" s="84">
        <f ca="1">SUMIFS('Шаг1.Выбор плиты'!$Q:$Q,'Шаг1.Выбор плиты'!J:J,VLOOKUP(B20,'Шаг1.Выбор плиты'!C:Q,8,0),'Шаг1.Выбор плиты'!L:L,IF(MID(B20,1,6)="ЛДСП P","TM"&amp;MID(VLOOKUP(B20,'Шаг1.Выбор плиты'!C:Q,10,0),3,2),MID(VLOOKUP(B20,'Шаг1.Выбор плиты'!C:Q,10,0),1,2)),
'Шаг1.Выбор плиты'!N:N,1)</f>
        <v>0</v>
      </c>
      <c r="N20" s="84">
        <f ca="1">_xlfn.CEILING.PRECISE((SUMIFS('Шаг2.Бланк заказа NEW'!$T$19:$T$201,'Шаг2.Бланк заказа NEW'!$A$19:$A$201,$B20,'Шаг2.Бланк заказа NEW'!$E$19:$E$201,1)+
SUMIFS('Шаг2.Бланк заказа NEW'!$T$19:$T$201,'Шаг2.Бланк заказа NEW'!$A$19:$A$201,$B20,'Шаг2.Бланк заказа NEW'!$F$19:$F$201,1)+
SUMIFS('Шаг2.Бланк заказа NEW'!$U$19:$U$201,'Шаг2.Бланк заказа NEW'!$A$19:$A$201,$B20,'Шаг2.Бланк заказа NEW'!$H$19:$H$201,1)+
SUMIFS('Шаг2.Бланк заказа NEW'!$U$19:$U$201,'Шаг2.Бланк заказа NEW'!$A$19:$A$201,$B20,'Шаг2.Бланк заказа NEW'!$I$19:$I$201,1))/1000*1.2,5)</f>
        <v>0</v>
      </c>
      <c r="O20" s="85">
        <f t="shared" ca="1" si="0"/>
        <v>0</v>
      </c>
      <c r="P20" s="86">
        <f t="shared" ca="1" si="2"/>
        <v>0</v>
      </c>
      <c r="Q20" s="103">
        <f ca="1">ROUND(SUMIFS('Шаг2.Бланк заказа NEW'!$V$19:$V$201,'Шаг2.Бланк заказа NEW'!$A$19:$A$201,B20)+
SUMIFS('Бланк OLD 0.8 04'!$O$18:$O$200,'Бланк OLD 0.8 04'!$A$18:$A$200,B20)+
SUMIFS('Бланк OLD 2.0 04 '!$O$18:$O$200,'Бланк OLD 2.0 04 '!$A$18:$A$200,B20),0)</f>
        <v>0</v>
      </c>
      <c r="R20" s="103">
        <f ca="1">ROUND(SUMIFS('Шаг2.Бланк заказа NEW'!$W$19:$W$201,'Шаг2.Бланк заказа NEW'!$A$19:$A$201,B20),0)</f>
        <v>0</v>
      </c>
      <c r="S20" s="84">
        <f ca="1">IFERROR(IF(VLOOKUP(B20,'Шаг1.Выбор плиты'!C:Q,12,0)*1&lt;10,0,
IF(VLOOKUP(B20,'Шаг1.Выбор плиты'!C:Q,12,0)*1&lt;25,'Прайс Производственные Услуги'!$C$9,
IF(VLOOKUP(B20,'Шаг1.Выбор плиты'!C:Q,12,0)*1=25,'Прайс Производственные Услуги'!$C$10,
IF(VLOOKUP(B20,'Шаг1.Выбор плиты'!C:Q,12,0)*1&gt;25,'Прайс Производственные Услуги'!$C$11,
0)))),0)</f>
        <v>0</v>
      </c>
      <c r="T20" s="84">
        <f ca="1">_xlfn.CEILING.PRECISE((SUMIFS('Шаг2.Бланк заказа NEW'!$T$19:$T$201,'Шаг2.Бланк заказа NEW'!$A$19:$A$201,$B20,'Шаг2.Бланк заказа NEW'!$E$19:$E$201,2)+
SUMIFS('Шаг2.Бланк заказа NEW'!$T$19:$T$201,'Шаг2.Бланк заказа NEW'!$A$19:$A$201,$B20,'Шаг2.Бланк заказа NEW'!$F$19:$F$201,2)+
SUMIFS('Шаг2.Бланк заказа NEW'!$U$19:$U$201,'Шаг2.Бланк заказа NEW'!$A$19:$A$201,$B20,'Шаг2.Бланк заказа NEW'!$H$19:$H$201,2)+
SUMIFS('Шаг2.Бланк заказа NEW'!$U$19:$U$201,'Шаг2.Бланк заказа NEW'!$A$19:$A$201,$B20,'Шаг2.Бланк заказа NEW'!$I$19:$I$201,2)+
SUMIFS('Бланк OLD 2.0 04 '!$M$18:$M$200,'Бланк OLD 2.0 04 '!$A$18:$A$200,$B20))/1000,1)</f>
        <v>0</v>
      </c>
      <c r="U20" s="84">
        <f ca="1">IFERROR(IF(VLOOKUP(B20,'Шаг1.Выбор плиты'!C:Q,12,0)*1&lt;10,0,
IF(VLOOKUP(B20,'Шаг1.Выбор плиты'!C:Q,12,0)*1&lt;25,'Прайс Производственные Услуги'!$C$7,
IF(VLOOKUP(B20,'Шаг1.Выбор плиты'!C:Q,12,0)*1&gt;24,'Прайс Производственные Услуги'!$C$8,
0))),0)</f>
        <v>0</v>
      </c>
      <c r="V20" s="84">
        <f ca="1">_xlfn.CEILING.PRECISE((SUMIFS('Шаг2.Бланк заказа NEW'!$T$19:$T$201,'Шаг2.Бланк заказа NEW'!$A$19:$A$201,$B20,'Шаг2.Бланк заказа NEW'!$E$19:$E$201,0.8)+
SUMIFS('Шаг2.Бланк заказа NEW'!$T$19:$T$201,'Шаг2.Бланк заказа NEW'!$A$19:$A$201,$B20,'Шаг2.Бланк заказа NEW'!$F$19:$F$201,0.8)+
SUMIFS('Шаг2.Бланк заказа NEW'!$U$19:$U$201,'Шаг2.Бланк заказа NEW'!$A$19:$A$201,$B20,'Шаг2.Бланк заказа NEW'!$H$19:$H$201,0.8)+
SUMIFS('Шаг2.Бланк заказа NEW'!$U$19:$U$201,'Шаг2.Бланк заказа NEW'!$A$19:$A$201,$B20,'Шаг2.Бланк заказа NEW'!$I$19:$I$201,0.8)+
SUMIFS('Бланк OLD 0.8 04'!$M$18:$M$200,'Бланк OLD 0.8 04'!$A$18:$A$200,$B20))/1000,1)</f>
        <v>0</v>
      </c>
      <c r="W20" s="84">
        <f ca="1">IFERROR(IF(VLOOKUP(B20,'Шаг1.Выбор плиты'!C:Q,12,0)*1&lt;10,0,
IF(VLOOKUP(B20,'Шаг1.Выбор плиты'!C:Q,12,0)*1&lt;25,'Прайс Производственные Услуги'!$C$5,
IF(VLOOKUP(B20,'Шаг1.Выбор плиты'!C:Q,12,0)*1&gt;24,'Прайс Производственные Услуги'!$C$6,
0))),0)</f>
        <v>0</v>
      </c>
      <c r="X20" s="84">
        <f ca="1">_xlfn.CEILING.PRECISE((SUMIFS('Шаг2.Бланк заказа NEW'!$T$19:$T$201,'Шаг2.Бланк заказа NEW'!$A$19:$A$201,$B20,'Шаг2.Бланк заказа NEW'!$E$19:$E$201,0.4)+
SUMIFS('Шаг2.Бланк заказа NEW'!$T$19:$T$201,'Шаг2.Бланк заказа NEW'!$A$19:$A$201,$B20,'Шаг2.Бланк заказа NEW'!$F$19:$F$201,0.4)+
SUMIFS('Шаг2.Бланк заказа NEW'!$U$19:$U$201,'Шаг2.Бланк заказа NEW'!$A$19:$A$201,$B20,'Шаг2.Бланк заказа NEW'!$H$19:$H$201,0.4)+
SUMIFS('Шаг2.Бланк заказа NEW'!$U$19:$U$201,'Шаг2.Бланк заказа NEW'!$A$19:$A$201,$B20,'Шаг2.Бланк заказа NEW'!$I$19:$I$201,0.4)+
SUMIFS('Бланк OLD 0.8 04'!$N$18:$N$200,'Бланк OLD 0.8 04'!$A$18:$A$200,$B20)+
SUMIFS('Бланк OLD 2.0 04 '!$N$18:$N$200,'Бланк OLD 2.0 04 '!$A$18:$A$200,$B20))/1000,1)</f>
        <v>0</v>
      </c>
      <c r="Y20" s="84">
        <f ca="1">IF(OR(MID(B20,1,6)="ЛМДФ P",MID(B20,1,6)="ЛДСП P"),'Прайс Производственные Услуги'!$C$4,0)</f>
        <v>0</v>
      </c>
      <c r="Z20" s="84">
        <f ca="1">_xlfn.CEILING.PRECISE((SUMIFS('Шаг2.Бланк заказа NEW'!$T$19:$T$201,'Шаг2.Бланк заказа NEW'!$A$19:$A$201,$B20,'Шаг2.Бланк заказа NEW'!$E$19:$E$201,1)+
SUMIFS('Шаг2.Бланк заказа NEW'!$T$19:$T$201,'Шаг2.Бланк заказа NEW'!$A$19:$A$201,$B20,'Шаг2.Бланк заказа NEW'!$F$19:$F$201,1)+
SUMIFS('Шаг2.Бланк заказа NEW'!$U$19:$U$201,'Шаг2.Бланк заказа NEW'!$A$19:$A$201,$B20,'Шаг2.Бланк заказа NEW'!$H$19:$H$201,1)+
SUMIFS('Шаг2.Бланк заказа NEW'!$U$19:$U$201,'Шаг2.Бланк заказа NEW'!$A$19:$A$201,$B20,'Шаг2.Бланк заказа NEW'!$I$19:$I$201,1))/1000,1)</f>
        <v>0</v>
      </c>
      <c r="AA20" s="84">
        <f t="shared" ca="1" si="1"/>
        <v>0</v>
      </c>
      <c r="AB20" s="84">
        <f t="shared" ca="1" si="3"/>
        <v>0</v>
      </c>
      <c r="AC20" s="84" t="str">
        <f ca="1">IF(B20="","",_xlfn.CEILING.PRECISE((SUMIFS('Шаг2.Бланк заказа NEW'!$K$17:$K$201,'Шаг2.Бланк заказа NEW'!$A$17:$A$201,Шаг3.Стоимость!B20)+SUMIFS('Бланк OLD 0.8 04'!$K$18:$K$200,'Бланк OLD 0.8 04'!$A$18:$A$200,Шаг3.Стоимость!B20)+SUMIFS('Бланк OLD 2.0 04 '!$K$18:$K$200,'Бланк OLD 2.0 04 '!$A$18:$A$200,Шаг3.Стоимость!B20)),1))</f>
        <v/>
      </c>
      <c r="AD20" s="84" t="str">
        <f ca="1">IF(B20="","",_xlfn.CEILING.PRECISE((SUMIFS('Шаг2.Бланк заказа NEW'!$K$17:$K$201,'Шаг2.Бланк заказа NEW'!$A$17:$A$201,Шаг3.Стоимость!B20)+SUMIFS('Бланк OLD 0.8 04'!$K$18:$K$200,'Бланк OLD 0.8 04'!$A$18:$A$200,Шаг3.Стоимость!B20)+SUMIFS('Бланк OLD 2.0 04 '!$K$18:$K$200,'Бланк OLD 2.0 04 '!$A$18:$A$200,Шаг3.Стоимость!B20)),1)*'Прайс Производственные Услуги'!$C$15)</f>
        <v/>
      </c>
      <c r="AE20" s="85" t="str">
        <f ca="1">IFERROR(IF(OR(VLOOKUP(B20,'Шаг1.Выбор плиты'!C:D,2,0)="ЛДСП",VLOOKUP(B20,'Шаг1.Выбор плиты'!C:D,2,0)="МДФ",VLOOKUP(B20,'Шаг1.Выбор плиты'!C:D,2,0)="ДСП"),B20,""),"")</f>
        <v/>
      </c>
    </row>
    <row r="21" spans="1:31" ht="12" x14ac:dyDescent="0.2">
      <c r="A21" s="80" t="str">
        <f ca="1">IFERROR(VLOOKUP(ROW(A21)-ROW($A$13),'Шаг1.Выбор плиты'!B:B,1,0),"")</f>
        <v/>
      </c>
      <c r="B21" s="81" t="str">
        <f ca="1">IFERROR(VLOOKUP(ROW(B21)-ROW($B$13),'Шаг1.Выбор плиты'!B:D,2,0),"")</f>
        <v/>
      </c>
      <c r="C21" s="82">
        <f ca="1">IFERROR(
(SUMIFS('Шаг2.Бланк заказа NEW'!$K$19:$K$201,'Шаг2.Бланк заказа NEW'!$A$19:$A$201,B21)+SUMIFS('Бланк OLD 0.8 04'!$K$18:$K$200,'Бланк OLD 0.8 04'!$A$18:$A$200,B21)+
SUMIFS('Бланк OLD 2.0 04 '!$K$18:$K$200,'Бланк OLD 2.0 04 '!$A$18:$A$200,B21))
*IF(VLOOKUP(B21,'Шаг1.Выбор плиты'!C:Q,12,0)*1&lt;15,1.2,1.2),0)</f>
        <v>0</v>
      </c>
      <c r="D21" s="82" t="str">
        <f ca="1">IFERROR(VLOOKUP(B21,'Шаг1.Выбор плиты'!C:Q,15,0),"")</f>
        <v/>
      </c>
      <c r="E21" s="188" t="str">
        <f ca="1">IFERROR(_xlfn.CEILING.PRECISE(C21/(VLOOKUP(B21,'Шаг1.Выбор плиты'!C:S,16,0)/1000*VLOOKUP(B21,'Шаг1.Выбор плиты'!C:S,17,0)/1000),0.01),IF(B21='Шаг1.Выбор плиты'!$C$560,$AC$29,IF(B21='Шаг1.Выбор плиты'!$C$562,$AA$29,IF(B21='Шаг1.Выбор плиты'!$C$561,$AC$29,IF(B21='Шаг1.Выбор плиты'!$C$563,$R$30,"")))))</f>
        <v/>
      </c>
      <c r="F21" s="83" t="str">
        <f ca="1">IFERROR(IF(B21='Шаг1.Выбор плиты'!$C$560,$Q$29,IF(B21='Шаг1.Выбор плиты'!$C$562,$AB$29,IF(B21='Шаг1.Выбор плиты'!$C$561,$AD$29,IF(B21='Шаг1.Выбор плиты'!$C$563,$R$29,D21*E21)))),"")</f>
        <v/>
      </c>
      <c r="G21" s="84">
        <f ca="1">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плиты'!N:N,2,'Шаг1.Выбор плиты'!M:M,SMALL(INDIRECT("мм"&amp;VLOOKUP(B21,'Шаг1.Выбор плиты'!C:Q,12,0)),1))=0,
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плиты'!N:N,2,'Шаг1.Выбор плиты'!M:M,SMALL(INDIRECT("мм"&amp;VLOOKUP(B21,'Шаг1.Выбор плиты'!C:Q,12,0)),2))=0,
SUMIFS('Шаг1.Выбор плиты'!$Q:$Q,'Шаг1.Выбор плиты'!J:J,"*"&amp;RIGHT(VLOOKUP(B21,'Шаг1.Выбор плиты'!C:Q,8,0),4),'Шаг1.Выбор плиты'!L:L,VLOOKUP(B21,'Шаг1.Выбор плиты'!C:Q,10,0),'Шаг1.Выбор плиты'!N:N,2,'Шаг1.Выбор плиты'!M:M,SMALL(INDIRECT("мм"&amp;VLOOKUP(B21,'Шаг1.Выбор плиты'!C:Q,12,0)),3)),
SUMIFS('Шаг1.Выбор плиты'!$Q:$Q,'Шаг1.Выбор плиты'!J:J,"*"&amp;RIGHT(VLOOKUP(B21,'Шаг1.Выбор плиты'!C:Q,8,0),4),'Шаг1.Выбор плиты'!L:L,VLOOKUP(B21,'Шаг1.Выбор плиты'!C:Q,10,0),'Шаг1.Выбор плиты'!N:N,2,'Шаг1.Выбор плиты'!M:M,SMALL(INDIRECT("мм"&amp;VLOOKUP(B21,'Шаг1.Выбор плиты'!C:Q,12,0)),2))),
(SUMIFS('Шаг1.Выбор плиты'!$Q:$Q,'Шаг1.Выбор плиты'!J:J,"*"&amp;RIGHT(VLOOKUP(B21,'Шаг1.Выбор плиты'!C:Q,8,0),4),'Шаг1.Выбор плиты'!L:L,VLOOKUP(B21,'Шаг1.Выбор плиты'!C:Q,10,0),'Шаг1.Выбор плиты'!N:N,2,'Шаг1.Выбор плиты'!M:M,SMALL(INDIRECT("мм"&amp;VLOOKUP(B21,'Шаг1.Выбор плиты'!C:Q,12,0)),1))))</f>
        <v>0</v>
      </c>
      <c r="H21" s="84">
        <f ca="1">_xlfn.CEILING.PRECISE((SUMIFS('Шаг2.Бланк заказа NEW'!$T$19:$T$201,'Шаг2.Бланк заказа NEW'!$A$19:$A$201,$B21,'Шаг2.Бланк заказа NEW'!$E$19:$E$201,2)+
SUMIFS('Шаг2.Бланк заказа NEW'!$T$19:$T$201,'Шаг2.Бланк заказа NEW'!$A$19:$A$201,$B21,'Шаг2.Бланк заказа NEW'!$F$19:$F$201,2)+
SUMIFS('Шаг2.Бланк заказа NEW'!$U$19:$U$201,'Шаг2.Бланк заказа NEW'!$A$19:$A$201,$B21,'Шаг2.Бланк заказа NEW'!$H$19:$H$201,2)+
SUMIFS('Шаг2.Бланк заказа NEW'!$U$19:$U$201,'Шаг2.Бланк заказа NEW'!$A$19:$A$201,$B21,'Шаг2.Бланк заказа NEW'!$I$19:$I$201,2)+
SUMIFS('Бланк OLD 2.0 04 '!$M$18:$M$200,'Бланк OLD 2.0 04 '!$A$18:$A$200,$B21))/1000*1.2,5)</f>
        <v>0</v>
      </c>
      <c r="I21" s="84">
        <f ca="1">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плиты'!N:N,0.8,'Шаг1.Выбор плиты'!M:M,SMALL(INDIRECT("мм"&amp;VLOOKUP(B21,'Шаг1.Выбор плиты'!C:Q,12,0)),1))=0,
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плиты'!N:N,0.8,'Шаг1.Выбор плиты'!M:M,SMALL(INDIRECT("мм"&amp;VLOOKUP(B21,'Шаг1.Выбор плиты'!C:Q,12,0)),2))=0,
SUMIFS('Шаг1.Выбор плиты'!$Q:$Q,'Шаг1.Выбор плиты'!J:J,"*"&amp;RIGHT(VLOOKUP(B21,'Шаг1.Выбор плиты'!C:Q,8,0),4),'Шаг1.Выбор плиты'!L:L,VLOOKUP(B21,'Шаг1.Выбор плиты'!C:Q,10,0),'Шаг1.Выбор плиты'!N:N,0.8,'Шаг1.Выбор плиты'!M:M,SMALL(INDIRECT("мм"&amp;VLOOKUP(B21,'Шаг1.Выбор плиты'!C:Q,12,0)),3)),
SUMIFS('Шаг1.Выбор плиты'!$Q:$Q,'Шаг1.Выбор плиты'!J:J,"*"&amp;RIGHT(VLOOKUP(B21,'Шаг1.Выбор плиты'!C:Q,8,0),4),'Шаг1.Выбор плиты'!L:L,VLOOKUP(B21,'Шаг1.Выбор плиты'!C:Q,10,0),'Шаг1.Выбор плиты'!N:N,0.8,'Шаг1.Выбор плиты'!M:M,SMALL(INDIRECT("мм"&amp;VLOOKUP(B21,'Шаг1.Выбор плиты'!C:Q,12,0)),2))),
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плиты'!N:N,0.8,'Шаг1.Выбор плиты'!M:M,SMALL(INDIRECT("мм"&amp;VLOOKUP(B21,'Шаг1.Выбор плиты'!C:Q,12,0)),1))))</f>
        <v>0</v>
      </c>
      <c r="J21" s="84">
        <f ca="1">_xlfn.CEILING.PRECISE((SUMIFS('Шаг2.Бланк заказа NEW'!$T$19:$T$201,'Шаг2.Бланк заказа NEW'!$A$19:$A$201,$B21,'Шаг2.Бланк заказа NEW'!$E$19:$E$201,0.8)+
SUMIFS('Шаг2.Бланк заказа NEW'!$T$19:$T$201,'Шаг2.Бланк заказа NEW'!$A$19:$A$201,$B21,'Шаг2.Бланк заказа NEW'!$F$19:$F$201,0.8)+
SUMIFS('Шаг2.Бланк заказа NEW'!$U$19:$U$201,'Шаг2.Бланк заказа NEW'!$A$19:$A$201,$B21,'Шаг2.Бланк заказа NEW'!$H$19:$H$201,0.8)+
SUMIFS('Шаг2.Бланк заказа NEW'!$U$19:$U$201,'Шаг2.Бланк заказа NEW'!$A$19:$A$201,$B21,'Шаг2.Бланк заказа NEW'!$I$19:$I$201,0.8)+
SUMIFS('Бланк OLD 0.8 04'!$M$18:$M$200,'Бланк OLD 0.8 04'!$A$18:$A$200,$B21))/1000*1.2,5)</f>
        <v>0</v>
      </c>
      <c r="K21" s="84">
        <f ca="1">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плиты'!N:N,0.4,'Шаг1.Выбор плиты'!M:M,SMALL(INDIRECT("мм"&amp;VLOOKUP(B21,'Шаг1.Выбор плиты'!C:Q,12,0)),1))=0,
IF(SUMIFS('Шаг1.Выбор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плиты'!N:N,0.4,'Шаг1.Выбор плиты'!M:M,SMALL(INDIRECT("мм"&amp;VLOOKUP(B21,'Шаг1.Выбор плиты'!C:Q,12,0)),2))=0,
SUMIFS('Шаг1.Выбор плиты'!$Q:$Q,'Шаг1.Выбор плиты'!J:J,"*"&amp;RIGHT(VLOOKUP(B21,'Шаг1.Выбор плиты'!C:Q,8,0),4),'Шаг1.Выбор плиты'!L:L,VLOOKUP(B21,'Шаг1.Выбор плиты'!C:Q,10,0),'Шаг1.Выбор плиты'!N:N,0.4,'Шаг1.Выбор плиты'!M:M,SMALL(INDIRECT("мм"&amp;VLOOKUP(B21,'Шаг1.Выбор плиты'!C:Q,12,0)),3)),
SUMIFS('Шаг1.Выбор плиты'!$Q:$Q,'Шаг1.Выбор плиты'!J:J,"*"&amp;RIGHT(VLOOKUP(B21,'Шаг1.Выбор плиты'!C:Q,8,0),4),'Шаг1.Выбор плиты'!L:L,VLOOKUP(B21,'Шаг1.Выбор плиты'!C:Q,10,0),'Шаг1.Выбор плиты'!N:N,0.4,'Шаг1.Выбор плиты'!M:M,SMALL(INDIRECT("мм"&amp;VLOOKUP(B21,'Шаг1.Выбор плиты'!C:Q,12,0)),2))),
(SUMIFS('Шаг1.Выбор плиты'!$Q:$Q,'Шаг1.Выбор плиты'!J:J,"*"&amp;RIGHT(VLOOKUP(B21,'Шаг1.Выбор плиты'!C:Q,8,0),4),'Шаг1.Выбор плиты'!L:L,VLOOKUP(B21,'Шаг1.Выбор плиты'!C:Q,10,0),'Шаг1.Выбор плиты'!N:N,0.4,'Шаг1.Выбор плиты'!M:M,SMALL(INDIRECT("мм"&amp;VLOOKUP(B21,'Шаг1.Выбор плиты'!C:Q,12,0)),1))))</f>
        <v>0</v>
      </c>
      <c r="L21" s="84">
        <f ca="1">_xlfn.CEILING.PRECISE((SUMIFS('Шаг2.Бланк заказа NEW'!$T$19:$T$201,'Шаг2.Бланк заказа NEW'!$A$19:$A$201,$B21,'Шаг2.Бланк заказа NEW'!$E$19:$E$201,0.4)+
SUMIFS('Шаг2.Бланк заказа NEW'!$T$19:$T$201,'Шаг2.Бланк заказа NEW'!$A$19:$A$201,$B21,'Шаг2.Бланк заказа NEW'!$F$19:$F$201,0.4)+
SUMIFS('Шаг2.Бланк заказа NEW'!$U$19:$U$201,'Шаг2.Бланк заказа NEW'!$A$19:$A$201,$B21,'Шаг2.Бланк заказа NEW'!$H$19:$H$201,0.4)+
SUMIFS('Шаг2.Бланк заказа NEW'!$U$19:$U$201,'Шаг2.Бланк заказа NEW'!$A$19:$A$201,$B21,'Шаг2.Бланк заказа NEW'!$I$19:$I$201,0.4)+
SUMIFS('Бланк OLD 0.8 04'!$N$18:$N$200,'Бланк OLD 0.8 04'!$A$18:$A$200,$B21)+
SUMIFS('Бланк OLD 2.0 04 '!$N$18:$N$200,'Бланк OLD 2.0 04 '!$A$18:$A$200,$B21))/1000*1.2,5)</f>
        <v>0</v>
      </c>
      <c r="M21" s="84">
        <f ca="1">SUMIFS('Шаг1.Выбор плиты'!$Q:$Q,'Шаг1.Выбор плиты'!J:J,VLOOKUP(B21,'Шаг1.Выбор плиты'!C:Q,8,0),'Шаг1.Выбор плиты'!L:L,IF(MID(B21,1,6)="ЛДСП P","TM"&amp;MID(VLOOKUP(B21,'Шаг1.Выбор плиты'!C:Q,10,0),3,2),MID(VLOOKUP(B21,'Шаг1.Выбор плиты'!C:Q,10,0),1,2)),
'Шаг1.Выбор плиты'!N:N,1)</f>
        <v>0</v>
      </c>
      <c r="N21" s="84">
        <f ca="1">_xlfn.CEILING.PRECISE((SUMIFS('Шаг2.Бланк заказа NEW'!$T$19:$T$201,'Шаг2.Бланк заказа NEW'!$A$19:$A$201,$B21,'Шаг2.Бланк заказа NEW'!$E$19:$E$201,1)+
SUMIFS('Шаг2.Бланк заказа NEW'!$T$19:$T$201,'Шаг2.Бланк заказа NEW'!$A$19:$A$201,$B21,'Шаг2.Бланк заказа NEW'!$F$19:$F$201,1)+
SUMIFS('Шаг2.Бланк заказа NEW'!$U$19:$U$201,'Шаг2.Бланк заказа NEW'!$A$19:$A$201,$B21,'Шаг2.Бланк заказа NEW'!$H$19:$H$201,1)+
SUMIFS('Шаг2.Бланк заказа NEW'!$U$19:$U$201,'Шаг2.Бланк заказа NEW'!$A$19:$A$201,$B21,'Шаг2.Бланк заказа NEW'!$I$19:$I$201,1))/1000*1.2,5)</f>
        <v>0</v>
      </c>
      <c r="O21" s="85">
        <f t="shared" ca="1" si="0"/>
        <v>0</v>
      </c>
      <c r="P21" s="86">
        <f t="shared" ca="1" si="2"/>
        <v>0</v>
      </c>
      <c r="Q21" s="103">
        <f ca="1">ROUND(SUMIFS('Шаг2.Бланк заказа NEW'!$V$19:$V$201,'Шаг2.Бланк заказа NEW'!$A$19:$A$201,B21)+
SUMIFS('Бланк OLD 0.8 04'!$O$18:$O$200,'Бланк OLD 0.8 04'!$A$18:$A$200,B21)+
SUMIFS('Бланк OLD 2.0 04 '!$O$18:$O$200,'Бланк OLD 2.0 04 '!$A$18:$A$200,B21),0)</f>
        <v>0</v>
      </c>
      <c r="R21" s="103">
        <f ca="1">ROUND(SUMIFS('Шаг2.Бланк заказа NEW'!$W$19:$W$201,'Шаг2.Бланк заказа NEW'!$A$19:$A$201,B21),0)</f>
        <v>0</v>
      </c>
      <c r="S21" s="84">
        <f ca="1">IFERROR(IF(VLOOKUP(B21,'Шаг1.Выбор плиты'!C:Q,12,0)*1&lt;10,0,
IF(VLOOKUP(B21,'Шаг1.Выбор плиты'!C:Q,12,0)*1&lt;25,'Прайс Производственные Услуги'!$C$9,
IF(VLOOKUP(B21,'Шаг1.Выбор плиты'!C:Q,12,0)*1=25,'Прайс Производственные Услуги'!$C$10,
IF(VLOOKUP(B21,'Шаг1.Выбор плиты'!C:Q,12,0)*1&gt;25,'Прайс Производственные Услуги'!$C$11,
0)))),0)</f>
        <v>0</v>
      </c>
      <c r="T21" s="84">
        <f ca="1">_xlfn.CEILING.PRECISE((SUMIFS('Шаг2.Бланк заказа NEW'!$T$19:$T$201,'Шаг2.Бланк заказа NEW'!$A$19:$A$201,$B21,'Шаг2.Бланк заказа NEW'!$E$19:$E$201,2)+
SUMIFS('Шаг2.Бланк заказа NEW'!$T$19:$T$201,'Шаг2.Бланк заказа NEW'!$A$19:$A$201,$B21,'Шаг2.Бланк заказа NEW'!$F$19:$F$201,2)+
SUMIFS('Шаг2.Бланк заказа NEW'!$U$19:$U$201,'Шаг2.Бланк заказа NEW'!$A$19:$A$201,$B21,'Шаг2.Бланк заказа NEW'!$H$19:$H$201,2)+
SUMIFS('Шаг2.Бланк заказа NEW'!$U$19:$U$201,'Шаг2.Бланк заказа NEW'!$A$19:$A$201,$B21,'Шаг2.Бланк заказа NEW'!$I$19:$I$201,2)+
SUMIFS('Бланк OLD 2.0 04 '!$M$18:$M$200,'Бланк OLD 2.0 04 '!$A$18:$A$200,$B21))/1000,1)</f>
        <v>0</v>
      </c>
      <c r="U21" s="84">
        <f ca="1">IFERROR(IF(VLOOKUP(B21,'Шаг1.Выбор плиты'!C:Q,12,0)*1&lt;10,0,
IF(VLOOKUP(B21,'Шаг1.Выбор плиты'!C:Q,12,0)*1&lt;25,'Прайс Производственные Услуги'!$C$7,
IF(VLOOKUP(B21,'Шаг1.Выбор плиты'!C:Q,12,0)*1&gt;24,'Прайс Производственные Услуги'!$C$8,
0))),0)</f>
        <v>0</v>
      </c>
      <c r="V21" s="84">
        <f ca="1">_xlfn.CEILING.PRECISE((SUMIFS('Шаг2.Бланк заказа NEW'!$T$19:$T$201,'Шаг2.Бланк заказа NEW'!$A$19:$A$201,$B21,'Шаг2.Бланк заказа NEW'!$E$19:$E$201,0.8)+
SUMIFS('Шаг2.Бланк заказа NEW'!$T$19:$T$201,'Шаг2.Бланк заказа NEW'!$A$19:$A$201,$B21,'Шаг2.Бланк заказа NEW'!$F$19:$F$201,0.8)+
SUMIFS('Шаг2.Бланк заказа NEW'!$U$19:$U$201,'Шаг2.Бланк заказа NEW'!$A$19:$A$201,$B21,'Шаг2.Бланк заказа NEW'!$H$19:$H$201,0.8)+
SUMIFS('Шаг2.Бланк заказа NEW'!$U$19:$U$201,'Шаг2.Бланк заказа NEW'!$A$19:$A$201,$B21,'Шаг2.Бланк заказа NEW'!$I$19:$I$201,0.8)+
SUMIFS('Бланк OLD 0.8 04'!$M$18:$M$200,'Бланк OLD 0.8 04'!$A$18:$A$200,$B21))/1000,1)</f>
        <v>0</v>
      </c>
      <c r="W21" s="84">
        <f ca="1">IFERROR(IF(VLOOKUP(B21,'Шаг1.Выбор плиты'!C:Q,12,0)*1&lt;10,0,
IF(VLOOKUP(B21,'Шаг1.Выбор плиты'!C:Q,12,0)*1&lt;25,'Прайс Производственные Услуги'!$C$5,
IF(VLOOKUP(B21,'Шаг1.Выбор плиты'!C:Q,12,0)*1&gt;24,'Прайс Производственные Услуги'!$C$6,
0))),0)</f>
        <v>0</v>
      </c>
      <c r="X21" s="84">
        <f ca="1">_xlfn.CEILING.PRECISE((SUMIFS('Шаг2.Бланк заказа NEW'!$T$19:$T$201,'Шаг2.Бланк заказа NEW'!$A$19:$A$201,$B21,'Шаг2.Бланк заказа NEW'!$E$19:$E$201,0.4)+
SUMIFS('Шаг2.Бланк заказа NEW'!$T$19:$T$201,'Шаг2.Бланк заказа NEW'!$A$19:$A$201,$B21,'Шаг2.Бланк заказа NEW'!$F$19:$F$201,0.4)+
SUMIFS('Шаг2.Бланк заказа NEW'!$U$19:$U$201,'Шаг2.Бланк заказа NEW'!$A$19:$A$201,$B21,'Шаг2.Бланк заказа NEW'!$H$19:$H$201,0.4)+
SUMIFS('Шаг2.Бланк заказа NEW'!$U$19:$U$201,'Шаг2.Бланк заказа NEW'!$A$19:$A$201,$B21,'Шаг2.Бланк заказа NEW'!$I$19:$I$201,0.4)+
SUMIFS('Бланк OLD 0.8 04'!$N$18:$N$200,'Бланк OLD 0.8 04'!$A$18:$A$200,$B21)+
SUMIFS('Бланк OLD 2.0 04 '!$N$18:$N$200,'Бланк OLD 2.0 04 '!$A$18:$A$200,$B21))/1000,1)</f>
        <v>0</v>
      </c>
      <c r="Y21" s="84">
        <f ca="1">IF(OR(MID(B21,1,6)="ЛМДФ P",MID(B21,1,6)="ЛДСП P"),'Прайс Производственные Услуги'!$C$4,0)</f>
        <v>0</v>
      </c>
      <c r="Z21" s="84">
        <f ca="1">_xlfn.CEILING.PRECISE((SUMIFS('Шаг2.Бланк заказа NEW'!$T$19:$T$201,'Шаг2.Бланк заказа NEW'!$A$19:$A$201,$B21,'Шаг2.Бланк заказа NEW'!$E$19:$E$201,1)+
SUMIFS('Шаг2.Бланк заказа NEW'!$T$19:$T$201,'Шаг2.Бланк заказа NEW'!$A$19:$A$201,$B21,'Шаг2.Бланк заказа NEW'!$F$19:$F$201,1)+
SUMIFS('Шаг2.Бланк заказа NEW'!$U$19:$U$201,'Шаг2.Бланк заказа NEW'!$A$19:$A$201,$B21,'Шаг2.Бланк заказа NEW'!$H$19:$H$201,1)+
SUMIFS('Шаг2.Бланк заказа NEW'!$U$19:$U$201,'Шаг2.Бланк заказа NEW'!$A$19:$A$201,$B21,'Шаг2.Бланк заказа NEW'!$I$19:$I$201,1))/1000,1)</f>
        <v>0</v>
      </c>
      <c r="AA21" s="84">
        <f t="shared" ca="1" si="1"/>
        <v>0</v>
      </c>
      <c r="AB21" s="84">
        <f t="shared" ca="1" si="3"/>
        <v>0</v>
      </c>
      <c r="AC21" s="84" t="str">
        <f ca="1">IF(B21="","",_xlfn.CEILING.PRECISE((SUMIFS('Шаг2.Бланк заказа NEW'!$K$17:$K$201,'Шаг2.Бланк заказа NEW'!$A$17:$A$201,Шаг3.Стоимость!B21)+SUMIFS('Бланк OLD 0.8 04'!$K$18:$K$200,'Бланк OLD 0.8 04'!$A$18:$A$200,Шаг3.Стоимость!B21)+SUMIFS('Бланк OLD 2.0 04 '!$K$18:$K$200,'Бланк OLD 2.0 04 '!$A$18:$A$200,Шаг3.Стоимость!B21)),1))</f>
        <v/>
      </c>
      <c r="AD21" s="84" t="str">
        <f ca="1">IF(B21="","",_xlfn.CEILING.PRECISE((SUMIFS('Шаг2.Бланк заказа NEW'!$K$17:$K$201,'Шаг2.Бланк заказа NEW'!$A$17:$A$201,Шаг3.Стоимость!B21)+SUMIFS('Бланк OLD 0.8 04'!$K$18:$K$200,'Бланк OLD 0.8 04'!$A$18:$A$200,Шаг3.Стоимость!B21)+SUMIFS('Бланк OLD 2.0 04 '!$K$18:$K$200,'Бланк OLD 2.0 04 '!$A$18:$A$200,Шаг3.Стоимость!B21)),1)*'Прайс Производственные Услуги'!$C$15)</f>
        <v/>
      </c>
      <c r="AE21" s="85" t="str">
        <f ca="1">IFERROR(IF(OR(VLOOKUP(B21,'Шаг1.Выбор плиты'!C:D,2,0)="ЛДСП",VLOOKUP(B21,'Шаг1.Выбор плиты'!C:D,2,0)="МДФ",VLOOKUP(B21,'Шаг1.Выбор плиты'!C:D,2,0)="ДСП"),B21,""),"")</f>
        <v/>
      </c>
    </row>
    <row r="22" spans="1:31" ht="12" x14ac:dyDescent="0.2">
      <c r="A22" s="80" t="str">
        <f ca="1">IFERROR(VLOOKUP(ROW(A22)-ROW($A$13),'Шаг1.Выбор плиты'!B:B,1,0),"")</f>
        <v/>
      </c>
      <c r="B22" s="81" t="str">
        <f ca="1">IFERROR(VLOOKUP(ROW(B22)-ROW($B$13),'Шаг1.Выбор плиты'!B:D,2,0),"")</f>
        <v/>
      </c>
      <c r="C22" s="82">
        <f ca="1">IFERROR(
(SUMIFS('Шаг2.Бланк заказа NEW'!$K$19:$K$201,'Шаг2.Бланк заказа NEW'!$A$19:$A$201,B22)+SUMIFS('Бланк OLD 0.8 04'!$K$18:$K$200,'Бланк OLD 0.8 04'!$A$18:$A$200,B22)+
SUMIFS('Бланк OLD 2.0 04 '!$K$18:$K$200,'Бланк OLD 2.0 04 '!$A$18:$A$200,B22))
*IF(VLOOKUP(B22,'Шаг1.Выбор плиты'!C:Q,12,0)*1&lt;15,1.2,1.2),0)</f>
        <v>0</v>
      </c>
      <c r="D22" s="82" t="str">
        <f ca="1">IFERROR(VLOOKUP(B22,'Шаг1.Выбор плиты'!C:Q,15,0),"")</f>
        <v/>
      </c>
      <c r="E22" s="188" t="str">
        <f ca="1">IFERROR(_xlfn.CEILING.PRECISE(C22/(VLOOKUP(B22,'Шаг1.Выбор плиты'!C:S,16,0)/1000*VLOOKUP(B22,'Шаг1.Выбор плиты'!C:S,17,0)/1000),0.01),IF(B22='Шаг1.Выбор плиты'!$C$560,$AC$29,IF(B22='Шаг1.Выбор плиты'!$C$562,$AA$29,IF(B22='Шаг1.Выбор плиты'!$C$561,$AC$29,IF(B22='Шаг1.Выбор плиты'!$C$563,$R$30,"")))))</f>
        <v/>
      </c>
      <c r="F22" s="83" t="str">
        <f ca="1">IFERROR(IF(B22='Шаг1.Выбор плиты'!$C$560,$Q$29,IF(B22='Шаг1.Выбор плиты'!$C$562,$AB$29,IF(B22='Шаг1.Выбор плиты'!$C$561,$AD$29,IF(B22='Шаг1.Выбор плиты'!$C$563,$R$29,D22*E22)))),"")</f>
        <v/>
      </c>
      <c r="G22" s="84">
        <f ca="1">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плиты'!N:N,2,'Шаг1.Выбор плиты'!M:M,SMALL(INDIRECT("мм"&amp;VLOOKUP(B22,'Шаг1.Выбор плиты'!C:Q,12,0)),1))=0,
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плиты'!N:N,2,'Шаг1.Выбор плиты'!M:M,SMALL(INDIRECT("мм"&amp;VLOOKUP(B22,'Шаг1.Выбор плиты'!C:Q,12,0)),2))=0,
SUMIFS('Шаг1.Выбор плиты'!$Q:$Q,'Шаг1.Выбор плиты'!J:J,"*"&amp;RIGHT(VLOOKUP(B22,'Шаг1.Выбор плиты'!C:Q,8,0),4),'Шаг1.Выбор плиты'!L:L,VLOOKUP(B22,'Шаг1.Выбор плиты'!C:Q,10,0),'Шаг1.Выбор плиты'!N:N,2,'Шаг1.Выбор плиты'!M:M,SMALL(INDIRECT("мм"&amp;VLOOKUP(B22,'Шаг1.Выбор плиты'!C:Q,12,0)),3)),
SUMIFS('Шаг1.Выбор плиты'!$Q:$Q,'Шаг1.Выбор плиты'!J:J,"*"&amp;RIGHT(VLOOKUP(B22,'Шаг1.Выбор плиты'!C:Q,8,0),4),'Шаг1.Выбор плиты'!L:L,VLOOKUP(B22,'Шаг1.Выбор плиты'!C:Q,10,0),'Шаг1.Выбор плиты'!N:N,2,'Шаг1.Выбор плиты'!M:M,SMALL(INDIRECT("мм"&amp;VLOOKUP(B22,'Шаг1.Выбор плиты'!C:Q,12,0)),2))),
(SUMIFS('Шаг1.Выбор плиты'!$Q:$Q,'Шаг1.Выбор плиты'!J:J,"*"&amp;RIGHT(VLOOKUP(B22,'Шаг1.Выбор плиты'!C:Q,8,0),4),'Шаг1.Выбор плиты'!L:L,VLOOKUP(B22,'Шаг1.Выбор плиты'!C:Q,10,0),'Шаг1.Выбор плиты'!N:N,2,'Шаг1.Выбор плиты'!M:M,SMALL(INDIRECT("мм"&amp;VLOOKUP(B22,'Шаг1.Выбор плиты'!C:Q,12,0)),1))))</f>
        <v>0</v>
      </c>
      <c r="H22" s="84">
        <f ca="1">_xlfn.CEILING.PRECISE((SUMIFS('Шаг2.Бланк заказа NEW'!$T$19:$T$201,'Шаг2.Бланк заказа NEW'!$A$19:$A$201,$B22,'Шаг2.Бланк заказа NEW'!$E$19:$E$201,2)+
SUMIFS('Шаг2.Бланк заказа NEW'!$T$19:$T$201,'Шаг2.Бланк заказа NEW'!$A$19:$A$201,$B22,'Шаг2.Бланк заказа NEW'!$F$19:$F$201,2)+
SUMIFS('Шаг2.Бланк заказа NEW'!$U$19:$U$201,'Шаг2.Бланк заказа NEW'!$A$19:$A$201,$B22,'Шаг2.Бланк заказа NEW'!$H$19:$H$201,2)+
SUMIFS('Шаг2.Бланк заказа NEW'!$U$19:$U$201,'Шаг2.Бланк заказа NEW'!$A$19:$A$201,$B22,'Шаг2.Бланк заказа NEW'!$I$19:$I$201,2)+
SUMIFS('Бланк OLD 2.0 04 '!$M$18:$M$200,'Бланк OLD 2.0 04 '!$A$18:$A$200,$B22))/1000*1.2,5)</f>
        <v>0</v>
      </c>
      <c r="I22" s="84">
        <f ca="1">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плиты'!N:N,0.8,'Шаг1.Выбор плиты'!M:M,SMALL(INDIRECT("мм"&amp;VLOOKUP(B22,'Шаг1.Выбор плиты'!C:Q,12,0)),1))=0,
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плиты'!N:N,0.8,'Шаг1.Выбор плиты'!M:M,SMALL(INDIRECT("мм"&amp;VLOOKUP(B22,'Шаг1.Выбор плиты'!C:Q,12,0)),2))=0,
SUMIFS('Шаг1.Выбор плиты'!$Q:$Q,'Шаг1.Выбор плиты'!J:J,"*"&amp;RIGHT(VLOOKUP(B22,'Шаг1.Выбор плиты'!C:Q,8,0),4),'Шаг1.Выбор плиты'!L:L,VLOOKUP(B22,'Шаг1.Выбор плиты'!C:Q,10,0),'Шаг1.Выбор плиты'!N:N,0.8,'Шаг1.Выбор плиты'!M:M,SMALL(INDIRECT("мм"&amp;VLOOKUP(B22,'Шаг1.Выбор плиты'!C:Q,12,0)),3)),
SUMIFS('Шаг1.Выбор плиты'!$Q:$Q,'Шаг1.Выбор плиты'!J:J,"*"&amp;RIGHT(VLOOKUP(B22,'Шаг1.Выбор плиты'!C:Q,8,0),4),'Шаг1.Выбор плиты'!L:L,VLOOKUP(B22,'Шаг1.Выбор плиты'!C:Q,10,0),'Шаг1.Выбор плиты'!N:N,0.8,'Шаг1.Выбор плиты'!M:M,SMALL(INDIRECT("мм"&amp;VLOOKUP(B22,'Шаг1.Выбор плиты'!C:Q,12,0)),2))),
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плиты'!N:N,0.8,'Шаг1.Выбор плиты'!M:M,SMALL(INDIRECT("мм"&amp;VLOOKUP(B22,'Шаг1.Выбор плиты'!C:Q,12,0)),1))))</f>
        <v>0</v>
      </c>
      <c r="J22" s="84">
        <f ca="1">_xlfn.CEILING.PRECISE((SUMIFS('Шаг2.Бланк заказа NEW'!$T$19:$T$201,'Шаг2.Бланк заказа NEW'!$A$19:$A$201,$B22,'Шаг2.Бланк заказа NEW'!$E$19:$E$201,0.8)+
SUMIFS('Шаг2.Бланк заказа NEW'!$T$19:$T$201,'Шаг2.Бланк заказа NEW'!$A$19:$A$201,$B22,'Шаг2.Бланк заказа NEW'!$F$19:$F$201,0.8)+
SUMIFS('Шаг2.Бланк заказа NEW'!$U$19:$U$201,'Шаг2.Бланк заказа NEW'!$A$19:$A$201,$B22,'Шаг2.Бланк заказа NEW'!$H$19:$H$201,0.8)+
SUMIFS('Шаг2.Бланк заказа NEW'!$U$19:$U$201,'Шаг2.Бланк заказа NEW'!$A$19:$A$201,$B22,'Шаг2.Бланк заказа NEW'!$I$19:$I$201,0.8)+
SUMIFS('Бланк OLD 0.8 04'!$M$18:$M$200,'Бланк OLD 0.8 04'!$A$18:$A$200,$B22))/1000*1.2,5)</f>
        <v>0</v>
      </c>
      <c r="K22" s="84">
        <f ca="1">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плиты'!N:N,0.4,'Шаг1.Выбор плиты'!M:M,SMALL(INDIRECT("мм"&amp;VLOOKUP(B22,'Шаг1.Выбор плиты'!C:Q,12,0)),1))=0,
IF(SUMIFS('Шаг1.Выбор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плиты'!N:N,0.4,'Шаг1.Выбор плиты'!M:M,SMALL(INDIRECT("мм"&amp;VLOOKUP(B22,'Шаг1.Выбор плиты'!C:Q,12,0)),2))=0,
SUMIFS('Шаг1.Выбор плиты'!$Q:$Q,'Шаг1.Выбор плиты'!J:J,"*"&amp;RIGHT(VLOOKUP(B22,'Шаг1.Выбор плиты'!C:Q,8,0),4),'Шаг1.Выбор плиты'!L:L,VLOOKUP(B22,'Шаг1.Выбор плиты'!C:Q,10,0),'Шаг1.Выбор плиты'!N:N,0.4,'Шаг1.Выбор плиты'!M:M,SMALL(INDIRECT("мм"&amp;VLOOKUP(B22,'Шаг1.Выбор плиты'!C:Q,12,0)),3)),
SUMIFS('Шаг1.Выбор плиты'!$Q:$Q,'Шаг1.Выбор плиты'!J:J,"*"&amp;RIGHT(VLOOKUP(B22,'Шаг1.Выбор плиты'!C:Q,8,0),4),'Шаг1.Выбор плиты'!L:L,VLOOKUP(B22,'Шаг1.Выбор плиты'!C:Q,10,0),'Шаг1.Выбор плиты'!N:N,0.4,'Шаг1.Выбор плиты'!M:M,SMALL(INDIRECT("мм"&amp;VLOOKUP(B22,'Шаг1.Выбор плиты'!C:Q,12,0)),2))),
(SUMIFS('Шаг1.Выбор плиты'!$Q:$Q,'Шаг1.Выбор плиты'!J:J,"*"&amp;RIGHT(VLOOKUP(B22,'Шаг1.Выбор плиты'!C:Q,8,0),4),'Шаг1.Выбор плиты'!L:L,VLOOKUP(B22,'Шаг1.Выбор плиты'!C:Q,10,0),'Шаг1.Выбор плиты'!N:N,0.4,'Шаг1.Выбор плиты'!M:M,SMALL(INDIRECT("мм"&amp;VLOOKUP(B22,'Шаг1.Выбор плиты'!C:Q,12,0)),1))))</f>
        <v>0</v>
      </c>
      <c r="L22" s="84">
        <f ca="1">_xlfn.CEILING.PRECISE((SUMIFS('Шаг2.Бланк заказа NEW'!$T$19:$T$201,'Шаг2.Бланк заказа NEW'!$A$19:$A$201,$B22,'Шаг2.Бланк заказа NEW'!$E$19:$E$201,0.4)+
SUMIFS('Шаг2.Бланк заказа NEW'!$T$19:$T$201,'Шаг2.Бланк заказа NEW'!$A$19:$A$201,$B22,'Шаг2.Бланк заказа NEW'!$F$19:$F$201,0.4)+
SUMIFS('Шаг2.Бланк заказа NEW'!$U$19:$U$201,'Шаг2.Бланк заказа NEW'!$A$19:$A$201,$B22,'Шаг2.Бланк заказа NEW'!$H$19:$H$201,0.4)+
SUMIFS('Шаг2.Бланк заказа NEW'!$U$19:$U$201,'Шаг2.Бланк заказа NEW'!$A$19:$A$201,$B22,'Шаг2.Бланк заказа NEW'!$I$19:$I$201,0.4)+
SUMIFS('Бланк OLD 0.8 04'!$N$18:$N$200,'Бланк OLD 0.8 04'!$A$18:$A$200,$B22)+
SUMIFS('Бланк OLD 2.0 04 '!$N$18:$N$200,'Бланк OLD 2.0 04 '!$A$18:$A$200,$B22))/1000*1.2,5)</f>
        <v>0</v>
      </c>
      <c r="M22" s="84">
        <f ca="1">SUMIFS('Шаг1.Выбор плиты'!$Q:$Q,'Шаг1.Выбор плиты'!J:J,VLOOKUP(B22,'Шаг1.Выбор плиты'!C:Q,8,0),'Шаг1.Выбор плиты'!L:L,IF(MID(B22,1,6)="ЛДСП P","TM"&amp;MID(VLOOKUP(B22,'Шаг1.Выбор плиты'!C:Q,10,0),3,2),MID(VLOOKUP(B22,'Шаг1.Выбор плиты'!C:Q,10,0),1,2)),
'Шаг1.Выбор плиты'!N:N,1)</f>
        <v>0</v>
      </c>
      <c r="N22" s="84">
        <f ca="1">_xlfn.CEILING.PRECISE((SUMIFS('Шаг2.Бланк заказа NEW'!$T$19:$T$201,'Шаг2.Бланк заказа NEW'!$A$19:$A$201,$B22,'Шаг2.Бланк заказа NEW'!$E$19:$E$201,1)+
SUMIFS('Шаг2.Бланк заказа NEW'!$T$19:$T$201,'Шаг2.Бланк заказа NEW'!$A$19:$A$201,$B22,'Шаг2.Бланк заказа NEW'!$F$19:$F$201,1)+
SUMIFS('Шаг2.Бланк заказа NEW'!$U$19:$U$201,'Шаг2.Бланк заказа NEW'!$A$19:$A$201,$B22,'Шаг2.Бланк заказа NEW'!$H$19:$H$201,1)+
SUMIFS('Шаг2.Бланк заказа NEW'!$U$19:$U$201,'Шаг2.Бланк заказа NEW'!$A$19:$A$201,$B22,'Шаг2.Бланк заказа NEW'!$I$19:$I$201,1))/1000*1.2,5)</f>
        <v>0</v>
      </c>
      <c r="O22" s="85">
        <f t="shared" ca="1" si="0"/>
        <v>0</v>
      </c>
      <c r="P22" s="86">
        <f t="shared" ca="1" si="2"/>
        <v>0</v>
      </c>
      <c r="Q22" s="103">
        <f ca="1">ROUND(SUMIFS('Шаг2.Бланк заказа NEW'!$V$19:$V$201,'Шаг2.Бланк заказа NEW'!$A$19:$A$201,B22)+
SUMIFS('Бланк OLD 0.8 04'!$O$18:$O$200,'Бланк OLD 0.8 04'!$A$18:$A$200,B22)+
SUMIFS('Бланк OLD 2.0 04 '!$O$18:$O$200,'Бланк OLD 2.0 04 '!$A$18:$A$200,B22),0)</f>
        <v>0</v>
      </c>
      <c r="R22" s="103">
        <f ca="1">ROUND(SUMIFS('Шаг2.Бланк заказа NEW'!$W$19:$W$201,'Шаг2.Бланк заказа NEW'!$A$19:$A$201,B22),0)</f>
        <v>0</v>
      </c>
      <c r="S22" s="84">
        <f ca="1">IFERROR(IF(VLOOKUP(B22,'Шаг1.Выбор плиты'!C:Q,12,0)*1&lt;10,0,
IF(VLOOKUP(B22,'Шаг1.Выбор плиты'!C:Q,12,0)*1&lt;25,'Прайс Производственные Услуги'!$C$9,
IF(VLOOKUP(B22,'Шаг1.Выбор плиты'!C:Q,12,0)*1=25,'Прайс Производственные Услуги'!$C$10,
IF(VLOOKUP(B22,'Шаг1.Выбор плиты'!C:Q,12,0)*1&gt;25,'Прайс Производственные Услуги'!$C$11,
0)))),0)</f>
        <v>0</v>
      </c>
      <c r="T22" s="84">
        <f ca="1">_xlfn.CEILING.PRECISE((SUMIFS('Шаг2.Бланк заказа NEW'!$T$19:$T$201,'Шаг2.Бланк заказа NEW'!$A$19:$A$201,$B22,'Шаг2.Бланк заказа NEW'!$E$19:$E$201,2)+
SUMIFS('Шаг2.Бланк заказа NEW'!$T$19:$T$201,'Шаг2.Бланк заказа NEW'!$A$19:$A$201,$B22,'Шаг2.Бланк заказа NEW'!$F$19:$F$201,2)+
SUMIFS('Шаг2.Бланк заказа NEW'!$U$19:$U$201,'Шаг2.Бланк заказа NEW'!$A$19:$A$201,$B22,'Шаг2.Бланк заказа NEW'!$H$19:$H$201,2)+
SUMIFS('Шаг2.Бланк заказа NEW'!$U$19:$U$201,'Шаг2.Бланк заказа NEW'!$A$19:$A$201,$B22,'Шаг2.Бланк заказа NEW'!$I$19:$I$201,2)+
SUMIFS('Бланк OLD 2.0 04 '!$M$18:$M$200,'Бланк OLD 2.0 04 '!$A$18:$A$200,$B22))/1000,1)</f>
        <v>0</v>
      </c>
      <c r="U22" s="84">
        <f ca="1">IFERROR(IF(VLOOKUP(B22,'Шаг1.Выбор плиты'!C:Q,12,0)*1&lt;10,0,
IF(VLOOKUP(B22,'Шаг1.Выбор плиты'!C:Q,12,0)*1&lt;25,'Прайс Производственные Услуги'!$C$7,
IF(VLOOKUP(B22,'Шаг1.Выбор плиты'!C:Q,12,0)*1&gt;24,'Прайс Производственные Услуги'!$C$8,
0))),0)</f>
        <v>0</v>
      </c>
      <c r="V22" s="84">
        <f ca="1">_xlfn.CEILING.PRECISE((SUMIFS('Шаг2.Бланк заказа NEW'!$T$19:$T$201,'Шаг2.Бланк заказа NEW'!$A$19:$A$201,$B22,'Шаг2.Бланк заказа NEW'!$E$19:$E$201,0.8)+
SUMIFS('Шаг2.Бланк заказа NEW'!$T$19:$T$201,'Шаг2.Бланк заказа NEW'!$A$19:$A$201,$B22,'Шаг2.Бланк заказа NEW'!$F$19:$F$201,0.8)+
SUMIFS('Шаг2.Бланк заказа NEW'!$U$19:$U$201,'Шаг2.Бланк заказа NEW'!$A$19:$A$201,$B22,'Шаг2.Бланк заказа NEW'!$H$19:$H$201,0.8)+
SUMIFS('Шаг2.Бланк заказа NEW'!$U$19:$U$201,'Шаг2.Бланк заказа NEW'!$A$19:$A$201,$B22,'Шаг2.Бланк заказа NEW'!$I$19:$I$201,0.8)+
SUMIFS('Бланк OLD 0.8 04'!$M$18:$M$200,'Бланк OLD 0.8 04'!$A$18:$A$200,$B22))/1000,1)</f>
        <v>0</v>
      </c>
      <c r="W22" s="84">
        <f ca="1">IFERROR(IF(VLOOKUP(B22,'Шаг1.Выбор плиты'!C:Q,12,0)*1&lt;10,0,
IF(VLOOKUP(B22,'Шаг1.Выбор плиты'!C:Q,12,0)*1&lt;25,'Прайс Производственные Услуги'!$C$5,
IF(VLOOKUP(B22,'Шаг1.Выбор плиты'!C:Q,12,0)*1&gt;24,'Прайс Производственные Услуги'!$C$6,
0))),0)</f>
        <v>0</v>
      </c>
      <c r="X22" s="84">
        <f ca="1">_xlfn.CEILING.PRECISE((SUMIFS('Шаг2.Бланк заказа NEW'!$T$19:$T$201,'Шаг2.Бланк заказа NEW'!$A$19:$A$201,$B22,'Шаг2.Бланк заказа NEW'!$E$19:$E$201,0.4)+
SUMIFS('Шаг2.Бланк заказа NEW'!$T$19:$T$201,'Шаг2.Бланк заказа NEW'!$A$19:$A$201,$B22,'Шаг2.Бланк заказа NEW'!$F$19:$F$201,0.4)+
SUMIFS('Шаг2.Бланк заказа NEW'!$U$19:$U$201,'Шаг2.Бланк заказа NEW'!$A$19:$A$201,$B22,'Шаг2.Бланк заказа NEW'!$H$19:$H$201,0.4)+
SUMIFS('Шаг2.Бланк заказа NEW'!$U$19:$U$201,'Шаг2.Бланк заказа NEW'!$A$19:$A$201,$B22,'Шаг2.Бланк заказа NEW'!$I$19:$I$201,0.4)+
SUMIFS('Бланк OLD 0.8 04'!$N$18:$N$200,'Бланк OLD 0.8 04'!$A$18:$A$200,$B22)+
SUMIFS('Бланк OLD 2.0 04 '!$N$18:$N$200,'Бланк OLD 2.0 04 '!$A$18:$A$200,$B22))/1000,1)</f>
        <v>0</v>
      </c>
      <c r="Y22" s="84">
        <f ca="1">IF(OR(MID(B22,1,6)="ЛМДФ P",MID(B22,1,6)="ЛДСП P"),'Прайс Производственные Услуги'!$C$4,0)</f>
        <v>0</v>
      </c>
      <c r="Z22" s="84">
        <f ca="1">_xlfn.CEILING.PRECISE((SUMIFS('Шаг2.Бланк заказа NEW'!$T$19:$T$201,'Шаг2.Бланк заказа NEW'!$A$19:$A$201,$B22,'Шаг2.Бланк заказа NEW'!$E$19:$E$201,1)+
SUMIFS('Шаг2.Бланк заказа NEW'!$T$19:$T$201,'Шаг2.Бланк заказа NEW'!$A$19:$A$201,$B22,'Шаг2.Бланк заказа NEW'!$F$19:$F$201,1)+
SUMIFS('Шаг2.Бланк заказа NEW'!$U$19:$U$201,'Шаг2.Бланк заказа NEW'!$A$19:$A$201,$B22,'Шаг2.Бланк заказа NEW'!$H$19:$H$201,1)+
SUMIFS('Шаг2.Бланк заказа NEW'!$U$19:$U$201,'Шаг2.Бланк заказа NEW'!$A$19:$A$201,$B22,'Шаг2.Бланк заказа NEW'!$I$19:$I$201,1))/1000,1)</f>
        <v>0</v>
      </c>
      <c r="AA22" s="84">
        <f t="shared" ca="1" si="1"/>
        <v>0</v>
      </c>
      <c r="AB22" s="84">
        <f t="shared" ca="1" si="3"/>
        <v>0</v>
      </c>
      <c r="AC22" s="84" t="str">
        <f ca="1">IF(B22="","",_xlfn.CEILING.PRECISE((SUMIFS('Шаг2.Бланк заказа NEW'!$K$17:$K$201,'Шаг2.Бланк заказа NEW'!$A$17:$A$201,Шаг3.Стоимость!B22)+SUMIFS('Бланк OLD 0.8 04'!$K$18:$K$200,'Бланк OLD 0.8 04'!$A$18:$A$200,Шаг3.Стоимость!B22)+SUMIFS('Бланк OLD 2.0 04 '!$K$18:$K$200,'Бланк OLD 2.0 04 '!$A$18:$A$200,Шаг3.Стоимость!B22)),1))</f>
        <v/>
      </c>
      <c r="AD22" s="84" t="str">
        <f ca="1">IF(B22="","",_xlfn.CEILING.PRECISE((SUMIFS('Шаг2.Бланк заказа NEW'!$K$17:$K$201,'Шаг2.Бланк заказа NEW'!$A$17:$A$201,Шаг3.Стоимость!B22)+SUMIFS('Бланк OLD 0.8 04'!$K$18:$K$200,'Бланк OLD 0.8 04'!$A$18:$A$200,Шаг3.Стоимость!B22)+SUMIFS('Бланк OLD 2.0 04 '!$K$18:$K$200,'Бланк OLD 2.0 04 '!$A$18:$A$200,Шаг3.Стоимость!B22)),1)*'Прайс Производственные Услуги'!$C$15)</f>
        <v/>
      </c>
      <c r="AE22" s="85" t="str">
        <f ca="1">IFERROR(IF(OR(VLOOKUP(B22,'Шаг1.Выбор плиты'!C:D,2,0)="ЛДСП",VLOOKUP(B22,'Шаг1.Выбор плиты'!C:D,2,0)="МДФ",VLOOKUP(B22,'Шаг1.Выбор плиты'!C:D,2,0)="ДСП"),B22,""),"")</f>
        <v/>
      </c>
    </row>
    <row r="23" spans="1:31" ht="12" x14ac:dyDescent="0.2">
      <c r="A23" s="80" t="str">
        <f ca="1">IFERROR(VLOOKUP(ROW(A23)-ROW($A$13),'Шаг1.Выбор плиты'!B:B,1,0),"")</f>
        <v/>
      </c>
      <c r="B23" s="81" t="str">
        <f ca="1">IFERROR(VLOOKUP(ROW(B23)-ROW($B$13),'Шаг1.Выбор плиты'!B:D,2,0),"")</f>
        <v/>
      </c>
      <c r="C23" s="82">
        <f ca="1">IFERROR(
(SUMIFS('Шаг2.Бланк заказа NEW'!$K$19:$K$201,'Шаг2.Бланк заказа NEW'!$A$19:$A$201,B23)+SUMIFS('Бланк OLD 0.8 04'!$K$18:$K$200,'Бланк OLD 0.8 04'!$A$18:$A$200,B23)+
SUMIFS('Бланк OLD 2.0 04 '!$K$18:$K$200,'Бланк OLD 2.0 04 '!$A$18:$A$200,B23))
*IF(VLOOKUP(B23,'Шаг1.Выбор плиты'!C:Q,12,0)*1&lt;15,1.2,1.2),0)</f>
        <v>0</v>
      </c>
      <c r="D23" s="82" t="str">
        <f ca="1">IFERROR(VLOOKUP(B23,'Шаг1.Выбор плиты'!C:Q,15,0),"")</f>
        <v/>
      </c>
      <c r="E23" s="188" t="str">
        <f ca="1">IFERROR(_xlfn.CEILING.PRECISE(C23/(VLOOKUP(B23,'Шаг1.Выбор плиты'!C:S,16,0)/1000*VLOOKUP(B23,'Шаг1.Выбор плиты'!C:S,17,0)/1000),0.01),IF(B23='Шаг1.Выбор плиты'!$C$560,$AC$29,IF(B23='Шаг1.Выбор плиты'!$C$562,$AA$29,IF(B23='Шаг1.Выбор плиты'!$C$561,$AC$29,IF(B23='Шаг1.Выбор плиты'!$C$563,$R$30,"")))))</f>
        <v/>
      </c>
      <c r="F23" s="83" t="str">
        <f ca="1">IFERROR(IF(B23='Шаг1.Выбор плиты'!$C$560,$Q$29,IF(B23='Шаг1.Выбор плиты'!$C$562,$AB$29,IF(B23='Шаг1.Выбор плиты'!$C$561,$AD$29,IF(B23='Шаг1.Выбор плиты'!$C$563,$R$29,D23*E23)))),"")</f>
        <v/>
      </c>
      <c r="G23" s="84">
        <f ca="1">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плиты'!N:N,2,'Шаг1.Выбор плиты'!M:M,SMALL(INDIRECT("мм"&amp;VLOOKUP(B23,'Шаг1.Выбор плиты'!C:Q,12,0)),1))=0,
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плиты'!N:N,2,'Шаг1.Выбор плиты'!M:M,SMALL(INDIRECT("мм"&amp;VLOOKUP(B23,'Шаг1.Выбор плиты'!C:Q,12,0)),2))=0,
SUMIFS('Шаг1.Выбор плиты'!$Q:$Q,'Шаг1.Выбор плиты'!J:J,"*"&amp;RIGHT(VLOOKUP(B23,'Шаг1.Выбор плиты'!C:Q,8,0),4),'Шаг1.Выбор плиты'!L:L,VLOOKUP(B23,'Шаг1.Выбор плиты'!C:Q,10,0),'Шаг1.Выбор плиты'!N:N,2,'Шаг1.Выбор плиты'!M:M,SMALL(INDIRECT("мм"&amp;VLOOKUP(B23,'Шаг1.Выбор плиты'!C:Q,12,0)),3)),
SUMIFS('Шаг1.Выбор плиты'!$Q:$Q,'Шаг1.Выбор плиты'!J:J,"*"&amp;RIGHT(VLOOKUP(B23,'Шаг1.Выбор плиты'!C:Q,8,0),4),'Шаг1.Выбор плиты'!L:L,VLOOKUP(B23,'Шаг1.Выбор плиты'!C:Q,10,0),'Шаг1.Выбор плиты'!N:N,2,'Шаг1.Выбор плиты'!M:M,SMALL(INDIRECT("мм"&amp;VLOOKUP(B23,'Шаг1.Выбор плиты'!C:Q,12,0)),2))),
(SUMIFS('Шаг1.Выбор плиты'!$Q:$Q,'Шаг1.Выбор плиты'!J:J,"*"&amp;RIGHT(VLOOKUP(B23,'Шаг1.Выбор плиты'!C:Q,8,0),4),'Шаг1.Выбор плиты'!L:L,VLOOKUP(B23,'Шаг1.Выбор плиты'!C:Q,10,0),'Шаг1.Выбор плиты'!N:N,2,'Шаг1.Выбор плиты'!M:M,SMALL(INDIRECT("мм"&amp;VLOOKUP(B23,'Шаг1.Выбор плиты'!C:Q,12,0)),1))))</f>
        <v>0</v>
      </c>
      <c r="H23" s="84">
        <f ca="1">_xlfn.CEILING.PRECISE((SUMIFS('Шаг2.Бланк заказа NEW'!$T$19:$T$201,'Шаг2.Бланк заказа NEW'!$A$19:$A$201,$B23,'Шаг2.Бланк заказа NEW'!$E$19:$E$201,2)+
SUMIFS('Шаг2.Бланк заказа NEW'!$T$19:$T$201,'Шаг2.Бланк заказа NEW'!$A$19:$A$201,$B23,'Шаг2.Бланк заказа NEW'!$F$19:$F$201,2)+
SUMIFS('Шаг2.Бланк заказа NEW'!$U$19:$U$201,'Шаг2.Бланк заказа NEW'!$A$19:$A$201,$B23,'Шаг2.Бланк заказа NEW'!$H$19:$H$201,2)+
SUMIFS('Шаг2.Бланк заказа NEW'!$U$19:$U$201,'Шаг2.Бланк заказа NEW'!$A$19:$A$201,$B23,'Шаг2.Бланк заказа NEW'!$I$19:$I$201,2)+
SUMIFS('Бланк OLD 2.0 04 '!$M$18:$M$200,'Бланк OLD 2.0 04 '!$A$18:$A$200,$B23))/1000*1.2,5)</f>
        <v>0</v>
      </c>
      <c r="I23" s="84">
        <f ca="1">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плиты'!N:N,0.8,'Шаг1.Выбор плиты'!M:M,SMALL(INDIRECT("мм"&amp;VLOOKUP(B23,'Шаг1.Выбор плиты'!C:Q,12,0)),1))=0,
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плиты'!N:N,0.8,'Шаг1.Выбор плиты'!M:M,SMALL(INDIRECT("мм"&amp;VLOOKUP(B23,'Шаг1.Выбор плиты'!C:Q,12,0)),2))=0,
SUMIFS('Шаг1.Выбор плиты'!$Q:$Q,'Шаг1.Выбор плиты'!J:J,"*"&amp;RIGHT(VLOOKUP(B23,'Шаг1.Выбор плиты'!C:Q,8,0),4),'Шаг1.Выбор плиты'!L:L,VLOOKUP(B23,'Шаг1.Выбор плиты'!C:Q,10,0),'Шаг1.Выбор плиты'!N:N,0.8,'Шаг1.Выбор плиты'!M:M,SMALL(INDIRECT("мм"&amp;VLOOKUP(B23,'Шаг1.Выбор плиты'!C:Q,12,0)),3)),
SUMIFS('Шаг1.Выбор плиты'!$Q:$Q,'Шаг1.Выбор плиты'!J:J,"*"&amp;RIGHT(VLOOKUP(B23,'Шаг1.Выбор плиты'!C:Q,8,0),4),'Шаг1.Выбор плиты'!L:L,VLOOKUP(B23,'Шаг1.Выбор плиты'!C:Q,10,0),'Шаг1.Выбор плиты'!N:N,0.8,'Шаг1.Выбор плиты'!M:M,SMALL(INDIRECT("мм"&amp;VLOOKUP(B23,'Шаг1.Выбор плиты'!C:Q,12,0)),2))),
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плиты'!N:N,0.8,'Шаг1.Выбор плиты'!M:M,SMALL(INDIRECT("мм"&amp;VLOOKUP(B23,'Шаг1.Выбор плиты'!C:Q,12,0)),1))))</f>
        <v>0</v>
      </c>
      <c r="J23" s="84">
        <f ca="1">_xlfn.CEILING.PRECISE((SUMIFS('Шаг2.Бланк заказа NEW'!$T$19:$T$201,'Шаг2.Бланк заказа NEW'!$A$19:$A$201,$B23,'Шаг2.Бланк заказа NEW'!$E$19:$E$201,0.8)+
SUMIFS('Шаг2.Бланк заказа NEW'!$T$19:$T$201,'Шаг2.Бланк заказа NEW'!$A$19:$A$201,$B23,'Шаг2.Бланк заказа NEW'!$F$19:$F$201,0.8)+
SUMIFS('Шаг2.Бланк заказа NEW'!$U$19:$U$201,'Шаг2.Бланк заказа NEW'!$A$19:$A$201,$B23,'Шаг2.Бланк заказа NEW'!$H$19:$H$201,0.8)+
SUMIFS('Шаг2.Бланк заказа NEW'!$U$19:$U$201,'Шаг2.Бланк заказа NEW'!$A$19:$A$201,$B23,'Шаг2.Бланк заказа NEW'!$I$19:$I$201,0.8)+
SUMIFS('Бланк OLD 0.8 04'!$M$18:$M$200,'Бланк OLD 0.8 04'!$A$18:$A$200,$B23))/1000*1.2,5)</f>
        <v>0</v>
      </c>
      <c r="K23" s="84">
        <f ca="1">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плиты'!N:N,0.4,'Шаг1.Выбор плиты'!M:M,SMALL(INDIRECT("мм"&amp;VLOOKUP(B23,'Шаг1.Выбор плиты'!C:Q,12,0)),1))=0,
IF(SUMIFS('Шаг1.Выбор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плиты'!N:N,0.4,'Шаг1.Выбор плиты'!M:M,SMALL(INDIRECT("мм"&amp;VLOOKUP(B23,'Шаг1.Выбор плиты'!C:Q,12,0)),2))=0,
SUMIFS('Шаг1.Выбор плиты'!$Q:$Q,'Шаг1.Выбор плиты'!J:J,"*"&amp;RIGHT(VLOOKUP(B23,'Шаг1.Выбор плиты'!C:Q,8,0),4),'Шаг1.Выбор плиты'!L:L,VLOOKUP(B23,'Шаг1.Выбор плиты'!C:Q,10,0),'Шаг1.Выбор плиты'!N:N,0.4,'Шаг1.Выбор плиты'!M:M,SMALL(INDIRECT("мм"&amp;VLOOKUP(B23,'Шаг1.Выбор плиты'!C:Q,12,0)),3)),
SUMIFS('Шаг1.Выбор плиты'!$Q:$Q,'Шаг1.Выбор плиты'!J:J,"*"&amp;RIGHT(VLOOKUP(B23,'Шаг1.Выбор плиты'!C:Q,8,0),4),'Шаг1.Выбор плиты'!L:L,VLOOKUP(B23,'Шаг1.Выбор плиты'!C:Q,10,0),'Шаг1.Выбор плиты'!N:N,0.4,'Шаг1.Выбор плиты'!M:M,SMALL(INDIRECT("мм"&amp;VLOOKUP(B23,'Шаг1.Выбор плиты'!C:Q,12,0)),2))),
(SUMIFS('Шаг1.Выбор плиты'!$Q:$Q,'Шаг1.Выбор плиты'!J:J,"*"&amp;RIGHT(VLOOKUP(B23,'Шаг1.Выбор плиты'!C:Q,8,0),4),'Шаг1.Выбор плиты'!L:L,VLOOKUP(B23,'Шаг1.Выбор плиты'!C:Q,10,0),'Шаг1.Выбор плиты'!N:N,0.4,'Шаг1.Выбор плиты'!M:M,SMALL(INDIRECT("мм"&amp;VLOOKUP(B23,'Шаг1.Выбор плиты'!C:Q,12,0)),1))))</f>
        <v>0</v>
      </c>
      <c r="L23" s="84">
        <f ca="1">_xlfn.CEILING.PRECISE((SUMIFS('Шаг2.Бланк заказа NEW'!$T$19:$T$201,'Шаг2.Бланк заказа NEW'!$A$19:$A$201,$B23,'Шаг2.Бланк заказа NEW'!$E$19:$E$201,0.4)+
SUMIFS('Шаг2.Бланк заказа NEW'!$T$19:$T$201,'Шаг2.Бланк заказа NEW'!$A$19:$A$201,$B23,'Шаг2.Бланк заказа NEW'!$F$19:$F$201,0.4)+
SUMIFS('Шаг2.Бланк заказа NEW'!$U$19:$U$201,'Шаг2.Бланк заказа NEW'!$A$19:$A$201,$B23,'Шаг2.Бланк заказа NEW'!$H$19:$H$201,0.4)+
SUMIFS('Шаг2.Бланк заказа NEW'!$U$19:$U$201,'Шаг2.Бланк заказа NEW'!$A$19:$A$201,$B23,'Шаг2.Бланк заказа NEW'!$I$19:$I$201,0.4)+
SUMIFS('Бланк OLD 0.8 04'!$N$18:$N$200,'Бланк OLD 0.8 04'!$A$18:$A$200,$B23)+
SUMIFS('Бланк OLD 2.0 04 '!$N$18:$N$200,'Бланк OLD 2.0 04 '!$A$18:$A$200,$B23))/1000*1.2,5)</f>
        <v>0</v>
      </c>
      <c r="M23" s="84">
        <f ca="1">SUMIFS('Шаг1.Выбор плиты'!$Q:$Q,'Шаг1.Выбор плиты'!J:J,VLOOKUP(B23,'Шаг1.Выбор плиты'!C:Q,8,0),'Шаг1.Выбор плиты'!L:L,IF(MID(B23,1,6)="ЛДСП P","TM"&amp;MID(VLOOKUP(B23,'Шаг1.Выбор плиты'!C:Q,10,0),3,2),MID(VLOOKUP(B23,'Шаг1.Выбор плиты'!C:Q,10,0),1,2)),
'Шаг1.Выбор плиты'!N:N,1)</f>
        <v>0</v>
      </c>
      <c r="N23" s="84">
        <f ca="1">_xlfn.CEILING.PRECISE((SUMIFS('Шаг2.Бланк заказа NEW'!$T$19:$T$201,'Шаг2.Бланк заказа NEW'!$A$19:$A$201,$B23,'Шаг2.Бланк заказа NEW'!$E$19:$E$201,1)+
SUMIFS('Шаг2.Бланк заказа NEW'!$T$19:$T$201,'Шаг2.Бланк заказа NEW'!$A$19:$A$201,$B23,'Шаг2.Бланк заказа NEW'!$F$19:$F$201,1)+
SUMIFS('Шаг2.Бланк заказа NEW'!$U$19:$U$201,'Шаг2.Бланк заказа NEW'!$A$19:$A$201,$B23,'Шаг2.Бланк заказа NEW'!$H$19:$H$201,1)+
SUMIFS('Шаг2.Бланк заказа NEW'!$U$19:$U$201,'Шаг2.Бланк заказа NEW'!$A$19:$A$201,$B23,'Шаг2.Бланк заказа NEW'!$I$19:$I$201,1))/1000*1.2,5)</f>
        <v>0</v>
      </c>
      <c r="O23" s="85">
        <f t="shared" ca="1" si="0"/>
        <v>0</v>
      </c>
      <c r="P23" s="86">
        <f t="shared" ca="1" si="2"/>
        <v>0</v>
      </c>
      <c r="Q23" s="103">
        <f ca="1">ROUND(SUMIFS('Шаг2.Бланк заказа NEW'!$V$19:$V$201,'Шаг2.Бланк заказа NEW'!$A$19:$A$201,B23)+
SUMIFS('Бланк OLD 0.8 04'!$O$18:$O$200,'Бланк OLD 0.8 04'!$A$18:$A$200,B23)+
SUMIFS('Бланк OLD 2.0 04 '!$O$18:$O$200,'Бланк OLD 2.0 04 '!$A$18:$A$200,B23),0)</f>
        <v>0</v>
      </c>
      <c r="R23" s="103">
        <f ca="1">ROUND(SUMIFS('Шаг2.Бланк заказа NEW'!$W$19:$W$201,'Шаг2.Бланк заказа NEW'!$A$19:$A$201,B23),0)</f>
        <v>0</v>
      </c>
      <c r="S23" s="84">
        <f ca="1">IFERROR(IF(VLOOKUP(B23,'Шаг1.Выбор плиты'!C:Q,12,0)*1&lt;10,0,
IF(VLOOKUP(B23,'Шаг1.Выбор плиты'!C:Q,12,0)*1&lt;25,'Прайс Производственные Услуги'!$C$9,
IF(VLOOKUP(B23,'Шаг1.Выбор плиты'!C:Q,12,0)*1=25,'Прайс Производственные Услуги'!$C$10,
IF(VLOOKUP(B23,'Шаг1.Выбор плиты'!C:Q,12,0)*1&gt;25,'Прайс Производственные Услуги'!$C$11,
0)))),0)</f>
        <v>0</v>
      </c>
      <c r="T23" s="84">
        <f ca="1">_xlfn.CEILING.PRECISE((SUMIFS('Шаг2.Бланк заказа NEW'!$T$19:$T$201,'Шаг2.Бланк заказа NEW'!$A$19:$A$201,$B23,'Шаг2.Бланк заказа NEW'!$E$19:$E$201,2)+
SUMIFS('Шаг2.Бланк заказа NEW'!$T$19:$T$201,'Шаг2.Бланк заказа NEW'!$A$19:$A$201,$B23,'Шаг2.Бланк заказа NEW'!$F$19:$F$201,2)+
SUMIFS('Шаг2.Бланк заказа NEW'!$U$19:$U$201,'Шаг2.Бланк заказа NEW'!$A$19:$A$201,$B23,'Шаг2.Бланк заказа NEW'!$H$19:$H$201,2)+
SUMIFS('Шаг2.Бланк заказа NEW'!$U$19:$U$201,'Шаг2.Бланк заказа NEW'!$A$19:$A$201,$B23,'Шаг2.Бланк заказа NEW'!$I$19:$I$201,2)+
SUMIFS('Бланк OLD 2.0 04 '!$M$18:$M$200,'Бланк OLD 2.0 04 '!$A$18:$A$200,$B23))/1000,1)</f>
        <v>0</v>
      </c>
      <c r="U23" s="84">
        <f ca="1">IFERROR(IF(VLOOKUP(B23,'Шаг1.Выбор плиты'!C:Q,12,0)*1&lt;10,0,
IF(VLOOKUP(B23,'Шаг1.Выбор плиты'!C:Q,12,0)*1&lt;25,'Прайс Производственные Услуги'!$C$7,
IF(VLOOKUP(B23,'Шаг1.Выбор плиты'!C:Q,12,0)*1&gt;24,'Прайс Производственные Услуги'!$C$8,
0))),0)</f>
        <v>0</v>
      </c>
      <c r="V23" s="84">
        <f ca="1">_xlfn.CEILING.PRECISE((SUMIFS('Шаг2.Бланк заказа NEW'!$T$19:$T$201,'Шаг2.Бланк заказа NEW'!$A$19:$A$201,$B23,'Шаг2.Бланк заказа NEW'!$E$19:$E$201,0.8)+
SUMIFS('Шаг2.Бланк заказа NEW'!$T$19:$T$201,'Шаг2.Бланк заказа NEW'!$A$19:$A$201,$B23,'Шаг2.Бланк заказа NEW'!$F$19:$F$201,0.8)+
SUMIFS('Шаг2.Бланк заказа NEW'!$U$19:$U$201,'Шаг2.Бланк заказа NEW'!$A$19:$A$201,$B23,'Шаг2.Бланк заказа NEW'!$H$19:$H$201,0.8)+
SUMIFS('Шаг2.Бланк заказа NEW'!$U$19:$U$201,'Шаг2.Бланк заказа NEW'!$A$19:$A$201,$B23,'Шаг2.Бланк заказа NEW'!$I$19:$I$201,0.8)+
SUMIFS('Бланк OLD 0.8 04'!$M$18:$M$200,'Бланк OLD 0.8 04'!$A$18:$A$200,$B23))/1000,1)</f>
        <v>0</v>
      </c>
      <c r="W23" s="84">
        <f ca="1">IFERROR(IF(VLOOKUP(B23,'Шаг1.Выбор плиты'!C:Q,12,0)*1&lt;10,0,
IF(VLOOKUP(B23,'Шаг1.Выбор плиты'!C:Q,12,0)*1&lt;25,'Прайс Производственные Услуги'!$C$5,
IF(VLOOKUP(B23,'Шаг1.Выбор плиты'!C:Q,12,0)*1&gt;24,'Прайс Производственные Услуги'!$C$6,
0))),0)</f>
        <v>0</v>
      </c>
      <c r="X23" s="84">
        <f ca="1">_xlfn.CEILING.PRECISE((SUMIFS('Шаг2.Бланк заказа NEW'!$T$19:$T$201,'Шаг2.Бланк заказа NEW'!$A$19:$A$201,$B23,'Шаг2.Бланк заказа NEW'!$E$19:$E$201,0.4)+
SUMIFS('Шаг2.Бланк заказа NEW'!$T$19:$T$201,'Шаг2.Бланк заказа NEW'!$A$19:$A$201,$B23,'Шаг2.Бланк заказа NEW'!$F$19:$F$201,0.4)+
SUMIFS('Шаг2.Бланк заказа NEW'!$U$19:$U$201,'Шаг2.Бланк заказа NEW'!$A$19:$A$201,$B23,'Шаг2.Бланк заказа NEW'!$H$19:$H$201,0.4)+
SUMIFS('Шаг2.Бланк заказа NEW'!$U$19:$U$201,'Шаг2.Бланк заказа NEW'!$A$19:$A$201,$B23,'Шаг2.Бланк заказа NEW'!$I$19:$I$201,0.4)+
SUMIFS('Бланк OLD 0.8 04'!$N$18:$N$200,'Бланк OLD 0.8 04'!$A$18:$A$200,$B23)+
SUMIFS('Бланк OLD 2.0 04 '!$N$18:$N$200,'Бланк OLD 2.0 04 '!$A$18:$A$200,$B23))/1000,1)</f>
        <v>0</v>
      </c>
      <c r="Y23" s="84">
        <f ca="1">IF(OR(MID(B23,1,6)="ЛМДФ P",MID(B23,1,6)="ЛДСП P"),'Прайс Производственные Услуги'!$C$4,0)</f>
        <v>0</v>
      </c>
      <c r="Z23" s="84">
        <f ca="1">_xlfn.CEILING.PRECISE((SUMIFS('Шаг2.Бланк заказа NEW'!$T$19:$T$201,'Шаг2.Бланк заказа NEW'!$A$19:$A$201,$B23,'Шаг2.Бланк заказа NEW'!$E$19:$E$201,1)+
SUMIFS('Шаг2.Бланк заказа NEW'!$T$19:$T$201,'Шаг2.Бланк заказа NEW'!$A$19:$A$201,$B23,'Шаг2.Бланк заказа NEW'!$F$19:$F$201,1)+
SUMIFS('Шаг2.Бланк заказа NEW'!$U$19:$U$201,'Шаг2.Бланк заказа NEW'!$A$19:$A$201,$B23,'Шаг2.Бланк заказа NEW'!$H$19:$H$201,1)+
SUMIFS('Шаг2.Бланк заказа NEW'!$U$19:$U$201,'Шаг2.Бланк заказа NEW'!$A$19:$A$201,$B23,'Шаг2.Бланк заказа NEW'!$I$19:$I$201,1))/1000,1)</f>
        <v>0</v>
      </c>
      <c r="AA23" s="84">
        <f t="shared" ca="1" si="1"/>
        <v>0</v>
      </c>
      <c r="AB23" s="84">
        <f t="shared" ca="1" si="3"/>
        <v>0</v>
      </c>
      <c r="AC23" s="84" t="str">
        <f ca="1">IF(B23="","",_xlfn.CEILING.PRECISE((SUMIFS('Шаг2.Бланк заказа NEW'!$K$17:$K$201,'Шаг2.Бланк заказа NEW'!$A$17:$A$201,Шаг3.Стоимость!B23)+SUMIFS('Бланк OLD 0.8 04'!$K$18:$K$200,'Бланк OLD 0.8 04'!$A$18:$A$200,Шаг3.Стоимость!B23)+SUMIFS('Бланк OLD 2.0 04 '!$K$18:$K$200,'Бланк OLD 2.0 04 '!$A$18:$A$200,Шаг3.Стоимость!B23)),1))</f>
        <v/>
      </c>
      <c r="AD23" s="84" t="str">
        <f ca="1">IF(B23="","",_xlfn.CEILING.PRECISE((SUMIFS('Шаг2.Бланк заказа NEW'!$K$17:$K$201,'Шаг2.Бланк заказа NEW'!$A$17:$A$201,Шаг3.Стоимость!B23)+SUMIFS('Бланк OLD 0.8 04'!$K$18:$K$200,'Бланк OLD 0.8 04'!$A$18:$A$200,Шаг3.Стоимость!B23)+SUMIFS('Бланк OLD 2.0 04 '!$K$18:$K$200,'Бланк OLD 2.0 04 '!$A$18:$A$200,Шаг3.Стоимость!B23)),1)*'Прайс Производственные Услуги'!$C$15)</f>
        <v/>
      </c>
      <c r="AE23" s="85" t="str">
        <f ca="1">IFERROR(IF(OR(VLOOKUP(B23,'Шаг1.Выбор плиты'!C:D,2,0)="ЛДСП",VLOOKUP(B23,'Шаг1.Выбор плиты'!C:D,2,0)="МДФ",VLOOKUP(B23,'Шаг1.Выбор плиты'!C:D,2,0)="ДСП"),B23,""),"")</f>
        <v/>
      </c>
    </row>
    <row r="24" spans="1:31" ht="12" x14ac:dyDescent="0.2">
      <c r="A24" s="81" t="str">
        <f ca="1">IFERROR(VLOOKUP(ROW(A24)-ROW($A$13),'Шаг1.Выбор плиты'!B:B,1,0),"")</f>
        <v/>
      </c>
      <c r="B24" s="81" t="str">
        <f ca="1">IFERROR(VLOOKUP(ROW(B24)-ROW($B$13),'Шаг1.Выбор плиты'!B:D,2,0),"")</f>
        <v/>
      </c>
      <c r="C24" s="82">
        <f ca="1">IFERROR(
(SUMIFS('Шаг2.Бланк заказа NEW'!$K$19:$K$201,'Шаг2.Бланк заказа NEW'!$A$19:$A$201,B24)+SUMIFS('Бланк OLD 0.8 04'!$K$18:$K$200,'Бланк OLD 0.8 04'!$A$18:$A$200,B24)+
SUMIFS('Бланк OLD 2.0 04 '!$K$18:$K$200,'Бланк OLD 2.0 04 '!$A$18:$A$200,B24))
*IF(VLOOKUP(B24,'Шаг1.Выбор плиты'!C:Q,12,0)*1&lt;15,1.2,1.2),0)</f>
        <v>0</v>
      </c>
      <c r="D24" s="82" t="str">
        <f ca="1">IFERROR(VLOOKUP(B24,'Шаг1.Выбор плиты'!C:Q,15,0),"")</f>
        <v/>
      </c>
      <c r="E24" s="188" t="str">
        <f ca="1">IFERROR(_xlfn.CEILING.PRECISE(C24/(VLOOKUP(B24,'Шаг1.Выбор плиты'!C:S,16,0)/1000*VLOOKUP(B24,'Шаг1.Выбор плиты'!C:S,17,0)/1000),0.01),IF(B24='Шаг1.Выбор плиты'!$C$560,$AC$29,IF(B24='Шаг1.Выбор плиты'!$C$562,$AA$29,IF(B24='Шаг1.Выбор плиты'!$C$561,$AC$29,IF(B24='Шаг1.Выбор плиты'!$C$563,$R$30,"")))))</f>
        <v/>
      </c>
      <c r="F24" s="83" t="str">
        <f ca="1">IFERROR(IF(B24='Шаг1.Выбор плиты'!$C$560,$Q$29,IF(B24='Шаг1.Выбор плиты'!$C$562,$AB$29,IF(B24='Шаг1.Выбор плиты'!$C$561,$AD$29,IF(B24='Шаг1.Выбор плиты'!$C$563,$R$29,D24*E24)))),"")</f>
        <v/>
      </c>
      <c r="G24" s="84">
        <f ca="1">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плиты'!N:N,2,'Шаг1.Выбор плиты'!M:M,SMALL(INDIRECT("мм"&amp;VLOOKUP(B24,'Шаг1.Выбор плиты'!C:Q,12,0)),1))=0,
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плиты'!N:N,2,'Шаг1.Выбор плиты'!M:M,SMALL(INDIRECT("мм"&amp;VLOOKUP(B24,'Шаг1.Выбор плиты'!C:Q,12,0)),2))=0,
SUMIFS('Шаг1.Выбор плиты'!$Q:$Q,'Шаг1.Выбор плиты'!J:J,"*"&amp;RIGHT(VLOOKUP(B24,'Шаг1.Выбор плиты'!C:Q,8,0),4),'Шаг1.Выбор плиты'!L:L,VLOOKUP(B24,'Шаг1.Выбор плиты'!C:Q,10,0),'Шаг1.Выбор плиты'!N:N,2,'Шаг1.Выбор плиты'!M:M,SMALL(INDIRECT("мм"&amp;VLOOKUP(B24,'Шаг1.Выбор плиты'!C:Q,12,0)),3)),
SUMIFS('Шаг1.Выбор плиты'!$Q:$Q,'Шаг1.Выбор плиты'!J:J,"*"&amp;RIGHT(VLOOKUP(B24,'Шаг1.Выбор плиты'!C:Q,8,0),4),'Шаг1.Выбор плиты'!L:L,VLOOKUP(B24,'Шаг1.Выбор плиты'!C:Q,10,0),'Шаг1.Выбор плиты'!N:N,2,'Шаг1.Выбор плиты'!M:M,SMALL(INDIRECT("мм"&amp;VLOOKUP(B24,'Шаг1.Выбор плиты'!C:Q,12,0)),2))),
(SUMIFS('Шаг1.Выбор плиты'!$Q:$Q,'Шаг1.Выбор плиты'!J:J,"*"&amp;RIGHT(VLOOKUP(B24,'Шаг1.Выбор плиты'!C:Q,8,0),4),'Шаг1.Выбор плиты'!L:L,VLOOKUP(B24,'Шаг1.Выбор плиты'!C:Q,10,0),'Шаг1.Выбор плиты'!N:N,2,'Шаг1.Выбор плиты'!M:M,SMALL(INDIRECT("мм"&amp;VLOOKUP(B24,'Шаг1.Выбор плиты'!C:Q,12,0)),1))))</f>
        <v>0</v>
      </c>
      <c r="H24" s="84">
        <f ca="1">_xlfn.CEILING.PRECISE((SUMIFS('Шаг2.Бланк заказа NEW'!$T$19:$T$201,'Шаг2.Бланк заказа NEW'!$A$19:$A$201,$B24,'Шаг2.Бланк заказа NEW'!$E$19:$E$201,2)+
SUMIFS('Шаг2.Бланк заказа NEW'!$T$19:$T$201,'Шаг2.Бланк заказа NEW'!$A$19:$A$201,$B24,'Шаг2.Бланк заказа NEW'!$F$19:$F$201,2)+
SUMIFS('Шаг2.Бланк заказа NEW'!$U$19:$U$201,'Шаг2.Бланк заказа NEW'!$A$19:$A$201,$B24,'Шаг2.Бланк заказа NEW'!$H$19:$H$201,2)+
SUMIFS('Шаг2.Бланк заказа NEW'!$U$19:$U$201,'Шаг2.Бланк заказа NEW'!$A$19:$A$201,$B24,'Шаг2.Бланк заказа NEW'!$I$19:$I$201,2)+
SUMIFS('Бланк OLD 2.0 04 '!$M$18:$M$200,'Бланк OLD 2.0 04 '!$A$18:$A$200,$B24))/1000*1.2,5)</f>
        <v>0</v>
      </c>
      <c r="I24" s="84">
        <f ca="1">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плиты'!N:N,0.8,'Шаг1.Выбор плиты'!M:M,SMALL(INDIRECT("мм"&amp;VLOOKUP(B24,'Шаг1.Выбор плиты'!C:Q,12,0)),1))=0,
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плиты'!N:N,0.8,'Шаг1.Выбор плиты'!M:M,SMALL(INDIRECT("мм"&amp;VLOOKUP(B24,'Шаг1.Выбор плиты'!C:Q,12,0)),2))=0,
SUMIFS('Шаг1.Выбор плиты'!$Q:$Q,'Шаг1.Выбор плиты'!J:J,"*"&amp;RIGHT(VLOOKUP(B24,'Шаг1.Выбор плиты'!C:Q,8,0),4),'Шаг1.Выбор плиты'!L:L,VLOOKUP(B24,'Шаг1.Выбор плиты'!C:Q,10,0),'Шаг1.Выбор плиты'!N:N,0.8,'Шаг1.Выбор плиты'!M:M,SMALL(INDIRECT("мм"&amp;VLOOKUP(B24,'Шаг1.Выбор плиты'!C:Q,12,0)),3)),
SUMIFS('Шаг1.Выбор плиты'!$Q:$Q,'Шаг1.Выбор плиты'!J:J,"*"&amp;RIGHT(VLOOKUP(B24,'Шаг1.Выбор плиты'!C:Q,8,0),4),'Шаг1.Выбор плиты'!L:L,VLOOKUP(B24,'Шаг1.Выбор плиты'!C:Q,10,0),'Шаг1.Выбор плиты'!N:N,0.8,'Шаг1.Выбор плиты'!M:M,SMALL(INDIRECT("мм"&amp;VLOOKUP(B24,'Шаг1.Выбор плиты'!C:Q,12,0)),2))),
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плиты'!N:N,0.8,'Шаг1.Выбор плиты'!M:M,SMALL(INDIRECT("мм"&amp;VLOOKUP(B24,'Шаг1.Выбор плиты'!C:Q,12,0)),1))))</f>
        <v>0</v>
      </c>
      <c r="J24" s="84">
        <f ca="1">_xlfn.CEILING.PRECISE((SUMIFS('Шаг2.Бланк заказа NEW'!$T$19:$T$201,'Шаг2.Бланк заказа NEW'!$A$19:$A$201,$B24,'Шаг2.Бланк заказа NEW'!$E$19:$E$201,0.8)+
SUMIFS('Шаг2.Бланк заказа NEW'!$T$19:$T$201,'Шаг2.Бланк заказа NEW'!$A$19:$A$201,$B24,'Шаг2.Бланк заказа NEW'!$F$19:$F$201,0.8)+
SUMIFS('Шаг2.Бланк заказа NEW'!$U$19:$U$201,'Шаг2.Бланк заказа NEW'!$A$19:$A$201,$B24,'Шаг2.Бланк заказа NEW'!$H$19:$H$201,0.8)+
SUMIFS('Шаг2.Бланк заказа NEW'!$U$19:$U$201,'Шаг2.Бланк заказа NEW'!$A$19:$A$201,$B24,'Шаг2.Бланк заказа NEW'!$I$19:$I$201,0.8)+
SUMIFS('Бланк OLD 0.8 04'!$M$18:$M$200,'Бланк OLD 0.8 04'!$A$18:$A$200,$B24))/1000*1.2,5)</f>
        <v>0</v>
      </c>
      <c r="K24" s="84">
        <f ca="1">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плиты'!N:N,0.4,'Шаг1.Выбор плиты'!M:M,SMALL(INDIRECT("мм"&amp;VLOOKUP(B24,'Шаг1.Выбор плиты'!C:Q,12,0)),1))=0,
IF(SUMIFS('Шаг1.Выбор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плиты'!N:N,0.4,'Шаг1.Выбор плиты'!M:M,SMALL(INDIRECT("мм"&amp;VLOOKUP(B24,'Шаг1.Выбор плиты'!C:Q,12,0)),2))=0,
SUMIFS('Шаг1.Выбор плиты'!$Q:$Q,'Шаг1.Выбор плиты'!J:J,"*"&amp;RIGHT(VLOOKUP(B24,'Шаг1.Выбор плиты'!C:Q,8,0),4),'Шаг1.Выбор плиты'!L:L,VLOOKUP(B24,'Шаг1.Выбор плиты'!C:Q,10,0),'Шаг1.Выбор плиты'!N:N,0.4,'Шаг1.Выбор плиты'!M:M,SMALL(INDIRECT("мм"&amp;VLOOKUP(B24,'Шаг1.Выбор плиты'!C:Q,12,0)),3)),
SUMIFS('Шаг1.Выбор плиты'!$Q:$Q,'Шаг1.Выбор плиты'!J:J,"*"&amp;RIGHT(VLOOKUP(B24,'Шаг1.Выбор плиты'!C:Q,8,0),4),'Шаг1.Выбор плиты'!L:L,VLOOKUP(B24,'Шаг1.Выбор плиты'!C:Q,10,0),'Шаг1.Выбор плиты'!N:N,0.4,'Шаг1.Выбор плиты'!M:M,SMALL(INDIRECT("мм"&amp;VLOOKUP(B24,'Шаг1.Выбор плиты'!C:Q,12,0)),2))),
(SUMIFS('Шаг1.Выбор плиты'!$Q:$Q,'Шаг1.Выбор плиты'!J:J,"*"&amp;RIGHT(VLOOKUP(B24,'Шаг1.Выбор плиты'!C:Q,8,0),4),'Шаг1.Выбор плиты'!L:L,VLOOKUP(B24,'Шаг1.Выбор плиты'!C:Q,10,0),'Шаг1.Выбор плиты'!N:N,0.4,'Шаг1.Выбор плиты'!M:M,SMALL(INDIRECT("мм"&amp;VLOOKUP(B24,'Шаг1.Выбор плиты'!C:Q,12,0)),1))))</f>
        <v>0</v>
      </c>
      <c r="L24" s="84">
        <f ca="1">_xlfn.CEILING.PRECISE((SUMIFS('Шаг2.Бланк заказа NEW'!$T$19:$T$201,'Шаг2.Бланк заказа NEW'!$A$19:$A$201,$B24,'Шаг2.Бланк заказа NEW'!$E$19:$E$201,0.4)+
SUMIFS('Шаг2.Бланк заказа NEW'!$T$19:$T$201,'Шаг2.Бланк заказа NEW'!$A$19:$A$201,$B24,'Шаг2.Бланк заказа NEW'!$F$19:$F$201,0.4)+
SUMIFS('Шаг2.Бланк заказа NEW'!$U$19:$U$201,'Шаг2.Бланк заказа NEW'!$A$19:$A$201,$B24,'Шаг2.Бланк заказа NEW'!$H$19:$H$201,0.4)+
SUMIFS('Шаг2.Бланк заказа NEW'!$U$19:$U$201,'Шаг2.Бланк заказа NEW'!$A$19:$A$201,$B24,'Шаг2.Бланк заказа NEW'!$I$19:$I$201,0.4)+
SUMIFS('Бланк OLD 0.8 04'!$N$18:$N$200,'Бланк OLD 0.8 04'!$A$18:$A$200,$B24)+
SUMIFS('Бланк OLD 2.0 04 '!$N$18:$N$200,'Бланк OLD 2.0 04 '!$A$18:$A$200,$B24))/1000*1.2,5)</f>
        <v>0</v>
      </c>
      <c r="M24" s="84">
        <f ca="1">SUMIFS('Шаг1.Выбор плиты'!$Q:$Q,'Шаг1.Выбор плиты'!J:J,VLOOKUP(B24,'Шаг1.Выбор плиты'!C:Q,8,0),'Шаг1.Выбор плиты'!L:L,IF(MID(B24,1,6)="ЛДСП P","TM"&amp;MID(VLOOKUP(B24,'Шаг1.Выбор плиты'!C:Q,10,0),3,2),MID(VLOOKUP(B24,'Шаг1.Выбор плиты'!C:Q,10,0),1,2)),
'Шаг1.Выбор плиты'!N:N,1)</f>
        <v>0</v>
      </c>
      <c r="N24" s="84">
        <f ca="1">_xlfn.CEILING.PRECISE((SUMIFS('Шаг2.Бланк заказа NEW'!$T$19:$T$201,'Шаг2.Бланк заказа NEW'!$A$19:$A$201,$B24,'Шаг2.Бланк заказа NEW'!$E$19:$E$201,1)+
SUMIFS('Шаг2.Бланк заказа NEW'!$T$19:$T$201,'Шаг2.Бланк заказа NEW'!$A$19:$A$201,$B24,'Шаг2.Бланк заказа NEW'!$F$19:$F$201,1)+
SUMIFS('Шаг2.Бланк заказа NEW'!$U$19:$U$201,'Шаг2.Бланк заказа NEW'!$A$19:$A$201,$B24,'Шаг2.Бланк заказа NEW'!$H$19:$H$201,1)+
SUMIFS('Шаг2.Бланк заказа NEW'!$U$19:$U$201,'Шаг2.Бланк заказа NEW'!$A$19:$A$201,$B24,'Шаг2.Бланк заказа NEW'!$I$19:$I$201,1))/1000*1.2,5)</f>
        <v>0</v>
      </c>
      <c r="O24" s="85">
        <f t="shared" ca="1" si="0"/>
        <v>0</v>
      </c>
      <c r="P24" s="86">
        <f t="shared" ca="1" si="2"/>
        <v>0</v>
      </c>
      <c r="Q24" s="103">
        <f ca="1">ROUND(SUMIFS('Шаг2.Бланк заказа NEW'!$V$19:$V$201,'Шаг2.Бланк заказа NEW'!$A$19:$A$201,B24)+
SUMIFS('Бланк OLD 0.8 04'!$O$18:$O$200,'Бланк OLD 0.8 04'!$A$18:$A$200,B24)+
SUMIFS('Бланк OLD 2.0 04 '!$O$18:$O$200,'Бланк OLD 2.0 04 '!$A$18:$A$200,B24),0)</f>
        <v>0</v>
      </c>
      <c r="R24" s="103">
        <f ca="1">ROUND(SUMIFS('Шаг2.Бланк заказа NEW'!$W$19:$W$201,'Шаг2.Бланк заказа NEW'!$A$19:$A$201,B24),0)</f>
        <v>0</v>
      </c>
      <c r="S24" s="84">
        <f ca="1">IFERROR(IF(VLOOKUP(B24,'Шаг1.Выбор плиты'!C:Q,12,0)*1&lt;10,0,
IF(VLOOKUP(B24,'Шаг1.Выбор плиты'!C:Q,12,0)*1&lt;25,'Прайс Производственные Услуги'!$C$9,
IF(VLOOKUP(B24,'Шаг1.Выбор плиты'!C:Q,12,0)*1=25,'Прайс Производственные Услуги'!$C$10,
IF(VLOOKUP(B24,'Шаг1.Выбор плиты'!C:Q,12,0)*1&gt;25,'Прайс Производственные Услуги'!$C$11,
0)))),0)</f>
        <v>0</v>
      </c>
      <c r="T24" s="84">
        <f ca="1">_xlfn.CEILING.PRECISE((SUMIFS('Шаг2.Бланк заказа NEW'!$T$19:$T$201,'Шаг2.Бланк заказа NEW'!$A$19:$A$201,$B24,'Шаг2.Бланк заказа NEW'!$E$19:$E$201,2)+
SUMIFS('Шаг2.Бланк заказа NEW'!$T$19:$T$201,'Шаг2.Бланк заказа NEW'!$A$19:$A$201,$B24,'Шаг2.Бланк заказа NEW'!$F$19:$F$201,2)+
SUMIFS('Шаг2.Бланк заказа NEW'!$U$19:$U$201,'Шаг2.Бланк заказа NEW'!$A$19:$A$201,$B24,'Шаг2.Бланк заказа NEW'!$H$19:$H$201,2)+
SUMIFS('Шаг2.Бланк заказа NEW'!$U$19:$U$201,'Шаг2.Бланк заказа NEW'!$A$19:$A$201,$B24,'Шаг2.Бланк заказа NEW'!$I$19:$I$201,2)+
SUMIFS('Бланк OLD 2.0 04 '!$M$18:$M$200,'Бланк OLD 2.0 04 '!$A$18:$A$200,$B24))/1000,1)</f>
        <v>0</v>
      </c>
      <c r="U24" s="84">
        <f ca="1">IFERROR(IF(VLOOKUP(B24,'Шаг1.Выбор плиты'!C:Q,12,0)*1&lt;10,0,
IF(VLOOKUP(B24,'Шаг1.Выбор плиты'!C:Q,12,0)*1&lt;25,'Прайс Производственные Услуги'!$C$7,
IF(VLOOKUP(B24,'Шаг1.Выбор плиты'!C:Q,12,0)*1&gt;24,'Прайс Производственные Услуги'!$C$8,
0))),0)</f>
        <v>0</v>
      </c>
      <c r="V24" s="84">
        <f ca="1">_xlfn.CEILING.PRECISE((SUMIFS('Шаг2.Бланк заказа NEW'!$T$19:$T$201,'Шаг2.Бланк заказа NEW'!$A$19:$A$201,$B24,'Шаг2.Бланк заказа NEW'!$E$19:$E$201,0.8)+
SUMIFS('Шаг2.Бланк заказа NEW'!$T$19:$T$201,'Шаг2.Бланк заказа NEW'!$A$19:$A$201,$B24,'Шаг2.Бланк заказа NEW'!$F$19:$F$201,0.8)+
SUMIFS('Шаг2.Бланк заказа NEW'!$U$19:$U$201,'Шаг2.Бланк заказа NEW'!$A$19:$A$201,$B24,'Шаг2.Бланк заказа NEW'!$H$19:$H$201,0.8)+
SUMIFS('Шаг2.Бланк заказа NEW'!$U$19:$U$201,'Шаг2.Бланк заказа NEW'!$A$19:$A$201,$B24,'Шаг2.Бланк заказа NEW'!$I$19:$I$201,0.8)+
SUMIFS('Бланк OLD 0.8 04'!$M$18:$M$200,'Бланк OLD 0.8 04'!$A$18:$A$200,$B24))/1000,1)</f>
        <v>0</v>
      </c>
      <c r="W24" s="84">
        <f ca="1">IFERROR(IF(VLOOKUP(B24,'Шаг1.Выбор плиты'!C:Q,12,0)*1&lt;10,0,
IF(VLOOKUP(B24,'Шаг1.Выбор плиты'!C:Q,12,0)*1&lt;25,'Прайс Производственные Услуги'!$C$5,
IF(VLOOKUP(B24,'Шаг1.Выбор плиты'!C:Q,12,0)*1&gt;24,'Прайс Производственные Услуги'!$C$6,
0))),0)</f>
        <v>0</v>
      </c>
      <c r="X24" s="84">
        <f ca="1">_xlfn.CEILING.PRECISE((SUMIFS('Шаг2.Бланк заказа NEW'!$T$19:$T$201,'Шаг2.Бланк заказа NEW'!$A$19:$A$201,$B24,'Шаг2.Бланк заказа NEW'!$E$19:$E$201,0.4)+
SUMIFS('Шаг2.Бланк заказа NEW'!$T$19:$T$201,'Шаг2.Бланк заказа NEW'!$A$19:$A$201,$B24,'Шаг2.Бланк заказа NEW'!$F$19:$F$201,0.4)+
SUMIFS('Шаг2.Бланк заказа NEW'!$U$19:$U$201,'Шаг2.Бланк заказа NEW'!$A$19:$A$201,$B24,'Шаг2.Бланк заказа NEW'!$H$19:$H$201,0.4)+
SUMIFS('Шаг2.Бланк заказа NEW'!$U$19:$U$201,'Шаг2.Бланк заказа NEW'!$A$19:$A$201,$B24,'Шаг2.Бланк заказа NEW'!$I$19:$I$201,0.4)+
SUMIFS('Бланк OLD 0.8 04'!$N$18:$N$200,'Бланк OLD 0.8 04'!$A$18:$A$200,$B24)+
SUMIFS('Бланк OLD 2.0 04 '!$N$18:$N$200,'Бланк OLD 2.0 04 '!$A$18:$A$200,$B24))/1000,1)</f>
        <v>0</v>
      </c>
      <c r="Y24" s="84">
        <f ca="1">IF(OR(MID(B24,1,6)="ЛМДФ P",MID(B24,1,6)="ЛДСП P"),'Прайс Производственные Услуги'!$C$4,0)</f>
        <v>0</v>
      </c>
      <c r="Z24" s="84">
        <f ca="1">_xlfn.CEILING.PRECISE((SUMIFS('Шаг2.Бланк заказа NEW'!$T$19:$T$201,'Шаг2.Бланк заказа NEW'!$A$19:$A$201,$B24,'Шаг2.Бланк заказа NEW'!$E$19:$E$201,1)+
SUMIFS('Шаг2.Бланк заказа NEW'!$T$19:$T$201,'Шаг2.Бланк заказа NEW'!$A$19:$A$201,$B24,'Шаг2.Бланк заказа NEW'!$F$19:$F$201,1)+
SUMIFS('Шаг2.Бланк заказа NEW'!$U$19:$U$201,'Шаг2.Бланк заказа NEW'!$A$19:$A$201,$B24,'Шаг2.Бланк заказа NEW'!$H$19:$H$201,1)+
SUMIFS('Шаг2.Бланк заказа NEW'!$U$19:$U$201,'Шаг2.Бланк заказа NEW'!$A$19:$A$201,$B24,'Шаг2.Бланк заказа NEW'!$I$19:$I$201,1))/1000,1)</f>
        <v>0</v>
      </c>
      <c r="AA24" s="84">
        <f t="shared" ca="1" si="1"/>
        <v>0</v>
      </c>
      <c r="AB24" s="84">
        <f t="shared" ca="1" si="3"/>
        <v>0</v>
      </c>
      <c r="AC24" s="84" t="str">
        <f ca="1">IF(B24="","",_xlfn.CEILING.PRECISE((SUMIFS('Шаг2.Бланк заказа NEW'!$K$17:$K$201,'Шаг2.Бланк заказа NEW'!$A$17:$A$201,Шаг3.Стоимость!B24)+SUMIFS('Бланк OLD 0.8 04'!$K$18:$K$200,'Бланк OLD 0.8 04'!$A$18:$A$200,Шаг3.Стоимость!B24)+SUMIFS('Бланк OLD 2.0 04 '!$K$18:$K$200,'Бланк OLD 2.0 04 '!$A$18:$A$200,Шаг3.Стоимость!B24)),1))</f>
        <v/>
      </c>
      <c r="AD24" s="84" t="str">
        <f ca="1">IF(B24="","",_xlfn.CEILING.PRECISE((SUMIFS('Шаг2.Бланк заказа NEW'!$K$17:$K$201,'Шаг2.Бланк заказа NEW'!$A$17:$A$201,Шаг3.Стоимость!B24)+SUMIFS('Бланк OLD 0.8 04'!$K$18:$K$200,'Бланк OLD 0.8 04'!$A$18:$A$200,Шаг3.Стоимость!B24)+SUMIFS('Бланк OLD 2.0 04 '!$K$18:$K$200,'Бланк OLD 2.0 04 '!$A$18:$A$200,Шаг3.Стоимость!B24)),1)*'Прайс Производственные Услуги'!$C$15)</f>
        <v/>
      </c>
      <c r="AE24" s="85" t="str">
        <f ca="1">IFERROR(IF(OR(VLOOKUP(B24,'Шаг1.Выбор плиты'!C:D,2,0)="ЛДСП",VLOOKUP(B24,'Шаг1.Выбор плиты'!C:D,2,0)="МДФ",VLOOKUP(B24,'Шаг1.Выбор плиты'!C:D,2,0)="ДСП"),B24,""),"")</f>
        <v/>
      </c>
    </row>
    <row r="25" spans="1:31" ht="12" x14ac:dyDescent="0.2">
      <c r="A25" s="81" t="str">
        <f ca="1">IFERROR(VLOOKUP(ROW(A25)-ROW($A$13),'Шаг1.Выбор плиты'!B:B,1,0),"")</f>
        <v/>
      </c>
      <c r="B25" s="81" t="str">
        <f ca="1">IFERROR(VLOOKUP(ROW(B25)-ROW($B$13),'Шаг1.Выбор плиты'!B:D,2,0),"")</f>
        <v/>
      </c>
      <c r="C25" s="82">
        <f ca="1">IFERROR(
(SUMIFS('Шаг2.Бланк заказа NEW'!$K$19:$K$201,'Шаг2.Бланк заказа NEW'!$A$19:$A$201,B25)+SUMIFS('Бланк OLD 0.8 04'!$K$18:$K$200,'Бланк OLD 0.8 04'!$A$18:$A$200,B25)+
SUMIFS('Бланк OLD 2.0 04 '!$K$18:$K$200,'Бланк OLD 2.0 04 '!$A$18:$A$200,B25))
*IF(VLOOKUP(B25,'Шаг1.Выбор плиты'!C:Q,12,0)*1&lt;15,1.2,1.2),0)</f>
        <v>0</v>
      </c>
      <c r="D25" s="82" t="str">
        <f ca="1">IFERROR(VLOOKUP(B25,'Шаг1.Выбор плиты'!C:Q,15,0),"")</f>
        <v/>
      </c>
      <c r="E25" s="188" t="str">
        <f ca="1">IFERROR(_xlfn.CEILING.PRECISE(C25/(VLOOKUP(B25,'Шаг1.Выбор плиты'!C:S,16,0)/1000*VLOOKUP(B25,'Шаг1.Выбор плиты'!C:S,17,0)/1000),0.01),IF(B25='Шаг1.Выбор плиты'!$C$560,$AC$29,IF(B25='Шаг1.Выбор плиты'!$C$562,$AA$29,IF(B25='Шаг1.Выбор плиты'!$C$561,$AC$29,IF(B25='Шаг1.Выбор плиты'!$C$563,$R$30,"")))))</f>
        <v/>
      </c>
      <c r="F25" s="83" t="str">
        <f ca="1">IFERROR(IF(B25='Шаг1.Выбор плиты'!$C$560,$Q$29,IF(B25='Шаг1.Выбор плиты'!$C$562,$AB$29,IF(B25='Шаг1.Выбор плиты'!$C$561,$AD$29,IF(B25='Шаг1.Выбор плиты'!$C$563,$R$29,D25*E25)))),"")</f>
        <v/>
      </c>
      <c r="G25" s="84">
        <f ca="1">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плиты'!N:N,2,'Шаг1.Выбор плиты'!M:M,SMALL(INDIRECT("мм"&amp;VLOOKUP(B25,'Шаг1.Выбор плиты'!C:Q,12,0)),1))=0,
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плиты'!N:N,2,'Шаг1.Выбор плиты'!M:M,SMALL(INDIRECT("мм"&amp;VLOOKUP(B25,'Шаг1.Выбор плиты'!C:Q,12,0)),2))=0,
SUMIFS('Шаг1.Выбор плиты'!$Q:$Q,'Шаг1.Выбор плиты'!J:J,"*"&amp;RIGHT(VLOOKUP(B25,'Шаг1.Выбор плиты'!C:Q,8,0),4),'Шаг1.Выбор плиты'!L:L,VLOOKUP(B25,'Шаг1.Выбор плиты'!C:Q,10,0),'Шаг1.Выбор плиты'!N:N,2,'Шаг1.Выбор плиты'!M:M,SMALL(INDIRECT("мм"&amp;VLOOKUP(B25,'Шаг1.Выбор плиты'!C:Q,12,0)),3)),
SUMIFS('Шаг1.Выбор плиты'!$Q:$Q,'Шаг1.Выбор плиты'!J:J,"*"&amp;RIGHT(VLOOKUP(B25,'Шаг1.Выбор плиты'!C:Q,8,0),4),'Шаг1.Выбор плиты'!L:L,VLOOKUP(B25,'Шаг1.Выбор плиты'!C:Q,10,0),'Шаг1.Выбор плиты'!N:N,2,'Шаг1.Выбор плиты'!M:M,SMALL(INDIRECT("мм"&amp;VLOOKUP(B25,'Шаг1.Выбор плиты'!C:Q,12,0)),2))),
(SUMIFS('Шаг1.Выбор плиты'!$Q:$Q,'Шаг1.Выбор плиты'!J:J,"*"&amp;RIGHT(VLOOKUP(B25,'Шаг1.Выбор плиты'!C:Q,8,0),4),'Шаг1.Выбор плиты'!L:L,VLOOKUP(B25,'Шаг1.Выбор плиты'!C:Q,10,0),'Шаг1.Выбор плиты'!N:N,2,'Шаг1.Выбор плиты'!M:M,SMALL(INDIRECT("мм"&amp;VLOOKUP(B25,'Шаг1.Выбор плиты'!C:Q,12,0)),1))))</f>
        <v>0</v>
      </c>
      <c r="H25" s="84">
        <f ca="1">_xlfn.CEILING.PRECISE((SUMIFS('Шаг2.Бланк заказа NEW'!$T$19:$T$201,'Шаг2.Бланк заказа NEW'!$A$19:$A$201,$B25,'Шаг2.Бланк заказа NEW'!$E$19:$E$201,2)+
SUMIFS('Шаг2.Бланк заказа NEW'!$T$19:$T$201,'Шаг2.Бланк заказа NEW'!$A$19:$A$201,$B25,'Шаг2.Бланк заказа NEW'!$F$19:$F$201,2)+
SUMIFS('Шаг2.Бланк заказа NEW'!$U$19:$U$201,'Шаг2.Бланк заказа NEW'!$A$19:$A$201,$B25,'Шаг2.Бланк заказа NEW'!$H$19:$H$201,2)+
SUMIFS('Шаг2.Бланк заказа NEW'!$U$19:$U$201,'Шаг2.Бланк заказа NEW'!$A$19:$A$201,$B25,'Шаг2.Бланк заказа NEW'!$I$19:$I$201,2)+
SUMIFS('Бланк OLD 2.0 04 '!$M$18:$M$200,'Бланк OLD 2.0 04 '!$A$18:$A$200,$B25))/1000*1.2,5)</f>
        <v>0</v>
      </c>
      <c r="I25" s="84">
        <f ca="1">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плиты'!N:N,0.8,'Шаг1.Выбор плиты'!M:M,SMALL(INDIRECT("мм"&amp;VLOOKUP(B25,'Шаг1.Выбор плиты'!C:Q,12,0)),1))=0,
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плиты'!N:N,0.8,'Шаг1.Выбор плиты'!M:M,SMALL(INDIRECT("мм"&amp;VLOOKUP(B25,'Шаг1.Выбор плиты'!C:Q,12,0)),2))=0,
SUMIFS('Шаг1.Выбор плиты'!$Q:$Q,'Шаг1.Выбор плиты'!J:J,"*"&amp;RIGHT(VLOOKUP(B25,'Шаг1.Выбор плиты'!C:Q,8,0),4),'Шаг1.Выбор плиты'!L:L,VLOOKUP(B25,'Шаг1.Выбор плиты'!C:Q,10,0),'Шаг1.Выбор плиты'!N:N,0.8,'Шаг1.Выбор плиты'!M:M,SMALL(INDIRECT("мм"&amp;VLOOKUP(B25,'Шаг1.Выбор плиты'!C:Q,12,0)),3)),
SUMIFS('Шаг1.Выбор плиты'!$Q:$Q,'Шаг1.Выбор плиты'!J:J,"*"&amp;RIGHT(VLOOKUP(B25,'Шаг1.Выбор плиты'!C:Q,8,0),4),'Шаг1.Выбор плиты'!L:L,VLOOKUP(B25,'Шаг1.Выбор плиты'!C:Q,10,0),'Шаг1.Выбор плиты'!N:N,0.8,'Шаг1.Выбор плиты'!M:M,SMALL(INDIRECT("мм"&amp;VLOOKUP(B25,'Шаг1.Выбор плиты'!C:Q,12,0)),2))),
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плиты'!N:N,0.8,'Шаг1.Выбор плиты'!M:M,SMALL(INDIRECT("мм"&amp;VLOOKUP(B25,'Шаг1.Выбор плиты'!C:Q,12,0)),1))))</f>
        <v>0</v>
      </c>
      <c r="J25" s="84">
        <f ca="1">_xlfn.CEILING.PRECISE((SUMIFS('Шаг2.Бланк заказа NEW'!$T$19:$T$201,'Шаг2.Бланк заказа NEW'!$A$19:$A$201,$B25,'Шаг2.Бланк заказа NEW'!$E$19:$E$201,0.8)+
SUMIFS('Шаг2.Бланк заказа NEW'!$T$19:$T$201,'Шаг2.Бланк заказа NEW'!$A$19:$A$201,$B25,'Шаг2.Бланк заказа NEW'!$F$19:$F$201,0.8)+
SUMIFS('Шаг2.Бланк заказа NEW'!$U$19:$U$201,'Шаг2.Бланк заказа NEW'!$A$19:$A$201,$B25,'Шаг2.Бланк заказа NEW'!$H$19:$H$201,0.8)+
SUMIFS('Шаг2.Бланк заказа NEW'!$U$19:$U$201,'Шаг2.Бланк заказа NEW'!$A$19:$A$201,$B25,'Шаг2.Бланк заказа NEW'!$I$19:$I$201,0.8)+
SUMIFS('Бланк OLD 0.8 04'!$M$18:$M$200,'Бланк OLD 0.8 04'!$A$18:$A$200,$B25))/1000*1.2,5)</f>
        <v>0</v>
      </c>
      <c r="K25" s="84">
        <f ca="1">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плиты'!N:N,0.4,'Шаг1.Выбор плиты'!M:M,SMALL(INDIRECT("мм"&amp;VLOOKUP(B25,'Шаг1.Выбор плиты'!C:Q,12,0)),1))=0,
IF(SUMIFS('Шаг1.Выбор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плиты'!N:N,0.4,'Шаг1.Выбор плиты'!M:M,SMALL(INDIRECT("мм"&amp;VLOOKUP(B25,'Шаг1.Выбор плиты'!C:Q,12,0)),2))=0,
SUMIFS('Шаг1.Выбор плиты'!$Q:$Q,'Шаг1.Выбор плиты'!J:J,"*"&amp;RIGHT(VLOOKUP(B25,'Шаг1.Выбор плиты'!C:Q,8,0),4),'Шаг1.Выбор плиты'!L:L,VLOOKUP(B25,'Шаг1.Выбор плиты'!C:Q,10,0),'Шаг1.Выбор плиты'!N:N,0.4,'Шаг1.Выбор плиты'!M:M,SMALL(INDIRECT("мм"&amp;VLOOKUP(B25,'Шаг1.Выбор плиты'!C:Q,12,0)),3)),
SUMIFS('Шаг1.Выбор плиты'!$Q:$Q,'Шаг1.Выбор плиты'!J:J,"*"&amp;RIGHT(VLOOKUP(B25,'Шаг1.Выбор плиты'!C:Q,8,0),4),'Шаг1.Выбор плиты'!L:L,VLOOKUP(B25,'Шаг1.Выбор плиты'!C:Q,10,0),'Шаг1.Выбор плиты'!N:N,0.4,'Шаг1.Выбор плиты'!M:M,SMALL(INDIRECT("мм"&amp;VLOOKUP(B25,'Шаг1.Выбор плиты'!C:Q,12,0)),2))),
(SUMIFS('Шаг1.Выбор плиты'!$Q:$Q,'Шаг1.Выбор плиты'!J:J,"*"&amp;RIGHT(VLOOKUP(B25,'Шаг1.Выбор плиты'!C:Q,8,0),4),'Шаг1.Выбор плиты'!L:L,VLOOKUP(B25,'Шаг1.Выбор плиты'!C:Q,10,0),'Шаг1.Выбор плиты'!N:N,0.4,'Шаг1.Выбор плиты'!M:M,SMALL(INDIRECT("мм"&amp;VLOOKUP(B25,'Шаг1.Выбор плиты'!C:Q,12,0)),1))))</f>
        <v>0</v>
      </c>
      <c r="L25" s="84">
        <f ca="1">_xlfn.CEILING.PRECISE((SUMIFS('Шаг2.Бланк заказа NEW'!$T$19:$T$201,'Шаг2.Бланк заказа NEW'!$A$19:$A$201,$B25,'Шаг2.Бланк заказа NEW'!$E$19:$E$201,0.4)+
SUMIFS('Шаг2.Бланк заказа NEW'!$T$19:$T$201,'Шаг2.Бланк заказа NEW'!$A$19:$A$201,$B25,'Шаг2.Бланк заказа NEW'!$F$19:$F$201,0.4)+
SUMIFS('Шаг2.Бланк заказа NEW'!$U$19:$U$201,'Шаг2.Бланк заказа NEW'!$A$19:$A$201,$B25,'Шаг2.Бланк заказа NEW'!$H$19:$H$201,0.4)+
SUMIFS('Шаг2.Бланк заказа NEW'!$U$19:$U$201,'Шаг2.Бланк заказа NEW'!$A$19:$A$201,$B25,'Шаг2.Бланк заказа NEW'!$I$19:$I$201,0.4)+
SUMIFS('Бланк OLD 0.8 04'!$N$18:$N$200,'Бланк OLD 0.8 04'!$A$18:$A$200,$B25)+
SUMIFS('Бланк OLD 2.0 04 '!$N$18:$N$200,'Бланк OLD 2.0 04 '!$A$18:$A$200,$B25))/1000*1.2,5)</f>
        <v>0</v>
      </c>
      <c r="M25" s="84">
        <f ca="1">SUMIFS('Шаг1.Выбор плиты'!$Q:$Q,'Шаг1.Выбор плиты'!J:J,VLOOKUP(B25,'Шаг1.Выбор плиты'!C:Q,8,0),'Шаг1.Выбор плиты'!L:L,IF(MID(B25,1,6)="ЛДСП P","TM"&amp;MID(VLOOKUP(B25,'Шаг1.Выбор плиты'!C:Q,10,0),3,2),MID(VLOOKUP(B25,'Шаг1.Выбор плиты'!C:Q,10,0),1,2)),
'Шаг1.Выбор плиты'!N:N,1)</f>
        <v>0</v>
      </c>
      <c r="N25" s="84">
        <f ca="1">_xlfn.CEILING.PRECISE((SUMIFS('Шаг2.Бланк заказа NEW'!$T$19:$T$201,'Шаг2.Бланк заказа NEW'!$A$19:$A$201,$B25,'Шаг2.Бланк заказа NEW'!$E$19:$E$201,1)+
SUMIFS('Шаг2.Бланк заказа NEW'!$T$19:$T$201,'Шаг2.Бланк заказа NEW'!$A$19:$A$201,$B25,'Шаг2.Бланк заказа NEW'!$F$19:$F$201,1)+
SUMIFS('Шаг2.Бланк заказа NEW'!$U$19:$U$201,'Шаг2.Бланк заказа NEW'!$A$19:$A$201,$B25,'Шаг2.Бланк заказа NEW'!$H$19:$H$201,1)+
SUMIFS('Шаг2.Бланк заказа NEW'!$U$19:$U$201,'Шаг2.Бланк заказа NEW'!$A$19:$A$201,$B25,'Шаг2.Бланк заказа NEW'!$I$19:$I$201,1))/1000*1.2,5)</f>
        <v>0</v>
      </c>
      <c r="O25" s="85">
        <f t="shared" ca="1" si="0"/>
        <v>0</v>
      </c>
      <c r="P25" s="86">
        <f t="shared" ca="1" si="2"/>
        <v>0</v>
      </c>
      <c r="Q25" s="103">
        <f ca="1">ROUND(SUMIFS('Шаг2.Бланк заказа NEW'!$V$19:$V$201,'Шаг2.Бланк заказа NEW'!$A$19:$A$201,B25)+
SUMIFS('Бланк OLD 0.8 04'!$O$18:$O$200,'Бланк OLD 0.8 04'!$A$18:$A$200,B25)+
SUMIFS('Бланк OLD 2.0 04 '!$O$18:$O$200,'Бланк OLD 2.0 04 '!$A$18:$A$200,B25),0)</f>
        <v>0</v>
      </c>
      <c r="R25" s="103">
        <f ca="1">ROUND(SUMIFS('Шаг2.Бланк заказа NEW'!$W$19:$W$201,'Шаг2.Бланк заказа NEW'!$A$19:$A$201,B25),0)</f>
        <v>0</v>
      </c>
      <c r="S25" s="84">
        <f ca="1">IFERROR(IF(VLOOKUP(B25,'Шаг1.Выбор плиты'!C:Q,12,0)*1&lt;10,0,
IF(VLOOKUP(B25,'Шаг1.Выбор плиты'!C:Q,12,0)*1&lt;25,'Прайс Производственные Услуги'!$C$9,
IF(VLOOKUP(B25,'Шаг1.Выбор плиты'!C:Q,12,0)*1=25,'Прайс Производственные Услуги'!$C$10,
IF(VLOOKUP(B25,'Шаг1.Выбор плиты'!C:Q,12,0)*1&gt;25,'Прайс Производственные Услуги'!$C$11,
0)))),0)</f>
        <v>0</v>
      </c>
      <c r="T25" s="84">
        <f ca="1">_xlfn.CEILING.PRECISE((SUMIFS('Шаг2.Бланк заказа NEW'!$T$19:$T$201,'Шаг2.Бланк заказа NEW'!$A$19:$A$201,$B25,'Шаг2.Бланк заказа NEW'!$E$19:$E$201,2)+
SUMIFS('Шаг2.Бланк заказа NEW'!$T$19:$T$201,'Шаг2.Бланк заказа NEW'!$A$19:$A$201,$B25,'Шаг2.Бланк заказа NEW'!$F$19:$F$201,2)+
SUMIFS('Шаг2.Бланк заказа NEW'!$U$19:$U$201,'Шаг2.Бланк заказа NEW'!$A$19:$A$201,$B25,'Шаг2.Бланк заказа NEW'!$H$19:$H$201,2)+
SUMIFS('Шаг2.Бланк заказа NEW'!$U$19:$U$201,'Шаг2.Бланк заказа NEW'!$A$19:$A$201,$B25,'Шаг2.Бланк заказа NEW'!$I$19:$I$201,2)+
SUMIFS('Бланк OLD 2.0 04 '!$M$18:$M$200,'Бланк OLD 2.0 04 '!$A$18:$A$200,$B25))/1000,1)</f>
        <v>0</v>
      </c>
      <c r="U25" s="84">
        <f ca="1">IFERROR(IF(VLOOKUP(B25,'Шаг1.Выбор плиты'!C:Q,12,0)*1&lt;10,0,
IF(VLOOKUP(B25,'Шаг1.Выбор плиты'!C:Q,12,0)*1&lt;25,'Прайс Производственные Услуги'!$C$7,
IF(VLOOKUP(B25,'Шаг1.Выбор плиты'!C:Q,12,0)*1&gt;24,'Прайс Производственные Услуги'!$C$8,
0))),0)</f>
        <v>0</v>
      </c>
      <c r="V25" s="84">
        <f ca="1">_xlfn.CEILING.PRECISE((SUMIFS('Шаг2.Бланк заказа NEW'!$T$19:$T$201,'Шаг2.Бланк заказа NEW'!$A$19:$A$201,$B25,'Шаг2.Бланк заказа NEW'!$E$19:$E$201,0.8)+
SUMIFS('Шаг2.Бланк заказа NEW'!$T$19:$T$201,'Шаг2.Бланк заказа NEW'!$A$19:$A$201,$B25,'Шаг2.Бланк заказа NEW'!$F$19:$F$201,0.8)+
SUMIFS('Шаг2.Бланк заказа NEW'!$U$19:$U$201,'Шаг2.Бланк заказа NEW'!$A$19:$A$201,$B25,'Шаг2.Бланк заказа NEW'!$H$19:$H$201,0.8)+
SUMIFS('Шаг2.Бланк заказа NEW'!$U$19:$U$201,'Шаг2.Бланк заказа NEW'!$A$19:$A$201,$B25,'Шаг2.Бланк заказа NEW'!$I$19:$I$201,0.8)+
SUMIFS('Бланк OLD 0.8 04'!$M$18:$M$200,'Бланк OLD 0.8 04'!$A$18:$A$200,$B25))/1000,1)</f>
        <v>0</v>
      </c>
      <c r="W25" s="84">
        <f ca="1">IFERROR(IF(VLOOKUP(B25,'Шаг1.Выбор плиты'!C:Q,12,0)*1&lt;10,0,
IF(VLOOKUP(B25,'Шаг1.Выбор плиты'!C:Q,12,0)*1&lt;25,'Прайс Производственные Услуги'!$C$5,
IF(VLOOKUP(B25,'Шаг1.Выбор плиты'!C:Q,12,0)*1&gt;24,'Прайс Производственные Услуги'!$C$6,
0))),0)</f>
        <v>0</v>
      </c>
      <c r="X25" s="84">
        <f ca="1">_xlfn.CEILING.PRECISE((SUMIFS('Шаг2.Бланк заказа NEW'!$T$19:$T$201,'Шаг2.Бланк заказа NEW'!$A$19:$A$201,$B25,'Шаг2.Бланк заказа NEW'!$E$19:$E$201,0.4)+
SUMIFS('Шаг2.Бланк заказа NEW'!$T$19:$T$201,'Шаг2.Бланк заказа NEW'!$A$19:$A$201,$B25,'Шаг2.Бланк заказа NEW'!$F$19:$F$201,0.4)+
SUMIFS('Шаг2.Бланк заказа NEW'!$U$19:$U$201,'Шаг2.Бланк заказа NEW'!$A$19:$A$201,$B25,'Шаг2.Бланк заказа NEW'!$H$19:$H$201,0.4)+
SUMIFS('Шаг2.Бланк заказа NEW'!$U$19:$U$201,'Шаг2.Бланк заказа NEW'!$A$19:$A$201,$B25,'Шаг2.Бланк заказа NEW'!$I$19:$I$201,0.4)+
SUMIFS('Бланк OLD 0.8 04'!$N$18:$N$200,'Бланк OLD 0.8 04'!$A$18:$A$200,$B25)+
SUMIFS('Бланк OLD 2.0 04 '!$N$18:$N$200,'Бланк OLD 2.0 04 '!$A$18:$A$200,$B25))/1000,1)</f>
        <v>0</v>
      </c>
      <c r="Y25" s="84">
        <f ca="1">IF(OR(MID(B25,1,6)="ЛМДФ P",MID(B25,1,6)="ЛДСП P"),'Прайс Производственные Услуги'!$C$4,0)</f>
        <v>0</v>
      </c>
      <c r="Z25" s="84">
        <f ca="1">_xlfn.CEILING.PRECISE((SUMIFS('Шаг2.Бланк заказа NEW'!$T$19:$T$201,'Шаг2.Бланк заказа NEW'!$A$19:$A$201,$B25,'Шаг2.Бланк заказа NEW'!$E$19:$E$201,1)+
SUMIFS('Шаг2.Бланк заказа NEW'!$T$19:$T$201,'Шаг2.Бланк заказа NEW'!$A$19:$A$201,$B25,'Шаг2.Бланк заказа NEW'!$F$19:$F$201,1)+
SUMIFS('Шаг2.Бланк заказа NEW'!$U$19:$U$201,'Шаг2.Бланк заказа NEW'!$A$19:$A$201,$B25,'Шаг2.Бланк заказа NEW'!$H$19:$H$201,1)+
SUMIFS('Шаг2.Бланк заказа NEW'!$U$19:$U$201,'Шаг2.Бланк заказа NEW'!$A$19:$A$201,$B25,'Шаг2.Бланк заказа NEW'!$I$19:$I$201,1))/1000,1)</f>
        <v>0</v>
      </c>
      <c r="AA25" s="84">
        <f t="shared" ca="1" si="1"/>
        <v>0</v>
      </c>
      <c r="AB25" s="84">
        <f t="shared" ca="1" si="3"/>
        <v>0</v>
      </c>
      <c r="AC25" s="84" t="str">
        <f ca="1">IF(B25="","",_xlfn.CEILING.PRECISE((SUMIFS('Шаг2.Бланк заказа NEW'!$K$17:$K$201,'Шаг2.Бланк заказа NEW'!$A$17:$A$201,Шаг3.Стоимость!B25)+SUMIFS('Бланк OLD 0.8 04'!$K$18:$K$200,'Бланк OLD 0.8 04'!$A$18:$A$200,Шаг3.Стоимость!B25)+SUMIFS('Бланк OLD 2.0 04 '!$K$18:$K$200,'Бланк OLD 2.0 04 '!$A$18:$A$200,Шаг3.Стоимость!B25)),1))</f>
        <v/>
      </c>
      <c r="AD25" s="84" t="str">
        <f ca="1">IF(B25="","",_xlfn.CEILING.PRECISE((SUMIFS('Шаг2.Бланк заказа NEW'!$K$17:$K$201,'Шаг2.Бланк заказа NEW'!$A$17:$A$201,Шаг3.Стоимость!B25)+SUMIFS('Бланк OLD 0.8 04'!$K$18:$K$200,'Бланк OLD 0.8 04'!$A$18:$A$200,Шаг3.Стоимость!B25)+SUMIFS('Бланк OLD 2.0 04 '!$K$18:$K$200,'Бланк OLD 2.0 04 '!$A$18:$A$200,Шаг3.Стоимость!B25)),1)*'Прайс Производственные Услуги'!$C$15)</f>
        <v/>
      </c>
      <c r="AE25" s="85" t="str">
        <f ca="1">IFERROR(IF(OR(VLOOKUP(B25,'Шаг1.Выбор плиты'!C:D,2,0)="ЛДСП",VLOOKUP(B25,'Шаг1.Выбор плиты'!C:D,2,0)="МДФ",VLOOKUP(B25,'Шаг1.Выбор плиты'!C:D,2,0)="ДСП"),B25,""),"")</f>
        <v/>
      </c>
    </row>
    <row r="26" spans="1:31" ht="12" x14ac:dyDescent="0.2">
      <c r="A26" s="81" t="str">
        <f ca="1">IFERROR(VLOOKUP(ROW(A26)-ROW($A$13),'Шаг1.Выбор плиты'!B:B,1,0),"")</f>
        <v/>
      </c>
      <c r="B26" s="81" t="str">
        <f ca="1">IFERROR(VLOOKUP(ROW(B26)-ROW($B$13),'Шаг1.Выбор плиты'!B:D,2,0),"")</f>
        <v/>
      </c>
      <c r="C26" s="82">
        <f ca="1">IFERROR(
(SUMIFS('Шаг2.Бланк заказа NEW'!$K$19:$K$201,'Шаг2.Бланк заказа NEW'!$A$19:$A$201,B26)+SUMIFS('Бланк OLD 0.8 04'!$K$18:$K$200,'Бланк OLD 0.8 04'!$A$18:$A$200,B26)+
SUMIFS('Бланк OLD 2.0 04 '!$K$18:$K$200,'Бланк OLD 2.0 04 '!$A$18:$A$200,B26))
*IF(VLOOKUP(B26,'Шаг1.Выбор плиты'!C:Q,12,0)*1&lt;15,1.2,1.2),0)</f>
        <v>0</v>
      </c>
      <c r="D26" s="82" t="str">
        <f ca="1">IFERROR(VLOOKUP(B26,'Шаг1.Выбор плиты'!C:Q,15,0),"")</f>
        <v/>
      </c>
      <c r="E26" s="188" t="str">
        <f ca="1">IFERROR(_xlfn.CEILING.PRECISE(C26/(VLOOKUP(B26,'Шаг1.Выбор плиты'!C:S,16,0)/1000*VLOOKUP(B26,'Шаг1.Выбор плиты'!C:S,17,0)/1000),0.01),IF(B26='Шаг1.Выбор плиты'!$C$560,$AC$29,IF(B26='Шаг1.Выбор плиты'!$C$562,$AA$29,IF(B26='Шаг1.Выбор плиты'!$C$561,$AC$29,IF(B26='Шаг1.Выбор плиты'!$C$563,$R$30,"")))))</f>
        <v/>
      </c>
      <c r="F26" s="83" t="str">
        <f ca="1">IFERROR(IF(B26='Шаг1.Выбор плиты'!$C$560,$Q$29,IF(B26='Шаг1.Выбор плиты'!$C$562,$AB$29,IF(B26='Шаг1.Выбор плиты'!$C$561,$AD$29,IF(B26='Шаг1.Выбор плиты'!$C$563,$R$29,D26*E26)))),"")</f>
        <v/>
      </c>
      <c r="G26" s="84">
        <f ca="1">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плиты'!N:N,2,'Шаг1.Выбор плиты'!M:M,SMALL(INDIRECT("мм"&amp;VLOOKUP(B26,'Шаг1.Выбор плиты'!C:Q,12,0)),1))=0,
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плиты'!N:N,2,'Шаг1.Выбор плиты'!M:M,SMALL(INDIRECT("мм"&amp;VLOOKUP(B26,'Шаг1.Выбор плиты'!C:Q,12,0)),2))=0,
SUMIFS('Шаг1.Выбор плиты'!$Q:$Q,'Шаг1.Выбор плиты'!J:J,"*"&amp;RIGHT(VLOOKUP(B26,'Шаг1.Выбор плиты'!C:Q,8,0),4),'Шаг1.Выбор плиты'!L:L,VLOOKUP(B26,'Шаг1.Выбор плиты'!C:Q,10,0),'Шаг1.Выбор плиты'!N:N,2,'Шаг1.Выбор плиты'!M:M,SMALL(INDIRECT("мм"&amp;VLOOKUP(B26,'Шаг1.Выбор плиты'!C:Q,12,0)),3)),
SUMIFS('Шаг1.Выбор плиты'!$Q:$Q,'Шаг1.Выбор плиты'!J:J,"*"&amp;RIGHT(VLOOKUP(B26,'Шаг1.Выбор плиты'!C:Q,8,0),4),'Шаг1.Выбор плиты'!L:L,VLOOKUP(B26,'Шаг1.Выбор плиты'!C:Q,10,0),'Шаг1.Выбор плиты'!N:N,2,'Шаг1.Выбор плиты'!M:M,SMALL(INDIRECT("мм"&amp;VLOOKUP(B26,'Шаг1.Выбор плиты'!C:Q,12,0)),2))),
(SUMIFS('Шаг1.Выбор плиты'!$Q:$Q,'Шаг1.Выбор плиты'!J:J,"*"&amp;RIGHT(VLOOKUP(B26,'Шаг1.Выбор плиты'!C:Q,8,0),4),'Шаг1.Выбор плиты'!L:L,VLOOKUP(B26,'Шаг1.Выбор плиты'!C:Q,10,0),'Шаг1.Выбор плиты'!N:N,2,'Шаг1.Выбор плиты'!M:M,SMALL(INDIRECT("мм"&amp;VLOOKUP(B26,'Шаг1.Выбор плиты'!C:Q,12,0)),1))))</f>
        <v>0</v>
      </c>
      <c r="H26" s="84">
        <f ca="1">_xlfn.CEILING.PRECISE((SUMIFS('Шаг2.Бланк заказа NEW'!$T$19:$T$201,'Шаг2.Бланк заказа NEW'!$A$19:$A$201,$B26,'Шаг2.Бланк заказа NEW'!$E$19:$E$201,2)+
SUMIFS('Шаг2.Бланк заказа NEW'!$T$19:$T$201,'Шаг2.Бланк заказа NEW'!$A$19:$A$201,$B26,'Шаг2.Бланк заказа NEW'!$F$19:$F$201,2)+
SUMIFS('Шаг2.Бланк заказа NEW'!$U$19:$U$201,'Шаг2.Бланк заказа NEW'!$A$19:$A$201,$B26,'Шаг2.Бланк заказа NEW'!$H$19:$H$201,2)+
SUMIFS('Шаг2.Бланк заказа NEW'!$U$19:$U$201,'Шаг2.Бланк заказа NEW'!$A$19:$A$201,$B26,'Шаг2.Бланк заказа NEW'!$I$19:$I$201,2)+
SUMIFS('Бланк OLD 2.0 04 '!$M$18:$M$200,'Бланк OLD 2.0 04 '!$A$18:$A$200,$B26))/1000*1.2,5)</f>
        <v>0</v>
      </c>
      <c r="I26" s="84">
        <f ca="1">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плиты'!N:N,0.8,'Шаг1.Выбор плиты'!M:M,SMALL(INDIRECT("мм"&amp;VLOOKUP(B26,'Шаг1.Выбор плиты'!C:Q,12,0)),1))=0,
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плиты'!N:N,0.8,'Шаг1.Выбор плиты'!M:M,SMALL(INDIRECT("мм"&amp;VLOOKUP(B26,'Шаг1.Выбор плиты'!C:Q,12,0)),2))=0,
SUMIFS('Шаг1.Выбор плиты'!$Q:$Q,'Шаг1.Выбор плиты'!J:J,"*"&amp;RIGHT(VLOOKUP(B26,'Шаг1.Выбор плиты'!C:Q,8,0),4),'Шаг1.Выбор плиты'!L:L,VLOOKUP(B26,'Шаг1.Выбор плиты'!C:Q,10,0),'Шаг1.Выбор плиты'!N:N,0.8,'Шаг1.Выбор плиты'!M:M,SMALL(INDIRECT("мм"&amp;VLOOKUP(B26,'Шаг1.Выбор плиты'!C:Q,12,0)),3)),
SUMIFS('Шаг1.Выбор плиты'!$Q:$Q,'Шаг1.Выбор плиты'!J:J,"*"&amp;RIGHT(VLOOKUP(B26,'Шаг1.Выбор плиты'!C:Q,8,0),4),'Шаг1.Выбор плиты'!L:L,VLOOKUP(B26,'Шаг1.Выбор плиты'!C:Q,10,0),'Шаг1.Выбор плиты'!N:N,0.8,'Шаг1.Выбор плиты'!M:M,SMALL(INDIRECT("мм"&amp;VLOOKUP(B26,'Шаг1.Выбор плиты'!C:Q,12,0)),2))),
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плиты'!N:N,0.8,'Шаг1.Выбор плиты'!M:M,SMALL(INDIRECT("мм"&amp;VLOOKUP(B26,'Шаг1.Выбор плиты'!C:Q,12,0)),1))))</f>
        <v>0</v>
      </c>
      <c r="J26" s="84">
        <f ca="1">_xlfn.CEILING.PRECISE((SUMIFS('Шаг2.Бланк заказа NEW'!$T$19:$T$201,'Шаг2.Бланк заказа NEW'!$A$19:$A$201,$B26,'Шаг2.Бланк заказа NEW'!$E$19:$E$201,0.8)+
SUMIFS('Шаг2.Бланк заказа NEW'!$T$19:$T$201,'Шаг2.Бланк заказа NEW'!$A$19:$A$201,$B26,'Шаг2.Бланк заказа NEW'!$F$19:$F$201,0.8)+
SUMIFS('Шаг2.Бланк заказа NEW'!$U$19:$U$201,'Шаг2.Бланк заказа NEW'!$A$19:$A$201,$B26,'Шаг2.Бланк заказа NEW'!$H$19:$H$201,0.8)+
SUMIFS('Шаг2.Бланк заказа NEW'!$U$19:$U$201,'Шаг2.Бланк заказа NEW'!$A$19:$A$201,$B26,'Шаг2.Бланк заказа NEW'!$I$19:$I$201,0.8)+
SUMIFS('Бланк OLD 0.8 04'!$M$18:$M$200,'Бланк OLD 0.8 04'!$A$18:$A$200,$B26))/1000*1.2,5)</f>
        <v>0</v>
      </c>
      <c r="K26" s="84">
        <f ca="1">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плиты'!N:N,0.4,'Шаг1.Выбор плиты'!M:M,SMALL(INDIRECT("мм"&amp;VLOOKUP(B26,'Шаг1.Выбор плиты'!C:Q,12,0)),1))=0,
IF(SUMIFS('Шаг1.Выбор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плиты'!N:N,0.4,'Шаг1.Выбор плиты'!M:M,SMALL(INDIRECT("мм"&amp;VLOOKUP(B26,'Шаг1.Выбор плиты'!C:Q,12,0)),2))=0,
SUMIFS('Шаг1.Выбор плиты'!$Q:$Q,'Шаг1.Выбор плиты'!J:J,"*"&amp;RIGHT(VLOOKUP(B26,'Шаг1.Выбор плиты'!C:Q,8,0),4),'Шаг1.Выбор плиты'!L:L,VLOOKUP(B26,'Шаг1.Выбор плиты'!C:Q,10,0),'Шаг1.Выбор плиты'!N:N,0.4,'Шаг1.Выбор плиты'!M:M,SMALL(INDIRECT("мм"&amp;VLOOKUP(B26,'Шаг1.Выбор плиты'!C:Q,12,0)),3)),
SUMIFS('Шаг1.Выбор плиты'!$Q:$Q,'Шаг1.Выбор плиты'!J:J,"*"&amp;RIGHT(VLOOKUP(B26,'Шаг1.Выбор плиты'!C:Q,8,0),4),'Шаг1.Выбор плиты'!L:L,VLOOKUP(B26,'Шаг1.Выбор плиты'!C:Q,10,0),'Шаг1.Выбор плиты'!N:N,0.4,'Шаг1.Выбор плиты'!M:M,SMALL(INDIRECT("мм"&amp;VLOOKUP(B26,'Шаг1.Выбор плиты'!C:Q,12,0)),2))),
(SUMIFS('Шаг1.Выбор плиты'!$Q:$Q,'Шаг1.Выбор плиты'!J:J,"*"&amp;RIGHT(VLOOKUP(B26,'Шаг1.Выбор плиты'!C:Q,8,0),4),'Шаг1.Выбор плиты'!L:L,VLOOKUP(B26,'Шаг1.Выбор плиты'!C:Q,10,0),'Шаг1.Выбор плиты'!N:N,0.4,'Шаг1.Выбор плиты'!M:M,SMALL(INDIRECT("мм"&amp;VLOOKUP(B26,'Шаг1.Выбор плиты'!C:Q,12,0)),1))))</f>
        <v>0</v>
      </c>
      <c r="L26" s="84">
        <f ca="1">_xlfn.CEILING.PRECISE((SUMIFS('Шаг2.Бланк заказа NEW'!$T$19:$T$201,'Шаг2.Бланк заказа NEW'!$A$19:$A$201,$B26,'Шаг2.Бланк заказа NEW'!$E$19:$E$201,0.4)+
SUMIFS('Шаг2.Бланк заказа NEW'!$T$19:$T$201,'Шаг2.Бланк заказа NEW'!$A$19:$A$201,$B26,'Шаг2.Бланк заказа NEW'!$F$19:$F$201,0.4)+
SUMIFS('Шаг2.Бланк заказа NEW'!$U$19:$U$201,'Шаг2.Бланк заказа NEW'!$A$19:$A$201,$B26,'Шаг2.Бланк заказа NEW'!$H$19:$H$201,0.4)+
SUMIFS('Шаг2.Бланк заказа NEW'!$U$19:$U$201,'Шаг2.Бланк заказа NEW'!$A$19:$A$201,$B26,'Шаг2.Бланк заказа NEW'!$I$19:$I$201,0.4)+
SUMIFS('Бланк OLD 0.8 04'!$N$18:$N$200,'Бланк OLD 0.8 04'!$A$18:$A$200,$B26)+
SUMIFS('Бланк OLD 2.0 04 '!$N$18:$N$200,'Бланк OLD 2.0 04 '!$A$18:$A$200,$B26))/1000*1.2,5)</f>
        <v>0</v>
      </c>
      <c r="M26" s="84">
        <f ca="1">SUMIFS('Шаг1.Выбор плиты'!$Q:$Q,'Шаг1.Выбор плиты'!J:J,VLOOKUP(B26,'Шаг1.Выбор плиты'!C:Q,8,0),'Шаг1.Выбор плиты'!L:L,IF(MID(B26,1,6)="ЛДСП P","TM"&amp;MID(VLOOKUP(B26,'Шаг1.Выбор плиты'!C:Q,10,0),3,2),MID(VLOOKUP(B26,'Шаг1.Выбор плиты'!C:Q,10,0),1,2)),
'Шаг1.Выбор плиты'!N:N,1)</f>
        <v>0</v>
      </c>
      <c r="N26" s="84">
        <f ca="1">_xlfn.CEILING.PRECISE((SUMIFS('Шаг2.Бланк заказа NEW'!$T$19:$T$201,'Шаг2.Бланк заказа NEW'!$A$19:$A$201,$B26,'Шаг2.Бланк заказа NEW'!$E$19:$E$201,1)+
SUMIFS('Шаг2.Бланк заказа NEW'!$T$19:$T$201,'Шаг2.Бланк заказа NEW'!$A$19:$A$201,$B26,'Шаг2.Бланк заказа NEW'!$F$19:$F$201,1)+
SUMIFS('Шаг2.Бланк заказа NEW'!$U$19:$U$201,'Шаг2.Бланк заказа NEW'!$A$19:$A$201,$B26,'Шаг2.Бланк заказа NEW'!$H$19:$H$201,1)+
SUMIFS('Шаг2.Бланк заказа NEW'!$U$19:$U$201,'Шаг2.Бланк заказа NEW'!$A$19:$A$201,$B26,'Шаг2.Бланк заказа NEW'!$I$19:$I$201,1))/1000*1.2,5)</f>
        <v>0</v>
      </c>
      <c r="O26" s="85">
        <f t="shared" ca="1" si="0"/>
        <v>0</v>
      </c>
      <c r="P26" s="86">
        <f t="shared" ca="1" si="2"/>
        <v>0</v>
      </c>
      <c r="Q26" s="103">
        <f ca="1">ROUND(SUMIFS('Шаг2.Бланк заказа NEW'!$V$19:$V$201,'Шаг2.Бланк заказа NEW'!$A$19:$A$201,B26)+
SUMIFS('Бланк OLD 0.8 04'!$O$18:$O$200,'Бланк OLD 0.8 04'!$A$18:$A$200,B26)+
SUMIFS('Бланк OLD 2.0 04 '!$O$18:$O$200,'Бланк OLD 2.0 04 '!$A$18:$A$200,B26),0)</f>
        <v>0</v>
      </c>
      <c r="R26" s="103">
        <f ca="1">ROUND(SUMIFS('Шаг2.Бланк заказа NEW'!$W$19:$W$201,'Шаг2.Бланк заказа NEW'!$A$19:$A$201,B26),0)</f>
        <v>0</v>
      </c>
      <c r="S26" s="84">
        <f ca="1">IFERROR(IF(VLOOKUP(B26,'Шаг1.Выбор плиты'!C:Q,12,0)*1&lt;10,0,
IF(VLOOKUP(B26,'Шаг1.Выбор плиты'!C:Q,12,0)*1&lt;25,'Прайс Производственные Услуги'!$C$9,
IF(VLOOKUP(B26,'Шаг1.Выбор плиты'!C:Q,12,0)*1=25,'Прайс Производственные Услуги'!$C$10,
IF(VLOOKUP(B26,'Шаг1.Выбор плиты'!C:Q,12,0)*1&gt;25,'Прайс Производственные Услуги'!$C$11,
0)))),0)</f>
        <v>0</v>
      </c>
      <c r="T26" s="84">
        <f ca="1">_xlfn.CEILING.PRECISE((SUMIFS('Шаг2.Бланк заказа NEW'!$T$19:$T$201,'Шаг2.Бланк заказа NEW'!$A$19:$A$201,$B26,'Шаг2.Бланк заказа NEW'!$E$19:$E$201,2)+
SUMIFS('Шаг2.Бланк заказа NEW'!$T$19:$T$201,'Шаг2.Бланк заказа NEW'!$A$19:$A$201,$B26,'Шаг2.Бланк заказа NEW'!$F$19:$F$201,2)+
SUMIFS('Шаг2.Бланк заказа NEW'!$U$19:$U$201,'Шаг2.Бланк заказа NEW'!$A$19:$A$201,$B26,'Шаг2.Бланк заказа NEW'!$H$19:$H$201,2)+
SUMIFS('Шаг2.Бланк заказа NEW'!$U$19:$U$201,'Шаг2.Бланк заказа NEW'!$A$19:$A$201,$B26,'Шаг2.Бланк заказа NEW'!$I$19:$I$201,2)+
SUMIFS('Бланк OLD 2.0 04 '!$M$18:$M$200,'Бланк OLD 2.0 04 '!$A$18:$A$200,$B26))/1000,1)</f>
        <v>0</v>
      </c>
      <c r="U26" s="84">
        <f ca="1">IFERROR(IF(VLOOKUP(B26,'Шаг1.Выбор плиты'!C:Q,12,0)*1&lt;10,0,
IF(VLOOKUP(B26,'Шаг1.Выбор плиты'!C:Q,12,0)*1&lt;25,'Прайс Производственные Услуги'!$C$7,
IF(VLOOKUP(B26,'Шаг1.Выбор плиты'!C:Q,12,0)*1&gt;24,'Прайс Производственные Услуги'!$C$8,
0))),0)</f>
        <v>0</v>
      </c>
      <c r="V26" s="84">
        <f ca="1">_xlfn.CEILING.PRECISE((SUMIFS('Шаг2.Бланк заказа NEW'!$T$19:$T$201,'Шаг2.Бланк заказа NEW'!$A$19:$A$201,$B26,'Шаг2.Бланк заказа NEW'!$E$19:$E$201,0.8)+
SUMIFS('Шаг2.Бланк заказа NEW'!$T$19:$T$201,'Шаг2.Бланк заказа NEW'!$A$19:$A$201,$B26,'Шаг2.Бланк заказа NEW'!$F$19:$F$201,0.8)+
SUMIFS('Шаг2.Бланк заказа NEW'!$U$19:$U$201,'Шаг2.Бланк заказа NEW'!$A$19:$A$201,$B26,'Шаг2.Бланк заказа NEW'!$H$19:$H$201,0.8)+
SUMIFS('Шаг2.Бланк заказа NEW'!$U$19:$U$201,'Шаг2.Бланк заказа NEW'!$A$19:$A$201,$B26,'Шаг2.Бланк заказа NEW'!$I$19:$I$201,0.8)+
SUMIFS('Бланк OLD 0.8 04'!$M$18:$M$200,'Бланк OLD 0.8 04'!$A$18:$A$200,$B26))/1000,1)</f>
        <v>0</v>
      </c>
      <c r="W26" s="84">
        <f ca="1">IFERROR(IF(VLOOKUP(B26,'Шаг1.Выбор плиты'!C:Q,12,0)*1&lt;10,0,
IF(VLOOKUP(B26,'Шаг1.Выбор плиты'!C:Q,12,0)*1&lt;25,'Прайс Производственные Услуги'!$C$5,
IF(VLOOKUP(B26,'Шаг1.Выбор плиты'!C:Q,12,0)*1&gt;24,'Прайс Производственные Услуги'!$C$6,
0))),0)</f>
        <v>0</v>
      </c>
      <c r="X26" s="84">
        <f ca="1">_xlfn.CEILING.PRECISE((SUMIFS('Шаг2.Бланк заказа NEW'!$T$19:$T$201,'Шаг2.Бланк заказа NEW'!$A$19:$A$201,$B26,'Шаг2.Бланк заказа NEW'!$E$19:$E$201,0.4)+
SUMIFS('Шаг2.Бланк заказа NEW'!$T$19:$T$201,'Шаг2.Бланк заказа NEW'!$A$19:$A$201,$B26,'Шаг2.Бланк заказа NEW'!$F$19:$F$201,0.4)+
SUMIFS('Шаг2.Бланк заказа NEW'!$U$19:$U$201,'Шаг2.Бланк заказа NEW'!$A$19:$A$201,$B26,'Шаг2.Бланк заказа NEW'!$H$19:$H$201,0.4)+
SUMIFS('Шаг2.Бланк заказа NEW'!$U$19:$U$201,'Шаг2.Бланк заказа NEW'!$A$19:$A$201,$B26,'Шаг2.Бланк заказа NEW'!$I$19:$I$201,0.4)+
SUMIFS('Бланк OLD 0.8 04'!$N$18:$N$200,'Бланк OLD 0.8 04'!$A$18:$A$200,$B26)+
SUMIFS('Бланк OLD 2.0 04 '!$N$18:$N$200,'Бланк OLD 2.0 04 '!$A$18:$A$200,$B26))/1000,1)</f>
        <v>0</v>
      </c>
      <c r="Y26" s="84">
        <f ca="1">IF(OR(MID(B26,1,6)="ЛМДФ P",MID(B26,1,6)="ЛДСП P"),'Прайс Производственные Услуги'!$C$4,0)</f>
        <v>0</v>
      </c>
      <c r="Z26" s="84">
        <f ca="1">_xlfn.CEILING.PRECISE((SUMIFS('Шаг2.Бланк заказа NEW'!$T$19:$T$201,'Шаг2.Бланк заказа NEW'!$A$19:$A$201,$B26,'Шаг2.Бланк заказа NEW'!$E$19:$E$201,1)+
SUMIFS('Шаг2.Бланк заказа NEW'!$T$19:$T$201,'Шаг2.Бланк заказа NEW'!$A$19:$A$201,$B26,'Шаг2.Бланк заказа NEW'!$F$19:$F$201,1)+
SUMIFS('Шаг2.Бланк заказа NEW'!$U$19:$U$201,'Шаг2.Бланк заказа NEW'!$A$19:$A$201,$B26,'Шаг2.Бланк заказа NEW'!$H$19:$H$201,1)+
SUMIFS('Шаг2.Бланк заказа NEW'!$U$19:$U$201,'Шаг2.Бланк заказа NEW'!$A$19:$A$201,$B26,'Шаг2.Бланк заказа NEW'!$I$19:$I$201,1))/1000,1)</f>
        <v>0</v>
      </c>
      <c r="AA26" s="84">
        <f t="shared" ca="1" si="1"/>
        <v>0</v>
      </c>
      <c r="AB26" s="84">
        <f t="shared" ca="1" si="3"/>
        <v>0</v>
      </c>
      <c r="AC26" s="84" t="str">
        <f ca="1">IF(B26="","",_xlfn.CEILING.PRECISE((SUMIFS('Шаг2.Бланк заказа NEW'!$K$17:$K$201,'Шаг2.Бланк заказа NEW'!$A$17:$A$201,Шаг3.Стоимость!B26)+SUMIFS('Бланк OLD 0.8 04'!$K$18:$K$200,'Бланк OLD 0.8 04'!$A$18:$A$200,Шаг3.Стоимость!B26)+SUMIFS('Бланк OLD 2.0 04 '!$K$18:$K$200,'Бланк OLD 2.0 04 '!$A$18:$A$200,Шаг3.Стоимость!B26)),1))</f>
        <v/>
      </c>
      <c r="AD26" s="84" t="str">
        <f ca="1">IF(B26="","",_xlfn.CEILING.PRECISE((SUMIFS('Шаг2.Бланк заказа NEW'!$K$17:$K$201,'Шаг2.Бланк заказа NEW'!$A$17:$A$201,Шаг3.Стоимость!B26)+SUMIFS('Бланк OLD 0.8 04'!$K$18:$K$200,'Бланк OLD 0.8 04'!$A$18:$A$200,Шаг3.Стоимость!B26)+SUMIFS('Бланк OLD 2.0 04 '!$K$18:$K$200,'Бланк OLD 2.0 04 '!$A$18:$A$200,Шаг3.Стоимость!B26)),1)*'Прайс Производственные Услуги'!$C$15)</f>
        <v/>
      </c>
      <c r="AE26" s="85" t="str">
        <f ca="1">IFERROR(IF(OR(VLOOKUP(B26,'Шаг1.Выбор плиты'!C:D,2,0)="ЛДСП",VLOOKUP(B26,'Шаг1.Выбор плиты'!C:D,2,0)="МДФ",VLOOKUP(B26,'Шаг1.Выбор плиты'!C:D,2,0)="ДСП"),B26,""),"")</f>
        <v/>
      </c>
    </row>
    <row r="27" spans="1:31" ht="12" x14ac:dyDescent="0.2">
      <c r="A27" s="81" t="str">
        <f ca="1">IFERROR(VLOOKUP(ROW(A27)-ROW($A$13),'Шаг1.Выбор плиты'!B:B,1,0),"")</f>
        <v/>
      </c>
      <c r="B27" s="81" t="str">
        <f ca="1">IFERROR(VLOOKUP(ROW(B27)-ROW($B$13),'Шаг1.Выбор плиты'!B:D,2,0),"")</f>
        <v/>
      </c>
      <c r="C27" s="82">
        <f ca="1">IFERROR(
(SUMIFS('Шаг2.Бланк заказа NEW'!$K$19:$K$201,'Шаг2.Бланк заказа NEW'!$A$19:$A$201,B27)+SUMIFS('Бланк OLD 0.8 04'!$K$18:$K$200,'Бланк OLD 0.8 04'!$A$18:$A$200,B27)+
SUMIFS('Бланк OLD 2.0 04 '!$K$18:$K$200,'Бланк OLD 2.0 04 '!$A$18:$A$200,B27))
*IF(VLOOKUP(B27,'Шаг1.Выбор плиты'!C:Q,12,0)*1&lt;15,1.2,1.2),0)</f>
        <v>0</v>
      </c>
      <c r="D27" s="82" t="str">
        <f ca="1">IFERROR(VLOOKUP(B27,'Шаг1.Выбор плиты'!C:Q,15,0),"")</f>
        <v/>
      </c>
      <c r="E27" s="188" t="str">
        <f ca="1">IFERROR(_xlfn.CEILING.PRECISE(C27/(VLOOKUP(B27,'Шаг1.Выбор плиты'!C:S,16,0)/1000*VLOOKUP(B27,'Шаг1.Выбор плиты'!C:S,17,0)/1000),0.01),IF(B27='Шаг1.Выбор плиты'!$C$560,$AC$29,IF(B27='Шаг1.Выбор плиты'!$C$562,$AA$29,IF(B27='Шаг1.Выбор плиты'!$C$561,$AC$29,IF(B27='Шаг1.Выбор плиты'!$C$563,$R$30,"")))))</f>
        <v/>
      </c>
      <c r="F27" s="83" t="str">
        <f ca="1">IFERROR(IF(B27='Шаг1.Выбор плиты'!$C$560,$Q$29,IF(B27='Шаг1.Выбор плиты'!$C$562,$AB$29,IF(B27='Шаг1.Выбор плиты'!$C$561,$AD$29,IF(B27='Шаг1.Выбор плиты'!$C$563,$R$29,D27*E27)))),"")</f>
        <v/>
      </c>
      <c r="G27" s="84">
        <f ca="1">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плиты'!N:N,2,'Шаг1.Выбор плиты'!M:M,SMALL(INDIRECT("мм"&amp;VLOOKUP(B27,'Шаг1.Выбор плиты'!C:Q,12,0)),1))=0,
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плиты'!N:N,2,'Шаг1.Выбор плиты'!M:M,SMALL(INDIRECT("мм"&amp;VLOOKUP(B27,'Шаг1.Выбор плиты'!C:Q,12,0)),2))=0,
SUMIFS('Шаг1.Выбор плиты'!$Q:$Q,'Шаг1.Выбор плиты'!J:J,"*"&amp;RIGHT(VLOOKUP(B27,'Шаг1.Выбор плиты'!C:Q,8,0),4),'Шаг1.Выбор плиты'!L:L,VLOOKUP(B27,'Шаг1.Выбор плиты'!C:Q,10,0),'Шаг1.Выбор плиты'!N:N,2,'Шаг1.Выбор плиты'!M:M,SMALL(INDIRECT("мм"&amp;VLOOKUP(B27,'Шаг1.Выбор плиты'!C:Q,12,0)),3)),
SUMIFS('Шаг1.Выбор плиты'!$Q:$Q,'Шаг1.Выбор плиты'!J:J,"*"&amp;RIGHT(VLOOKUP(B27,'Шаг1.Выбор плиты'!C:Q,8,0),4),'Шаг1.Выбор плиты'!L:L,VLOOKUP(B27,'Шаг1.Выбор плиты'!C:Q,10,0),'Шаг1.Выбор плиты'!N:N,2,'Шаг1.Выбор плиты'!M:M,SMALL(INDIRECT("мм"&amp;VLOOKUP(B27,'Шаг1.Выбор плиты'!C:Q,12,0)),2))),
(SUMIFS('Шаг1.Выбор плиты'!$Q:$Q,'Шаг1.Выбор плиты'!J:J,"*"&amp;RIGHT(VLOOKUP(B27,'Шаг1.Выбор плиты'!C:Q,8,0),4),'Шаг1.Выбор плиты'!L:L,VLOOKUP(B27,'Шаг1.Выбор плиты'!C:Q,10,0),'Шаг1.Выбор плиты'!N:N,2,'Шаг1.Выбор плиты'!M:M,SMALL(INDIRECT("мм"&amp;VLOOKUP(B27,'Шаг1.Выбор плиты'!C:Q,12,0)),1))))</f>
        <v>0</v>
      </c>
      <c r="H27" s="84">
        <f ca="1">_xlfn.CEILING.PRECISE((SUMIFS('Шаг2.Бланк заказа NEW'!$T$19:$T$201,'Шаг2.Бланк заказа NEW'!$A$19:$A$201,$B27,'Шаг2.Бланк заказа NEW'!$E$19:$E$201,2)+
SUMIFS('Шаг2.Бланк заказа NEW'!$T$19:$T$201,'Шаг2.Бланк заказа NEW'!$A$19:$A$201,$B27,'Шаг2.Бланк заказа NEW'!$F$19:$F$201,2)+
SUMIFS('Шаг2.Бланк заказа NEW'!$U$19:$U$201,'Шаг2.Бланк заказа NEW'!$A$19:$A$201,$B27,'Шаг2.Бланк заказа NEW'!$H$19:$H$201,2)+
SUMIFS('Шаг2.Бланк заказа NEW'!$U$19:$U$201,'Шаг2.Бланк заказа NEW'!$A$19:$A$201,$B27,'Шаг2.Бланк заказа NEW'!$I$19:$I$201,2)+
SUMIFS('Бланк OLD 2.0 04 '!$M$18:$M$200,'Бланк OLD 2.0 04 '!$A$18:$A$200,$B27))/1000*1.2,5)</f>
        <v>0</v>
      </c>
      <c r="I27" s="84">
        <f ca="1">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плиты'!N:N,0.8,'Шаг1.Выбор плиты'!M:M,SMALL(INDIRECT("мм"&amp;VLOOKUP(B27,'Шаг1.Выбор плиты'!C:Q,12,0)),1))=0,
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плиты'!N:N,0.8,'Шаг1.Выбор плиты'!M:M,SMALL(INDIRECT("мм"&amp;VLOOKUP(B27,'Шаг1.Выбор плиты'!C:Q,12,0)),2))=0,
SUMIFS('Шаг1.Выбор плиты'!$Q:$Q,'Шаг1.Выбор плиты'!J:J,"*"&amp;RIGHT(VLOOKUP(B27,'Шаг1.Выбор плиты'!C:Q,8,0),4),'Шаг1.Выбор плиты'!L:L,VLOOKUP(B27,'Шаг1.Выбор плиты'!C:Q,10,0),'Шаг1.Выбор плиты'!N:N,0.8,'Шаг1.Выбор плиты'!M:M,SMALL(INDIRECT("мм"&amp;VLOOKUP(B27,'Шаг1.Выбор плиты'!C:Q,12,0)),3)),
SUMIFS('Шаг1.Выбор плиты'!$Q:$Q,'Шаг1.Выбор плиты'!J:J,"*"&amp;RIGHT(VLOOKUP(B27,'Шаг1.Выбор плиты'!C:Q,8,0),4),'Шаг1.Выбор плиты'!L:L,VLOOKUP(B27,'Шаг1.Выбор плиты'!C:Q,10,0),'Шаг1.Выбор плиты'!N:N,0.8,'Шаг1.Выбор плиты'!M:M,SMALL(INDIRECT("мм"&amp;VLOOKUP(B27,'Шаг1.Выбор плиты'!C:Q,12,0)),2))),
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плиты'!N:N,0.8,'Шаг1.Выбор плиты'!M:M,SMALL(INDIRECT("мм"&amp;VLOOKUP(B27,'Шаг1.Выбор плиты'!C:Q,12,0)),1))))</f>
        <v>0</v>
      </c>
      <c r="J27" s="84">
        <f ca="1">_xlfn.CEILING.PRECISE((SUMIFS('Шаг2.Бланк заказа NEW'!$T$19:$T$201,'Шаг2.Бланк заказа NEW'!$A$19:$A$201,$B27,'Шаг2.Бланк заказа NEW'!$E$19:$E$201,0.8)+
SUMIFS('Шаг2.Бланк заказа NEW'!$T$19:$T$201,'Шаг2.Бланк заказа NEW'!$A$19:$A$201,$B27,'Шаг2.Бланк заказа NEW'!$F$19:$F$201,0.8)+
SUMIFS('Шаг2.Бланк заказа NEW'!$U$19:$U$201,'Шаг2.Бланк заказа NEW'!$A$19:$A$201,$B27,'Шаг2.Бланк заказа NEW'!$H$19:$H$201,0.8)+
SUMIFS('Шаг2.Бланк заказа NEW'!$U$19:$U$201,'Шаг2.Бланк заказа NEW'!$A$19:$A$201,$B27,'Шаг2.Бланк заказа NEW'!$I$19:$I$201,0.8)+
SUMIFS('Бланк OLD 0.8 04'!$M$18:$M$200,'Бланк OLD 0.8 04'!$A$18:$A$200,$B27))/1000*1.2,5)</f>
        <v>0</v>
      </c>
      <c r="K27" s="84">
        <f ca="1">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плиты'!N:N,0.4,'Шаг1.Выбор плиты'!M:M,SMALL(INDIRECT("мм"&amp;VLOOKUP(B27,'Шаг1.Выбор плиты'!C:Q,12,0)),1))=0,
IF(SUMIFS('Шаг1.Выбор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плиты'!N:N,0.4,'Шаг1.Выбор плиты'!M:M,SMALL(INDIRECT("мм"&amp;VLOOKUP(B27,'Шаг1.Выбор плиты'!C:Q,12,0)),2))=0,
SUMIFS('Шаг1.Выбор плиты'!$Q:$Q,'Шаг1.Выбор плиты'!J:J,"*"&amp;RIGHT(VLOOKUP(B27,'Шаг1.Выбор плиты'!C:Q,8,0),4),'Шаг1.Выбор плиты'!L:L,VLOOKUP(B27,'Шаг1.Выбор плиты'!C:Q,10,0),'Шаг1.Выбор плиты'!N:N,0.4,'Шаг1.Выбор плиты'!M:M,SMALL(INDIRECT("мм"&amp;VLOOKUP(B27,'Шаг1.Выбор плиты'!C:Q,12,0)),3)),
SUMIFS('Шаг1.Выбор плиты'!$Q:$Q,'Шаг1.Выбор плиты'!J:J,"*"&amp;RIGHT(VLOOKUP(B27,'Шаг1.Выбор плиты'!C:Q,8,0),4),'Шаг1.Выбор плиты'!L:L,VLOOKUP(B27,'Шаг1.Выбор плиты'!C:Q,10,0),'Шаг1.Выбор плиты'!N:N,0.4,'Шаг1.Выбор плиты'!M:M,SMALL(INDIRECT("мм"&amp;VLOOKUP(B27,'Шаг1.Выбор плиты'!C:Q,12,0)),2))),
(SUMIFS('Шаг1.Выбор плиты'!$Q:$Q,'Шаг1.Выбор плиты'!J:J,"*"&amp;RIGHT(VLOOKUP(B27,'Шаг1.Выбор плиты'!C:Q,8,0),4),'Шаг1.Выбор плиты'!L:L,VLOOKUP(B27,'Шаг1.Выбор плиты'!C:Q,10,0),'Шаг1.Выбор плиты'!N:N,0.4,'Шаг1.Выбор плиты'!M:M,SMALL(INDIRECT("мм"&amp;VLOOKUP(B27,'Шаг1.Выбор плиты'!C:Q,12,0)),1))))</f>
        <v>0</v>
      </c>
      <c r="L27" s="84">
        <f ca="1">_xlfn.CEILING.PRECISE((SUMIFS('Шаг2.Бланк заказа NEW'!$T$19:$T$201,'Шаг2.Бланк заказа NEW'!$A$19:$A$201,$B27,'Шаг2.Бланк заказа NEW'!$E$19:$E$201,0.4)+
SUMIFS('Шаг2.Бланк заказа NEW'!$T$19:$T$201,'Шаг2.Бланк заказа NEW'!$A$19:$A$201,$B27,'Шаг2.Бланк заказа NEW'!$F$19:$F$201,0.4)+
SUMIFS('Шаг2.Бланк заказа NEW'!$U$19:$U$201,'Шаг2.Бланк заказа NEW'!$A$19:$A$201,$B27,'Шаг2.Бланк заказа NEW'!$H$19:$H$201,0.4)+
SUMIFS('Шаг2.Бланк заказа NEW'!$U$19:$U$201,'Шаг2.Бланк заказа NEW'!$A$19:$A$201,$B27,'Шаг2.Бланк заказа NEW'!$I$19:$I$201,0.4)+
SUMIFS('Бланк OLD 0.8 04'!$N$18:$N$200,'Бланк OLD 0.8 04'!$A$18:$A$200,$B27)+
SUMIFS('Бланк OLD 2.0 04 '!$N$18:$N$200,'Бланк OLD 2.0 04 '!$A$18:$A$200,$B27))/1000*1.2,5)</f>
        <v>0</v>
      </c>
      <c r="M27" s="84">
        <f ca="1">SUMIFS('Шаг1.Выбор плиты'!$Q:$Q,'Шаг1.Выбор плиты'!J:J,VLOOKUP(B27,'Шаг1.Выбор плиты'!C:Q,8,0),'Шаг1.Выбор плиты'!L:L,IF(MID(B27,1,6)="ЛДСП P","TM"&amp;MID(VLOOKUP(B27,'Шаг1.Выбор плиты'!C:Q,10,0),3,2),MID(VLOOKUP(B27,'Шаг1.Выбор плиты'!C:Q,10,0),1,2)),
'Шаг1.Выбор плиты'!N:N,1)</f>
        <v>0</v>
      </c>
      <c r="N27" s="84">
        <f ca="1">_xlfn.CEILING.PRECISE((SUMIFS('Шаг2.Бланк заказа NEW'!$T$19:$T$201,'Шаг2.Бланк заказа NEW'!$A$19:$A$201,$B27,'Шаг2.Бланк заказа NEW'!$E$19:$E$201,1)+
SUMIFS('Шаг2.Бланк заказа NEW'!$T$19:$T$201,'Шаг2.Бланк заказа NEW'!$A$19:$A$201,$B27,'Шаг2.Бланк заказа NEW'!$F$19:$F$201,1)+
SUMIFS('Шаг2.Бланк заказа NEW'!$U$19:$U$201,'Шаг2.Бланк заказа NEW'!$A$19:$A$201,$B27,'Шаг2.Бланк заказа NEW'!$H$19:$H$201,1)+
SUMIFS('Шаг2.Бланк заказа NEW'!$U$19:$U$201,'Шаг2.Бланк заказа NEW'!$A$19:$A$201,$B27,'Шаг2.Бланк заказа NEW'!$I$19:$I$201,1))/1000*1.2,5)</f>
        <v>0</v>
      </c>
      <c r="O27" s="85">
        <f t="shared" ca="1" si="0"/>
        <v>0</v>
      </c>
      <c r="P27" s="86">
        <f t="shared" ca="1" si="2"/>
        <v>0</v>
      </c>
      <c r="Q27" s="103">
        <f ca="1">ROUND(SUMIFS('Шаг2.Бланк заказа NEW'!$V$19:$V$201,'Шаг2.Бланк заказа NEW'!$A$19:$A$201,B27)+
SUMIFS('Бланк OLD 0.8 04'!$O$18:$O$200,'Бланк OLD 0.8 04'!$A$18:$A$200,B27)+
SUMIFS('Бланк OLD 2.0 04 '!$O$18:$O$200,'Бланк OLD 2.0 04 '!$A$18:$A$200,B27),0)</f>
        <v>0</v>
      </c>
      <c r="R27" s="103">
        <f ca="1">ROUND(SUMIFS('Шаг2.Бланк заказа NEW'!$W$19:$W$201,'Шаг2.Бланк заказа NEW'!$A$19:$A$201,B27),0)</f>
        <v>0</v>
      </c>
      <c r="S27" s="84">
        <f ca="1">IFERROR(IF(VLOOKUP(B27,'Шаг1.Выбор плиты'!C:Q,12,0)*1&lt;10,0,
IF(VLOOKUP(B27,'Шаг1.Выбор плиты'!C:Q,12,0)*1&lt;25,'Прайс Производственные Услуги'!$C$9,
IF(VLOOKUP(B27,'Шаг1.Выбор плиты'!C:Q,12,0)*1=25,'Прайс Производственные Услуги'!$C$10,
IF(VLOOKUP(B27,'Шаг1.Выбор плиты'!C:Q,12,0)*1&gt;25,'Прайс Производственные Услуги'!$C$11,
0)))),0)</f>
        <v>0</v>
      </c>
      <c r="T27" s="84">
        <f ca="1">_xlfn.CEILING.PRECISE((SUMIFS('Шаг2.Бланк заказа NEW'!$T$19:$T$201,'Шаг2.Бланк заказа NEW'!$A$19:$A$201,$B27,'Шаг2.Бланк заказа NEW'!$E$19:$E$201,2)+
SUMIFS('Шаг2.Бланк заказа NEW'!$T$19:$T$201,'Шаг2.Бланк заказа NEW'!$A$19:$A$201,$B27,'Шаг2.Бланк заказа NEW'!$F$19:$F$201,2)+
SUMIFS('Шаг2.Бланк заказа NEW'!$U$19:$U$201,'Шаг2.Бланк заказа NEW'!$A$19:$A$201,$B27,'Шаг2.Бланк заказа NEW'!$H$19:$H$201,2)+
SUMIFS('Шаг2.Бланк заказа NEW'!$U$19:$U$201,'Шаг2.Бланк заказа NEW'!$A$19:$A$201,$B27,'Шаг2.Бланк заказа NEW'!$I$19:$I$201,2)+
SUMIFS('Бланк OLD 2.0 04 '!$M$18:$M$200,'Бланк OLD 2.0 04 '!$A$18:$A$200,$B27))/1000,1)</f>
        <v>0</v>
      </c>
      <c r="U27" s="84">
        <f ca="1">IFERROR(IF(VLOOKUP(B27,'Шаг1.Выбор плиты'!C:Q,12,0)*1&lt;10,0,
IF(VLOOKUP(B27,'Шаг1.Выбор плиты'!C:Q,12,0)*1&lt;25,'Прайс Производственные Услуги'!$C$7,
IF(VLOOKUP(B27,'Шаг1.Выбор плиты'!C:Q,12,0)*1&gt;24,'Прайс Производственные Услуги'!$C$8,
0))),0)</f>
        <v>0</v>
      </c>
      <c r="V27" s="84">
        <f ca="1">_xlfn.CEILING.PRECISE((SUMIFS('Шаг2.Бланк заказа NEW'!$T$19:$T$201,'Шаг2.Бланк заказа NEW'!$A$19:$A$201,$B27,'Шаг2.Бланк заказа NEW'!$E$19:$E$201,0.8)+
SUMIFS('Шаг2.Бланк заказа NEW'!$T$19:$T$201,'Шаг2.Бланк заказа NEW'!$A$19:$A$201,$B27,'Шаг2.Бланк заказа NEW'!$F$19:$F$201,0.8)+
SUMIFS('Шаг2.Бланк заказа NEW'!$U$19:$U$201,'Шаг2.Бланк заказа NEW'!$A$19:$A$201,$B27,'Шаг2.Бланк заказа NEW'!$H$19:$H$201,0.8)+
SUMIFS('Шаг2.Бланк заказа NEW'!$U$19:$U$201,'Шаг2.Бланк заказа NEW'!$A$19:$A$201,$B27,'Шаг2.Бланк заказа NEW'!$I$19:$I$201,0.8)+
SUMIFS('Бланк OLD 0.8 04'!$M$18:$M$200,'Бланк OLD 0.8 04'!$A$18:$A$200,$B27))/1000,1)</f>
        <v>0</v>
      </c>
      <c r="W27" s="84">
        <f ca="1">IFERROR(IF(VLOOKUP(B27,'Шаг1.Выбор плиты'!C:Q,12,0)*1&lt;10,0,
IF(VLOOKUP(B27,'Шаг1.Выбор плиты'!C:Q,12,0)*1&lt;25,'Прайс Производственные Услуги'!$C$5,
IF(VLOOKUP(B27,'Шаг1.Выбор плиты'!C:Q,12,0)*1&gt;24,'Прайс Производственные Услуги'!$C$6,
0))),0)</f>
        <v>0</v>
      </c>
      <c r="X27" s="84">
        <f ca="1">_xlfn.CEILING.PRECISE((SUMIFS('Шаг2.Бланк заказа NEW'!$T$19:$T$201,'Шаг2.Бланк заказа NEW'!$A$19:$A$201,$B27,'Шаг2.Бланк заказа NEW'!$E$19:$E$201,0.4)+
SUMIFS('Шаг2.Бланк заказа NEW'!$T$19:$T$201,'Шаг2.Бланк заказа NEW'!$A$19:$A$201,$B27,'Шаг2.Бланк заказа NEW'!$F$19:$F$201,0.4)+
SUMIFS('Шаг2.Бланк заказа NEW'!$U$19:$U$201,'Шаг2.Бланк заказа NEW'!$A$19:$A$201,$B27,'Шаг2.Бланк заказа NEW'!$H$19:$H$201,0.4)+
SUMIFS('Шаг2.Бланк заказа NEW'!$U$19:$U$201,'Шаг2.Бланк заказа NEW'!$A$19:$A$201,$B27,'Шаг2.Бланк заказа NEW'!$I$19:$I$201,0.4)+
SUMIFS('Бланк OLD 0.8 04'!$N$18:$N$200,'Бланк OLD 0.8 04'!$A$18:$A$200,$B27)+
SUMIFS('Бланк OLD 2.0 04 '!$N$18:$N$200,'Бланк OLD 2.0 04 '!$A$18:$A$200,$B27))/1000,1)</f>
        <v>0</v>
      </c>
      <c r="Y27" s="84">
        <f ca="1">IF(OR(MID(B27,1,6)="ЛМДФ P",MID(B27,1,6)="ЛДСП P"),'Прайс Производственные Услуги'!$C$4,0)</f>
        <v>0</v>
      </c>
      <c r="Z27" s="84">
        <f ca="1">_xlfn.CEILING.PRECISE((SUMIFS('Шаг2.Бланк заказа NEW'!$T$19:$T$201,'Шаг2.Бланк заказа NEW'!$A$19:$A$201,$B27,'Шаг2.Бланк заказа NEW'!$E$19:$E$201,1)+
SUMIFS('Шаг2.Бланк заказа NEW'!$T$19:$T$201,'Шаг2.Бланк заказа NEW'!$A$19:$A$201,$B27,'Шаг2.Бланк заказа NEW'!$F$19:$F$201,1)+
SUMIFS('Шаг2.Бланк заказа NEW'!$U$19:$U$201,'Шаг2.Бланк заказа NEW'!$A$19:$A$201,$B27,'Шаг2.Бланк заказа NEW'!$H$19:$H$201,1)+
SUMIFS('Шаг2.Бланк заказа NEW'!$U$19:$U$201,'Шаг2.Бланк заказа NEW'!$A$19:$A$201,$B27,'Шаг2.Бланк заказа NEW'!$I$19:$I$201,1))/1000,1)</f>
        <v>0</v>
      </c>
      <c r="AA27" s="84">
        <f t="shared" ca="1" si="1"/>
        <v>0</v>
      </c>
      <c r="AB27" s="84">
        <f t="shared" ca="1" si="3"/>
        <v>0</v>
      </c>
      <c r="AC27" s="84" t="str">
        <f ca="1">IF(B27="","",_xlfn.CEILING.PRECISE((SUMIFS('Шаг2.Бланк заказа NEW'!$K$17:$K$201,'Шаг2.Бланк заказа NEW'!$A$17:$A$201,Шаг3.Стоимость!B27)+SUMIFS('Бланк OLD 0.8 04'!$K$18:$K$200,'Бланк OLD 0.8 04'!$A$18:$A$200,Шаг3.Стоимость!B27)+SUMIFS('Бланк OLD 2.0 04 '!$K$18:$K$200,'Бланк OLD 2.0 04 '!$A$18:$A$200,Шаг3.Стоимость!B27)),1))</f>
        <v/>
      </c>
      <c r="AD27" s="84" t="str">
        <f ca="1">IF(B27="","",_xlfn.CEILING.PRECISE((SUMIFS('Шаг2.Бланк заказа NEW'!$K$17:$K$201,'Шаг2.Бланк заказа NEW'!$A$17:$A$201,Шаг3.Стоимость!B27)+SUMIFS('Бланк OLD 0.8 04'!$K$18:$K$200,'Бланк OLD 0.8 04'!$A$18:$A$200,Шаг3.Стоимость!B27)+SUMIFS('Бланк OLD 2.0 04 '!$K$18:$K$200,'Бланк OLD 2.0 04 '!$A$18:$A$200,Шаг3.Стоимость!B27)),1)*'Прайс Производственные Услуги'!$C$15)</f>
        <v/>
      </c>
      <c r="AE27" s="85" t="str">
        <f ca="1">IFERROR(IF(OR(VLOOKUP(B27,'Шаг1.Выбор плиты'!C:D,2,0)="ЛДСП",VLOOKUP(B27,'Шаг1.Выбор плиты'!C:D,2,0)="МДФ",VLOOKUP(B27,'Шаг1.Выбор плиты'!C:D,2,0)="ДСП"),B27,""),"")</f>
        <v/>
      </c>
    </row>
    <row r="28" spans="1:31" ht="12.75" thickBot="1" x14ac:dyDescent="0.25">
      <c r="A28" s="81" t="str">
        <f ca="1">IFERROR(VLOOKUP(ROW(A28)-ROW($A$13),'Шаг1.Выбор плиты'!B:B,1,0),"")</f>
        <v/>
      </c>
      <c r="B28" s="81" t="str">
        <f ca="1">IFERROR(VLOOKUP(ROW(B28)-ROW($B$13),'Шаг1.Выбор плиты'!B:D,2,0),"")</f>
        <v/>
      </c>
      <c r="C28" s="82">
        <f ca="1">IFERROR(
(SUMIFS('Шаг2.Бланк заказа NEW'!$K$19:$K$201,'Шаг2.Бланк заказа NEW'!$A$19:$A$201,B28)+SUMIFS('Бланк OLD 0.8 04'!$K$18:$K$200,'Бланк OLD 0.8 04'!$A$18:$A$200,B28)+
SUMIFS('Бланк OLD 2.0 04 '!$K$18:$K$200,'Бланк OLD 2.0 04 '!$A$18:$A$200,B28))
*IF(VLOOKUP(B28,'Шаг1.Выбор плиты'!C:Q,12,0)*1&lt;15,1.2,1.2),0)</f>
        <v>0</v>
      </c>
      <c r="D28" s="82" t="str">
        <f ca="1">IFERROR(VLOOKUP(B28,'Шаг1.Выбор плиты'!C:Q,15,0),"")</f>
        <v/>
      </c>
      <c r="E28" s="188" t="str">
        <f ca="1">IFERROR(_xlfn.CEILING.PRECISE(C28/(VLOOKUP(B28,'Шаг1.Выбор плиты'!C:S,16,0)/1000*VLOOKUP(B28,'Шаг1.Выбор плиты'!C:S,17,0)/1000),0.01),IF(B28='Шаг1.Выбор плиты'!$C$560,$AC$29,IF(B28='Шаг1.Выбор плиты'!$C$562,$AA$29,IF(B28='Шаг1.Выбор плиты'!$C$561,$AC$29,IF(B28='Шаг1.Выбор плиты'!$C$563,$R$30,"")))))</f>
        <v/>
      </c>
      <c r="F28" s="83" t="str">
        <f ca="1">IFERROR(IF(B28='Шаг1.Выбор плиты'!$C$560,$Q$29,IF(B28='Шаг1.Выбор плиты'!$C$562,$AB$29,IF(B28='Шаг1.Выбор плиты'!$C$561,$AD$29,IF(B28='Шаг1.Выбор плиты'!$C$563,$R$29,D28*E28)))),"")</f>
        <v/>
      </c>
      <c r="G28" s="84">
        <f ca="1">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плиты'!N:N,2,'Шаг1.Выбор плиты'!M:M,SMALL(INDIRECT("мм"&amp;VLOOKUP(B28,'Шаг1.Выбор плиты'!C:Q,12,0)),1))=0,
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плиты'!N:N,2,'Шаг1.Выбор плиты'!M:M,SMALL(INDIRECT("мм"&amp;VLOOKUP(B28,'Шаг1.Выбор плиты'!C:Q,12,0)),2))=0,
SUMIFS('Шаг1.Выбор плиты'!$Q:$Q,'Шаг1.Выбор плиты'!J:J,"*"&amp;RIGHT(VLOOKUP(B28,'Шаг1.Выбор плиты'!C:Q,8,0),4),'Шаг1.Выбор плиты'!L:L,VLOOKUP(B28,'Шаг1.Выбор плиты'!C:Q,10,0),'Шаг1.Выбор плиты'!N:N,2,'Шаг1.Выбор плиты'!M:M,SMALL(INDIRECT("мм"&amp;VLOOKUP(B28,'Шаг1.Выбор плиты'!C:Q,12,0)),3)),
SUMIFS('Шаг1.Выбор плиты'!$Q:$Q,'Шаг1.Выбор плиты'!J:J,"*"&amp;RIGHT(VLOOKUP(B28,'Шаг1.Выбор плиты'!C:Q,8,0),4),'Шаг1.Выбор плиты'!L:L,VLOOKUP(B28,'Шаг1.Выбор плиты'!C:Q,10,0),'Шаг1.Выбор плиты'!N:N,2,'Шаг1.Выбор плиты'!M:M,SMALL(INDIRECT("мм"&amp;VLOOKUP(B28,'Шаг1.Выбор плиты'!C:Q,12,0)),2))),
(SUMIFS('Шаг1.Выбор плиты'!$Q:$Q,'Шаг1.Выбор плиты'!J:J,"*"&amp;RIGHT(VLOOKUP(B28,'Шаг1.Выбор плиты'!C:Q,8,0),4),'Шаг1.Выбор плиты'!L:L,VLOOKUP(B28,'Шаг1.Выбор плиты'!C:Q,10,0),'Шаг1.Выбор плиты'!N:N,2,'Шаг1.Выбор плиты'!M:M,SMALL(INDIRECT("мм"&amp;VLOOKUP(B28,'Шаг1.Выбор плиты'!C:Q,12,0)),1))))</f>
        <v>0</v>
      </c>
      <c r="H28" s="84">
        <f ca="1">_xlfn.CEILING.PRECISE((SUMIFS('Шаг2.Бланк заказа NEW'!$T$19:$T$201,'Шаг2.Бланк заказа NEW'!$A$19:$A$201,$B28,'Шаг2.Бланк заказа NEW'!$E$19:$E$201,2)+
SUMIFS('Шаг2.Бланк заказа NEW'!$T$19:$T$201,'Шаг2.Бланк заказа NEW'!$A$19:$A$201,$B28,'Шаг2.Бланк заказа NEW'!$F$19:$F$201,2)+
SUMIFS('Шаг2.Бланк заказа NEW'!$U$19:$U$201,'Шаг2.Бланк заказа NEW'!$A$19:$A$201,$B28,'Шаг2.Бланк заказа NEW'!$H$19:$H$201,2)+
SUMIFS('Шаг2.Бланк заказа NEW'!$U$19:$U$201,'Шаг2.Бланк заказа NEW'!$A$19:$A$201,$B28,'Шаг2.Бланк заказа NEW'!$I$19:$I$201,2)+
SUMIFS('Бланк OLD 2.0 04 '!$M$18:$M$200,'Бланк OLD 2.0 04 '!$A$18:$A$200,$B28))/1000*1.2,5)</f>
        <v>0</v>
      </c>
      <c r="I28" s="84">
        <f ca="1">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плиты'!N:N,0.8,'Шаг1.Выбор плиты'!M:M,SMALL(INDIRECT("мм"&amp;VLOOKUP(B28,'Шаг1.Выбор плиты'!C:Q,12,0)),1))=0,
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плиты'!N:N,0.8,'Шаг1.Выбор плиты'!M:M,SMALL(INDIRECT("мм"&amp;VLOOKUP(B28,'Шаг1.Выбор плиты'!C:Q,12,0)),2))=0,
SUMIFS('Шаг1.Выбор плиты'!$Q:$Q,'Шаг1.Выбор плиты'!J:J,"*"&amp;RIGHT(VLOOKUP(B28,'Шаг1.Выбор плиты'!C:Q,8,0),4),'Шаг1.Выбор плиты'!L:L,VLOOKUP(B28,'Шаг1.Выбор плиты'!C:Q,10,0),'Шаг1.Выбор плиты'!N:N,0.8,'Шаг1.Выбор плиты'!M:M,SMALL(INDIRECT("мм"&amp;VLOOKUP(B28,'Шаг1.Выбор плиты'!C:Q,12,0)),3)),
SUMIFS('Шаг1.Выбор плиты'!$Q:$Q,'Шаг1.Выбор плиты'!J:J,"*"&amp;RIGHT(VLOOKUP(B28,'Шаг1.Выбор плиты'!C:Q,8,0),4),'Шаг1.Выбор плиты'!L:L,VLOOKUP(B28,'Шаг1.Выбор плиты'!C:Q,10,0),'Шаг1.Выбор плиты'!N:N,0.8,'Шаг1.Выбор плиты'!M:M,SMALL(INDIRECT("мм"&amp;VLOOKUP(B28,'Шаг1.Выбор плиты'!C:Q,12,0)),2))),
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плиты'!N:N,0.8,'Шаг1.Выбор плиты'!M:M,SMALL(INDIRECT("мм"&amp;VLOOKUP(B28,'Шаг1.Выбор плиты'!C:Q,12,0)),1))))</f>
        <v>0</v>
      </c>
      <c r="J28" s="84">
        <f ca="1">_xlfn.CEILING.PRECISE((SUMIFS('Шаг2.Бланк заказа NEW'!$T$19:$T$201,'Шаг2.Бланк заказа NEW'!$A$19:$A$201,$B28,'Шаг2.Бланк заказа NEW'!$E$19:$E$201,0.8)+
SUMIFS('Шаг2.Бланк заказа NEW'!$T$19:$T$201,'Шаг2.Бланк заказа NEW'!$A$19:$A$201,$B28,'Шаг2.Бланк заказа NEW'!$F$19:$F$201,0.8)+
SUMIFS('Шаг2.Бланк заказа NEW'!$U$19:$U$201,'Шаг2.Бланк заказа NEW'!$A$19:$A$201,$B28,'Шаг2.Бланк заказа NEW'!$H$19:$H$201,0.8)+
SUMIFS('Шаг2.Бланк заказа NEW'!$U$19:$U$201,'Шаг2.Бланк заказа NEW'!$A$19:$A$201,$B28,'Шаг2.Бланк заказа NEW'!$I$19:$I$201,0.8)+
SUMIFS('Бланк OLD 0.8 04'!$M$18:$M$200,'Бланк OLD 0.8 04'!$A$18:$A$200,$B28))/1000*1.2,5)</f>
        <v>0</v>
      </c>
      <c r="K28" s="84">
        <f ca="1">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плиты'!N:N,0.4,'Шаг1.Выбор плиты'!M:M,SMALL(INDIRECT("мм"&amp;VLOOKUP(B28,'Шаг1.Выбор плиты'!C:Q,12,0)),1))=0,
IF(SUMIFS('Шаг1.Выбор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плиты'!N:N,0.4,'Шаг1.Выбор плиты'!M:M,SMALL(INDIRECT("мм"&amp;VLOOKUP(B28,'Шаг1.Выбор плиты'!C:Q,12,0)),2))=0,
SUMIFS('Шаг1.Выбор плиты'!$Q:$Q,'Шаг1.Выбор плиты'!J:J,"*"&amp;RIGHT(VLOOKUP(B28,'Шаг1.Выбор плиты'!C:Q,8,0),4),'Шаг1.Выбор плиты'!L:L,VLOOKUP(B28,'Шаг1.Выбор плиты'!C:Q,10,0),'Шаг1.Выбор плиты'!N:N,0.4,'Шаг1.Выбор плиты'!M:M,SMALL(INDIRECT("мм"&amp;VLOOKUP(B28,'Шаг1.Выбор плиты'!C:Q,12,0)),3)),
SUMIFS('Шаг1.Выбор плиты'!$Q:$Q,'Шаг1.Выбор плиты'!J:J,"*"&amp;RIGHT(VLOOKUP(B28,'Шаг1.Выбор плиты'!C:Q,8,0),4),'Шаг1.Выбор плиты'!L:L,VLOOKUP(B28,'Шаг1.Выбор плиты'!C:Q,10,0),'Шаг1.Выбор плиты'!N:N,0.4,'Шаг1.Выбор плиты'!M:M,SMALL(INDIRECT("мм"&amp;VLOOKUP(B28,'Шаг1.Выбор плиты'!C:Q,12,0)),2))),
(SUMIFS('Шаг1.Выбор плиты'!$Q:$Q,'Шаг1.Выбор плиты'!J:J,"*"&amp;RIGHT(VLOOKUP(B28,'Шаг1.Выбор плиты'!C:Q,8,0),4),'Шаг1.Выбор плиты'!L:L,VLOOKUP(B28,'Шаг1.Выбор плиты'!C:Q,10,0),'Шаг1.Выбор плиты'!N:N,0.4,'Шаг1.Выбор плиты'!M:M,SMALL(INDIRECT("мм"&amp;VLOOKUP(B28,'Шаг1.Выбор плиты'!C:Q,12,0)),1))))</f>
        <v>0</v>
      </c>
      <c r="L28" s="84">
        <f ca="1">_xlfn.CEILING.PRECISE((SUMIFS('Шаг2.Бланк заказа NEW'!$T$19:$T$201,'Шаг2.Бланк заказа NEW'!$A$19:$A$201,$B28,'Шаг2.Бланк заказа NEW'!$E$19:$E$201,0.4)+
SUMIFS('Шаг2.Бланк заказа NEW'!$T$19:$T$201,'Шаг2.Бланк заказа NEW'!$A$19:$A$201,$B28,'Шаг2.Бланк заказа NEW'!$F$19:$F$201,0.4)+
SUMIFS('Шаг2.Бланк заказа NEW'!$U$19:$U$201,'Шаг2.Бланк заказа NEW'!$A$19:$A$201,$B28,'Шаг2.Бланк заказа NEW'!$H$19:$H$201,0.4)+
SUMIFS('Шаг2.Бланк заказа NEW'!$U$19:$U$201,'Шаг2.Бланк заказа NEW'!$A$19:$A$201,$B28,'Шаг2.Бланк заказа NEW'!$I$19:$I$201,0.4)+
SUMIFS('Бланк OLD 0.8 04'!$N$18:$N$200,'Бланк OLD 0.8 04'!$A$18:$A$200,$B28)+
SUMIFS('Бланк OLD 2.0 04 '!$N$18:$N$200,'Бланк OLD 2.0 04 '!$A$18:$A$200,$B28))/1000*1.2,5)</f>
        <v>0</v>
      </c>
      <c r="M28" s="84">
        <f ca="1">SUMIFS('Шаг1.Выбор плиты'!$Q:$Q,'Шаг1.Выбор плиты'!J:J,VLOOKUP(B28,'Шаг1.Выбор плиты'!C:Q,8,0),'Шаг1.Выбор плиты'!L:L,IF(MID(B28,1,6)="ЛДСП P","TM"&amp;MID(VLOOKUP(B28,'Шаг1.Выбор плиты'!C:Q,10,0),3,2),MID(VLOOKUP(B28,'Шаг1.Выбор плиты'!C:Q,10,0),1,2)),
'Шаг1.Выбор плиты'!N:N,1)</f>
        <v>0</v>
      </c>
      <c r="N28" s="84">
        <f ca="1">_xlfn.CEILING.PRECISE((SUMIFS('Шаг2.Бланк заказа NEW'!$T$19:$T$201,'Шаг2.Бланк заказа NEW'!$A$19:$A$201,$B28,'Шаг2.Бланк заказа NEW'!$E$19:$E$201,1)+
SUMIFS('Шаг2.Бланк заказа NEW'!$T$19:$T$201,'Шаг2.Бланк заказа NEW'!$A$19:$A$201,$B28,'Шаг2.Бланк заказа NEW'!$F$19:$F$201,1)+
SUMIFS('Шаг2.Бланк заказа NEW'!$U$19:$U$201,'Шаг2.Бланк заказа NEW'!$A$19:$A$201,$B28,'Шаг2.Бланк заказа NEW'!$H$19:$H$201,1)+
SUMIFS('Шаг2.Бланк заказа NEW'!$U$19:$U$201,'Шаг2.Бланк заказа NEW'!$A$19:$A$201,$B28,'Шаг2.Бланк заказа NEW'!$I$19:$I$201,1))/1000*1.2,5)</f>
        <v>0</v>
      </c>
      <c r="O28" s="85">
        <f t="shared" ca="1" si="0"/>
        <v>0</v>
      </c>
      <c r="P28" s="86">
        <f t="shared" ca="1" si="2"/>
        <v>0</v>
      </c>
      <c r="Q28" s="103">
        <f ca="1">ROUND(SUMIFS('Шаг2.Бланк заказа NEW'!$V$19:$V$201,'Шаг2.Бланк заказа NEW'!$A$19:$A$201,B28)+
SUMIFS('Бланк OLD 0.8 04'!$O$18:$O$200,'Бланк OLD 0.8 04'!$A$18:$A$200,B28)+
SUMIFS('Бланк OLD 2.0 04 '!$O$18:$O$200,'Бланк OLD 2.0 04 '!$A$18:$A$200,B28),0)</f>
        <v>0</v>
      </c>
      <c r="R28" s="103">
        <f ca="1">ROUND(SUMIFS('Шаг2.Бланк заказа NEW'!$W$19:$W$201,'Шаг2.Бланк заказа NEW'!$A$19:$A$201,B28),0)</f>
        <v>0</v>
      </c>
      <c r="S28" s="84">
        <f ca="1">IFERROR(IF(VLOOKUP(B28,'Шаг1.Выбор плиты'!C:Q,12,0)*1&lt;10,0,
IF(VLOOKUP(B28,'Шаг1.Выбор плиты'!C:Q,12,0)*1&lt;25,'Прайс Производственные Услуги'!$C$9,
IF(VLOOKUP(B28,'Шаг1.Выбор плиты'!C:Q,12,0)*1=25,'Прайс Производственные Услуги'!$C$10,
IF(VLOOKUP(B28,'Шаг1.Выбор плиты'!C:Q,12,0)*1&gt;25,'Прайс Производственные Услуги'!$C$11,
0)))),0)</f>
        <v>0</v>
      </c>
      <c r="T28" s="84">
        <f ca="1">_xlfn.CEILING.PRECISE((SUMIFS('Шаг2.Бланк заказа NEW'!$T$19:$T$201,'Шаг2.Бланк заказа NEW'!$A$19:$A$201,$B28,'Шаг2.Бланк заказа NEW'!$E$19:$E$201,2)+
SUMIFS('Шаг2.Бланк заказа NEW'!$T$19:$T$201,'Шаг2.Бланк заказа NEW'!$A$19:$A$201,$B28,'Шаг2.Бланк заказа NEW'!$F$19:$F$201,2)+
SUMIFS('Шаг2.Бланк заказа NEW'!$U$19:$U$201,'Шаг2.Бланк заказа NEW'!$A$19:$A$201,$B28,'Шаг2.Бланк заказа NEW'!$H$19:$H$201,2)+
SUMIFS('Шаг2.Бланк заказа NEW'!$U$19:$U$201,'Шаг2.Бланк заказа NEW'!$A$19:$A$201,$B28,'Шаг2.Бланк заказа NEW'!$I$19:$I$201,2)+
SUMIFS('Бланк OLD 2.0 04 '!$M$18:$M$200,'Бланк OLD 2.0 04 '!$A$18:$A$200,$B28))/1000,1)</f>
        <v>0</v>
      </c>
      <c r="U28" s="84">
        <f ca="1">IFERROR(IF(VLOOKUP(B28,'Шаг1.Выбор плиты'!C:Q,12,0)*1&lt;10,0,
IF(VLOOKUP(B28,'Шаг1.Выбор плиты'!C:Q,12,0)*1&lt;25,'Прайс Производственные Услуги'!$C$7,
IF(VLOOKUP(B28,'Шаг1.Выбор плиты'!C:Q,12,0)*1&gt;24,'Прайс Производственные Услуги'!$C$8,
0))),0)</f>
        <v>0</v>
      </c>
      <c r="V28" s="84">
        <f ca="1">_xlfn.CEILING.PRECISE((SUMIFS('Шаг2.Бланк заказа NEW'!$T$19:$T$201,'Шаг2.Бланк заказа NEW'!$A$19:$A$201,$B28,'Шаг2.Бланк заказа NEW'!$E$19:$E$201,0.8)+
SUMIFS('Шаг2.Бланк заказа NEW'!$T$19:$T$201,'Шаг2.Бланк заказа NEW'!$A$19:$A$201,$B28,'Шаг2.Бланк заказа NEW'!$F$19:$F$201,0.8)+
SUMIFS('Шаг2.Бланк заказа NEW'!$U$19:$U$201,'Шаг2.Бланк заказа NEW'!$A$19:$A$201,$B28,'Шаг2.Бланк заказа NEW'!$H$19:$H$201,0.8)+
SUMIFS('Шаг2.Бланк заказа NEW'!$U$19:$U$201,'Шаг2.Бланк заказа NEW'!$A$19:$A$201,$B28,'Шаг2.Бланк заказа NEW'!$I$19:$I$201,0.8)+
SUMIFS('Бланк OLD 0.8 04'!$M$18:$M$200,'Бланк OLD 0.8 04'!$A$18:$A$200,$B28))/1000,1)</f>
        <v>0</v>
      </c>
      <c r="W28" s="84">
        <f ca="1">IFERROR(IF(VLOOKUP(B28,'Шаг1.Выбор плиты'!C:Q,12,0)*1&lt;10,0,
IF(VLOOKUP(B28,'Шаг1.Выбор плиты'!C:Q,12,0)*1&lt;25,'Прайс Производственные Услуги'!$C$5,
IF(VLOOKUP(B28,'Шаг1.Выбор плиты'!C:Q,12,0)*1&gt;24,'Прайс Производственные Услуги'!$C$6,
0))),0)</f>
        <v>0</v>
      </c>
      <c r="X28" s="84">
        <f ca="1">_xlfn.CEILING.PRECISE((SUMIFS('Шаг2.Бланк заказа NEW'!$T$19:$T$201,'Шаг2.Бланк заказа NEW'!$A$19:$A$201,$B28,'Шаг2.Бланк заказа NEW'!$E$19:$E$201,0.4)+
SUMIFS('Шаг2.Бланк заказа NEW'!$T$19:$T$201,'Шаг2.Бланк заказа NEW'!$A$19:$A$201,$B28,'Шаг2.Бланк заказа NEW'!$F$19:$F$201,0.4)+
SUMIFS('Шаг2.Бланк заказа NEW'!$U$19:$U$201,'Шаг2.Бланк заказа NEW'!$A$19:$A$201,$B28,'Шаг2.Бланк заказа NEW'!$H$19:$H$201,0.4)+
SUMIFS('Шаг2.Бланк заказа NEW'!$U$19:$U$201,'Шаг2.Бланк заказа NEW'!$A$19:$A$201,$B28,'Шаг2.Бланк заказа NEW'!$I$19:$I$201,0.4)+
SUMIFS('Бланк OLD 0.8 04'!$N$18:$N$200,'Бланк OLD 0.8 04'!$A$18:$A$200,$B28)+
SUMIFS('Бланк OLD 2.0 04 '!$N$18:$N$200,'Бланк OLD 2.0 04 '!$A$18:$A$200,$B28))/1000,1)</f>
        <v>0</v>
      </c>
      <c r="Y28" s="84">
        <f ca="1">IF(OR(MID(B28,1,6)="ЛМДФ P",MID(B28,1,6)="ЛДСП P"),'Прайс Производственные Услуги'!$C$4,0)</f>
        <v>0</v>
      </c>
      <c r="Z28" s="84">
        <f ca="1">_xlfn.CEILING.PRECISE((SUMIFS('Шаг2.Бланк заказа NEW'!$T$19:$T$201,'Шаг2.Бланк заказа NEW'!$A$19:$A$201,$B28,'Шаг2.Бланк заказа NEW'!$E$19:$E$201,1)+
SUMIFS('Шаг2.Бланк заказа NEW'!$T$19:$T$201,'Шаг2.Бланк заказа NEW'!$A$19:$A$201,$B28,'Шаг2.Бланк заказа NEW'!$F$19:$F$201,1)+
SUMIFS('Шаг2.Бланк заказа NEW'!$U$19:$U$201,'Шаг2.Бланк заказа NEW'!$A$19:$A$201,$B28,'Шаг2.Бланк заказа NEW'!$H$19:$H$201,1)+
SUMIFS('Шаг2.Бланк заказа NEW'!$U$19:$U$201,'Шаг2.Бланк заказа NEW'!$A$19:$A$201,$B28,'Шаг2.Бланк заказа NEW'!$I$19:$I$201,1))/1000,1)</f>
        <v>0</v>
      </c>
      <c r="AA28" s="84">
        <f t="shared" ca="1" si="1"/>
        <v>0</v>
      </c>
      <c r="AB28" s="84">
        <f t="shared" ca="1" si="3"/>
        <v>0</v>
      </c>
      <c r="AC28" s="84" t="str">
        <f ca="1">IF(B28="","",_xlfn.CEILING.PRECISE((SUMIFS('Шаг2.Бланк заказа NEW'!$K$17:$K$201,'Шаг2.Бланк заказа NEW'!$A$17:$A$201,Шаг3.Стоимость!B28)+SUMIFS('Бланк OLD 0.8 04'!$K$18:$K$200,'Бланк OLD 0.8 04'!$A$18:$A$200,Шаг3.Стоимость!B28)+SUMIFS('Бланк OLD 2.0 04 '!$K$18:$K$200,'Бланк OLD 2.0 04 '!$A$18:$A$200,Шаг3.Стоимость!B28)),1))</f>
        <v/>
      </c>
      <c r="AD28" s="84" t="str">
        <f ca="1">IF(B28="","",_xlfn.CEILING.PRECISE((SUMIFS('Шаг2.Бланк заказа NEW'!$K$17:$K$201,'Шаг2.Бланк заказа NEW'!$A$17:$A$201,Шаг3.Стоимость!B28)+SUMIFS('Бланк OLD 0.8 04'!$K$18:$K$200,'Бланк OLD 0.8 04'!$A$18:$A$200,Шаг3.Стоимость!B28)+SUMIFS('Бланк OLD 2.0 04 '!$K$18:$K$200,'Бланк OLD 2.0 04 '!$A$18:$A$200,Шаг3.Стоимость!B28)),1)*'Прайс Производственные Услуги'!$C$15)</f>
        <v/>
      </c>
      <c r="AE28" s="85" t="str">
        <f ca="1">IFERROR(IF(OR(VLOOKUP(B28,'Шаг1.Выбор плиты'!C:D,2,0)="ЛДСП",VLOOKUP(B28,'Шаг1.Выбор плиты'!C:D,2,0)="МДФ",VLOOKUP(B28,'Шаг1.Выбор плиты'!C:D,2,0)="ДСП"),B28,""),"")</f>
        <v/>
      </c>
    </row>
    <row r="29" spans="1:31" ht="12.75" x14ac:dyDescent="0.2">
      <c r="A29" s="9"/>
      <c r="B29" s="9" t="s">
        <v>1990</v>
      </c>
      <c r="C29" s="9"/>
      <c r="D29" s="9"/>
      <c r="E29" s="58"/>
      <c r="F29" s="58">
        <f ca="1">SUM(F14:F28)</f>
        <v>0</v>
      </c>
      <c r="G29" s="58"/>
      <c r="H29" s="58"/>
      <c r="I29" s="58"/>
      <c r="J29" s="58"/>
      <c r="K29" s="58"/>
      <c r="L29" s="58"/>
      <c r="M29" s="58"/>
      <c r="N29" s="58"/>
      <c r="O29" s="58"/>
      <c r="P29" s="58">
        <f ca="1">SUM(P14:P28)</f>
        <v>0</v>
      </c>
      <c r="Q29" s="58">
        <f ca="1">SUM(Q14:Q28)</f>
        <v>0</v>
      </c>
      <c r="R29" s="58">
        <f ca="1">SUM(R14:R28)</f>
        <v>0</v>
      </c>
      <c r="S29" s="58"/>
      <c r="T29" s="58"/>
      <c r="U29" s="58"/>
      <c r="V29" s="58"/>
      <c r="W29" s="58"/>
      <c r="X29" s="58"/>
      <c r="Y29" s="58"/>
      <c r="Z29" s="58"/>
      <c r="AA29" s="58">
        <f ca="1">SUM(AA14:AA28)</f>
        <v>0</v>
      </c>
      <c r="AB29" s="58">
        <f ca="1">SUM(AB14:AB28)</f>
        <v>0</v>
      </c>
      <c r="AC29" s="58">
        <f ca="1">SUM(AC14:AC28)</f>
        <v>0</v>
      </c>
      <c r="AD29" s="58">
        <f ca="1">SUM(AD14:AD28)</f>
        <v>0</v>
      </c>
      <c r="AE29" s="58"/>
    </row>
    <row r="30" spans="1:31" s="24" customFormat="1" ht="23.25" thickBot="1" x14ac:dyDescent="0.25">
      <c r="B30" s="87"/>
      <c r="C30" s="87"/>
      <c r="D30" s="87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R30" s="190">
        <f>ROUND(SUMIFS('Шаг2.Бланк заказа NEW'!$K$19:$K$201,'Шаг2.Бланк заказа NEW'!$W$19:$W$201,"&gt;0"),2)</f>
        <v>0</v>
      </c>
      <c r="S30" s="189" t="s">
        <v>2112</v>
      </c>
    </row>
    <row r="31" spans="1:31" ht="12.75" x14ac:dyDescent="0.2">
      <c r="A31" s="59"/>
      <c r="B31" s="59"/>
      <c r="E31" s="59" t="s">
        <v>1991</v>
      </c>
      <c r="F31" s="58">
        <f ca="1">SUM(F29,P29)</f>
        <v>0</v>
      </c>
      <c r="G31" s="98" t="e">
        <f ca="1">LOOKUP("Уточните цену у менеджера",P14:P28)</f>
        <v>#N/A</v>
      </c>
    </row>
    <row r="33" spans="2:6" ht="11.25" customHeight="1" x14ac:dyDescent="0.2">
      <c r="B33" s="312" t="s">
        <v>2146</v>
      </c>
      <c r="C33" s="312"/>
      <c r="D33" s="312"/>
      <c r="E33" s="312"/>
      <c r="F33" s="312"/>
    </row>
    <row r="34" spans="2:6" x14ac:dyDescent="0.2">
      <c r="B34" s="312"/>
      <c r="C34" s="312"/>
      <c r="D34" s="312"/>
      <c r="E34" s="312"/>
      <c r="F34" s="312"/>
    </row>
    <row r="35" spans="2:6" x14ac:dyDescent="0.2">
      <c r="B35" s="313" t="s">
        <v>2147</v>
      </c>
      <c r="C35" s="313"/>
      <c r="D35" s="313"/>
      <c r="E35" s="313"/>
      <c r="F35" s="313"/>
    </row>
    <row r="36" spans="2:6" x14ac:dyDescent="0.2">
      <c r="B36" s="313"/>
      <c r="C36" s="313"/>
      <c r="D36" s="313"/>
      <c r="E36" s="313"/>
      <c r="F36" s="313"/>
    </row>
    <row r="37" spans="2:6" x14ac:dyDescent="0.2">
      <c r="B37" s="27"/>
      <c r="C37" s="27"/>
      <c r="D37" s="27"/>
      <c r="E37" s="27"/>
    </row>
    <row r="38" spans="2:6" x14ac:dyDescent="0.2">
      <c r="B38" s="27"/>
      <c r="C38" s="27"/>
      <c r="D38" s="27"/>
      <c r="E38" s="27"/>
    </row>
    <row r="39" spans="2:6" x14ac:dyDescent="0.2">
      <c r="B39" s="27"/>
      <c r="C39" s="27"/>
      <c r="D39" s="27"/>
      <c r="E39" s="27"/>
    </row>
    <row r="40" spans="2:6" x14ac:dyDescent="0.2">
      <c r="B40" s="27"/>
      <c r="C40" s="27"/>
      <c r="D40" s="27"/>
      <c r="E40" s="27"/>
    </row>
    <row r="41" spans="2:6" x14ac:dyDescent="0.2">
      <c r="B41" s="27"/>
      <c r="C41" s="27"/>
      <c r="D41" s="27"/>
      <c r="E41" s="27"/>
    </row>
  </sheetData>
  <sheetProtection password="8E28" sheet="1" objects="1" scenarios="1"/>
  <mergeCells count="3">
    <mergeCell ref="A7:E9"/>
    <mergeCell ref="B33:F34"/>
    <mergeCell ref="B35:F36"/>
  </mergeCells>
  <conditionalFormatting sqref="A14:AC28">
    <cfRule type="cellIs" dxfId="10" priority="4" operator="equal">
      <formula>0</formula>
    </cfRule>
  </conditionalFormatting>
  <conditionalFormatting sqref="P14:P28">
    <cfRule type="containsText" dxfId="9" priority="3" operator="containsText" text="Уточните цену у менеджера">
      <formula>NOT(ISERROR(SEARCH("Уточните цену у менеджера",P14)))</formula>
    </cfRule>
  </conditionalFormatting>
  <conditionalFormatting sqref="AD14:AD28">
    <cfRule type="cellIs" dxfId="8" priority="2" operator="equal">
      <formula>0</formula>
    </cfRule>
  </conditionalFormatting>
  <conditionalFormatting sqref="AE14:AE28">
    <cfRule type="cellIs" dxfId="7" priority="1" operator="equal">
      <formula>0</formula>
    </cfRule>
  </conditionalFormatting>
  <hyperlinks>
    <hyperlink ref="A7" location="'Шаг2.Бланк заказа'!A1" display="Перейти к Бланку Заказа"/>
    <hyperlink ref="A7:E9" location="'Шаг2.Бланк заказа NEW'!A1" display="Вернуться к Бланку Заказа"/>
  </hyperlinks>
  <pageMargins left="0.7" right="0.7" top="0.75" bottom="0.75" header="0.3" footer="0.3"/>
  <pageSetup paperSize="9" scale="94" orientation="portrait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 tint="-4.9989318521683403E-2"/>
  </sheetPr>
  <dimension ref="A1:C15"/>
  <sheetViews>
    <sheetView workbookViewId="0">
      <selection activeCell="G10" sqref="G10"/>
    </sheetView>
  </sheetViews>
  <sheetFormatPr defaultRowHeight="11.25" x14ac:dyDescent="0.2"/>
  <cols>
    <col min="1" max="1" width="50.83203125" style="25" customWidth="1"/>
    <col min="2" max="2" width="33.6640625" style="25" customWidth="1"/>
    <col min="3" max="16384" width="9.33203125" style="25"/>
  </cols>
  <sheetData>
    <row r="1" spans="1:3" ht="12.75" x14ac:dyDescent="0.2">
      <c r="A1" s="60" t="s">
        <v>1937</v>
      </c>
      <c r="B1" s="60" t="s">
        <v>1926</v>
      </c>
      <c r="C1" s="61" t="s">
        <v>0</v>
      </c>
    </row>
    <row r="2" spans="1:3" ht="15" x14ac:dyDescent="0.2">
      <c r="A2" s="62" t="s">
        <v>2025</v>
      </c>
      <c r="B2" s="63"/>
      <c r="C2" s="64"/>
    </row>
    <row r="3" spans="1:3" ht="12.75" x14ac:dyDescent="0.2">
      <c r="A3" s="62" t="s">
        <v>1928</v>
      </c>
      <c r="B3" s="63"/>
      <c r="C3" s="64"/>
    </row>
    <row r="4" spans="1:3" x14ac:dyDescent="0.2">
      <c r="A4" s="65" t="s">
        <v>1929</v>
      </c>
      <c r="B4" s="65" t="s">
        <v>1927</v>
      </c>
      <c r="C4" s="66">
        <v>184</v>
      </c>
    </row>
    <row r="5" spans="1:3" x14ac:dyDescent="0.2">
      <c r="A5" s="65" t="s">
        <v>1930</v>
      </c>
      <c r="B5" s="65" t="s">
        <v>1927</v>
      </c>
      <c r="C5" s="66">
        <v>92</v>
      </c>
    </row>
    <row r="6" spans="1:3" x14ac:dyDescent="0.2">
      <c r="A6" s="65" t="s">
        <v>1931</v>
      </c>
      <c r="B6" s="65" t="s">
        <v>1927</v>
      </c>
      <c r="C6" s="66">
        <v>110</v>
      </c>
    </row>
    <row r="7" spans="1:3" x14ac:dyDescent="0.2">
      <c r="A7" s="65" t="s">
        <v>1932</v>
      </c>
      <c r="B7" s="65" t="s">
        <v>1927</v>
      </c>
      <c r="C7" s="66">
        <v>102</v>
      </c>
    </row>
    <row r="8" spans="1:3" x14ac:dyDescent="0.2">
      <c r="A8" s="65" t="s">
        <v>1933</v>
      </c>
      <c r="B8" s="65" t="s">
        <v>1927</v>
      </c>
      <c r="C8" s="231">
        <v>116</v>
      </c>
    </row>
    <row r="9" spans="1:3" x14ac:dyDescent="0.2">
      <c r="A9" s="65" t="s">
        <v>1934</v>
      </c>
      <c r="B9" s="65" t="s">
        <v>1927</v>
      </c>
      <c r="C9" s="231">
        <v>110</v>
      </c>
    </row>
    <row r="10" spans="1:3" x14ac:dyDescent="0.2">
      <c r="A10" s="65" t="s">
        <v>1935</v>
      </c>
      <c r="B10" s="65" t="s">
        <v>1927</v>
      </c>
      <c r="C10" s="231">
        <v>126</v>
      </c>
    </row>
    <row r="11" spans="1:3" x14ac:dyDescent="0.2">
      <c r="A11" s="65" t="s">
        <v>1936</v>
      </c>
      <c r="B11" s="65" t="s">
        <v>1927</v>
      </c>
      <c r="C11" s="231">
        <v>184</v>
      </c>
    </row>
    <row r="12" spans="1:3" ht="12.75" x14ac:dyDescent="0.2">
      <c r="A12" s="62" t="s">
        <v>2026</v>
      </c>
      <c r="B12" s="63"/>
      <c r="C12" s="64"/>
    </row>
    <row r="13" spans="1:3" ht="12.75" x14ac:dyDescent="0.2">
      <c r="A13" s="62" t="s">
        <v>2027</v>
      </c>
      <c r="B13" s="63"/>
      <c r="C13" s="64"/>
    </row>
    <row r="14" spans="1:3" ht="12.75" x14ac:dyDescent="0.2">
      <c r="A14" s="62" t="s">
        <v>2000</v>
      </c>
      <c r="B14" s="63"/>
      <c r="C14" s="64"/>
    </row>
    <row r="15" spans="1:3" x14ac:dyDescent="0.2">
      <c r="A15" s="88" t="s">
        <v>1998</v>
      </c>
      <c r="B15" s="89" t="s">
        <v>1999</v>
      </c>
      <c r="C15" s="90">
        <v>240</v>
      </c>
    </row>
  </sheetData>
  <sheetProtection password="8E28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0" tint="-4.9989318521683403E-2"/>
    <outlinePr summaryBelow="0" summaryRight="0"/>
    <pageSetUpPr autoPageBreaks="0" fitToPage="1"/>
  </sheetPr>
  <dimension ref="A1:T169"/>
  <sheetViews>
    <sheetView showGridLines="0" workbookViewId="0">
      <pane ySplit="4" topLeftCell="A5" activePane="bottomLeft" state="frozen"/>
      <selection pane="bottomLeft" activeCell="B25" sqref="B25"/>
    </sheetView>
  </sheetViews>
  <sheetFormatPr defaultColWidth="10.5" defaultRowHeight="11.45" customHeight="1" x14ac:dyDescent="0.2"/>
  <cols>
    <col min="1" max="1" width="19.6640625" style="74" bestFit="1" customWidth="1"/>
    <col min="2" max="2" width="56" style="74" bestFit="1" customWidth="1"/>
    <col min="3" max="3" width="10.83203125" style="74" bestFit="1" customWidth="1"/>
    <col min="4" max="5" width="5.6640625" style="74" bestFit="1" customWidth="1"/>
    <col min="6" max="6" width="5.6640625" style="74" customWidth="1"/>
    <col min="7" max="8" width="5.6640625" style="74" bestFit="1" customWidth="1"/>
    <col min="9" max="13" width="6.6640625" style="74" bestFit="1" customWidth="1"/>
    <col min="14" max="20" width="6.6640625" style="73" bestFit="1" customWidth="1"/>
    <col min="21" max="16384" width="10.5" style="73"/>
  </cols>
  <sheetData>
    <row r="1" spans="1:20" ht="39.950000000000003" customHeight="1" x14ac:dyDescent="0.2">
      <c r="A1" s="219" t="s">
        <v>2</v>
      </c>
      <c r="B1" s="219" t="s">
        <v>1993</v>
      </c>
      <c r="C1" s="219" t="s">
        <v>4</v>
      </c>
      <c r="D1" s="220" t="s">
        <v>1372</v>
      </c>
      <c r="E1" s="221" t="s">
        <v>1372</v>
      </c>
      <c r="F1" s="220" t="s">
        <v>1372</v>
      </c>
      <c r="G1" s="220" t="s">
        <v>1372</v>
      </c>
      <c r="H1" s="221" t="s">
        <v>1372</v>
      </c>
      <c r="I1" s="220" t="s">
        <v>241</v>
      </c>
      <c r="J1" s="220" t="s">
        <v>241</v>
      </c>
      <c r="K1" s="221" t="s">
        <v>241</v>
      </c>
      <c r="L1" s="220" t="s">
        <v>241</v>
      </c>
      <c r="M1" s="221" t="s">
        <v>241</v>
      </c>
      <c r="N1" s="221" t="s">
        <v>241</v>
      </c>
      <c r="O1" s="220" t="s">
        <v>241</v>
      </c>
      <c r="P1" s="220" t="s">
        <v>241</v>
      </c>
      <c r="Q1" s="221" t="s">
        <v>241</v>
      </c>
      <c r="R1" s="220" t="s">
        <v>241</v>
      </c>
      <c r="S1" s="220" t="s">
        <v>241</v>
      </c>
      <c r="T1" s="220" t="s">
        <v>241</v>
      </c>
    </row>
    <row r="2" spans="1:20" ht="53.1" customHeight="1" x14ac:dyDescent="0.2">
      <c r="A2" s="222"/>
      <c r="B2" s="222"/>
      <c r="C2" s="222"/>
      <c r="D2" s="223" t="s">
        <v>238</v>
      </c>
      <c r="E2" s="224" t="s">
        <v>238</v>
      </c>
      <c r="F2" s="223" t="s">
        <v>238</v>
      </c>
      <c r="G2" s="223" t="s">
        <v>238</v>
      </c>
      <c r="H2" s="224" t="s">
        <v>238</v>
      </c>
      <c r="I2" s="223" t="s">
        <v>252</v>
      </c>
      <c r="J2" s="223" t="s">
        <v>252</v>
      </c>
      <c r="K2" s="224" t="s">
        <v>252</v>
      </c>
      <c r="L2" s="223" t="s">
        <v>244</v>
      </c>
      <c r="M2" s="224" t="s">
        <v>244</v>
      </c>
      <c r="N2" s="224" t="s">
        <v>244</v>
      </c>
      <c r="O2" s="223" t="s">
        <v>264</v>
      </c>
      <c r="P2" s="223" t="s">
        <v>264</v>
      </c>
      <c r="Q2" s="224" t="s">
        <v>264</v>
      </c>
      <c r="R2" s="223" t="s">
        <v>270</v>
      </c>
      <c r="S2" s="223" t="s">
        <v>270</v>
      </c>
      <c r="T2" s="223" t="s">
        <v>282</v>
      </c>
    </row>
    <row r="3" spans="1:20" ht="18.95" customHeight="1" x14ac:dyDescent="0.2">
      <c r="A3" s="222"/>
      <c r="B3" s="222"/>
      <c r="C3" s="222"/>
      <c r="D3" s="225" t="s">
        <v>1382</v>
      </c>
      <c r="E3" s="226" t="s">
        <v>1407</v>
      </c>
      <c r="F3" s="225" t="s">
        <v>235</v>
      </c>
      <c r="G3" s="225" t="s">
        <v>1385</v>
      </c>
      <c r="H3" s="226" t="s">
        <v>1387</v>
      </c>
      <c r="I3" s="225" t="s">
        <v>253</v>
      </c>
      <c r="J3" s="225" t="s">
        <v>10</v>
      </c>
      <c r="K3" s="226" t="s">
        <v>259</v>
      </c>
      <c r="L3" s="225" t="s">
        <v>253</v>
      </c>
      <c r="M3" s="226" t="s">
        <v>10</v>
      </c>
      <c r="N3" s="226" t="s">
        <v>259</v>
      </c>
      <c r="O3" s="225" t="s">
        <v>253</v>
      </c>
      <c r="P3" s="225" t="s">
        <v>10</v>
      </c>
      <c r="Q3" s="226" t="s">
        <v>259</v>
      </c>
      <c r="R3" s="225" t="s">
        <v>10</v>
      </c>
      <c r="S3" s="225" t="s">
        <v>259</v>
      </c>
      <c r="T3" s="225" t="s">
        <v>259</v>
      </c>
    </row>
    <row r="4" spans="1:20" ht="11.1" customHeight="1" x14ac:dyDescent="0.2">
      <c r="A4" s="222"/>
      <c r="B4" s="222"/>
      <c r="C4" s="222"/>
      <c r="D4" s="225"/>
      <c r="E4" s="226"/>
      <c r="F4" s="225"/>
      <c r="G4" s="225"/>
      <c r="H4" s="226"/>
      <c r="I4" s="225"/>
      <c r="J4" s="225"/>
      <c r="K4" s="226"/>
      <c r="L4" s="225"/>
      <c r="M4" s="226"/>
      <c r="N4" s="226"/>
      <c r="O4" s="225"/>
      <c r="P4" s="225"/>
      <c r="Q4" s="226"/>
      <c r="R4" s="225"/>
      <c r="S4" s="225"/>
      <c r="T4" s="225"/>
    </row>
    <row r="5" spans="1:20" ht="11.1" customHeight="1" x14ac:dyDescent="0.2">
      <c r="A5" s="314" t="s">
        <v>15</v>
      </c>
      <c r="B5" s="315"/>
      <c r="C5" s="316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</row>
    <row r="6" spans="1:20" ht="11.1" customHeight="1" x14ac:dyDescent="0.2">
      <c r="A6" s="205" t="s">
        <v>16</v>
      </c>
      <c r="B6" s="206" t="s">
        <v>17</v>
      </c>
      <c r="C6" s="206" t="s">
        <v>22</v>
      </c>
      <c r="D6" s="208">
        <v>3445</v>
      </c>
      <c r="E6" s="208"/>
      <c r="F6" s="207">
        <v>3520</v>
      </c>
      <c r="G6" s="208">
        <v>3820</v>
      </c>
      <c r="H6" s="208">
        <v>5075</v>
      </c>
      <c r="I6" s="208">
        <v>11</v>
      </c>
      <c r="J6" s="208">
        <v>25.7</v>
      </c>
      <c r="K6" s="208">
        <v>48.1</v>
      </c>
      <c r="L6" s="208">
        <v>13.2</v>
      </c>
      <c r="M6" s="208">
        <v>31</v>
      </c>
      <c r="N6" s="208">
        <v>53.1</v>
      </c>
      <c r="O6" s="208">
        <v>17.100000000000001</v>
      </c>
      <c r="P6" s="208">
        <v>47.5</v>
      </c>
      <c r="Q6" s="208">
        <v>72.400000000000006</v>
      </c>
      <c r="R6" s="208"/>
      <c r="S6" s="208">
        <v>97.2</v>
      </c>
      <c r="T6" s="208">
        <v>150.9</v>
      </c>
    </row>
    <row r="7" spans="1:20" ht="11.1" customHeight="1" x14ac:dyDescent="0.2">
      <c r="A7" s="205" t="s">
        <v>16</v>
      </c>
      <c r="B7" s="206" t="s">
        <v>17</v>
      </c>
      <c r="C7" s="206" t="s">
        <v>21</v>
      </c>
      <c r="D7" s="208">
        <v>5150</v>
      </c>
      <c r="E7" s="208"/>
      <c r="F7" s="207">
        <v>5230</v>
      </c>
      <c r="G7" s="208">
        <v>5505</v>
      </c>
      <c r="H7" s="208">
        <v>6785</v>
      </c>
      <c r="I7" s="208">
        <v>11</v>
      </c>
      <c r="J7" s="208">
        <v>25.7</v>
      </c>
      <c r="K7" s="208">
        <v>48.1</v>
      </c>
      <c r="L7" s="208">
        <v>13.2</v>
      </c>
      <c r="M7" s="208">
        <v>31</v>
      </c>
      <c r="N7" s="208">
        <v>53.1</v>
      </c>
      <c r="O7" s="208">
        <v>17.100000000000001</v>
      </c>
      <c r="P7" s="208"/>
      <c r="Q7" s="208">
        <v>72.400000000000006</v>
      </c>
      <c r="R7" s="208"/>
      <c r="S7" s="208">
        <v>97.2</v>
      </c>
      <c r="T7" s="208"/>
    </row>
    <row r="8" spans="1:20" ht="11.1" customHeight="1" x14ac:dyDescent="0.2">
      <c r="A8" s="205" t="s">
        <v>16</v>
      </c>
      <c r="B8" s="206" t="s">
        <v>17</v>
      </c>
      <c r="C8" s="206" t="s">
        <v>251</v>
      </c>
      <c r="D8" s="208">
        <v>3945</v>
      </c>
      <c r="E8" s="208"/>
      <c r="F8" s="207">
        <v>4020</v>
      </c>
      <c r="G8" s="208">
        <v>4290</v>
      </c>
      <c r="H8" s="208">
        <v>5505</v>
      </c>
      <c r="I8" s="208">
        <v>11</v>
      </c>
      <c r="J8" s="208">
        <v>25.7</v>
      </c>
      <c r="K8" s="208">
        <v>48.1</v>
      </c>
      <c r="L8" s="208">
        <v>13.2</v>
      </c>
      <c r="M8" s="208">
        <v>31</v>
      </c>
      <c r="N8" s="208">
        <v>53.1</v>
      </c>
      <c r="O8" s="208"/>
      <c r="P8" s="208"/>
      <c r="Q8" s="208"/>
      <c r="R8" s="208"/>
      <c r="S8" s="208"/>
      <c r="T8" s="208"/>
    </row>
    <row r="9" spans="1:20" ht="11.1" customHeight="1" x14ac:dyDescent="0.2">
      <c r="A9" s="205" t="s">
        <v>23</v>
      </c>
      <c r="B9" s="206" t="s">
        <v>24</v>
      </c>
      <c r="C9" s="206" t="s">
        <v>22</v>
      </c>
      <c r="D9" s="208">
        <v>3545</v>
      </c>
      <c r="E9" s="208"/>
      <c r="F9" s="207">
        <v>3630</v>
      </c>
      <c r="G9" s="208">
        <v>3910</v>
      </c>
      <c r="H9" s="208">
        <v>5175</v>
      </c>
      <c r="I9" s="208">
        <v>11</v>
      </c>
      <c r="J9" s="208">
        <v>25.7</v>
      </c>
      <c r="K9" s="208">
        <v>48.1</v>
      </c>
      <c r="L9" s="208">
        <v>13.2</v>
      </c>
      <c r="M9" s="208">
        <v>31</v>
      </c>
      <c r="N9" s="208">
        <v>53.1</v>
      </c>
      <c r="O9" s="208">
        <v>17.100000000000001</v>
      </c>
      <c r="P9" s="208">
        <v>47.5</v>
      </c>
      <c r="Q9" s="208">
        <v>72.400000000000006</v>
      </c>
      <c r="R9" s="208"/>
      <c r="S9" s="208">
        <v>97.2</v>
      </c>
      <c r="T9" s="208">
        <v>150.9</v>
      </c>
    </row>
    <row r="10" spans="1:20" ht="11.1" customHeight="1" x14ac:dyDescent="0.2">
      <c r="A10" s="205" t="s">
        <v>26</v>
      </c>
      <c r="B10" s="206" t="s">
        <v>27</v>
      </c>
      <c r="C10" s="206" t="s">
        <v>22</v>
      </c>
      <c r="D10" s="208"/>
      <c r="E10" s="208"/>
      <c r="F10" s="207">
        <v>3630</v>
      </c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</row>
    <row r="11" spans="1:20" ht="11.1" customHeight="1" x14ac:dyDescent="0.2">
      <c r="A11" s="205" t="s">
        <v>28</v>
      </c>
      <c r="B11" s="206" t="s">
        <v>29</v>
      </c>
      <c r="C11" s="206" t="s">
        <v>31</v>
      </c>
      <c r="D11" s="208">
        <v>2900</v>
      </c>
      <c r="E11" s="208">
        <v>2930</v>
      </c>
      <c r="F11" s="207">
        <v>2980</v>
      </c>
      <c r="G11" s="208">
        <v>3270</v>
      </c>
      <c r="H11" s="208">
        <v>4390</v>
      </c>
      <c r="I11" s="208">
        <v>11</v>
      </c>
      <c r="J11" s="208">
        <v>25.7</v>
      </c>
      <c r="K11" s="208">
        <v>48.1</v>
      </c>
      <c r="L11" s="208">
        <v>13.2</v>
      </c>
      <c r="M11" s="208">
        <v>31</v>
      </c>
      <c r="N11" s="208">
        <v>53.1</v>
      </c>
      <c r="O11" s="208">
        <v>17.100000000000001</v>
      </c>
      <c r="P11" s="208">
        <v>47.5</v>
      </c>
      <c r="Q11" s="208">
        <v>72.400000000000006</v>
      </c>
      <c r="R11" s="208">
        <v>69.5</v>
      </c>
      <c r="S11" s="208">
        <v>97.2</v>
      </c>
      <c r="T11" s="208">
        <v>150.9</v>
      </c>
    </row>
    <row r="12" spans="1:20" ht="11.1" customHeight="1" x14ac:dyDescent="0.2">
      <c r="A12" s="205" t="s">
        <v>28</v>
      </c>
      <c r="B12" s="206" t="s">
        <v>29</v>
      </c>
      <c r="C12" s="206" t="s">
        <v>30</v>
      </c>
      <c r="D12" s="208">
        <v>2900</v>
      </c>
      <c r="E12" s="208"/>
      <c r="F12" s="207">
        <v>2980</v>
      </c>
      <c r="G12" s="208">
        <v>3270</v>
      </c>
      <c r="H12" s="208">
        <v>4390</v>
      </c>
      <c r="I12" s="208">
        <v>11</v>
      </c>
      <c r="J12" s="208">
        <v>25.7</v>
      </c>
      <c r="K12" s="208">
        <v>48.1</v>
      </c>
      <c r="L12" s="208">
        <v>13.2</v>
      </c>
      <c r="M12" s="208">
        <v>31</v>
      </c>
      <c r="N12" s="208">
        <v>53.1</v>
      </c>
      <c r="O12" s="208">
        <v>17.100000000000001</v>
      </c>
      <c r="P12" s="208"/>
      <c r="Q12" s="208">
        <v>72.400000000000006</v>
      </c>
      <c r="R12" s="208"/>
      <c r="S12" s="208">
        <v>97.2</v>
      </c>
      <c r="T12" s="208"/>
    </row>
    <row r="13" spans="1:20" ht="11.1" customHeight="1" x14ac:dyDescent="0.2">
      <c r="A13" s="205" t="s">
        <v>32</v>
      </c>
      <c r="B13" s="206" t="s">
        <v>33</v>
      </c>
      <c r="C13" s="206" t="s">
        <v>31</v>
      </c>
      <c r="D13" s="208">
        <v>3020</v>
      </c>
      <c r="E13" s="208"/>
      <c r="F13" s="207">
        <v>3095</v>
      </c>
      <c r="G13" s="208">
        <v>3380</v>
      </c>
      <c r="H13" s="208">
        <v>4545</v>
      </c>
      <c r="I13" s="208"/>
      <c r="J13" s="208">
        <v>25.7</v>
      </c>
      <c r="K13" s="208"/>
      <c r="L13" s="208">
        <v>13.2</v>
      </c>
      <c r="M13" s="208">
        <v>31</v>
      </c>
      <c r="N13" s="208">
        <v>53.1</v>
      </c>
      <c r="O13" s="208"/>
      <c r="P13" s="208"/>
      <c r="Q13" s="208"/>
      <c r="R13" s="208"/>
      <c r="S13" s="208"/>
      <c r="T13" s="208"/>
    </row>
    <row r="14" spans="1:20" ht="11.1" customHeight="1" x14ac:dyDescent="0.2">
      <c r="A14" s="205" t="s">
        <v>32</v>
      </c>
      <c r="B14" s="206" t="s">
        <v>33</v>
      </c>
      <c r="C14" s="206" t="s">
        <v>30</v>
      </c>
      <c r="D14" s="208">
        <v>3020</v>
      </c>
      <c r="E14" s="208"/>
      <c r="F14" s="207">
        <v>3095</v>
      </c>
      <c r="G14" s="208">
        <v>3380</v>
      </c>
      <c r="H14" s="208">
        <v>4545</v>
      </c>
      <c r="I14" s="208">
        <v>11</v>
      </c>
      <c r="J14" s="208">
        <v>25.7</v>
      </c>
      <c r="K14" s="208">
        <v>48.1</v>
      </c>
      <c r="L14" s="208">
        <v>13.2</v>
      </c>
      <c r="M14" s="208">
        <v>31</v>
      </c>
      <c r="N14" s="208">
        <v>53.1</v>
      </c>
      <c r="O14" s="208"/>
      <c r="P14" s="208">
        <v>47.5</v>
      </c>
      <c r="Q14" s="208">
        <v>72.400000000000006</v>
      </c>
      <c r="R14" s="208"/>
      <c r="S14" s="208"/>
      <c r="T14" s="208"/>
    </row>
    <row r="15" spans="1:20" ht="11.1" customHeight="1" x14ac:dyDescent="0.2">
      <c r="A15" s="314" t="s">
        <v>34</v>
      </c>
      <c r="B15" s="315"/>
      <c r="C15" s="316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</row>
    <row r="16" spans="1:20" ht="11.1" customHeight="1" x14ac:dyDescent="0.2">
      <c r="A16" s="205" t="s">
        <v>1422</v>
      </c>
      <c r="B16" s="206" t="s">
        <v>76</v>
      </c>
      <c r="C16" s="206" t="s">
        <v>44</v>
      </c>
      <c r="D16" s="208">
        <v>3745</v>
      </c>
      <c r="E16" s="208"/>
      <c r="F16" s="207">
        <v>3830</v>
      </c>
      <c r="G16" s="208">
        <v>4110</v>
      </c>
      <c r="H16" s="208">
        <v>5350</v>
      </c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</row>
    <row r="17" spans="1:20" ht="11.1" customHeight="1" x14ac:dyDescent="0.2">
      <c r="A17" s="205" t="s">
        <v>1427</v>
      </c>
      <c r="B17" s="206" t="s">
        <v>95</v>
      </c>
      <c r="C17" s="206" t="s">
        <v>44</v>
      </c>
      <c r="D17" s="208">
        <v>3545</v>
      </c>
      <c r="E17" s="208"/>
      <c r="F17" s="207">
        <v>3630</v>
      </c>
      <c r="G17" s="208"/>
      <c r="H17" s="208">
        <v>5175</v>
      </c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</row>
    <row r="18" spans="1:20" ht="11.1" customHeight="1" x14ac:dyDescent="0.2">
      <c r="A18" s="205" t="s">
        <v>1431</v>
      </c>
      <c r="B18" s="206" t="s">
        <v>140</v>
      </c>
      <c r="C18" s="206" t="s">
        <v>38</v>
      </c>
      <c r="D18" s="208">
        <v>3745</v>
      </c>
      <c r="E18" s="208"/>
      <c r="F18" s="207">
        <v>3830</v>
      </c>
      <c r="G18" s="208"/>
      <c r="H18" s="208">
        <v>5350</v>
      </c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</row>
    <row r="19" spans="1:20" ht="11.1" customHeight="1" x14ac:dyDescent="0.2">
      <c r="A19" s="205" t="s">
        <v>1435</v>
      </c>
      <c r="B19" s="206" t="s">
        <v>142</v>
      </c>
      <c r="C19" s="206" t="s">
        <v>38</v>
      </c>
      <c r="D19" s="208">
        <v>3745</v>
      </c>
      <c r="E19" s="208"/>
      <c r="F19" s="207">
        <v>3830</v>
      </c>
      <c r="G19" s="208"/>
      <c r="H19" s="208">
        <v>5350</v>
      </c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</row>
    <row r="20" spans="1:20" ht="11.1" customHeight="1" x14ac:dyDescent="0.2">
      <c r="A20" s="205" t="s">
        <v>36</v>
      </c>
      <c r="B20" s="206" t="s">
        <v>37</v>
      </c>
      <c r="C20" s="206" t="s">
        <v>38</v>
      </c>
      <c r="D20" s="208">
        <v>3545</v>
      </c>
      <c r="E20" s="208"/>
      <c r="F20" s="207">
        <v>3630</v>
      </c>
      <c r="G20" s="208">
        <v>3910</v>
      </c>
      <c r="H20" s="208">
        <v>5175</v>
      </c>
      <c r="I20" s="208">
        <v>17.899999999999999</v>
      </c>
      <c r="J20" s="208">
        <v>35</v>
      </c>
      <c r="K20" s="208">
        <v>62.6</v>
      </c>
      <c r="L20" s="208">
        <v>22</v>
      </c>
      <c r="M20" s="208">
        <v>42.3</v>
      </c>
      <c r="N20" s="208">
        <v>65.5</v>
      </c>
      <c r="O20" s="208">
        <v>28.9</v>
      </c>
      <c r="P20" s="208"/>
      <c r="Q20" s="208">
        <v>94.1</v>
      </c>
      <c r="R20" s="208"/>
      <c r="S20" s="208">
        <v>127.6</v>
      </c>
      <c r="T20" s="208"/>
    </row>
    <row r="21" spans="1:20" ht="11.1" customHeight="1" x14ac:dyDescent="0.2">
      <c r="A21" s="205" t="s">
        <v>39</v>
      </c>
      <c r="B21" s="206" t="s">
        <v>40</v>
      </c>
      <c r="C21" s="206" t="s">
        <v>41</v>
      </c>
      <c r="D21" s="208">
        <v>3745</v>
      </c>
      <c r="E21" s="208"/>
      <c r="F21" s="207">
        <v>6255</v>
      </c>
      <c r="G21" s="208"/>
      <c r="H21" s="208">
        <v>8350</v>
      </c>
      <c r="I21" s="208">
        <v>17.899999999999999</v>
      </c>
      <c r="J21" s="208">
        <v>35</v>
      </c>
      <c r="K21" s="208">
        <v>62.6</v>
      </c>
      <c r="L21" s="208"/>
      <c r="M21" s="208"/>
      <c r="N21" s="208"/>
      <c r="O21" s="208">
        <v>28.9</v>
      </c>
      <c r="P21" s="208"/>
      <c r="Q21" s="208">
        <v>94.1</v>
      </c>
      <c r="R21" s="208"/>
      <c r="S21" s="208">
        <v>127.6</v>
      </c>
      <c r="T21" s="208"/>
    </row>
    <row r="22" spans="1:20" ht="11.1" customHeight="1" x14ac:dyDescent="0.2">
      <c r="A22" s="205" t="s">
        <v>42</v>
      </c>
      <c r="B22" s="206" t="s">
        <v>43</v>
      </c>
      <c r="C22" s="206" t="s">
        <v>44</v>
      </c>
      <c r="D22" s="208">
        <v>3545</v>
      </c>
      <c r="E22" s="208"/>
      <c r="F22" s="207">
        <v>3630</v>
      </c>
      <c r="G22" s="208">
        <v>3910</v>
      </c>
      <c r="H22" s="208">
        <v>5175</v>
      </c>
      <c r="I22" s="208">
        <v>17.899999999999999</v>
      </c>
      <c r="J22" s="208">
        <v>35</v>
      </c>
      <c r="K22" s="208">
        <v>62.6</v>
      </c>
      <c r="L22" s="208">
        <v>22</v>
      </c>
      <c r="M22" s="208">
        <v>42.3</v>
      </c>
      <c r="N22" s="208">
        <v>65.5</v>
      </c>
      <c r="O22" s="208">
        <v>28.9</v>
      </c>
      <c r="P22" s="208">
        <v>66.900000000000006</v>
      </c>
      <c r="Q22" s="208">
        <v>94.1</v>
      </c>
      <c r="R22" s="208"/>
      <c r="S22" s="208">
        <v>127.6</v>
      </c>
      <c r="T22" s="208">
        <v>187.5</v>
      </c>
    </row>
    <row r="23" spans="1:20" ht="11.1" customHeight="1" x14ac:dyDescent="0.2">
      <c r="A23" s="205" t="s">
        <v>45</v>
      </c>
      <c r="B23" s="206" t="s">
        <v>46</v>
      </c>
      <c r="C23" s="206" t="s">
        <v>44</v>
      </c>
      <c r="D23" s="208">
        <v>3745</v>
      </c>
      <c r="E23" s="208"/>
      <c r="F23" s="207">
        <v>3830</v>
      </c>
      <c r="G23" s="208">
        <v>4110</v>
      </c>
      <c r="H23" s="208">
        <v>5350</v>
      </c>
      <c r="I23" s="208">
        <v>17.899999999999999</v>
      </c>
      <c r="J23" s="208">
        <v>35</v>
      </c>
      <c r="K23" s="208">
        <v>62.6</v>
      </c>
      <c r="L23" s="208">
        <v>22</v>
      </c>
      <c r="M23" s="208">
        <v>42.3</v>
      </c>
      <c r="N23" s="208">
        <v>65.5</v>
      </c>
      <c r="O23" s="208">
        <v>28.9</v>
      </c>
      <c r="P23" s="208">
        <v>66.900000000000006</v>
      </c>
      <c r="Q23" s="208">
        <v>94.1</v>
      </c>
      <c r="R23" s="208"/>
      <c r="S23" s="208">
        <v>127.6</v>
      </c>
      <c r="T23" s="208"/>
    </row>
    <row r="24" spans="1:20" ht="11.1" customHeight="1" x14ac:dyDescent="0.2">
      <c r="A24" s="205" t="s">
        <v>47</v>
      </c>
      <c r="B24" s="206" t="s">
        <v>48</v>
      </c>
      <c r="C24" s="206" t="s">
        <v>41</v>
      </c>
      <c r="D24" s="208">
        <v>3350</v>
      </c>
      <c r="E24" s="208"/>
      <c r="F24" s="207">
        <v>3425</v>
      </c>
      <c r="G24" s="208">
        <v>3725</v>
      </c>
      <c r="H24" s="208">
        <v>4990</v>
      </c>
      <c r="I24" s="208">
        <v>17.899999999999999</v>
      </c>
      <c r="J24" s="208">
        <v>35</v>
      </c>
      <c r="K24" s="208">
        <v>62.6</v>
      </c>
      <c r="L24" s="208">
        <v>22</v>
      </c>
      <c r="M24" s="208">
        <v>42.3</v>
      </c>
      <c r="N24" s="208">
        <v>65.5</v>
      </c>
      <c r="O24" s="208">
        <v>28.9</v>
      </c>
      <c r="P24" s="208">
        <v>66.900000000000006</v>
      </c>
      <c r="Q24" s="208">
        <v>94.1</v>
      </c>
      <c r="R24" s="208"/>
      <c r="S24" s="208">
        <v>127.6</v>
      </c>
      <c r="T24" s="208"/>
    </row>
    <row r="25" spans="1:20" ht="11.1" customHeight="1" x14ac:dyDescent="0.2">
      <c r="A25" s="205" t="s">
        <v>49</v>
      </c>
      <c r="B25" s="206" t="s">
        <v>50</v>
      </c>
      <c r="C25" s="206" t="s">
        <v>38</v>
      </c>
      <c r="D25" s="208">
        <v>3445</v>
      </c>
      <c r="E25" s="208"/>
      <c r="F25" s="207">
        <v>3520</v>
      </c>
      <c r="G25" s="208">
        <v>3820</v>
      </c>
      <c r="H25" s="208">
        <v>5075</v>
      </c>
      <c r="I25" s="208">
        <v>17.899999999999999</v>
      </c>
      <c r="J25" s="208">
        <v>35</v>
      </c>
      <c r="K25" s="208">
        <v>62.6</v>
      </c>
      <c r="L25" s="208">
        <v>22</v>
      </c>
      <c r="M25" s="208">
        <v>42.3</v>
      </c>
      <c r="N25" s="208">
        <v>65.5</v>
      </c>
      <c r="O25" s="208">
        <v>28.9</v>
      </c>
      <c r="P25" s="208">
        <v>66.900000000000006</v>
      </c>
      <c r="Q25" s="208">
        <v>94.1</v>
      </c>
      <c r="R25" s="208"/>
      <c r="S25" s="208">
        <v>127.6</v>
      </c>
      <c r="T25" s="208">
        <v>187.5</v>
      </c>
    </row>
    <row r="26" spans="1:20" ht="11.1" customHeight="1" x14ac:dyDescent="0.2">
      <c r="A26" s="205" t="s">
        <v>51</v>
      </c>
      <c r="B26" s="206" t="s">
        <v>52</v>
      </c>
      <c r="C26" s="206" t="s">
        <v>38</v>
      </c>
      <c r="D26" s="208">
        <v>3445</v>
      </c>
      <c r="E26" s="208"/>
      <c r="F26" s="207">
        <v>3520</v>
      </c>
      <c r="G26" s="208">
        <v>3820</v>
      </c>
      <c r="H26" s="208">
        <v>5075</v>
      </c>
      <c r="I26" s="208"/>
      <c r="J26" s="208">
        <v>35</v>
      </c>
      <c r="K26" s="208">
        <v>62.6</v>
      </c>
      <c r="L26" s="208">
        <v>22</v>
      </c>
      <c r="M26" s="208">
        <v>42.3</v>
      </c>
      <c r="N26" s="208">
        <v>65.5</v>
      </c>
      <c r="O26" s="208">
        <v>28.9</v>
      </c>
      <c r="P26" s="208"/>
      <c r="Q26" s="208">
        <v>94.1</v>
      </c>
      <c r="R26" s="208"/>
      <c r="S26" s="208">
        <v>127.6</v>
      </c>
      <c r="T26" s="208"/>
    </row>
    <row r="27" spans="1:20" ht="11.1" customHeight="1" x14ac:dyDescent="0.2">
      <c r="A27" s="205" t="s">
        <v>396</v>
      </c>
      <c r="B27" s="206" t="s">
        <v>397</v>
      </c>
      <c r="C27" s="206" t="s">
        <v>38</v>
      </c>
      <c r="D27" s="208"/>
      <c r="E27" s="208"/>
      <c r="F27" s="207">
        <v>6255</v>
      </c>
      <c r="G27" s="208"/>
      <c r="H27" s="208">
        <v>8350</v>
      </c>
      <c r="I27" s="208">
        <v>17.899999999999999</v>
      </c>
      <c r="J27" s="208">
        <v>35</v>
      </c>
      <c r="K27" s="208">
        <v>62.6</v>
      </c>
      <c r="L27" s="208">
        <v>22</v>
      </c>
      <c r="M27" s="208">
        <v>42.3</v>
      </c>
      <c r="N27" s="208">
        <v>65.5</v>
      </c>
      <c r="O27" s="208"/>
      <c r="P27" s="208">
        <v>66.900000000000006</v>
      </c>
      <c r="Q27" s="208">
        <v>94.1</v>
      </c>
      <c r="R27" s="208"/>
      <c r="S27" s="208">
        <v>127.6</v>
      </c>
      <c r="T27" s="208"/>
    </row>
    <row r="28" spans="1:20" ht="11.1" customHeight="1" x14ac:dyDescent="0.2">
      <c r="A28" s="205" t="s">
        <v>53</v>
      </c>
      <c r="B28" s="206" t="s">
        <v>54</v>
      </c>
      <c r="C28" s="206" t="s">
        <v>55</v>
      </c>
      <c r="D28" s="208">
        <v>5505</v>
      </c>
      <c r="E28" s="208"/>
      <c r="F28" s="207">
        <v>5580</v>
      </c>
      <c r="G28" s="208">
        <v>5860</v>
      </c>
      <c r="H28" s="208">
        <v>7160</v>
      </c>
      <c r="I28" s="208">
        <v>17.899999999999999</v>
      </c>
      <c r="J28" s="208">
        <v>35</v>
      </c>
      <c r="K28" s="208">
        <v>62.6</v>
      </c>
      <c r="L28" s="208">
        <v>22</v>
      </c>
      <c r="M28" s="208">
        <v>42.3</v>
      </c>
      <c r="N28" s="208">
        <v>65.5</v>
      </c>
      <c r="O28" s="208">
        <v>28.9</v>
      </c>
      <c r="P28" s="208">
        <v>66.900000000000006</v>
      </c>
      <c r="Q28" s="208">
        <v>94.1</v>
      </c>
      <c r="R28" s="208"/>
      <c r="S28" s="208">
        <v>127.6</v>
      </c>
      <c r="T28" s="208"/>
    </row>
    <row r="29" spans="1:20" ht="11.1" customHeight="1" x14ac:dyDescent="0.2">
      <c r="A29" s="205" t="s">
        <v>56</v>
      </c>
      <c r="B29" s="206" t="s">
        <v>57</v>
      </c>
      <c r="C29" s="206" t="s">
        <v>55</v>
      </c>
      <c r="D29" s="208">
        <v>5505</v>
      </c>
      <c r="E29" s="208"/>
      <c r="F29" s="207">
        <v>5580</v>
      </c>
      <c r="G29" s="208">
        <v>5860</v>
      </c>
      <c r="H29" s="208">
        <v>7160</v>
      </c>
      <c r="I29" s="208">
        <v>17.899999999999999</v>
      </c>
      <c r="J29" s="208">
        <v>35</v>
      </c>
      <c r="K29" s="208">
        <v>62.6</v>
      </c>
      <c r="L29" s="208">
        <v>22</v>
      </c>
      <c r="M29" s="208">
        <v>42.3</v>
      </c>
      <c r="N29" s="208">
        <v>65.5</v>
      </c>
      <c r="O29" s="208">
        <v>28.9</v>
      </c>
      <c r="P29" s="208">
        <v>66.900000000000006</v>
      </c>
      <c r="Q29" s="208">
        <v>94.1</v>
      </c>
      <c r="R29" s="208">
        <v>94.7</v>
      </c>
      <c r="S29" s="208">
        <v>127.6</v>
      </c>
      <c r="T29" s="208">
        <v>187.5</v>
      </c>
    </row>
    <row r="30" spans="1:20" ht="11.1" customHeight="1" x14ac:dyDescent="0.2">
      <c r="A30" s="205" t="s">
        <v>58</v>
      </c>
      <c r="B30" s="206" t="s">
        <v>59</v>
      </c>
      <c r="C30" s="206" t="s">
        <v>55</v>
      </c>
      <c r="D30" s="208">
        <v>5505</v>
      </c>
      <c r="E30" s="208"/>
      <c r="F30" s="207">
        <v>5580</v>
      </c>
      <c r="G30" s="208">
        <v>5860</v>
      </c>
      <c r="H30" s="208">
        <v>7160</v>
      </c>
      <c r="I30" s="208">
        <v>17.899999999999999</v>
      </c>
      <c r="J30" s="208">
        <v>35</v>
      </c>
      <c r="K30" s="208">
        <v>62.6</v>
      </c>
      <c r="L30" s="208">
        <v>22</v>
      </c>
      <c r="M30" s="208">
        <v>42.3</v>
      </c>
      <c r="N30" s="208">
        <v>65.5</v>
      </c>
      <c r="O30" s="208">
        <v>28.9</v>
      </c>
      <c r="P30" s="208"/>
      <c r="Q30" s="208">
        <v>94.1</v>
      </c>
      <c r="R30" s="208"/>
      <c r="S30" s="208">
        <v>127.6</v>
      </c>
      <c r="T30" s="208"/>
    </row>
    <row r="31" spans="1:20" ht="11.1" customHeight="1" x14ac:dyDescent="0.2">
      <c r="A31" s="205" t="s">
        <v>60</v>
      </c>
      <c r="B31" s="206" t="s">
        <v>61</v>
      </c>
      <c r="C31" s="206" t="s">
        <v>41</v>
      </c>
      <c r="D31" s="208">
        <v>3745</v>
      </c>
      <c r="E31" s="208"/>
      <c r="F31" s="207">
        <v>3830</v>
      </c>
      <c r="G31" s="208"/>
      <c r="H31" s="208">
        <v>5350</v>
      </c>
      <c r="I31" s="208">
        <v>17.899999999999999</v>
      </c>
      <c r="J31" s="208">
        <v>35</v>
      </c>
      <c r="K31" s="208">
        <v>62.6</v>
      </c>
      <c r="L31" s="208"/>
      <c r="M31" s="208"/>
      <c r="N31" s="208"/>
      <c r="O31" s="208">
        <v>28.9</v>
      </c>
      <c r="P31" s="208"/>
      <c r="Q31" s="208">
        <v>94.1</v>
      </c>
      <c r="R31" s="208"/>
      <c r="S31" s="208">
        <v>127.6</v>
      </c>
      <c r="T31" s="208"/>
    </row>
    <row r="32" spans="1:20" ht="11.1" customHeight="1" x14ac:dyDescent="0.2">
      <c r="A32" s="205" t="s">
        <v>62</v>
      </c>
      <c r="B32" s="206" t="s">
        <v>63</v>
      </c>
      <c r="C32" s="206" t="s">
        <v>64</v>
      </c>
      <c r="D32" s="208">
        <v>5150</v>
      </c>
      <c r="E32" s="208"/>
      <c r="F32" s="207">
        <v>5230</v>
      </c>
      <c r="G32" s="208">
        <v>5505</v>
      </c>
      <c r="H32" s="208">
        <v>6785</v>
      </c>
      <c r="I32" s="208">
        <v>17.899999999999999</v>
      </c>
      <c r="J32" s="208">
        <v>35</v>
      </c>
      <c r="K32" s="208">
        <v>62.6</v>
      </c>
      <c r="L32" s="208">
        <v>22</v>
      </c>
      <c r="M32" s="208">
        <v>42.3</v>
      </c>
      <c r="N32" s="208">
        <v>65.5</v>
      </c>
      <c r="O32" s="208">
        <v>28.9</v>
      </c>
      <c r="P32" s="208">
        <v>66.900000000000006</v>
      </c>
      <c r="Q32" s="208">
        <v>94.1</v>
      </c>
      <c r="R32" s="208"/>
      <c r="S32" s="208">
        <v>127.6</v>
      </c>
      <c r="T32" s="208">
        <v>187.5</v>
      </c>
    </row>
    <row r="33" spans="1:20" ht="11.1" customHeight="1" x14ac:dyDescent="0.2">
      <c r="A33" s="205" t="s">
        <v>460</v>
      </c>
      <c r="B33" s="206" t="s">
        <v>461</v>
      </c>
      <c r="C33" s="206" t="s">
        <v>251</v>
      </c>
      <c r="D33" s="208">
        <v>4210</v>
      </c>
      <c r="E33" s="208"/>
      <c r="F33" s="207">
        <v>4285</v>
      </c>
      <c r="G33" s="208">
        <v>4550</v>
      </c>
      <c r="H33" s="208">
        <v>5765</v>
      </c>
      <c r="I33" s="208">
        <v>17.899999999999999</v>
      </c>
      <c r="J33" s="208">
        <v>35</v>
      </c>
      <c r="K33" s="208">
        <v>62.6</v>
      </c>
      <c r="L33" s="208">
        <v>22</v>
      </c>
      <c r="M33" s="208">
        <v>42.3</v>
      </c>
      <c r="N33" s="208">
        <v>65.5</v>
      </c>
      <c r="O33" s="208">
        <v>28.9</v>
      </c>
      <c r="P33" s="208"/>
      <c r="Q33" s="208">
        <v>94.1</v>
      </c>
      <c r="R33" s="208"/>
      <c r="S33" s="208">
        <v>127.6</v>
      </c>
      <c r="T33" s="208"/>
    </row>
    <row r="34" spans="1:20" ht="11.1" customHeight="1" x14ac:dyDescent="0.2">
      <c r="A34" s="205" t="s">
        <v>471</v>
      </c>
      <c r="B34" s="206" t="s">
        <v>472</v>
      </c>
      <c r="C34" s="206" t="s">
        <v>251</v>
      </c>
      <c r="D34" s="208">
        <v>4210</v>
      </c>
      <c r="E34" s="208"/>
      <c r="F34" s="207">
        <v>4285</v>
      </c>
      <c r="G34" s="208">
        <v>4550</v>
      </c>
      <c r="H34" s="208"/>
      <c r="I34" s="208">
        <v>17.899999999999999</v>
      </c>
      <c r="J34" s="208">
        <v>35</v>
      </c>
      <c r="K34" s="208">
        <v>62.6</v>
      </c>
      <c r="L34" s="208">
        <v>22</v>
      </c>
      <c r="M34" s="208">
        <v>42.3</v>
      </c>
      <c r="N34" s="208">
        <v>65.5</v>
      </c>
      <c r="O34" s="208"/>
      <c r="P34" s="208"/>
      <c r="Q34" s="208"/>
      <c r="R34" s="208"/>
      <c r="S34" s="208">
        <v>127.6</v>
      </c>
      <c r="T34" s="208"/>
    </row>
    <row r="35" spans="1:20" ht="11.1" customHeight="1" x14ac:dyDescent="0.2">
      <c r="A35" s="205" t="s">
        <v>65</v>
      </c>
      <c r="B35" s="206" t="s">
        <v>66</v>
      </c>
      <c r="C35" s="206" t="s">
        <v>22</v>
      </c>
      <c r="D35" s="208">
        <v>3350</v>
      </c>
      <c r="E35" s="208"/>
      <c r="F35" s="207">
        <v>3425</v>
      </c>
      <c r="G35" s="208">
        <v>3725</v>
      </c>
      <c r="H35" s="208">
        <v>4990</v>
      </c>
      <c r="I35" s="208">
        <v>17.899999999999999</v>
      </c>
      <c r="J35" s="208">
        <v>35</v>
      </c>
      <c r="K35" s="208">
        <v>62.6</v>
      </c>
      <c r="L35" s="208">
        <v>22</v>
      </c>
      <c r="M35" s="208">
        <v>42.3</v>
      </c>
      <c r="N35" s="208">
        <v>65.5</v>
      </c>
      <c r="O35" s="208">
        <v>28.9</v>
      </c>
      <c r="P35" s="208">
        <v>66.900000000000006</v>
      </c>
      <c r="Q35" s="208">
        <v>94.1</v>
      </c>
      <c r="R35" s="208"/>
      <c r="S35" s="208">
        <v>127.6</v>
      </c>
      <c r="T35" s="208">
        <v>187.5</v>
      </c>
    </row>
    <row r="36" spans="1:20" ht="11.1" customHeight="1" x14ac:dyDescent="0.2">
      <c r="A36" s="205" t="s">
        <v>491</v>
      </c>
      <c r="B36" s="206" t="s">
        <v>492</v>
      </c>
      <c r="C36" s="206" t="s">
        <v>38</v>
      </c>
      <c r="D36" s="208">
        <v>4210</v>
      </c>
      <c r="E36" s="208"/>
      <c r="F36" s="207">
        <v>4285</v>
      </c>
      <c r="G36" s="208"/>
      <c r="H36" s="208">
        <v>5765</v>
      </c>
      <c r="I36" s="208">
        <v>17.899999999999999</v>
      </c>
      <c r="J36" s="208">
        <v>35</v>
      </c>
      <c r="K36" s="208">
        <v>62.6</v>
      </c>
      <c r="L36" s="208"/>
      <c r="M36" s="208"/>
      <c r="N36" s="208"/>
      <c r="O36" s="208">
        <v>28.9</v>
      </c>
      <c r="P36" s="208"/>
      <c r="Q36" s="208">
        <v>94.1</v>
      </c>
      <c r="R36" s="208"/>
      <c r="S36" s="208">
        <v>127.6</v>
      </c>
      <c r="T36" s="208"/>
    </row>
    <row r="37" spans="1:20" ht="11.1" customHeight="1" x14ac:dyDescent="0.2">
      <c r="A37" s="205" t="s">
        <v>499</v>
      </c>
      <c r="B37" s="206" t="s">
        <v>500</v>
      </c>
      <c r="C37" s="206" t="s">
        <v>38</v>
      </c>
      <c r="D37" s="208">
        <v>3945</v>
      </c>
      <c r="E37" s="208"/>
      <c r="F37" s="207">
        <v>4020</v>
      </c>
      <c r="G37" s="208"/>
      <c r="H37" s="208">
        <v>5505</v>
      </c>
      <c r="I37" s="208">
        <v>17.899999999999999</v>
      </c>
      <c r="J37" s="208">
        <v>35</v>
      </c>
      <c r="K37" s="208">
        <v>62.6</v>
      </c>
      <c r="L37" s="208"/>
      <c r="M37" s="208"/>
      <c r="N37" s="208"/>
      <c r="O37" s="208">
        <v>28.9</v>
      </c>
      <c r="P37" s="208"/>
      <c r="Q37" s="208">
        <v>94.1</v>
      </c>
      <c r="R37" s="208"/>
      <c r="S37" s="208">
        <v>127.6</v>
      </c>
      <c r="T37" s="208"/>
    </row>
    <row r="38" spans="1:20" ht="11.1" customHeight="1" x14ac:dyDescent="0.2">
      <c r="A38" s="205" t="s">
        <v>507</v>
      </c>
      <c r="B38" s="206" t="s">
        <v>508</v>
      </c>
      <c r="C38" s="206" t="s">
        <v>38</v>
      </c>
      <c r="D38" s="208">
        <v>3945</v>
      </c>
      <c r="E38" s="208"/>
      <c r="F38" s="207">
        <v>4020</v>
      </c>
      <c r="G38" s="208"/>
      <c r="H38" s="208">
        <v>5505</v>
      </c>
      <c r="I38" s="208">
        <v>17.899999999999999</v>
      </c>
      <c r="J38" s="208">
        <v>35</v>
      </c>
      <c r="K38" s="208">
        <v>62.6</v>
      </c>
      <c r="L38" s="208"/>
      <c r="M38" s="208"/>
      <c r="N38" s="208"/>
      <c r="O38" s="208">
        <v>28.9</v>
      </c>
      <c r="P38" s="208"/>
      <c r="Q38" s="208">
        <v>94.1</v>
      </c>
      <c r="R38" s="208"/>
      <c r="S38" s="208">
        <v>127.6</v>
      </c>
      <c r="T38" s="208"/>
    </row>
    <row r="39" spans="1:20" ht="11.1" customHeight="1" x14ac:dyDescent="0.2">
      <c r="A39" s="205" t="s">
        <v>515</v>
      </c>
      <c r="B39" s="206" t="s">
        <v>516</v>
      </c>
      <c r="C39" s="206" t="s">
        <v>38</v>
      </c>
      <c r="D39" s="208">
        <v>3945</v>
      </c>
      <c r="E39" s="208"/>
      <c r="F39" s="207">
        <v>4020</v>
      </c>
      <c r="G39" s="208"/>
      <c r="H39" s="208">
        <v>5505</v>
      </c>
      <c r="I39" s="208">
        <v>17.899999999999999</v>
      </c>
      <c r="J39" s="208">
        <v>35</v>
      </c>
      <c r="K39" s="208">
        <v>62.6</v>
      </c>
      <c r="L39" s="208"/>
      <c r="M39" s="208"/>
      <c r="N39" s="208"/>
      <c r="O39" s="208">
        <v>28.9</v>
      </c>
      <c r="P39" s="208"/>
      <c r="Q39" s="208">
        <v>94.1</v>
      </c>
      <c r="R39" s="208"/>
      <c r="S39" s="208">
        <v>127.6</v>
      </c>
      <c r="T39" s="208"/>
    </row>
    <row r="40" spans="1:20" ht="11.1" customHeight="1" x14ac:dyDescent="0.2">
      <c r="A40" s="205" t="s">
        <v>67</v>
      </c>
      <c r="B40" s="206" t="s">
        <v>68</v>
      </c>
      <c r="C40" s="206" t="s">
        <v>22</v>
      </c>
      <c r="D40" s="208">
        <v>3350</v>
      </c>
      <c r="E40" s="208"/>
      <c r="F40" s="207">
        <v>3425</v>
      </c>
      <c r="G40" s="208">
        <v>3725</v>
      </c>
      <c r="H40" s="208">
        <v>4990</v>
      </c>
      <c r="I40" s="208">
        <v>17.899999999999999</v>
      </c>
      <c r="J40" s="208">
        <v>35</v>
      </c>
      <c r="K40" s="208">
        <v>62.6</v>
      </c>
      <c r="L40" s="208">
        <v>22</v>
      </c>
      <c r="M40" s="208">
        <v>42.3</v>
      </c>
      <c r="N40" s="208">
        <v>65.5</v>
      </c>
      <c r="O40" s="208">
        <v>28.9</v>
      </c>
      <c r="P40" s="208">
        <v>66.900000000000006</v>
      </c>
      <c r="Q40" s="208">
        <v>94.1</v>
      </c>
      <c r="R40" s="208"/>
      <c r="S40" s="208">
        <v>127.6</v>
      </c>
      <c r="T40" s="208">
        <v>187.5</v>
      </c>
    </row>
    <row r="41" spans="1:20" ht="11.1" customHeight="1" x14ac:dyDescent="0.2">
      <c r="A41" s="205" t="s">
        <v>534</v>
      </c>
      <c r="B41" s="206" t="s">
        <v>535</v>
      </c>
      <c r="C41" s="206" t="s">
        <v>536</v>
      </c>
      <c r="D41" s="208">
        <v>5505</v>
      </c>
      <c r="E41" s="208"/>
      <c r="F41" s="207">
        <v>5580</v>
      </c>
      <c r="G41" s="208">
        <v>5860</v>
      </c>
      <c r="H41" s="208">
        <v>7160</v>
      </c>
      <c r="I41" s="208">
        <v>17.899999999999999</v>
      </c>
      <c r="J41" s="208">
        <v>35</v>
      </c>
      <c r="K41" s="208">
        <v>62.6</v>
      </c>
      <c r="L41" s="208">
        <v>22</v>
      </c>
      <c r="M41" s="208">
        <v>42.3</v>
      </c>
      <c r="N41" s="208">
        <v>65.5</v>
      </c>
      <c r="O41" s="208">
        <v>28.9</v>
      </c>
      <c r="P41" s="208"/>
      <c r="Q41" s="208">
        <v>94.1</v>
      </c>
      <c r="R41" s="208"/>
      <c r="S41" s="208">
        <v>127.6</v>
      </c>
      <c r="T41" s="208"/>
    </row>
    <row r="42" spans="1:20" ht="11.1" customHeight="1" x14ac:dyDescent="0.2">
      <c r="A42" s="205" t="s">
        <v>546</v>
      </c>
      <c r="B42" s="206" t="s">
        <v>547</v>
      </c>
      <c r="C42" s="206" t="s">
        <v>536</v>
      </c>
      <c r="D42" s="208">
        <v>5505</v>
      </c>
      <c r="E42" s="208"/>
      <c r="F42" s="207">
        <v>5580</v>
      </c>
      <c r="G42" s="208"/>
      <c r="H42" s="208">
        <v>7160</v>
      </c>
      <c r="I42" s="208">
        <v>17.899999999999999</v>
      </c>
      <c r="J42" s="208">
        <v>35</v>
      </c>
      <c r="K42" s="208">
        <v>62.6</v>
      </c>
      <c r="L42" s="208"/>
      <c r="M42" s="208"/>
      <c r="N42" s="208"/>
      <c r="O42" s="208">
        <v>28.9</v>
      </c>
      <c r="P42" s="208"/>
      <c r="Q42" s="208">
        <v>94.1</v>
      </c>
      <c r="R42" s="208"/>
      <c r="S42" s="208">
        <v>127.6</v>
      </c>
      <c r="T42" s="208">
        <v>187.5</v>
      </c>
    </row>
    <row r="43" spans="1:20" ht="11.1" customHeight="1" x14ac:dyDescent="0.2">
      <c r="A43" s="205" t="s">
        <v>555</v>
      </c>
      <c r="B43" s="206" t="s">
        <v>556</v>
      </c>
      <c r="C43" s="206" t="s">
        <v>536</v>
      </c>
      <c r="D43" s="208">
        <v>5505</v>
      </c>
      <c r="E43" s="208"/>
      <c r="F43" s="207">
        <v>5580</v>
      </c>
      <c r="G43" s="208"/>
      <c r="H43" s="208">
        <v>7160</v>
      </c>
      <c r="I43" s="208">
        <v>17.899999999999999</v>
      </c>
      <c r="J43" s="208">
        <v>35</v>
      </c>
      <c r="K43" s="208">
        <v>62.6</v>
      </c>
      <c r="L43" s="208"/>
      <c r="M43" s="208"/>
      <c r="N43" s="208"/>
      <c r="O43" s="208">
        <v>28.9</v>
      </c>
      <c r="P43" s="208"/>
      <c r="Q43" s="208">
        <v>94.1</v>
      </c>
      <c r="R43" s="208"/>
      <c r="S43" s="208">
        <v>127.6</v>
      </c>
      <c r="T43" s="208"/>
    </row>
    <row r="44" spans="1:20" ht="11.1" customHeight="1" x14ac:dyDescent="0.2">
      <c r="A44" s="205" t="s">
        <v>69</v>
      </c>
      <c r="B44" s="206" t="s">
        <v>70</v>
      </c>
      <c r="C44" s="206" t="s">
        <v>38</v>
      </c>
      <c r="D44" s="208">
        <v>3745</v>
      </c>
      <c r="E44" s="208"/>
      <c r="F44" s="207">
        <v>3830</v>
      </c>
      <c r="G44" s="208"/>
      <c r="H44" s="208">
        <v>5350</v>
      </c>
      <c r="I44" s="208"/>
      <c r="J44" s="208"/>
      <c r="K44" s="208">
        <v>62.6</v>
      </c>
      <c r="L44" s="208"/>
      <c r="M44" s="208"/>
      <c r="N44" s="208"/>
      <c r="O44" s="208">
        <v>28.9</v>
      </c>
      <c r="P44" s="208"/>
      <c r="Q44" s="208">
        <v>94.1</v>
      </c>
      <c r="R44" s="208"/>
      <c r="S44" s="208">
        <v>127.6</v>
      </c>
      <c r="T44" s="208"/>
    </row>
    <row r="45" spans="1:20" ht="11.1" customHeight="1" x14ac:dyDescent="0.2">
      <c r="A45" s="205" t="s">
        <v>71</v>
      </c>
      <c r="B45" s="206" t="s">
        <v>72</v>
      </c>
      <c r="C45" s="206" t="s">
        <v>38</v>
      </c>
      <c r="D45" s="208">
        <v>3545</v>
      </c>
      <c r="E45" s="208"/>
      <c r="F45" s="207">
        <v>3630</v>
      </c>
      <c r="G45" s="208">
        <v>3910</v>
      </c>
      <c r="H45" s="208">
        <v>5175</v>
      </c>
      <c r="I45" s="208">
        <v>17.899999999999999</v>
      </c>
      <c r="J45" s="208">
        <v>35</v>
      </c>
      <c r="K45" s="208">
        <v>62.6</v>
      </c>
      <c r="L45" s="208">
        <v>22</v>
      </c>
      <c r="M45" s="208">
        <v>42.3</v>
      </c>
      <c r="N45" s="208">
        <v>65.5</v>
      </c>
      <c r="O45" s="208">
        <v>28.9</v>
      </c>
      <c r="P45" s="208"/>
      <c r="Q45" s="208">
        <v>94.1</v>
      </c>
      <c r="R45" s="208"/>
      <c r="S45" s="208">
        <v>127.6</v>
      </c>
      <c r="T45" s="208"/>
    </row>
    <row r="46" spans="1:20" ht="11.1" customHeight="1" x14ac:dyDescent="0.2">
      <c r="A46" s="205" t="s">
        <v>73</v>
      </c>
      <c r="B46" s="206" t="s">
        <v>74</v>
      </c>
      <c r="C46" s="206" t="s">
        <v>64</v>
      </c>
      <c r="D46" s="208"/>
      <c r="E46" s="208"/>
      <c r="F46" s="207">
        <v>5230</v>
      </c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</row>
    <row r="47" spans="1:20" ht="11.1" customHeight="1" x14ac:dyDescent="0.2">
      <c r="A47" s="205" t="s">
        <v>75</v>
      </c>
      <c r="B47" s="206" t="s">
        <v>76</v>
      </c>
      <c r="C47" s="206" t="s">
        <v>44</v>
      </c>
      <c r="D47" s="208"/>
      <c r="E47" s="208"/>
      <c r="F47" s="207"/>
      <c r="G47" s="208"/>
      <c r="H47" s="208"/>
      <c r="I47" s="208">
        <v>17.899999999999999</v>
      </c>
      <c r="J47" s="208">
        <v>35</v>
      </c>
      <c r="K47" s="208">
        <v>62.6</v>
      </c>
      <c r="L47" s="208">
        <v>22</v>
      </c>
      <c r="M47" s="208">
        <v>42.3</v>
      </c>
      <c r="N47" s="208">
        <v>65.5</v>
      </c>
      <c r="O47" s="208">
        <v>28.9</v>
      </c>
      <c r="P47" s="208"/>
      <c r="Q47" s="208">
        <v>94.1</v>
      </c>
      <c r="R47" s="208"/>
      <c r="S47" s="208">
        <v>127.6</v>
      </c>
      <c r="T47" s="208"/>
    </row>
    <row r="48" spans="1:20" ht="11.1" customHeight="1" x14ac:dyDescent="0.2">
      <c r="A48" s="205" t="s">
        <v>77</v>
      </c>
      <c r="B48" s="206" t="s">
        <v>78</v>
      </c>
      <c r="C48" s="206" t="s">
        <v>44</v>
      </c>
      <c r="D48" s="208">
        <v>3445</v>
      </c>
      <c r="E48" s="208"/>
      <c r="F48" s="207">
        <v>3520</v>
      </c>
      <c r="G48" s="208">
        <v>3820</v>
      </c>
      <c r="H48" s="208">
        <v>5075</v>
      </c>
      <c r="I48" s="208">
        <v>18</v>
      </c>
      <c r="J48" s="208">
        <v>30</v>
      </c>
      <c r="K48" s="208"/>
      <c r="L48" s="208"/>
      <c r="M48" s="208"/>
      <c r="N48" s="208"/>
      <c r="O48" s="208"/>
      <c r="P48" s="208"/>
      <c r="Q48" s="208"/>
      <c r="R48" s="208"/>
      <c r="S48" s="208"/>
      <c r="T48" s="208"/>
    </row>
    <row r="49" spans="1:20" ht="11.1" customHeight="1" x14ac:dyDescent="0.2">
      <c r="A49" s="205" t="s">
        <v>79</v>
      </c>
      <c r="B49" s="206" t="s">
        <v>80</v>
      </c>
      <c r="C49" s="206" t="s">
        <v>64</v>
      </c>
      <c r="D49" s="208">
        <v>5150</v>
      </c>
      <c r="E49" s="208"/>
      <c r="F49" s="207">
        <v>5230</v>
      </c>
      <c r="G49" s="208">
        <v>5505</v>
      </c>
      <c r="H49" s="208">
        <v>6785</v>
      </c>
      <c r="I49" s="208">
        <v>17.899999999999999</v>
      </c>
      <c r="J49" s="208">
        <v>35</v>
      </c>
      <c r="K49" s="208">
        <v>62.6</v>
      </c>
      <c r="L49" s="208">
        <v>22</v>
      </c>
      <c r="M49" s="208">
        <v>42.3</v>
      </c>
      <c r="N49" s="208">
        <v>65.5</v>
      </c>
      <c r="O49" s="208">
        <v>28.9</v>
      </c>
      <c r="P49" s="208">
        <v>66.900000000000006</v>
      </c>
      <c r="Q49" s="208">
        <v>94.1</v>
      </c>
      <c r="R49" s="208"/>
      <c r="S49" s="208">
        <v>127.6</v>
      </c>
      <c r="T49" s="208"/>
    </row>
    <row r="50" spans="1:20" ht="11.1" customHeight="1" x14ac:dyDescent="0.2">
      <c r="A50" s="205" t="s">
        <v>81</v>
      </c>
      <c r="B50" s="206" t="s">
        <v>82</v>
      </c>
      <c r="C50" s="206" t="s">
        <v>44</v>
      </c>
      <c r="D50" s="208">
        <v>3545</v>
      </c>
      <c r="E50" s="208"/>
      <c r="F50" s="207">
        <v>3630</v>
      </c>
      <c r="G50" s="208"/>
      <c r="H50" s="208">
        <v>5175</v>
      </c>
      <c r="I50" s="208">
        <v>17.899999999999999</v>
      </c>
      <c r="J50" s="208">
        <v>35</v>
      </c>
      <c r="K50" s="208">
        <v>62.6</v>
      </c>
      <c r="L50" s="208"/>
      <c r="M50" s="208"/>
      <c r="N50" s="208"/>
      <c r="O50" s="208">
        <v>28.9</v>
      </c>
      <c r="P50" s="208">
        <v>66.900000000000006</v>
      </c>
      <c r="Q50" s="208">
        <v>94.1</v>
      </c>
      <c r="R50" s="208"/>
      <c r="S50" s="208">
        <v>127.6</v>
      </c>
      <c r="T50" s="208"/>
    </row>
    <row r="51" spans="1:20" ht="11.1" customHeight="1" x14ac:dyDescent="0.2">
      <c r="A51" s="205" t="s">
        <v>83</v>
      </c>
      <c r="B51" s="206" t="s">
        <v>84</v>
      </c>
      <c r="C51" s="206" t="s">
        <v>85</v>
      </c>
      <c r="D51" s="208"/>
      <c r="E51" s="208"/>
      <c r="F51" s="207"/>
      <c r="G51" s="208"/>
      <c r="H51" s="208"/>
      <c r="I51" s="208">
        <v>17.899999999999999</v>
      </c>
      <c r="J51" s="208"/>
      <c r="K51" s="208">
        <v>62.6</v>
      </c>
      <c r="L51" s="208"/>
      <c r="M51" s="208"/>
      <c r="N51" s="208"/>
      <c r="O51" s="208">
        <v>28.9</v>
      </c>
      <c r="P51" s="208"/>
      <c r="Q51" s="208">
        <v>94.1</v>
      </c>
      <c r="R51" s="208"/>
      <c r="S51" s="208">
        <v>127.6</v>
      </c>
      <c r="T51" s="208">
        <v>187.5</v>
      </c>
    </row>
    <row r="52" spans="1:20" ht="11.1" customHeight="1" x14ac:dyDescent="0.2">
      <c r="A52" s="205" t="s">
        <v>86</v>
      </c>
      <c r="B52" s="206" t="s">
        <v>87</v>
      </c>
      <c r="C52" s="206" t="s">
        <v>85</v>
      </c>
      <c r="D52" s="208">
        <v>3350</v>
      </c>
      <c r="E52" s="208"/>
      <c r="F52" s="207">
        <v>3425</v>
      </c>
      <c r="G52" s="208"/>
      <c r="H52" s="208">
        <v>4990</v>
      </c>
      <c r="I52" s="208">
        <v>17.899999999999999</v>
      </c>
      <c r="J52" s="208">
        <v>35</v>
      </c>
      <c r="K52" s="208">
        <v>62.6</v>
      </c>
      <c r="L52" s="208"/>
      <c r="M52" s="208"/>
      <c r="N52" s="208"/>
      <c r="O52" s="208">
        <v>28.9</v>
      </c>
      <c r="P52" s="208"/>
      <c r="Q52" s="208">
        <v>94.1</v>
      </c>
      <c r="R52" s="208"/>
      <c r="S52" s="208">
        <v>127.6</v>
      </c>
      <c r="T52" s="208"/>
    </row>
    <row r="53" spans="1:20" ht="11.1" customHeight="1" x14ac:dyDescent="0.2">
      <c r="A53" s="205" t="s">
        <v>88</v>
      </c>
      <c r="B53" s="206" t="s">
        <v>89</v>
      </c>
      <c r="C53" s="206" t="s">
        <v>22</v>
      </c>
      <c r="D53" s="208">
        <v>3350</v>
      </c>
      <c r="E53" s="208"/>
      <c r="F53" s="207">
        <v>3425</v>
      </c>
      <c r="G53" s="208"/>
      <c r="H53" s="208">
        <v>4990</v>
      </c>
      <c r="I53" s="208">
        <v>17.899999999999999</v>
      </c>
      <c r="J53" s="208">
        <v>35</v>
      </c>
      <c r="K53" s="208">
        <v>62.6</v>
      </c>
      <c r="L53" s="208"/>
      <c r="M53" s="208"/>
      <c r="N53" s="208"/>
      <c r="O53" s="208">
        <v>28.9</v>
      </c>
      <c r="P53" s="208">
        <v>66.900000000000006</v>
      </c>
      <c r="Q53" s="208">
        <v>94.1</v>
      </c>
      <c r="R53" s="208"/>
      <c r="S53" s="208">
        <v>127.6</v>
      </c>
      <c r="T53" s="208"/>
    </row>
    <row r="54" spans="1:20" ht="11.1" customHeight="1" x14ac:dyDescent="0.2">
      <c r="A54" s="205" t="s">
        <v>90</v>
      </c>
      <c r="B54" s="206" t="s">
        <v>91</v>
      </c>
      <c r="C54" s="206" t="s">
        <v>41</v>
      </c>
      <c r="D54" s="208">
        <v>3545</v>
      </c>
      <c r="E54" s="208"/>
      <c r="F54" s="207">
        <v>3630</v>
      </c>
      <c r="G54" s="208"/>
      <c r="H54" s="208">
        <v>5175</v>
      </c>
      <c r="I54" s="208">
        <v>17.899999999999999</v>
      </c>
      <c r="J54" s="208">
        <v>35</v>
      </c>
      <c r="K54" s="208">
        <v>62.6</v>
      </c>
      <c r="L54" s="208"/>
      <c r="M54" s="208"/>
      <c r="N54" s="208"/>
      <c r="O54" s="208">
        <v>28.9</v>
      </c>
      <c r="P54" s="208">
        <v>66.900000000000006</v>
      </c>
      <c r="Q54" s="208">
        <v>94.1</v>
      </c>
      <c r="R54" s="208"/>
      <c r="S54" s="208">
        <v>127.6</v>
      </c>
      <c r="T54" s="208"/>
    </row>
    <row r="55" spans="1:20" ht="11.1" customHeight="1" x14ac:dyDescent="0.2">
      <c r="A55" s="205" t="s">
        <v>628</v>
      </c>
      <c r="B55" s="206" t="s">
        <v>629</v>
      </c>
      <c r="C55" s="206" t="s">
        <v>38</v>
      </c>
      <c r="D55" s="208">
        <v>4210</v>
      </c>
      <c r="E55" s="208"/>
      <c r="F55" s="207">
        <v>4285</v>
      </c>
      <c r="G55" s="208"/>
      <c r="H55" s="208">
        <v>5765</v>
      </c>
      <c r="I55" s="208">
        <v>17.899999999999999</v>
      </c>
      <c r="J55" s="208">
        <v>35</v>
      </c>
      <c r="K55" s="208">
        <v>62.6</v>
      </c>
      <c r="L55" s="208"/>
      <c r="M55" s="208"/>
      <c r="N55" s="208"/>
      <c r="O55" s="208">
        <v>28.9</v>
      </c>
      <c r="P55" s="208"/>
      <c r="Q55" s="208">
        <v>94.1</v>
      </c>
      <c r="R55" s="208"/>
      <c r="S55" s="208">
        <v>127.6</v>
      </c>
      <c r="T55" s="208"/>
    </row>
    <row r="56" spans="1:20" ht="11.1" customHeight="1" x14ac:dyDescent="0.2">
      <c r="A56" s="205" t="s">
        <v>636</v>
      </c>
      <c r="B56" s="206" t="s">
        <v>637</v>
      </c>
      <c r="C56" s="206" t="s">
        <v>251</v>
      </c>
      <c r="D56" s="208">
        <v>4210</v>
      </c>
      <c r="E56" s="208"/>
      <c r="F56" s="207">
        <v>4285</v>
      </c>
      <c r="G56" s="208">
        <v>4550</v>
      </c>
      <c r="H56" s="208">
        <v>5765</v>
      </c>
      <c r="I56" s="208">
        <v>17.899999999999999</v>
      </c>
      <c r="J56" s="208">
        <v>35</v>
      </c>
      <c r="K56" s="208">
        <v>62.6</v>
      </c>
      <c r="L56" s="208">
        <v>22</v>
      </c>
      <c r="M56" s="208">
        <v>42.3</v>
      </c>
      <c r="N56" s="208">
        <v>65.5</v>
      </c>
      <c r="O56" s="208">
        <v>28.9</v>
      </c>
      <c r="P56" s="208"/>
      <c r="Q56" s="208">
        <v>94.1</v>
      </c>
      <c r="R56" s="208"/>
      <c r="S56" s="208">
        <v>127.6</v>
      </c>
      <c r="T56" s="208"/>
    </row>
    <row r="57" spans="1:20" ht="11.1" customHeight="1" x14ac:dyDescent="0.2">
      <c r="A57" s="205" t="s">
        <v>92</v>
      </c>
      <c r="B57" s="206" t="s">
        <v>93</v>
      </c>
      <c r="C57" s="206" t="s">
        <v>22</v>
      </c>
      <c r="D57" s="208">
        <v>3350</v>
      </c>
      <c r="E57" s="208"/>
      <c r="F57" s="207">
        <v>3425</v>
      </c>
      <c r="G57" s="208"/>
      <c r="H57" s="208">
        <v>4990</v>
      </c>
      <c r="I57" s="208">
        <v>17.899999999999999</v>
      </c>
      <c r="J57" s="208">
        <v>35</v>
      </c>
      <c r="K57" s="208">
        <v>62.6</v>
      </c>
      <c r="L57" s="208"/>
      <c r="M57" s="208"/>
      <c r="N57" s="208"/>
      <c r="O57" s="208">
        <v>28.9</v>
      </c>
      <c r="P57" s="208"/>
      <c r="Q57" s="208">
        <v>94.1</v>
      </c>
      <c r="R57" s="208"/>
      <c r="S57" s="208">
        <v>127.6</v>
      </c>
      <c r="T57" s="208">
        <v>187.5</v>
      </c>
    </row>
    <row r="58" spans="1:20" ht="11.1" customHeight="1" x14ac:dyDescent="0.2">
      <c r="A58" s="205" t="s">
        <v>94</v>
      </c>
      <c r="B58" s="206" t="s">
        <v>95</v>
      </c>
      <c r="C58" s="206" t="s">
        <v>44</v>
      </c>
      <c r="D58" s="208"/>
      <c r="E58" s="208"/>
      <c r="F58" s="207"/>
      <c r="G58" s="208"/>
      <c r="H58" s="208"/>
      <c r="I58" s="208">
        <v>17.899999999999999</v>
      </c>
      <c r="J58" s="208">
        <v>35</v>
      </c>
      <c r="K58" s="208">
        <v>62.6</v>
      </c>
      <c r="L58" s="208"/>
      <c r="M58" s="208"/>
      <c r="N58" s="208"/>
      <c r="O58" s="208">
        <v>28.9</v>
      </c>
      <c r="P58" s="208"/>
      <c r="Q58" s="208">
        <v>94.1</v>
      </c>
      <c r="R58" s="208"/>
      <c r="S58" s="208">
        <v>127.6</v>
      </c>
      <c r="T58" s="208"/>
    </row>
    <row r="59" spans="1:20" ht="11.1" customHeight="1" x14ac:dyDescent="0.2">
      <c r="A59" s="205" t="s">
        <v>96</v>
      </c>
      <c r="B59" s="206" t="s">
        <v>97</v>
      </c>
      <c r="C59" s="206" t="s">
        <v>44</v>
      </c>
      <c r="D59" s="208">
        <v>3745</v>
      </c>
      <c r="E59" s="208"/>
      <c r="F59" s="207">
        <v>3830</v>
      </c>
      <c r="G59" s="208">
        <v>4110</v>
      </c>
      <c r="H59" s="208">
        <v>5350</v>
      </c>
      <c r="I59" s="208">
        <v>17.899999999999999</v>
      </c>
      <c r="J59" s="208">
        <v>35</v>
      </c>
      <c r="K59" s="208">
        <v>62.6</v>
      </c>
      <c r="L59" s="208">
        <v>22</v>
      </c>
      <c r="M59" s="208">
        <v>42.3</v>
      </c>
      <c r="N59" s="208">
        <v>65.5</v>
      </c>
      <c r="O59" s="208">
        <v>28.9</v>
      </c>
      <c r="P59" s="208"/>
      <c r="Q59" s="208">
        <v>94.1</v>
      </c>
      <c r="R59" s="208"/>
      <c r="S59" s="208">
        <v>127.6</v>
      </c>
      <c r="T59" s="208"/>
    </row>
    <row r="60" spans="1:20" ht="11.1" customHeight="1" x14ac:dyDescent="0.2">
      <c r="A60" s="205" t="s">
        <v>98</v>
      </c>
      <c r="B60" s="206" t="s">
        <v>99</v>
      </c>
      <c r="C60" s="206" t="s">
        <v>44</v>
      </c>
      <c r="D60" s="208">
        <v>3545</v>
      </c>
      <c r="E60" s="208"/>
      <c r="F60" s="207">
        <v>3630</v>
      </c>
      <c r="G60" s="208"/>
      <c r="H60" s="208">
        <v>5175</v>
      </c>
      <c r="I60" s="208">
        <v>17.899999999999999</v>
      </c>
      <c r="J60" s="208">
        <v>35</v>
      </c>
      <c r="K60" s="208">
        <v>62.6</v>
      </c>
      <c r="L60" s="208"/>
      <c r="M60" s="208"/>
      <c r="N60" s="208"/>
      <c r="O60" s="208">
        <v>28.9</v>
      </c>
      <c r="P60" s="208">
        <v>66.900000000000006</v>
      </c>
      <c r="Q60" s="208">
        <v>94.1</v>
      </c>
      <c r="R60" s="208"/>
      <c r="S60" s="208">
        <v>127.6</v>
      </c>
      <c r="T60" s="208"/>
    </row>
    <row r="61" spans="1:20" ht="11.1" customHeight="1" x14ac:dyDescent="0.2">
      <c r="A61" s="205" t="s">
        <v>100</v>
      </c>
      <c r="B61" s="206" t="s">
        <v>101</v>
      </c>
      <c r="C61" s="206" t="s">
        <v>41</v>
      </c>
      <c r="D61" s="208">
        <v>3745</v>
      </c>
      <c r="E61" s="208"/>
      <c r="F61" s="207">
        <v>3830</v>
      </c>
      <c r="G61" s="208"/>
      <c r="H61" s="208">
        <v>5350</v>
      </c>
      <c r="I61" s="208">
        <v>17.899999999999999</v>
      </c>
      <c r="J61" s="208">
        <v>35</v>
      </c>
      <c r="K61" s="208">
        <v>62.6</v>
      </c>
      <c r="L61" s="208"/>
      <c r="M61" s="208"/>
      <c r="N61" s="208"/>
      <c r="O61" s="208">
        <v>28.9</v>
      </c>
      <c r="P61" s="208"/>
      <c r="Q61" s="208">
        <v>94.1</v>
      </c>
      <c r="R61" s="208"/>
      <c r="S61" s="208">
        <v>127.6</v>
      </c>
      <c r="T61" s="208"/>
    </row>
    <row r="62" spans="1:20" ht="11.1" customHeight="1" x14ac:dyDescent="0.2">
      <c r="A62" s="205" t="s">
        <v>102</v>
      </c>
      <c r="B62" s="206" t="s">
        <v>103</v>
      </c>
      <c r="C62" s="206" t="s">
        <v>41</v>
      </c>
      <c r="D62" s="208">
        <v>3745</v>
      </c>
      <c r="E62" s="208"/>
      <c r="F62" s="207">
        <v>3830</v>
      </c>
      <c r="G62" s="208">
        <v>4110</v>
      </c>
      <c r="H62" s="208">
        <v>5350</v>
      </c>
      <c r="I62" s="208">
        <v>17.899999999999999</v>
      </c>
      <c r="J62" s="208">
        <v>35</v>
      </c>
      <c r="K62" s="208">
        <v>62.6</v>
      </c>
      <c r="L62" s="208">
        <v>22</v>
      </c>
      <c r="M62" s="208">
        <v>42.3</v>
      </c>
      <c r="N62" s="208">
        <v>65.5</v>
      </c>
      <c r="O62" s="208">
        <v>28.9</v>
      </c>
      <c r="P62" s="208"/>
      <c r="Q62" s="208">
        <v>94.1</v>
      </c>
      <c r="R62" s="208"/>
      <c r="S62" s="208">
        <v>127.6</v>
      </c>
      <c r="T62" s="208">
        <v>187.5</v>
      </c>
    </row>
    <row r="63" spans="1:20" ht="11.1" customHeight="1" x14ac:dyDescent="0.2">
      <c r="A63" s="205" t="s">
        <v>696</v>
      </c>
      <c r="B63" s="206" t="s">
        <v>697</v>
      </c>
      <c r="C63" s="206" t="s">
        <v>251</v>
      </c>
      <c r="D63" s="208">
        <v>4210</v>
      </c>
      <c r="E63" s="208"/>
      <c r="F63" s="207">
        <v>4285</v>
      </c>
      <c r="G63" s="208">
        <v>4550</v>
      </c>
      <c r="H63" s="208">
        <v>5765</v>
      </c>
      <c r="I63" s="208">
        <v>17.899999999999999</v>
      </c>
      <c r="J63" s="208">
        <v>35</v>
      </c>
      <c r="K63" s="208">
        <v>62.6</v>
      </c>
      <c r="L63" s="208">
        <v>22</v>
      </c>
      <c r="M63" s="208">
        <v>42.3</v>
      </c>
      <c r="N63" s="208">
        <v>65.5</v>
      </c>
      <c r="O63" s="208">
        <v>28.9</v>
      </c>
      <c r="P63" s="208"/>
      <c r="Q63" s="208">
        <v>94.1</v>
      </c>
      <c r="R63" s="208"/>
      <c r="S63" s="208">
        <v>127.6</v>
      </c>
      <c r="T63" s="208"/>
    </row>
    <row r="64" spans="1:20" ht="11.1" customHeight="1" x14ac:dyDescent="0.2">
      <c r="A64" s="205" t="s">
        <v>104</v>
      </c>
      <c r="B64" s="206" t="s">
        <v>105</v>
      </c>
      <c r="C64" s="206" t="s">
        <v>64</v>
      </c>
      <c r="D64" s="208">
        <v>5150</v>
      </c>
      <c r="E64" s="208"/>
      <c r="F64" s="207">
        <v>5230</v>
      </c>
      <c r="G64" s="208">
        <v>5505</v>
      </c>
      <c r="H64" s="208">
        <v>6785</v>
      </c>
      <c r="I64" s="208">
        <v>17.899999999999999</v>
      </c>
      <c r="J64" s="208">
        <v>35</v>
      </c>
      <c r="K64" s="208">
        <v>62.6</v>
      </c>
      <c r="L64" s="208">
        <v>22</v>
      </c>
      <c r="M64" s="208">
        <v>42.3</v>
      </c>
      <c r="N64" s="208">
        <v>65.5</v>
      </c>
      <c r="O64" s="208">
        <v>28.9</v>
      </c>
      <c r="P64" s="208"/>
      <c r="Q64" s="208">
        <v>94.1</v>
      </c>
      <c r="R64" s="208"/>
      <c r="S64" s="208">
        <v>127.6</v>
      </c>
      <c r="T64" s="208">
        <v>187.5</v>
      </c>
    </row>
    <row r="65" spans="1:20" ht="11.1" customHeight="1" x14ac:dyDescent="0.2">
      <c r="A65" s="205" t="s">
        <v>106</v>
      </c>
      <c r="B65" s="206" t="s">
        <v>107</v>
      </c>
      <c r="C65" s="206" t="s">
        <v>41</v>
      </c>
      <c r="D65" s="208">
        <v>3745</v>
      </c>
      <c r="E65" s="208"/>
      <c r="F65" s="207">
        <v>3830</v>
      </c>
      <c r="G65" s="208">
        <v>4110</v>
      </c>
      <c r="H65" s="208">
        <v>5350</v>
      </c>
      <c r="I65" s="208">
        <v>17.899999999999999</v>
      </c>
      <c r="J65" s="208">
        <v>35</v>
      </c>
      <c r="K65" s="208">
        <v>62.6</v>
      </c>
      <c r="L65" s="208">
        <v>22</v>
      </c>
      <c r="M65" s="208">
        <v>42.3</v>
      </c>
      <c r="N65" s="208">
        <v>65.5</v>
      </c>
      <c r="O65" s="208">
        <v>28.9</v>
      </c>
      <c r="P65" s="208">
        <v>66.900000000000006</v>
      </c>
      <c r="Q65" s="208">
        <v>94.1</v>
      </c>
      <c r="R65" s="208"/>
      <c r="S65" s="208">
        <v>127.6</v>
      </c>
      <c r="T65" s="208"/>
    </row>
    <row r="66" spans="1:20" ht="11.1" customHeight="1" x14ac:dyDescent="0.2">
      <c r="A66" s="205" t="s">
        <v>108</v>
      </c>
      <c r="B66" s="206" t="s">
        <v>109</v>
      </c>
      <c r="C66" s="206" t="s">
        <v>41</v>
      </c>
      <c r="D66" s="208">
        <v>3745</v>
      </c>
      <c r="E66" s="208"/>
      <c r="F66" s="207">
        <v>3830</v>
      </c>
      <c r="G66" s="208">
        <v>4110</v>
      </c>
      <c r="H66" s="208">
        <v>5350</v>
      </c>
      <c r="I66" s="208">
        <v>17.899999999999999</v>
      </c>
      <c r="J66" s="208">
        <v>35</v>
      </c>
      <c r="K66" s="208">
        <v>62.6</v>
      </c>
      <c r="L66" s="208">
        <v>22</v>
      </c>
      <c r="M66" s="208">
        <v>42.3</v>
      </c>
      <c r="N66" s="208">
        <v>65.5</v>
      </c>
      <c r="O66" s="208">
        <v>28.9</v>
      </c>
      <c r="P66" s="208"/>
      <c r="Q66" s="208">
        <v>94.1</v>
      </c>
      <c r="R66" s="208"/>
      <c r="S66" s="208">
        <v>127.6</v>
      </c>
      <c r="T66" s="208"/>
    </row>
    <row r="67" spans="1:20" ht="11.1" customHeight="1" x14ac:dyDescent="0.2">
      <c r="A67" s="205" t="s">
        <v>110</v>
      </c>
      <c r="B67" s="206" t="s">
        <v>111</v>
      </c>
      <c r="C67" s="206" t="s">
        <v>41</v>
      </c>
      <c r="D67" s="208">
        <v>3745</v>
      </c>
      <c r="E67" s="208"/>
      <c r="F67" s="207">
        <v>3830</v>
      </c>
      <c r="G67" s="208">
        <v>4110</v>
      </c>
      <c r="H67" s="208">
        <v>5350</v>
      </c>
      <c r="I67" s="208">
        <v>17.899999999999999</v>
      </c>
      <c r="J67" s="208">
        <v>35</v>
      </c>
      <c r="K67" s="208">
        <v>62.6</v>
      </c>
      <c r="L67" s="208">
        <v>22</v>
      </c>
      <c r="M67" s="208">
        <v>42.3</v>
      </c>
      <c r="N67" s="208">
        <v>65.5</v>
      </c>
      <c r="O67" s="208">
        <v>28.9</v>
      </c>
      <c r="P67" s="208"/>
      <c r="Q67" s="208">
        <v>94.1</v>
      </c>
      <c r="R67" s="208"/>
      <c r="S67" s="208">
        <v>127.6</v>
      </c>
      <c r="T67" s="208"/>
    </row>
    <row r="68" spans="1:20" ht="11.1" customHeight="1" x14ac:dyDescent="0.2">
      <c r="A68" s="205" t="s">
        <v>747</v>
      </c>
      <c r="B68" s="206" t="s">
        <v>748</v>
      </c>
      <c r="C68" s="206" t="s">
        <v>55</v>
      </c>
      <c r="D68" s="208">
        <v>5505</v>
      </c>
      <c r="E68" s="208"/>
      <c r="F68" s="207">
        <v>5580</v>
      </c>
      <c r="G68" s="208"/>
      <c r="H68" s="208">
        <v>7160</v>
      </c>
      <c r="I68" s="208">
        <v>17.899999999999999</v>
      </c>
      <c r="J68" s="208">
        <v>35</v>
      </c>
      <c r="K68" s="208">
        <v>62.6</v>
      </c>
      <c r="L68" s="208"/>
      <c r="M68" s="208"/>
      <c r="N68" s="208"/>
      <c r="O68" s="208">
        <v>28.9</v>
      </c>
      <c r="P68" s="208"/>
      <c r="Q68" s="208">
        <v>94.1</v>
      </c>
      <c r="R68" s="208"/>
      <c r="S68" s="208">
        <v>127.6</v>
      </c>
      <c r="T68" s="208"/>
    </row>
    <row r="69" spans="1:20" ht="11.1" customHeight="1" x14ac:dyDescent="0.2">
      <c r="A69" s="205" t="s">
        <v>758</v>
      </c>
      <c r="B69" s="206" t="s">
        <v>759</v>
      </c>
      <c r="C69" s="206" t="s">
        <v>251</v>
      </c>
      <c r="D69" s="208">
        <v>4210</v>
      </c>
      <c r="E69" s="208"/>
      <c r="F69" s="207">
        <v>4285</v>
      </c>
      <c r="G69" s="208">
        <v>4550</v>
      </c>
      <c r="H69" s="208">
        <v>5765</v>
      </c>
      <c r="I69" s="208">
        <v>17.899999999999999</v>
      </c>
      <c r="J69" s="208">
        <v>35</v>
      </c>
      <c r="K69" s="208">
        <v>62.6</v>
      </c>
      <c r="L69" s="208">
        <v>22</v>
      </c>
      <c r="M69" s="208">
        <v>42.3</v>
      </c>
      <c r="N69" s="208">
        <v>65.5</v>
      </c>
      <c r="O69" s="208">
        <v>28.9</v>
      </c>
      <c r="P69" s="208"/>
      <c r="Q69" s="208">
        <v>94.1</v>
      </c>
      <c r="R69" s="208"/>
      <c r="S69" s="208">
        <v>127.6</v>
      </c>
      <c r="T69" s="208"/>
    </row>
    <row r="70" spans="1:20" ht="11.1" customHeight="1" x14ac:dyDescent="0.2">
      <c r="A70" s="205" t="s">
        <v>769</v>
      </c>
      <c r="B70" s="206" t="s">
        <v>770</v>
      </c>
      <c r="C70" s="206" t="s">
        <v>251</v>
      </c>
      <c r="D70" s="208">
        <v>4210</v>
      </c>
      <c r="E70" s="208"/>
      <c r="F70" s="207">
        <v>4285</v>
      </c>
      <c r="G70" s="208">
        <v>4550</v>
      </c>
      <c r="H70" s="208">
        <v>5765</v>
      </c>
      <c r="I70" s="208">
        <v>17.899999999999999</v>
      </c>
      <c r="J70" s="208">
        <v>35</v>
      </c>
      <c r="K70" s="208">
        <v>62.6</v>
      </c>
      <c r="L70" s="208">
        <v>22</v>
      </c>
      <c r="M70" s="208">
        <v>42.3</v>
      </c>
      <c r="N70" s="208">
        <v>65.5</v>
      </c>
      <c r="O70" s="208">
        <v>28.9</v>
      </c>
      <c r="P70" s="208"/>
      <c r="Q70" s="208">
        <v>94.1</v>
      </c>
      <c r="R70" s="208"/>
      <c r="S70" s="208">
        <v>127.6</v>
      </c>
      <c r="T70" s="208"/>
    </row>
    <row r="71" spans="1:20" ht="11.1" customHeight="1" x14ac:dyDescent="0.2">
      <c r="A71" s="205" t="s">
        <v>112</v>
      </c>
      <c r="B71" s="206" t="s">
        <v>113</v>
      </c>
      <c r="C71" s="206" t="s">
        <v>38</v>
      </c>
      <c r="D71" s="208">
        <v>3545</v>
      </c>
      <c r="E71" s="208"/>
      <c r="F71" s="207">
        <v>3630</v>
      </c>
      <c r="G71" s="208">
        <v>3910</v>
      </c>
      <c r="H71" s="208">
        <v>5175</v>
      </c>
      <c r="I71" s="208">
        <v>17.899999999999999</v>
      </c>
      <c r="J71" s="208">
        <v>35</v>
      </c>
      <c r="K71" s="208">
        <v>62.6</v>
      </c>
      <c r="L71" s="208">
        <v>22</v>
      </c>
      <c r="M71" s="208">
        <v>42.3</v>
      </c>
      <c r="N71" s="208">
        <v>65.5</v>
      </c>
      <c r="O71" s="208">
        <v>28.9</v>
      </c>
      <c r="P71" s="208"/>
      <c r="Q71" s="208">
        <v>94.1</v>
      </c>
      <c r="R71" s="208"/>
      <c r="S71" s="208">
        <v>127.6</v>
      </c>
      <c r="T71" s="208"/>
    </row>
    <row r="72" spans="1:20" ht="11.1" customHeight="1" x14ac:dyDescent="0.2">
      <c r="A72" s="205" t="s">
        <v>114</v>
      </c>
      <c r="B72" s="206" t="s">
        <v>115</v>
      </c>
      <c r="C72" s="206" t="s">
        <v>116</v>
      </c>
      <c r="D72" s="208">
        <v>5505</v>
      </c>
      <c r="E72" s="208"/>
      <c r="F72" s="207">
        <v>5580</v>
      </c>
      <c r="G72" s="208">
        <v>5860</v>
      </c>
      <c r="H72" s="208">
        <v>7160</v>
      </c>
      <c r="I72" s="208">
        <v>17.899999999999999</v>
      </c>
      <c r="J72" s="208">
        <v>35</v>
      </c>
      <c r="K72" s="208">
        <v>62.6</v>
      </c>
      <c r="L72" s="208">
        <v>22</v>
      </c>
      <c r="M72" s="208">
        <v>42.3</v>
      </c>
      <c r="N72" s="208">
        <v>65.5</v>
      </c>
      <c r="O72" s="208">
        <v>28.9</v>
      </c>
      <c r="P72" s="208">
        <v>66.900000000000006</v>
      </c>
      <c r="Q72" s="208">
        <v>94.1</v>
      </c>
      <c r="R72" s="208"/>
      <c r="S72" s="208">
        <v>127.6</v>
      </c>
      <c r="T72" s="208"/>
    </row>
    <row r="73" spans="1:20" ht="11.1" customHeight="1" x14ac:dyDescent="0.2">
      <c r="A73" s="205" t="s">
        <v>117</v>
      </c>
      <c r="B73" s="206" t="s">
        <v>118</v>
      </c>
      <c r="C73" s="206" t="s">
        <v>116</v>
      </c>
      <c r="D73" s="208">
        <v>5505</v>
      </c>
      <c r="E73" s="208"/>
      <c r="F73" s="207">
        <v>5580</v>
      </c>
      <c r="G73" s="208">
        <v>5860</v>
      </c>
      <c r="H73" s="208">
        <v>7160</v>
      </c>
      <c r="I73" s="208">
        <v>17.899999999999999</v>
      </c>
      <c r="J73" s="208">
        <v>35</v>
      </c>
      <c r="K73" s="208">
        <v>62.6</v>
      </c>
      <c r="L73" s="208">
        <v>22</v>
      </c>
      <c r="M73" s="208">
        <v>42.3</v>
      </c>
      <c r="N73" s="208">
        <v>65.5</v>
      </c>
      <c r="O73" s="208"/>
      <c r="P73" s="208"/>
      <c r="Q73" s="208">
        <v>94.1</v>
      </c>
      <c r="R73" s="208"/>
      <c r="S73" s="208">
        <v>127.6</v>
      </c>
      <c r="T73" s="208"/>
    </row>
    <row r="74" spans="1:20" ht="11.1" customHeight="1" x14ac:dyDescent="0.2">
      <c r="A74" s="205" t="s">
        <v>810</v>
      </c>
      <c r="B74" s="206" t="s">
        <v>811</v>
      </c>
      <c r="C74" s="206" t="s">
        <v>116</v>
      </c>
      <c r="D74" s="208">
        <v>5505</v>
      </c>
      <c r="E74" s="208"/>
      <c r="F74" s="207">
        <v>5580</v>
      </c>
      <c r="G74" s="208"/>
      <c r="H74" s="208">
        <v>7160</v>
      </c>
      <c r="I74" s="208">
        <v>17.899999999999999</v>
      </c>
      <c r="J74" s="208">
        <v>35</v>
      </c>
      <c r="K74" s="208">
        <v>62.6</v>
      </c>
      <c r="L74" s="208"/>
      <c r="M74" s="208"/>
      <c r="N74" s="208"/>
      <c r="O74" s="208">
        <v>28.9</v>
      </c>
      <c r="P74" s="208">
        <v>66.900000000000006</v>
      </c>
      <c r="Q74" s="208">
        <v>94.1</v>
      </c>
      <c r="R74" s="208"/>
      <c r="S74" s="208">
        <v>127.6</v>
      </c>
      <c r="T74" s="208"/>
    </row>
    <row r="75" spans="1:20" ht="11.1" customHeight="1" x14ac:dyDescent="0.2">
      <c r="A75" s="205" t="s">
        <v>819</v>
      </c>
      <c r="B75" s="206" t="s">
        <v>820</v>
      </c>
      <c r="C75" s="206" t="s">
        <v>64</v>
      </c>
      <c r="D75" s="208">
        <v>5150</v>
      </c>
      <c r="E75" s="208"/>
      <c r="F75" s="207">
        <v>5230</v>
      </c>
      <c r="G75" s="208">
        <v>5505</v>
      </c>
      <c r="H75" s="208">
        <v>6785</v>
      </c>
      <c r="I75" s="208">
        <v>17.899999999999999</v>
      </c>
      <c r="J75" s="208">
        <v>35</v>
      </c>
      <c r="K75" s="208">
        <v>62.6</v>
      </c>
      <c r="L75" s="208">
        <v>22</v>
      </c>
      <c r="M75" s="208">
        <v>42.3</v>
      </c>
      <c r="N75" s="208">
        <v>65.5</v>
      </c>
      <c r="O75" s="208">
        <v>28.9</v>
      </c>
      <c r="P75" s="208"/>
      <c r="Q75" s="208">
        <v>94.1</v>
      </c>
      <c r="R75" s="208"/>
      <c r="S75" s="208">
        <v>127.6</v>
      </c>
      <c r="T75" s="208"/>
    </row>
    <row r="76" spans="1:20" ht="11.1" customHeight="1" x14ac:dyDescent="0.2">
      <c r="A76" s="205" t="s">
        <v>119</v>
      </c>
      <c r="B76" s="206" t="s">
        <v>120</v>
      </c>
      <c r="C76" s="206" t="s">
        <v>38</v>
      </c>
      <c r="D76" s="208">
        <v>3745</v>
      </c>
      <c r="E76" s="208"/>
      <c r="F76" s="207">
        <v>3830</v>
      </c>
      <c r="G76" s="208">
        <v>4110</v>
      </c>
      <c r="H76" s="208">
        <v>5350</v>
      </c>
      <c r="I76" s="208">
        <v>17.899999999999999</v>
      </c>
      <c r="J76" s="208">
        <v>35</v>
      </c>
      <c r="K76" s="208">
        <v>62.6</v>
      </c>
      <c r="L76" s="208">
        <v>22</v>
      </c>
      <c r="M76" s="208">
        <v>42.3</v>
      </c>
      <c r="N76" s="208">
        <v>65.5</v>
      </c>
      <c r="O76" s="208">
        <v>28.9</v>
      </c>
      <c r="P76" s="208">
        <v>66.900000000000006</v>
      </c>
      <c r="Q76" s="208">
        <v>94.1</v>
      </c>
      <c r="R76" s="208"/>
      <c r="S76" s="208">
        <v>127.6</v>
      </c>
      <c r="T76" s="208">
        <v>187.5</v>
      </c>
    </row>
    <row r="77" spans="1:20" ht="11.1" customHeight="1" x14ac:dyDescent="0.2">
      <c r="A77" s="205" t="s">
        <v>121</v>
      </c>
      <c r="B77" s="206" t="s">
        <v>122</v>
      </c>
      <c r="C77" s="206" t="s">
        <v>116</v>
      </c>
      <c r="D77" s="208">
        <v>5505</v>
      </c>
      <c r="E77" s="208"/>
      <c r="F77" s="207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</row>
    <row r="78" spans="1:20" ht="11.1" customHeight="1" x14ac:dyDescent="0.2">
      <c r="A78" s="205" t="s">
        <v>123</v>
      </c>
      <c r="B78" s="206" t="s">
        <v>124</v>
      </c>
      <c r="C78" s="206" t="s">
        <v>41</v>
      </c>
      <c r="D78" s="208">
        <v>3445</v>
      </c>
      <c r="E78" s="208"/>
      <c r="F78" s="207">
        <v>3520</v>
      </c>
      <c r="G78" s="208">
        <v>3820</v>
      </c>
      <c r="H78" s="208">
        <v>5075</v>
      </c>
      <c r="I78" s="208">
        <v>17.899999999999999</v>
      </c>
      <c r="J78" s="208">
        <v>35</v>
      </c>
      <c r="K78" s="208">
        <v>62.6</v>
      </c>
      <c r="L78" s="208">
        <v>22</v>
      </c>
      <c r="M78" s="208">
        <v>42.3</v>
      </c>
      <c r="N78" s="208">
        <v>65.5</v>
      </c>
      <c r="O78" s="208">
        <v>28.9</v>
      </c>
      <c r="P78" s="208">
        <v>66.900000000000006</v>
      </c>
      <c r="Q78" s="208">
        <v>94.1</v>
      </c>
      <c r="R78" s="208"/>
      <c r="S78" s="208">
        <v>127.6</v>
      </c>
      <c r="T78" s="208"/>
    </row>
    <row r="79" spans="1:20" ht="11.1" customHeight="1" x14ac:dyDescent="0.2">
      <c r="A79" s="205" t="s">
        <v>125</v>
      </c>
      <c r="B79" s="206" t="s">
        <v>126</v>
      </c>
      <c r="C79" s="206" t="s">
        <v>41</v>
      </c>
      <c r="D79" s="208">
        <v>3445</v>
      </c>
      <c r="E79" s="208"/>
      <c r="F79" s="207">
        <v>3520</v>
      </c>
      <c r="G79" s="208">
        <v>3820</v>
      </c>
      <c r="H79" s="208">
        <v>5075</v>
      </c>
      <c r="I79" s="208">
        <v>17.899999999999999</v>
      </c>
      <c r="J79" s="208">
        <v>35</v>
      </c>
      <c r="K79" s="208">
        <v>62.6</v>
      </c>
      <c r="L79" s="208">
        <v>22</v>
      </c>
      <c r="M79" s="208">
        <v>42.3</v>
      </c>
      <c r="N79" s="208">
        <v>65.5</v>
      </c>
      <c r="O79" s="208">
        <v>28.9</v>
      </c>
      <c r="P79" s="208"/>
      <c r="Q79" s="208">
        <v>94.1</v>
      </c>
      <c r="R79" s="208"/>
      <c r="S79" s="208">
        <v>127.6</v>
      </c>
      <c r="T79" s="208"/>
    </row>
    <row r="80" spans="1:20" ht="11.1" customHeight="1" x14ac:dyDescent="0.2">
      <c r="A80" s="205" t="s">
        <v>127</v>
      </c>
      <c r="B80" s="206" t="s">
        <v>128</v>
      </c>
      <c r="C80" s="206" t="s">
        <v>21</v>
      </c>
      <c r="D80" s="208">
        <v>5505</v>
      </c>
      <c r="E80" s="208"/>
      <c r="F80" s="207">
        <v>5580</v>
      </c>
      <c r="G80" s="208"/>
      <c r="H80" s="208">
        <v>7160</v>
      </c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</row>
    <row r="81" spans="1:20" ht="11.1" customHeight="1" x14ac:dyDescent="0.2">
      <c r="A81" s="205" t="s">
        <v>860</v>
      </c>
      <c r="B81" s="206" t="s">
        <v>861</v>
      </c>
      <c r="C81" s="206" t="s">
        <v>21</v>
      </c>
      <c r="D81" s="208">
        <v>5505</v>
      </c>
      <c r="E81" s="208"/>
      <c r="F81" s="207">
        <v>5580</v>
      </c>
      <c r="G81" s="208">
        <v>5860</v>
      </c>
      <c r="H81" s="208">
        <v>7160</v>
      </c>
      <c r="I81" s="208">
        <v>17.899999999999999</v>
      </c>
      <c r="J81" s="208">
        <v>35</v>
      </c>
      <c r="K81" s="208"/>
      <c r="L81" s="208">
        <v>22</v>
      </c>
      <c r="M81" s="208">
        <v>42.3</v>
      </c>
      <c r="N81" s="208">
        <v>65.5</v>
      </c>
      <c r="O81" s="208">
        <v>28.9</v>
      </c>
      <c r="P81" s="208"/>
      <c r="Q81" s="208"/>
      <c r="R81" s="208"/>
      <c r="S81" s="208">
        <v>127.6</v>
      </c>
      <c r="T81" s="208"/>
    </row>
    <row r="82" spans="1:20" ht="11.1" customHeight="1" x14ac:dyDescent="0.2">
      <c r="A82" s="205" t="s">
        <v>129</v>
      </c>
      <c r="B82" s="206" t="s">
        <v>130</v>
      </c>
      <c r="C82" s="206" t="s">
        <v>44</v>
      </c>
      <c r="D82" s="208">
        <v>3745</v>
      </c>
      <c r="E82" s="208"/>
      <c r="F82" s="207">
        <v>3830</v>
      </c>
      <c r="G82" s="208">
        <v>4110</v>
      </c>
      <c r="H82" s="208">
        <v>5350</v>
      </c>
      <c r="I82" s="208">
        <v>17.899999999999999</v>
      </c>
      <c r="J82" s="208">
        <v>35</v>
      </c>
      <c r="K82" s="208">
        <v>62.6</v>
      </c>
      <c r="L82" s="208">
        <v>22</v>
      </c>
      <c r="M82" s="208">
        <v>42.3</v>
      </c>
      <c r="N82" s="208">
        <v>65.5</v>
      </c>
      <c r="O82" s="208">
        <v>28.9</v>
      </c>
      <c r="P82" s="208"/>
      <c r="Q82" s="208">
        <v>94.1</v>
      </c>
      <c r="R82" s="208"/>
      <c r="S82" s="208">
        <v>127.6</v>
      </c>
      <c r="T82" s="208"/>
    </row>
    <row r="83" spans="1:20" ht="11.1" customHeight="1" x14ac:dyDescent="0.2">
      <c r="A83" s="205" t="s">
        <v>131</v>
      </c>
      <c r="B83" s="206" t="s">
        <v>132</v>
      </c>
      <c r="C83" s="206" t="s">
        <v>44</v>
      </c>
      <c r="D83" s="208">
        <v>3745</v>
      </c>
      <c r="E83" s="208"/>
      <c r="F83" s="207">
        <v>3830</v>
      </c>
      <c r="G83" s="208">
        <v>4110</v>
      </c>
      <c r="H83" s="208">
        <v>5350</v>
      </c>
      <c r="I83" s="208">
        <v>17.899999999999999</v>
      </c>
      <c r="J83" s="208">
        <v>35</v>
      </c>
      <c r="K83" s="208">
        <v>62.6</v>
      </c>
      <c r="L83" s="208">
        <v>22</v>
      </c>
      <c r="M83" s="208">
        <v>42.3</v>
      </c>
      <c r="N83" s="208">
        <v>65.5</v>
      </c>
      <c r="O83" s="208">
        <v>28.9</v>
      </c>
      <c r="P83" s="208"/>
      <c r="Q83" s="208">
        <v>94.1</v>
      </c>
      <c r="R83" s="208"/>
      <c r="S83" s="208">
        <v>127.6</v>
      </c>
      <c r="T83" s="208"/>
    </row>
    <row r="84" spans="1:20" ht="11.1" customHeight="1" x14ac:dyDescent="0.2">
      <c r="A84" s="205" t="s">
        <v>133</v>
      </c>
      <c r="B84" s="206" t="s">
        <v>134</v>
      </c>
      <c r="C84" s="206" t="s">
        <v>44</v>
      </c>
      <c r="D84" s="208">
        <v>3745</v>
      </c>
      <c r="E84" s="208"/>
      <c r="F84" s="207">
        <v>3830</v>
      </c>
      <c r="G84" s="208">
        <v>4110</v>
      </c>
      <c r="H84" s="208">
        <v>5350</v>
      </c>
      <c r="I84" s="208">
        <v>17.899999999999999</v>
      </c>
      <c r="J84" s="208">
        <v>35</v>
      </c>
      <c r="K84" s="208">
        <v>62.6</v>
      </c>
      <c r="L84" s="208">
        <v>22</v>
      </c>
      <c r="M84" s="208">
        <v>42.3</v>
      </c>
      <c r="N84" s="208">
        <v>65.5</v>
      </c>
      <c r="O84" s="208">
        <v>28.9</v>
      </c>
      <c r="P84" s="208"/>
      <c r="Q84" s="208">
        <v>94.1</v>
      </c>
      <c r="R84" s="208"/>
      <c r="S84" s="208">
        <v>127.6</v>
      </c>
      <c r="T84" s="208"/>
    </row>
    <row r="85" spans="1:20" ht="11.1" customHeight="1" x14ac:dyDescent="0.2">
      <c r="A85" s="205" t="s">
        <v>135</v>
      </c>
      <c r="B85" s="206" t="s">
        <v>136</v>
      </c>
      <c r="C85" s="206" t="s">
        <v>44</v>
      </c>
      <c r="D85" s="208">
        <v>3745</v>
      </c>
      <c r="E85" s="208"/>
      <c r="F85" s="207">
        <v>3830</v>
      </c>
      <c r="G85" s="208">
        <v>4110</v>
      </c>
      <c r="H85" s="208">
        <v>5350</v>
      </c>
      <c r="I85" s="208">
        <v>17.899999999999999</v>
      </c>
      <c r="J85" s="208">
        <v>35</v>
      </c>
      <c r="K85" s="208">
        <v>62.6</v>
      </c>
      <c r="L85" s="208">
        <v>22</v>
      </c>
      <c r="M85" s="208">
        <v>42.3</v>
      </c>
      <c r="N85" s="208">
        <v>65.5</v>
      </c>
      <c r="O85" s="208">
        <v>28.9</v>
      </c>
      <c r="P85" s="208">
        <v>66.900000000000006</v>
      </c>
      <c r="Q85" s="208">
        <v>94.1</v>
      </c>
      <c r="R85" s="208"/>
      <c r="S85" s="208">
        <v>127.6</v>
      </c>
      <c r="T85" s="208"/>
    </row>
    <row r="86" spans="1:20" ht="11.1" customHeight="1" x14ac:dyDescent="0.2">
      <c r="A86" s="205" t="s">
        <v>137</v>
      </c>
      <c r="B86" s="206" t="s">
        <v>138</v>
      </c>
      <c r="C86" s="206" t="s">
        <v>44</v>
      </c>
      <c r="D86" s="208">
        <v>3745</v>
      </c>
      <c r="E86" s="208"/>
      <c r="F86" s="207">
        <v>3830</v>
      </c>
      <c r="G86" s="208">
        <v>4110</v>
      </c>
      <c r="H86" s="208">
        <v>5350</v>
      </c>
      <c r="I86" s="208">
        <v>17.899999999999999</v>
      </c>
      <c r="J86" s="208">
        <v>35</v>
      </c>
      <c r="K86" s="208">
        <v>62.6</v>
      </c>
      <c r="L86" s="208">
        <v>22</v>
      </c>
      <c r="M86" s="208">
        <v>42.3</v>
      </c>
      <c r="N86" s="208">
        <v>65.5</v>
      </c>
      <c r="O86" s="208">
        <v>28.9</v>
      </c>
      <c r="P86" s="208">
        <v>66.900000000000006</v>
      </c>
      <c r="Q86" s="208"/>
      <c r="R86" s="208"/>
      <c r="S86" s="208">
        <v>127.6</v>
      </c>
      <c r="T86" s="208"/>
    </row>
    <row r="87" spans="1:20" ht="11.1" customHeight="1" x14ac:dyDescent="0.2">
      <c r="A87" s="205" t="s">
        <v>139</v>
      </c>
      <c r="B87" s="206" t="s">
        <v>140</v>
      </c>
      <c r="C87" s="206" t="s">
        <v>38</v>
      </c>
      <c r="D87" s="208"/>
      <c r="E87" s="208"/>
      <c r="F87" s="207"/>
      <c r="G87" s="208"/>
      <c r="H87" s="208"/>
      <c r="I87" s="208">
        <v>17.899999999999999</v>
      </c>
      <c r="J87" s="208">
        <v>35</v>
      </c>
      <c r="K87" s="208">
        <v>62.6</v>
      </c>
      <c r="L87" s="208">
        <v>22</v>
      </c>
      <c r="M87" s="208">
        <v>42.3</v>
      </c>
      <c r="N87" s="208">
        <v>65.5</v>
      </c>
      <c r="O87" s="208">
        <v>28.9</v>
      </c>
      <c r="P87" s="208"/>
      <c r="Q87" s="208">
        <v>94.1</v>
      </c>
      <c r="R87" s="208"/>
      <c r="S87" s="208">
        <v>127.6</v>
      </c>
      <c r="T87" s="208"/>
    </row>
    <row r="88" spans="1:20" ht="11.1" customHeight="1" x14ac:dyDescent="0.2">
      <c r="A88" s="205" t="s">
        <v>141</v>
      </c>
      <c r="B88" s="206" t="s">
        <v>142</v>
      </c>
      <c r="C88" s="206" t="s">
        <v>38</v>
      </c>
      <c r="D88" s="208"/>
      <c r="E88" s="208"/>
      <c r="F88" s="207"/>
      <c r="G88" s="208"/>
      <c r="H88" s="208"/>
      <c r="I88" s="208">
        <v>17.899999999999999</v>
      </c>
      <c r="J88" s="208">
        <v>35</v>
      </c>
      <c r="K88" s="208">
        <v>62.6</v>
      </c>
      <c r="L88" s="208">
        <v>22</v>
      </c>
      <c r="M88" s="208">
        <v>42.3</v>
      </c>
      <c r="N88" s="208">
        <v>65.5</v>
      </c>
      <c r="O88" s="208">
        <v>28.9</v>
      </c>
      <c r="P88" s="208"/>
      <c r="Q88" s="208">
        <v>94.1</v>
      </c>
      <c r="R88" s="208"/>
      <c r="S88" s="208">
        <v>127.6</v>
      </c>
      <c r="T88" s="208"/>
    </row>
    <row r="89" spans="1:20" ht="11.1" customHeight="1" x14ac:dyDescent="0.2">
      <c r="A89" s="205" t="s">
        <v>1666</v>
      </c>
      <c r="B89" s="206" t="s">
        <v>1667</v>
      </c>
      <c r="C89" s="206" t="s">
        <v>85</v>
      </c>
      <c r="D89" s="208"/>
      <c r="E89" s="208"/>
      <c r="F89" s="207">
        <v>3425</v>
      </c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</row>
    <row r="90" spans="1:20" ht="11.1" customHeight="1" x14ac:dyDescent="0.2">
      <c r="A90" s="205" t="s">
        <v>933</v>
      </c>
      <c r="B90" s="206" t="s">
        <v>934</v>
      </c>
      <c r="C90" s="206" t="s">
        <v>41</v>
      </c>
      <c r="D90" s="208">
        <v>3745</v>
      </c>
      <c r="E90" s="208"/>
      <c r="F90" s="207">
        <v>3830</v>
      </c>
      <c r="G90" s="208">
        <v>4110</v>
      </c>
      <c r="H90" s="208">
        <v>5350</v>
      </c>
      <c r="I90" s="208">
        <v>17.899999999999999</v>
      </c>
      <c r="J90" s="208">
        <v>35</v>
      </c>
      <c r="K90" s="208">
        <v>62.6</v>
      </c>
      <c r="L90" s="208">
        <v>22</v>
      </c>
      <c r="M90" s="208">
        <v>42.3</v>
      </c>
      <c r="N90" s="208">
        <v>65.5</v>
      </c>
      <c r="O90" s="208">
        <v>28.9</v>
      </c>
      <c r="P90" s="208"/>
      <c r="Q90" s="208">
        <v>94.1</v>
      </c>
      <c r="R90" s="208"/>
      <c r="S90" s="208">
        <v>127.6</v>
      </c>
      <c r="T90" s="208"/>
    </row>
    <row r="91" spans="1:20" ht="11.1" customHeight="1" x14ac:dyDescent="0.2">
      <c r="A91" s="205" t="s">
        <v>143</v>
      </c>
      <c r="B91" s="206" t="s">
        <v>144</v>
      </c>
      <c r="C91" s="206" t="s">
        <v>38</v>
      </c>
      <c r="D91" s="208">
        <v>3545</v>
      </c>
      <c r="E91" s="208"/>
      <c r="F91" s="207">
        <v>3630</v>
      </c>
      <c r="G91" s="208">
        <v>3910</v>
      </c>
      <c r="H91" s="208">
        <v>5175</v>
      </c>
      <c r="I91" s="208">
        <v>17.899999999999999</v>
      </c>
      <c r="J91" s="208">
        <v>35</v>
      </c>
      <c r="K91" s="208">
        <v>62.6</v>
      </c>
      <c r="L91" s="208">
        <v>22</v>
      </c>
      <c r="M91" s="208">
        <v>42.3</v>
      </c>
      <c r="N91" s="208">
        <v>65.5</v>
      </c>
      <c r="O91" s="208">
        <v>28.9</v>
      </c>
      <c r="P91" s="208"/>
      <c r="Q91" s="208">
        <v>94.1</v>
      </c>
      <c r="R91" s="208"/>
      <c r="S91" s="208">
        <v>127.6</v>
      </c>
      <c r="T91" s="208">
        <v>187.5</v>
      </c>
    </row>
    <row r="92" spans="1:20" ht="11.1" customHeight="1" x14ac:dyDescent="0.2">
      <c r="A92" s="205" t="s">
        <v>145</v>
      </c>
      <c r="B92" s="206" t="s">
        <v>146</v>
      </c>
      <c r="C92" s="206" t="s">
        <v>22</v>
      </c>
      <c r="D92" s="208">
        <v>3350</v>
      </c>
      <c r="E92" s="208"/>
      <c r="F92" s="207">
        <v>3425</v>
      </c>
      <c r="G92" s="208">
        <v>3725</v>
      </c>
      <c r="H92" s="208">
        <v>4990</v>
      </c>
      <c r="I92" s="208">
        <v>17.899999999999999</v>
      </c>
      <c r="J92" s="208">
        <v>35</v>
      </c>
      <c r="K92" s="208">
        <v>62.6</v>
      </c>
      <c r="L92" s="208">
        <v>22</v>
      </c>
      <c r="M92" s="208">
        <v>42.3</v>
      </c>
      <c r="N92" s="208">
        <v>65.5</v>
      </c>
      <c r="O92" s="208">
        <v>28.9</v>
      </c>
      <c r="P92" s="208"/>
      <c r="Q92" s="208">
        <v>94.1</v>
      </c>
      <c r="R92" s="208"/>
      <c r="S92" s="208">
        <v>127.6</v>
      </c>
      <c r="T92" s="208">
        <v>187.5</v>
      </c>
    </row>
    <row r="93" spans="1:20" ht="11.1" customHeight="1" x14ac:dyDescent="0.2">
      <c r="A93" s="205" t="s">
        <v>1681</v>
      </c>
      <c r="B93" s="206" t="s">
        <v>1682</v>
      </c>
      <c r="C93" s="206" t="s">
        <v>22</v>
      </c>
      <c r="D93" s="208"/>
      <c r="E93" s="208"/>
      <c r="F93" s="207">
        <v>6440</v>
      </c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</row>
    <row r="94" spans="1:20" ht="11.1" customHeight="1" x14ac:dyDescent="0.2">
      <c r="A94" s="205" t="s">
        <v>147</v>
      </c>
      <c r="B94" s="206" t="s">
        <v>148</v>
      </c>
      <c r="C94" s="206" t="s">
        <v>22</v>
      </c>
      <c r="D94" s="208">
        <v>3350</v>
      </c>
      <c r="E94" s="208"/>
      <c r="F94" s="207">
        <v>3425</v>
      </c>
      <c r="G94" s="208"/>
      <c r="H94" s="208">
        <v>4990</v>
      </c>
      <c r="I94" s="208">
        <v>17.899999999999999</v>
      </c>
      <c r="J94" s="208">
        <v>35</v>
      </c>
      <c r="K94" s="208">
        <v>62.6</v>
      </c>
      <c r="L94" s="208"/>
      <c r="M94" s="208"/>
      <c r="N94" s="208"/>
      <c r="O94" s="208">
        <v>28.9</v>
      </c>
      <c r="P94" s="208"/>
      <c r="Q94" s="208">
        <v>94.1</v>
      </c>
      <c r="R94" s="208"/>
      <c r="S94" s="208">
        <v>127.6</v>
      </c>
      <c r="T94" s="208"/>
    </row>
    <row r="95" spans="1:20" ht="11.1" customHeight="1" x14ac:dyDescent="0.2">
      <c r="A95" s="205" t="s">
        <v>149</v>
      </c>
      <c r="B95" s="206" t="s">
        <v>150</v>
      </c>
      <c r="C95" s="206" t="s">
        <v>22</v>
      </c>
      <c r="D95" s="208">
        <v>3545</v>
      </c>
      <c r="E95" s="208"/>
      <c r="F95" s="207">
        <v>3630</v>
      </c>
      <c r="G95" s="208"/>
      <c r="H95" s="208">
        <v>5175</v>
      </c>
      <c r="I95" s="208">
        <v>17.899999999999999</v>
      </c>
      <c r="J95" s="208">
        <v>35</v>
      </c>
      <c r="K95" s="208">
        <v>62.6</v>
      </c>
      <c r="L95" s="208"/>
      <c r="M95" s="208"/>
      <c r="N95" s="208"/>
      <c r="O95" s="208">
        <v>28.9</v>
      </c>
      <c r="P95" s="208">
        <v>66.900000000000006</v>
      </c>
      <c r="Q95" s="208">
        <v>94.1</v>
      </c>
      <c r="R95" s="208"/>
      <c r="S95" s="208">
        <v>127.6</v>
      </c>
      <c r="T95" s="208"/>
    </row>
    <row r="96" spans="1:20" ht="11.1" customHeight="1" x14ac:dyDescent="0.2">
      <c r="A96" s="205" t="s">
        <v>2069</v>
      </c>
      <c r="B96" s="206" t="s">
        <v>54</v>
      </c>
      <c r="C96" s="206" t="s">
        <v>2070</v>
      </c>
      <c r="D96" s="208"/>
      <c r="E96" s="208"/>
      <c r="F96" s="207"/>
      <c r="G96" s="208"/>
      <c r="H96" s="208"/>
      <c r="I96" s="208"/>
      <c r="J96" s="208"/>
      <c r="K96" s="208"/>
      <c r="L96" s="208"/>
      <c r="M96" s="208">
        <v>43.4</v>
      </c>
      <c r="N96" s="208"/>
      <c r="O96" s="208"/>
      <c r="P96" s="208"/>
      <c r="Q96" s="208"/>
      <c r="R96" s="208"/>
      <c r="S96" s="208"/>
      <c r="T96" s="208"/>
    </row>
    <row r="97" spans="1:20" ht="11.1" customHeight="1" x14ac:dyDescent="0.2">
      <c r="A97" s="205" t="s">
        <v>2072</v>
      </c>
      <c r="B97" s="206" t="s">
        <v>57</v>
      </c>
      <c r="C97" s="206" t="s">
        <v>2070</v>
      </c>
      <c r="D97" s="208"/>
      <c r="E97" s="208"/>
      <c r="F97" s="207"/>
      <c r="G97" s="208"/>
      <c r="H97" s="208"/>
      <c r="I97" s="208"/>
      <c r="J97" s="208"/>
      <c r="K97" s="208"/>
      <c r="L97" s="208"/>
      <c r="M97" s="208">
        <v>43.4</v>
      </c>
      <c r="N97" s="208"/>
      <c r="O97" s="208"/>
      <c r="P97" s="208"/>
      <c r="Q97" s="208"/>
      <c r="R97" s="208"/>
      <c r="S97" s="208"/>
      <c r="T97" s="208"/>
    </row>
    <row r="98" spans="1:20" ht="11.1" customHeight="1" x14ac:dyDescent="0.2">
      <c r="A98" s="205" t="s">
        <v>2074</v>
      </c>
      <c r="B98" s="206" t="s">
        <v>59</v>
      </c>
      <c r="C98" s="206" t="s">
        <v>2070</v>
      </c>
      <c r="D98" s="208"/>
      <c r="E98" s="208"/>
      <c r="F98" s="207"/>
      <c r="G98" s="208"/>
      <c r="H98" s="208"/>
      <c r="I98" s="208"/>
      <c r="J98" s="208"/>
      <c r="K98" s="208"/>
      <c r="L98" s="208"/>
      <c r="M98" s="208">
        <v>43.4</v>
      </c>
      <c r="N98" s="208"/>
      <c r="O98" s="208"/>
      <c r="P98" s="208"/>
      <c r="Q98" s="208"/>
      <c r="R98" s="208"/>
      <c r="S98" s="208"/>
      <c r="T98" s="208"/>
    </row>
    <row r="99" spans="1:20" ht="11.1" customHeight="1" x14ac:dyDescent="0.2">
      <c r="A99" s="205" t="s">
        <v>2076</v>
      </c>
      <c r="B99" s="206" t="s">
        <v>535</v>
      </c>
      <c r="C99" s="206" t="s">
        <v>2070</v>
      </c>
      <c r="D99" s="208"/>
      <c r="E99" s="208"/>
      <c r="F99" s="207"/>
      <c r="G99" s="208"/>
      <c r="H99" s="208"/>
      <c r="I99" s="208"/>
      <c r="J99" s="208"/>
      <c r="K99" s="208"/>
      <c r="L99" s="208"/>
      <c r="M99" s="208">
        <v>43.4</v>
      </c>
      <c r="N99" s="208"/>
      <c r="O99" s="208"/>
      <c r="P99" s="208"/>
      <c r="Q99" s="208"/>
      <c r="R99" s="208"/>
      <c r="S99" s="208"/>
      <c r="T99" s="208"/>
    </row>
    <row r="100" spans="1:20" ht="11.1" customHeight="1" x14ac:dyDescent="0.2">
      <c r="A100" s="205" t="s">
        <v>2078</v>
      </c>
      <c r="B100" s="206" t="s">
        <v>547</v>
      </c>
      <c r="C100" s="206" t="s">
        <v>2070</v>
      </c>
      <c r="D100" s="208"/>
      <c r="E100" s="208"/>
      <c r="F100" s="207"/>
      <c r="G100" s="208"/>
      <c r="H100" s="208"/>
      <c r="I100" s="208"/>
      <c r="J100" s="208"/>
      <c r="K100" s="208"/>
      <c r="L100" s="208"/>
      <c r="M100" s="208">
        <v>43.4</v>
      </c>
      <c r="N100" s="208"/>
      <c r="O100" s="208"/>
      <c r="P100" s="208"/>
      <c r="Q100" s="208"/>
      <c r="R100" s="208"/>
      <c r="S100" s="208"/>
      <c r="T100" s="208"/>
    </row>
    <row r="101" spans="1:20" ht="11.1" customHeight="1" x14ac:dyDescent="0.2">
      <c r="A101" s="205" t="s">
        <v>2080</v>
      </c>
      <c r="B101" s="206" t="s">
        <v>556</v>
      </c>
      <c r="C101" s="206" t="s">
        <v>2070</v>
      </c>
      <c r="D101" s="208"/>
      <c r="E101" s="208"/>
      <c r="F101" s="207"/>
      <c r="G101" s="208"/>
      <c r="H101" s="208"/>
      <c r="I101" s="208"/>
      <c r="J101" s="208"/>
      <c r="K101" s="208"/>
      <c r="L101" s="208"/>
      <c r="M101" s="208">
        <v>43.4</v>
      </c>
      <c r="N101" s="208"/>
      <c r="O101" s="208"/>
      <c r="P101" s="208"/>
      <c r="Q101" s="208"/>
      <c r="R101" s="208"/>
      <c r="S101" s="208"/>
      <c r="T101" s="208"/>
    </row>
    <row r="102" spans="1:20" ht="11.1" customHeight="1" x14ac:dyDescent="0.2">
      <c r="A102" s="205" t="s">
        <v>2082</v>
      </c>
      <c r="B102" s="206" t="s">
        <v>80</v>
      </c>
      <c r="C102" s="206" t="s">
        <v>2070</v>
      </c>
      <c r="D102" s="208"/>
      <c r="E102" s="208"/>
      <c r="F102" s="207"/>
      <c r="G102" s="208"/>
      <c r="H102" s="208"/>
      <c r="I102" s="208"/>
      <c r="J102" s="208"/>
      <c r="K102" s="208"/>
      <c r="L102" s="208"/>
      <c r="M102" s="208">
        <v>43.4</v>
      </c>
      <c r="N102" s="208"/>
      <c r="O102" s="208"/>
      <c r="P102" s="208"/>
      <c r="Q102" s="208"/>
      <c r="R102" s="208"/>
      <c r="S102" s="208"/>
      <c r="T102" s="208"/>
    </row>
    <row r="103" spans="1:20" ht="11.1" customHeight="1" x14ac:dyDescent="0.2">
      <c r="A103" s="205" t="s">
        <v>2084</v>
      </c>
      <c r="B103" s="206" t="s">
        <v>748</v>
      </c>
      <c r="C103" s="206" t="s">
        <v>2070</v>
      </c>
      <c r="D103" s="208"/>
      <c r="E103" s="208"/>
      <c r="F103" s="207"/>
      <c r="G103" s="208"/>
      <c r="H103" s="208"/>
      <c r="I103" s="208"/>
      <c r="J103" s="208"/>
      <c r="K103" s="208"/>
      <c r="L103" s="208"/>
      <c r="M103" s="208">
        <v>43.4</v>
      </c>
      <c r="N103" s="208"/>
      <c r="O103" s="208"/>
      <c r="P103" s="208"/>
      <c r="Q103" s="208"/>
      <c r="R103" s="208"/>
      <c r="S103" s="208"/>
      <c r="T103" s="208"/>
    </row>
    <row r="104" spans="1:20" ht="11.1" customHeight="1" x14ac:dyDescent="0.2">
      <c r="A104" s="205" t="s">
        <v>2086</v>
      </c>
      <c r="B104" s="206" t="s">
        <v>115</v>
      </c>
      <c r="C104" s="206" t="s">
        <v>2070</v>
      </c>
      <c r="D104" s="208"/>
      <c r="E104" s="208"/>
      <c r="F104" s="207"/>
      <c r="G104" s="208"/>
      <c r="H104" s="208"/>
      <c r="I104" s="208"/>
      <c r="J104" s="208"/>
      <c r="K104" s="208"/>
      <c r="L104" s="208"/>
      <c r="M104" s="208">
        <v>43.4</v>
      </c>
      <c r="N104" s="208"/>
      <c r="O104" s="208"/>
      <c r="P104" s="208"/>
      <c r="Q104" s="208"/>
      <c r="R104" s="208"/>
      <c r="S104" s="208"/>
      <c r="T104" s="208"/>
    </row>
    <row r="105" spans="1:20" ht="11.1" customHeight="1" x14ac:dyDescent="0.2">
      <c r="A105" s="205" t="s">
        <v>2088</v>
      </c>
      <c r="B105" s="206" t="s">
        <v>118</v>
      </c>
      <c r="C105" s="206" t="s">
        <v>2070</v>
      </c>
      <c r="D105" s="208"/>
      <c r="E105" s="208"/>
      <c r="F105" s="207"/>
      <c r="G105" s="208"/>
      <c r="H105" s="208"/>
      <c r="I105" s="208"/>
      <c r="J105" s="208"/>
      <c r="K105" s="208"/>
      <c r="L105" s="208"/>
      <c r="M105" s="208">
        <v>43.4</v>
      </c>
      <c r="N105" s="208"/>
      <c r="O105" s="208"/>
      <c r="P105" s="208"/>
      <c r="Q105" s="208"/>
      <c r="R105" s="208"/>
      <c r="S105" s="208"/>
      <c r="T105" s="208"/>
    </row>
    <row r="106" spans="1:20" ht="11.1" customHeight="1" x14ac:dyDescent="0.2">
      <c r="A106" s="205" t="s">
        <v>2090</v>
      </c>
      <c r="B106" s="206" t="s">
        <v>811</v>
      </c>
      <c r="C106" s="206" t="s">
        <v>2070</v>
      </c>
      <c r="D106" s="208"/>
      <c r="E106" s="208"/>
      <c r="F106" s="207"/>
      <c r="G106" s="208"/>
      <c r="H106" s="208"/>
      <c r="I106" s="208"/>
      <c r="J106" s="208"/>
      <c r="K106" s="208"/>
      <c r="L106" s="208"/>
      <c r="M106" s="208">
        <v>43.4</v>
      </c>
      <c r="N106" s="208"/>
      <c r="O106" s="208"/>
      <c r="P106" s="208"/>
      <c r="Q106" s="208"/>
      <c r="R106" s="208"/>
      <c r="S106" s="208"/>
      <c r="T106" s="208"/>
    </row>
    <row r="107" spans="1:20" ht="11.1" customHeight="1" x14ac:dyDescent="0.2">
      <c r="A107" s="205" t="s">
        <v>2092</v>
      </c>
      <c r="B107" s="206" t="s">
        <v>861</v>
      </c>
      <c r="C107" s="206" t="s">
        <v>2070</v>
      </c>
      <c r="D107" s="208"/>
      <c r="E107" s="208"/>
      <c r="F107" s="207"/>
      <c r="G107" s="208"/>
      <c r="H107" s="208"/>
      <c r="I107" s="208"/>
      <c r="J107" s="208"/>
      <c r="K107" s="208"/>
      <c r="L107" s="208"/>
      <c r="M107" s="208">
        <v>43.4</v>
      </c>
      <c r="N107" s="208"/>
      <c r="O107" s="208"/>
      <c r="P107" s="208"/>
      <c r="Q107" s="208"/>
      <c r="R107" s="208"/>
      <c r="S107" s="208"/>
      <c r="T107" s="208"/>
    </row>
    <row r="108" spans="1:20" ht="11.1" customHeight="1" x14ac:dyDescent="0.2">
      <c r="A108" s="314" t="s">
        <v>151</v>
      </c>
      <c r="B108" s="315"/>
      <c r="C108" s="316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</row>
    <row r="109" spans="1:20" ht="11.1" customHeight="1" x14ac:dyDescent="0.2">
      <c r="A109" s="205" t="s">
        <v>2115</v>
      </c>
      <c r="B109" s="206" t="s">
        <v>1070</v>
      </c>
      <c r="C109" s="206" t="s">
        <v>22</v>
      </c>
      <c r="D109" s="208"/>
      <c r="E109" s="208"/>
      <c r="F109" s="207">
        <v>4285</v>
      </c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</row>
    <row r="110" spans="1:20" ht="11.1" customHeight="1" x14ac:dyDescent="0.2">
      <c r="A110" s="205" t="s">
        <v>2169</v>
      </c>
      <c r="B110" s="206" t="s">
        <v>184</v>
      </c>
      <c r="C110" s="206" t="s">
        <v>22</v>
      </c>
      <c r="D110" s="208"/>
      <c r="E110" s="208"/>
      <c r="F110" s="207">
        <v>3830</v>
      </c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</row>
    <row r="111" spans="1:20" ht="11.1" customHeight="1" x14ac:dyDescent="0.2">
      <c r="A111" s="205" t="s">
        <v>153</v>
      </c>
      <c r="B111" s="206" t="s">
        <v>154</v>
      </c>
      <c r="C111" s="206" t="s">
        <v>22</v>
      </c>
      <c r="D111" s="208">
        <v>3270</v>
      </c>
      <c r="E111" s="208"/>
      <c r="F111" s="207">
        <v>3355</v>
      </c>
      <c r="G111" s="208">
        <v>3650</v>
      </c>
      <c r="H111" s="208">
        <v>4925</v>
      </c>
      <c r="I111" s="208">
        <v>11</v>
      </c>
      <c r="J111" s="208">
        <v>25.7</v>
      </c>
      <c r="K111" s="208">
        <v>48.1</v>
      </c>
      <c r="L111" s="208">
        <v>13.2</v>
      </c>
      <c r="M111" s="208">
        <v>31</v>
      </c>
      <c r="N111" s="208">
        <v>53.1</v>
      </c>
      <c r="O111" s="208">
        <v>17.100000000000001</v>
      </c>
      <c r="P111" s="208"/>
      <c r="Q111" s="208">
        <v>72.400000000000006</v>
      </c>
      <c r="R111" s="208"/>
      <c r="S111" s="208">
        <v>97.2</v>
      </c>
      <c r="T111" s="208"/>
    </row>
    <row r="112" spans="1:20" ht="11.1" customHeight="1" x14ac:dyDescent="0.2">
      <c r="A112" s="205" t="s">
        <v>155</v>
      </c>
      <c r="B112" s="206" t="s">
        <v>156</v>
      </c>
      <c r="C112" s="206" t="s">
        <v>22</v>
      </c>
      <c r="D112" s="208">
        <v>3270</v>
      </c>
      <c r="E112" s="208"/>
      <c r="F112" s="207">
        <v>3355</v>
      </c>
      <c r="G112" s="208">
        <v>3650</v>
      </c>
      <c r="H112" s="208">
        <v>4925</v>
      </c>
      <c r="I112" s="208">
        <v>11</v>
      </c>
      <c r="J112" s="208">
        <v>25.7</v>
      </c>
      <c r="K112" s="208">
        <v>48.1</v>
      </c>
      <c r="L112" s="208">
        <v>13.2</v>
      </c>
      <c r="M112" s="208">
        <v>31</v>
      </c>
      <c r="N112" s="208">
        <v>53.1</v>
      </c>
      <c r="O112" s="208">
        <v>17.100000000000001</v>
      </c>
      <c r="P112" s="208">
        <v>47.5</v>
      </c>
      <c r="Q112" s="208">
        <v>72.400000000000006</v>
      </c>
      <c r="R112" s="208"/>
      <c r="S112" s="208">
        <v>97.2</v>
      </c>
      <c r="T112" s="208"/>
    </row>
    <row r="113" spans="1:20" ht="11.1" customHeight="1" x14ac:dyDescent="0.2">
      <c r="A113" s="205" t="s">
        <v>157</v>
      </c>
      <c r="B113" s="206" t="s">
        <v>158</v>
      </c>
      <c r="C113" s="206" t="s">
        <v>22</v>
      </c>
      <c r="D113" s="208">
        <v>3350</v>
      </c>
      <c r="E113" s="208"/>
      <c r="F113" s="207">
        <v>3425</v>
      </c>
      <c r="G113" s="208">
        <v>3725</v>
      </c>
      <c r="H113" s="208">
        <v>4990</v>
      </c>
      <c r="I113" s="208">
        <v>11</v>
      </c>
      <c r="J113" s="208">
        <v>25.7</v>
      </c>
      <c r="K113" s="208">
        <v>48.1</v>
      </c>
      <c r="L113" s="208">
        <v>13.2</v>
      </c>
      <c r="M113" s="208">
        <v>31</v>
      </c>
      <c r="N113" s="208">
        <v>53.1</v>
      </c>
      <c r="O113" s="208">
        <v>17.100000000000001</v>
      </c>
      <c r="P113" s="208">
        <v>47.5</v>
      </c>
      <c r="Q113" s="208">
        <v>72.400000000000006</v>
      </c>
      <c r="R113" s="208"/>
      <c r="S113" s="208">
        <v>97.2</v>
      </c>
      <c r="T113" s="208"/>
    </row>
    <row r="114" spans="1:20" ht="11.1" customHeight="1" x14ac:dyDescent="0.2">
      <c r="A114" s="205" t="s">
        <v>1006</v>
      </c>
      <c r="B114" s="206" t="s">
        <v>1007</v>
      </c>
      <c r="C114" s="206" t="s">
        <v>22</v>
      </c>
      <c r="D114" s="208"/>
      <c r="E114" s="208"/>
      <c r="F114" s="207">
        <v>6050</v>
      </c>
      <c r="G114" s="208"/>
      <c r="H114" s="208"/>
      <c r="I114" s="208">
        <v>11</v>
      </c>
      <c r="J114" s="208">
        <v>25.7</v>
      </c>
      <c r="K114" s="208">
        <v>48.1</v>
      </c>
      <c r="L114" s="208"/>
      <c r="M114" s="208"/>
      <c r="N114" s="208"/>
      <c r="O114" s="208"/>
      <c r="P114" s="208"/>
      <c r="Q114" s="208"/>
      <c r="R114" s="208"/>
      <c r="S114" s="208">
        <v>97.2</v>
      </c>
      <c r="T114" s="208"/>
    </row>
    <row r="115" spans="1:20" ht="11.1" customHeight="1" x14ac:dyDescent="0.2">
      <c r="A115" s="205" t="s">
        <v>159</v>
      </c>
      <c r="B115" s="206" t="s">
        <v>160</v>
      </c>
      <c r="C115" s="206" t="s">
        <v>22</v>
      </c>
      <c r="D115" s="208">
        <v>3270</v>
      </c>
      <c r="E115" s="208"/>
      <c r="F115" s="207">
        <v>3355</v>
      </c>
      <c r="G115" s="208">
        <v>3650</v>
      </c>
      <c r="H115" s="208">
        <v>4925</v>
      </c>
      <c r="I115" s="208">
        <v>11</v>
      </c>
      <c r="J115" s="208">
        <v>25.7</v>
      </c>
      <c r="K115" s="208">
        <v>48.1</v>
      </c>
      <c r="L115" s="208">
        <v>13.2</v>
      </c>
      <c r="M115" s="208">
        <v>31</v>
      </c>
      <c r="N115" s="208">
        <v>53.1</v>
      </c>
      <c r="O115" s="208">
        <v>17.100000000000001</v>
      </c>
      <c r="P115" s="208">
        <v>47.5</v>
      </c>
      <c r="Q115" s="208">
        <v>72.400000000000006</v>
      </c>
      <c r="R115" s="208"/>
      <c r="S115" s="208">
        <v>97.2</v>
      </c>
      <c r="T115" s="208">
        <v>150.9</v>
      </c>
    </row>
    <row r="116" spans="1:20" ht="11.1" customHeight="1" x14ac:dyDescent="0.2">
      <c r="A116" s="205" t="s">
        <v>161</v>
      </c>
      <c r="B116" s="206" t="s">
        <v>162</v>
      </c>
      <c r="C116" s="206" t="s">
        <v>22</v>
      </c>
      <c r="D116" s="208">
        <v>3445</v>
      </c>
      <c r="E116" s="208"/>
      <c r="F116" s="207">
        <v>3520</v>
      </c>
      <c r="G116" s="208">
        <v>3820</v>
      </c>
      <c r="H116" s="208">
        <v>5075</v>
      </c>
      <c r="I116" s="208">
        <v>11</v>
      </c>
      <c r="J116" s="208">
        <v>25.7</v>
      </c>
      <c r="K116" s="208">
        <v>48.1</v>
      </c>
      <c r="L116" s="208">
        <v>13.2</v>
      </c>
      <c r="M116" s="208">
        <v>31</v>
      </c>
      <c r="N116" s="208">
        <v>53.1</v>
      </c>
      <c r="O116" s="208">
        <v>17.100000000000001</v>
      </c>
      <c r="P116" s="208"/>
      <c r="Q116" s="208">
        <v>72.400000000000006</v>
      </c>
      <c r="R116" s="208"/>
      <c r="S116" s="208">
        <v>97.2</v>
      </c>
      <c r="T116" s="208"/>
    </row>
    <row r="117" spans="1:20" ht="11.1" customHeight="1" x14ac:dyDescent="0.2">
      <c r="A117" s="205" t="s">
        <v>163</v>
      </c>
      <c r="B117" s="206" t="s">
        <v>164</v>
      </c>
      <c r="C117" s="206" t="s">
        <v>22</v>
      </c>
      <c r="D117" s="208">
        <v>3445</v>
      </c>
      <c r="E117" s="208"/>
      <c r="F117" s="207">
        <v>3520</v>
      </c>
      <c r="G117" s="208">
        <v>3820</v>
      </c>
      <c r="H117" s="208">
        <v>5075</v>
      </c>
      <c r="I117" s="208">
        <v>11</v>
      </c>
      <c r="J117" s="208">
        <v>25.7</v>
      </c>
      <c r="K117" s="208">
        <v>48.1</v>
      </c>
      <c r="L117" s="208">
        <v>13.2</v>
      </c>
      <c r="M117" s="208">
        <v>31</v>
      </c>
      <c r="N117" s="208">
        <v>53.1</v>
      </c>
      <c r="O117" s="208"/>
      <c r="P117" s="208"/>
      <c r="Q117" s="208">
        <v>72.400000000000006</v>
      </c>
      <c r="R117" s="208"/>
      <c r="S117" s="208">
        <v>97.2</v>
      </c>
      <c r="T117" s="208"/>
    </row>
    <row r="118" spans="1:20" ht="11.1" customHeight="1" x14ac:dyDescent="0.2">
      <c r="A118" s="205" t="s">
        <v>1040</v>
      </c>
      <c r="B118" s="206" t="s">
        <v>1041</v>
      </c>
      <c r="C118" s="206" t="s">
        <v>22</v>
      </c>
      <c r="D118" s="208"/>
      <c r="E118" s="208"/>
      <c r="F118" s="207">
        <v>3425</v>
      </c>
      <c r="G118" s="208">
        <v>3725</v>
      </c>
      <c r="H118" s="208">
        <v>4990</v>
      </c>
      <c r="I118" s="208">
        <v>11</v>
      </c>
      <c r="J118" s="208">
        <v>25.7</v>
      </c>
      <c r="K118" s="208">
        <v>48.1</v>
      </c>
      <c r="L118" s="208">
        <v>13.2</v>
      </c>
      <c r="M118" s="208">
        <v>31</v>
      </c>
      <c r="N118" s="208">
        <v>53.1</v>
      </c>
      <c r="O118" s="208"/>
      <c r="P118" s="208">
        <v>47.5</v>
      </c>
      <c r="Q118" s="208"/>
      <c r="R118" s="208"/>
      <c r="S118" s="208">
        <v>97.2</v>
      </c>
      <c r="T118" s="208"/>
    </row>
    <row r="119" spans="1:20" ht="11.1" customHeight="1" x14ac:dyDescent="0.2">
      <c r="A119" s="205" t="s">
        <v>165</v>
      </c>
      <c r="B119" s="206" t="s">
        <v>166</v>
      </c>
      <c r="C119" s="206" t="s">
        <v>22</v>
      </c>
      <c r="D119" s="208">
        <v>3350</v>
      </c>
      <c r="E119" s="208"/>
      <c r="F119" s="207">
        <v>3425</v>
      </c>
      <c r="G119" s="208">
        <v>3725</v>
      </c>
      <c r="H119" s="208">
        <v>4990</v>
      </c>
      <c r="I119" s="208">
        <v>11</v>
      </c>
      <c r="J119" s="208">
        <v>25.7</v>
      </c>
      <c r="K119" s="208">
        <v>48.1</v>
      </c>
      <c r="L119" s="208">
        <v>13.2</v>
      </c>
      <c r="M119" s="208">
        <v>31</v>
      </c>
      <c r="N119" s="208">
        <v>53.1</v>
      </c>
      <c r="O119" s="208">
        <v>17.100000000000001</v>
      </c>
      <c r="P119" s="208"/>
      <c r="Q119" s="208">
        <v>72.400000000000006</v>
      </c>
      <c r="R119" s="208"/>
      <c r="S119" s="208">
        <v>97.2</v>
      </c>
      <c r="T119" s="208"/>
    </row>
    <row r="120" spans="1:20" ht="11.1" customHeight="1" x14ac:dyDescent="0.2">
      <c r="A120" s="205" t="s">
        <v>167</v>
      </c>
      <c r="B120" s="206" t="s">
        <v>168</v>
      </c>
      <c r="C120" s="206" t="s">
        <v>22</v>
      </c>
      <c r="D120" s="208"/>
      <c r="E120" s="208"/>
      <c r="F120" s="207">
        <v>6440</v>
      </c>
      <c r="G120" s="208"/>
      <c r="H120" s="208"/>
      <c r="I120" s="208">
        <v>11</v>
      </c>
      <c r="J120" s="208">
        <v>25.7</v>
      </c>
      <c r="K120" s="208">
        <v>48.1</v>
      </c>
      <c r="L120" s="208"/>
      <c r="M120" s="208"/>
      <c r="N120" s="208"/>
      <c r="O120" s="208"/>
      <c r="P120" s="208"/>
      <c r="Q120" s="208"/>
      <c r="R120" s="208"/>
      <c r="S120" s="208"/>
      <c r="T120" s="208"/>
    </row>
    <row r="121" spans="1:20" ht="11.1" customHeight="1" x14ac:dyDescent="0.2">
      <c r="A121" s="205" t="s">
        <v>169</v>
      </c>
      <c r="B121" s="206" t="s">
        <v>170</v>
      </c>
      <c r="C121" s="206" t="s">
        <v>22</v>
      </c>
      <c r="D121" s="208">
        <v>4210</v>
      </c>
      <c r="E121" s="208"/>
      <c r="F121" s="207">
        <v>4285</v>
      </c>
      <c r="G121" s="208"/>
      <c r="H121" s="208">
        <v>5765</v>
      </c>
      <c r="I121" s="208">
        <v>11</v>
      </c>
      <c r="J121" s="208">
        <v>25.7</v>
      </c>
      <c r="K121" s="208">
        <v>48.1</v>
      </c>
      <c r="L121" s="208"/>
      <c r="M121" s="208"/>
      <c r="N121" s="208"/>
      <c r="O121" s="208">
        <v>17.100000000000001</v>
      </c>
      <c r="P121" s="208"/>
      <c r="Q121" s="208">
        <v>72.400000000000006</v>
      </c>
      <c r="R121" s="208"/>
      <c r="S121" s="208">
        <v>97.2</v>
      </c>
      <c r="T121" s="208"/>
    </row>
    <row r="122" spans="1:20" ht="11.1" customHeight="1" x14ac:dyDescent="0.2">
      <c r="A122" s="205" t="s">
        <v>1069</v>
      </c>
      <c r="B122" s="206" t="s">
        <v>1070</v>
      </c>
      <c r="C122" s="206" t="s">
        <v>22</v>
      </c>
      <c r="D122" s="208"/>
      <c r="E122" s="208"/>
      <c r="F122" s="207"/>
      <c r="G122" s="208"/>
      <c r="H122" s="208"/>
      <c r="I122" s="208">
        <v>11</v>
      </c>
      <c r="J122" s="208">
        <v>25.7</v>
      </c>
      <c r="K122" s="208">
        <v>48.1</v>
      </c>
      <c r="L122" s="208"/>
      <c r="M122" s="208"/>
      <c r="N122" s="208"/>
      <c r="O122" s="208"/>
      <c r="P122" s="208"/>
      <c r="Q122" s="208"/>
      <c r="R122" s="208"/>
      <c r="S122" s="208"/>
      <c r="T122" s="208"/>
    </row>
    <row r="123" spans="1:20" ht="11.1" customHeight="1" x14ac:dyDescent="0.2">
      <c r="A123" s="205" t="s">
        <v>173</v>
      </c>
      <c r="B123" s="206" t="s">
        <v>174</v>
      </c>
      <c r="C123" s="206" t="s">
        <v>22</v>
      </c>
      <c r="D123" s="208"/>
      <c r="E123" s="208"/>
      <c r="F123" s="207">
        <v>6705</v>
      </c>
      <c r="G123" s="208"/>
      <c r="H123" s="208"/>
      <c r="I123" s="208">
        <v>11</v>
      </c>
      <c r="J123" s="208">
        <v>25.7</v>
      </c>
      <c r="K123" s="208">
        <v>48.1</v>
      </c>
      <c r="L123" s="208"/>
      <c r="M123" s="208"/>
      <c r="N123" s="208"/>
      <c r="O123" s="208"/>
      <c r="P123" s="208"/>
      <c r="Q123" s="208"/>
      <c r="R123" s="208"/>
      <c r="S123" s="208">
        <v>97.2</v>
      </c>
      <c r="T123" s="208"/>
    </row>
    <row r="124" spans="1:20" ht="11.1" customHeight="1" x14ac:dyDescent="0.2">
      <c r="A124" s="205" t="s">
        <v>175</v>
      </c>
      <c r="B124" s="206" t="s">
        <v>176</v>
      </c>
      <c r="C124" s="206" t="s">
        <v>22</v>
      </c>
      <c r="D124" s="208"/>
      <c r="E124" s="208"/>
      <c r="F124" s="207">
        <v>3830</v>
      </c>
      <c r="G124" s="208"/>
      <c r="H124" s="208"/>
      <c r="I124" s="208">
        <v>11</v>
      </c>
      <c r="J124" s="208">
        <v>25.7</v>
      </c>
      <c r="K124" s="208">
        <v>48.1</v>
      </c>
      <c r="L124" s="208"/>
      <c r="M124" s="208"/>
      <c r="N124" s="208"/>
      <c r="O124" s="208"/>
      <c r="P124" s="208"/>
      <c r="Q124" s="208"/>
      <c r="R124" s="208"/>
      <c r="S124" s="208">
        <v>97.2</v>
      </c>
      <c r="T124" s="208">
        <v>150.9</v>
      </c>
    </row>
    <row r="125" spans="1:20" ht="11.1" customHeight="1" x14ac:dyDescent="0.2">
      <c r="A125" s="205" t="s">
        <v>1083</v>
      </c>
      <c r="B125" s="206" t="s">
        <v>1084</v>
      </c>
      <c r="C125" s="206" t="s">
        <v>22</v>
      </c>
      <c r="D125" s="208"/>
      <c r="E125" s="208"/>
      <c r="F125" s="207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>
        <v>150.9</v>
      </c>
    </row>
    <row r="126" spans="1:20" ht="11.1" customHeight="1" x14ac:dyDescent="0.2">
      <c r="A126" s="205" t="s">
        <v>177</v>
      </c>
      <c r="B126" s="206" t="s">
        <v>178</v>
      </c>
      <c r="C126" s="206" t="s">
        <v>22</v>
      </c>
      <c r="D126" s="208"/>
      <c r="E126" s="208"/>
      <c r="F126" s="207">
        <v>6255</v>
      </c>
      <c r="G126" s="208"/>
      <c r="H126" s="208"/>
      <c r="I126" s="208">
        <v>11</v>
      </c>
      <c r="J126" s="208">
        <v>25.7</v>
      </c>
      <c r="K126" s="208">
        <v>48.1</v>
      </c>
      <c r="L126" s="208"/>
      <c r="M126" s="208"/>
      <c r="N126" s="208"/>
      <c r="O126" s="208"/>
      <c r="P126" s="208"/>
      <c r="Q126" s="208">
        <v>72.400000000000006</v>
      </c>
      <c r="R126" s="208"/>
      <c r="S126" s="208">
        <v>97.2</v>
      </c>
      <c r="T126" s="208"/>
    </row>
    <row r="127" spans="1:20" ht="11.1" customHeight="1" x14ac:dyDescent="0.2">
      <c r="A127" s="205" t="s">
        <v>179</v>
      </c>
      <c r="B127" s="206" t="s">
        <v>180</v>
      </c>
      <c r="C127" s="206" t="s">
        <v>22</v>
      </c>
      <c r="D127" s="208">
        <v>3745</v>
      </c>
      <c r="E127" s="208"/>
      <c r="F127" s="207">
        <v>6255</v>
      </c>
      <c r="G127" s="208"/>
      <c r="H127" s="208">
        <v>8350</v>
      </c>
      <c r="I127" s="208">
        <v>11</v>
      </c>
      <c r="J127" s="208">
        <v>25.7</v>
      </c>
      <c r="K127" s="208">
        <v>48.1</v>
      </c>
      <c r="L127" s="208"/>
      <c r="M127" s="208"/>
      <c r="N127" s="208"/>
      <c r="O127" s="208">
        <v>17.100000000000001</v>
      </c>
      <c r="P127" s="208"/>
      <c r="Q127" s="208">
        <v>72.400000000000006</v>
      </c>
      <c r="R127" s="208"/>
      <c r="S127" s="208"/>
      <c r="T127" s="208"/>
    </row>
    <row r="128" spans="1:20" ht="11.1" customHeight="1" x14ac:dyDescent="0.2">
      <c r="A128" s="205" t="s">
        <v>181</v>
      </c>
      <c r="B128" s="206" t="s">
        <v>182</v>
      </c>
      <c r="C128" s="206" t="s">
        <v>22</v>
      </c>
      <c r="D128" s="208"/>
      <c r="E128" s="208"/>
      <c r="F128" s="207">
        <v>6255</v>
      </c>
      <c r="G128" s="208"/>
      <c r="H128" s="208"/>
      <c r="I128" s="208">
        <v>11</v>
      </c>
      <c r="J128" s="208">
        <v>25.7</v>
      </c>
      <c r="K128" s="208">
        <v>48.1</v>
      </c>
      <c r="L128" s="208"/>
      <c r="M128" s="208"/>
      <c r="N128" s="208"/>
      <c r="O128" s="208"/>
      <c r="P128" s="208"/>
      <c r="Q128" s="208"/>
      <c r="R128" s="208"/>
      <c r="S128" s="208">
        <v>97.2</v>
      </c>
      <c r="T128" s="208"/>
    </row>
    <row r="129" spans="1:20" ht="11.1" customHeight="1" x14ac:dyDescent="0.2">
      <c r="A129" s="205" t="s">
        <v>183</v>
      </c>
      <c r="B129" s="206" t="s">
        <v>184</v>
      </c>
      <c r="C129" s="206" t="s">
        <v>22</v>
      </c>
      <c r="D129" s="208"/>
      <c r="E129" s="208"/>
      <c r="F129" s="207"/>
      <c r="G129" s="208"/>
      <c r="H129" s="208"/>
      <c r="I129" s="208"/>
      <c r="J129" s="208"/>
      <c r="K129" s="208"/>
      <c r="L129" s="208"/>
      <c r="M129" s="208"/>
      <c r="N129" s="208">
        <v>53.1</v>
      </c>
      <c r="O129" s="208"/>
      <c r="P129" s="208"/>
      <c r="Q129" s="208"/>
      <c r="R129" s="208"/>
      <c r="S129" s="208"/>
      <c r="T129" s="208"/>
    </row>
    <row r="130" spans="1:20" ht="11.1" customHeight="1" x14ac:dyDescent="0.2">
      <c r="A130" s="205" t="s">
        <v>185</v>
      </c>
      <c r="B130" s="206" t="s">
        <v>186</v>
      </c>
      <c r="C130" s="206" t="s">
        <v>22</v>
      </c>
      <c r="D130" s="208">
        <v>3445</v>
      </c>
      <c r="E130" s="208"/>
      <c r="F130" s="207">
        <v>3520</v>
      </c>
      <c r="G130" s="208">
        <v>3820</v>
      </c>
      <c r="H130" s="208">
        <v>5075</v>
      </c>
      <c r="I130" s="208">
        <v>11</v>
      </c>
      <c r="J130" s="208">
        <v>25.7</v>
      </c>
      <c r="K130" s="208">
        <v>48.1</v>
      </c>
      <c r="L130" s="208">
        <v>13.2</v>
      </c>
      <c r="M130" s="208">
        <v>31</v>
      </c>
      <c r="N130" s="208">
        <v>53.1</v>
      </c>
      <c r="O130" s="208">
        <v>17.100000000000001</v>
      </c>
      <c r="P130" s="208">
        <v>47.5</v>
      </c>
      <c r="Q130" s="208">
        <v>72.400000000000006</v>
      </c>
      <c r="R130" s="208"/>
      <c r="S130" s="208">
        <v>97.2</v>
      </c>
      <c r="T130" s="208">
        <v>150.9</v>
      </c>
    </row>
    <row r="131" spans="1:20" ht="11.1" customHeight="1" x14ac:dyDescent="0.2">
      <c r="A131" s="205" t="s">
        <v>187</v>
      </c>
      <c r="B131" s="206" t="s">
        <v>188</v>
      </c>
      <c r="C131" s="206" t="s">
        <v>22</v>
      </c>
      <c r="D131" s="208">
        <v>3445</v>
      </c>
      <c r="E131" s="208"/>
      <c r="F131" s="207">
        <v>3520</v>
      </c>
      <c r="G131" s="208"/>
      <c r="H131" s="208">
        <v>5075</v>
      </c>
      <c r="I131" s="208">
        <v>11</v>
      </c>
      <c r="J131" s="208">
        <v>25.7</v>
      </c>
      <c r="K131" s="208">
        <v>48.1</v>
      </c>
      <c r="L131" s="208">
        <v>13.2</v>
      </c>
      <c r="M131" s="208">
        <v>31</v>
      </c>
      <c r="N131" s="208">
        <v>53.1</v>
      </c>
      <c r="O131" s="208">
        <v>17.100000000000001</v>
      </c>
      <c r="P131" s="208"/>
      <c r="Q131" s="208">
        <v>72.400000000000006</v>
      </c>
      <c r="R131" s="208"/>
      <c r="S131" s="208">
        <v>97.2</v>
      </c>
      <c r="T131" s="208">
        <v>150.9</v>
      </c>
    </row>
    <row r="132" spans="1:20" ht="11.1" customHeight="1" x14ac:dyDescent="0.2">
      <c r="A132" s="205" t="s">
        <v>189</v>
      </c>
      <c r="B132" s="206" t="s">
        <v>190</v>
      </c>
      <c r="C132" s="206" t="s">
        <v>22</v>
      </c>
      <c r="D132" s="208">
        <v>3270</v>
      </c>
      <c r="E132" s="208"/>
      <c r="F132" s="207">
        <v>3355</v>
      </c>
      <c r="G132" s="208">
        <v>3650</v>
      </c>
      <c r="H132" s="208">
        <v>4925</v>
      </c>
      <c r="I132" s="208">
        <v>11</v>
      </c>
      <c r="J132" s="208">
        <v>25.7</v>
      </c>
      <c r="K132" s="208">
        <v>48.1</v>
      </c>
      <c r="L132" s="208">
        <v>13.2</v>
      </c>
      <c r="M132" s="208">
        <v>31</v>
      </c>
      <c r="N132" s="208">
        <v>53.1</v>
      </c>
      <c r="O132" s="208">
        <v>17.100000000000001</v>
      </c>
      <c r="P132" s="208">
        <v>47.5</v>
      </c>
      <c r="Q132" s="208">
        <v>72.400000000000006</v>
      </c>
      <c r="R132" s="208"/>
      <c r="S132" s="208">
        <v>97.2</v>
      </c>
      <c r="T132" s="208">
        <v>150.9</v>
      </c>
    </row>
    <row r="133" spans="1:20" ht="11.1" customHeight="1" x14ac:dyDescent="0.2">
      <c r="A133" s="205" t="s">
        <v>191</v>
      </c>
      <c r="B133" s="206" t="s">
        <v>192</v>
      </c>
      <c r="C133" s="206" t="s">
        <v>22</v>
      </c>
      <c r="D133" s="208"/>
      <c r="E133" s="208"/>
      <c r="F133" s="207">
        <v>3520</v>
      </c>
      <c r="G133" s="208">
        <v>3820</v>
      </c>
      <c r="H133" s="208">
        <v>5075</v>
      </c>
      <c r="I133" s="208">
        <v>11</v>
      </c>
      <c r="J133" s="208">
        <v>25.7</v>
      </c>
      <c r="K133" s="208">
        <v>48.1</v>
      </c>
      <c r="L133" s="208">
        <v>13.2</v>
      </c>
      <c r="M133" s="208">
        <v>31</v>
      </c>
      <c r="N133" s="208">
        <v>53.1</v>
      </c>
      <c r="O133" s="208">
        <v>17.100000000000001</v>
      </c>
      <c r="P133" s="208"/>
      <c r="Q133" s="208">
        <v>72.400000000000006</v>
      </c>
      <c r="R133" s="208"/>
      <c r="S133" s="208">
        <v>97.2</v>
      </c>
      <c r="T133" s="208"/>
    </row>
    <row r="134" spans="1:20" ht="11.1" customHeight="1" x14ac:dyDescent="0.2">
      <c r="A134" s="205" t="s">
        <v>193</v>
      </c>
      <c r="B134" s="206" t="s">
        <v>194</v>
      </c>
      <c r="C134" s="206" t="s">
        <v>22</v>
      </c>
      <c r="D134" s="208">
        <v>3270</v>
      </c>
      <c r="E134" s="208"/>
      <c r="F134" s="207">
        <v>3355</v>
      </c>
      <c r="G134" s="208">
        <v>3650</v>
      </c>
      <c r="H134" s="208">
        <v>4925</v>
      </c>
      <c r="I134" s="208">
        <v>11</v>
      </c>
      <c r="J134" s="208">
        <v>25.7</v>
      </c>
      <c r="K134" s="208">
        <v>48.1</v>
      </c>
      <c r="L134" s="208">
        <v>13.2</v>
      </c>
      <c r="M134" s="208">
        <v>31</v>
      </c>
      <c r="N134" s="208">
        <v>53.1</v>
      </c>
      <c r="O134" s="208">
        <v>17.100000000000001</v>
      </c>
      <c r="P134" s="208"/>
      <c r="Q134" s="208">
        <v>72.400000000000006</v>
      </c>
      <c r="R134" s="208"/>
      <c r="S134" s="208">
        <v>97.2</v>
      </c>
      <c r="T134" s="208">
        <v>150.9</v>
      </c>
    </row>
    <row r="135" spans="1:20" ht="11.1" customHeight="1" x14ac:dyDescent="0.2">
      <c r="A135" s="205" t="s">
        <v>195</v>
      </c>
      <c r="B135" s="206" t="s">
        <v>196</v>
      </c>
      <c r="C135" s="206" t="s">
        <v>22</v>
      </c>
      <c r="D135" s="208"/>
      <c r="E135" s="208"/>
      <c r="F135" s="207">
        <v>3520</v>
      </c>
      <c r="G135" s="208"/>
      <c r="H135" s="208"/>
      <c r="I135" s="208">
        <v>11</v>
      </c>
      <c r="J135" s="208">
        <v>25.7</v>
      </c>
      <c r="K135" s="208">
        <v>48.1</v>
      </c>
      <c r="L135" s="208"/>
      <c r="M135" s="208"/>
      <c r="N135" s="208"/>
      <c r="O135" s="208"/>
      <c r="P135" s="208">
        <v>47.5</v>
      </c>
      <c r="Q135" s="208"/>
      <c r="R135" s="208"/>
      <c r="S135" s="208">
        <v>97.2</v>
      </c>
      <c r="T135" s="208"/>
    </row>
    <row r="136" spans="1:20" ht="11.1" customHeight="1" x14ac:dyDescent="0.2">
      <c r="A136" s="205" t="s">
        <v>197</v>
      </c>
      <c r="B136" s="206" t="s">
        <v>198</v>
      </c>
      <c r="C136" s="206" t="s">
        <v>22</v>
      </c>
      <c r="D136" s="208">
        <v>3445</v>
      </c>
      <c r="E136" s="208"/>
      <c r="F136" s="207">
        <v>3520</v>
      </c>
      <c r="G136" s="208">
        <v>3820</v>
      </c>
      <c r="H136" s="208">
        <v>5075</v>
      </c>
      <c r="I136" s="208">
        <v>11</v>
      </c>
      <c r="J136" s="208">
        <v>25.7</v>
      </c>
      <c r="K136" s="208">
        <v>48.1</v>
      </c>
      <c r="L136" s="208">
        <v>13.2</v>
      </c>
      <c r="M136" s="208">
        <v>31</v>
      </c>
      <c r="N136" s="208">
        <v>53.1</v>
      </c>
      <c r="O136" s="208">
        <v>17.100000000000001</v>
      </c>
      <c r="P136" s="208">
        <v>47.5</v>
      </c>
      <c r="Q136" s="208">
        <v>72.400000000000006</v>
      </c>
      <c r="R136" s="208"/>
      <c r="S136" s="208">
        <v>97.2</v>
      </c>
      <c r="T136" s="208"/>
    </row>
    <row r="137" spans="1:20" ht="11.1" customHeight="1" x14ac:dyDescent="0.2">
      <c r="A137" s="205" t="s">
        <v>199</v>
      </c>
      <c r="B137" s="206" t="s">
        <v>200</v>
      </c>
      <c r="C137" s="206" t="s">
        <v>22</v>
      </c>
      <c r="D137" s="208"/>
      <c r="E137" s="208"/>
      <c r="F137" s="207">
        <v>3425</v>
      </c>
      <c r="G137" s="208"/>
      <c r="H137" s="208"/>
      <c r="I137" s="208">
        <v>11</v>
      </c>
      <c r="J137" s="208">
        <v>25.7</v>
      </c>
      <c r="K137" s="208">
        <v>48.1</v>
      </c>
      <c r="L137" s="208"/>
      <c r="M137" s="208"/>
      <c r="N137" s="208"/>
      <c r="O137" s="208"/>
      <c r="P137" s="208"/>
      <c r="Q137" s="208"/>
      <c r="R137" s="208"/>
      <c r="S137" s="208">
        <v>97.2</v>
      </c>
      <c r="T137" s="208"/>
    </row>
    <row r="138" spans="1:20" ht="11.1" customHeight="1" x14ac:dyDescent="0.2">
      <c r="A138" s="205" t="s">
        <v>201</v>
      </c>
      <c r="B138" s="206" t="s">
        <v>202</v>
      </c>
      <c r="C138" s="206" t="s">
        <v>22</v>
      </c>
      <c r="D138" s="208"/>
      <c r="E138" s="208"/>
      <c r="F138" s="207">
        <v>3425</v>
      </c>
      <c r="G138" s="208">
        <v>3725</v>
      </c>
      <c r="H138" s="208">
        <v>4990</v>
      </c>
      <c r="I138" s="208">
        <v>11</v>
      </c>
      <c r="J138" s="208">
        <v>25.7</v>
      </c>
      <c r="K138" s="208">
        <v>48.1</v>
      </c>
      <c r="L138" s="208">
        <v>13.2</v>
      </c>
      <c r="M138" s="208">
        <v>31</v>
      </c>
      <c r="N138" s="208">
        <v>53.1</v>
      </c>
      <c r="O138" s="208">
        <v>17.100000000000001</v>
      </c>
      <c r="P138" s="208"/>
      <c r="Q138" s="208">
        <v>72.400000000000006</v>
      </c>
      <c r="R138" s="208"/>
      <c r="S138" s="208">
        <v>97.2</v>
      </c>
      <c r="T138" s="208"/>
    </row>
    <row r="139" spans="1:20" ht="11.1" customHeight="1" x14ac:dyDescent="0.2">
      <c r="A139" s="205" t="s">
        <v>203</v>
      </c>
      <c r="B139" s="206" t="s">
        <v>204</v>
      </c>
      <c r="C139" s="206" t="s">
        <v>22</v>
      </c>
      <c r="D139" s="208"/>
      <c r="E139" s="208"/>
      <c r="F139" s="207">
        <v>3520</v>
      </c>
      <c r="G139" s="208"/>
      <c r="H139" s="208"/>
      <c r="I139" s="208">
        <v>11</v>
      </c>
      <c r="J139" s="208">
        <v>25.7</v>
      </c>
      <c r="K139" s="208">
        <v>48.1</v>
      </c>
      <c r="L139" s="208"/>
      <c r="M139" s="208"/>
      <c r="N139" s="208"/>
      <c r="O139" s="208"/>
      <c r="P139" s="208"/>
      <c r="Q139" s="208"/>
      <c r="R139" s="208"/>
      <c r="S139" s="208">
        <v>97.2</v>
      </c>
      <c r="T139" s="208"/>
    </row>
    <row r="140" spans="1:20" ht="11.1" customHeight="1" x14ac:dyDescent="0.2">
      <c r="A140" s="205" t="s">
        <v>205</v>
      </c>
      <c r="B140" s="206" t="s">
        <v>206</v>
      </c>
      <c r="C140" s="206" t="s">
        <v>22</v>
      </c>
      <c r="D140" s="208"/>
      <c r="E140" s="208"/>
      <c r="F140" s="207">
        <v>3355</v>
      </c>
      <c r="G140" s="208"/>
      <c r="H140" s="208"/>
      <c r="I140" s="208">
        <v>11</v>
      </c>
      <c r="J140" s="208">
        <v>25.7</v>
      </c>
      <c r="K140" s="208">
        <v>48.1</v>
      </c>
      <c r="L140" s="208"/>
      <c r="M140" s="208"/>
      <c r="N140" s="208"/>
      <c r="O140" s="208"/>
      <c r="P140" s="208"/>
      <c r="Q140" s="208"/>
      <c r="R140" s="208"/>
      <c r="S140" s="208">
        <v>97.2</v>
      </c>
      <c r="T140" s="208"/>
    </row>
    <row r="141" spans="1:20" ht="11.45" customHeight="1" x14ac:dyDescent="0.2">
      <c r="A141" s="205" t="s">
        <v>1200</v>
      </c>
      <c r="B141" s="206" t="s">
        <v>1201</v>
      </c>
      <c r="C141" s="206" t="s">
        <v>22</v>
      </c>
      <c r="D141" s="208"/>
      <c r="E141" s="208"/>
      <c r="F141" s="207">
        <v>6050</v>
      </c>
      <c r="G141" s="208"/>
      <c r="H141" s="208"/>
      <c r="I141" s="208">
        <v>11</v>
      </c>
      <c r="J141" s="208">
        <v>25.7</v>
      </c>
      <c r="K141" s="208">
        <v>48.1</v>
      </c>
      <c r="L141" s="208"/>
      <c r="M141" s="208"/>
      <c r="N141" s="208"/>
      <c r="O141" s="208"/>
      <c r="P141" s="208"/>
      <c r="Q141" s="208"/>
      <c r="R141" s="208"/>
      <c r="S141" s="208"/>
      <c r="T141" s="208"/>
    </row>
    <row r="142" spans="1:20" ht="11.45" customHeight="1" x14ac:dyDescent="0.2">
      <c r="A142" s="205" t="s">
        <v>207</v>
      </c>
      <c r="B142" s="206" t="s">
        <v>208</v>
      </c>
      <c r="C142" s="206" t="s">
        <v>1205</v>
      </c>
      <c r="D142" s="208"/>
      <c r="E142" s="208"/>
      <c r="F142" s="207"/>
      <c r="G142" s="208"/>
      <c r="H142" s="208"/>
      <c r="I142" s="208"/>
      <c r="J142" s="208"/>
      <c r="K142" s="208"/>
      <c r="L142" s="208"/>
      <c r="M142" s="208"/>
      <c r="N142" s="208"/>
      <c r="O142" s="208">
        <v>17.100000000000001</v>
      </c>
      <c r="P142" s="208"/>
      <c r="Q142" s="208"/>
      <c r="R142" s="208"/>
      <c r="S142" s="208"/>
      <c r="T142" s="208"/>
    </row>
    <row r="143" spans="1:20" ht="11.45" customHeight="1" x14ac:dyDescent="0.2">
      <c r="A143" s="205" t="s">
        <v>207</v>
      </c>
      <c r="B143" s="206" t="s">
        <v>208</v>
      </c>
      <c r="C143" s="206" t="s">
        <v>22</v>
      </c>
      <c r="D143" s="208">
        <v>3545</v>
      </c>
      <c r="E143" s="208"/>
      <c r="F143" s="207">
        <v>3630</v>
      </c>
      <c r="G143" s="208">
        <v>3910</v>
      </c>
      <c r="H143" s="208">
        <v>5175</v>
      </c>
      <c r="I143" s="208">
        <v>11</v>
      </c>
      <c r="J143" s="208">
        <v>25.7</v>
      </c>
      <c r="K143" s="208">
        <v>48.1</v>
      </c>
      <c r="L143" s="208">
        <v>13.2</v>
      </c>
      <c r="M143" s="208">
        <v>31</v>
      </c>
      <c r="N143" s="208">
        <v>53.1</v>
      </c>
      <c r="O143" s="208">
        <v>17.100000000000001</v>
      </c>
      <c r="P143" s="208"/>
      <c r="Q143" s="208">
        <v>72.400000000000006</v>
      </c>
      <c r="R143" s="208"/>
      <c r="S143" s="208">
        <v>97.2</v>
      </c>
      <c r="T143" s="208"/>
    </row>
    <row r="144" spans="1:20" ht="11.45" customHeight="1" x14ac:dyDescent="0.2">
      <c r="A144" s="205" t="s">
        <v>209</v>
      </c>
      <c r="B144" s="206" t="s">
        <v>210</v>
      </c>
      <c r="C144" s="206" t="s">
        <v>22</v>
      </c>
      <c r="D144" s="208"/>
      <c r="E144" s="208"/>
      <c r="F144" s="207">
        <v>3830</v>
      </c>
      <c r="G144" s="208"/>
      <c r="H144" s="208"/>
      <c r="I144" s="208">
        <v>11</v>
      </c>
      <c r="J144" s="208">
        <v>25.7</v>
      </c>
      <c r="K144" s="208">
        <v>48.1</v>
      </c>
      <c r="L144" s="208"/>
      <c r="M144" s="208"/>
      <c r="N144" s="208"/>
      <c r="O144" s="208"/>
      <c r="P144" s="208"/>
      <c r="Q144" s="208"/>
      <c r="R144" s="208"/>
      <c r="S144" s="208">
        <v>97.2</v>
      </c>
      <c r="T144" s="208"/>
    </row>
    <row r="145" spans="1:20" ht="11.45" customHeight="1" x14ac:dyDescent="0.2">
      <c r="A145" s="205" t="s">
        <v>2141</v>
      </c>
      <c r="B145" s="206" t="s">
        <v>2142</v>
      </c>
      <c r="C145" s="206" t="s">
        <v>22</v>
      </c>
      <c r="D145" s="208"/>
      <c r="E145" s="208"/>
      <c r="F145" s="207">
        <v>6255</v>
      </c>
      <c r="G145" s="208"/>
      <c r="H145" s="208"/>
      <c r="I145" s="208">
        <v>11</v>
      </c>
      <c r="J145" s="208">
        <v>25.7</v>
      </c>
      <c r="K145" s="208">
        <v>48.1</v>
      </c>
      <c r="L145" s="208"/>
      <c r="M145" s="208"/>
      <c r="N145" s="208"/>
      <c r="O145" s="208"/>
      <c r="P145" s="208"/>
      <c r="Q145" s="208"/>
      <c r="R145" s="208"/>
      <c r="S145" s="208"/>
      <c r="T145" s="208"/>
    </row>
    <row r="146" spans="1:20" ht="11.45" customHeight="1" x14ac:dyDescent="0.2">
      <c r="A146" s="205" t="s">
        <v>211</v>
      </c>
      <c r="B146" s="206" t="s">
        <v>212</v>
      </c>
      <c r="C146" s="206" t="s">
        <v>22</v>
      </c>
      <c r="D146" s="208">
        <v>3545</v>
      </c>
      <c r="E146" s="208"/>
      <c r="F146" s="207">
        <v>3630</v>
      </c>
      <c r="G146" s="208">
        <v>3910</v>
      </c>
      <c r="H146" s="208">
        <v>5175</v>
      </c>
      <c r="I146" s="208">
        <v>11</v>
      </c>
      <c r="J146" s="208">
        <v>25.7</v>
      </c>
      <c r="K146" s="208">
        <v>48.1</v>
      </c>
      <c r="L146" s="208">
        <v>13.2</v>
      </c>
      <c r="M146" s="208">
        <v>31</v>
      </c>
      <c r="N146" s="208">
        <v>53.1</v>
      </c>
      <c r="O146" s="208">
        <v>17.100000000000001</v>
      </c>
      <c r="P146" s="208"/>
      <c r="Q146" s="208">
        <v>72.400000000000006</v>
      </c>
      <c r="R146" s="208"/>
      <c r="S146" s="208">
        <v>97.2</v>
      </c>
      <c r="T146" s="208">
        <v>150.9</v>
      </c>
    </row>
    <row r="147" spans="1:20" ht="11.45" customHeight="1" x14ac:dyDescent="0.2">
      <c r="A147" s="205" t="s">
        <v>213</v>
      </c>
      <c r="B147" s="206" t="s">
        <v>214</v>
      </c>
      <c r="C147" s="206" t="s">
        <v>22</v>
      </c>
      <c r="D147" s="208"/>
      <c r="E147" s="208"/>
      <c r="F147" s="207">
        <v>3520</v>
      </c>
      <c r="G147" s="208">
        <v>3820</v>
      </c>
      <c r="H147" s="208">
        <v>5075</v>
      </c>
      <c r="I147" s="208">
        <v>11</v>
      </c>
      <c r="J147" s="208">
        <v>25.7</v>
      </c>
      <c r="K147" s="208">
        <v>48.1</v>
      </c>
      <c r="L147" s="208">
        <v>13.2</v>
      </c>
      <c r="M147" s="208">
        <v>31</v>
      </c>
      <c r="N147" s="208">
        <v>53.1</v>
      </c>
      <c r="O147" s="208">
        <v>17.100000000000001</v>
      </c>
      <c r="P147" s="208"/>
      <c r="Q147" s="208">
        <v>72.400000000000006</v>
      </c>
      <c r="R147" s="208"/>
      <c r="S147" s="208">
        <v>97.2</v>
      </c>
      <c r="T147" s="208"/>
    </row>
    <row r="148" spans="1:20" ht="11.45" customHeight="1" x14ac:dyDescent="0.2">
      <c r="A148" s="205" t="s">
        <v>215</v>
      </c>
      <c r="B148" s="206" t="s">
        <v>216</v>
      </c>
      <c r="C148" s="206" t="s">
        <v>251</v>
      </c>
      <c r="D148" s="208"/>
      <c r="E148" s="208"/>
      <c r="F148" s="207">
        <v>4020</v>
      </c>
      <c r="G148" s="208"/>
      <c r="H148" s="208"/>
      <c r="I148" s="208"/>
      <c r="J148" s="208">
        <v>25.7</v>
      </c>
      <c r="K148" s="208">
        <v>48.1</v>
      </c>
      <c r="L148" s="208"/>
      <c r="M148" s="208"/>
      <c r="N148" s="208"/>
      <c r="O148" s="208"/>
      <c r="P148" s="208"/>
      <c r="Q148" s="208"/>
      <c r="R148" s="208"/>
      <c r="S148" s="208"/>
      <c r="T148" s="208"/>
    </row>
    <row r="149" spans="1:20" ht="11.45" customHeight="1" x14ac:dyDescent="0.2">
      <c r="A149" s="205" t="s">
        <v>215</v>
      </c>
      <c r="B149" s="206" t="s">
        <v>216</v>
      </c>
      <c r="C149" s="206" t="s">
        <v>31</v>
      </c>
      <c r="D149" s="208">
        <v>3350</v>
      </c>
      <c r="E149" s="208"/>
      <c r="F149" s="207">
        <v>3425</v>
      </c>
      <c r="G149" s="208">
        <v>3725</v>
      </c>
      <c r="H149" s="208">
        <v>4990</v>
      </c>
      <c r="I149" s="208">
        <v>11</v>
      </c>
      <c r="J149" s="208">
        <v>25.7</v>
      </c>
      <c r="K149" s="208">
        <v>48.1</v>
      </c>
      <c r="L149" s="208">
        <v>13.2</v>
      </c>
      <c r="M149" s="208">
        <v>31</v>
      </c>
      <c r="N149" s="208">
        <v>53.1</v>
      </c>
      <c r="O149" s="208"/>
      <c r="P149" s="208">
        <v>47.5</v>
      </c>
      <c r="Q149" s="208">
        <v>72.400000000000006</v>
      </c>
      <c r="R149" s="208">
        <v>69.5</v>
      </c>
      <c r="S149" s="208">
        <v>97.2</v>
      </c>
      <c r="T149" s="208">
        <v>150.9</v>
      </c>
    </row>
    <row r="150" spans="1:20" ht="11.45" customHeight="1" x14ac:dyDescent="0.2">
      <c r="A150" s="205" t="s">
        <v>217</v>
      </c>
      <c r="B150" s="206" t="s">
        <v>218</v>
      </c>
      <c r="C150" s="206" t="s">
        <v>22</v>
      </c>
      <c r="D150" s="208">
        <v>3350</v>
      </c>
      <c r="E150" s="208"/>
      <c r="F150" s="207">
        <v>3425</v>
      </c>
      <c r="G150" s="208">
        <v>3725</v>
      </c>
      <c r="H150" s="208">
        <v>4990</v>
      </c>
      <c r="I150" s="208">
        <v>11</v>
      </c>
      <c r="J150" s="208">
        <v>25.7</v>
      </c>
      <c r="K150" s="208">
        <v>48.1</v>
      </c>
      <c r="L150" s="208">
        <v>13.2</v>
      </c>
      <c r="M150" s="208">
        <v>31</v>
      </c>
      <c r="N150" s="208">
        <v>53.1</v>
      </c>
      <c r="O150" s="208">
        <v>17.100000000000001</v>
      </c>
      <c r="P150" s="208"/>
      <c r="Q150" s="208">
        <v>72.400000000000006</v>
      </c>
      <c r="R150" s="208"/>
      <c r="S150" s="208">
        <v>97.2</v>
      </c>
      <c r="T150" s="208"/>
    </row>
    <row r="151" spans="1:20" ht="11.45" customHeight="1" x14ac:dyDescent="0.2">
      <c r="A151" s="205" t="s">
        <v>1262</v>
      </c>
      <c r="B151" s="206" t="s">
        <v>1263</v>
      </c>
      <c r="C151" s="206" t="s">
        <v>22</v>
      </c>
      <c r="D151" s="208">
        <v>3445</v>
      </c>
      <c r="E151" s="208"/>
      <c r="F151" s="207">
        <v>3520</v>
      </c>
      <c r="G151" s="208">
        <v>3820</v>
      </c>
      <c r="H151" s="208">
        <v>5075</v>
      </c>
      <c r="I151" s="208">
        <v>11</v>
      </c>
      <c r="J151" s="208">
        <v>25.7</v>
      </c>
      <c r="K151" s="208">
        <v>48.1</v>
      </c>
      <c r="L151" s="208">
        <v>13.2</v>
      </c>
      <c r="M151" s="208">
        <v>31</v>
      </c>
      <c r="N151" s="208">
        <v>53.1</v>
      </c>
      <c r="O151" s="208">
        <v>17.100000000000001</v>
      </c>
      <c r="P151" s="208"/>
      <c r="Q151" s="208">
        <v>72.400000000000006</v>
      </c>
      <c r="R151" s="208"/>
      <c r="S151" s="208"/>
      <c r="T151" s="208"/>
    </row>
    <row r="152" spans="1:20" ht="11.45" customHeight="1" x14ac:dyDescent="0.2">
      <c r="A152" s="205" t="s">
        <v>1272</v>
      </c>
      <c r="B152" s="206" t="s">
        <v>1273</v>
      </c>
      <c r="C152" s="206" t="s">
        <v>21</v>
      </c>
      <c r="D152" s="208">
        <v>5150</v>
      </c>
      <c r="E152" s="208"/>
      <c r="F152" s="207">
        <v>5230</v>
      </c>
      <c r="G152" s="208">
        <v>5505</v>
      </c>
      <c r="H152" s="208">
        <v>6785</v>
      </c>
      <c r="I152" s="208">
        <v>11</v>
      </c>
      <c r="J152" s="208">
        <v>25.7</v>
      </c>
      <c r="K152" s="208">
        <v>48.1</v>
      </c>
      <c r="L152" s="208">
        <v>13.2</v>
      </c>
      <c r="M152" s="208">
        <v>31</v>
      </c>
      <c r="N152" s="208">
        <v>53.1</v>
      </c>
      <c r="O152" s="208">
        <v>17.100000000000001</v>
      </c>
      <c r="P152" s="208"/>
      <c r="Q152" s="208">
        <v>72.400000000000006</v>
      </c>
      <c r="R152" s="208"/>
      <c r="S152" s="208">
        <v>97.2</v>
      </c>
      <c r="T152" s="208"/>
    </row>
    <row r="153" spans="1:20" ht="11.45" customHeight="1" x14ac:dyDescent="0.2">
      <c r="A153" s="205" t="s">
        <v>219</v>
      </c>
      <c r="B153" s="206" t="s">
        <v>220</v>
      </c>
      <c r="C153" s="206" t="s">
        <v>31</v>
      </c>
      <c r="D153" s="208">
        <v>3270</v>
      </c>
      <c r="E153" s="208"/>
      <c r="F153" s="207">
        <v>3355</v>
      </c>
      <c r="G153" s="208">
        <v>3650</v>
      </c>
      <c r="H153" s="208">
        <v>4925</v>
      </c>
      <c r="I153" s="208">
        <v>11</v>
      </c>
      <c r="J153" s="208">
        <v>25.7</v>
      </c>
      <c r="K153" s="208">
        <v>48.1</v>
      </c>
      <c r="L153" s="208">
        <v>13.2</v>
      </c>
      <c r="M153" s="208">
        <v>31</v>
      </c>
      <c r="N153" s="208">
        <v>53.1</v>
      </c>
      <c r="O153" s="208"/>
      <c r="P153" s="208"/>
      <c r="Q153" s="208"/>
      <c r="R153" s="208"/>
      <c r="S153" s="208"/>
      <c r="T153" s="208"/>
    </row>
    <row r="154" spans="1:20" ht="11.45" customHeight="1" x14ac:dyDescent="0.2">
      <c r="A154" s="205" t="s">
        <v>219</v>
      </c>
      <c r="B154" s="206" t="s">
        <v>220</v>
      </c>
      <c r="C154" s="206" t="s">
        <v>251</v>
      </c>
      <c r="D154" s="208"/>
      <c r="E154" s="208"/>
      <c r="F154" s="207">
        <v>4020</v>
      </c>
      <c r="G154" s="208"/>
      <c r="H154" s="208"/>
      <c r="I154" s="208">
        <v>11</v>
      </c>
      <c r="J154" s="208">
        <v>25.7</v>
      </c>
      <c r="K154" s="208">
        <v>48.1</v>
      </c>
      <c r="L154" s="208"/>
      <c r="M154" s="208"/>
      <c r="N154" s="208"/>
      <c r="O154" s="208"/>
      <c r="P154" s="208"/>
      <c r="Q154" s="208"/>
      <c r="R154" s="208"/>
      <c r="S154" s="208"/>
      <c r="T154" s="208"/>
    </row>
    <row r="155" spans="1:20" ht="11.45" customHeight="1" x14ac:dyDescent="0.2">
      <c r="A155" s="314" t="s">
        <v>221</v>
      </c>
      <c r="B155" s="315"/>
      <c r="C155" s="316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</row>
    <row r="156" spans="1:20" ht="11.45" customHeight="1" x14ac:dyDescent="0.2">
      <c r="A156" s="205" t="s">
        <v>1798</v>
      </c>
      <c r="B156" s="206" t="s">
        <v>1329</v>
      </c>
      <c r="C156" s="206" t="s">
        <v>38</v>
      </c>
      <c r="D156" s="208">
        <v>3945</v>
      </c>
      <c r="E156" s="208"/>
      <c r="F156" s="207">
        <v>4020</v>
      </c>
      <c r="G156" s="208"/>
      <c r="H156" s="208">
        <v>5505</v>
      </c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</row>
    <row r="157" spans="1:20" ht="11.45" customHeight="1" x14ac:dyDescent="0.2">
      <c r="A157" s="205" t="s">
        <v>223</v>
      </c>
      <c r="B157" s="206" t="s">
        <v>224</v>
      </c>
      <c r="C157" s="206" t="s">
        <v>22</v>
      </c>
      <c r="D157" s="208">
        <v>3945</v>
      </c>
      <c r="E157" s="208"/>
      <c r="F157" s="207">
        <v>4020</v>
      </c>
      <c r="G157" s="208">
        <v>4290</v>
      </c>
      <c r="H157" s="208">
        <v>5505</v>
      </c>
      <c r="I157" s="208">
        <v>17.899999999999999</v>
      </c>
      <c r="J157" s="208">
        <v>35</v>
      </c>
      <c r="K157" s="208">
        <v>62.6</v>
      </c>
      <c r="L157" s="208">
        <v>22</v>
      </c>
      <c r="M157" s="208">
        <v>42.3</v>
      </c>
      <c r="N157" s="208">
        <v>65.5</v>
      </c>
      <c r="O157" s="208">
        <v>28.9</v>
      </c>
      <c r="P157" s="208"/>
      <c r="Q157" s="208">
        <v>94.1</v>
      </c>
      <c r="R157" s="208"/>
      <c r="S157" s="208">
        <v>127.6</v>
      </c>
      <c r="T157" s="208">
        <v>187.5</v>
      </c>
    </row>
    <row r="158" spans="1:20" ht="11.45" customHeight="1" x14ac:dyDescent="0.2">
      <c r="A158" s="205" t="s">
        <v>225</v>
      </c>
      <c r="B158" s="206" t="s">
        <v>226</v>
      </c>
      <c r="C158" s="206" t="s">
        <v>22</v>
      </c>
      <c r="D158" s="208">
        <v>3945</v>
      </c>
      <c r="E158" s="208"/>
      <c r="F158" s="207">
        <v>4020</v>
      </c>
      <c r="G158" s="208">
        <v>4290</v>
      </c>
      <c r="H158" s="208">
        <v>5505</v>
      </c>
      <c r="I158" s="208">
        <v>17.899999999999999</v>
      </c>
      <c r="J158" s="208">
        <v>35</v>
      </c>
      <c r="K158" s="208">
        <v>62.6</v>
      </c>
      <c r="L158" s="208">
        <v>22</v>
      </c>
      <c r="M158" s="208">
        <v>42.3</v>
      </c>
      <c r="N158" s="208">
        <v>65.5</v>
      </c>
      <c r="O158" s="208">
        <v>28.9</v>
      </c>
      <c r="P158" s="208">
        <v>66.900000000000006</v>
      </c>
      <c r="Q158" s="208">
        <v>94.1</v>
      </c>
      <c r="R158" s="208"/>
      <c r="S158" s="208">
        <v>127.6</v>
      </c>
      <c r="T158" s="208">
        <v>187.5</v>
      </c>
    </row>
    <row r="159" spans="1:20" ht="11.45" customHeight="1" x14ac:dyDescent="0.2">
      <c r="A159" s="205" t="s">
        <v>1317</v>
      </c>
      <c r="B159" s="206" t="s">
        <v>1318</v>
      </c>
      <c r="C159" s="206" t="s">
        <v>22</v>
      </c>
      <c r="D159" s="208"/>
      <c r="E159" s="208"/>
      <c r="F159" s="207">
        <v>4285</v>
      </c>
      <c r="G159" s="208"/>
      <c r="H159" s="208"/>
      <c r="I159" s="208">
        <v>17.899999999999999</v>
      </c>
      <c r="J159" s="208">
        <v>35</v>
      </c>
      <c r="K159" s="208">
        <v>62.6</v>
      </c>
      <c r="L159" s="208"/>
      <c r="M159" s="208"/>
      <c r="N159" s="208"/>
      <c r="O159" s="208"/>
      <c r="P159" s="208"/>
      <c r="Q159" s="208"/>
      <c r="R159" s="208"/>
      <c r="S159" s="208"/>
      <c r="T159" s="208"/>
    </row>
    <row r="160" spans="1:20" ht="11.45" customHeight="1" x14ac:dyDescent="0.2">
      <c r="A160" s="205" t="s">
        <v>1322</v>
      </c>
      <c r="B160" s="206" t="s">
        <v>1323</v>
      </c>
      <c r="C160" s="206" t="s">
        <v>22</v>
      </c>
      <c r="D160" s="208"/>
      <c r="E160" s="208"/>
      <c r="F160" s="207">
        <v>4285</v>
      </c>
      <c r="G160" s="208"/>
      <c r="H160" s="208"/>
      <c r="I160" s="208">
        <v>17.899999999999999</v>
      </c>
      <c r="J160" s="208">
        <v>35</v>
      </c>
      <c r="K160" s="208">
        <v>62.6</v>
      </c>
      <c r="L160" s="208"/>
      <c r="M160" s="208"/>
      <c r="N160" s="208"/>
      <c r="O160" s="208"/>
      <c r="P160" s="208"/>
      <c r="Q160" s="208"/>
      <c r="R160" s="208"/>
      <c r="S160" s="208"/>
      <c r="T160" s="208"/>
    </row>
    <row r="161" spans="1:20" ht="11.45" customHeight="1" x14ac:dyDescent="0.2">
      <c r="A161" s="205" t="s">
        <v>227</v>
      </c>
      <c r="B161" s="206" t="s">
        <v>228</v>
      </c>
      <c r="C161" s="206" t="s">
        <v>229</v>
      </c>
      <c r="D161" s="208"/>
      <c r="E161" s="208"/>
      <c r="F161" s="207">
        <v>11155</v>
      </c>
      <c r="G161" s="208"/>
      <c r="H161" s="208"/>
      <c r="I161" s="208"/>
      <c r="J161" s="208"/>
      <c r="K161" s="208"/>
      <c r="L161" s="208"/>
      <c r="M161" s="208"/>
      <c r="N161" s="208">
        <v>65.5</v>
      </c>
      <c r="O161" s="208"/>
      <c r="P161" s="208"/>
      <c r="Q161" s="208"/>
      <c r="R161" s="208"/>
      <c r="S161" s="208"/>
      <c r="T161" s="208"/>
    </row>
    <row r="162" spans="1:20" ht="11.45" customHeight="1" x14ac:dyDescent="0.2">
      <c r="A162" s="205" t="s">
        <v>1328</v>
      </c>
      <c r="B162" s="206" t="s">
        <v>1329</v>
      </c>
      <c r="C162" s="206" t="s">
        <v>38</v>
      </c>
      <c r="D162" s="208"/>
      <c r="E162" s="208"/>
      <c r="F162" s="207"/>
      <c r="G162" s="208"/>
      <c r="H162" s="208"/>
      <c r="I162" s="208">
        <v>17.899999999999999</v>
      </c>
      <c r="J162" s="208">
        <v>35</v>
      </c>
      <c r="K162" s="208">
        <v>62.6</v>
      </c>
      <c r="L162" s="208"/>
      <c r="M162" s="208"/>
      <c r="N162" s="208"/>
      <c r="O162" s="208">
        <v>28.9</v>
      </c>
      <c r="P162" s="208"/>
      <c r="Q162" s="208">
        <v>94.1</v>
      </c>
      <c r="R162" s="208"/>
      <c r="S162" s="208">
        <v>127.6</v>
      </c>
      <c r="T162" s="208"/>
    </row>
    <row r="163" spans="1:20" ht="11.45" customHeight="1" x14ac:dyDescent="0.2">
      <c r="A163" s="205" t="s">
        <v>1336</v>
      </c>
      <c r="B163" s="206" t="s">
        <v>1337</v>
      </c>
      <c r="C163" s="206" t="s">
        <v>38</v>
      </c>
      <c r="D163" s="208"/>
      <c r="E163" s="208"/>
      <c r="F163" s="207">
        <v>4020</v>
      </c>
      <c r="G163" s="208"/>
      <c r="H163" s="208"/>
      <c r="I163" s="208">
        <v>17.899999999999999</v>
      </c>
      <c r="J163" s="208">
        <v>35</v>
      </c>
      <c r="K163" s="208">
        <v>62.6</v>
      </c>
      <c r="L163" s="208"/>
      <c r="M163" s="208"/>
      <c r="N163" s="208"/>
      <c r="O163" s="208"/>
      <c r="P163" s="208"/>
      <c r="Q163" s="208"/>
      <c r="R163" s="208"/>
      <c r="S163" s="208">
        <v>127.6</v>
      </c>
      <c r="T163" s="208"/>
    </row>
    <row r="164" spans="1:20" ht="11.45" customHeight="1" x14ac:dyDescent="0.2">
      <c r="A164" s="205" t="s">
        <v>230</v>
      </c>
      <c r="B164" s="206" t="s">
        <v>231</v>
      </c>
      <c r="C164" s="206" t="s">
        <v>31</v>
      </c>
      <c r="D164" s="208">
        <v>3745</v>
      </c>
      <c r="E164" s="208"/>
      <c r="F164" s="207">
        <v>3830</v>
      </c>
      <c r="G164" s="208"/>
      <c r="H164" s="208">
        <v>5350</v>
      </c>
      <c r="I164" s="208">
        <v>17.899999999999999</v>
      </c>
      <c r="J164" s="208">
        <v>35</v>
      </c>
      <c r="K164" s="208">
        <v>62.6</v>
      </c>
      <c r="L164" s="208"/>
      <c r="M164" s="208"/>
      <c r="N164" s="208"/>
      <c r="O164" s="208">
        <v>28.9</v>
      </c>
      <c r="P164" s="208">
        <v>66.900000000000006</v>
      </c>
      <c r="Q164" s="208">
        <v>94.1</v>
      </c>
      <c r="R164" s="208"/>
      <c r="S164" s="208">
        <v>127.6</v>
      </c>
      <c r="T164" s="208">
        <v>187.5</v>
      </c>
    </row>
    <row r="165" spans="1:20" ht="11.45" customHeight="1" x14ac:dyDescent="0.2">
      <c r="A165" s="205" t="s">
        <v>232</v>
      </c>
      <c r="B165" s="206" t="s">
        <v>11</v>
      </c>
      <c r="C165" s="206" t="s">
        <v>31</v>
      </c>
      <c r="D165" s="208">
        <v>3745</v>
      </c>
      <c r="E165" s="208"/>
      <c r="F165" s="207">
        <v>3830</v>
      </c>
      <c r="G165" s="208"/>
      <c r="H165" s="208">
        <v>5350</v>
      </c>
      <c r="I165" s="208">
        <v>17.899999999999999</v>
      </c>
      <c r="J165" s="208">
        <v>35</v>
      </c>
      <c r="K165" s="208">
        <v>62.6</v>
      </c>
      <c r="L165" s="208"/>
      <c r="M165" s="208"/>
      <c r="N165" s="208"/>
      <c r="O165" s="208">
        <v>28.9</v>
      </c>
      <c r="P165" s="208"/>
      <c r="Q165" s="208">
        <v>94.1</v>
      </c>
      <c r="R165" s="208"/>
      <c r="S165" s="208">
        <v>127.6</v>
      </c>
      <c r="T165" s="208">
        <v>187.5</v>
      </c>
    </row>
    <row r="166" spans="1:20" ht="11.45" customHeight="1" x14ac:dyDescent="0.2">
      <c r="A166" s="205" t="s">
        <v>1357</v>
      </c>
      <c r="B166" s="206" t="s">
        <v>1358</v>
      </c>
      <c r="C166" s="206" t="s">
        <v>1205</v>
      </c>
      <c r="D166" s="208"/>
      <c r="E166" s="208"/>
      <c r="F166" s="207">
        <v>4020</v>
      </c>
      <c r="G166" s="208"/>
      <c r="H166" s="208"/>
      <c r="I166" s="208">
        <v>17.899999999999999</v>
      </c>
      <c r="J166" s="208">
        <v>35</v>
      </c>
      <c r="K166" s="208">
        <v>62.6</v>
      </c>
      <c r="L166" s="208"/>
      <c r="M166" s="208"/>
      <c r="N166" s="208"/>
      <c r="O166" s="208"/>
      <c r="P166" s="208"/>
      <c r="Q166" s="208"/>
      <c r="R166" s="208"/>
      <c r="S166" s="208"/>
      <c r="T166" s="208"/>
    </row>
    <row r="167" spans="1:20" ht="11.45" customHeight="1" x14ac:dyDescent="0.2">
      <c r="A167" s="205" t="s">
        <v>1362</v>
      </c>
      <c r="B167" s="206" t="s">
        <v>1363</v>
      </c>
      <c r="C167" s="206" t="s">
        <v>1205</v>
      </c>
      <c r="D167" s="208"/>
      <c r="E167" s="208"/>
      <c r="F167" s="207">
        <v>4020</v>
      </c>
      <c r="G167" s="208"/>
      <c r="H167" s="208"/>
      <c r="I167" s="208">
        <v>17.899999999999999</v>
      </c>
      <c r="J167" s="208">
        <v>35</v>
      </c>
      <c r="K167" s="208">
        <v>62.6</v>
      </c>
      <c r="L167" s="208"/>
      <c r="M167" s="208"/>
      <c r="N167" s="208"/>
      <c r="O167" s="208"/>
      <c r="P167" s="208"/>
      <c r="Q167" s="208"/>
      <c r="R167" s="208"/>
      <c r="S167" s="208"/>
      <c r="T167" s="208"/>
    </row>
    <row r="168" spans="1:20" ht="11.45" customHeight="1" x14ac:dyDescent="0.2">
      <c r="A168" s="205" t="s">
        <v>1367</v>
      </c>
      <c r="B168" s="206" t="s">
        <v>1368</v>
      </c>
      <c r="C168" s="206" t="s">
        <v>22</v>
      </c>
      <c r="D168" s="208"/>
      <c r="E168" s="208"/>
      <c r="F168" s="207">
        <v>4020</v>
      </c>
      <c r="G168" s="208"/>
      <c r="H168" s="208"/>
      <c r="I168" s="208">
        <v>17.899999999999999</v>
      </c>
      <c r="J168" s="208">
        <v>35</v>
      </c>
      <c r="K168" s="208">
        <v>62.6</v>
      </c>
      <c r="L168" s="208"/>
      <c r="M168" s="208"/>
      <c r="N168" s="208"/>
      <c r="O168" s="208"/>
      <c r="P168" s="208"/>
      <c r="Q168" s="208"/>
      <c r="R168" s="208"/>
      <c r="S168" s="208"/>
      <c r="T168" s="208"/>
    </row>
    <row r="169" spans="1:20" ht="11.45" customHeight="1" x14ac:dyDescent="0.2">
      <c r="A169" s="227"/>
      <c r="B169" s="228"/>
      <c r="C169" s="228"/>
      <c r="D169" s="229"/>
      <c r="E169" s="230"/>
      <c r="F169" s="229"/>
      <c r="G169" s="229"/>
      <c r="H169" s="230"/>
      <c r="I169" s="229"/>
      <c r="J169" s="229"/>
      <c r="K169" s="230"/>
      <c r="L169" s="229"/>
      <c r="M169" s="230"/>
      <c r="N169" s="230"/>
      <c r="O169" s="229"/>
      <c r="P169" s="229"/>
      <c r="Q169" s="230"/>
      <c r="R169" s="229"/>
      <c r="S169" s="229"/>
      <c r="T169" s="229"/>
    </row>
  </sheetData>
  <sheetProtection password="8E28" sheet="1" objects="1" scenarios="1" autoFilter="0"/>
  <autoFilter ref="A4:T4"/>
  <mergeCells count="4">
    <mergeCell ref="A5:C5"/>
    <mergeCell ref="A15:C15"/>
    <mergeCell ref="A108:C108"/>
    <mergeCell ref="A155:C155"/>
  </mergeCells>
  <pageMargins left="0.39370078740157483" right="0.39370078740157483" top="0.39370078740157483" bottom="0.39370078740157483" header="0" footer="0"/>
  <pageSetup fitToHeight="0" pageOrder="overThenDown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 tint="-4.9989318521683403E-2"/>
    <outlinePr summaryBelow="0" summaryRight="0"/>
    <pageSetUpPr autoPageBreaks="0" fitToPage="1"/>
  </sheetPr>
  <dimension ref="A1:N28"/>
  <sheetViews>
    <sheetView workbookViewId="0">
      <selection activeCell="V7" sqref="V7"/>
    </sheetView>
  </sheetViews>
  <sheetFormatPr defaultColWidth="10.5" defaultRowHeight="11.45" customHeight="1" x14ac:dyDescent="0.2"/>
  <cols>
    <col min="1" max="1" width="32.83203125" style="74" bestFit="1" customWidth="1"/>
    <col min="2" max="2" width="10.5" style="74"/>
    <col min="3" max="6" width="6.6640625" style="74" bestFit="1" customWidth="1"/>
    <col min="7" max="10" width="4.6640625" style="74" bestFit="1" customWidth="1"/>
    <col min="11" max="12" width="5.6640625" style="74" bestFit="1" customWidth="1"/>
    <col min="13" max="14" width="10.5" style="74"/>
    <col min="15" max="16384" width="10.5" style="73"/>
  </cols>
  <sheetData>
    <row r="1" spans="1:12" ht="77.25" customHeight="1" x14ac:dyDescent="0.2">
      <c r="A1" s="322" t="s">
        <v>1993</v>
      </c>
      <c r="B1" s="322" t="s">
        <v>2</v>
      </c>
      <c r="C1" s="217" t="s">
        <v>1850</v>
      </c>
      <c r="D1" s="217" t="s">
        <v>1850</v>
      </c>
      <c r="E1" s="217" t="s">
        <v>1822</v>
      </c>
      <c r="F1" s="217" t="s">
        <v>1822</v>
      </c>
      <c r="G1" s="217" t="s">
        <v>241</v>
      </c>
      <c r="H1" s="217" t="s">
        <v>241</v>
      </c>
      <c r="I1" s="217" t="s">
        <v>241</v>
      </c>
      <c r="J1" s="217" t="s">
        <v>241</v>
      </c>
      <c r="K1" s="217" t="s">
        <v>9</v>
      </c>
      <c r="L1" s="217" t="s">
        <v>9</v>
      </c>
    </row>
    <row r="2" spans="1:12" ht="56.25" x14ac:dyDescent="0.2">
      <c r="A2" s="322"/>
      <c r="B2" s="322"/>
      <c r="C2" s="218" t="s">
        <v>1852</v>
      </c>
      <c r="D2" s="218" t="s">
        <v>1853</v>
      </c>
      <c r="E2" s="218" t="s">
        <v>2041</v>
      </c>
      <c r="F2" s="218" t="s">
        <v>1824</v>
      </c>
      <c r="G2" s="218" t="s">
        <v>18</v>
      </c>
      <c r="H2" s="218" t="s">
        <v>248</v>
      </c>
      <c r="I2" s="218" t="s">
        <v>656</v>
      </c>
      <c r="J2" s="218" t="s">
        <v>441</v>
      </c>
      <c r="K2" s="218" t="s">
        <v>18</v>
      </c>
      <c r="L2" s="218" t="s">
        <v>18</v>
      </c>
    </row>
    <row r="3" spans="1:12" ht="51" x14ac:dyDescent="0.2">
      <c r="A3" s="322"/>
      <c r="B3" s="322"/>
      <c r="C3" s="215" t="s">
        <v>238</v>
      </c>
      <c r="D3" s="216" t="s">
        <v>238</v>
      </c>
      <c r="E3" s="216" t="s">
        <v>238</v>
      </c>
      <c r="F3" s="216" t="s">
        <v>238</v>
      </c>
      <c r="G3" s="216" t="s">
        <v>244</v>
      </c>
      <c r="H3" s="216" t="s">
        <v>244</v>
      </c>
      <c r="I3" s="216" t="s">
        <v>244</v>
      </c>
      <c r="J3" s="216" t="s">
        <v>244</v>
      </c>
      <c r="K3" s="216" t="s">
        <v>25</v>
      </c>
      <c r="L3" s="216" t="s">
        <v>12</v>
      </c>
    </row>
    <row r="4" spans="1:12" ht="17.25" customHeight="1" x14ac:dyDescent="0.2">
      <c r="A4" s="322"/>
      <c r="B4" s="322"/>
      <c r="C4" s="323" t="s">
        <v>1385</v>
      </c>
      <c r="D4" s="317" t="s">
        <v>1385</v>
      </c>
      <c r="E4" s="317" t="s">
        <v>1385</v>
      </c>
      <c r="F4" s="317" t="s">
        <v>1385</v>
      </c>
      <c r="G4" s="317" t="s">
        <v>245</v>
      </c>
      <c r="H4" s="317" t="s">
        <v>245</v>
      </c>
      <c r="I4" s="317" t="s">
        <v>245</v>
      </c>
      <c r="J4" s="317" t="s">
        <v>245</v>
      </c>
      <c r="K4" s="317" t="s">
        <v>10</v>
      </c>
      <c r="L4" s="317" t="s">
        <v>10</v>
      </c>
    </row>
    <row r="5" spans="1:12" ht="11.25" customHeight="1" x14ac:dyDescent="0.2">
      <c r="A5" s="322"/>
      <c r="B5" s="322"/>
      <c r="C5" s="323"/>
      <c r="D5" s="317"/>
      <c r="E5" s="317"/>
      <c r="F5" s="317"/>
      <c r="G5" s="317"/>
      <c r="H5" s="317"/>
      <c r="I5" s="317"/>
      <c r="J5" s="317"/>
      <c r="K5" s="317"/>
      <c r="L5" s="317"/>
    </row>
    <row r="6" spans="1:12" ht="11.45" customHeight="1" x14ac:dyDescent="0.2">
      <c r="A6" s="318" t="s">
        <v>15</v>
      </c>
      <c r="B6" s="319"/>
      <c r="C6" s="209"/>
      <c r="D6" s="209"/>
      <c r="E6" s="209"/>
      <c r="F6" s="209"/>
      <c r="G6" s="209"/>
      <c r="H6" s="209"/>
      <c r="I6" s="209"/>
      <c r="J6" s="209"/>
      <c r="K6" s="209"/>
      <c r="L6" s="209"/>
    </row>
    <row r="7" spans="1:12" ht="11.45" customHeight="1" x14ac:dyDescent="0.2">
      <c r="A7" s="210" t="s">
        <v>24</v>
      </c>
      <c r="B7" s="211" t="s">
        <v>23</v>
      </c>
      <c r="C7" s="212">
        <v>21960</v>
      </c>
      <c r="D7" s="212">
        <v>24395</v>
      </c>
      <c r="E7" s="213"/>
      <c r="F7" s="213"/>
      <c r="G7" s="214">
        <v>73.8</v>
      </c>
      <c r="H7" s="214">
        <v>73.8</v>
      </c>
      <c r="I7" s="213"/>
      <c r="J7" s="213"/>
      <c r="K7" s="212">
        <v>8445</v>
      </c>
      <c r="L7" s="213"/>
    </row>
    <row r="8" spans="1:12" ht="11.45" customHeight="1" x14ac:dyDescent="0.2">
      <c r="A8" s="210" t="s">
        <v>17</v>
      </c>
      <c r="B8" s="211" t="s">
        <v>16</v>
      </c>
      <c r="C8" s="212">
        <v>21960</v>
      </c>
      <c r="D8" s="212">
        <v>24395</v>
      </c>
      <c r="E8" s="213"/>
      <c r="F8" s="213"/>
      <c r="G8" s="214">
        <v>73.8</v>
      </c>
      <c r="H8" s="214">
        <v>73.8</v>
      </c>
      <c r="I8" s="213"/>
      <c r="J8" s="213"/>
      <c r="K8" s="213"/>
      <c r="L8" s="212">
        <v>9195</v>
      </c>
    </row>
    <row r="9" spans="1:12" ht="11.45" customHeight="1" x14ac:dyDescent="0.2">
      <c r="A9" s="320" t="s">
        <v>34</v>
      </c>
      <c r="B9" s="321"/>
      <c r="C9" s="209"/>
      <c r="D9" s="209"/>
      <c r="E9" s="209"/>
      <c r="F9" s="209"/>
      <c r="G9" s="209"/>
      <c r="H9" s="209"/>
      <c r="I9" s="209"/>
      <c r="J9" s="209"/>
      <c r="K9" s="209"/>
      <c r="L9" s="209"/>
    </row>
    <row r="10" spans="1:12" ht="11.45" customHeight="1" x14ac:dyDescent="0.2">
      <c r="A10" s="210" t="s">
        <v>756</v>
      </c>
      <c r="B10" s="211" t="s">
        <v>755</v>
      </c>
      <c r="C10" s="213"/>
      <c r="D10" s="213"/>
      <c r="E10" s="213"/>
      <c r="F10" s="212">
        <v>18590</v>
      </c>
      <c r="G10" s="213"/>
      <c r="H10" s="213"/>
      <c r="I10" s="213"/>
      <c r="J10" s="214">
        <v>89.9</v>
      </c>
      <c r="K10" s="213"/>
      <c r="L10" s="213"/>
    </row>
    <row r="11" spans="1:12" ht="11.45" customHeight="1" x14ac:dyDescent="0.2">
      <c r="A11" s="210" t="s">
        <v>440</v>
      </c>
      <c r="B11" s="211" t="s">
        <v>439</v>
      </c>
      <c r="C11" s="213"/>
      <c r="D11" s="213"/>
      <c r="E11" s="213"/>
      <c r="F11" s="212">
        <v>18590</v>
      </c>
      <c r="G11" s="213"/>
      <c r="H11" s="213"/>
      <c r="I11" s="213"/>
      <c r="J11" s="214">
        <v>89.9</v>
      </c>
      <c r="K11" s="213"/>
      <c r="L11" s="213"/>
    </row>
    <row r="12" spans="1:12" ht="11.45" customHeight="1" x14ac:dyDescent="0.2">
      <c r="A12" s="210" t="s">
        <v>800</v>
      </c>
      <c r="B12" s="211" t="s">
        <v>799</v>
      </c>
      <c r="C12" s="213"/>
      <c r="D12" s="213"/>
      <c r="E12" s="212">
        <v>18590</v>
      </c>
      <c r="F12" s="213"/>
      <c r="G12" s="213"/>
      <c r="H12" s="213"/>
      <c r="I12" s="214">
        <v>73.8</v>
      </c>
      <c r="J12" s="213"/>
      <c r="K12" s="213"/>
      <c r="L12" s="213"/>
    </row>
    <row r="13" spans="1:12" ht="11.45" customHeight="1" x14ac:dyDescent="0.2">
      <c r="A13" s="210" t="s">
        <v>708</v>
      </c>
      <c r="B13" s="211" t="s">
        <v>707</v>
      </c>
      <c r="C13" s="213"/>
      <c r="D13" s="213"/>
      <c r="E13" s="213"/>
      <c r="F13" s="212">
        <v>18590</v>
      </c>
      <c r="G13" s="213"/>
      <c r="H13" s="213"/>
      <c r="I13" s="213"/>
      <c r="J13" s="214">
        <v>89.9</v>
      </c>
      <c r="K13" s="213"/>
      <c r="L13" s="213"/>
    </row>
    <row r="14" spans="1:12" ht="11.45" customHeight="1" x14ac:dyDescent="0.2">
      <c r="A14" s="210" t="s">
        <v>655</v>
      </c>
      <c r="B14" s="211" t="s">
        <v>654</v>
      </c>
      <c r="C14" s="213"/>
      <c r="D14" s="213"/>
      <c r="E14" s="212">
        <v>18590</v>
      </c>
      <c r="F14" s="213"/>
      <c r="G14" s="213"/>
      <c r="H14" s="213"/>
      <c r="I14" s="214">
        <v>73.8</v>
      </c>
      <c r="J14" s="213"/>
      <c r="K14" s="213"/>
      <c r="L14" s="213"/>
    </row>
    <row r="15" spans="1:12" ht="11.45" customHeight="1" x14ac:dyDescent="0.2">
      <c r="A15" s="320" t="s">
        <v>151</v>
      </c>
      <c r="B15" s="321"/>
      <c r="C15" s="209"/>
      <c r="D15" s="209"/>
      <c r="E15" s="209"/>
      <c r="F15" s="209"/>
      <c r="G15" s="209"/>
      <c r="H15" s="209"/>
      <c r="I15" s="209"/>
      <c r="J15" s="209"/>
      <c r="K15" s="209"/>
      <c r="L15" s="209"/>
    </row>
    <row r="16" spans="1:12" ht="11.45" customHeight="1" x14ac:dyDescent="0.2">
      <c r="A16" s="210" t="s">
        <v>1098</v>
      </c>
      <c r="B16" s="211" t="s">
        <v>1097</v>
      </c>
      <c r="C16" s="213"/>
      <c r="D16" s="212">
        <v>24395</v>
      </c>
      <c r="E16" s="213"/>
      <c r="F16" s="213"/>
      <c r="G16" s="213"/>
      <c r="H16" s="214">
        <v>73.8</v>
      </c>
      <c r="I16" s="213"/>
      <c r="J16" s="213"/>
      <c r="K16" s="213"/>
      <c r="L16" s="213"/>
    </row>
    <row r="17" spans="1:12" ht="11.45" customHeight="1" x14ac:dyDescent="0.2">
      <c r="A17" s="210" t="s">
        <v>186</v>
      </c>
      <c r="B17" s="211" t="s">
        <v>185</v>
      </c>
      <c r="C17" s="212">
        <v>21960</v>
      </c>
      <c r="D17" s="212">
        <v>24395</v>
      </c>
      <c r="E17" s="213"/>
      <c r="F17" s="213"/>
      <c r="G17" s="214">
        <v>73.8</v>
      </c>
      <c r="H17" s="214">
        <v>73.8</v>
      </c>
      <c r="I17" s="213"/>
      <c r="J17" s="213"/>
      <c r="K17" s="213"/>
      <c r="L17" s="213"/>
    </row>
    <row r="18" spans="1:12" ht="11.45" customHeight="1" x14ac:dyDescent="0.2">
      <c r="A18" s="210" t="s">
        <v>190</v>
      </c>
      <c r="B18" s="211" t="s">
        <v>189</v>
      </c>
      <c r="C18" s="212">
        <v>21960</v>
      </c>
      <c r="D18" s="212">
        <v>24395</v>
      </c>
      <c r="E18" s="213"/>
      <c r="F18" s="213"/>
      <c r="G18" s="214">
        <v>73.8</v>
      </c>
      <c r="H18" s="214">
        <v>73.8</v>
      </c>
      <c r="I18" s="213"/>
      <c r="J18" s="213"/>
      <c r="K18" s="213"/>
      <c r="L18" s="213"/>
    </row>
    <row r="19" spans="1:12" ht="11.45" customHeight="1" x14ac:dyDescent="0.2">
      <c r="A19" s="210" t="s">
        <v>192</v>
      </c>
      <c r="B19" s="211" t="s">
        <v>191</v>
      </c>
      <c r="C19" s="213"/>
      <c r="D19" s="212">
        <v>24395</v>
      </c>
      <c r="E19" s="213"/>
      <c r="F19" s="213"/>
      <c r="G19" s="213"/>
      <c r="H19" s="214">
        <v>73.8</v>
      </c>
      <c r="I19" s="213"/>
      <c r="J19" s="213"/>
      <c r="K19" s="213"/>
      <c r="L19" s="213"/>
    </row>
    <row r="20" spans="1:12" ht="11.45" customHeight="1" x14ac:dyDescent="0.2">
      <c r="A20" s="210" t="s">
        <v>202</v>
      </c>
      <c r="B20" s="211" t="s">
        <v>201</v>
      </c>
      <c r="C20" s="213"/>
      <c r="D20" s="213"/>
      <c r="E20" s="213"/>
      <c r="F20" s="213"/>
      <c r="G20" s="214">
        <v>73.8</v>
      </c>
      <c r="H20" s="213"/>
      <c r="I20" s="213"/>
      <c r="J20" s="213"/>
      <c r="K20" s="213"/>
      <c r="L20" s="213"/>
    </row>
    <row r="21" spans="1:12" ht="11.45" customHeight="1" x14ac:dyDescent="0.2">
      <c r="A21" s="210" t="s">
        <v>194</v>
      </c>
      <c r="B21" s="211" t="s">
        <v>193</v>
      </c>
      <c r="C21" s="212">
        <v>21960</v>
      </c>
      <c r="D21" s="212">
        <v>24395</v>
      </c>
      <c r="E21" s="213"/>
      <c r="F21" s="213"/>
      <c r="G21" s="214">
        <v>73.8</v>
      </c>
      <c r="H21" s="214">
        <v>73.8</v>
      </c>
      <c r="I21" s="213"/>
      <c r="J21" s="213"/>
      <c r="K21" s="213"/>
      <c r="L21" s="213"/>
    </row>
    <row r="22" spans="1:12" ht="11.45" customHeight="1" x14ac:dyDescent="0.2">
      <c r="A22" s="210" t="s">
        <v>220</v>
      </c>
      <c r="B22" s="211" t="s">
        <v>219</v>
      </c>
      <c r="C22" s="212">
        <v>21960</v>
      </c>
      <c r="D22" s="212">
        <v>24395</v>
      </c>
      <c r="E22" s="212">
        <v>18590</v>
      </c>
      <c r="F22" s="213"/>
      <c r="G22" s="214">
        <v>73.8</v>
      </c>
      <c r="H22" s="214">
        <v>73.8</v>
      </c>
      <c r="I22" s="214">
        <v>73.8</v>
      </c>
      <c r="J22" s="213"/>
      <c r="K22" s="213"/>
      <c r="L22" s="213"/>
    </row>
    <row r="23" spans="1:12" ht="11.45" customHeight="1" x14ac:dyDescent="0.2">
      <c r="A23" s="210" t="s">
        <v>216</v>
      </c>
      <c r="B23" s="211" t="s">
        <v>215</v>
      </c>
      <c r="C23" s="213"/>
      <c r="D23" s="212">
        <v>24395</v>
      </c>
      <c r="E23" s="213"/>
      <c r="F23" s="213"/>
      <c r="G23" s="213"/>
      <c r="H23" s="214">
        <v>73.8</v>
      </c>
      <c r="I23" s="213"/>
      <c r="J23" s="213"/>
      <c r="K23" s="213"/>
      <c r="L23" s="213"/>
    </row>
    <row r="24" spans="1:12" ht="11.45" customHeight="1" x14ac:dyDescent="0.2">
      <c r="A24" s="210" t="s">
        <v>172</v>
      </c>
      <c r="B24" s="211" t="s">
        <v>171</v>
      </c>
      <c r="C24" s="213"/>
      <c r="D24" s="213"/>
      <c r="E24" s="213"/>
      <c r="F24" s="213"/>
      <c r="G24" s="214">
        <v>73.8</v>
      </c>
      <c r="H24" s="213"/>
      <c r="I24" s="213"/>
      <c r="J24" s="213"/>
      <c r="K24" s="213"/>
      <c r="L24" s="213"/>
    </row>
    <row r="25" spans="1:12" ht="11.45" customHeight="1" x14ac:dyDescent="0.2">
      <c r="A25" s="320" t="s">
        <v>221</v>
      </c>
      <c r="B25" s="321"/>
      <c r="C25" s="209"/>
      <c r="D25" s="209"/>
      <c r="E25" s="209"/>
      <c r="F25" s="209"/>
      <c r="G25" s="209"/>
      <c r="H25" s="209"/>
      <c r="I25" s="209"/>
      <c r="J25" s="209"/>
      <c r="K25" s="209"/>
      <c r="L25" s="209"/>
    </row>
    <row r="26" spans="1:12" ht="11.45" customHeight="1" x14ac:dyDescent="0.2">
      <c r="A26" s="210" t="s">
        <v>1855</v>
      </c>
      <c r="B26" s="211" t="s">
        <v>1854</v>
      </c>
      <c r="C26" s="213"/>
      <c r="D26" s="212">
        <v>24395</v>
      </c>
      <c r="E26" s="213"/>
      <c r="F26" s="213"/>
      <c r="G26" s="213"/>
      <c r="H26" s="213"/>
      <c r="I26" s="213"/>
      <c r="J26" s="213"/>
      <c r="K26" s="213"/>
      <c r="L26" s="213"/>
    </row>
    <row r="27" spans="1:12" ht="11.45" customHeight="1" x14ac:dyDescent="0.2">
      <c r="A27" s="210" t="s">
        <v>1323</v>
      </c>
      <c r="B27" s="211" t="s">
        <v>1322</v>
      </c>
      <c r="C27" s="213"/>
      <c r="D27" s="212">
        <v>24395</v>
      </c>
      <c r="E27" s="213"/>
      <c r="F27" s="213"/>
      <c r="G27" s="213"/>
      <c r="H27" s="213"/>
      <c r="I27" s="213"/>
      <c r="J27" s="213"/>
      <c r="K27" s="213"/>
      <c r="L27" s="213"/>
    </row>
    <row r="28" spans="1:12" ht="11.45" customHeight="1" x14ac:dyDescent="0.2">
      <c r="A28" s="210" t="s">
        <v>1368</v>
      </c>
      <c r="B28" s="211" t="s">
        <v>1367</v>
      </c>
      <c r="C28" s="213"/>
      <c r="D28" s="213"/>
      <c r="E28" s="213"/>
      <c r="F28" s="213"/>
      <c r="G28" s="214">
        <v>73.8</v>
      </c>
      <c r="H28" s="213"/>
      <c r="I28" s="213"/>
      <c r="J28" s="213"/>
      <c r="K28" s="213"/>
      <c r="L28" s="213"/>
    </row>
  </sheetData>
  <sheetProtection password="8E28" sheet="1" objects="1" scenarios="1" autoFilter="0"/>
  <mergeCells count="16">
    <mergeCell ref="A15:B15"/>
    <mergeCell ref="A25:B25"/>
    <mergeCell ref="A1:A5"/>
    <mergeCell ref="B1:B5"/>
    <mergeCell ref="C4:C5"/>
    <mergeCell ref="J4:J5"/>
    <mergeCell ref="K4:K5"/>
    <mergeCell ref="L4:L5"/>
    <mergeCell ref="A6:B6"/>
    <mergeCell ref="A9:B9"/>
    <mergeCell ref="D4:D5"/>
    <mergeCell ref="E4:E5"/>
    <mergeCell ref="F4:F5"/>
    <mergeCell ref="G4:G5"/>
    <mergeCell ref="H4:H5"/>
    <mergeCell ref="I4:I5"/>
  </mergeCells>
  <pageMargins left="0.39370078740157483" right="0.39370078740157483" top="0.39370078740157483" bottom="0.39370078740157483" header="0" footer="0"/>
  <pageSetup paperSize="9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I603"/>
  <sheetViews>
    <sheetView zoomScale="85" zoomScaleNormal="85" workbookViewId="0">
      <selection sqref="A1:Z603"/>
    </sheetView>
  </sheetViews>
  <sheetFormatPr defaultRowHeight="11.25" x14ac:dyDescent="0.2"/>
  <cols>
    <col min="1" max="1" width="9.33203125" style="25"/>
    <col min="2" max="2" width="27.33203125" style="25" customWidth="1"/>
    <col min="3" max="3" width="27.6640625" style="25" bestFit="1" customWidth="1"/>
    <col min="4" max="12" width="9.33203125" style="25"/>
    <col min="13" max="13" width="7.6640625" style="25" customWidth="1"/>
    <col min="14" max="14" width="11.83203125" style="25" customWidth="1"/>
    <col min="15" max="16" width="9.33203125" style="25"/>
    <col min="17" max="17" width="32.5" style="25" bestFit="1" customWidth="1"/>
    <col min="18" max="21" width="9.33203125" style="25"/>
    <col min="22" max="24" width="8.33203125" style="25" customWidth="1"/>
    <col min="25" max="25" width="20.1640625" style="25" hidden="1" customWidth="1"/>
    <col min="26" max="26" width="32.1640625" style="25" customWidth="1"/>
    <col min="27" max="27" width="9.33203125" style="25"/>
    <col min="28" max="29" width="0" style="25" hidden="1" customWidth="1"/>
    <col min="30" max="31" width="9.33203125" style="25" hidden="1" customWidth="1"/>
    <col min="32" max="32" width="0" hidden="1" customWidth="1"/>
    <col min="33" max="35" width="9.33203125" style="25" hidden="1" customWidth="1"/>
    <col min="36" max="36" width="9.33203125" style="25" customWidth="1"/>
    <col min="37" max="16384" width="9.33203125" style="25"/>
  </cols>
  <sheetData>
    <row r="1" spans="1:35" ht="21" customHeight="1" thickBot="1" x14ac:dyDescent="0.25">
      <c r="A1" s="144" t="s">
        <v>1943</v>
      </c>
      <c r="B1" s="144" t="s">
        <v>2113</v>
      </c>
      <c r="C1" s="175" t="s">
        <v>2110</v>
      </c>
      <c r="D1" s="141" t="s">
        <v>2103</v>
      </c>
      <c r="E1" s="141" t="s">
        <v>2099</v>
      </c>
      <c r="F1" s="141" t="s">
        <v>1964</v>
      </c>
      <c r="G1" s="172" t="s">
        <v>2104</v>
      </c>
      <c r="H1" s="172" t="s">
        <v>2105</v>
      </c>
      <c r="I1" s="141" t="s">
        <v>1965</v>
      </c>
      <c r="J1" s="172" t="s">
        <v>2106</v>
      </c>
      <c r="K1" s="172" t="s">
        <v>2107</v>
      </c>
      <c r="L1" s="141" t="s">
        <v>1966</v>
      </c>
      <c r="M1" s="12" t="s">
        <v>2102</v>
      </c>
      <c r="N1" s="141" t="s">
        <v>2109</v>
      </c>
      <c r="O1" s="141" t="s">
        <v>2009</v>
      </c>
      <c r="P1" s="141" t="s">
        <v>2011</v>
      </c>
      <c r="Q1" s="141" t="s">
        <v>1946</v>
      </c>
      <c r="R1" s="171" t="s">
        <v>1947</v>
      </c>
      <c r="S1" s="172" t="s">
        <v>1948</v>
      </c>
      <c r="T1" s="171" t="s">
        <v>1949</v>
      </c>
      <c r="U1" s="172" t="s">
        <v>1950</v>
      </c>
      <c r="V1" s="175" t="s">
        <v>2126</v>
      </c>
      <c r="W1" s="175" t="s">
        <v>2127</v>
      </c>
      <c r="X1" s="175" t="s">
        <v>2128</v>
      </c>
      <c r="Y1" s="141" t="s">
        <v>2134</v>
      </c>
      <c r="AD1" s="141" t="s">
        <v>2133</v>
      </c>
      <c r="AE1" s="141" t="s">
        <v>2130</v>
      </c>
      <c r="AH1" s="141" t="s">
        <v>2131</v>
      </c>
      <c r="AI1" s="141" t="s">
        <v>2129</v>
      </c>
    </row>
    <row r="2" spans="1:35" x14ac:dyDescent="0.2">
      <c r="A2" s="145">
        <v>1</v>
      </c>
      <c r="B2" s="145" t="str">
        <f ca="1">IFERROR(IFERROR(IFERROR("Шаг2.Бланк заказа NEW №"&amp;VLOOKUP(1,CHOOSE({1,2},'Шаг2.Бланк заказа NEW'!$B$19:$B$201,'Шаг2.Бланк заказа NEW'!$A$19:$A$201),1,0),
"Бланк OLD 0.8 04 №"&amp;VLOOKUP(1-COUNT('Шаг2.Бланк заказа NEW'!$B$19:$B$201),CHOOSE({1,2},'Бланк OLD 0.8 04'!$B$18:$B$200,'Бланк OLD 0.8 04'!$A$18:$A$200),1,0)),
"Бланк OLD 2.0 04 №"&amp;VLOOKUP(1-COUNT('Шаг2.Бланк заказа NEW'!$B$19:$B$201)-COUNT('Бланк OLD 0.8 04'!$B$18:$B$200),CHOOSE({1,2},'Бланк OLD 2.0 04 '!$B$18:$B$200,'Бланк OLD 2.0 04 '!$A$18:$A$200),1,0)),"")</f>
        <v/>
      </c>
      <c r="C2" s="146" t="str">
        <f ca="1">IFERROR(IFERROR(IFERROR(VLOOKUP(1,CHOOSE({1,2},'Шаг2.Бланк заказа NEW'!$B$19:$B$201,'Шаг2.Бланк заказа NEW'!$A$19:$A$201),2,0),
VLOOKUP(1-COUNT('Шаг2.Бланк заказа NEW'!$B$19:$B$201),CHOOSE({1,2},'Бланк OLD 0.8 04'!$B$18:$B$200,'Бланк OLD 0.8 04'!$A$18:$A$200),2,0)),
VLOOKUP(1-COUNT('Шаг2.Бланк заказа NEW'!$B$19:$B$201)-COUNT('Бланк OLD 0.8 04'!$B$18:$B$200),CHOOSE({1,2},'Бланк OLD 2.0 04 '!$B$18:$B$200,'Бланк OLD 2.0 04 '!$A$18:$A$200),2,0)),"")</f>
        <v/>
      </c>
      <c r="D2" s="149" t="str">
        <f ca="1">IFERROR(VLOOKUP(C2,'Шаг1.Выбор плиты'!C:G,5,0),"")</f>
        <v/>
      </c>
      <c r="E2" s="147" t="e">
        <f ca="1">IFERROR(IFERROR(IF(VLOOKUP($A2,'Шаг2.Бланк заказа NEW'!$B$17:$N$201,2,0)="","",VLOOKUP($A2,'Шаг2.Бланк заказа NEW'!$B$17:$N$201,2,0)),
IF(VLOOKUP($A2-COUNT('Шаг2.Бланк заказа NEW'!$B$19:$B$201),'Бланк OLD 0.8 04'!$B$12:$K$200,2,0)="","",VLOOKUP($A2-COUNT('Шаг2.Бланк заказа NEW'!$B$19:$B$201),'Бланк OLD 0.8 04'!$B$12:$K$200,2,0))),
IF(VLOOKUP($A2-COUNT('Шаг2.Бланк заказа NEW'!$B$19:$B$201)-COUNT('Бланк OLD 0.8 04'!$B$18:$B$200),'Бланк OLD 2.0 04 '!$B$16:$K$200,2,0)="","",VLOOKUP($A2-COUNT('Шаг2.Бланк заказа NEW'!$B$19:$B$201)-COUNT('Бланк OLD 0.8 04'!$B$18:$B$200),'Бланк OLD 2.0 04 '!$B$16:$K$200,2,0)))</f>
        <v>#N/A</v>
      </c>
      <c r="F2" s="147" t="e">
        <f ca="1">IFERROR(IFERROR(IF(VLOOKUP($A2,'Шаг2.Бланк заказа NEW'!$B$17:$N$201,3,0)="","",VLOOKUP($A2,'Шаг2.Бланк заказа NEW'!$B$17:$N$201,3,0)),
IF(VLOOKUP($A2-COUNT('Шаг2.Бланк заказа NEW'!$B$19:$B$201),'Бланк OLD 0.8 04'!$B$12:$K$200,3,0)="","",VLOOKUP($A2-COUNT('Шаг2.Бланк заказа NEW'!$B$19:$B$201),'Бланк OLD 0.8 04'!$B$12:$K$200,3,0))),
IF(VLOOKUP($A2-COUNT('Шаг2.Бланк заказа NEW'!$B$19:$B$201)-COUNT('Бланк OLD 0.8 04'!$B$18:$B$200),'Бланк OLD 2.0 04 '!$B$16:$K$200,3,0)="","",VLOOKUP($A2-COUNT('Шаг2.Бланк заказа NEW'!$B$19:$B$201)-COUNT('Бланк OLD 0.8 04'!$B$18:$B$200),'Бланк OLD 2.0 04 '!$B$16:$K$200,3,0)))</f>
        <v>#N/A</v>
      </c>
      <c r="G2" s="176" t="e">
        <f ca="1">IF(IF(R2="","",IF(R2=1,SUMIFS('Шаг1.Выбор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плиты'!C:Q,12,0)),1))))))=0,
R2,
IF(R2="","",IF(R2=1,SUMIFS('Шаг1.Выбор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плиты'!N:N,R2,'Шаг1.Выбор плиты'!M:M,SMALL(INDIRECT("мм"&amp;VLOOKUP(C2,'Шаг1.Выбор плиты'!C:Q,12,0)),1)))))))</f>
        <v>#N/A</v>
      </c>
      <c r="H2" s="177" t="e">
        <f ca="1">IF(IF(S2="","",IF(S2=1,SUMIFS('Шаг1.Выбор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плиты'!C:Q,12,0)),1))))))=0,
S2,
IF(S2="","",IF(S2=1,SUMIFS('Шаг1.Выбор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плиты'!N:N,S2,'Шаг1.Выбор плиты'!M:M,SMALL(INDIRECT("мм"&amp;VLOOKUP(C2,'Шаг1.Выбор плиты'!C:Q,12,0)),1)))))))</f>
        <v>#N/A</v>
      </c>
      <c r="I2" s="147" t="e">
        <f ca="1">IFERROR(IFERROR(IF(VLOOKUP($A2,'Шаг2.Бланк заказа NEW'!$B$17:$N$201,6,0)="","",VLOOKUP($A2,'Шаг2.Бланк заказа NEW'!$B$17:$N$201,6,0)),
IF(VLOOKUP($A2-COUNT('Шаг2.Бланк заказа NEW'!$B$19:$B$201),'Бланк OLD 0.8 04'!$B$12:$K$200,6,0)="","",VLOOKUP($A2-COUNT('Шаг2.Бланк заказа NEW'!$B$19:$B$201),'Бланк OLD 0.8 04'!$B$12:$K$200,6,0))),
IF(VLOOKUP($A2-COUNT('Шаг2.Бланк заказа NEW'!$B$19:$B$201)-COUNT('Бланк OLD 0.8 04'!$B$18:$B$200),'Бланк OLD 2.0 04 '!$B$16:$K$200,6,0)="","",VLOOKUP($A2-COUNT('Шаг2.Бланк заказа NEW'!$B$19:$B$201)-COUNT('Бланк OLD 0.8 04'!$B$18:$B$200),'Бланк OLD 2.0 04 '!$B$16:$K$200,6,0)))</f>
        <v>#N/A</v>
      </c>
      <c r="J2" s="177" t="e">
        <f ca="1">IF(IF(T2="","",IF(T2=1,SUMIFS('Шаг1.Выбор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плиты'!C:Q,12,0)),1))))))=0,
T2,
IF(T2="","",IF(T2=1,SUMIFS('Шаг1.Выбор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плиты'!N:N,T2,'Шаг1.Выбор плиты'!M:M,SMALL(INDIRECT("мм"&amp;VLOOKUP(C2,'Шаг1.Выбор плиты'!C:Q,12,0)),1)))))))</f>
        <v>#N/A</v>
      </c>
      <c r="K2" s="177" t="e">
        <f ca="1">IF(IF(U2="","",IF(U2=1,SUMIFS('Шаг1.Выбор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плиты'!C:Q,12,0)),1))))))=0,
U2,
IF(U2="","",IF(U2=1,SUMIFS('Шаг1.Выбор плиты'!$G:$G,'Шаг1.Выбор плиты'!J:J,"*"&amp;RIGHT(VLOOKUP(C2,'Шаг1.Выбор плиты'!C:Q,8,0),4),'Шаг1.Выбор плиты'!L:L,IF(MID(C2,1,6)="ЛДСП P","TM"&amp;MID(VLOOKUP(C2,'Шаг1.Выбор плиты'!C:Q,10,0),3,2),MID(VLOOKUP(C2,'Шаг1.Выбор плиты'!C:Q,10,0),1,2)),
'Шаг1.Выбор плиты'!N:N,1),IF(SUMIFS('Шаг1.Выбор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плиты'!C:Q,12,0)),1))=0,
IF(SUMIFS('Шаг1.Выбор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плиты'!C:Q,12,0)),2))=0,
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плиты'!C:Q,12,0)),3)),
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плиты'!C:Q,12,0)),2))),
(SUMIFS('Шаг1.Выбор плиты'!$G:$G,'Шаг1.Выбор плиты'!J:J,"*"&amp;RIGHT(VLOOKUP(C2,'Шаг1.Выбор плиты'!C:Q,8,0),4),'Шаг1.Выбор плиты'!L:L,VLOOKUP(C2,'Шаг1.Выбор плиты'!C:Q,10,0),'Шаг1.Выбор плиты'!N:N,U2,'Шаг1.Выбор плиты'!M:M,SMALL(INDIRECT("мм"&amp;VLOOKUP(C2,'Шаг1.Выбор плиты'!C:Q,12,0)),1)))))))</f>
        <v>#N/A</v>
      </c>
      <c r="L2" s="147" t="e">
        <f ca="1">IFERROR(IFERROR(IF(VLOOKUP($A2,'Шаг2.Бланк заказа NEW'!$B$17:$N$201,9,0)="","",VLOOKUP($A2,'Шаг2.Бланк заказа NEW'!$B$17:$N$201,9,0)),
IF(VLOOKUP($A2-COUNT('Шаг2.Бланк заказа NEW'!$B$19:$B$201),'Бланк OLD 0.8 04'!$B$12:$K$200,9,0)="","",VLOOKUP($A2-COUNT('Шаг2.Бланк заказа NEW'!$B$19:$B$201),'Бланк OLD 0.8 04'!$B$12:$K$200,9,0))),
IF(VLOOKUP($A2-COUNT('Шаг2.Бланк заказа NEW'!$B$19:$B$201)-COUNT('Бланк OLD 0.8 04'!$B$18:$B$200),'Бланк OLD 2.0 04 '!$B$16:$K$200,9,0)="","",VLOOKUP($A2-COUNT('Шаг2.Бланк заказа NEW'!$B$19:$B$201)-COUNT('Бланк OLD 0.8 04'!$B$18:$B$200),'Бланк OLD 2.0 04 '!$B$16:$K$200,9,0)))</f>
        <v>#N/A</v>
      </c>
      <c r="M2" s="148" t="str">
        <f t="shared" ref="M2:M19" ca="1" si="0">IFERROR((F2/1000)*(I2/1000)*L2,"")</f>
        <v/>
      </c>
      <c r="N2" s="147" t="str">
        <f ca="1">IFERROR(IF(VLOOKUP($A2,'Шаг2.Бланк заказа NEW'!$B$17:$N$201,11,0)="","",VLOOKUP($A2,'Шаг2.Бланк заказа NEW'!$B$17:$N$201,11,0)),
"Нет")</f>
        <v>Нет</v>
      </c>
      <c r="O2" s="147" t="str">
        <f ca="1">IFERROR(IF(VLOOKUP($A2,'Шаг2.Бланк заказа NEW'!$B$17:$N$201,11,0)="","",VLOOKUP($A2,'Шаг2.Бланк заказа NEW'!$B$17:$N$201,12,0)),
"Нет")</f>
        <v>Нет</v>
      </c>
      <c r="P2" s="147" t="str">
        <f ca="1">IFERROR(IF(VLOOKUP($A2,'Шаг2.Бланк заказа NEW'!$B$17:$N$201,13,0)="","",VLOOKUP($A2,'Шаг2.Бланк заказа NEW'!$B$17:$N$201,13,0)),
"Нет")</f>
        <v>Нет</v>
      </c>
      <c r="Q2" s="147" t="str">
        <f ca="1">IFERROR(IF(VLOOKUP($A2,'Шаг2.Бланк заказа NEW'!$B$17:$O$201,14,0)="","",VLOOKUP($A2,'Шаг2.Бланк заказа NEW'!$B$17:$O$201,14,0)),"")</f>
        <v/>
      </c>
      <c r="R2" s="147" t="e">
        <f ca="1">IFERROR(IFERROR(IF(VLOOKUP($A2,'Шаг2.Бланк заказа NEW'!$B$17:$N$201,4,0)="","",VLOOKUP($A2,'Шаг2.Бланк заказа NEW'!$B$17:$N$201,4,0)),
IF(VLOOKUP($A2-COUNT('Шаг2.Бланк заказа NEW'!$B$19:$B$201),'Бланк OLD 0.8 04'!$B$12:$K$200,4,0)&gt;0,0.8,
IF(VLOOKUP($A2-COUNT('Шаг2.Бланк заказа NEW'!$B$19:$B$201),'Бланк OLD 0.8 04'!$B$12:$K$200,5,0)&gt;0,0.4,""))),
IF(VLOOKUP($A2-COUNT('Шаг2.Бланк заказа NEW'!$B$19:$B$201)-COUNT('Бланк OLD 0.8 04'!$B$18:$B$200),'Бланк OLD 2.0 04 '!$B$16:$K$200,4,0)&gt;0,2,IF(VLOOKUP($A2-COUNT('Шаг2.Бланк заказа NEW'!$B$19:$B$201)-COUNT('Бланк OLD 0.8 04'!$B$18:$B$200),'Бланк OLD 2.0 04 '!$B$16:$K$200,5,0)&gt;0,0.4,"")))</f>
        <v>#N/A</v>
      </c>
      <c r="S2" s="147" t="e">
        <f ca="1">IFERROR(IFERROR(IF(VLOOKUP($A2,'Шаг2.Бланк заказа NEW'!$B$17:$N$201,5,0)="","",VLOOKUP($A2,'Шаг2.Бланк заказа NEW'!$B$17:$N$201,5,0)),
IF(VLOOKUP($A2-COUNT('Шаг2.Бланк заказа NEW'!$B$19:$B$201),'Бланк OLD 0.8 04'!$B$12:$K$200,4,0)&gt;1,0.8,
IF(VLOOKUP($A2-COUNT('Шаг2.Бланк заказа NEW'!$B$19:$B$201),'Бланк OLD 0.8 04'!$B$12:$K$200,5,0)&gt;1,0.4,
IF(AND(VLOOKUP($A2-COUNT('Шаг2.Бланк заказа NEW'!$B$19:$B$201),'Бланк OLD 0.8 04'!$B$12:$K$200,4,0)&gt;0,VLOOKUP($A2-COUNT('Шаг2.Бланк заказа NEW'!$B$19:$B$201),'Бланк OLD 0.8 04'!$B$12:$K$200,5,0)&gt;0),0.4,"")))),
IF(VLOOKUP($A2-COUNT('Шаг2.Бланк заказа NEW'!$B$19:$B$201)-COUNT('Бланк OLD 0.8 04'!$B$18:$B$200),'Бланк OLD 2.0 04 '!$B$16:$K$200,4,0)&gt;1,2,
IF(VLOOKUP($A2-COUNT('Шаг2.Бланк заказа NEW'!$B$19:$B$201)-COUNT('Бланк OLD 0.8 04'!$B$18:$B$200),'Бланк OLD 2.0 04 '!$B$16:$K$200,5,0)&gt;1,0.4,IF(AND(VLOOKUP($A2-COUNT('Шаг2.Бланк заказа NEW'!$B$19:$B$201)-COUNT('Бланк OLD 0.8 04'!$B$18:$B$200),'Бланк OLD 2.0 04 '!$B$16:$K$200,4,0)&gt;0,VLOOKUP($A2-COUNT('Шаг2.Бланк заказа NEW'!$B$19:$B$201)-COUNT('Бланк OLD 0.8 04'!$B$18:$B$200),'Бланк OLD 2.0 04 '!$B$16:$K$200,5,0)&gt;0),0.4,""))))</f>
        <v>#N/A</v>
      </c>
      <c r="T2" s="147" t="e">
        <f ca="1">IFERROR(IFERROR(IF(VLOOKUP($A2,'Шаг2.Бланк заказа NEW'!$B$17:$N$201,7,0)="","",VLOOKUP($A2,'Шаг2.Бланк заказа NEW'!$B$17:$N$201,7,0)),
IF(VLOOKUP($A2-COUNT('Шаг2.Бланк заказа NEW'!$B$19:$B$201),'Бланк OLD 0.8 04'!$B$12:$K$200,7,0)&gt;0,0.8,
IF(VLOOKUP($A2-COUNT('Шаг2.Бланк заказа NEW'!$B$19:$B$201),'Бланк OLD 0.8 04'!$B$12:$K$200,8,0)&gt;0,0.4,""))),
IF(VLOOKUP($A2-COUNT('Шаг2.Бланк заказа NEW'!$B$19:$B$201)-COUNT('Бланк OLD 0.8 04'!$B$18:$B$200),'Бланк OLD 2.0 04 '!$B$16:$K$200,7,0)&gt;0,2,IF(VLOOKUP($A2-COUNT('Шаг2.Бланк заказа NEW'!$B$19:$B$201)-COUNT('Бланк OLD 0.8 04'!$B$18:$B$200),'Бланк OLD 2.0 04 '!$B$16:$K$200,8,0)&gt;0,0.4,"")))</f>
        <v>#N/A</v>
      </c>
      <c r="U2" s="147" t="e">
        <f ca="1">IFERROR(IFERROR(IF(VLOOKUP($A2,'Шаг2.Бланк заказа NEW'!$B$17:$N$201,8,0)="","",VLOOKUP($A2,'Шаг2.Бланк заказа NEW'!$B$17:$N$201,8,0)),
IF(VLOOKUP($A2-COUNT('Шаг2.Бланк заказа NEW'!$B$19:$B$201),'Бланк OLD 0.8 04'!$B$12:$K$200,7,0)&gt;1,0.8,
IF(VLOOKUP($A2-COUNT('Шаг2.Бланк заказа NEW'!$B$19:$B$201),'Бланк OLD 0.8 04'!$B$12:$K$200,8,0)&gt;1,0.4,
IF(AND(VLOOKUP($A2-COUNT('Шаг2.Бланк заказа NEW'!$B$19:$B$201),'Бланк OLD 0.8 04'!$B$12:$K$200,7,0)&gt;0,VLOOKUP($A2-COUNT('Шаг2.Бланк заказа NEW'!$B$19:$B$201),'Бланк OLD 0.8 04'!$B$12:$K$200,8,0)&gt;0),0.4,"")))),
IF(VLOOKUP($A2-COUNT('Шаг2.Бланк заказа NEW'!$B$19:$B$201)-COUNT('Бланк OLD 0.8 04'!$B$18:$B$200),'Бланк OLD 2.0 04 '!$B$16:$K$200,7,0)&gt;1,2,
IF(VLOOKUP($A2-COUNT('Шаг2.Бланк заказа NEW'!$B$19:$B$201)-COUNT('Бланк OLD 0.8 04'!$B$18:$B$200),'Бланк OLD 2.0 04 '!$B$16:$K$200,8,0)&gt;1,0.4,
IF(AND(VLOOKUP($A2-COUNT('Шаг2.Бланк заказа NEW'!$B$19:$B$201)-COUNT('Бланк OLD 0.8 04'!$B$18:$B$200),'Бланк OLD 2.0 04 '!$B$16:$K$200,7,0)&gt;0,VLOOKUP($A2-COUNT('Шаг2.Бланк заказа NEW'!$B$19:$B$201)-COUNT('Бланк OLD 0.8 04'!$B$18:$B$200),'Бланк OLD 2.0 04 '!$B$16:$K$200,8,0)&gt;0),0.4,""))))</f>
        <v>#N/A</v>
      </c>
      <c r="V2" s="146" t="str">
        <f ca="1">IFERROR(VLOOKUP(C2,'Шаг1.Выбор плиты'!C:S,12,0),"")</f>
        <v/>
      </c>
      <c r="W2" s="146" t="str">
        <f ca="1">IFERROR(VLOOKUP(C2,'Шаг1.Выбор плиты'!C:S,8,0),"")</f>
        <v/>
      </c>
      <c r="X2" s="146" t="str">
        <f ca="1">IFERROR(VLOOKUP(C2,'Шаг1.Выбор плиты'!C:S,10,0),"")</f>
        <v/>
      </c>
      <c r="Y2" s="147" t="str">
        <f ca="1">IF(C2="","",$Z$7)</f>
        <v/>
      </c>
      <c r="Z2" s="25" t="s">
        <v>2135</v>
      </c>
      <c r="AD2" s="147" t="str">
        <f ca="1">IF(C2="","",0)</f>
        <v/>
      </c>
      <c r="AE2" s="147" t="str">
        <f ca="1">IF(B2="","","kwadrat"&amp;(V2*1))</f>
        <v/>
      </c>
      <c r="AH2" s="147" t="str">
        <f ca="1">IF(C2="","",VLOOKUP(C2,'Шаг1.Выбор плиты'!C:Q,7,0))</f>
        <v/>
      </c>
      <c r="AI2" s="147">
        <f ca="1">IF(N2="","",IF(N2="да",1,0))</f>
        <v>0</v>
      </c>
    </row>
    <row r="3" spans="1:35" x14ac:dyDescent="0.2">
      <c r="A3" s="151" t="str">
        <f ca="1">IF(C3="","",MAX($A$1:OFFSET(C3,-1,0))+1)</f>
        <v/>
      </c>
      <c r="B3" s="151" t="str">
        <f ca="1">IFERROR(IFERROR(IFERROR("Шаг2.Бланк заказа NEW №"&amp;VLOOKUP(A2+1,CHOOSE({1,2},'Шаг2.Бланк заказа NEW'!$B$19:$B$201,'Шаг2.Бланк заказа NEW'!$A$19:$A$201),1,0),
"Бланк OLD 0.8 04 №"&amp;VLOOKUP(A2+1-COUNT('Шаг2.Бланк заказа NEW'!$B$19:$B$201),CHOOSE({1,2},'Бланк OLD 0.8 04'!$B$18:$B$200,'Бланк OLD 0.8 04'!$A$18:$A$200),1,0)),
"Бланк OLD 2.0 04 №"&amp;VLOOKUP(A2+1-COUNT('Шаг2.Бланк заказа NEW'!$B$19:$B$201)-COUNT('Бланк OLD 0.8 04'!$B$18:$B$200),CHOOSE({1,2},'Бланк OLD 2.0 04 '!$B$18:$B$200,'Бланк OLD 2.0 04 '!$A$18:$A$200),1,0)),"")</f>
        <v/>
      </c>
      <c r="C3" s="152" t="str">
        <f ca="1">IFERROR(IFERROR(IFERROR(VLOOKUP(A2+1,CHOOSE({1,2},'Шаг2.Бланк заказа NEW'!$B$19:$B$201,'Шаг2.Бланк заказа NEW'!$A$19:$A$201),2,0),
VLOOKUP(A2+1-COUNT('Шаг2.Бланк заказа NEW'!$B$19:$B$201),CHOOSE({1,2},'Бланк OLD 0.8 04'!$B$18:$B$200,'Бланк OLD 0.8 04'!$A$18:$A$200),2,0)),
VLOOKUP(A2+1-COUNT('Шаг2.Бланк заказа NEW'!$B$19:$B$201)-COUNT('Бланк OLD 0.8 04'!$B$18:$B$200),CHOOSE({1,2},'Бланк OLD 2.0 04 '!$B$18:$B$200,'Бланк OLD 2.0 04 '!$A$18:$A$200),2,0)),"")</f>
        <v/>
      </c>
      <c r="D3" s="150" t="str">
        <f ca="1">IFERROR(VLOOKUP(C3,'Шаг1.Выбор плиты'!C:G,5,0),"")</f>
        <v/>
      </c>
      <c r="E3" s="147" t="str">
        <f ca="1">IFERROR(IFERROR(IF(VLOOKUP($A3,'Шаг2.Бланк заказа NEW'!$B$17:$N$201,2,0)="","",VLOOKUP($A3,'Шаг2.Бланк заказа NEW'!$B$17:$N$201,2,0)),
IF(VLOOKUP($A3-COUNT('Шаг2.Бланк заказа NEW'!$B$19:$B$201),'Бланк OLD 0.8 04'!$B$12:$K$200,2,0)="","",VLOOKUP($A3-COUNT('Шаг2.Бланк заказа NEW'!$B$19:$B$201),'Бланк OLD 0.8 04'!$B$12:$K$200,2,0))),
IF(VLOOKUP($A3-COUNT('Шаг2.Бланк заказа NEW'!$B$19:$B$201)-COUNT('Бланк OLD 0.8 04'!$B$18:$B$200),'Бланк OLD 2.0 04 '!$B$16:$K$200,2,0)="","",VLOOKUP($A3-COUNT('Шаг2.Бланк заказа NEW'!$B$19:$B$201)-COUNT('Бланк OLD 0.8 04'!$B$18:$B$200),'Бланк OLD 2.0 04 '!$B$16:$K$200,2,0)))</f>
        <v/>
      </c>
      <c r="F3" s="147" t="str">
        <f ca="1">IFERROR(IFERROR(IF(VLOOKUP($A3,'Шаг2.Бланк заказа NEW'!$B$17:$N$201,3,0)="","",VLOOKUP($A3,'Шаг2.Бланк заказа NEW'!$B$17:$N$201,3,0)),
IF(VLOOKUP($A3-COUNT('Шаг2.Бланк заказа NEW'!$B$19:$B$201),'Бланк OLD 0.8 04'!$B$12:$K$200,3,0)="","",VLOOKUP($A3-COUNT('Шаг2.Бланк заказа NEW'!$B$19:$B$201),'Бланк OLD 0.8 04'!$B$12:$K$200,3,0))),
IF(VLOOKUP($A3-COUNT('Шаг2.Бланк заказа NEW'!$B$19:$B$201)-COUNT('Бланк OLD 0.8 04'!$B$18:$B$200),'Бланк OLD 2.0 04 '!$B$16:$K$200,3,0)="","",VLOOKUP($A3-COUNT('Шаг2.Бланк заказа NEW'!$B$19:$B$201)-COUNT('Бланк OLD 0.8 04'!$B$18:$B$200),'Бланк OLD 2.0 04 '!$B$16:$K$200,3,0)))</f>
        <v/>
      </c>
      <c r="G3" s="176" t="str">
        <f ca="1">IF(IF(R3="","",IF(R3=1,SUMIFS('Шаг1.Выбор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плиты'!C:Q,12,0)),1))))))=0,
R3,
IF(R3="","",IF(R3=1,SUMIFS('Шаг1.Выбор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плиты'!N:N,R3,'Шаг1.Выбор плиты'!M:M,SMALL(INDIRECT("мм"&amp;VLOOKUP(C3,'Шаг1.Выбор плиты'!C:Q,12,0)),1)))))))</f>
        <v/>
      </c>
      <c r="H3" s="177" t="str">
        <f ca="1">IF(IF(S3="","",IF(S3=1,SUMIFS('Шаг1.Выбор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плиты'!C:Q,12,0)),1))))))=0,
S3,
IF(S3="","",IF(S3=1,SUMIFS('Шаг1.Выбор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плиты'!N:N,S3,'Шаг1.Выбор плиты'!M:M,SMALL(INDIRECT("мм"&amp;VLOOKUP(C3,'Шаг1.Выбор плиты'!C:Q,12,0)),1)))))))</f>
        <v/>
      </c>
      <c r="I3" s="147" t="str">
        <f ca="1">IFERROR(IFERROR(IF(VLOOKUP($A3,'Шаг2.Бланк заказа NEW'!$B$17:$N$201,6,0)="","",VLOOKUP($A3,'Шаг2.Бланк заказа NEW'!$B$17:$N$201,6,0)),
IF(VLOOKUP($A3-COUNT('Шаг2.Бланк заказа NEW'!$B$19:$B$201),'Бланк OLD 0.8 04'!$B$12:$K$200,6,0)="","",VLOOKUP($A3-COUNT('Шаг2.Бланк заказа NEW'!$B$19:$B$201),'Бланк OLD 0.8 04'!$B$12:$K$200,6,0))),
IF(VLOOKUP($A3-COUNT('Шаг2.Бланк заказа NEW'!$B$19:$B$201)-COUNT('Бланк OLD 0.8 04'!$B$18:$B$200),'Бланк OLD 2.0 04 '!$B$16:$K$200,6,0)="","",VLOOKUP($A3-COUNT('Шаг2.Бланк заказа NEW'!$B$19:$B$201)-COUNT('Бланк OLD 0.8 04'!$B$18:$B$200),'Бланк OLD 2.0 04 '!$B$16:$K$200,6,0)))</f>
        <v/>
      </c>
      <c r="J3" s="177" t="str">
        <f ca="1">IF(IF(T3="","",IF(T3=1,SUMIFS('Шаг1.Выбор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плиты'!C:Q,12,0)),1))))))=0,
T3,
IF(T3="","",IF(T3=1,SUMIFS('Шаг1.Выбор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плиты'!N:N,T3,'Шаг1.Выбор плиты'!M:M,SMALL(INDIRECT("мм"&amp;VLOOKUP(C3,'Шаг1.Выбор плиты'!C:Q,12,0)),1)))))))</f>
        <v/>
      </c>
      <c r="K3" s="177" t="str">
        <f ca="1">IF(IF(U3="","",IF(U3=1,SUMIFS('Шаг1.Выбор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плиты'!C:Q,12,0)),1))))))=0,
U3,
IF(U3="","",IF(U3=1,SUMIFS('Шаг1.Выбор плиты'!$G:$G,'Шаг1.Выбор плиты'!J:J,"*"&amp;RIGHT(VLOOKUP(C3,'Шаг1.Выбор плиты'!C:Q,8,0),4),'Шаг1.Выбор плиты'!L:L,IF(MID(C3,1,6)="ЛДСП P","TM"&amp;MID(VLOOKUP(C3,'Шаг1.Выбор плиты'!C:Q,10,0),3,2),MID(VLOOKUP(C3,'Шаг1.Выбор плиты'!C:Q,10,0),1,2)),
'Шаг1.Выбор плиты'!N:N,1),IF(SUMIFS('Шаг1.Выбор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плиты'!C:Q,12,0)),1))=0,
IF(SUMIFS('Шаг1.Выбор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плиты'!C:Q,12,0)),2))=0,
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плиты'!C:Q,12,0)),3)),
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плиты'!C:Q,12,0)),2))),
(SUMIFS('Шаг1.Выбор плиты'!$G:$G,'Шаг1.Выбор плиты'!J:J,"*"&amp;RIGHT(VLOOKUP(C3,'Шаг1.Выбор плиты'!C:Q,8,0),4),'Шаг1.Выбор плиты'!L:L,VLOOKUP(C3,'Шаг1.Выбор плиты'!C:Q,10,0),'Шаг1.Выбор плиты'!N:N,U3,'Шаг1.Выбор плиты'!M:M,SMALL(INDIRECT("мм"&amp;VLOOKUP(C3,'Шаг1.Выбор плиты'!C:Q,12,0)),1)))))))</f>
        <v/>
      </c>
      <c r="L3" s="147" t="str">
        <f ca="1">IFERROR(IFERROR(IF(VLOOKUP($A3,'Шаг2.Бланк заказа NEW'!$B$17:$N$201,9,0)="","",VLOOKUP($A3,'Шаг2.Бланк заказа NEW'!$B$17:$N$201,9,0)),
IF(VLOOKUP($A3-COUNT('Шаг2.Бланк заказа NEW'!$B$19:$B$201),'Бланк OLD 0.8 04'!$B$12:$K$200,9,0)="","",VLOOKUP($A3-COUNT('Шаг2.Бланк заказа NEW'!$B$19:$B$201),'Бланк OLD 0.8 04'!$B$12:$K$200,9,0))),
IF(VLOOKUP($A3-COUNT('Шаг2.Бланк заказа NEW'!$B$19:$B$201)-COUNT('Бланк OLD 0.8 04'!$B$18:$B$200),'Бланк OLD 2.0 04 '!$B$16:$K$200,9,0)="","",VLOOKUP($A3-COUNT('Шаг2.Бланк заказа NEW'!$B$19:$B$201)-COUNT('Бланк OLD 0.8 04'!$B$18:$B$200),'Бланк OLD 2.0 04 '!$B$16:$K$200,9,0)))</f>
        <v/>
      </c>
      <c r="M3" s="154" t="str">
        <f t="shared" ca="1" si="0"/>
        <v/>
      </c>
      <c r="N3" s="153" t="str">
        <f ca="1">IFERROR(IF(VLOOKUP($A3,'Шаг2.Бланк заказа NEW'!$B$17:$N$201,11,0)="","",VLOOKUP($A3,'Шаг2.Бланк заказа NEW'!$B$17:$N$201,11,0)),
"Нет")</f>
        <v/>
      </c>
      <c r="O3" s="147" t="str">
        <f ca="1">IFERROR(IF(VLOOKUP($A3,'Шаг2.Бланк заказа NEW'!$B$17:$N$201,11,0)="","",VLOOKUP($A3,'Шаг2.Бланк заказа NEW'!$B$17:$N$201,12,0)),
"Нет")</f>
        <v/>
      </c>
      <c r="P3" s="153" t="str">
        <f ca="1">IFERROR(IF(VLOOKUP($A3,'Шаг2.Бланк заказа NEW'!$B$17:$N$201,13,0)="","",VLOOKUP($A3,'Шаг2.Бланк заказа NEW'!$B$17:$N$201,13,0)),
"Нет")</f>
        <v/>
      </c>
      <c r="Q3" s="147" t="str">
        <f ca="1">IFERROR(IF(VLOOKUP($A3,'Шаг2.Бланк заказа NEW'!$B$17:$O$201,14,0)="","",VLOOKUP($A3,'Шаг2.Бланк заказа NEW'!$B$17:$O$201,14,0)),"")</f>
        <v/>
      </c>
      <c r="R3" s="147" t="str">
        <f ca="1">IFERROR(IFERROR(IF(VLOOKUP($A3,'Шаг2.Бланк заказа NEW'!$B$17:$N$201,4,0)="","",VLOOKUP($A3,'Шаг2.Бланк заказа NEW'!$B$17:$N$201,4,0)),
IF(VLOOKUP($A3-COUNT('Шаг2.Бланк заказа NEW'!$B$19:$B$201),'Бланк OLD 0.8 04'!$B$12:$K$200,4,0)&gt;0,0.8,
IF(VLOOKUP($A3-COUNT('Шаг2.Бланк заказа NEW'!$B$19:$B$201),'Бланк OLD 0.8 04'!$B$12:$K$200,5,0)&gt;0,0.4,""))),
IF(VLOOKUP($A3-COUNT('Шаг2.Бланк заказа NEW'!$B$19:$B$201)-COUNT('Бланк OLD 0.8 04'!$B$18:$B$200),'Бланк OLD 2.0 04 '!$B$16:$K$200,4,0)&gt;0,2,IF(VLOOKUP($A3-COUNT('Шаг2.Бланк заказа NEW'!$B$19:$B$201)-COUNT('Бланк OLD 0.8 04'!$B$18:$B$200),'Бланк OLD 2.0 04 '!$B$16:$K$200,5,0)&gt;0,0.4,"")))</f>
        <v/>
      </c>
      <c r="S3" s="147" t="str">
        <f ca="1">IFERROR(IFERROR(IF(VLOOKUP($A3,'Шаг2.Бланк заказа NEW'!$B$17:$N$201,5,0)="","",VLOOKUP($A3,'Шаг2.Бланк заказа NEW'!$B$17:$N$201,5,0)),
IF(VLOOKUP($A3-COUNT('Шаг2.Бланк заказа NEW'!$B$19:$B$201),'Бланк OLD 0.8 04'!$B$12:$K$200,4,0)&gt;1,0.8,
IF(VLOOKUP($A3-COUNT('Шаг2.Бланк заказа NEW'!$B$19:$B$201),'Бланк OLD 0.8 04'!$B$12:$K$200,5,0)&gt;1,0.4,
IF(AND(VLOOKUP($A3-COUNT('Шаг2.Бланк заказа NEW'!$B$19:$B$201),'Бланк OLD 0.8 04'!$B$12:$K$200,4,0)&gt;0,VLOOKUP($A3-COUNT('Шаг2.Бланк заказа NEW'!$B$19:$B$201),'Бланк OLD 0.8 04'!$B$12:$K$200,5,0)&gt;0),0.4,"")))),
IF(VLOOKUP($A3-COUNT('Шаг2.Бланк заказа NEW'!$B$19:$B$201)-COUNT('Бланк OLD 0.8 04'!$B$18:$B$200),'Бланк OLD 2.0 04 '!$B$16:$K$200,4,0)&gt;1,2,
IF(VLOOKUP($A3-COUNT('Шаг2.Бланк заказа NEW'!$B$19:$B$201)-COUNT('Бланк OLD 0.8 04'!$B$18:$B$200),'Бланк OLD 2.0 04 '!$B$16:$K$200,5,0)&gt;1,0.4,IF(AND(VLOOKUP($A3-COUNT('Шаг2.Бланк заказа NEW'!$B$19:$B$201)-COUNT('Бланк OLD 0.8 04'!$B$18:$B$200),'Бланк OLD 2.0 04 '!$B$16:$K$200,4,0)&gt;0,VLOOKUP($A3-COUNT('Шаг2.Бланк заказа NEW'!$B$19:$B$201)-COUNT('Бланк OLD 0.8 04'!$B$18:$B$200),'Бланк OLD 2.0 04 '!$B$16:$K$200,5,0)&gt;0),0.4,""))))</f>
        <v/>
      </c>
      <c r="T3" s="147" t="str">
        <f ca="1">IFERROR(IFERROR(IF(VLOOKUP($A3,'Шаг2.Бланк заказа NEW'!$B$17:$N$201,7,0)="","",VLOOKUP($A3,'Шаг2.Бланк заказа NEW'!$B$17:$N$201,7,0)),
IF(VLOOKUP($A3-COUNT('Шаг2.Бланк заказа NEW'!$B$19:$B$201),'Бланк OLD 0.8 04'!$B$12:$K$200,7,0)&gt;0,0.8,
IF(VLOOKUP($A3-COUNT('Шаг2.Бланк заказа NEW'!$B$19:$B$201),'Бланк OLD 0.8 04'!$B$12:$K$200,8,0)&gt;0,0.4,""))),
IF(VLOOKUP($A3-COUNT('Шаг2.Бланк заказа NEW'!$B$19:$B$201)-COUNT('Бланк OLD 0.8 04'!$B$18:$B$200),'Бланк OLD 2.0 04 '!$B$16:$K$200,7,0)&gt;0,2,IF(VLOOKUP($A3-COUNT('Шаг2.Бланк заказа NEW'!$B$19:$B$201)-COUNT('Бланк OLD 0.8 04'!$B$18:$B$200),'Бланк OLD 2.0 04 '!$B$16:$K$200,8,0)&gt;0,0.4,"")))</f>
        <v/>
      </c>
      <c r="U3" s="147" t="str">
        <f ca="1">IFERROR(IFERROR(IF(VLOOKUP($A3,'Шаг2.Бланк заказа NEW'!$B$17:$N$201,8,0)="","",VLOOKUP($A3,'Шаг2.Бланк заказа NEW'!$B$17:$N$201,8,0)),
IF(VLOOKUP($A3-COUNT('Шаг2.Бланк заказа NEW'!$B$19:$B$201),'Бланк OLD 0.8 04'!$B$12:$K$200,7,0)&gt;1,0.8,
IF(VLOOKUP($A3-COUNT('Шаг2.Бланк заказа NEW'!$B$19:$B$201),'Бланк OLD 0.8 04'!$B$12:$K$200,8,0)&gt;1,0.4,
IF(AND(VLOOKUP($A3-COUNT('Шаг2.Бланк заказа NEW'!$B$19:$B$201),'Бланк OLD 0.8 04'!$B$12:$K$200,7,0)&gt;0,VLOOKUP($A3-COUNT('Шаг2.Бланк заказа NEW'!$B$19:$B$201),'Бланк OLD 0.8 04'!$B$12:$K$200,8,0)&gt;0),0.4,"")))),
IF(VLOOKUP($A3-COUNT('Шаг2.Бланк заказа NEW'!$B$19:$B$201)-COUNT('Бланк OLD 0.8 04'!$B$18:$B$200),'Бланк OLD 2.0 04 '!$B$16:$K$200,7,0)&gt;1,2,
IF(VLOOKUP($A3-COUNT('Шаг2.Бланк заказа NEW'!$B$19:$B$201)-COUNT('Бланк OLD 0.8 04'!$B$18:$B$200),'Бланк OLD 2.0 04 '!$B$16:$K$200,8,0)&gt;1,0.4,
IF(AND(VLOOKUP($A3-COUNT('Шаг2.Бланк заказа NEW'!$B$19:$B$201)-COUNT('Бланк OLD 0.8 04'!$B$18:$B$200),'Бланк OLD 2.0 04 '!$B$16:$K$200,7,0)&gt;0,VLOOKUP($A3-COUNT('Шаг2.Бланк заказа NEW'!$B$19:$B$201)-COUNT('Бланк OLD 0.8 04'!$B$18:$B$200),'Бланк OLD 2.0 04 '!$B$16:$K$200,8,0)&gt;0),0.4,""))))</f>
        <v/>
      </c>
      <c r="V3" s="146" t="str">
        <f ca="1">IFERROR(VLOOKUP(C3,'Шаг1.Выбор плиты'!C:S,12,0),"")</f>
        <v/>
      </c>
      <c r="W3" s="146" t="str">
        <f ca="1">IFERROR(VLOOKUP(C3,'Шаг1.Выбор плиты'!C:S,8,0),"")</f>
        <v/>
      </c>
      <c r="X3" s="146" t="str">
        <f ca="1">IFERROR(VLOOKUP(C3,'Шаг1.Выбор плиты'!C:S,10,0),"")</f>
        <v/>
      </c>
      <c r="Y3" s="147" t="str">
        <f t="shared" ref="Y3:Y66" ca="1" si="1">IF(C3="","",$Z$7)</f>
        <v/>
      </c>
      <c r="Z3" s="201" t="str">
        <f>IF('Шаг2.Бланк заказа NEW'!A12:A12="",IF('Бланк OLD 0.8 04'!A9:A9="",'Бланк OLD 2.0 04 '!A9:A9,'Бланк OLD 0.8 04'!A9:A9),'Шаг2.Бланк заказа NEW'!A12:A12)</f>
        <v>клиент</v>
      </c>
      <c r="AD3" s="147" t="str">
        <f t="shared" ref="AD3:AD19" ca="1" si="2">IF(C3="","",0)</f>
        <v/>
      </c>
      <c r="AE3" s="147" t="str">
        <f t="shared" ref="AE3:AE66" ca="1" si="3">IF(B3="","","kwadrat"&amp;(V3*1))</f>
        <v/>
      </c>
      <c r="AH3" s="147" t="str">
        <f ca="1">IF(C3="","",VLOOKUP(C3,'Шаг1.Выбор плиты'!C:Q,7,0))</f>
        <v/>
      </c>
      <c r="AI3" s="147" t="str">
        <f t="shared" ref="AI3:AI19" ca="1" si="4">IF(N3="","",IF(N3="да",1,0))</f>
        <v/>
      </c>
    </row>
    <row r="4" spans="1:35" x14ac:dyDescent="0.2">
      <c r="A4" s="151" t="str">
        <f ca="1">IF(C4="","",MAX($A$1:OFFSET(C4,-1,0))+1)</f>
        <v/>
      </c>
      <c r="B4" s="151" t="str">
        <f ca="1">IFERROR(IFERROR(IFERROR("Шаг2.Бланк заказа NEW №"&amp;VLOOKUP(A3+1,CHOOSE({1,2},'Шаг2.Бланк заказа NEW'!$B$19:$B$201,'Шаг2.Бланк заказа NEW'!$A$19:$A$201),1,0),
"Бланк OLD 0.8 04 №"&amp;VLOOKUP(A3+1-COUNT('Шаг2.Бланк заказа NEW'!$B$19:$B$201),CHOOSE({1,2},'Бланк OLD 0.8 04'!$B$18:$B$200,'Бланк OLD 0.8 04'!$A$18:$A$200),1,0)),
"Бланк OLD 2.0 04 №"&amp;VLOOKUP(A3+1-COUNT('Шаг2.Бланк заказа NEW'!$B$19:$B$201)-COUNT('Бланк OLD 0.8 04'!$B$18:$B$200),CHOOSE({1,2},'Бланк OLD 2.0 04 '!$B$18:$B$200,'Бланк OLD 2.0 04 '!$A$18:$A$200),1,0)),"")</f>
        <v/>
      </c>
      <c r="C4" s="152" t="str">
        <f ca="1">IFERROR(IFERROR(IFERROR(VLOOKUP(A3+1,CHOOSE({1,2},'Шаг2.Бланк заказа NEW'!$B$19:$B$201,'Шаг2.Бланк заказа NEW'!$A$19:$A$201),2,0),
VLOOKUP(A3+1-COUNT('Шаг2.Бланк заказа NEW'!$B$19:$B$201),CHOOSE({1,2},'Бланк OLD 0.8 04'!$B$18:$B$200,'Бланк OLD 0.8 04'!$A$18:$A$200),2,0)),
VLOOKUP(A3+1-COUNT('Шаг2.Бланк заказа NEW'!$B$19:$B$201)-COUNT('Бланк OLD 0.8 04'!$B$18:$B$200),CHOOSE({1,2},'Бланк OLD 2.0 04 '!$B$18:$B$200,'Бланк OLD 2.0 04 '!$A$18:$A$200),2,0)),"")</f>
        <v/>
      </c>
      <c r="D4" s="150" t="str">
        <f ca="1">IFERROR(VLOOKUP(C4,'Шаг1.Выбор плиты'!C:G,5,0),"")</f>
        <v/>
      </c>
      <c r="E4" s="147" t="str">
        <f ca="1">IFERROR(IFERROR(IF(VLOOKUP($A4,'Шаг2.Бланк заказа NEW'!$B$17:$N$201,2,0)="","",VLOOKUP($A4,'Шаг2.Бланк заказа NEW'!$B$17:$N$201,2,0)),
IF(VLOOKUP($A4-COUNT('Шаг2.Бланк заказа NEW'!$B$19:$B$201),'Бланк OLD 0.8 04'!$B$12:$K$200,2,0)="","",VLOOKUP($A4-COUNT('Шаг2.Бланк заказа NEW'!$B$19:$B$201),'Бланк OLD 0.8 04'!$B$12:$K$200,2,0))),
IF(VLOOKUP($A4-COUNT('Шаг2.Бланк заказа NEW'!$B$19:$B$201)-COUNT('Бланк OLD 0.8 04'!$B$18:$B$200),'Бланк OLD 2.0 04 '!$B$16:$K$200,2,0)="","",VLOOKUP($A4-COUNT('Шаг2.Бланк заказа NEW'!$B$19:$B$201)-COUNT('Бланк OLD 0.8 04'!$B$18:$B$200),'Бланк OLD 2.0 04 '!$B$16:$K$200,2,0)))</f>
        <v/>
      </c>
      <c r="F4" s="147" t="str">
        <f ca="1">IFERROR(IFERROR(IF(VLOOKUP($A4,'Шаг2.Бланк заказа NEW'!$B$17:$N$201,3,0)="","",VLOOKUP($A4,'Шаг2.Бланк заказа NEW'!$B$17:$N$201,3,0)),
IF(VLOOKUP($A4-COUNT('Шаг2.Бланк заказа NEW'!$B$19:$B$201),'Бланк OLD 0.8 04'!$B$12:$K$200,3,0)="","",VLOOKUP($A4-COUNT('Шаг2.Бланк заказа NEW'!$B$19:$B$201),'Бланк OLD 0.8 04'!$B$12:$K$200,3,0))),
IF(VLOOKUP($A4-COUNT('Шаг2.Бланк заказа NEW'!$B$19:$B$201)-COUNT('Бланк OLD 0.8 04'!$B$18:$B$200),'Бланк OLD 2.0 04 '!$B$16:$K$200,3,0)="","",VLOOKUP($A4-COUNT('Шаг2.Бланк заказа NEW'!$B$19:$B$201)-COUNT('Бланк OLD 0.8 04'!$B$18:$B$200),'Бланк OLD 2.0 04 '!$B$16:$K$200,3,0)))</f>
        <v/>
      </c>
      <c r="G4" s="176" t="str">
        <f ca="1">IF(IF(R4="","",IF(R4=1,SUMIFS('Шаг1.Выбор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плиты'!C:Q,12,0)),1))))))=0,
R4,
IF(R4="","",IF(R4=1,SUMIFS('Шаг1.Выбор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плиты'!N:N,R4,'Шаг1.Выбор плиты'!M:M,SMALL(INDIRECT("мм"&amp;VLOOKUP(C4,'Шаг1.Выбор плиты'!C:Q,12,0)),1)))))))</f>
        <v/>
      </c>
      <c r="H4" s="177" t="str">
        <f ca="1">IF(IF(S4="","",IF(S4=1,SUMIFS('Шаг1.Выбор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плиты'!C:Q,12,0)),1))))))=0,
S4,
IF(S4="","",IF(S4=1,SUMIFS('Шаг1.Выбор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плиты'!N:N,S4,'Шаг1.Выбор плиты'!M:M,SMALL(INDIRECT("мм"&amp;VLOOKUP(C4,'Шаг1.Выбор плиты'!C:Q,12,0)),1)))))))</f>
        <v/>
      </c>
      <c r="I4" s="147" t="str">
        <f ca="1">IFERROR(IFERROR(IF(VLOOKUP($A4,'Шаг2.Бланк заказа NEW'!$B$17:$N$201,6,0)="","",VLOOKUP($A4,'Шаг2.Бланк заказа NEW'!$B$17:$N$201,6,0)),
IF(VLOOKUP($A4-COUNT('Шаг2.Бланк заказа NEW'!$B$19:$B$201),'Бланк OLD 0.8 04'!$B$12:$K$200,6,0)="","",VLOOKUP($A4-COUNT('Шаг2.Бланк заказа NEW'!$B$19:$B$201),'Бланк OLD 0.8 04'!$B$12:$K$200,6,0))),
IF(VLOOKUP($A4-COUNT('Шаг2.Бланк заказа NEW'!$B$19:$B$201)-COUNT('Бланк OLD 0.8 04'!$B$18:$B$200),'Бланк OLD 2.0 04 '!$B$16:$K$200,6,0)="","",VLOOKUP($A4-COUNT('Шаг2.Бланк заказа NEW'!$B$19:$B$201)-COUNT('Бланк OLD 0.8 04'!$B$18:$B$200),'Бланк OLD 2.0 04 '!$B$16:$K$200,6,0)))</f>
        <v/>
      </c>
      <c r="J4" s="177" t="str">
        <f ca="1">IF(IF(T4="","",IF(T4=1,SUMIFS('Шаг1.Выбор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плиты'!C:Q,12,0)),1))))))=0,
T4,
IF(T4="","",IF(T4=1,SUMIFS('Шаг1.Выбор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плиты'!N:N,T4,'Шаг1.Выбор плиты'!M:M,SMALL(INDIRECT("мм"&amp;VLOOKUP(C4,'Шаг1.Выбор плиты'!C:Q,12,0)),1)))))))</f>
        <v/>
      </c>
      <c r="K4" s="177" t="str">
        <f ca="1">IF(IF(U4="","",IF(U4=1,SUMIFS('Шаг1.Выбор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плиты'!C:Q,12,0)),1))))))=0,
U4,
IF(U4="","",IF(U4=1,SUMIFS('Шаг1.Выбор плиты'!$G:$G,'Шаг1.Выбор плиты'!J:J,"*"&amp;RIGHT(VLOOKUP(C4,'Шаг1.Выбор плиты'!C:Q,8,0),4),'Шаг1.Выбор плиты'!L:L,IF(MID(C4,1,6)="ЛДСП P","TM"&amp;MID(VLOOKUP(C4,'Шаг1.Выбор плиты'!C:Q,10,0),3,2),MID(VLOOKUP(C4,'Шаг1.Выбор плиты'!C:Q,10,0),1,2)),
'Шаг1.Выбор плиты'!N:N,1),IF(SUMIFS('Шаг1.Выбор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плиты'!C:Q,12,0)),1))=0,
IF(SUMIFS('Шаг1.Выбор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плиты'!C:Q,12,0)),2))=0,
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плиты'!C:Q,12,0)),3)),
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плиты'!C:Q,12,0)),2))),
(SUMIFS('Шаг1.Выбор плиты'!$G:$G,'Шаг1.Выбор плиты'!J:J,"*"&amp;RIGHT(VLOOKUP(C4,'Шаг1.Выбор плиты'!C:Q,8,0),4),'Шаг1.Выбор плиты'!L:L,VLOOKUP(C4,'Шаг1.Выбор плиты'!C:Q,10,0),'Шаг1.Выбор плиты'!N:N,U4,'Шаг1.Выбор плиты'!M:M,SMALL(INDIRECT("мм"&amp;VLOOKUP(C4,'Шаг1.Выбор плиты'!C:Q,12,0)),1)))))))</f>
        <v/>
      </c>
      <c r="L4" s="147" t="str">
        <f ca="1">IFERROR(IFERROR(IF(VLOOKUP($A4,'Шаг2.Бланк заказа NEW'!$B$17:$N$201,9,0)="","",VLOOKUP($A4,'Шаг2.Бланк заказа NEW'!$B$17:$N$201,9,0)),
IF(VLOOKUP($A4-COUNT('Шаг2.Бланк заказа NEW'!$B$19:$B$201),'Бланк OLD 0.8 04'!$B$12:$K$200,9,0)="","",VLOOKUP($A4-COUNT('Шаг2.Бланк заказа NEW'!$B$19:$B$201),'Бланк OLD 0.8 04'!$B$12:$K$200,9,0))),
IF(VLOOKUP($A4-COUNT('Шаг2.Бланк заказа NEW'!$B$19:$B$201)-COUNT('Бланк OLD 0.8 04'!$B$18:$B$200),'Бланк OLD 2.0 04 '!$B$16:$K$200,9,0)="","",VLOOKUP($A4-COUNT('Шаг2.Бланк заказа NEW'!$B$19:$B$201)-COUNT('Бланк OLD 0.8 04'!$B$18:$B$200),'Бланк OLD 2.0 04 '!$B$16:$K$200,9,0)))</f>
        <v/>
      </c>
      <c r="M4" s="154" t="str">
        <f t="shared" ca="1" si="0"/>
        <v/>
      </c>
      <c r="N4" s="153" t="str">
        <f ca="1">IFERROR(IF(VLOOKUP($A4,'Шаг2.Бланк заказа NEW'!$B$17:$N$201,11,0)="","",VLOOKUP($A4,'Шаг2.Бланк заказа NEW'!$B$17:$N$201,11,0)),
"Нет")</f>
        <v/>
      </c>
      <c r="O4" s="147" t="str">
        <f ca="1">IFERROR(IF(VLOOKUP($A4,'Шаг2.Бланк заказа NEW'!$B$17:$N$201,11,0)="","",VLOOKUP($A4,'Шаг2.Бланк заказа NEW'!$B$17:$N$201,12,0)),
"Нет")</f>
        <v/>
      </c>
      <c r="P4" s="153" t="str">
        <f ca="1">IFERROR(IF(VLOOKUP($A4,'Шаг2.Бланк заказа NEW'!$B$17:$N$201,13,0)="","",VLOOKUP($A4,'Шаг2.Бланк заказа NEW'!$B$17:$N$201,13,0)),
"Нет")</f>
        <v/>
      </c>
      <c r="Q4" s="147" t="str">
        <f ca="1">IFERROR(IF(VLOOKUP($A4,'Шаг2.Бланк заказа NEW'!$B$17:$O$201,14,0)="","",VLOOKUP($A4,'Шаг2.Бланк заказа NEW'!$B$17:$O$201,14,0)),"")</f>
        <v/>
      </c>
      <c r="R4" s="147" t="str">
        <f ca="1">IFERROR(IFERROR(IF(VLOOKUP($A4,'Шаг2.Бланк заказа NEW'!$B$17:$N$201,4,0)="","",VLOOKUP($A4,'Шаг2.Бланк заказа NEW'!$B$17:$N$201,4,0)),
IF(VLOOKUP($A4-COUNT('Шаг2.Бланк заказа NEW'!$B$19:$B$201),'Бланк OLD 0.8 04'!$B$12:$K$200,4,0)&gt;0,0.8,
IF(VLOOKUP($A4-COUNT('Шаг2.Бланк заказа NEW'!$B$19:$B$201),'Бланк OLD 0.8 04'!$B$12:$K$200,5,0)&gt;0,0.4,""))),
IF(VLOOKUP($A4-COUNT('Шаг2.Бланк заказа NEW'!$B$19:$B$201)-COUNT('Бланк OLD 0.8 04'!$B$18:$B$200),'Бланк OLD 2.0 04 '!$B$16:$K$200,4,0)&gt;0,2,IF(VLOOKUP($A4-COUNT('Шаг2.Бланк заказа NEW'!$B$19:$B$201)-COUNT('Бланк OLD 0.8 04'!$B$18:$B$200),'Бланк OLD 2.0 04 '!$B$16:$K$200,5,0)&gt;0,0.4,"")))</f>
        <v/>
      </c>
      <c r="S4" s="147" t="str">
        <f ca="1">IFERROR(IFERROR(IF(VLOOKUP($A4,'Шаг2.Бланк заказа NEW'!$B$17:$N$201,5,0)="","",VLOOKUP($A4,'Шаг2.Бланк заказа NEW'!$B$17:$N$201,5,0)),
IF(VLOOKUP($A4-COUNT('Шаг2.Бланк заказа NEW'!$B$19:$B$201),'Бланк OLD 0.8 04'!$B$12:$K$200,4,0)&gt;1,0.8,
IF(VLOOKUP($A4-COUNT('Шаг2.Бланк заказа NEW'!$B$19:$B$201),'Бланк OLD 0.8 04'!$B$12:$K$200,5,0)&gt;1,0.4,
IF(AND(VLOOKUP($A4-COUNT('Шаг2.Бланк заказа NEW'!$B$19:$B$201),'Бланк OLD 0.8 04'!$B$12:$K$200,4,0)&gt;0,VLOOKUP($A4-COUNT('Шаг2.Бланк заказа NEW'!$B$19:$B$201),'Бланк OLD 0.8 04'!$B$12:$K$200,5,0)&gt;0),0.4,"")))),
IF(VLOOKUP($A4-COUNT('Шаг2.Бланк заказа NEW'!$B$19:$B$201)-COUNT('Бланк OLD 0.8 04'!$B$18:$B$200),'Бланк OLD 2.0 04 '!$B$16:$K$200,4,0)&gt;1,2,
IF(VLOOKUP($A4-COUNT('Шаг2.Бланк заказа NEW'!$B$19:$B$201)-COUNT('Бланк OLD 0.8 04'!$B$18:$B$200),'Бланк OLD 2.0 04 '!$B$16:$K$200,5,0)&gt;1,0.4,IF(AND(VLOOKUP($A4-COUNT('Шаг2.Бланк заказа NEW'!$B$19:$B$201)-COUNT('Бланк OLD 0.8 04'!$B$18:$B$200),'Бланк OLD 2.0 04 '!$B$16:$K$200,4,0)&gt;0,VLOOKUP($A4-COUNT('Шаг2.Бланк заказа NEW'!$B$19:$B$201)-COUNT('Бланк OLD 0.8 04'!$B$18:$B$200),'Бланк OLD 2.0 04 '!$B$16:$K$200,5,0)&gt;0),0.4,""))))</f>
        <v/>
      </c>
      <c r="T4" s="147" t="str">
        <f ca="1">IFERROR(IFERROR(IF(VLOOKUP($A4,'Шаг2.Бланк заказа NEW'!$B$17:$N$201,7,0)="","",VLOOKUP($A4,'Шаг2.Бланк заказа NEW'!$B$17:$N$201,7,0)),
IF(VLOOKUP($A4-COUNT('Шаг2.Бланк заказа NEW'!$B$19:$B$201),'Бланк OLD 0.8 04'!$B$12:$K$200,7,0)&gt;0,0.8,
IF(VLOOKUP($A4-COUNT('Шаг2.Бланк заказа NEW'!$B$19:$B$201),'Бланк OLD 0.8 04'!$B$12:$K$200,8,0)&gt;0,0.4,""))),
IF(VLOOKUP($A4-COUNT('Шаг2.Бланк заказа NEW'!$B$19:$B$201)-COUNT('Бланк OLD 0.8 04'!$B$18:$B$200),'Бланк OLD 2.0 04 '!$B$16:$K$200,7,0)&gt;0,2,IF(VLOOKUP($A4-COUNT('Шаг2.Бланк заказа NEW'!$B$19:$B$201)-COUNT('Бланк OLD 0.8 04'!$B$18:$B$200),'Бланк OLD 2.0 04 '!$B$16:$K$200,8,0)&gt;0,0.4,"")))</f>
        <v/>
      </c>
      <c r="U4" s="147" t="str">
        <f ca="1">IFERROR(IFERROR(IF(VLOOKUP($A4,'Шаг2.Бланк заказа NEW'!$B$17:$N$201,8,0)="","",VLOOKUP($A4,'Шаг2.Бланк заказа NEW'!$B$17:$N$201,8,0)),
IF(VLOOKUP($A4-COUNT('Шаг2.Бланк заказа NEW'!$B$19:$B$201),'Бланк OLD 0.8 04'!$B$12:$K$200,7,0)&gt;1,0.8,
IF(VLOOKUP($A4-COUNT('Шаг2.Бланк заказа NEW'!$B$19:$B$201),'Бланк OLD 0.8 04'!$B$12:$K$200,8,0)&gt;1,0.4,
IF(AND(VLOOKUP($A4-COUNT('Шаг2.Бланк заказа NEW'!$B$19:$B$201),'Бланк OLD 0.8 04'!$B$12:$K$200,7,0)&gt;0,VLOOKUP($A4-COUNT('Шаг2.Бланк заказа NEW'!$B$19:$B$201),'Бланк OLD 0.8 04'!$B$12:$K$200,8,0)&gt;0),0.4,"")))),
IF(VLOOKUP($A4-COUNT('Шаг2.Бланк заказа NEW'!$B$19:$B$201)-COUNT('Бланк OLD 0.8 04'!$B$18:$B$200),'Бланк OLD 2.0 04 '!$B$16:$K$200,7,0)&gt;1,2,
IF(VLOOKUP($A4-COUNT('Шаг2.Бланк заказа NEW'!$B$19:$B$201)-COUNT('Бланк OLD 0.8 04'!$B$18:$B$200),'Бланк OLD 2.0 04 '!$B$16:$K$200,8,0)&gt;1,0.4,
IF(AND(VLOOKUP($A4-COUNT('Шаг2.Бланк заказа NEW'!$B$19:$B$201)-COUNT('Бланк OLD 0.8 04'!$B$18:$B$200),'Бланк OLD 2.0 04 '!$B$16:$K$200,7,0)&gt;0,VLOOKUP($A4-COUNT('Шаг2.Бланк заказа NEW'!$B$19:$B$201)-COUNT('Бланк OLD 0.8 04'!$B$18:$B$200),'Бланк OLD 2.0 04 '!$B$16:$K$200,8,0)&gt;0),0.4,""))))</f>
        <v/>
      </c>
      <c r="V4" s="146" t="str">
        <f ca="1">IFERROR(VLOOKUP(C4,'Шаг1.Выбор плиты'!C:S,12,0),"")</f>
        <v/>
      </c>
      <c r="W4" s="146" t="str">
        <f ca="1">IFERROR(VLOOKUP(C4,'Шаг1.Выбор плиты'!C:S,8,0),"")</f>
        <v/>
      </c>
      <c r="X4" s="146" t="str">
        <f ca="1">IFERROR(VLOOKUP(C4,'Шаг1.Выбор плиты'!C:S,10,0),"")</f>
        <v/>
      </c>
      <c r="Y4" s="147" t="str">
        <f t="shared" ca="1" si="1"/>
        <v/>
      </c>
      <c r="Z4" s="25" t="s">
        <v>1952</v>
      </c>
      <c r="AD4" s="147" t="str">
        <f t="shared" ca="1" si="2"/>
        <v/>
      </c>
      <c r="AE4" s="147" t="str">
        <f t="shared" ca="1" si="3"/>
        <v/>
      </c>
      <c r="AH4" s="147" t="str">
        <f ca="1">IF(C4="","",VLOOKUP(C4,'Шаг1.Выбор плиты'!C:Q,7,0))</f>
        <v/>
      </c>
      <c r="AI4" s="147" t="str">
        <f t="shared" ca="1" si="4"/>
        <v/>
      </c>
    </row>
    <row r="5" spans="1:35" x14ac:dyDescent="0.2">
      <c r="A5" s="151" t="str">
        <f ca="1">IF(C5="","",MAX($A$1:OFFSET(C5,-1,0))+1)</f>
        <v/>
      </c>
      <c r="B5" s="151" t="str">
        <f ca="1">IFERROR(IFERROR(IFERROR("Шаг2.Бланк заказа NEW №"&amp;VLOOKUP(A4+1,CHOOSE({1,2},'Шаг2.Бланк заказа NEW'!$B$19:$B$201,'Шаг2.Бланк заказа NEW'!$A$19:$A$201),1,0),
"Бланк OLD 0.8 04 №"&amp;VLOOKUP(A4+1-COUNT('Шаг2.Бланк заказа NEW'!$B$19:$B$201),CHOOSE({1,2},'Бланк OLD 0.8 04'!$B$18:$B$200,'Бланк OLD 0.8 04'!$A$18:$A$200),1,0)),
"Бланк OLD 2.0 04 №"&amp;VLOOKUP(A4+1-COUNT('Шаг2.Бланк заказа NEW'!$B$19:$B$201)-COUNT('Бланк OLD 0.8 04'!$B$18:$B$200),CHOOSE({1,2},'Бланк OLD 2.0 04 '!$B$18:$B$200,'Бланк OLD 2.0 04 '!$A$18:$A$200),1,0)),"")</f>
        <v/>
      </c>
      <c r="C5" s="152" t="str">
        <f ca="1">IFERROR(IFERROR(IFERROR(VLOOKUP(A4+1,CHOOSE({1,2},'Шаг2.Бланк заказа NEW'!$B$19:$B$201,'Шаг2.Бланк заказа NEW'!$A$19:$A$201),2,0),
VLOOKUP(A4+1-COUNT('Шаг2.Бланк заказа NEW'!$B$19:$B$201),CHOOSE({1,2},'Бланк OLD 0.8 04'!$B$18:$B$200,'Бланк OLD 0.8 04'!$A$18:$A$200),2,0)),
VLOOKUP(A4+1-COUNT('Шаг2.Бланк заказа NEW'!$B$19:$B$201)-COUNT('Бланк OLD 0.8 04'!$B$18:$B$200),CHOOSE({1,2},'Бланк OLD 2.0 04 '!$B$18:$B$200,'Бланк OLD 2.0 04 '!$A$18:$A$200),2,0)),"")</f>
        <v/>
      </c>
      <c r="D5" s="150" t="str">
        <f ca="1">IFERROR(VLOOKUP(C5,'Шаг1.Выбор плиты'!C:G,5,0),"")</f>
        <v/>
      </c>
      <c r="E5" s="147" t="str">
        <f ca="1">IFERROR(IFERROR(IF(VLOOKUP($A5,'Шаг2.Бланк заказа NEW'!$B$17:$N$201,2,0)="","",VLOOKUP($A5,'Шаг2.Бланк заказа NEW'!$B$17:$N$201,2,0)),
IF(VLOOKUP($A5-COUNT('Шаг2.Бланк заказа NEW'!$B$19:$B$201),'Бланк OLD 0.8 04'!$B$12:$K$200,2,0)="","",VLOOKUP($A5-COUNT('Шаг2.Бланк заказа NEW'!$B$19:$B$201),'Бланк OLD 0.8 04'!$B$12:$K$200,2,0))),
IF(VLOOKUP($A5-COUNT('Шаг2.Бланк заказа NEW'!$B$19:$B$201)-COUNT('Бланк OLD 0.8 04'!$B$18:$B$200),'Бланк OLD 2.0 04 '!$B$16:$K$200,2,0)="","",VLOOKUP($A5-COUNT('Шаг2.Бланк заказа NEW'!$B$19:$B$201)-COUNT('Бланк OLD 0.8 04'!$B$18:$B$200),'Бланк OLD 2.0 04 '!$B$16:$K$200,2,0)))</f>
        <v/>
      </c>
      <c r="F5" s="147" t="str">
        <f ca="1">IFERROR(IFERROR(IF(VLOOKUP($A5,'Шаг2.Бланк заказа NEW'!$B$17:$N$201,3,0)="","",VLOOKUP($A5,'Шаг2.Бланк заказа NEW'!$B$17:$N$201,3,0)),
IF(VLOOKUP($A5-COUNT('Шаг2.Бланк заказа NEW'!$B$19:$B$201),'Бланк OLD 0.8 04'!$B$12:$K$200,3,0)="","",VLOOKUP($A5-COUNT('Шаг2.Бланк заказа NEW'!$B$19:$B$201),'Бланк OLD 0.8 04'!$B$12:$K$200,3,0))),
IF(VLOOKUP($A5-COUNT('Шаг2.Бланк заказа NEW'!$B$19:$B$201)-COUNT('Бланк OLD 0.8 04'!$B$18:$B$200),'Бланк OLD 2.0 04 '!$B$16:$K$200,3,0)="","",VLOOKUP($A5-COUNT('Шаг2.Бланк заказа NEW'!$B$19:$B$201)-COUNT('Бланк OLD 0.8 04'!$B$18:$B$200),'Бланк OLD 2.0 04 '!$B$16:$K$200,3,0)))</f>
        <v/>
      </c>
      <c r="G5" s="176" t="str">
        <f ca="1">IF(IF(R5="","",IF(R5=1,SUMIFS('Шаг1.Выбор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плиты'!C:Q,12,0)),1))))))=0,
R5,
IF(R5="","",IF(R5=1,SUMIFS('Шаг1.Выбор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плиты'!N:N,R5,'Шаг1.Выбор плиты'!M:M,SMALL(INDIRECT("мм"&amp;VLOOKUP(C5,'Шаг1.Выбор плиты'!C:Q,12,0)),1)))))))</f>
        <v/>
      </c>
      <c r="H5" s="177" t="str">
        <f ca="1">IF(IF(S5="","",IF(S5=1,SUMIFS('Шаг1.Выбор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плиты'!C:Q,12,0)),1))))))=0,
S5,
IF(S5="","",IF(S5=1,SUMIFS('Шаг1.Выбор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плиты'!N:N,S5,'Шаг1.Выбор плиты'!M:M,SMALL(INDIRECT("мм"&amp;VLOOKUP(C5,'Шаг1.Выбор плиты'!C:Q,12,0)),1)))))))</f>
        <v/>
      </c>
      <c r="I5" s="147" t="str">
        <f ca="1">IFERROR(IFERROR(IF(VLOOKUP($A5,'Шаг2.Бланк заказа NEW'!$B$17:$N$201,6,0)="","",VLOOKUP($A5,'Шаг2.Бланк заказа NEW'!$B$17:$N$201,6,0)),
IF(VLOOKUP($A5-COUNT('Шаг2.Бланк заказа NEW'!$B$19:$B$201),'Бланк OLD 0.8 04'!$B$12:$K$200,6,0)="","",VLOOKUP($A5-COUNT('Шаг2.Бланк заказа NEW'!$B$19:$B$201),'Бланк OLD 0.8 04'!$B$12:$K$200,6,0))),
IF(VLOOKUP($A5-COUNT('Шаг2.Бланк заказа NEW'!$B$19:$B$201)-COUNT('Бланк OLD 0.8 04'!$B$18:$B$200),'Бланк OLD 2.0 04 '!$B$16:$K$200,6,0)="","",VLOOKUP($A5-COUNT('Шаг2.Бланк заказа NEW'!$B$19:$B$201)-COUNT('Бланк OLD 0.8 04'!$B$18:$B$200),'Бланк OLD 2.0 04 '!$B$16:$K$200,6,0)))</f>
        <v/>
      </c>
      <c r="J5" s="177" t="str">
        <f ca="1">IF(IF(T5="","",IF(T5=1,SUMIFS('Шаг1.Выбор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плиты'!C:Q,12,0)),1))))))=0,
T5,
IF(T5="","",IF(T5=1,SUMIFS('Шаг1.Выбор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плиты'!N:N,T5,'Шаг1.Выбор плиты'!M:M,SMALL(INDIRECT("мм"&amp;VLOOKUP(C5,'Шаг1.Выбор плиты'!C:Q,12,0)),1)))))))</f>
        <v/>
      </c>
      <c r="K5" s="177" t="str">
        <f ca="1">IF(IF(U5="","",IF(U5=1,SUMIFS('Шаг1.Выбор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плиты'!C:Q,12,0)),1))))))=0,
U5,
IF(U5="","",IF(U5=1,SUMIFS('Шаг1.Выбор плиты'!$G:$G,'Шаг1.Выбор плиты'!J:J,"*"&amp;RIGHT(VLOOKUP(C5,'Шаг1.Выбор плиты'!C:Q,8,0),4),'Шаг1.Выбор плиты'!L:L,IF(MID(C5,1,6)="ЛДСП P","TM"&amp;MID(VLOOKUP(C5,'Шаг1.Выбор плиты'!C:Q,10,0),3,2),MID(VLOOKUP(C5,'Шаг1.Выбор плиты'!C:Q,10,0),1,2)),
'Шаг1.Выбор плиты'!N:N,1),IF(SUMIFS('Шаг1.Выбор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плиты'!C:Q,12,0)),1))=0,
IF(SUMIFS('Шаг1.Выбор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плиты'!C:Q,12,0)),2))=0,
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плиты'!C:Q,12,0)),3)),
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плиты'!C:Q,12,0)),2))),
(SUMIFS('Шаг1.Выбор плиты'!$G:$G,'Шаг1.Выбор плиты'!J:J,"*"&amp;RIGHT(VLOOKUP(C5,'Шаг1.Выбор плиты'!C:Q,8,0),4),'Шаг1.Выбор плиты'!L:L,VLOOKUP(C5,'Шаг1.Выбор плиты'!C:Q,10,0),'Шаг1.Выбор плиты'!N:N,U5,'Шаг1.Выбор плиты'!M:M,SMALL(INDIRECT("мм"&amp;VLOOKUP(C5,'Шаг1.Выбор плиты'!C:Q,12,0)),1)))))))</f>
        <v/>
      </c>
      <c r="L5" s="147" t="str">
        <f ca="1">IFERROR(IFERROR(IF(VLOOKUP($A5,'Шаг2.Бланк заказа NEW'!$B$17:$N$201,9,0)="","",VLOOKUP($A5,'Шаг2.Бланк заказа NEW'!$B$17:$N$201,9,0)),
IF(VLOOKUP($A5-COUNT('Шаг2.Бланк заказа NEW'!$B$19:$B$201),'Бланк OLD 0.8 04'!$B$12:$K$200,9,0)="","",VLOOKUP($A5-COUNT('Шаг2.Бланк заказа NEW'!$B$19:$B$201),'Бланк OLD 0.8 04'!$B$12:$K$200,9,0))),
IF(VLOOKUP($A5-COUNT('Шаг2.Бланк заказа NEW'!$B$19:$B$201)-COUNT('Бланк OLD 0.8 04'!$B$18:$B$200),'Бланк OLD 2.0 04 '!$B$16:$K$200,9,0)="","",VLOOKUP($A5-COUNT('Шаг2.Бланк заказа NEW'!$B$19:$B$201)-COUNT('Бланк OLD 0.8 04'!$B$18:$B$200),'Бланк OLD 2.0 04 '!$B$16:$K$200,9,0)))</f>
        <v/>
      </c>
      <c r="M5" s="154" t="str">
        <f t="shared" ca="1" si="0"/>
        <v/>
      </c>
      <c r="N5" s="153" t="str">
        <f ca="1">IFERROR(IF(VLOOKUP($A5,'Шаг2.Бланк заказа NEW'!$B$17:$N$201,11,0)="","",VLOOKUP($A5,'Шаг2.Бланк заказа NEW'!$B$17:$N$201,11,0)),
"Нет")</f>
        <v/>
      </c>
      <c r="O5" s="147" t="str">
        <f ca="1">IFERROR(IF(VLOOKUP($A5,'Шаг2.Бланк заказа NEW'!$B$17:$N$201,11,0)="","",VLOOKUP($A5,'Шаг2.Бланк заказа NEW'!$B$17:$N$201,12,0)),
"Нет")</f>
        <v/>
      </c>
      <c r="P5" s="153" t="str">
        <f ca="1">IFERROR(IF(VLOOKUP($A5,'Шаг2.Бланк заказа NEW'!$B$17:$N$201,13,0)="","",VLOOKUP($A5,'Шаг2.Бланк заказа NEW'!$B$17:$N$201,13,0)),
"Нет")</f>
        <v/>
      </c>
      <c r="Q5" s="147" t="str">
        <f ca="1">IFERROR(IF(VLOOKUP($A5,'Шаг2.Бланк заказа NEW'!$B$17:$O$201,14,0)="","",VLOOKUP($A5,'Шаг2.Бланк заказа NEW'!$B$17:$O$201,14,0)),"")</f>
        <v/>
      </c>
      <c r="R5" s="147" t="str">
        <f ca="1">IFERROR(IFERROR(IF(VLOOKUP($A5,'Шаг2.Бланк заказа NEW'!$B$17:$N$201,4,0)="","",VLOOKUP($A5,'Шаг2.Бланк заказа NEW'!$B$17:$N$201,4,0)),
IF(VLOOKUP($A5-COUNT('Шаг2.Бланк заказа NEW'!$B$19:$B$201),'Бланк OLD 0.8 04'!$B$12:$K$200,4,0)&gt;0,0.8,
IF(VLOOKUP($A5-COUNT('Шаг2.Бланк заказа NEW'!$B$19:$B$201),'Бланк OLD 0.8 04'!$B$12:$K$200,5,0)&gt;0,0.4,""))),
IF(VLOOKUP($A5-COUNT('Шаг2.Бланк заказа NEW'!$B$19:$B$201)-COUNT('Бланк OLD 0.8 04'!$B$18:$B$200),'Бланк OLD 2.0 04 '!$B$16:$K$200,4,0)&gt;0,2,IF(VLOOKUP($A5-COUNT('Шаг2.Бланк заказа NEW'!$B$19:$B$201)-COUNT('Бланк OLD 0.8 04'!$B$18:$B$200),'Бланк OLD 2.0 04 '!$B$16:$K$200,5,0)&gt;0,0.4,"")))</f>
        <v/>
      </c>
      <c r="S5" s="147" t="str">
        <f ca="1">IFERROR(IFERROR(IF(VLOOKUP($A5,'Шаг2.Бланк заказа NEW'!$B$17:$N$201,5,0)="","",VLOOKUP($A5,'Шаг2.Бланк заказа NEW'!$B$17:$N$201,5,0)),
IF(VLOOKUP($A5-COUNT('Шаг2.Бланк заказа NEW'!$B$19:$B$201),'Бланк OLD 0.8 04'!$B$12:$K$200,4,0)&gt;1,0.8,
IF(VLOOKUP($A5-COUNT('Шаг2.Бланк заказа NEW'!$B$19:$B$201),'Бланк OLD 0.8 04'!$B$12:$K$200,5,0)&gt;1,0.4,
IF(AND(VLOOKUP($A5-COUNT('Шаг2.Бланк заказа NEW'!$B$19:$B$201),'Бланк OLD 0.8 04'!$B$12:$K$200,4,0)&gt;0,VLOOKUP($A5-COUNT('Шаг2.Бланк заказа NEW'!$B$19:$B$201),'Бланк OLD 0.8 04'!$B$12:$K$200,5,0)&gt;0),0.4,"")))),
IF(VLOOKUP($A5-COUNT('Шаг2.Бланк заказа NEW'!$B$19:$B$201)-COUNT('Бланк OLD 0.8 04'!$B$18:$B$200),'Бланк OLD 2.0 04 '!$B$16:$K$200,4,0)&gt;1,2,
IF(VLOOKUP($A5-COUNT('Шаг2.Бланк заказа NEW'!$B$19:$B$201)-COUNT('Бланк OLD 0.8 04'!$B$18:$B$200),'Бланк OLD 2.0 04 '!$B$16:$K$200,5,0)&gt;1,0.4,IF(AND(VLOOKUP($A5-COUNT('Шаг2.Бланк заказа NEW'!$B$19:$B$201)-COUNT('Бланк OLD 0.8 04'!$B$18:$B$200),'Бланк OLD 2.0 04 '!$B$16:$K$200,4,0)&gt;0,VLOOKUP($A5-COUNT('Шаг2.Бланк заказа NEW'!$B$19:$B$201)-COUNT('Бланк OLD 0.8 04'!$B$18:$B$200),'Бланк OLD 2.0 04 '!$B$16:$K$200,5,0)&gt;0),0.4,""))))</f>
        <v/>
      </c>
      <c r="T5" s="147" t="str">
        <f ca="1">IFERROR(IFERROR(IF(VLOOKUP($A5,'Шаг2.Бланк заказа NEW'!$B$17:$N$201,7,0)="","",VLOOKUP($A5,'Шаг2.Бланк заказа NEW'!$B$17:$N$201,7,0)),
IF(VLOOKUP($A5-COUNT('Шаг2.Бланк заказа NEW'!$B$19:$B$201),'Бланк OLD 0.8 04'!$B$12:$K$200,7,0)&gt;0,0.8,
IF(VLOOKUP($A5-COUNT('Шаг2.Бланк заказа NEW'!$B$19:$B$201),'Бланк OLD 0.8 04'!$B$12:$K$200,8,0)&gt;0,0.4,""))),
IF(VLOOKUP($A5-COUNT('Шаг2.Бланк заказа NEW'!$B$19:$B$201)-COUNT('Бланк OLD 0.8 04'!$B$18:$B$200),'Бланк OLD 2.0 04 '!$B$16:$K$200,7,0)&gt;0,2,IF(VLOOKUP($A5-COUNT('Шаг2.Бланк заказа NEW'!$B$19:$B$201)-COUNT('Бланк OLD 0.8 04'!$B$18:$B$200),'Бланк OLD 2.0 04 '!$B$16:$K$200,8,0)&gt;0,0.4,"")))</f>
        <v/>
      </c>
      <c r="U5" s="147" t="str">
        <f ca="1">IFERROR(IFERROR(IF(VLOOKUP($A5,'Шаг2.Бланк заказа NEW'!$B$17:$N$201,8,0)="","",VLOOKUP($A5,'Шаг2.Бланк заказа NEW'!$B$17:$N$201,8,0)),
IF(VLOOKUP($A5-COUNT('Шаг2.Бланк заказа NEW'!$B$19:$B$201),'Бланк OLD 0.8 04'!$B$12:$K$200,7,0)&gt;1,0.8,
IF(VLOOKUP($A5-COUNT('Шаг2.Бланк заказа NEW'!$B$19:$B$201),'Бланк OLD 0.8 04'!$B$12:$K$200,8,0)&gt;1,0.4,
IF(AND(VLOOKUP($A5-COUNT('Шаг2.Бланк заказа NEW'!$B$19:$B$201),'Бланк OLD 0.8 04'!$B$12:$K$200,7,0)&gt;0,VLOOKUP($A5-COUNT('Шаг2.Бланк заказа NEW'!$B$19:$B$201),'Бланк OLD 0.8 04'!$B$12:$K$200,8,0)&gt;0),0.4,"")))),
IF(VLOOKUP($A5-COUNT('Шаг2.Бланк заказа NEW'!$B$19:$B$201)-COUNT('Бланк OLD 0.8 04'!$B$18:$B$200),'Бланк OLD 2.0 04 '!$B$16:$K$200,7,0)&gt;1,2,
IF(VLOOKUP($A5-COUNT('Шаг2.Бланк заказа NEW'!$B$19:$B$201)-COUNT('Бланк OLD 0.8 04'!$B$18:$B$200),'Бланк OLD 2.0 04 '!$B$16:$K$200,8,0)&gt;1,0.4,
IF(AND(VLOOKUP($A5-COUNT('Шаг2.Бланк заказа NEW'!$B$19:$B$201)-COUNT('Бланк OLD 0.8 04'!$B$18:$B$200),'Бланк OLD 2.0 04 '!$B$16:$K$200,7,0)&gt;0,VLOOKUP($A5-COUNT('Шаг2.Бланк заказа NEW'!$B$19:$B$201)-COUNT('Бланк OLD 0.8 04'!$B$18:$B$200),'Бланк OLD 2.0 04 '!$B$16:$K$200,8,0)&gt;0),0.4,""))))</f>
        <v/>
      </c>
      <c r="V5" s="146" t="str">
        <f ca="1">IFERROR(VLOOKUP(C5,'Шаг1.Выбор плиты'!C:S,12,0),"")</f>
        <v/>
      </c>
      <c r="W5" s="146" t="str">
        <f ca="1">IFERROR(VLOOKUP(C5,'Шаг1.Выбор плиты'!C:S,8,0),"")</f>
        <v/>
      </c>
      <c r="X5" s="146" t="str">
        <f ca="1">IFERROR(VLOOKUP(C5,'Шаг1.Выбор плиты'!C:S,10,0),"")</f>
        <v/>
      </c>
      <c r="Y5" s="147" t="str">
        <f t="shared" ca="1" si="1"/>
        <v/>
      </c>
      <c r="Z5" s="170">
        <f>IF('Шаг2.Бланк заказа NEW'!O12="",IF('Бланк OLD 0.8 04'!J9:J9="",'Бланк OLD 2.0 04 '!J9:J9,'Бланк OLD 0.8 04'!J9:J9),'Шаг2.Бланк заказа NEW'!O12)</f>
        <v>0</v>
      </c>
      <c r="AD5" s="147" t="str">
        <f t="shared" ca="1" si="2"/>
        <v/>
      </c>
      <c r="AE5" s="147" t="str">
        <f t="shared" ca="1" si="3"/>
        <v/>
      </c>
      <c r="AH5" s="147" t="str">
        <f ca="1">IF(C5="","",VLOOKUP(C5,'Шаг1.Выбор плиты'!C:Q,7,0))</f>
        <v/>
      </c>
      <c r="AI5" s="147" t="str">
        <f t="shared" ca="1" si="4"/>
        <v/>
      </c>
    </row>
    <row r="6" spans="1:35" x14ac:dyDescent="0.2">
      <c r="A6" s="151" t="str">
        <f ca="1">IF(C6="","",MAX($A$1:OFFSET(C6,-1,0))+1)</f>
        <v/>
      </c>
      <c r="B6" s="151" t="str">
        <f ca="1">IFERROR(IFERROR(IFERROR("Шаг2.Бланк заказа NEW №"&amp;VLOOKUP(A5+1,CHOOSE({1,2},'Шаг2.Бланк заказа NEW'!$B$19:$B$201,'Шаг2.Бланк заказа NEW'!$A$19:$A$201),1,0),
"Бланк OLD 0.8 04 №"&amp;VLOOKUP(A5+1-COUNT('Шаг2.Бланк заказа NEW'!$B$19:$B$201),CHOOSE({1,2},'Бланк OLD 0.8 04'!$B$18:$B$200,'Бланк OLD 0.8 04'!$A$18:$A$200),1,0)),
"Бланк OLD 2.0 04 №"&amp;VLOOKUP(A5+1-COUNT('Шаг2.Бланк заказа NEW'!$B$19:$B$201)-COUNT('Бланк OLD 0.8 04'!$B$18:$B$200),CHOOSE({1,2},'Бланк OLD 2.0 04 '!$B$18:$B$200,'Бланк OLD 2.0 04 '!$A$18:$A$200),1,0)),"")</f>
        <v/>
      </c>
      <c r="C6" s="152" t="str">
        <f ca="1">IFERROR(IFERROR(IFERROR(VLOOKUP(A5+1,CHOOSE({1,2},'Шаг2.Бланк заказа NEW'!$B$19:$B$201,'Шаг2.Бланк заказа NEW'!$A$19:$A$201),2,0),
VLOOKUP(A5+1-COUNT('Шаг2.Бланк заказа NEW'!$B$19:$B$201),CHOOSE({1,2},'Бланк OLD 0.8 04'!$B$18:$B$200,'Бланк OLD 0.8 04'!$A$18:$A$200),2,0)),
VLOOKUP(A5+1-COUNT('Шаг2.Бланк заказа NEW'!$B$19:$B$201)-COUNT('Бланк OLD 0.8 04'!$B$18:$B$200),CHOOSE({1,2},'Бланк OLD 2.0 04 '!$B$18:$B$200,'Бланк OLD 2.0 04 '!$A$18:$A$200),2,0)),"")</f>
        <v/>
      </c>
      <c r="D6" s="150" t="str">
        <f ca="1">IFERROR(VLOOKUP(C6,'Шаг1.Выбор плиты'!C:G,5,0),"")</f>
        <v/>
      </c>
      <c r="E6" s="147" t="str">
        <f ca="1">IFERROR(IFERROR(IF(VLOOKUP($A6,'Шаг2.Бланк заказа NEW'!$B$17:$N$201,2,0)="","",VLOOKUP($A6,'Шаг2.Бланк заказа NEW'!$B$17:$N$201,2,0)),
IF(VLOOKUP($A6-COUNT('Шаг2.Бланк заказа NEW'!$B$19:$B$201),'Бланк OLD 0.8 04'!$B$12:$K$200,2,0)="","",VLOOKUP($A6-COUNT('Шаг2.Бланк заказа NEW'!$B$19:$B$201),'Бланк OLD 0.8 04'!$B$12:$K$200,2,0))),
IF(VLOOKUP($A6-COUNT('Шаг2.Бланк заказа NEW'!$B$19:$B$201)-COUNT('Бланк OLD 0.8 04'!$B$18:$B$200),'Бланк OLD 2.0 04 '!$B$16:$K$200,2,0)="","",VLOOKUP($A6-COUNT('Шаг2.Бланк заказа NEW'!$B$19:$B$201)-COUNT('Бланк OLD 0.8 04'!$B$18:$B$200),'Бланк OLD 2.0 04 '!$B$16:$K$200,2,0)))</f>
        <v/>
      </c>
      <c r="F6" s="147" t="str">
        <f ca="1">IFERROR(IFERROR(IF(VLOOKUP($A6,'Шаг2.Бланк заказа NEW'!$B$17:$N$201,3,0)="","",VLOOKUP($A6,'Шаг2.Бланк заказа NEW'!$B$17:$N$201,3,0)),
IF(VLOOKUP($A6-COUNT('Шаг2.Бланк заказа NEW'!$B$19:$B$201),'Бланк OLD 0.8 04'!$B$12:$K$200,3,0)="","",VLOOKUP($A6-COUNT('Шаг2.Бланк заказа NEW'!$B$19:$B$201),'Бланк OLD 0.8 04'!$B$12:$K$200,3,0))),
IF(VLOOKUP($A6-COUNT('Шаг2.Бланк заказа NEW'!$B$19:$B$201)-COUNT('Бланк OLD 0.8 04'!$B$18:$B$200),'Бланк OLD 2.0 04 '!$B$16:$K$200,3,0)="","",VLOOKUP($A6-COUNT('Шаг2.Бланк заказа NEW'!$B$19:$B$201)-COUNT('Бланк OLD 0.8 04'!$B$18:$B$200),'Бланк OLD 2.0 04 '!$B$16:$K$200,3,0)))</f>
        <v/>
      </c>
      <c r="G6" s="176" t="str">
        <f ca="1">IF(IF(R6="","",IF(R6=1,SUMIFS('Шаг1.Выбор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плиты'!C:Q,12,0)),1))))))=0,
R6,
IF(R6="","",IF(R6=1,SUMIFS('Шаг1.Выбор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плиты'!N:N,R6,'Шаг1.Выбор плиты'!M:M,SMALL(INDIRECT("мм"&amp;VLOOKUP(C6,'Шаг1.Выбор плиты'!C:Q,12,0)),1)))))))</f>
        <v/>
      </c>
      <c r="H6" s="177" t="str">
        <f ca="1">IF(IF(S6="","",IF(S6=1,SUMIFS('Шаг1.Выбор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плиты'!C:Q,12,0)),1))))))=0,
S6,
IF(S6="","",IF(S6=1,SUMIFS('Шаг1.Выбор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плиты'!N:N,S6,'Шаг1.Выбор плиты'!M:M,SMALL(INDIRECT("мм"&amp;VLOOKUP(C6,'Шаг1.Выбор плиты'!C:Q,12,0)),1)))))))</f>
        <v/>
      </c>
      <c r="I6" s="147" t="str">
        <f ca="1">IFERROR(IFERROR(IF(VLOOKUP($A6,'Шаг2.Бланк заказа NEW'!$B$17:$N$201,6,0)="","",VLOOKUP($A6,'Шаг2.Бланк заказа NEW'!$B$17:$N$201,6,0)),
IF(VLOOKUP($A6-COUNT('Шаг2.Бланк заказа NEW'!$B$19:$B$201),'Бланк OLD 0.8 04'!$B$12:$K$200,6,0)="","",VLOOKUP($A6-COUNT('Шаг2.Бланк заказа NEW'!$B$19:$B$201),'Бланк OLD 0.8 04'!$B$12:$K$200,6,0))),
IF(VLOOKUP($A6-COUNT('Шаг2.Бланк заказа NEW'!$B$19:$B$201)-COUNT('Бланк OLD 0.8 04'!$B$18:$B$200),'Бланк OLD 2.0 04 '!$B$16:$K$200,6,0)="","",VLOOKUP($A6-COUNT('Шаг2.Бланк заказа NEW'!$B$19:$B$201)-COUNT('Бланк OLD 0.8 04'!$B$18:$B$200),'Бланк OLD 2.0 04 '!$B$16:$K$200,6,0)))</f>
        <v/>
      </c>
      <c r="J6" s="177" t="str">
        <f ca="1">IF(IF(T6="","",IF(T6=1,SUMIFS('Шаг1.Выбор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плиты'!C:Q,12,0)),1))))))=0,
T6,
IF(T6="","",IF(T6=1,SUMIFS('Шаг1.Выбор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плиты'!N:N,T6,'Шаг1.Выбор плиты'!M:M,SMALL(INDIRECT("мм"&amp;VLOOKUP(C6,'Шаг1.Выбор плиты'!C:Q,12,0)),1)))))))</f>
        <v/>
      </c>
      <c r="K6" s="177" t="str">
        <f ca="1">IF(IF(U6="","",IF(U6=1,SUMIFS('Шаг1.Выбор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плиты'!C:Q,12,0)),1))))))=0,
U6,
IF(U6="","",IF(U6=1,SUMIFS('Шаг1.Выбор плиты'!$G:$G,'Шаг1.Выбор плиты'!J:J,"*"&amp;RIGHT(VLOOKUP(C6,'Шаг1.Выбор плиты'!C:Q,8,0),4),'Шаг1.Выбор плиты'!L:L,IF(MID(C6,1,6)="ЛДСП P","TM"&amp;MID(VLOOKUP(C6,'Шаг1.Выбор плиты'!C:Q,10,0),3,2),MID(VLOOKUP(C6,'Шаг1.Выбор плиты'!C:Q,10,0),1,2)),
'Шаг1.Выбор плиты'!N:N,1),IF(SUMIFS('Шаг1.Выбор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плиты'!C:Q,12,0)),1))=0,
IF(SUMIFS('Шаг1.Выбор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плиты'!C:Q,12,0)),2))=0,
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плиты'!C:Q,12,0)),3)),
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плиты'!C:Q,12,0)),2))),
(SUMIFS('Шаг1.Выбор плиты'!$G:$G,'Шаг1.Выбор плиты'!J:J,"*"&amp;RIGHT(VLOOKUP(C6,'Шаг1.Выбор плиты'!C:Q,8,0),4),'Шаг1.Выбор плиты'!L:L,VLOOKUP(C6,'Шаг1.Выбор плиты'!C:Q,10,0),'Шаг1.Выбор плиты'!N:N,U6,'Шаг1.Выбор плиты'!M:M,SMALL(INDIRECT("мм"&amp;VLOOKUP(C6,'Шаг1.Выбор плиты'!C:Q,12,0)),1)))))))</f>
        <v/>
      </c>
      <c r="L6" s="147" t="str">
        <f ca="1">IFERROR(IFERROR(IF(VLOOKUP($A6,'Шаг2.Бланк заказа NEW'!$B$17:$N$201,9,0)="","",VLOOKUP($A6,'Шаг2.Бланк заказа NEW'!$B$17:$N$201,9,0)),
IF(VLOOKUP($A6-COUNT('Шаг2.Бланк заказа NEW'!$B$19:$B$201),'Бланк OLD 0.8 04'!$B$12:$K$200,9,0)="","",VLOOKUP($A6-COUNT('Шаг2.Бланк заказа NEW'!$B$19:$B$201),'Бланк OLD 0.8 04'!$B$12:$K$200,9,0))),
IF(VLOOKUP($A6-COUNT('Шаг2.Бланк заказа NEW'!$B$19:$B$201)-COUNT('Бланк OLD 0.8 04'!$B$18:$B$200),'Бланк OLD 2.0 04 '!$B$16:$K$200,9,0)="","",VLOOKUP($A6-COUNT('Шаг2.Бланк заказа NEW'!$B$19:$B$201)-COUNT('Бланк OLD 0.8 04'!$B$18:$B$200),'Бланк OLD 2.0 04 '!$B$16:$K$200,9,0)))</f>
        <v/>
      </c>
      <c r="M6" s="154" t="str">
        <f t="shared" ca="1" si="0"/>
        <v/>
      </c>
      <c r="N6" s="153" t="str">
        <f ca="1">IFERROR(IF(VLOOKUP($A6,'Шаг2.Бланк заказа NEW'!$B$17:$N$201,11,0)="","",VLOOKUP($A6,'Шаг2.Бланк заказа NEW'!$B$17:$N$201,11,0)),
"Нет")</f>
        <v/>
      </c>
      <c r="O6" s="147" t="str">
        <f ca="1">IFERROR(IF(VLOOKUP($A6,'Шаг2.Бланк заказа NEW'!$B$17:$N$201,11,0)="","",VLOOKUP($A6,'Шаг2.Бланк заказа NEW'!$B$17:$N$201,12,0)),
"Нет")</f>
        <v/>
      </c>
      <c r="P6" s="153" t="str">
        <f ca="1">IFERROR(IF(VLOOKUP($A6,'Шаг2.Бланк заказа NEW'!$B$17:$N$201,13,0)="","",VLOOKUP($A6,'Шаг2.Бланк заказа NEW'!$B$17:$N$201,13,0)),
"Нет")</f>
        <v/>
      </c>
      <c r="Q6" s="147" t="str">
        <f ca="1">IFERROR(IF(VLOOKUP($A6,'Шаг2.Бланк заказа NEW'!$B$17:$O$201,14,0)="","",VLOOKUP($A6,'Шаг2.Бланк заказа NEW'!$B$17:$O$201,14,0)),"")</f>
        <v/>
      </c>
      <c r="R6" s="147" t="str">
        <f ca="1">IFERROR(IFERROR(IF(VLOOKUP($A6,'Шаг2.Бланк заказа NEW'!$B$17:$N$201,4,0)="","",VLOOKUP($A6,'Шаг2.Бланк заказа NEW'!$B$17:$N$201,4,0)),
IF(VLOOKUP($A6-COUNT('Шаг2.Бланк заказа NEW'!$B$19:$B$201),'Бланк OLD 0.8 04'!$B$12:$K$200,4,0)&gt;0,0.8,
IF(VLOOKUP($A6-COUNT('Шаг2.Бланк заказа NEW'!$B$19:$B$201),'Бланк OLD 0.8 04'!$B$12:$K$200,5,0)&gt;0,0.4,""))),
IF(VLOOKUP($A6-COUNT('Шаг2.Бланк заказа NEW'!$B$19:$B$201)-COUNT('Бланк OLD 0.8 04'!$B$18:$B$200),'Бланк OLD 2.0 04 '!$B$16:$K$200,4,0)&gt;0,2,IF(VLOOKUP($A6-COUNT('Шаг2.Бланк заказа NEW'!$B$19:$B$201)-COUNT('Бланк OLD 0.8 04'!$B$18:$B$200),'Бланк OLD 2.0 04 '!$B$16:$K$200,5,0)&gt;0,0.4,"")))</f>
        <v/>
      </c>
      <c r="S6" s="147" t="str">
        <f ca="1">IFERROR(IFERROR(IF(VLOOKUP($A6,'Шаг2.Бланк заказа NEW'!$B$17:$N$201,5,0)="","",VLOOKUP($A6,'Шаг2.Бланк заказа NEW'!$B$17:$N$201,5,0)),
IF(VLOOKUP($A6-COUNT('Шаг2.Бланк заказа NEW'!$B$19:$B$201),'Бланк OLD 0.8 04'!$B$12:$K$200,4,0)&gt;1,0.8,
IF(VLOOKUP($A6-COUNT('Шаг2.Бланк заказа NEW'!$B$19:$B$201),'Бланк OLD 0.8 04'!$B$12:$K$200,5,0)&gt;1,0.4,
IF(AND(VLOOKUP($A6-COUNT('Шаг2.Бланк заказа NEW'!$B$19:$B$201),'Бланк OLD 0.8 04'!$B$12:$K$200,4,0)&gt;0,VLOOKUP($A6-COUNT('Шаг2.Бланк заказа NEW'!$B$19:$B$201),'Бланк OLD 0.8 04'!$B$12:$K$200,5,0)&gt;0),0.4,"")))),
IF(VLOOKUP($A6-COUNT('Шаг2.Бланк заказа NEW'!$B$19:$B$201)-COUNT('Бланк OLD 0.8 04'!$B$18:$B$200),'Бланк OLD 2.0 04 '!$B$16:$K$200,4,0)&gt;1,2,
IF(VLOOKUP($A6-COUNT('Шаг2.Бланк заказа NEW'!$B$19:$B$201)-COUNT('Бланк OLD 0.8 04'!$B$18:$B$200),'Бланк OLD 2.0 04 '!$B$16:$K$200,5,0)&gt;1,0.4,IF(AND(VLOOKUP($A6-COUNT('Шаг2.Бланк заказа NEW'!$B$19:$B$201)-COUNT('Бланк OLD 0.8 04'!$B$18:$B$200),'Бланк OLD 2.0 04 '!$B$16:$K$200,4,0)&gt;0,VLOOKUP($A6-COUNT('Шаг2.Бланк заказа NEW'!$B$19:$B$201)-COUNT('Бланк OLD 0.8 04'!$B$18:$B$200),'Бланк OLD 2.0 04 '!$B$16:$K$200,5,0)&gt;0),0.4,""))))</f>
        <v/>
      </c>
      <c r="T6" s="147" t="str">
        <f ca="1">IFERROR(IFERROR(IF(VLOOKUP($A6,'Шаг2.Бланк заказа NEW'!$B$17:$N$201,7,0)="","",VLOOKUP($A6,'Шаг2.Бланк заказа NEW'!$B$17:$N$201,7,0)),
IF(VLOOKUP($A6-COUNT('Шаг2.Бланк заказа NEW'!$B$19:$B$201),'Бланк OLD 0.8 04'!$B$12:$K$200,7,0)&gt;0,0.8,
IF(VLOOKUP($A6-COUNT('Шаг2.Бланк заказа NEW'!$B$19:$B$201),'Бланк OLD 0.8 04'!$B$12:$K$200,8,0)&gt;0,0.4,""))),
IF(VLOOKUP($A6-COUNT('Шаг2.Бланк заказа NEW'!$B$19:$B$201)-COUNT('Бланк OLD 0.8 04'!$B$18:$B$200),'Бланк OLD 2.0 04 '!$B$16:$K$200,7,0)&gt;0,2,IF(VLOOKUP($A6-COUNT('Шаг2.Бланк заказа NEW'!$B$19:$B$201)-COUNT('Бланк OLD 0.8 04'!$B$18:$B$200),'Бланк OLD 2.0 04 '!$B$16:$K$200,8,0)&gt;0,0.4,"")))</f>
        <v/>
      </c>
      <c r="U6" s="147" t="str">
        <f ca="1">IFERROR(IFERROR(IF(VLOOKUP($A6,'Шаг2.Бланк заказа NEW'!$B$17:$N$201,8,0)="","",VLOOKUP($A6,'Шаг2.Бланк заказа NEW'!$B$17:$N$201,8,0)),
IF(VLOOKUP($A6-COUNT('Шаг2.Бланк заказа NEW'!$B$19:$B$201),'Бланк OLD 0.8 04'!$B$12:$K$200,7,0)&gt;1,0.8,
IF(VLOOKUP($A6-COUNT('Шаг2.Бланк заказа NEW'!$B$19:$B$201),'Бланк OLD 0.8 04'!$B$12:$K$200,8,0)&gt;1,0.4,
IF(AND(VLOOKUP($A6-COUNT('Шаг2.Бланк заказа NEW'!$B$19:$B$201),'Бланк OLD 0.8 04'!$B$12:$K$200,7,0)&gt;0,VLOOKUP($A6-COUNT('Шаг2.Бланк заказа NEW'!$B$19:$B$201),'Бланк OLD 0.8 04'!$B$12:$K$200,8,0)&gt;0),0.4,"")))),
IF(VLOOKUP($A6-COUNT('Шаг2.Бланк заказа NEW'!$B$19:$B$201)-COUNT('Бланк OLD 0.8 04'!$B$18:$B$200),'Бланк OLD 2.0 04 '!$B$16:$K$200,7,0)&gt;1,2,
IF(VLOOKUP($A6-COUNT('Шаг2.Бланк заказа NEW'!$B$19:$B$201)-COUNT('Бланк OLD 0.8 04'!$B$18:$B$200),'Бланк OLD 2.0 04 '!$B$16:$K$200,8,0)&gt;1,0.4,
IF(AND(VLOOKUP($A6-COUNT('Шаг2.Бланк заказа NEW'!$B$19:$B$201)-COUNT('Бланк OLD 0.8 04'!$B$18:$B$200),'Бланк OLD 2.0 04 '!$B$16:$K$200,7,0)&gt;0,VLOOKUP($A6-COUNT('Шаг2.Бланк заказа NEW'!$B$19:$B$201)-COUNT('Бланк OLD 0.8 04'!$B$18:$B$200),'Бланк OLD 2.0 04 '!$B$16:$K$200,8,0)&gt;0),0.4,""))))</f>
        <v/>
      </c>
      <c r="V6" s="146" t="str">
        <f ca="1">IFERROR(VLOOKUP(C6,'Шаг1.Выбор плиты'!C:S,12,0),"")</f>
        <v/>
      </c>
      <c r="W6" s="146" t="str">
        <f ca="1">IFERROR(VLOOKUP(C6,'Шаг1.Выбор плиты'!C:S,8,0),"")</f>
        <v/>
      </c>
      <c r="X6" s="146" t="str">
        <f ca="1">IFERROR(VLOOKUP(C6,'Шаг1.Выбор плиты'!C:S,10,0),"")</f>
        <v/>
      </c>
      <c r="Y6" s="147" t="str">
        <f t="shared" ca="1" si="1"/>
        <v/>
      </c>
      <c r="Z6" s="25" t="s">
        <v>2136</v>
      </c>
      <c r="AD6" s="147" t="str">
        <f t="shared" ca="1" si="2"/>
        <v/>
      </c>
      <c r="AE6" s="147" t="str">
        <f t="shared" ca="1" si="3"/>
        <v/>
      </c>
      <c r="AH6" s="147" t="str">
        <f ca="1">IF(C6="","",VLOOKUP(C6,'Шаг1.Выбор плиты'!C:Q,7,0))</f>
        <v/>
      </c>
      <c r="AI6" s="147" t="str">
        <f t="shared" ca="1" si="4"/>
        <v/>
      </c>
    </row>
    <row r="7" spans="1:35" x14ac:dyDescent="0.2">
      <c r="A7" s="151" t="str">
        <f ca="1">IF(C7="","",MAX($A$1:OFFSET(C7,-1,0))+1)</f>
        <v/>
      </c>
      <c r="B7" s="151" t="str">
        <f ca="1">IFERROR(IFERROR(IFERROR("Шаг2.Бланк заказа NEW №"&amp;VLOOKUP(A6+1,CHOOSE({1,2},'Шаг2.Бланк заказа NEW'!$B$19:$B$201,'Шаг2.Бланк заказа NEW'!$A$19:$A$201),1,0),
"Бланк OLD 0.8 04 №"&amp;VLOOKUP(A6+1-COUNT('Шаг2.Бланк заказа NEW'!$B$19:$B$201),CHOOSE({1,2},'Бланк OLD 0.8 04'!$B$18:$B$200,'Бланк OLD 0.8 04'!$A$18:$A$200),1,0)),
"Бланк OLD 2.0 04 №"&amp;VLOOKUP(A6+1-COUNT('Шаг2.Бланк заказа NEW'!$B$19:$B$201)-COUNT('Бланк OLD 0.8 04'!$B$18:$B$200),CHOOSE({1,2},'Бланк OLD 2.0 04 '!$B$18:$B$200,'Бланк OLD 2.0 04 '!$A$18:$A$200),1,0)),"")</f>
        <v/>
      </c>
      <c r="C7" s="152" t="str">
        <f ca="1">IFERROR(IFERROR(IFERROR(VLOOKUP(A6+1,CHOOSE({1,2},'Шаг2.Бланк заказа NEW'!$B$19:$B$201,'Шаг2.Бланк заказа NEW'!$A$19:$A$201),2,0),
VLOOKUP(A6+1-COUNT('Шаг2.Бланк заказа NEW'!$B$19:$B$201),CHOOSE({1,2},'Бланк OLD 0.8 04'!$B$18:$B$200,'Бланк OLD 0.8 04'!$A$18:$A$200),2,0)),
VLOOKUP(A6+1-COUNT('Шаг2.Бланк заказа NEW'!$B$19:$B$201)-COUNT('Бланк OLD 0.8 04'!$B$18:$B$200),CHOOSE({1,2},'Бланк OLD 2.0 04 '!$B$18:$B$200,'Бланк OLD 2.0 04 '!$A$18:$A$200),2,0)),"")</f>
        <v/>
      </c>
      <c r="D7" s="150" t="str">
        <f ca="1">IFERROR(VLOOKUP(C7,'Шаг1.Выбор плиты'!C:G,5,0),"")</f>
        <v/>
      </c>
      <c r="E7" s="147" t="str">
        <f ca="1">IFERROR(IFERROR(IF(VLOOKUP($A7,'Шаг2.Бланк заказа NEW'!$B$17:$N$201,2,0)="","",VLOOKUP($A7,'Шаг2.Бланк заказа NEW'!$B$17:$N$201,2,0)),
IF(VLOOKUP($A7-COUNT('Шаг2.Бланк заказа NEW'!$B$19:$B$201),'Бланк OLD 0.8 04'!$B$12:$K$200,2,0)="","",VLOOKUP($A7-COUNT('Шаг2.Бланк заказа NEW'!$B$19:$B$201),'Бланк OLD 0.8 04'!$B$12:$K$200,2,0))),
IF(VLOOKUP($A7-COUNT('Шаг2.Бланк заказа NEW'!$B$19:$B$201)-COUNT('Бланк OLD 0.8 04'!$B$18:$B$200),'Бланк OLD 2.0 04 '!$B$16:$K$200,2,0)="","",VLOOKUP($A7-COUNT('Шаг2.Бланк заказа NEW'!$B$19:$B$201)-COUNT('Бланк OLD 0.8 04'!$B$18:$B$200),'Бланк OLD 2.0 04 '!$B$16:$K$200,2,0)))</f>
        <v/>
      </c>
      <c r="F7" s="147" t="str">
        <f ca="1">IFERROR(IFERROR(IF(VLOOKUP($A7,'Шаг2.Бланк заказа NEW'!$B$17:$N$201,3,0)="","",VLOOKUP($A7,'Шаг2.Бланк заказа NEW'!$B$17:$N$201,3,0)),
IF(VLOOKUP($A7-COUNT('Шаг2.Бланк заказа NEW'!$B$19:$B$201),'Бланк OLD 0.8 04'!$B$12:$K$200,3,0)="","",VLOOKUP($A7-COUNT('Шаг2.Бланк заказа NEW'!$B$19:$B$201),'Бланк OLD 0.8 04'!$B$12:$K$200,3,0))),
IF(VLOOKUP($A7-COUNT('Шаг2.Бланк заказа NEW'!$B$19:$B$201)-COUNT('Бланк OLD 0.8 04'!$B$18:$B$200),'Бланк OLD 2.0 04 '!$B$16:$K$200,3,0)="","",VLOOKUP($A7-COUNT('Шаг2.Бланк заказа NEW'!$B$19:$B$201)-COUNT('Бланк OLD 0.8 04'!$B$18:$B$200),'Бланк OLD 2.0 04 '!$B$16:$K$200,3,0)))</f>
        <v/>
      </c>
      <c r="G7" s="176" t="str">
        <f ca="1">IF(IF(R7="","",IF(R7=1,SUMIFS('Шаг1.Выбор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плиты'!C:Q,12,0)),1))))))=0,
R7,
IF(R7="","",IF(R7=1,SUMIFS('Шаг1.Выбор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плиты'!N:N,R7,'Шаг1.Выбор плиты'!M:M,SMALL(INDIRECT("мм"&amp;VLOOKUP(C7,'Шаг1.Выбор плиты'!C:Q,12,0)),1)))))))</f>
        <v/>
      </c>
      <c r="H7" s="177" t="str">
        <f ca="1">IF(IF(S7="","",IF(S7=1,SUMIFS('Шаг1.Выбор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плиты'!C:Q,12,0)),1))))))=0,
S7,
IF(S7="","",IF(S7=1,SUMIFS('Шаг1.Выбор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плиты'!N:N,S7,'Шаг1.Выбор плиты'!M:M,SMALL(INDIRECT("мм"&amp;VLOOKUP(C7,'Шаг1.Выбор плиты'!C:Q,12,0)),1)))))))</f>
        <v/>
      </c>
      <c r="I7" s="147" t="str">
        <f ca="1">IFERROR(IFERROR(IF(VLOOKUP($A7,'Шаг2.Бланк заказа NEW'!$B$17:$N$201,6,0)="","",VLOOKUP($A7,'Шаг2.Бланк заказа NEW'!$B$17:$N$201,6,0)),
IF(VLOOKUP($A7-COUNT('Шаг2.Бланк заказа NEW'!$B$19:$B$201),'Бланк OLD 0.8 04'!$B$12:$K$200,6,0)="","",VLOOKUP($A7-COUNT('Шаг2.Бланк заказа NEW'!$B$19:$B$201),'Бланк OLD 0.8 04'!$B$12:$K$200,6,0))),
IF(VLOOKUP($A7-COUNT('Шаг2.Бланк заказа NEW'!$B$19:$B$201)-COUNT('Бланк OLD 0.8 04'!$B$18:$B$200),'Бланк OLD 2.0 04 '!$B$16:$K$200,6,0)="","",VLOOKUP($A7-COUNT('Шаг2.Бланк заказа NEW'!$B$19:$B$201)-COUNT('Бланк OLD 0.8 04'!$B$18:$B$200),'Бланк OLD 2.0 04 '!$B$16:$K$200,6,0)))</f>
        <v/>
      </c>
      <c r="J7" s="177" t="str">
        <f ca="1">IF(IF(T7="","",IF(T7=1,SUMIFS('Шаг1.Выбор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плиты'!C:Q,12,0)),1))))))=0,
T7,
IF(T7="","",IF(T7=1,SUMIFS('Шаг1.Выбор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плиты'!N:N,T7,'Шаг1.Выбор плиты'!M:M,SMALL(INDIRECT("мм"&amp;VLOOKUP(C7,'Шаг1.Выбор плиты'!C:Q,12,0)),1)))))))</f>
        <v/>
      </c>
      <c r="K7" s="177" t="str">
        <f ca="1">IF(IF(U7="","",IF(U7=1,SUMIFS('Шаг1.Выбор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плиты'!C:Q,12,0)),1))))))=0,
U7,
IF(U7="","",IF(U7=1,SUMIFS('Шаг1.Выбор плиты'!$G:$G,'Шаг1.Выбор плиты'!J:J,"*"&amp;RIGHT(VLOOKUP(C7,'Шаг1.Выбор плиты'!C:Q,8,0),4),'Шаг1.Выбор плиты'!L:L,IF(MID(C7,1,6)="ЛДСП P","TM"&amp;MID(VLOOKUP(C7,'Шаг1.Выбор плиты'!C:Q,10,0),3,2),MID(VLOOKUP(C7,'Шаг1.Выбор плиты'!C:Q,10,0),1,2)),
'Шаг1.Выбор плиты'!N:N,1),IF(SUMIFS('Шаг1.Выбор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плиты'!C:Q,12,0)),1))=0,
IF(SUMIFS('Шаг1.Выбор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плиты'!C:Q,12,0)),2))=0,
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плиты'!C:Q,12,0)),3)),
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плиты'!C:Q,12,0)),2))),
(SUMIFS('Шаг1.Выбор плиты'!$G:$G,'Шаг1.Выбор плиты'!J:J,"*"&amp;RIGHT(VLOOKUP(C7,'Шаг1.Выбор плиты'!C:Q,8,0),4),'Шаг1.Выбор плиты'!L:L,VLOOKUP(C7,'Шаг1.Выбор плиты'!C:Q,10,0),'Шаг1.Выбор плиты'!N:N,U7,'Шаг1.Выбор плиты'!M:M,SMALL(INDIRECT("мм"&amp;VLOOKUP(C7,'Шаг1.Выбор плиты'!C:Q,12,0)),1)))))))</f>
        <v/>
      </c>
      <c r="L7" s="147" t="str">
        <f ca="1">IFERROR(IFERROR(IF(VLOOKUP($A7,'Шаг2.Бланк заказа NEW'!$B$17:$N$201,9,0)="","",VLOOKUP($A7,'Шаг2.Бланк заказа NEW'!$B$17:$N$201,9,0)),
IF(VLOOKUP($A7-COUNT('Шаг2.Бланк заказа NEW'!$B$19:$B$201),'Бланк OLD 0.8 04'!$B$12:$K$200,9,0)="","",VLOOKUP($A7-COUNT('Шаг2.Бланк заказа NEW'!$B$19:$B$201),'Бланк OLD 0.8 04'!$B$12:$K$200,9,0))),
IF(VLOOKUP($A7-COUNT('Шаг2.Бланк заказа NEW'!$B$19:$B$201)-COUNT('Бланк OLD 0.8 04'!$B$18:$B$200),'Бланк OLD 2.0 04 '!$B$16:$K$200,9,0)="","",VLOOKUP($A7-COUNT('Шаг2.Бланк заказа NEW'!$B$19:$B$201)-COUNT('Бланк OLD 0.8 04'!$B$18:$B$200),'Бланк OLD 2.0 04 '!$B$16:$K$200,9,0)))</f>
        <v/>
      </c>
      <c r="M7" s="154" t="str">
        <f t="shared" ca="1" si="0"/>
        <v/>
      </c>
      <c r="N7" s="153" t="str">
        <f ca="1">IFERROR(IF(VLOOKUP($A7,'Шаг2.Бланк заказа NEW'!$B$17:$N$201,11,0)="","",VLOOKUP($A7,'Шаг2.Бланк заказа NEW'!$B$17:$N$201,11,0)),
"Нет")</f>
        <v/>
      </c>
      <c r="O7" s="147" t="str">
        <f ca="1">IFERROR(IF(VLOOKUP($A7,'Шаг2.Бланк заказа NEW'!$B$17:$N$201,11,0)="","",VLOOKUP($A7,'Шаг2.Бланк заказа NEW'!$B$17:$N$201,12,0)),
"Нет")</f>
        <v/>
      </c>
      <c r="P7" s="153" t="str">
        <f ca="1">IFERROR(IF(VLOOKUP($A7,'Шаг2.Бланк заказа NEW'!$B$17:$N$201,13,0)="","",VLOOKUP($A7,'Шаг2.Бланк заказа NEW'!$B$17:$N$201,13,0)),
"Нет")</f>
        <v/>
      </c>
      <c r="Q7" s="147" t="str">
        <f ca="1">IFERROR(IF(VLOOKUP($A7,'Шаг2.Бланк заказа NEW'!$B$17:$O$201,14,0)="","",VLOOKUP($A7,'Шаг2.Бланк заказа NEW'!$B$17:$O$201,14,0)),"")</f>
        <v/>
      </c>
      <c r="R7" s="147" t="str">
        <f ca="1">IFERROR(IFERROR(IF(VLOOKUP($A7,'Шаг2.Бланк заказа NEW'!$B$17:$N$201,4,0)="","",VLOOKUP($A7,'Шаг2.Бланк заказа NEW'!$B$17:$N$201,4,0)),
IF(VLOOKUP($A7-COUNT('Шаг2.Бланк заказа NEW'!$B$19:$B$201),'Бланк OLD 0.8 04'!$B$12:$K$200,4,0)&gt;0,0.8,
IF(VLOOKUP($A7-COUNT('Шаг2.Бланк заказа NEW'!$B$19:$B$201),'Бланк OLD 0.8 04'!$B$12:$K$200,5,0)&gt;0,0.4,""))),
IF(VLOOKUP($A7-COUNT('Шаг2.Бланк заказа NEW'!$B$19:$B$201)-COUNT('Бланк OLD 0.8 04'!$B$18:$B$200),'Бланк OLD 2.0 04 '!$B$16:$K$200,4,0)&gt;0,2,IF(VLOOKUP($A7-COUNT('Шаг2.Бланк заказа NEW'!$B$19:$B$201)-COUNT('Бланк OLD 0.8 04'!$B$18:$B$200),'Бланк OLD 2.0 04 '!$B$16:$K$200,5,0)&gt;0,0.4,"")))</f>
        <v/>
      </c>
      <c r="S7" s="147" t="str">
        <f ca="1">IFERROR(IFERROR(IF(VLOOKUP($A7,'Шаг2.Бланк заказа NEW'!$B$17:$N$201,5,0)="","",VLOOKUP($A7,'Шаг2.Бланк заказа NEW'!$B$17:$N$201,5,0)),
IF(VLOOKUP($A7-COUNT('Шаг2.Бланк заказа NEW'!$B$19:$B$201),'Бланк OLD 0.8 04'!$B$12:$K$200,4,0)&gt;1,0.8,
IF(VLOOKUP($A7-COUNT('Шаг2.Бланк заказа NEW'!$B$19:$B$201),'Бланк OLD 0.8 04'!$B$12:$K$200,5,0)&gt;1,0.4,
IF(AND(VLOOKUP($A7-COUNT('Шаг2.Бланк заказа NEW'!$B$19:$B$201),'Бланк OLD 0.8 04'!$B$12:$K$200,4,0)&gt;0,VLOOKUP($A7-COUNT('Шаг2.Бланк заказа NEW'!$B$19:$B$201),'Бланк OLD 0.8 04'!$B$12:$K$200,5,0)&gt;0),0.4,"")))),
IF(VLOOKUP($A7-COUNT('Шаг2.Бланк заказа NEW'!$B$19:$B$201)-COUNT('Бланк OLD 0.8 04'!$B$18:$B$200),'Бланк OLD 2.0 04 '!$B$16:$K$200,4,0)&gt;1,2,
IF(VLOOKUP($A7-COUNT('Шаг2.Бланк заказа NEW'!$B$19:$B$201)-COUNT('Бланк OLD 0.8 04'!$B$18:$B$200),'Бланк OLD 2.0 04 '!$B$16:$K$200,5,0)&gt;1,0.4,IF(AND(VLOOKUP($A7-COUNT('Шаг2.Бланк заказа NEW'!$B$19:$B$201)-COUNT('Бланк OLD 0.8 04'!$B$18:$B$200),'Бланк OLD 2.0 04 '!$B$16:$K$200,4,0)&gt;0,VLOOKUP($A7-COUNT('Шаг2.Бланк заказа NEW'!$B$19:$B$201)-COUNT('Бланк OLD 0.8 04'!$B$18:$B$200),'Бланк OLD 2.0 04 '!$B$16:$K$200,5,0)&gt;0),0.4,""))))</f>
        <v/>
      </c>
      <c r="T7" s="147" t="str">
        <f ca="1">IFERROR(IFERROR(IF(VLOOKUP($A7,'Шаг2.Бланк заказа NEW'!$B$17:$N$201,7,0)="","",VLOOKUP($A7,'Шаг2.Бланк заказа NEW'!$B$17:$N$201,7,0)),
IF(VLOOKUP($A7-COUNT('Шаг2.Бланк заказа NEW'!$B$19:$B$201),'Бланк OLD 0.8 04'!$B$12:$K$200,7,0)&gt;0,0.8,
IF(VLOOKUP($A7-COUNT('Шаг2.Бланк заказа NEW'!$B$19:$B$201),'Бланк OLD 0.8 04'!$B$12:$K$200,8,0)&gt;0,0.4,""))),
IF(VLOOKUP($A7-COUNT('Шаг2.Бланк заказа NEW'!$B$19:$B$201)-COUNT('Бланк OLD 0.8 04'!$B$18:$B$200),'Бланк OLD 2.0 04 '!$B$16:$K$200,7,0)&gt;0,2,IF(VLOOKUP($A7-COUNT('Шаг2.Бланк заказа NEW'!$B$19:$B$201)-COUNT('Бланк OLD 0.8 04'!$B$18:$B$200),'Бланк OLD 2.0 04 '!$B$16:$K$200,8,0)&gt;0,0.4,"")))</f>
        <v/>
      </c>
      <c r="U7" s="147" t="str">
        <f ca="1">IFERROR(IFERROR(IF(VLOOKUP($A7,'Шаг2.Бланк заказа NEW'!$B$17:$N$201,8,0)="","",VLOOKUP($A7,'Шаг2.Бланк заказа NEW'!$B$17:$N$201,8,0)),
IF(VLOOKUP($A7-COUNT('Шаг2.Бланк заказа NEW'!$B$19:$B$201),'Бланк OLD 0.8 04'!$B$12:$K$200,7,0)&gt;1,0.8,
IF(VLOOKUP($A7-COUNT('Шаг2.Бланк заказа NEW'!$B$19:$B$201),'Бланк OLD 0.8 04'!$B$12:$K$200,8,0)&gt;1,0.4,
IF(AND(VLOOKUP($A7-COUNT('Шаг2.Бланк заказа NEW'!$B$19:$B$201),'Бланк OLD 0.8 04'!$B$12:$K$200,7,0)&gt;0,VLOOKUP($A7-COUNT('Шаг2.Бланк заказа NEW'!$B$19:$B$201),'Бланк OLD 0.8 04'!$B$12:$K$200,8,0)&gt;0),0.4,"")))),
IF(VLOOKUP($A7-COUNT('Шаг2.Бланк заказа NEW'!$B$19:$B$201)-COUNT('Бланк OLD 0.8 04'!$B$18:$B$200),'Бланк OLD 2.0 04 '!$B$16:$K$200,7,0)&gt;1,2,
IF(VLOOKUP($A7-COUNT('Шаг2.Бланк заказа NEW'!$B$19:$B$201)-COUNT('Бланк OLD 0.8 04'!$B$18:$B$200),'Бланк OLD 2.0 04 '!$B$16:$K$200,8,0)&gt;1,0.4,
IF(AND(VLOOKUP($A7-COUNT('Шаг2.Бланк заказа NEW'!$B$19:$B$201)-COUNT('Бланк OLD 0.8 04'!$B$18:$B$200),'Бланк OLD 2.0 04 '!$B$16:$K$200,7,0)&gt;0,VLOOKUP($A7-COUNT('Шаг2.Бланк заказа NEW'!$B$19:$B$201)-COUNT('Бланк OLD 0.8 04'!$B$18:$B$200),'Бланк OLD 2.0 04 '!$B$16:$K$200,8,0)&gt;0),0.4,""))))</f>
        <v/>
      </c>
      <c r="V7" s="146" t="str">
        <f ca="1">IFERROR(VLOOKUP(C7,'Шаг1.Выбор плиты'!C:S,12,0),"")</f>
        <v/>
      </c>
      <c r="W7" s="146" t="str">
        <f ca="1">IFERROR(VLOOKUP(C7,'Шаг1.Выбор плиты'!C:S,8,0),"")</f>
        <v/>
      </c>
      <c r="X7" s="146" t="str">
        <f ca="1">IFERROR(VLOOKUP(C7,'Шаг1.Выбор плиты'!C:S,10,0),"")</f>
        <v/>
      </c>
      <c r="Y7" s="147" t="str">
        <f t="shared" ca="1" si="1"/>
        <v/>
      </c>
      <c r="Z7" s="25">
        <f>IF('Шаг2.Бланк заказа NEW'!O13="",IF('Бланк OLD 0.8 04'!J10:J10="",'Бланк OLD 2.0 04 '!J10:J10,'Бланк OLD 0.8 04'!J10:J10),'Шаг2.Бланк заказа NEW'!O13)</f>
        <v>0</v>
      </c>
      <c r="AD7" s="147" t="str">
        <f t="shared" ca="1" si="2"/>
        <v/>
      </c>
      <c r="AE7" s="147" t="str">
        <f t="shared" ca="1" si="3"/>
        <v/>
      </c>
      <c r="AH7" s="147" t="str">
        <f ca="1">IF(C7="","",VLOOKUP(C7,'Шаг1.Выбор плиты'!C:Q,7,0))</f>
        <v/>
      </c>
      <c r="AI7" s="147" t="str">
        <f t="shared" ca="1" si="4"/>
        <v/>
      </c>
    </row>
    <row r="8" spans="1:35" x14ac:dyDescent="0.2">
      <c r="A8" s="151" t="str">
        <f ca="1">IF(C8="","",MAX($A$1:OFFSET(C8,-1,0))+1)</f>
        <v/>
      </c>
      <c r="B8" s="151" t="str">
        <f ca="1">IFERROR(IFERROR(IFERROR("Шаг2.Бланк заказа NEW №"&amp;VLOOKUP(A7+1,CHOOSE({1,2},'Шаг2.Бланк заказа NEW'!$B$19:$B$201,'Шаг2.Бланк заказа NEW'!$A$19:$A$201),1,0),
"Бланк OLD 0.8 04 №"&amp;VLOOKUP(A7+1-COUNT('Шаг2.Бланк заказа NEW'!$B$19:$B$201),CHOOSE({1,2},'Бланк OLD 0.8 04'!$B$18:$B$200,'Бланк OLD 0.8 04'!$A$18:$A$200),1,0)),
"Бланк OLD 2.0 04 №"&amp;VLOOKUP(A7+1-COUNT('Шаг2.Бланк заказа NEW'!$B$19:$B$201)-COUNT('Бланк OLD 0.8 04'!$B$18:$B$200),CHOOSE({1,2},'Бланк OLD 2.0 04 '!$B$18:$B$200,'Бланк OLD 2.0 04 '!$A$18:$A$200),1,0)),"")</f>
        <v/>
      </c>
      <c r="C8" s="152" t="str">
        <f ca="1">IFERROR(IFERROR(IFERROR(VLOOKUP(A7+1,CHOOSE({1,2},'Шаг2.Бланк заказа NEW'!$B$19:$B$201,'Шаг2.Бланк заказа NEW'!$A$19:$A$201),2,0),
VLOOKUP(A7+1-COUNT('Шаг2.Бланк заказа NEW'!$B$19:$B$201),CHOOSE({1,2},'Бланк OLD 0.8 04'!$B$18:$B$200,'Бланк OLD 0.8 04'!$A$18:$A$200),2,0)),
VLOOKUP(A7+1-COUNT('Шаг2.Бланк заказа NEW'!$B$19:$B$201)-COUNT('Бланк OLD 0.8 04'!$B$18:$B$200),CHOOSE({1,2},'Бланк OLD 2.0 04 '!$B$18:$B$200,'Бланк OLD 2.0 04 '!$A$18:$A$200),2,0)),"")</f>
        <v/>
      </c>
      <c r="D8" s="150" t="str">
        <f ca="1">IFERROR(VLOOKUP(C8,'Шаг1.Выбор плиты'!C:G,5,0),"")</f>
        <v/>
      </c>
      <c r="E8" s="147" t="str">
        <f ca="1">IFERROR(IFERROR(IF(VLOOKUP($A8,'Шаг2.Бланк заказа NEW'!$B$17:$N$201,2,0)="","",VLOOKUP($A8,'Шаг2.Бланк заказа NEW'!$B$17:$N$201,2,0)),
IF(VLOOKUP($A8-COUNT('Шаг2.Бланк заказа NEW'!$B$19:$B$201),'Бланк OLD 0.8 04'!$B$12:$K$200,2,0)="","",VLOOKUP($A8-COUNT('Шаг2.Бланк заказа NEW'!$B$19:$B$201),'Бланк OLD 0.8 04'!$B$12:$K$200,2,0))),
IF(VLOOKUP($A8-COUNT('Шаг2.Бланк заказа NEW'!$B$19:$B$201)-COUNT('Бланк OLD 0.8 04'!$B$18:$B$200),'Бланк OLD 2.0 04 '!$B$16:$K$200,2,0)="","",VLOOKUP($A8-COUNT('Шаг2.Бланк заказа NEW'!$B$19:$B$201)-COUNT('Бланк OLD 0.8 04'!$B$18:$B$200),'Бланк OLD 2.0 04 '!$B$16:$K$200,2,0)))</f>
        <v/>
      </c>
      <c r="F8" s="147" t="str">
        <f ca="1">IFERROR(IFERROR(IF(VLOOKUP($A8,'Шаг2.Бланк заказа NEW'!$B$17:$N$201,3,0)="","",VLOOKUP($A8,'Шаг2.Бланк заказа NEW'!$B$17:$N$201,3,0)),
IF(VLOOKUP($A8-COUNT('Шаг2.Бланк заказа NEW'!$B$19:$B$201),'Бланк OLD 0.8 04'!$B$12:$K$200,3,0)="","",VLOOKUP($A8-COUNT('Шаг2.Бланк заказа NEW'!$B$19:$B$201),'Бланк OLD 0.8 04'!$B$12:$K$200,3,0))),
IF(VLOOKUP($A8-COUNT('Шаг2.Бланк заказа NEW'!$B$19:$B$201)-COUNT('Бланк OLD 0.8 04'!$B$18:$B$200),'Бланк OLD 2.0 04 '!$B$16:$K$200,3,0)="","",VLOOKUP($A8-COUNT('Шаг2.Бланк заказа NEW'!$B$19:$B$201)-COUNT('Бланк OLD 0.8 04'!$B$18:$B$200),'Бланк OLD 2.0 04 '!$B$16:$K$200,3,0)))</f>
        <v/>
      </c>
      <c r="G8" s="176" t="str">
        <f ca="1">IF(IF(R8="","",IF(R8=1,SUMIFS('Шаг1.Выбор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плиты'!C:Q,12,0)),1))))))=0,
R8,
IF(R8="","",IF(R8=1,SUMIFS('Шаг1.Выбор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плиты'!N:N,R8,'Шаг1.Выбор плиты'!M:M,SMALL(INDIRECT("мм"&amp;VLOOKUP(C8,'Шаг1.Выбор плиты'!C:Q,12,0)),1)))))))</f>
        <v/>
      </c>
      <c r="H8" s="177" t="str">
        <f ca="1">IF(IF(S8="","",IF(S8=1,SUMIFS('Шаг1.Выбор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плиты'!C:Q,12,0)),1))))))=0,
S8,
IF(S8="","",IF(S8=1,SUMIFS('Шаг1.Выбор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плиты'!N:N,S8,'Шаг1.Выбор плиты'!M:M,SMALL(INDIRECT("мм"&amp;VLOOKUP(C8,'Шаг1.Выбор плиты'!C:Q,12,0)),1)))))))</f>
        <v/>
      </c>
      <c r="I8" s="147" t="str">
        <f ca="1">IFERROR(IFERROR(IF(VLOOKUP($A8,'Шаг2.Бланк заказа NEW'!$B$17:$N$201,6,0)="","",VLOOKUP($A8,'Шаг2.Бланк заказа NEW'!$B$17:$N$201,6,0)),
IF(VLOOKUP($A8-COUNT('Шаг2.Бланк заказа NEW'!$B$19:$B$201),'Бланк OLD 0.8 04'!$B$12:$K$200,6,0)="","",VLOOKUP($A8-COUNT('Шаг2.Бланк заказа NEW'!$B$19:$B$201),'Бланк OLD 0.8 04'!$B$12:$K$200,6,0))),
IF(VLOOKUP($A8-COUNT('Шаг2.Бланк заказа NEW'!$B$19:$B$201)-COUNT('Бланк OLD 0.8 04'!$B$18:$B$200),'Бланк OLD 2.0 04 '!$B$16:$K$200,6,0)="","",VLOOKUP($A8-COUNT('Шаг2.Бланк заказа NEW'!$B$19:$B$201)-COUNT('Бланк OLD 0.8 04'!$B$18:$B$200),'Бланк OLD 2.0 04 '!$B$16:$K$200,6,0)))</f>
        <v/>
      </c>
      <c r="J8" s="177" t="str">
        <f ca="1">IF(IF(T8="","",IF(T8=1,SUMIFS('Шаг1.Выбор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плиты'!C:Q,12,0)),1))))))=0,
T8,
IF(T8="","",IF(T8=1,SUMIFS('Шаг1.Выбор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плиты'!N:N,T8,'Шаг1.Выбор плиты'!M:M,SMALL(INDIRECT("мм"&amp;VLOOKUP(C8,'Шаг1.Выбор плиты'!C:Q,12,0)),1)))))))</f>
        <v/>
      </c>
      <c r="K8" s="177" t="str">
        <f ca="1">IF(IF(U8="","",IF(U8=1,SUMIFS('Шаг1.Выбор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плиты'!C:Q,12,0)),1))))))=0,
U8,
IF(U8="","",IF(U8=1,SUMIFS('Шаг1.Выбор плиты'!$G:$G,'Шаг1.Выбор плиты'!J:J,"*"&amp;RIGHT(VLOOKUP(C8,'Шаг1.Выбор плиты'!C:Q,8,0),4),'Шаг1.Выбор плиты'!L:L,IF(MID(C8,1,6)="ЛДСП P","TM"&amp;MID(VLOOKUP(C8,'Шаг1.Выбор плиты'!C:Q,10,0),3,2),MID(VLOOKUP(C8,'Шаг1.Выбор плиты'!C:Q,10,0),1,2)),
'Шаг1.Выбор плиты'!N:N,1),IF(SUMIFS('Шаг1.Выбор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плиты'!C:Q,12,0)),1))=0,
IF(SUMIFS('Шаг1.Выбор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плиты'!C:Q,12,0)),2))=0,
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плиты'!C:Q,12,0)),3)),
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плиты'!C:Q,12,0)),2))),
(SUMIFS('Шаг1.Выбор плиты'!$G:$G,'Шаг1.Выбор плиты'!J:J,"*"&amp;RIGHT(VLOOKUP(C8,'Шаг1.Выбор плиты'!C:Q,8,0),4),'Шаг1.Выбор плиты'!L:L,VLOOKUP(C8,'Шаг1.Выбор плиты'!C:Q,10,0),'Шаг1.Выбор плиты'!N:N,U8,'Шаг1.Выбор плиты'!M:M,SMALL(INDIRECT("мм"&amp;VLOOKUP(C8,'Шаг1.Выбор плиты'!C:Q,12,0)),1)))))))</f>
        <v/>
      </c>
      <c r="L8" s="147" t="str">
        <f ca="1">IFERROR(IFERROR(IF(VLOOKUP($A8,'Шаг2.Бланк заказа NEW'!$B$17:$N$201,9,0)="","",VLOOKUP($A8,'Шаг2.Бланк заказа NEW'!$B$17:$N$201,9,0)),
IF(VLOOKUP($A8-COUNT('Шаг2.Бланк заказа NEW'!$B$19:$B$201),'Бланк OLD 0.8 04'!$B$12:$K$200,9,0)="","",VLOOKUP($A8-COUNT('Шаг2.Бланк заказа NEW'!$B$19:$B$201),'Бланк OLD 0.8 04'!$B$12:$K$200,9,0))),
IF(VLOOKUP($A8-COUNT('Шаг2.Бланк заказа NEW'!$B$19:$B$201)-COUNT('Бланк OLD 0.8 04'!$B$18:$B$200),'Бланк OLD 2.0 04 '!$B$16:$K$200,9,0)="","",VLOOKUP($A8-COUNT('Шаг2.Бланк заказа NEW'!$B$19:$B$201)-COUNT('Бланк OLD 0.8 04'!$B$18:$B$200),'Бланк OLD 2.0 04 '!$B$16:$K$200,9,0)))</f>
        <v/>
      </c>
      <c r="M8" s="154" t="str">
        <f t="shared" ca="1" si="0"/>
        <v/>
      </c>
      <c r="N8" s="153" t="str">
        <f ca="1">IFERROR(IF(VLOOKUP($A8,'Шаг2.Бланк заказа NEW'!$B$17:$N$201,11,0)="","",VLOOKUP($A8,'Шаг2.Бланк заказа NEW'!$B$17:$N$201,11,0)),
"Нет")</f>
        <v/>
      </c>
      <c r="O8" s="147" t="str">
        <f ca="1">IFERROR(IF(VLOOKUP($A8,'Шаг2.Бланк заказа NEW'!$B$17:$N$201,11,0)="","",VLOOKUP($A8,'Шаг2.Бланк заказа NEW'!$B$17:$N$201,12,0)),
"Нет")</f>
        <v/>
      </c>
      <c r="P8" s="153" t="str">
        <f ca="1">IFERROR(IF(VLOOKUP($A8,'Шаг2.Бланк заказа NEW'!$B$17:$N$201,13,0)="","",VLOOKUP($A8,'Шаг2.Бланк заказа NEW'!$B$17:$N$201,13,0)),
"Нет")</f>
        <v/>
      </c>
      <c r="Q8" s="147" t="str">
        <f ca="1">IFERROR(IF(VLOOKUP($A8,'Шаг2.Бланк заказа NEW'!$B$17:$O$201,14,0)="","",VLOOKUP($A8,'Шаг2.Бланк заказа NEW'!$B$17:$O$201,14,0)),"")</f>
        <v/>
      </c>
      <c r="R8" s="147" t="str">
        <f ca="1">IFERROR(IFERROR(IF(VLOOKUP($A8,'Шаг2.Бланк заказа NEW'!$B$17:$N$201,4,0)="","",VLOOKUP($A8,'Шаг2.Бланк заказа NEW'!$B$17:$N$201,4,0)),
IF(VLOOKUP($A8-COUNT('Шаг2.Бланк заказа NEW'!$B$19:$B$201),'Бланк OLD 0.8 04'!$B$12:$K$200,4,0)&gt;0,0.8,
IF(VLOOKUP($A8-COUNT('Шаг2.Бланк заказа NEW'!$B$19:$B$201),'Бланк OLD 0.8 04'!$B$12:$K$200,5,0)&gt;0,0.4,""))),
IF(VLOOKUP($A8-COUNT('Шаг2.Бланк заказа NEW'!$B$19:$B$201)-COUNT('Бланк OLD 0.8 04'!$B$18:$B$200),'Бланк OLD 2.0 04 '!$B$16:$K$200,4,0)&gt;0,2,IF(VLOOKUP($A8-COUNT('Шаг2.Бланк заказа NEW'!$B$19:$B$201)-COUNT('Бланк OLD 0.8 04'!$B$18:$B$200),'Бланк OLD 2.0 04 '!$B$16:$K$200,5,0)&gt;0,0.4,"")))</f>
        <v/>
      </c>
      <c r="S8" s="147" t="str">
        <f ca="1">IFERROR(IFERROR(IF(VLOOKUP($A8,'Шаг2.Бланк заказа NEW'!$B$17:$N$201,5,0)="","",VLOOKUP($A8,'Шаг2.Бланк заказа NEW'!$B$17:$N$201,5,0)),
IF(VLOOKUP($A8-COUNT('Шаг2.Бланк заказа NEW'!$B$19:$B$201),'Бланк OLD 0.8 04'!$B$12:$K$200,4,0)&gt;1,0.8,
IF(VLOOKUP($A8-COUNT('Шаг2.Бланк заказа NEW'!$B$19:$B$201),'Бланк OLD 0.8 04'!$B$12:$K$200,5,0)&gt;1,0.4,
IF(AND(VLOOKUP($A8-COUNT('Шаг2.Бланк заказа NEW'!$B$19:$B$201),'Бланк OLD 0.8 04'!$B$12:$K$200,4,0)&gt;0,VLOOKUP($A8-COUNT('Шаг2.Бланк заказа NEW'!$B$19:$B$201),'Бланк OLD 0.8 04'!$B$12:$K$200,5,0)&gt;0),0.4,"")))),
IF(VLOOKUP($A8-COUNT('Шаг2.Бланк заказа NEW'!$B$19:$B$201)-COUNT('Бланк OLD 0.8 04'!$B$18:$B$200),'Бланк OLD 2.0 04 '!$B$16:$K$200,4,0)&gt;1,2,
IF(VLOOKUP($A8-COUNT('Шаг2.Бланк заказа NEW'!$B$19:$B$201)-COUNT('Бланк OLD 0.8 04'!$B$18:$B$200),'Бланк OLD 2.0 04 '!$B$16:$K$200,5,0)&gt;1,0.4,IF(AND(VLOOKUP($A8-COUNT('Шаг2.Бланк заказа NEW'!$B$19:$B$201)-COUNT('Бланк OLD 0.8 04'!$B$18:$B$200),'Бланк OLD 2.0 04 '!$B$16:$K$200,4,0)&gt;0,VLOOKUP($A8-COUNT('Шаг2.Бланк заказа NEW'!$B$19:$B$201)-COUNT('Бланк OLD 0.8 04'!$B$18:$B$200),'Бланк OLD 2.0 04 '!$B$16:$K$200,5,0)&gt;0),0.4,""))))</f>
        <v/>
      </c>
      <c r="T8" s="147" t="str">
        <f ca="1">IFERROR(IFERROR(IF(VLOOKUP($A8,'Шаг2.Бланк заказа NEW'!$B$17:$N$201,7,0)="","",VLOOKUP($A8,'Шаг2.Бланк заказа NEW'!$B$17:$N$201,7,0)),
IF(VLOOKUP($A8-COUNT('Шаг2.Бланк заказа NEW'!$B$19:$B$201),'Бланк OLD 0.8 04'!$B$12:$K$200,7,0)&gt;0,0.8,
IF(VLOOKUP($A8-COUNT('Шаг2.Бланк заказа NEW'!$B$19:$B$201),'Бланк OLD 0.8 04'!$B$12:$K$200,8,0)&gt;0,0.4,""))),
IF(VLOOKUP($A8-COUNT('Шаг2.Бланк заказа NEW'!$B$19:$B$201)-COUNT('Бланк OLD 0.8 04'!$B$18:$B$200),'Бланк OLD 2.0 04 '!$B$16:$K$200,7,0)&gt;0,2,IF(VLOOKUP($A8-COUNT('Шаг2.Бланк заказа NEW'!$B$19:$B$201)-COUNT('Бланк OLD 0.8 04'!$B$18:$B$200),'Бланк OLD 2.0 04 '!$B$16:$K$200,8,0)&gt;0,0.4,"")))</f>
        <v/>
      </c>
      <c r="U8" s="147" t="str">
        <f ca="1">IFERROR(IFERROR(IF(VLOOKUP($A8,'Шаг2.Бланк заказа NEW'!$B$17:$N$201,8,0)="","",VLOOKUP($A8,'Шаг2.Бланк заказа NEW'!$B$17:$N$201,8,0)),
IF(VLOOKUP($A8-COUNT('Шаг2.Бланк заказа NEW'!$B$19:$B$201),'Бланк OLD 0.8 04'!$B$12:$K$200,7,0)&gt;1,0.8,
IF(VLOOKUP($A8-COUNT('Шаг2.Бланк заказа NEW'!$B$19:$B$201),'Бланк OLD 0.8 04'!$B$12:$K$200,8,0)&gt;1,0.4,
IF(AND(VLOOKUP($A8-COUNT('Шаг2.Бланк заказа NEW'!$B$19:$B$201),'Бланк OLD 0.8 04'!$B$12:$K$200,7,0)&gt;0,VLOOKUP($A8-COUNT('Шаг2.Бланк заказа NEW'!$B$19:$B$201),'Бланк OLD 0.8 04'!$B$12:$K$200,8,0)&gt;0),0.4,"")))),
IF(VLOOKUP($A8-COUNT('Шаг2.Бланк заказа NEW'!$B$19:$B$201)-COUNT('Бланк OLD 0.8 04'!$B$18:$B$200),'Бланк OLD 2.0 04 '!$B$16:$K$200,7,0)&gt;1,2,
IF(VLOOKUP($A8-COUNT('Шаг2.Бланк заказа NEW'!$B$19:$B$201)-COUNT('Бланк OLD 0.8 04'!$B$18:$B$200),'Бланк OLD 2.0 04 '!$B$16:$K$200,8,0)&gt;1,0.4,
IF(AND(VLOOKUP($A8-COUNT('Шаг2.Бланк заказа NEW'!$B$19:$B$201)-COUNT('Бланк OLD 0.8 04'!$B$18:$B$200),'Бланк OLD 2.0 04 '!$B$16:$K$200,7,0)&gt;0,VLOOKUP($A8-COUNT('Шаг2.Бланк заказа NEW'!$B$19:$B$201)-COUNT('Бланк OLD 0.8 04'!$B$18:$B$200),'Бланк OLD 2.0 04 '!$B$16:$K$200,8,0)&gt;0),0.4,""))))</f>
        <v/>
      </c>
      <c r="V8" s="146" t="str">
        <f ca="1">IFERROR(VLOOKUP(C8,'Шаг1.Выбор плиты'!C:S,12,0),"")</f>
        <v/>
      </c>
      <c r="W8" s="146" t="str">
        <f ca="1">IFERROR(VLOOKUP(C8,'Шаг1.Выбор плиты'!C:S,8,0),"")</f>
        <v/>
      </c>
      <c r="X8" s="146" t="str">
        <f ca="1">IFERROR(VLOOKUP(C8,'Шаг1.Выбор плиты'!C:S,10,0),"")</f>
        <v/>
      </c>
      <c r="Y8" s="147" t="str">
        <f t="shared" ca="1" si="1"/>
        <v/>
      </c>
      <c r="AD8" s="147" t="str">
        <f t="shared" ca="1" si="2"/>
        <v/>
      </c>
      <c r="AE8" s="147" t="str">
        <f t="shared" ca="1" si="3"/>
        <v/>
      </c>
      <c r="AH8" s="147" t="str">
        <f ca="1">IF(C8="","",VLOOKUP(C8,'Шаг1.Выбор плиты'!C:Q,7,0))</f>
        <v/>
      </c>
      <c r="AI8" s="147" t="str">
        <f t="shared" ca="1" si="4"/>
        <v/>
      </c>
    </row>
    <row r="9" spans="1:35" x14ac:dyDescent="0.2">
      <c r="A9" s="151" t="str">
        <f ca="1">IF(C9="","",MAX($A$1:OFFSET(C9,-1,0))+1)</f>
        <v/>
      </c>
      <c r="B9" s="151" t="str">
        <f ca="1">IFERROR(IFERROR(IFERROR("Шаг2.Бланк заказа NEW №"&amp;VLOOKUP(A8+1,CHOOSE({1,2},'Шаг2.Бланк заказа NEW'!$B$19:$B$201,'Шаг2.Бланк заказа NEW'!$A$19:$A$201),1,0),
"Бланк OLD 0.8 04 №"&amp;VLOOKUP(A8+1-COUNT('Шаг2.Бланк заказа NEW'!$B$19:$B$201),CHOOSE({1,2},'Бланк OLD 0.8 04'!$B$18:$B$200,'Бланк OLD 0.8 04'!$A$18:$A$200),1,0)),
"Бланк OLD 2.0 04 №"&amp;VLOOKUP(A8+1-COUNT('Шаг2.Бланк заказа NEW'!$B$19:$B$201)-COUNT('Бланк OLD 0.8 04'!$B$18:$B$200),CHOOSE({1,2},'Бланк OLD 2.0 04 '!$B$18:$B$200,'Бланк OLD 2.0 04 '!$A$18:$A$200),1,0)),"")</f>
        <v/>
      </c>
      <c r="C9" s="152" t="str">
        <f ca="1">IFERROR(IFERROR(IFERROR(VLOOKUP(A8+1,CHOOSE({1,2},'Шаг2.Бланк заказа NEW'!$B$19:$B$201,'Шаг2.Бланк заказа NEW'!$A$19:$A$201),2,0),
VLOOKUP(A8+1-COUNT('Шаг2.Бланк заказа NEW'!$B$19:$B$201),CHOOSE({1,2},'Бланк OLD 0.8 04'!$B$18:$B$200,'Бланк OLD 0.8 04'!$A$18:$A$200),2,0)),
VLOOKUP(A8+1-COUNT('Шаг2.Бланк заказа NEW'!$B$19:$B$201)-COUNT('Бланк OLD 0.8 04'!$B$18:$B$200),CHOOSE({1,2},'Бланк OLD 2.0 04 '!$B$18:$B$200,'Бланк OLD 2.0 04 '!$A$18:$A$200),2,0)),"")</f>
        <v/>
      </c>
      <c r="D9" s="150" t="str">
        <f ca="1">IFERROR(VLOOKUP(C9,'Шаг1.Выбор плиты'!C:G,5,0),"")</f>
        <v/>
      </c>
      <c r="E9" s="147" t="str">
        <f ca="1">IFERROR(IFERROR(IF(VLOOKUP($A9,'Шаг2.Бланк заказа NEW'!$B$17:$N$201,2,0)="","",VLOOKUP($A9,'Шаг2.Бланк заказа NEW'!$B$17:$N$201,2,0)),
IF(VLOOKUP($A9-COUNT('Шаг2.Бланк заказа NEW'!$B$19:$B$201),'Бланк OLD 0.8 04'!$B$12:$K$200,2,0)="","",VLOOKUP($A9-COUNT('Шаг2.Бланк заказа NEW'!$B$19:$B$201),'Бланк OLD 0.8 04'!$B$12:$K$200,2,0))),
IF(VLOOKUP($A9-COUNT('Шаг2.Бланк заказа NEW'!$B$19:$B$201)-COUNT('Бланк OLD 0.8 04'!$B$18:$B$200),'Бланк OLD 2.0 04 '!$B$16:$K$200,2,0)="","",VLOOKUP($A9-COUNT('Шаг2.Бланк заказа NEW'!$B$19:$B$201)-COUNT('Бланк OLD 0.8 04'!$B$18:$B$200),'Бланк OLD 2.0 04 '!$B$16:$K$200,2,0)))</f>
        <v/>
      </c>
      <c r="F9" s="147" t="str">
        <f ca="1">IFERROR(IFERROR(IF(VLOOKUP($A9,'Шаг2.Бланк заказа NEW'!$B$17:$N$201,3,0)="","",VLOOKUP($A9,'Шаг2.Бланк заказа NEW'!$B$17:$N$201,3,0)),
IF(VLOOKUP($A9-COUNT('Шаг2.Бланк заказа NEW'!$B$19:$B$201),'Бланк OLD 0.8 04'!$B$12:$K$200,3,0)="","",VLOOKUP($A9-COUNT('Шаг2.Бланк заказа NEW'!$B$19:$B$201),'Бланк OLD 0.8 04'!$B$12:$K$200,3,0))),
IF(VLOOKUP($A9-COUNT('Шаг2.Бланк заказа NEW'!$B$19:$B$201)-COUNT('Бланк OLD 0.8 04'!$B$18:$B$200),'Бланк OLD 2.0 04 '!$B$16:$K$200,3,0)="","",VLOOKUP($A9-COUNT('Шаг2.Бланк заказа NEW'!$B$19:$B$201)-COUNT('Бланк OLD 0.8 04'!$B$18:$B$200),'Бланк OLD 2.0 04 '!$B$16:$K$200,3,0)))</f>
        <v/>
      </c>
      <c r="G9" s="176" t="str">
        <f ca="1">IF(IF(R9="","",IF(R9=1,SUMIFS('Шаг1.Выбор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плиты'!C:Q,12,0)),1))))))=0,
R9,
IF(R9="","",IF(R9=1,SUMIFS('Шаг1.Выбор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плиты'!N:N,R9,'Шаг1.Выбор плиты'!M:M,SMALL(INDIRECT("мм"&amp;VLOOKUP(C9,'Шаг1.Выбор плиты'!C:Q,12,0)),1)))))))</f>
        <v/>
      </c>
      <c r="H9" s="177" t="str">
        <f ca="1">IF(IF(S9="","",IF(S9=1,SUMIFS('Шаг1.Выбор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плиты'!C:Q,12,0)),1))))))=0,
S9,
IF(S9="","",IF(S9=1,SUMIFS('Шаг1.Выбор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плиты'!N:N,S9,'Шаг1.Выбор плиты'!M:M,SMALL(INDIRECT("мм"&amp;VLOOKUP(C9,'Шаг1.Выбор плиты'!C:Q,12,0)),1)))))))</f>
        <v/>
      </c>
      <c r="I9" s="147" t="str">
        <f ca="1">IFERROR(IFERROR(IF(VLOOKUP($A9,'Шаг2.Бланк заказа NEW'!$B$17:$N$201,6,0)="","",VLOOKUP($A9,'Шаг2.Бланк заказа NEW'!$B$17:$N$201,6,0)),
IF(VLOOKUP($A9-COUNT('Шаг2.Бланк заказа NEW'!$B$19:$B$201),'Бланк OLD 0.8 04'!$B$12:$K$200,6,0)="","",VLOOKUP($A9-COUNT('Шаг2.Бланк заказа NEW'!$B$19:$B$201),'Бланк OLD 0.8 04'!$B$12:$K$200,6,0))),
IF(VLOOKUP($A9-COUNT('Шаг2.Бланк заказа NEW'!$B$19:$B$201)-COUNT('Бланк OLD 0.8 04'!$B$18:$B$200),'Бланк OLD 2.0 04 '!$B$16:$K$200,6,0)="","",VLOOKUP($A9-COUNT('Шаг2.Бланк заказа NEW'!$B$19:$B$201)-COUNT('Бланк OLD 0.8 04'!$B$18:$B$200),'Бланк OLD 2.0 04 '!$B$16:$K$200,6,0)))</f>
        <v/>
      </c>
      <c r="J9" s="177" t="str">
        <f ca="1">IF(IF(T9="","",IF(T9=1,SUMIFS('Шаг1.Выбор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плиты'!C:Q,12,0)),1))))))=0,
T9,
IF(T9="","",IF(T9=1,SUMIFS('Шаг1.Выбор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плиты'!N:N,T9,'Шаг1.Выбор плиты'!M:M,SMALL(INDIRECT("мм"&amp;VLOOKUP(C9,'Шаг1.Выбор плиты'!C:Q,12,0)),1)))))))</f>
        <v/>
      </c>
      <c r="K9" s="177" t="str">
        <f ca="1">IF(IF(U9="","",IF(U9=1,SUMIFS('Шаг1.Выбор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плиты'!C:Q,12,0)),1))))))=0,
U9,
IF(U9="","",IF(U9=1,SUMIFS('Шаг1.Выбор плиты'!$G:$G,'Шаг1.Выбор плиты'!J:J,"*"&amp;RIGHT(VLOOKUP(C9,'Шаг1.Выбор плиты'!C:Q,8,0),4),'Шаг1.Выбор плиты'!L:L,IF(MID(C9,1,6)="ЛДСП P","TM"&amp;MID(VLOOKUP(C9,'Шаг1.Выбор плиты'!C:Q,10,0),3,2),MID(VLOOKUP(C9,'Шаг1.Выбор плиты'!C:Q,10,0),1,2)),
'Шаг1.Выбор плиты'!N:N,1),IF(SUMIFS('Шаг1.Выбор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плиты'!C:Q,12,0)),1))=0,
IF(SUMIFS('Шаг1.Выбор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плиты'!C:Q,12,0)),2))=0,
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плиты'!C:Q,12,0)),3)),
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плиты'!C:Q,12,0)),2))),
(SUMIFS('Шаг1.Выбор плиты'!$G:$G,'Шаг1.Выбор плиты'!J:J,"*"&amp;RIGHT(VLOOKUP(C9,'Шаг1.Выбор плиты'!C:Q,8,0),4),'Шаг1.Выбор плиты'!L:L,VLOOKUP(C9,'Шаг1.Выбор плиты'!C:Q,10,0),'Шаг1.Выбор плиты'!N:N,U9,'Шаг1.Выбор плиты'!M:M,SMALL(INDIRECT("мм"&amp;VLOOKUP(C9,'Шаг1.Выбор плиты'!C:Q,12,0)),1)))))))</f>
        <v/>
      </c>
      <c r="L9" s="147" t="str">
        <f ca="1">IFERROR(IFERROR(IF(VLOOKUP($A9,'Шаг2.Бланк заказа NEW'!$B$17:$N$201,9,0)="","",VLOOKUP($A9,'Шаг2.Бланк заказа NEW'!$B$17:$N$201,9,0)),
IF(VLOOKUP($A9-COUNT('Шаг2.Бланк заказа NEW'!$B$19:$B$201),'Бланк OLD 0.8 04'!$B$12:$K$200,9,0)="","",VLOOKUP($A9-COUNT('Шаг2.Бланк заказа NEW'!$B$19:$B$201),'Бланк OLD 0.8 04'!$B$12:$K$200,9,0))),
IF(VLOOKUP($A9-COUNT('Шаг2.Бланк заказа NEW'!$B$19:$B$201)-COUNT('Бланк OLD 0.8 04'!$B$18:$B$200),'Бланк OLD 2.0 04 '!$B$16:$K$200,9,0)="","",VLOOKUP($A9-COUNT('Шаг2.Бланк заказа NEW'!$B$19:$B$201)-COUNT('Бланк OLD 0.8 04'!$B$18:$B$200),'Бланк OLD 2.0 04 '!$B$16:$K$200,9,0)))</f>
        <v/>
      </c>
      <c r="M9" s="154" t="str">
        <f t="shared" ca="1" si="0"/>
        <v/>
      </c>
      <c r="N9" s="153" t="str">
        <f ca="1">IFERROR(IF(VLOOKUP($A9,'Шаг2.Бланк заказа NEW'!$B$17:$N$201,11,0)="","",VLOOKUP($A9,'Шаг2.Бланк заказа NEW'!$B$17:$N$201,11,0)),
"Нет")</f>
        <v/>
      </c>
      <c r="O9" s="147" t="str">
        <f ca="1">IFERROR(IF(VLOOKUP($A9,'Шаг2.Бланк заказа NEW'!$B$17:$N$201,11,0)="","",VLOOKUP($A9,'Шаг2.Бланк заказа NEW'!$B$17:$N$201,12,0)),
"Нет")</f>
        <v/>
      </c>
      <c r="P9" s="153" t="str">
        <f ca="1">IFERROR(IF(VLOOKUP($A9,'Шаг2.Бланк заказа NEW'!$B$17:$N$201,13,0)="","",VLOOKUP($A9,'Шаг2.Бланк заказа NEW'!$B$17:$N$201,13,0)),
"Нет")</f>
        <v/>
      </c>
      <c r="Q9" s="147" t="str">
        <f ca="1">IFERROR(IF(VLOOKUP($A9,'Шаг2.Бланк заказа NEW'!$B$17:$O$201,14,0)="","",VLOOKUP($A9,'Шаг2.Бланк заказа NEW'!$B$17:$O$201,14,0)),"")</f>
        <v/>
      </c>
      <c r="R9" s="147" t="str">
        <f ca="1">IFERROR(IFERROR(IF(VLOOKUP($A9,'Шаг2.Бланк заказа NEW'!$B$17:$N$201,4,0)="","",VLOOKUP($A9,'Шаг2.Бланк заказа NEW'!$B$17:$N$201,4,0)),
IF(VLOOKUP($A9-COUNT('Шаг2.Бланк заказа NEW'!$B$19:$B$201),'Бланк OLD 0.8 04'!$B$12:$K$200,4,0)&gt;0,0.8,
IF(VLOOKUP($A9-COUNT('Шаг2.Бланк заказа NEW'!$B$19:$B$201),'Бланк OLD 0.8 04'!$B$12:$K$200,5,0)&gt;0,0.4,""))),
IF(VLOOKUP($A9-COUNT('Шаг2.Бланк заказа NEW'!$B$19:$B$201)-COUNT('Бланк OLD 0.8 04'!$B$18:$B$200),'Бланк OLD 2.0 04 '!$B$16:$K$200,4,0)&gt;0,2,IF(VLOOKUP($A9-COUNT('Шаг2.Бланк заказа NEW'!$B$19:$B$201)-COUNT('Бланк OLD 0.8 04'!$B$18:$B$200),'Бланк OLD 2.0 04 '!$B$16:$K$200,5,0)&gt;0,0.4,"")))</f>
        <v/>
      </c>
      <c r="S9" s="147" t="str">
        <f ca="1">IFERROR(IFERROR(IF(VLOOKUP($A9,'Шаг2.Бланк заказа NEW'!$B$17:$N$201,5,0)="","",VLOOKUP($A9,'Шаг2.Бланк заказа NEW'!$B$17:$N$201,5,0)),
IF(VLOOKUP($A9-COUNT('Шаг2.Бланк заказа NEW'!$B$19:$B$201),'Бланк OLD 0.8 04'!$B$12:$K$200,4,0)&gt;1,0.8,
IF(VLOOKUP($A9-COUNT('Шаг2.Бланк заказа NEW'!$B$19:$B$201),'Бланк OLD 0.8 04'!$B$12:$K$200,5,0)&gt;1,0.4,
IF(AND(VLOOKUP($A9-COUNT('Шаг2.Бланк заказа NEW'!$B$19:$B$201),'Бланк OLD 0.8 04'!$B$12:$K$200,4,0)&gt;0,VLOOKUP($A9-COUNT('Шаг2.Бланк заказа NEW'!$B$19:$B$201),'Бланк OLD 0.8 04'!$B$12:$K$200,5,0)&gt;0),0.4,"")))),
IF(VLOOKUP($A9-COUNT('Шаг2.Бланк заказа NEW'!$B$19:$B$201)-COUNT('Бланк OLD 0.8 04'!$B$18:$B$200),'Бланк OLD 2.0 04 '!$B$16:$K$200,4,0)&gt;1,2,
IF(VLOOKUP($A9-COUNT('Шаг2.Бланк заказа NEW'!$B$19:$B$201)-COUNT('Бланк OLD 0.8 04'!$B$18:$B$200),'Бланк OLD 2.0 04 '!$B$16:$K$200,5,0)&gt;1,0.4,IF(AND(VLOOKUP($A9-COUNT('Шаг2.Бланк заказа NEW'!$B$19:$B$201)-COUNT('Бланк OLD 0.8 04'!$B$18:$B$200),'Бланк OLD 2.0 04 '!$B$16:$K$200,4,0)&gt;0,VLOOKUP($A9-COUNT('Шаг2.Бланк заказа NEW'!$B$19:$B$201)-COUNT('Бланк OLD 0.8 04'!$B$18:$B$200),'Бланк OLD 2.0 04 '!$B$16:$K$200,5,0)&gt;0),0.4,""))))</f>
        <v/>
      </c>
      <c r="T9" s="147" t="str">
        <f ca="1">IFERROR(IFERROR(IF(VLOOKUP($A9,'Шаг2.Бланк заказа NEW'!$B$17:$N$201,7,0)="","",VLOOKUP($A9,'Шаг2.Бланк заказа NEW'!$B$17:$N$201,7,0)),
IF(VLOOKUP($A9-COUNT('Шаг2.Бланк заказа NEW'!$B$19:$B$201),'Бланк OLD 0.8 04'!$B$12:$K$200,7,0)&gt;0,0.8,
IF(VLOOKUP($A9-COUNT('Шаг2.Бланк заказа NEW'!$B$19:$B$201),'Бланк OLD 0.8 04'!$B$12:$K$200,8,0)&gt;0,0.4,""))),
IF(VLOOKUP($A9-COUNT('Шаг2.Бланк заказа NEW'!$B$19:$B$201)-COUNT('Бланк OLD 0.8 04'!$B$18:$B$200),'Бланк OLD 2.0 04 '!$B$16:$K$200,7,0)&gt;0,2,IF(VLOOKUP($A9-COUNT('Шаг2.Бланк заказа NEW'!$B$19:$B$201)-COUNT('Бланк OLD 0.8 04'!$B$18:$B$200),'Бланк OLD 2.0 04 '!$B$16:$K$200,8,0)&gt;0,0.4,"")))</f>
        <v/>
      </c>
      <c r="U9" s="147" t="str">
        <f ca="1">IFERROR(IFERROR(IF(VLOOKUP($A9,'Шаг2.Бланк заказа NEW'!$B$17:$N$201,8,0)="","",VLOOKUP($A9,'Шаг2.Бланк заказа NEW'!$B$17:$N$201,8,0)),
IF(VLOOKUP($A9-COUNT('Шаг2.Бланк заказа NEW'!$B$19:$B$201),'Бланк OLD 0.8 04'!$B$12:$K$200,7,0)&gt;1,0.8,
IF(VLOOKUP($A9-COUNT('Шаг2.Бланк заказа NEW'!$B$19:$B$201),'Бланк OLD 0.8 04'!$B$12:$K$200,8,0)&gt;1,0.4,
IF(AND(VLOOKUP($A9-COUNT('Шаг2.Бланк заказа NEW'!$B$19:$B$201),'Бланк OLD 0.8 04'!$B$12:$K$200,7,0)&gt;0,VLOOKUP($A9-COUNT('Шаг2.Бланк заказа NEW'!$B$19:$B$201),'Бланк OLD 0.8 04'!$B$12:$K$200,8,0)&gt;0),0.4,"")))),
IF(VLOOKUP($A9-COUNT('Шаг2.Бланк заказа NEW'!$B$19:$B$201)-COUNT('Бланк OLD 0.8 04'!$B$18:$B$200),'Бланк OLD 2.0 04 '!$B$16:$K$200,7,0)&gt;1,2,
IF(VLOOKUP($A9-COUNT('Шаг2.Бланк заказа NEW'!$B$19:$B$201)-COUNT('Бланк OLD 0.8 04'!$B$18:$B$200),'Бланк OLD 2.0 04 '!$B$16:$K$200,8,0)&gt;1,0.4,
IF(AND(VLOOKUP($A9-COUNT('Шаг2.Бланк заказа NEW'!$B$19:$B$201)-COUNT('Бланк OLD 0.8 04'!$B$18:$B$200),'Бланк OLD 2.0 04 '!$B$16:$K$200,7,0)&gt;0,VLOOKUP($A9-COUNT('Шаг2.Бланк заказа NEW'!$B$19:$B$201)-COUNT('Бланк OLD 0.8 04'!$B$18:$B$200),'Бланк OLD 2.0 04 '!$B$16:$K$200,8,0)&gt;0),0.4,""))))</f>
        <v/>
      </c>
      <c r="V9" s="146" t="str">
        <f ca="1">IFERROR(VLOOKUP(C9,'Шаг1.Выбор плиты'!C:S,12,0),"")</f>
        <v/>
      </c>
      <c r="W9" s="146" t="str">
        <f ca="1">IFERROR(VLOOKUP(C9,'Шаг1.Выбор плиты'!C:S,8,0),"")</f>
        <v/>
      </c>
      <c r="X9" s="146" t="str">
        <f ca="1">IFERROR(VLOOKUP(C9,'Шаг1.Выбор плиты'!C:S,10,0),"")</f>
        <v/>
      </c>
      <c r="Y9" s="147" t="str">
        <f t="shared" ca="1" si="1"/>
        <v/>
      </c>
      <c r="AD9" s="147" t="str">
        <f t="shared" ca="1" si="2"/>
        <v/>
      </c>
      <c r="AE9" s="147" t="str">
        <f t="shared" ca="1" si="3"/>
        <v/>
      </c>
      <c r="AH9" s="147" t="str">
        <f ca="1">IF(C9="","",VLOOKUP(C9,'Шаг1.Выбор плиты'!C:Q,7,0))</f>
        <v/>
      </c>
      <c r="AI9" s="147" t="str">
        <f t="shared" ca="1" si="4"/>
        <v/>
      </c>
    </row>
    <row r="10" spans="1:35" x14ac:dyDescent="0.2">
      <c r="A10" s="151" t="str">
        <f ca="1">IF(C10="","",MAX($A$1:OFFSET(C10,-1,0))+1)</f>
        <v/>
      </c>
      <c r="B10" s="151" t="str">
        <f ca="1">IFERROR(IFERROR(IFERROR("Шаг2.Бланк заказа NEW №"&amp;VLOOKUP(A9+1,CHOOSE({1,2},'Шаг2.Бланк заказа NEW'!$B$19:$B$201,'Шаг2.Бланк заказа NEW'!$A$19:$A$201),1,0),
"Бланк OLD 0.8 04 №"&amp;VLOOKUP(A9+1-COUNT('Шаг2.Бланк заказа NEW'!$B$19:$B$201),CHOOSE({1,2},'Бланк OLD 0.8 04'!$B$18:$B$200,'Бланк OLD 0.8 04'!$A$18:$A$200),1,0)),
"Бланк OLD 2.0 04 №"&amp;VLOOKUP(A9+1-COUNT('Шаг2.Бланк заказа NEW'!$B$19:$B$201)-COUNT('Бланк OLD 0.8 04'!$B$18:$B$200),CHOOSE({1,2},'Бланк OLD 2.0 04 '!$B$18:$B$200,'Бланк OLD 2.0 04 '!$A$18:$A$200),1,0)),"")</f>
        <v/>
      </c>
      <c r="C10" s="152" t="str">
        <f ca="1">IFERROR(IFERROR(IFERROR(VLOOKUP(A9+1,CHOOSE({1,2},'Шаг2.Бланк заказа NEW'!$B$19:$B$201,'Шаг2.Бланк заказа NEW'!$A$19:$A$201),2,0),
VLOOKUP(A9+1-COUNT('Шаг2.Бланк заказа NEW'!$B$19:$B$201),CHOOSE({1,2},'Бланк OLD 0.8 04'!$B$18:$B$200,'Бланк OLD 0.8 04'!$A$18:$A$200),2,0)),
VLOOKUP(A9+1-COUNT('Шаг2.Бланк заказа NEW'!$B$19:$B$201)-COUNT('Бланк OLD 0.8 04'!$B$18:$B$200),CHOOSE({1,2},'Бланк OLD 2.0 04 '!$B$18:$B$200,'Бланк OLD 2.0 04 '!$A$18:$A$200),2,0)),"")</f>
        <v/>
      </c>
      <c r="D10" s="150" t="str">
        <f ca="1">IFERROR(VLOOKUP(C10,'Шаг1.Выбор плиты'!C:G,5,0),"")</f>
        <v/>
      </c>
      <c r="E10" s="147" t="str">
        <f ca="1">IFERROR(IFERROR(IF(VLOOKUP($A10,'Шаг2.Бланк заказа NEW'!$B$17:$N$201,2,0)="","",VLOOKUP($A10,'Шаг2.Бланк заказа NEW'!$B$17:$N$201,2,0)),
IF(VLOOKUP($A10-COUNT('Шаг2.Бланк заказа NEW'!$B$19:$B$201),'Бланк OLD 0.8 04'!$B$12:$K$200,2,0)="","",VLOOKUP($A10-COUNT('Шаг2.Бланк заказа NEW'!$B$19:$B$201),'Бланк OLD 0.8 04'!$B$12:$K$200,2,0))),
IF(VLOOKUP($A10-COUNT('Шаг2.Бланк заказа NEW'!$B$19:$B$201)-COUNT('Бланк OLD 0.8 04'!$B$18:$B$200),'Бланк OLD 2.0 04 '!$B$16:$K$200,2,0)="","",VLOOKUP($A10-COUNT('Шаг2.Бланк заказа NEW'!$B$19:$B$201)-COUNT('Бланк OLD 0.8 04'!$B$18:$B$200),'Бланк OLD 2.0 04 '!$B$16:$K$200,2,0)))</f>
        <v/>
      </c>
      <c r="F10" s="147" t="str">
        <f ca="1">IFERROR(IFERROR(IF(VLOOKUP($A10,'Шаг2.Бланк заказа NEW'!$B$17:$N$201,3,0)="","",VLOOKUP($A10,'Шаг2.Бланк заказа NEW'!$B$17:$N$201,3,0)),
IF(VLOOKUP($A10-COUNT('Шаг2.Бланк заказа NEW'!$B$19:$B$201),'Бланк OLD 0.8 04'!$B$12:$K$200,3,0)="","",VLOOKUP($A10-COUNT('Шаг2.Бланк заказа NEW'!$B$19:$B$201),'Бланк OLD 0.8 04'!$B$12:$K$200,3,0))),
IF(VLOOKUP($A10-COUNT('Шаг2.Бланк заказа NEW'!$B$19:$B$201)-COUNT('Бланк OLD 0.8 04'!$B$18:$B$200),'Бланк OLD 2.0 04 '!$B$16:$K$200,3,0)="","",VLOOKUP($A10-COUNT('Шаг2.Бланк заказа NEW'!$B$19:$B$201)-COUNT('Бланк OLD 0.8 04'!$B$18:$B$200),'Бланк OLD 2.0 04 '!$B$16:$K$200,3,0)))</f>
        <v/>
      </c>
      <c r="G10" s="176" t="str">
        <f ca="1">IF(IF(R10="","",IF(R10=1,SUMIFS('Шаг1.Выбор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плиты'!C:Q,12,0)),1))))))=0,
R10,
IF(R10="","",IF(R10=1,SUMIFS('Шаг1.Выбор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плиты'!N:N,R10,'Шаг1.Выбор плиты'!M:M,SMALL(INDIRECT("мм"&amp;VLOOKUP(C10,'Шаг1.Выбор плиты'!C:Q,12,0)),1)))))))</f>
        <v/>
      </c>
      <c r="H10" s="177" t="str">
        <f ca="1">IF(IF(S10="","",IF(S10=1,SUMIFS('Шаг1.Выбор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плиты'!C:Q,12,0)),1))))))=0,
S10,
IF(S10="","",IF(S10=1,SUMIFS('Шаг1.Выбор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плиты'!N:N,S10,'Шаг1.Выбор плиты'!M:M,SMALL(INDIRECT("мм"&amp;VLOOKUP(C10,'Шаг1.Выбор плиты'!C:Q,12,0)),1)))))))</f>
        <v/>
      </c>
      <c r="I10" s="147" t="str">
        <f ca="1">IFERROR(IFERROR(IF(VLOOKUP($A10,'Шаг2.Бланк заказа NEW'!$B$17:$N$201,6,0)="","",VLOOKUP($A10,'Шаг2.Бланк заказа NEW'!$B$17:$N$201,6,0)),
IF(VLOOKUP($A10-COUNT('Шаг2.Бланк заказа NEW'!$B$19:$B$201),'Бланк OLD 0.8 04'!$B$12:$K$200,6,0)="","",VLOOKUP($A10-COUNT('Шаг2.Бланк заказа NEW'!$B$19:$B$201),'Бланк OLD 0.8 04'!$B$12:$K$200,6,0))),
IF(VLOOKUP($A10-COUNT('Шаг2.Бланк заказа NEW'!$B$19:$B$201)-COUNT('Бланк OLD 0.8 04'!$B$18:$B$200),'Бланк OLD 2.0 04 '!$B$16:$K$200,6,0)="","",VLOOKUP($A10-COUNT('Шаг2.Бланк заказа NEW'!$B$19:$B$201)-COUNT('Бланк OLD 0.8 04'!$B$18:$B$200),'Бланк OLD 2.0 04 '!$B$16:$K$200,6,0)))</f>
        <v/>
      </c>
      <c r="J10" s="177" t="str">
        <f ca="1">IF(IF(T10="","",IF(T10=1,SUMIFS('Шаг1.Выбор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плиты'!C:Q,12,0)),1))))))=0,
T10,
IF(T10="","",IF(T10=1,SUMIFS('Шаг1.Выбор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плиты'!N:N,T10,'Шаг1.Выбор плиты'!M:M,SMALL(INDIRECT("мм"&amp;VLOOKUP(C10,'Шаг1.Выбор плиты'!C:Q,12,0)),1)))))))</f>
        <v/>
      </c>
      <c r="K10" s="177" t="str">
        <f ca="1">IF(IF(U10="","",IF(U10=1,SUMIFS('Шаг1.Выбор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плиты'!C:Q,12,0)),1))))))=0,
U10,
IF(U10="","",IF(U10=1,SUMIFS('Шаг1.Выбор плиты'!$G:$G,'Шаг1.Выбор плиты'!J:J,"*"&amp;RIGHT(VLOOKUP(C10,'Шаг1.Выбор плиты'!C:Q,8,0),4),'Шаг1.Выбор плиты'!L:L,IF(MID(C10,1,6)="ЛДСП P","TM"&amp;MID(VLOOKUP(C10,'Шаг1.Выбор плиты'!C:Q,10,0),3,2),MID(VLOOKUP(C10,'Шаг1.Выбор плиты'!C:Q,10,0),1,2)),
'Шаг1.Выбор плиты'!N:N,1),IF(SUMIFS('Шаг1.Выбор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плиты'!C:Q,12,0)),1))=0,
IF(SUMIFS('Шаг1.Выбор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плиты'!C:Q,12,0)),2))=0,
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плиты'!C:Q,12,0)),3)),
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плиты'!C:Q,12,0)),2))),
(SUMIFS('Шаг1.Выбор плиты'!$G:$G,'Шаг1.Выбор плиты'!J:J,"*"&amp;RIGHT(VLOOKUP(C10,'Шаг1.Выбор плиты'!C:Q,8,0),4),'Шаг1.Выбор плиты'!L:L,VLOOKUP(C10,'Шаг1.Выбор плиты'!C:Q,10,0),'Шаг1.Выбор плиты'!N:N,U10,'Шаг1.Выбор плиты'!M:M,SMALL(INDIRECT("мм"&amp;VLOOKUP(C10,'Шаг1.Выбор плиты'!C:Q,12,0)),1)))))))</f>
        <v/>
      </c>
      <c r="L10" s="147" t="str">
        <f ca="1">IFERROR(IFERROR(IF(VLOOKUP($A10,'Шаг2.Бланк заказа NEW'!$B$17:$N$201,9,0)="","",VLOOKUP($A10,'Шаг2.Бланк заказа NEW'!$B$17:$N$201,9,0)),
IF(VLOOKUP($A10-COUNT('Шаг2.Бланк заказа NEW'!$B$19:$B$201),'Бланк OLD 0.8 04'!$B$12:$K$200,9,0)="","",VLOOKUP($A10-COUNT('Шаг2.Бланк заказа NEW'!$B$19:$B$201),'Бланк OLD 0.8 04'!$B$12:$K$200,9,0))),
IF(VLOOKUP($A10-COUNT('Шаг2.Бланк заказа NEW'!$B$19:$B$201)-COUNT('Бланк OLD 0.8 04'!$B$18:$B$200),'Бланк OLD 2.0 04 '!$B$16:$K$200,9,0)="","",VLOOKUP($A10-COUNT('Шаг2.Бланк заказа NEW'!$B$19:$B$201)-COUNT('Бланк OLD 0.8 04'!$B$18:$B$200),'Бланк OLD 2.0 04 '!$B$16:$K$200,9,0)))</f>
        <v/>
      </c>
      <c r="M10" s="154" t="str">
        <f t="shared" ca="1" si="0"/>
        <v/>
      </c>
      <c r="N10" s="153" t="str">
        <f ca="1">IFERROR(IF(VLOOKUP($A10,'Шаг2.Бланк заказа NEW'!$B$17:$N$201,11,0)="","",VLOOKUP($A10,'Шаг2.Бланк заказа NEW'!$B$17:$N$201,11,0)),
"Нет")</f>
        <v/>
      </c>
      <c r="O10" s="147" t="str">
        <f ca="1">IFERROR(IF(VLOOKUP($A10,'Шаг2.Бланк заказа NEW'!$B$17:$N$201,11,0)="","",VLOOKUP($A10,'Шаг2.Бланк заказа NEW'!$B$17:$N$201,12,0)),
"Нет")</f>
        <v/>
      </c>
      <c r="P10" s="153" t="str">
        <f ca="1">IFERROR(IF(VLOOKUP($A10,'Шаг2.Бланк заказа NEW'!$B$17:$N$201,13,0)="","",VLOOKUP($A10,'Шаг2.Бланк заказа NEW'!$B$17:$N$201,13,0)),
"Нет")</f>
        <v/>
      </c>
      <c r="Q10" s="147" t="str">
        <f ca="1">IFERROR(IF(VLOOKUP($A10,'Шаг2.Бланк заказа NEW'!$B$17:$O$201,14,0)="","",VLOOKUP($A10,'Шаг2.Бланк заказа NEW'!$B$17:$O$201,14,0)),"")</f>
        <v/>
      </c>
      <c r="R10" s="147" t="str">
        <f ca="1">IFERROR(IFERROR(IF(VLOOKUP($A10,'Шаг2.Бланк заказа NEW'!$B$17:$N$201,4,0)="","",VLOOKUP($A10,'Шаг2.Бланк заказа NEW'!$B$17:$N$201,4,0)),
IF(VLOOKUP($A10-COUNT('Шаг2.Бланк заказа NEW'!$B$19:$B$201),'Бланк OLD 0.8 04'!$B$12:$K$200,4,0)&gt;0,0.8,
IF(VLOOKUP($A10-COUNT('Шаг2.Бланк заказа NEW'!$B$19:$B$201),'Бланк OLD 0.8 04'!$B$12:$K$200,5,0)&gt;0,0.4,""))),
IF(VLOOKUP($A10-COUNT('Шаг2.Бланк заказа NEW'!$B$19:$B$201)-COUNT('Бланк OLD 0.8 04'!$B$18:$B$200),'Бланк OLD 2.0 04 '!$B$16:$K$200,4,0)&gt;0,2,IF(VLOOKUP($A10-COUNT('Шаг2.Бланк заказа NEW'!$B$19:$B$201)-COUNT('Бланк OLD 0.8 04'!$B$18:$B$200),'Бланк OLD 2.0 04 '!$B$16:$K$200,5,0)&gt;0,0.4,"")))</f>
        <v/>
      </c>
      <c r="S10" s="147" t="str">
        <f ca="1">IFERROR(IFERROR(IF(VLOOKUP($A10,'Шаг2.Бланк заказа NEW'!$B$17:$N$201,5,0)="","",VLOOKUP($A10,'Шаг2.Бланк заказа NEW'!$B$17:$N$201,5,0)),
IF(VLOOKUP($A10-COUNT('Шаг2.Бланк заказа NEW'!$B$19:$B$201),'Бланк OLD 0.8 04'!$B$12:$K$200,4,0)&gt;1,0.8,
IF(VLOOKUP($A10-COUNT('Шаг2.Бланк заказа NEW'!$B$19:$B$201),'Бланк OLD 0.8 04'!$B$12:$K$200,5,0)&gt;1,0.4,
IF(AND(VLOOKUP($A10-COUNT('Шаг2.Бланк заказа NEW'!$B$19:$B$201),'Бланк OLD 0.8 04'!$B$12:$K$200,4,0)&gt;0,VLOOKUP($A10-COUNT('Шаг2.Бланк заказа NEW'!$B$19:$B$201),'Бланк OLD 0.8 04'!$B$12:$K$200,5,0)&gt;0),0.4,"")))),
IF(VLOOKUP($A10-COUNT('Шаг2.Бланк заказа NEW'!$B$19:$B$201)-COUNT('Бланк OLD 0.8 04'!$B$18:$B$200),'Бланк OLD 2.0 04 '!$B$16:$K$200,4,0)&gt;1,2,
IF(VLOOKUP($A10-COUNT('Шаг2.Бланк заказа NEW'!$B$19:$B$201)-COUNT('Бланк OLD 0.8 04'!$B$18:$B$200),'Бланк OLD 2.0 04 '!$B$16:$K$200,5,0)&gt;1,0.4,IF(AND(VLOOKUP($A10-COUNT('Шаг2.Бланк заказа NEW'!$B$19:$B$201)-COUNT('Бланк OLD 0.8 04'!$B$18:$B$200),'Бланк OLD 2.0 04 '!$B$16:$K$200,4,0)&gt;0,VLOOKUP($A10-COUNT('Шаг2.Бланк заказа NEW'!$B$19:$B$201)-COUNT('Бланк OLD 0.8 04'!$B$18:$B$200),'Бланк OLD 2.0 04 '!$B$16:$K$200,5,0)&gt;0),0.4,""))))</f>
        <v/>
      </c>
      <c r="T10" s="147" t="str">
        <f ca="1">IFERROR(IFERROR(IF(VLOOKUP($A10,'Шаг2.Бланк заказа NEW'!$B$17:$N$201,7,0)="","",VLOOKUP($A10,'Шаг2.Бланк заказа NEW'!$B$17:$N$201,7,0)),
IF(VLOOKUP($A10-COUNT('Шаг2.Бланк заказа NEW'!$B$19:$B$201),'Бланк OLD 0.8 04'!$B$12:$K$200,7,0)&gt;0,0.8,
IF(VLOOKUP($A10-COUNT('Шаг2.Бланк заказа NEW'!$B$19:$B$201),'Бланк OLD 0.8 04'!$B$12:$K$200,8,0)&gt;0,0.4,""))),
IF(VLOOKUP($A10-COUNT('Шаг2.Бланк заказа NEW'!$B$19:$B$201)-COUNT('Бланк OLD 0.8 04'!$B$18:$B$200),'Бланк OLD 2.0 04 '!$B$16:$K$200,7,0)&gt;0,2,IF(VLOOKUP($A10-COUNT('Шаг2.Бланк заказа NEW'!$B$19:$B$201)-COUNT('Бланк OLD 0.8 04'!$B$18:$B$200),'Бланк OLD 2.0 04 '!$B$16:$K$200,8,0)&gt;0,0.4,"")))</f>
        <v/>
      </c>
      <c r="U10" s="147" t="str">
        <f ca="1">IFERROR(IFERROR(IF(VLOOKUP($A10,'Шаг2.Бланк заказа NEW'!$B$17:$N$201,8,0)="","",VLOOKUP($A10,'Шаг2.Бланк заказа NEW'!$B$17:$N$201,8,0)),
IF(VLOOKUP($A10-COUNT('Шаг2.Бланк заказа NEW'!$B$19:$B$201),'Бланк OLD 0.8 04'!$B$12:$K$200,7,0)&gt;1,0.8,
IF(VLOOKUP($A10-COUNT('Шаг2.Бланк заказа NEW'!$B$19:$B$201),'Бланк OLD 0.8 04'!$B$12:$K$200,8,0)&gt;1,0.4,
IF(AND(VLOOKUP($A10-COUNT('Шаг2.Бланк заказа NEW'!$B$19:$B$201),'Бланк OLD 0.8 04'!$B$12:$K$200,7,0)&gt;0,VLOOKUP($A10-COUNT('Шаг2.Бланк заказа NEW'!$B$19:$B$201),'Бланк OLD 0.8 04'!$B$12:$K$200,8,0)&gt;0),0.4,"")))),
IF(VLOOKUP($A10-COUNT('Шаг2.Бланк заказа NEW'!$B$19:$B$201)-COUNT('Бланк OLD 0.8 04'!$B$18:$B$200),'Бланк OLD 2.0 04 '!$B$16:$K$200,7,0)&gt;1,2,
IF(VLOOKUP($A10-COUNT('Шаг2.Бланк заказа NEW'!$B$19:$B$201)-COUNT('Бланк OLD 0.8 04'!$B$18:$B$200),'Бланк OLD 2.0 04 '!$B$16:$K$200,8,0)&gt;1,0.4,
IF(AND(VLOOKUP($A10-COUNT('Шаг2.Бланк заказа NEW'!$B$19:$B$201)-COUNT('Бланк OLD 0.8 04'!$B$18:$B$200),'Бланк OLD 2.0 04 '!$B$16:$K$200,7,0)&gt;0,VLOOKUP($A10-COUNT('Шаг2.Бланк заказа NEW'!$B$19:$B$201)-COUNT('Бланк OLD 0.8 04'!$B$18:$B$200),'Бланк OLD 2.0 04 '!$B$16:$K$200,8,0)&gt;0),0.4,""))))</f>
        <v/>
      </c>
      <c r="V10" s="146" t="str">
        <f ca="1">IFERROR(VLOOKUP(C10,'Шаг1.Выбор плиты'!C:S,12,0),"")</f>
        <v/>
      </c>
      <c r="W10" s="146" t="str">
        <f ca="1">IFERROR(VLOOKUP(C10,'Шаг1.Выбор плиты'!C:S,8,0),"")</f>
        <v/>
      </c>
      <c r="X10" s="146" t="str">
        <f ca="1">IFERROR(VLOOKUP(C10,'Шаг1.Выбор плиты'!C:S,10,0),"")</f>
        <v/>
      </c>
      <c r="Y10" s="147" t="str">
        <f t="shared" ca="1" si="1"/>
        <v/>
      </c>
      <c r="Z10" s="25" t="s">
        <v>2137</v>
      </c>
      <c r="AD10" s="147" t="str">
        <f t="shared" ca="1" si="2"/>
        <v/>
      </c>
      <c r="AE10" s="147" t="str">
        <f t="shared" ca="1" si="3"/>
        <v/>
      </c>
      <c r="AH10" s="147" t="str">
        <f ca="1">IF(C10="","",VLOOKUP(C10,'Шаг1.Выбор плиты'!C:Q,7,0))</f>
        <v/>
      </c>
      <c r="AI10" s="147" t="str">
        <f t="shared" ca="1" si="4"/>
        <v/>
      </c>
    </row>
    <row r="11" spans="1:35" x14ac:dyDescent="0.2">
      <c r="A11" s="151" t="str">
        <f ca="1">IF(C11="","",MAX($A$1:OFFSET(C11,-1,0))+1)</f>
        <v/>
      </c>
      <c r="B11" s="151" t="str">
        <f ca="1">IFERROR(IFERROR(IFERROR("Шаг2.Бланк заказа NEW №"&amp;VLOOKUP(A10+1,CHOOSE({1,2},'Шаг2.Бланк заказа NEW'!$B$19:$B$201,'Шаг2.Бланк заказа NEW'!$A$19:$A$201),1,0),
"Бланк OLD 0.8 04 №"&amp;VLOOKUP(A10+1-COUNT('Шаг2.Бланк заказа NEW'!$B$19:$B$201),CHOOSE({1,2},'Бланк OLD 0.8 04'!$B$18:$B$200,'Бланк OLD 0.8 04'!$A$18:$A$200),1,0)),
"Бланк OLD 2.0 04 №"&amp;VLOOKUP(A10+1-COUNT('Шаг2.Бланк заказа NEW'!$B$19:$B$201)-COUNT('Бланк OLD 0.8 04'!$B$18:$B$200),CHOOSE({1,2},'Бланк OLD 2.0 04 '!$B$18:$B$200,'Бланк OLD 2.0 04 '!$A$18:$A$200),1,0)),"")</f>
        <v/>
      </c>
      <c r="C11" s="152" t="str">
        <f ca="1">IFERROR(IFERROR(IFERROR(VLOOKUP(A10+1,CHOOSE({1,2},'Шаг2.Бланк заказа NEW'!$B$19:$B$201,'Шаг2.Бланк заказа NEW'!$A$19:$A$201),2,0),
VLOOKUP(A10+1-COUNT('Шаг2.Бланк заказа NEW'!$B$19:$B$201),CHOOSE({1,2},'Бланк OLD 0.8 04'!$B$18:$B$200,'Бланк OLD 0.8 04'!$A$18:$A$200),2,0)),
VLOOKUP(A10+1-COUNT('Шаг2.Бланк заказа NEW'!$B$19:$B$201)-COUNT('Бланк OLD 0.8 04'!$B$18:$B$200),CHOOSE({1,2},'Бланк OLD 2.0 04 '!$B$18:$B$200,'Бланк OLD 2.0 04 '!$A$18:$A$200),2,0)),"")</f>
        <v/>
      </c>
      <c r="D11" s="150" t="str">
        <f ca="1">IFERROR(VLOOKUP(C11,'Шаг1.Выбор плиты'!C:G,5,0),"")</f>
        <v/>
      </c>
      <c r="E11" s="147" t="str">
        <f ca="1">IFERROR(IFERROR(IF(VLOOKUP($A11,'Шаг2.Бланк заказа NEW'!$B$17:$N$201,2,0)="","",VLOOKUP($A11,'Шаг2.Бланк заказа NEW'!$B$17:$N$201,2,0)),
IF(VLOOKUP($A11-COUNT('Шаг2.Бланк заказа NEW'!$B$19:$B$201),'Бланк OLD 0.8 04'!$B$12:$K$200,2,0)="","",VLOOKUP($A11-COUNT('Шаг2.Бланк заказа NEW'!$B$19:$B$201),'Бланк OLD 0.8 04'!$B$12:$K$200,2,0))),
IF(VLOOKUP($A11-COUNT('Шаг2.Бланк заказа NEW'!$B$19:$B$201)-COUNT('Бланк OLD 0.8 04'!$B$18:$B$200),'Бланк OLD 2.0 04 '!$B$16:$K$200,2,0)="","",VLOOKUP($A11-COUNT('Шаг2.Бланк заказа NEW'!$B$19:$B$201)-COUNT('Бланк OLD 0.8 04'!$B$18:$B$200),'Бланк OLD 2.0 04 '!$B$16:$K$200,2,0)))</f>
        <v/>
      </c>
      <c r="F11" s="147" t="str">
        <f ca="1">IFERROR(IFERROR(IF(VLOOKUP($A11,'Шаг2.Бланк заказа NEW'!$B$17:$N$201,3,0)="","",VLOOKUP($A11,'Шаг2.Бланк заказа NEW'!$B$17:$N$201,3,0)),
IF(VLOOKUP($A11-COUNT('Шаг2.Бланк заказа NEW'!$B$19:$B$201),'Бланк OLD 0.8 04'!$B$12:$K$200,3,0)="","",VLOOKUP($A11-COUNT('Шаг2.Бланк заказа NEW'!$B$19:$B$201),'Бланк OLD 0.8 04'!$B$12:$K$200,3,0))),
IF(VLOOKUP($A11-COUNT('Шаг2.Бланк заказа NEW'!$B$19:$B$201)-COUNT('Бланк OLD 0.8 04'!$B$18:$B$200),'Бланк OLD 2.0 04 '!$B$16:$K$200,3,0)="","",VLOOKUP($A11-COUNT('Шаг2.Бланк заказа NEW'!$B$19:$B$201)-COUNT('Бланк OLD 0.8 04'!$B$18:$B$200),'Бланк OLD 2.0 04 '!$B$16:$K$200,3,0)))</f>
        <v/>
      </c>
      <c r="G11" s="176" t="str">
        <f ca="1">IF(IF(R11="","",IF(R11=1,SUMIFS('Шаг1.Выбор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плиты'!C:Q,12,0)),1))))))=0,
R11,
IF(R11="","",IF(R11=1,SUMIFS('Шаг1.Выбор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плиты'!N:N,R11,'Шаг1.Выбор плиты'!M:M,SMALL(INDIRECT("мм"&amp;VLOOKUP(C11,'Шаг1.Выбор плиты'!C:Q,12,0)),1)))))))</f>
        <v/>
      </c>
      <c r="H11" s="177" t="str">
        <f ca="1">IF(IF(S11="","",IF(S11=1,SUMIFS('Шаг1.Выбор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плиты'!C:Q,12,0)),1))))))=0,
S11,
IF(S11="","",IF(S11=1,SUMIFS('Шаг1.Выбор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плиты'!N:N,S11,'Шаг1.Выбор плиты'!M:M,SMALL(INDIRECT("мм"&amp;VLOOKUP(C11,'Шаг1.Выбор плиты'!C:Q,12,0)),1)))))))</f>
        <v/>
      </c>
      <c r="I11" s="147" t="str">
        <f ca="1">IFERROR(IFERROR(IF(VLOOKUP($A11,'Шаг2.Бланк заказа NEW'!$B$17:$N$201,6,0)="","",VLOOKUP($A11,'Шаг2.Бланк заказа NEW'!$B$17:$N$201,6,0)),
IF(VLOOKUP($A11-COUNT('Шаг2.Бланк заказа NEW'!$B$19:$B$201),'Бланк OLD 0.8 04'!$B$12:$K$200,6,0)="","",VLOOKUP($A11-COUNT('Шаг2.Бланк заказа NEW'!$B$19:$B$201),'Бланк OLD 0.8 04'!$B$12:$K$200,6,0))),
IF(VLOOKUP($A11-COUNT('Шаг2.Бланк заказа NEW'!$B$19:$B$201)-COUNT('Бланк OLD 0.8 04'!$B$18:$B$200),'Бланк OLD 2.0 04 '!$B$16:$K$200,6,0)="","",VLOOKUP($A11-COUNT('Шаг2.Бланк заказа NEW'!$B$19:$B$201)-COUNT('Бланк OLD 0.8 04'!$B$18:$B$200),'Бланк OLD 2.0 04 '!$B$16:$K$200,6,0)))</f>
        <v/>
      </c>
      <c r="J11" s="177" t="str">
        <f ca="1">IF(IF(T11="","",IF(T11=1,SUMIFS('Шаг1.Выбор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плиты'!C:Q,12,0)),1))))))=0,
T11,
IF(T11="","",IF(T11=1,SUMIFS('Шаг1.Выбор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плиты'!N:N,T11,'Шаг1.Выбор плиты'!M:M,SMALL(INDIRECT("мм"&amp;VLOOKUP(C11,'Шаг1.Выбор плиты'!C:Q,12,0)),1)))))))</f>
        <v/>
      </c>
      <c r="K11" s="177" t="str">
        <f ca="1">IF(IF(U11="","",IF(U11=1,SUMIFS('Шаг1.Выбор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плиты'!C:Q,12,0)),1))))))=0,
U11,
IF(U11="","",IF(U11=1,SUMIFS('Шаг1.Выбор плиты'!$G:$G,'Шаг1.Выбор плиты'!J:J,"*"&amp;RIGHT(VLOOKUP(C11,'Шаг1.Выбор плиты'!C:Q,8,0),4),'Шаг1.Выбор плиты'!L:L,IF(MID(C11,1,6)="ЛДСП P","TM"&amp;MID(VLOOKUP(C11,'Шаг1.Выбор плиты'!C:Q,10,0),3,2),MID(VLOOKUP(C11,'Шаг1.Выбор плиты'!C:Q,10,0),1,2)),
'Шаг1.Выбор плиты'!N:N,1),IF(SUMIFS('Шаг1.Выбор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плиты'!C:Q,12,0)),1))=0,
IF(SUMIFS('Шаг1.Выбор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плиты'!C:Q,12,0)),2))=0,
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плиты'!C:Q,12,0)),3)),
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плиты'!C:Q,12,0)),2))),
(SUMIFS('Шаг1.Выбор плиты'!$G:$G,'Шаг1.Выбор плиты'!J:J,"*"&amp;RIGHT(VLOOKUP(C11,'Шаг1.Выбор плиты'!C:Q,8,0),4),'Шаг1.Выбор плиты'!L:L,VLOOKUP(C11,'Шаг1.Выбор плиты'!C:Q,10,0),'Шаг1.Выбор плиты'!N:N,U11,'Шаг1.Выбор плиты'!M:M,SMALL(INDIRECT("мм"&amp;VLOOKUP(C11,'Шаг1.Выбор плиты'!C:Q,12,0)),1)))))))</f>
        <v/>
      </c>
      <c r="L11" s="147" t="str">
        <f ca="1">IFERROR(IFERROR(IF(VLOOKUP($A11,'Шаг2.Бланк заказа NEW'!$B$17:$N$201,9,0)="","",VLOOKUP($A11,'Шаг2.Бланк заказа NEW'!$B$17:$N$201,9,0)),
IF(VLOOKUP($A11-COUNT('Шаг2.Бланк заказа NEW'!$B$19:$B$201),'Бланк OLD 0.8 04'!$B$12:$K$200,9,0)="","",VLOOKUP($A11-COUNT('Шаг2.Бланк заказа NEW'!$B$19:$B$201),'Бланк OLD 0.8 04'!$B$12:$K$200,9,0))),
IF(VLOOKUP($A11-COUNT('Шаг2.Бланк заказа NEW'!$B$19:$B$201)-COUNT('Бланк OLD 0.8 04'!$B$18:$B$200),'Бланк OLD 2.0 04 '!$B$16:$K$200,9,0)="","",VLOOKUP($A11-COUNT('Шаг2.Бланк заказа NEW'!$B$19:$B$201)-COUNT('Бланк OLD 0.8 04'!$B$18:$B$200),'Бланк OLD 2.0 04 '!$B$16:$K$200,9,0)))</f>
        <v/>
      </c>
      <c r="M11" s="154" t="str">
        <f t="shared" ca="1" si="0"/>
        <v/>
      </c>
      <c r="N11" s="153" t="str">
        <f ca="1">IFERROR(IF(VLOOKUP($A11,'Шаг2.Бланк заказа NEW'!$B$17:$N$201,11,0)="","",VLOOKUP($A11,'Шаг2.Бланк заказа NEW'!$B$17:$N$201,11,0)),
"Нет")</f>
        <v/>
      </c>
      <c r="O11" s="147" t="str">
        <f ca="1">IFERROR(IF(VLOOKUP($A11,'Шаг2.Бланк заказа NEW'!$B$17:$N$201,11,0)="","",VLOOKUP($A11,'Шаг2.Бланк заказа NEW'!$B$17:$N$201,12,0)),
"Нет")</f>
        <v/>
      </c>
      <c r="P11" s="153" t="str">
        <f ca="1">IFERROR(IF(VLOOKUP($A11,'Шаг2.Бланк заказа NEW'!$B$17:$N$201,13,0)="","",VLOOKUP($A11,'Шаг2.Бланк заказа NEW'!$B$17:$N$201,13,0)),
"Нет")</f>
        <v/>
      </c>
      <c r="Q11" s="147" t="str">
        <f ca="1">IFERROR(IF(VLOOKUP($A11,'Шаг2.Бланк заказа NEW'!$B$17:$O$201,14,0)="","",VLOOKUP($A11,'Шаг2.Бланк заказа NEW'!$B$17:$O$201,14,0)),"")</f>
        <v/>
      </c>
      <c r="R11" s="147" t="str">
        <f ca="1">IFERROR(IFERROR(IF(VLOOKUP($A11,'Шаг2.Бланк заказа NEW'!$B$17:$N$201,4,0)="","",VLOOKUP($A11,'Шаг2.Бланк заказа NEW'!$B$17:$N$201,4,0)),
IF(VLOOKUP($A11-COUNT('Шаг2.Бланк заказа NEW'!$B$19:$B$201),'Бланк OLD 0.8 04'!$B$12:$K$200,4,0)&gt;0,0.8,
IF(VLOOKUP($A11-COUNT('Шаг2.Бланк заказа NEW'!$B$19:$B$201),'Бланк OLD 0.8 04'!$B$12:$K$200,5,0)&gt;0,0.4,""))),
IF(VLOOKUP($A11-COUNT('Шаг2.Бланк заказа NEW'!$B$19:$B$201)-COUNT('Бланк OLD 0.8 04'!$B$18:$B$200),'Бланк OLD 2.0 04 '!$B$16:$K$200,4,0)&gt;0,2,IF(VLOOKUP($A11-COUNT('Шаг2.Бланк заказа NEW'!$B$19:$B$201)-COUNT('Бланк OLD 0.8 04'!$B$18:$B$200),'Бланк OLD 2.0 04 '!$B$16:$K$200,5,0)&gt;0,0.4,"")))</f>
        <v/>
      </c>
      <c r="S11" s="147" t="str">
        <f ca="1">IFERROR(IFERROR(IF(VLOOKUP($A11,'Шаг2.Бланк заказа NEW'!$B$17:$N$201,5,0)="","",VLOOKUP($A11,'Шаг2.Бланк заказа NEW'!$B$17:$N$201,5,0)),
IF(VLOOKUP($A11-COUNT('Шаг2.Бланк заказа NEW'!$B$19:$B$201),'Бланк OLD 0.8 04'!$B$12:$K$200,4,0)&gt;1,0.8,
IF(VLOOKUP($A11-COUNT('Шаг2.Бланк заказа NEW'!$B$19:$B$201),'Бланк OLD 0.8 04'!$B$12:$K$200,5,0)&gt;1,0.4,
IF(AND(VLOOKUP($A11-COUNT('Шаг2.Бланк заказа NEW'!$B$19:$B$201),'Бланк OLD 0.8 04'!$B$12:$K$200,4,0)&gt;0,VLOOKUP($A11-COUNT('Шаг2.Бланк заказа NEW'!$B$19:$B$201),'Бланк OLD 0.8 04'!$B$12:$K$200,5,0)&gt;0),0.4,"")))),
IF(VLOOKUP($A11-COUNT('Шаг2.Бланк заказа NEW'!$B$19:$B$201)-COUNT('Бланк OLD 0.8 04'!$B$18:$B$200),'Бланк OLD 2.0 04 '!$B$16:$K$200,4,0)&gt;1,2,
IF(VLOOKUP($A11-COUNT('Шаг2.Бланк заказа NEW'!$B$19:$B$201)-COUNT('Бланк OLD 0.8 04'!$B$18:$B$200),'Бланк OLD 2.0 04 '!$B$16:$K$200,5,0)&gt;1,0.4,IF(AND(VLOOKUP($A11-COUNT('Шаг2.Бланк заказа NEW'!$B$19:$B$201)-COUNT('Бланк OLD 0.8 04'!$B$18:$B$200),'Бланк OLD 2.0 04 '!$B$16:$K$200,4,0)&gt;0,VLOOKUP($A11-COUNT('Шаг2.Бланк заказа NEW'!$B$19:$B$201)-COUNT('Бланк OLD 0.8 04'!$B$18:$B$200),'Бланк OLD 2.0 04 '!$B$16:$K$200,5,0)&gt;0),0.4,""))))</f>
        <v/>
      </c>
      <c r="T11" s="147" t="str">
        <f ca="1">IFERROR(IFERROR(IF(VLOOKUP($A11,'Шаг2.Бланк заказа NEW'!$B$17:$N$201,7,0)="","",VLOOKUP($A11,'Шаг2.Бланк заказа NEW'!$B$17:$N$201,7,0)),
IF(VLOOKUP($A11-COUNT('Шаг2.Бланк заказа NEW'!$B$19:$B$201),'Бланк OLD 0.8 04'!$B$12:$K$200,7,0)&gt;0,0.8,
IF(VLOOKUP($A11-COUNT('Шаг2.Бланк заказа NEW'!$B$19:$B$201),'Бланк OLD 0.8 04'!$B$12:$K$200,8,0)&gt;0,0.4,""))),
IF(VLOOKUP($A11-COUNT('Шаг2.Бланк заказа NEW'!$B$19:$B$201)-COUNT('Бланк OLD 0.8 04'!$B$18:$B$200),'Бланк OLD 2.0 04 '!$B$16:$K$200,7,0)&gt;0,2,IF(VLOOKUP($A11-COUNT('Шаг2.Бланк заказа NEW'!$B$19:$B$201)-COUNT('Бланк OLD 0.8 04'!$B$18:$B$200),'Бланк OLD 2.0 04 '!$B$16:$K$200,8,0)&gt;0,0.4,"")))</f>
        <v/>
      </c>
      <c r="U11" s="147" t="str">
        <f ca="1">IFERROR(IFERROR(IF(VLOOKUP($A11,'Шаг2.Бланк заказа NEW'!$B$17:$N$201,8,0)="","",VLOOKUP($A11,'Шаг2.Бланк заказа NEW'!$B$17:$N$201,8,0)),
IF(VLOOKUP($A11-COUNT('Шаг2.Бланк заказа NEW'!$B$19:$B$201),'Бланк OLD 0.8 04'!$B$12:$K$200,7,0)&gt;1,0.8,
IF(VLOOKUP($A11-COUNT('Шаг2.Бланк заказа NEW'!$B$19:$B$201),'Бланк OLD 0.8 04'!$B$12:$K$200,8,0)&gt;1,0.4,
IF(AND(VLOOKUP($A11-COUNT('Шаг2.Бланк заказа NEW'!$B$19:$B$201),'Бланк OLD 0.8 04'!$B$12:$K$200,7,0)&gt;0,VLOOKUP($A11-COUNT('Шаг2.Бланк заказа NEW'!$B$19:$B$201),'Бланк OLD 0.8 04'!$B$12:$K$200,8,0)&gt;0),0.4,"")))),
IF(VLOOKUP($A11-COUNT('Шаг2.Бланк заказа NEW'!$B$19:$B$201)-COUNT('Бланк OLD 0.8 04'!$B$18:$B$200),'Бланк OLD 2.0 04 '!$B$16:$K$200,7,0)&gt;1,2,
IF(VLOOKUP($A11-COUNT('Шаг2.Бланк заказа NEW'!$B$19:$B$201)-COUNT('Бланк OLD 0.8 04'!$B$18:$B$200),'Бланк OLD 2.0 04 '!$B$16:$K$200,8,0)&gt;1,0.4,
IF(AND(VLOOKUP($A11-COUNT('Шаг2.Бланк заказа NEW'!$B$19:$B$201)-COUNT('Бланк OLD 0.8 04'!$B$18:$B$200),'Бланк OLD 2.0 04 '!$B$16:$K$200,7,0)&gt;0,VLOOKUP($A11-COUNT('Шаг2.Бланк заказа NEW'!$B$19:$B$201)-COUNT('Бланк OLD 0.8 04'!$B$18:$B$200),'Бланк OLD 2.0 04 '!$B$16:$K$200,8,0)&gt;0),0.4,""))))</f>
        <v/>
      </c>
      <c r="V11" s="146" t="str">
        <f ca="1">IFERROR(VLOOKUP(C11,'Шаг1.Выбор плиты'!C:S,12,0),"")</f>
        <v/>
      </c>
      <c r="W11" s="146" t="str">
        <f ca="1">IFERROR(VLOOKUP(C11,'Шаг1.Выбор плиты'!C:S,8,0),"")</f>
        <v/>
      </c>
      <c r="X11" s="146" t="str">
        <f ca="1">IFERROR(VLOOKUP(C11,'Шаг1.Выбор плиты'!C:S,10,0),"")</f>
        <v/>
      </c>
      <c r="Y11" s="147" t="str">
        <f t="shared" ca="1" si="1"/>
        <v/>
      </c>
      <c r="Z11" s="174">
        <f ca="1">'Шаг2.Бланк заказа NEW'!O15</f>
        <v>0</v>
      </c>
      <c r="AD11" s="147" t="str">
        <f t="shared" ca="1" si="2"/>
        <v/>
      </c>
      <c r="AE11" s="147" t="str">
        <f t="shared" ca="1" si="3"/>
        <v/>
      </c>
      <c r="AH11" s="147" t="str">
        <f ca="1">IF(C11="","",VLOOKUP(C11,'Шаг1.Выбор плиты'!C:Q,7,0))</f>
        <v/>
      </c>
      <c r="AI11" s="147" t="str">
        <f t="shared" ca="1" si="4"/>
        <v/>
      </c>
    </row>
    <row r="12" spans="1:35" x14ac:dyDescent="0.2">
      <c r="A12" s="151" t="str">
        <f ca="1">IF(C12="","",MAX($A$1:OFFSET(C12,-1,0))+1)</f>
        <v/>
      </c>
      <c r="B12" s="151" t="str">
        <f ca="1">IFERROR(IFERROR(IFERROR("Шаг2.Бланк заказа NEW №"&amp;VLOOKUP(A11+1,CHOOSE({1,2},'Шаг2.Бланк заказа NEW'!$B$19:$B$201,'Шаг2.Бланк заказа NEW'!$A$19:$A$201),1,0),
"Бланк OLD 0.8 04 №"&amp;VLOOKUP(A11+1-COUNT('Шаг2.Бланк заказа NEW'!$B$19:$B$201),CHOOSE({1,2},'Бланк OLD 0.8 04'!$B$18:$B$200,'Бланк OLD 0.8 04'!$A$18:$A$200),1,0)),
"Бланк OLD 2.0 04 №"&amp;VLOOKUP(A11+1-COUNT('Шаг2.Бланк заказа NEW'!$B$19:$B$201)-COUNT('Бланк OLD 0.8 04'!$B$18:$B$200),CHOOSE({1,2},'Бланк OLD 2.0 04 '!$B$18:$B$200,'Бланк OLD 2.0 04 '!$A$18:$A$200),1,0)),"")</f>
        <v/>
      </c>
      <c r="C12" s="152" t="str">
        <f ca="1">IFERROR(IFERROR(IFERROR(VLOOKUP(A11+1,CHOOSE({1,2},'Шаг2.Бланк заказа NEW'!$B$19:$B$201,'Шаг2.Бланк заказа NEW'!$A$19:$A$201),2,0),
VLOOKUP(A11+1-COUNT('Шаг2.Бланк заказа NEW'!$B$19:$B$201),CHOOSE({1,2},'Бланк OLD 0.8 04'!$B$18:$B$200,'Бланк OLD 0.8 04'!$A$18:$A$200),2,0)),
VLOOKUP(A11+1-COUNT('Шаг2.Бланк заказа NEW'!$B$19:$B$201)-COUNT('Бланк OLD 0.8 04'!$B$18:$B$200),CHOOSE({1,2},'Бланк OLD 2.0 04 '!$B$18:$B$200,'Бланк OLD 2.0 04 '!$A$18:$A$200),2,0)),"")</f>
        <v/>
      </c>
      <c r="D12" s="150" t="str">
        <f ca="1">IFERROR(VLOOKUP(C12,'Шаг1.Выбор плиты'!C:G,5,0),"")</f>
        <v/>
      </c>
      <c r="E12" s="147" t="str">
        <f ca="1">IFERROR(IFERROR(IF(VLOOKUP($A12,'Шаг2.Бланк заказа NEW'!$B$17:$N$201,2,0)="","",VLOOKUP($A12,'Шаг2.Бланк заказа NEW'!$B$17:$N$201,2,0)),
IF(VLOOKUP($A12-COUNT('Шаг2.Бланк заказа NEW'!$B$19:$B$201),'Бланк OLD 0.8 04'!$B$12:$K$200,2,0)="","",VLOOKUP($A12-COUNT('Шаг2.Бланк заказа NEW'!$B$19:$B$201),'Бланк OLD 0.8 04'!$B$12:$K$200,2,0))),
IF(VLOOKUP($A12-COUNT('Шаг2.Бланк заказа NEW'!$B$19:$B$201)-COUNT('Бланк OLD 0.8 04'!$B$18:$B$200),'Бланк OLD 2.0 04 '!$B$16:$K$200,2,0)="","",VLOOKUP($A12-COUNT('Шаг2.Бланк заказа NEW'!$B$19:$B$201)-COUNT('Бланк OLD 0.8 04'!$B$18:$B$200),'Бланк OLD 2.0 04 '!$B$16:$K$200,2,0)))</f>
        <v/>
      </c>
      <c r="F12" s="147" t="str">
        <f ca="1">IFERROR(IFERROR(IF(VLOOKUP($A12,'Шаг2.Бланк заказа NEW'!$B$17:$N$201,3,0)="","",VLOOKUP($A12,'Шаг2.Бланк заказа NEW'!$B$17:$N$201,3,0)),
IF(VLOOKUP($A12-COUNT('Шаг2.Бланк заказа NEW'!$B$19:$B$201),'Бланк OLD 0.8 04'!$B$12:$K$200,3,0)="","",VLOOKUP($A12-COUNT('Шаг2.Бланк заказа NEW'!$B$19:$B$201),'Бланк OLD 0.8 04'!$B$12:$K$200,3,0))),
IF(VLOOKUP($A12-COUNT('Шаг2.Бланк заказа NEW'!$B$19:$B$201)-COUNT('Бланк OLD 0.8 04'!$B$18:$B$200),'Бланк OLD 2.0 04 '!$B$16:$K$200,3,0)="","",VLOOKUP($A12-COUNT('Шаг2.Бланк заказа NEW'!$B$19:$B$201)-COUNT('Бланк OLD 0.8 04'!$B$18:$B$200),'Бланк OLD 2.0 04 '!$B$16:$K$200,3,0)))</f>
        <v/>
      </c>
      <c r="G12" s="176" t="str">
        <f ca="1">IF(IF(R12="","",IF(R12=1,SUMIFS('Шаг1.Выбор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плиты'!C:Q,12,0)),1))))))=0,
R12,
IF(R12="","",IF(R12=1,SUMIFS('Шаг1.Выбор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плиты'!N:N,R12,'Шаг1.Выбор плиты'!M:M,SMALL(INDIRECT("мм"&amp;VLOOKUP(C12,'Шаг1.Выбор плиты'!C:Q,12,0)),1)))))))</f>
        <v/>
      </c>
      <c r="H12" s="177" t="str">
        <f ca="1">IF(IF(S12="","",IF(S12=1,SUMIFS('Шаг1.Выбор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плиты'!C:Q,12,0)),1))))))=0,
S12,
IF(S12="","",IF(S12=1,SUMIFS('Шаг1.Выбор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плиты'!N:N,S12,'Шаг1.Выбор плиты'!M:M,SMALL(INDIRECT("мм"&amp;VLOOKUP(C12,'Шаг1.Выбор плиты'!C:Q,12,0)),1)))))))</f>
        <v/>
      </c>
      <c r="I12" s="147" t="str">
        <f ca="1">IFERROR(IFERROR(IF(VLOOKUP($A12,'Шаг2.Бланк заказа NEW'!$B$17:$N$201,6,0)="","",VLOOKUP($A12,'Шаг2.Бланк заказа NEW'!$B$17:$N$201,6,0)),
IF(VLOOKUP($A12-COUNT('Шаг2.Бланк заказа NEW'!$B$19:$B$201),'Бланк OLD 0.8 04'!$B$12:$K$200,6,0)="","",VLOOKUP($A12-COUNT('Шаг2.Бланк заказа NEW'!$B$19:$B$201),'Бланк OLD 0.8 04'!$B$12:$K$200,6,0))),
IF(VLOOKUP($A12-COUNT('Шаг2.Бланк заказа NEW'!$B$19:$B$201)-COUNT('Бланк OLD 0.8 04'!$B$18:$B$200),'Бланк OLD 2.0 04 '!$B$16:$K$200,6,0)="","",VLOOKUP($A12-COUNT('Шаг2.Бланк заказа NEW'!$B$19:$B$201)-COUNT('Бланк OLD 0.8 04'!$B$18:$B$200),'Бланк OLD 2.0 04 '!$B$16:$K$200,6,0)))</f>
        <v/>
      </c>
      <c r="J12" s="177" t="str">
        <f ca="1">IF(IF(T12="","",IF(T12=1,SUMIFS('Шаг1.Выбор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плиты'!C:Q,12,0)),1))))))=0,
T12,
IF(T12="","",IF(T12=1,SUMIFS('Шаг1.Выбор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плиты'!N:N,T12,'Шаг1.Выбор плиты'!M:M,SMALL(INDIRECT("мм"&amp;VLOOKUP(C12,'Шаг1.Выбор плиты'!C:Q,12,0)),1)))))))</f>
        <v/>
      </c>
      <c r="K12" s="177" t="str">
        <f ca="1">IF(IF(U12="","",IF(U12=1,SUMIFS('Шаг1.Выбор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плиты'!C:Q,12,0)),1))))))=0,
U12,
IF(U12="","",IF(U12=1,SUMIFS('Шаг1.Выбор плиты'!$G:$G,'Шаг1.Выбор плиты'!J:J,"*"&amp;RIGHT(VLOOKUP(C12,'Шаг1.Выбор плиты'!C:Q,8,0),4),'Шаг1.Выбор плиты'!L:L,IF(MID(C12,1,6)="ЛДСП P","TM"&amp;MID(VLOOKUP(C12,'Шаг1.Выбор плиты'!C:Q,10,0),3,2),MID(VLOOKUP(C12,'Шаг1.Выбор плиты'!C:Q,10,0),1,2)),
'Шаг1.Выбор плиты'!N:N,1),IF(SUMIFS('Шаг1.Выбор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плиты'!C:Q,12,0)),1))=0,
IF(SUMIFS('Шаг1.Выбор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плиты'!C:Q,12,0)),2))=0,
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плиты'!C:Q,12,0)),3)),
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плиты'!C:Q,12,0)),2))),
(SUMIFS('Шаг1.Выбор плиты'!$G:$G,'Шаг1.Выбор плиты'!J:J,"*"&amp;RIGHT(VLOOKUP(C12,'Шаг1.Выбор плиты'!C:Q,8,0),4),'Шаг1.Выбор плиты'!L:L,VLOOKUP(C12,'Шаг1.Выбор плиты'!C:Q,10,0),'Шаг1.Выбор плиты'!N:N,U12,'Шаг1.Выбор плиты'!M:M,SMALL(INDIRECT("мм"&amp;VLOOKUP(C12,'Шаг1.Выбор плиты'!C:Q,12,0)),1)))))))</f>
        <v/>
      </c>
      <c r="L12" s="147" t="str">
        <f ca="1">IFERROR(IFERROR(IF(VLOOKUP($A12,'Шаг2.Бланк заказа NEW'!$B$17:$N$201,9,0)="","",VLOOKUP($A12,'Шаг2.Бланк заказа NEW'!$B$17:$N$201,9,0)),
IF(VLOOKUP($A12-COUNT('Шаг2.Бланк заказа NEW'!$B$19:$B$201),'Бланк OLD 0.8 04'!$B$12:$K$200,9,0)="","",VLOOKUP($A12-COUNT('Шаг2.Бланк заказа NEW'!$B$19:$B$201),'Бланк OLD 0.8 04'!$B$12:$K$200,9,0))),
IF(VLOOKUP($A12-COUNT('Шаг2.Бланк заказа NEW'!$B$19:$B$201)-COUNT('Бланк OLD 0.8 04'!$B$18:$B$200),'Бланк OLD 2.0 04 '!$B$16:$K$200,9,0)="","",VLOOKUP($A12-COUNT('Шаг2.Бланк заказа NEW'!$B$19:$B$201)-COUNT('Бланк OLD 0.8 04'!$B$18:$B$200),'Бланк OLD 2.0 04 '!$B$16:$K$200,9,0)))</f>
        <v/>
      </c>
      <c r="M12" s="154" t="str">
        <f t="shared" ca="1" si="0"/>
        <v/>
      </c>
      <c r="N12" s="153" t="str">
        <f ca="1">IFERROR(IF(VLOOKUP($A12,'Шаг2.Бланк заказа NEW'!$B$17:$N$201,11,0)="","",VLOOKUP($A12,'Шаг2.Бланк заказа NEW'!$B$17:$N$201,11,0)),
"Нет")</f>
        <v/>
      </c>
      <c r="O12" s="147" t="str">
        <f ca="1">IFERROR(IF(VLOOKUP($A12,'Шаг2.Бланк заказа NEW'!$B$17:$N$201,11,0)="","",VLOOKUP($A12,'Шаг2.Бланк заказа NEW'!$B$17:$N$201,12,0)),
"Нет")</f>
        <v/>
      </c>
      <c r="P12" s="153" t="str">
        <f ca="1">IFERROR(IF(VLOOKUP($A12,'Шаг2.Бланк заказа NEW'!$B$17:$N$201,13,0)="","",VLOOKUP($A12,'Шаг2.Бланк заказа NEW'!$B$17:$N$201,13,0)),
"Нет")</f>
        <v/>
      </c>
      <c r="Q12" s="147" t="str">
        <f ca="1">IFERROR(IF(VLOOKUP($A12,'Шаг2.Бланк заказа NEW'!$B$17:$O$201,14,0)="","",VLOOKUP($A12,'Шаг2.Бланк заказа NEW'!$B$17:$O$201,14,0)),"")</f>
        <v/>
      </c>
      <c r="R12" s="147" t="str">
        <f ca="1">IFERROR(IFERROR(IF(VLOOKUP($A12,'Шаг2.Бланк заказа NEW'!$B$17:$N$201,4,0)="","",VLOOKUP($A12,'Шаг2.Бланк заказа NEW'!$B$17:$N$201,4,0)),
IF(VLOOKUP($A12-COUNT('Шаг2.Бланк заказа NEW'!$B$19:$B$201),'Бланк OLD 0.8 04'!$B$12:$K$200,4,0)&gt;0,0.8,
IF(VLOOKUP($A12-COUNT('Шаг2.Бланк заказа NEW'!$B$19:$B$201),'Бланк OLD 0.8 04'!$B$12:$K$200,5,0)&gt;0,0.4,""))),
IF(VLOOKUP($A12-COUNT('Шаг2.Бланк заказа NEW'!$B$19:$B$201)-COUNT('Бланк OLD 0.8 04'!$B$18:$B$200),'Бланк OLD 2.0 04 '!$B$16:$K$200,4,0)&gt;0,2,IF(VLOOKUP($A12-COUNT('Шаг2.Бланк заказа NEW'!$B$19:$B$201)-COUNT('Бланк OLD 0.8 04'!$B$18:$B$200),'Бланк OLD 2.0 04 '!$B$16:$K$200,5,0)&gt;0,0.4,"")))</f>
        <v/>
      </c>
      <c r="S12" s="147" t="str">
        <f ca="1">IFERROR(IFERROR(IF(VLOOKUP($A12,'Шаг2.Бланк заказа NEW'!$B$17:$N$201,5,0)="","",VLOOKUP($A12,'Шаг2.Бланк заказа NEW'!$B$17:$N$201,5,0)),
IF(VLOOKUP($A12-COUNT('Шаг2.Бланк заказа NEW'!$B$19:$B$201),'Бланк OLD 0.8 04'!$B$12:$K$200,4,0)&gt;1,0.8,
IF(VLOOKUP($A12-COUNT('Шаг2.Бланк заказа NEW'!$B$19:$B$201),'Бланк OLD 0.8 04'!$B$12:$K$200,5,0)&gt;1,0.4,
IF(AND(VLOOKUP($A12-COUNT('Шаг2.Бланк заказа NEW'!$B$19:$B$201),'Бланк OLD 0.8 04'!$B$12:$K$200,4,0)&gt;0,VLOOKUP($A12-COUNT('Шаг2.Бланк заказа NEW'!$B$19:$B$201),'Бланк OLD 0.8 04'!$B$12:$K$200,5,0)&gt;0),0.4,"")))),
IF(VLOOKUP($A12-COUNT('Шаг2.Бланк заказа NEW'!$B$19:$B$201)-COUNT('Бланк OLD 0.8 04'!$B$18:$B$200),'Бланк OLD 2.0 04 '!$B$16:$K$200,4,0)&gt;1,2,
IF(VLOOKUP($A12-COUNT('Шаг2.Бланк заказа NEW'!$B$19:$B$201)-COUNT('Бланк OLD 0.8 04'!$B$18:$B$200),'Бланк OLD 2.0 04 '!$B$16:$K$200,5,0)&gt;1,0.4,IF(AND(VLOOKUP($A12-COUNT('Шаг2.Бланк заказа NEW'!$B$19:$B$201)-COUNT('Бланк OLD 0.8 04'!$B$18:$B$200),'Бланк OLD 2.0 04 '!$B$16:$K$200,4,0)&gt;0,VLOOKUP($A12-COUNT('Шаг2.Бланк заказа NEW'!$B$19:$B$201)-COUNT('Бланк OLD 0.8 04'!$B$18:$B$200),'Бланк OLD 2.0 04 '!$B$16:$K$200,5,0)&gt;0),0.4,""))))</f>
        <v/>
      </c>
      <c r="T12" s="147" t="str">
        <f ca="1">IFERROR(IFERROR(IF(VLOOKUP($A12,'Шаг2.Бланк заказа NEW'!$B$17:$N$201,7,0)="","",VLOOKUP($A12,'Шаг2.Бланк заказа NEW'!$B$17:$N$201,7,0)),
IF(VLOOKUP($A12-COUNT('Шаг2.Бланк заказа NEW'!$B$19:$B$201),'Бланк OLD 0.8 04'!$B$12:$K$200,7,0)&gt;0,0.8,
IF(VLOOKUP($A12-COUNT('Шаг2.Бланк заказа NEW'!$B$19:$B$201),'Бланк OLD 0.8 04'!$B$12:$K$200,8,0)&gt;0,0.4,""))),
IF(VLOOKUP($A12-COUNT('Шаг2.Бланк заказа NEW'!$B$19:$B$201)-COUNT('Бланк OLD 0.8 04'!$B$18:$B$200),'Бланк OLD 2.0 04 '!$B$16:$K$200,7,0)&gt;0,2,IF(VLOOKUP($A12-COUNT('Шаг2.Бланк заказа NEW'!$B$19:$B$201)-COUNT('Бланк OLD 0.8 04'!$B$18:$B$200),'Бланк OLD 2.0 04 '!$B$16:$K$200,8,0)&gt;0,0.4,"")))</f>
        <v/>
      </c>
      <c r="U12" s="147" t="str">
        <f ca="1">IFERROR(IFERROR(IF(VLOOKUP($A12,'Шаг2.Бланк заказа NEW'!$B$17:$N$201,8,0)="","",VLOOKUP($A12,'Шаг2.Бланк заказа NEW'!$B$17:$N$201,8,0)),
IF(VLOOKUP($A12-COUNT('Шаг2.Бланк заказа NEW'!$B$19:$B$201),'Бланк OLD 0.8 04'!$B$12:$K$200,7,0)&gt;1,0.8,
IF(VLOOKUP($A12-COUNT('Шаг2.Бланк заказа NEW'!$B$19:$B$201),'Бланк OLD 0.8 04'!$B$12:$K$200,8,0)&gt;1,0.4,
IF(AND(VLOOKUP($A12-COUNT('Шаг2.Бланк заказа NEW'!$B$19:$B$201),'Бланк OLD 0.8 04'!$B$12:$K$200,7,0)&gt;0,VLOOKUP($A12-COUNT('Шаг2.Бланк заказа NEW'!$B$19:$B$201),'Бланк OLD 0.8 04'!$B$12:$K$200,8,0)&gt;0),0.4,"")))),
IF(VLOOKUP($A12-COUNT('Шаг2.Бланк заказа NEW'!$B$19:$B$201)-COUNT('Бланк OLD 0.8 04'!$B$18:$B$200),'Бланк OLD 2.0 04 '!$B$16:$K$200,7,0)&gt;1,2,
IF(VLOOKUP($A12-COUNT('Шаг2.Бланк заказа NEW'!$B$19:$B$201)-COUNT('Бланк OLD 0.8 04'!$B$18:$B$200),'Бланк OLD 2.0 04 '!$B$16:$K$200,8,0)&gt;1,0.4,
IF(AND(VLOOKUP($A12-COUNT('Шаг2.Бланк заказа NEW'!$B$19:$B$201)-COUNT('Бланк OLD 0.8 04'!$B$18:$B$200),'Бланк OLD 2.0 04 '!$B$16:$K$200,7,0)&gt;0,VLOOKUP($A12-COUNT('Шаг2.Бланк заказа NEW'!$B$19:$B$201)-COUNT('Бланк OLD 0.8 04'!$B$18:$B$200),'Бланк OLD 2.0 04 '!$B$16:$K$200,8,0)&gt;0),0.4,""))))</f>
        <v/>
      </c>
      <c r="V12" s="146" t="str">
        <f ca="1">IFERROR(VLOOKUP(C12,'Шаг1.Выбор плиты'!C:S,12,0),"")</f>
        <v/>
      </c>
      <c r="W12" s="146" t="str">
        <f ca="1">IFERROR(VLOOKUP(C12,'Шаг1.Выбор плиты'!C:S,8,0),"")</f>
        <v/>
      </c>
      <c r="X12" s="146" t="str">
        <f ca="1">IFERROR(VLOOKUP(C12,'Шаг1.Выбор плиты'!C:S,10,0),"")</f>
        <v/>
      </c>
      <c r="Y12" s="147" t="str">
        <f t="shared" ca="1" si="1"/>
        <v/>
      </c>
      <c r="AD12" s="147" t="str">
        <f t="shared" ca="1" si="2"/>
        <v/>
      </c>
      <c r="AE12" s="147" t="str">
        <f t="shared" ca="1" si="3"/>
        <v/>
      </c>
      <c r="AH12" s="147" t="str">
        <f ca="1">IF(C12="","",VLOOKUP(C12,'Шаг1.Выбор плиты'!C:Q,7,0))</f>
        <v/>
      </c>
      <c r="AI12" s="147" t="str">
        <f t="shared" ca="1" si="4"/>
        <v/>
      </c>
    </row>
    <row r="13" spans="1:35" x14ac:dyDescent="0.2">
      <c r="A13" s="151" t="str">
        <f ca="1">IF(C13="","",MAX($A$1:OFFSET(C13,-1,0))+1)</f>
        <v/>
      </c>
      <c r="B13" s="151" t="str">
        <f ca="1">IFERROR(IFERROR(IFERROR("Шаг2.Бланк заказа NEW №"&amp;VLOOKUP(A12+1,CHOOSE({1,2},'Шаг2.Бланк заказа NEW'!$B$19:$B$201,'Шаг2.Бланк заказа NEW'!$A$19:$A$201),1,0),
"Бланк OLD 0.8 04 №"&amp;VLOOKUP(A12+1-COUNT('Шаг2.Бланк заказа NEW'!$B$19:$B$201),CHOOSE({1,2},'Бланк OLD 0.8 04'!$B$18:$B$200,'Бланк OLD 0.8 04'!$A$18:$A$200),1,0)),
"Бланк OLD 2.0 04 №"&amp;VLOOKUP(A12+1-COUNT('Шаг2.Бланк заказа NEW'!$B$19:$B$201)-COUNT('Бланк OLD 0.8 04'!$B$18:$B$200),CHOOSE({1,2},'Бланк OLD 2.0 04 '!$B$18:$B$200,'Бланк OLD 2.0 04 '!$A$18:$A$200),1,0)),"")</f>
        <v/>
      </c>
      <c r="C13" s="152" t="str">
        <f ca="1">IFERROR(IFERROR(IFERROR(VLOOKUP(A12+1,CHOOSE({1,2},'Шаг2.Бланк заказа NEW'!$B$19:$B$201,'Шаг2.Бланк заказа NEW'!$A$19:$A$201),2,0),
VLOOKUP(A12+1-COUNT('Шаг2.Бланк заказа NEW'!$B$19:$B$201),CHOOSE({1,2},'Бланк OLD 0.8 04'!$B$18:$B$200,'Бланк OLD 0.8 04'!$A$18:$A$200),2,0)),
VLOOKUP(A12+1-COUNT('Шаг2.Бланк заказа NEW'!$B$19:$B$201)-COUNT('Бланк OLD 0.8 04'!$B$18:$B$200),CHOOSE({1,2},'Бланк OLD 2.0 04 '!$B$18:$B$200,'Бланк OLD 2.0 04 '!$A$18:$A$200),2,0)),"")</f>
        <v/>
      </c>
      <c r="D13" s="150" t="str">
        <f ca="1">IFERROR(VLOOKUP(C13,'Шаг1.Выбор плиты'!C:G,5,0),"")</f>
        <v/>
      </c>
      <c r="E13" s="147" t="str">
        <f ca="1">IFERROR(IFERROR(IF(VLOOKUP($A13,'Шаг2.Бланк заказа NEW'!$B$17:$N$201,2,0)="","",VLOOKUP($A13,'Шаг2.Бланк заказа NEW'!$B$17:$N$201,2,0)),
IF(VLOOKUP($A13-COUNT('Шаг2.Бланк заказа NEW'!$B$19:$B$201),'Бланк OLD 0.8 04'!$B$12:$K$200,2,0)="","",VLOOKUP($A13-COUNT('Шаг2.Бланк заказа NEW'!$B$19:$B$201),'Бланк OLD 0.8 04'!$B$12:$K$200,2,0))),
IF(VLOOKUP($A13-COUNT('Шаг2.Бланк заказа NEW'!$B$19:$B$201)-COUNT('Бланк OLD 0.8 04'!$B$18:$B$200),'Бланк OLD 2.0 04 '!$B$16:$K$200,2,0)="","",VLOOKUP($A13-COUNT('Шаг2.Бланк заказа NEW'!$B$19:$B$201)-COUNT('Бланк OLD 0.8 04'!$B$18:$B$200),'Бланк OLD 2.0 04 '!$B$16:$K$200,2,0)))</f>
        <v/>
      </c>
      <c r="F13" s="147" t="str">
        <f ca="1">IFERROR(IFERROR(IF(VLOOKUP($A13,'Шаг2.Бланк заказа NEW'!$B$17:$N$201,3,0)="","",VLOOKUP($A13,'Шаг2.Бланк заказа NEW'!$B$17:$N$201,3,0)),
IF(VLOOKUP($A13-COUNT('Шаг2.Бланк заказа NEW'!$B$19:$B$201),'Бланк OLD 0.8 04'!$B$12:$K$200,3,0)="","",VLOOKUP($A13-COUNT('Шаг2.Бланк заказа NEW'!$B$19:$B$201),'Бланк OLD 0.8 04'!$B$12:$K$200,3,0))),
IF(VLOOKUP($A13-COUNT('Шаг2.Бланк заказа NEW'!$B$19:$B$201)-COUNT('Бланк OLD 0.8 04'!$B$18:$B$200),'Бланк OLD 2.0 04 '!$B$16:$K$200,3,0)="","",VLOOKUP($A13-COUNT('Шаг2.Бланк заказа NEW'!$B$19:$B$201)-COUNT('Бланк OLD 0.8 04'!$B$18:$B$200),'Бланк OLD 2.0 04 '!$B$16:$K$200,3,0)))</f>
        <v/>
      </c>
      <c r="G13" s="176" t="str">
        <f ca="1">IF(IF(R13="","",IF(R13=1,SUMIFS('Шаг1.Выбор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плиты'!C:Q,12,0)),1))))))=0,
R13,
IF(R13="","",IF(R13=1,SUMIFS('Шаг1.Выбор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плиты'!N:N,R13,'Шаг1.Выбор плиты'!M:M,SMALL(INDIRECT("мм"&amp;VLOOKUP(C13,'Шаг1.Выбор плиты'!C:Q,12,0)),1)))))))</f>
        <v/>
      </c>
      <c r="H13" s="177" t="str">
        <f ca="1">IF(IF(S13="","",IF(S13=1,SUMIFS('Шаг1.Выбор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плиты'!C:Q,12,0)),1))))))=0,
S13,
IF(S13="","",IF(S13=1,SUMIFS('Шаг1.Выбор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плиты'!N:N,S13,'Шаг1.Выбор плиты'!M:M,SMALL(INDIRECT("мм"&amp;VLOOKUP(C13,'Шаг1.Выбор плиты'!C:Q,12,0)),1)))))))</f>
        <v/>
      </c>
      <c r="I13" s="147" t="str">
        <f ca="1">IFERROR(IFERROR(IF(VLOOKUP($A13,'Шаг2.Бланк заказа NEW'!$B$17:$N$201,6,0)="","",VLOOKUP($A13,'Шаг2.Бланк заказа NEW'!$B$17:$N$201,6,0)),
IF(VLOOKUP($A13-COUNT('Шаг2.Бланк заказа NEW'!$B$19:$B$201),'Бланк OLD 0.8 04'!$B$12:$K$200,6,0)="","",VLOOKUP($A13-COUNT('Шаг2.Бланк заказа NEW'!$B$19:$B$201),'Бланк OLD 0.8 04'!$B$12:$K$200,6,0))),
IF(VLOOKUP($A13-COUNT('Шаг2.Бланк заказа NEW'!$B$19:$B$201)-COUNT('Бланк OLD 0.8 04'!$B$18:$B$200),'Бланк OLD 2.0 04 '!$B$16:$K$200,6,0)="","",VLOOKUP($A13-COUNT('Шаг2.Бланк заказа NEW'!$B$19:$B$201)-COUNT('Бланк OLD 0.8 04'!$B$18:$B$200),'Бланк OLD 2.0 04 '!$B$16:$K$200,6,0)))</f>
        <v/>
      </c>
      <c r="J13" s="177" t="str">
        <f ca="1">IF(IF(T13="","",IF(T13=1,SUMIFS('Шаг1.Выбор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плиты'!C:Q,12,0)),1))))))=0,
T13,
IF(T13="","",IF(T13=1,SUMIFS('Шаг1.Выбор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плиты'!N:N,T13,'Шаг1.Выбор плиты'!M:M,SMALL(INDIRECT("мм"&amp;VLOOKUP(C13,'Шаг1.Выбор плиты'!C:Q,12,0)),1)))))))</f>
        <v/>
      </c>
      <c r="K13" s="177" t="str">
        <f ca="1">IF(IF(U13="","",IF(U13=1,SUMIFS('Шаг1.Выбор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плиты'!C:Q,12,0)),1))))))=0,
U13,
IF(U13="","",IF(U13=1,SUMIFS('Шаг1.Выбор плиты'!$G:$G,'Шаг1.Выбор плиты'!J:J,"*"&amp;RIGHT(VLOOKUP(C13,'Шаг1.Выбор плиты'!C:Q,8,0),4),'Шаг1.Выбор плиты'!L:L,IF(MID(C13,1,6)="ЛДСП P","TM"&amp;MID(VLOOKUP(C13,'Шаг1.Выбор плиты'!C:Q,10,0),3,2),MID(VLOOKUP(C13,'Шаг1.Выбор плиты'!C:Q,10,0),1,2)),
'Шаг1.Выбор плиты'!N:N,1),IF(SUMIFS('Шаг1.Выбор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плиты'!C:Q,12,0)),1))=0,
IF(SUMIFS('Шаг1.Выбор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плиты'!C:Q,12,0)),2))=0,
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плиты'!C:Q,12,0)),3)),
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плиты'!C:Q,12,0)),2))),
(SUMIFS('Шаг1.Выбор плиты'!$G:$G,'Шаг1.Выбор плиты'!J:J,"*"&amp;RIGHT(VLOOKUP(C13,'Шаг1.Выбор плиты'!C:Q,8,0),4),'Шаг1.Выбор плиты'!L:L,VLOOKUP(C13,'Шаг1.Выбор плиты'!C:Q,10,0),'Шаг1.Выбор плиты'!N:N,U13,'Шаг1.Выбор плиты'!M:M,SMALL(INDIRECT("мм"&amp;VLOOKUP(C13,'Шаг1.Выбор плиты'!C:Q,12,0)),1)))))))</f>
        <v/>
      </c>
      <c r="L13" s="147" t="str">
        <f ca="1">IFERROR(IFERROR(IF(VLOOKUP($A13,'Шаг2.Бланк заказа NEW'!$B$17:$N$201,9,0)="","",VLOOKUP($A13,'Шаг2.Бланк заказа NEW'!$B$17:$N$201,9,0)),
IF(VLOOKUP($A13-COUNT('Шаг2.Бланк заказа NEW'!$B$19:$B$201),'Бланк OLD 0.8 04'!$B$12:$K$200,9,0)="","",VLOOKUP($A13-COUNT('Шаг2.Бланк заказа NEW'!$B$19:$B$201),'Бланк OLD 0.8 04'!$B$12:$K$200,9,0))),
IF(VLOOKUP($A13-COUNT('Шаг2.Бланк заказа NEW'!$B$19:$B$201)-COUNT('Бланк OLD 0.8 04'!$B$18:$B$200),'Бланк OLD 2.0 04 '!$B$16:$K$200,9,0)="","",VLOOKUP($A13-COUNT('Шаг2.Бланк заказа NEW'!$B$19:$B$201)-COUNT('Бланк OLD 0.8 04'!$B$18:$B$200),'Бланк OLD 2.0 04 '!$B$16:$K$200,9,0)))</f>
        <v/>
      </c>
      <c r="M13" s="154" t="str">
        <f t="shared" ca="1" si="0"/>
        <v/>
      </c>
      <c r="N13" s="153" t="str">
        <f ca="1">IFERROR(IF(VLOOKUP($A13,'Шаг2.Бланк заказа NEW'!$B$17:$N$201,11,0)="","",VLOOKUP($A13,'Шаг2.Бланк заказа NEW'!$B$17:$N$201,11,0)),
"Нет")</f>
        <v/>
      </c>
      <c r="O13" s="147" t="str">
        <f ca="1">IFERROR(IF(VLOOKUP($A13,'Шаг2.Бланк заказа NEW'!$B$17:$N$201,11,0)="","",VLOOKUP($A13,'Шаг2.Бланк заказа NEW'!$B$17:$N$201,12,0)),
"Нет")</f>
        <v/>
      </c>
      <c r="P13" s="153" t="str">
        <f ca="1">IFERROR(IF(VLOOKUP($A13,'Шаг2.Бланк заказа NEW'!$B$17:$N$201,13,0)="","",VLOOKUP($A13,'Шаг2.Бланк заказа NEW'!$B$17:$N$201,13,0)),
"Нет")</f>
        <v/>
      </c>
      <c r="Q13" s="147" t="str">
        <f ca="1">IFERROR(IF(VLOOKUP($A13,'Шаг2.Бланк заказа NEW'!$B$17:$O$201,14,0)="","",VLOOKUP($A13,'Шаг2.Бланк заказа NEW'!$B$17:$O$201,14,0)),"")</f>
        <v/>
      </c>
      <c r="R13" s="147" t="str">
        <f ca="1">IFERROR(IFERROR(IF(VLOOKUP($A13,'Шаг2.Бланк заказа NEW'!$B$17:$N$201,4,0)="","",VLOOKUP($A13,'Шаг2.Бланк заказа NEW'!$B$17:$N$201,4,0)),
IF(VLOOKUP($A13-COUNT('Шаг2.Бланк заказа NEW'!$B$19:$B$201),'Бланк OLD 0.8 04'!$B$12:$K$200,4,0)&gt;0,0.8,
IF(VLOOKUP($A13-COUNT('Шаг2.Бланк заказа NEW'!$B$19:$B$201),'Бланк OLD 0.8 04'!$B$12:$K$200,5,0)&gt;0,0.4,""))),
IF(VLOOKUP($A13-COUNT('Шаг2.Бланк заказа NEW'!$B$19:$B$201)-COUNT('Бланк OLD 0.8 04'!$B$18:$B$200),'Бланк OLD 2.0 04 '!$B$16:$K$200,4,0)&gt;0,2,IF(VLOOKUP($A13-COUNT('Шаг2.Бланк заказа NEW'!$B$19:$B$201)-COUNT('Бланк OLD 0.8 04'!$B$18:$B$200),'Бланк OLD 2.0 04 '!$B$16:$K$200,5,0)&gt;0,0.4,"")))</f>
        <v/>
      </c>
      <c r="S13" s="147" t="str">
        <f ca="1">IFERROR(IFERROR(IF(VLOOKUP($A13,'Шаг2.Бланк заказа NEW'!$B$17:$N$201,5,0)="","",VLOOKUP($A13,'Шаг2.Бланк заказа NEW'!$B$17:$N$201,5,0)),
IF(VLOOKUP($A13-COUNT('Шаг2.Бланк заказа NEW'!$B$19:$B$201),'Бланк OLD 0.8 04'!$B$12:$K$200,4,0)&gt;1,0.8,
IF(VLOOKUP($A13-COUNT('Шаг2.Бланк заказа NEW'!$B$19:$B$201),'Бланк OLD 0.8 04'!$B$12:$K$200,5,0)&gt;1,0.4,
IF(AND(VLOOKUP($A13-COUNT('Шаг2.Бланк заказа NEW'!$B$19:$B$201),'Бланк OLD 0.8 04'!$B$12:$K$200,4,0)&gt;0,VLOOKUP($A13-COUNT('Шаг2.Бланк заказа NEW'!$B$19:$B$201),'Бланк OLD 0.8 04'!$B$12:$K$200,5,0)&gt;0),0.4,"")))),
IF(VLOOKUP($A13-COUNT('Шаг2.Бланк заказа NEW'!$B$19:$B$201)-COUNT('Бланк OLD 0.8 04'!$B$18:$B$200),'Бланк OLD 2.0 04 '!$B$16:$K$200,4,0)&gt;1,2,
IF(VLOOKUP($A13-COUNT('Шаг2.Бланк заказа NEW'!$B$19:$B$201)-COUNT('Бланк OLD 0.8 04'!$B$18:$B$200),'Бланк OLD 2.0 04 '!$B$16:$K$200,5,0)&gt;1,0.4,IF(AND(VLOOKUP($A13-COUNT('Шаг2.Бланк заказа NEW'!$B$19:$B$201)-COUNT('Бланк OLD 0.8 04'!$B$18:$B$200),'Бланк OLD 2.0 04 '!$B$16:$K$200,4,0)&gt;0,VLOOKUP($A13-COUNT('Шаг2.Бланк заказа NEW'!$B$19:$B$201)-COUNT('Бланк OLD 0.8 04'!$B$18:$B$200),'Бланк OLD 2.0 04 '!$B$16:$K$200,5,0)&gt;0),0.4,""))))</f>
        <v/>
      </c>
      <c r="T13" s="147" t="str">
        <f ca="1">IFERROR(IFERROR(IF(VLOOKUP($A13,'Шаг2.Бланк заказа NEW'!$B$17:$N$201,7,0)="","",VLOOKUP($A13,'Шаг2.Бланк заказа NEW'!$B$17:$N$201,7,0)),
IF(VLOOKUP($A13-COUNT('Шаг2.Бланк заказа NEW'!$B$19:$B$201),'Бланк OLD 0.8 04'!$B$12:$K$200,7,0)&gt;0,0.8,
IF(VLOOKUP($A13-COUNT('Шаг2.Бланк заказа NEW'!$B$19:$B$201),'Бланк OLD 0.8 04'!$B$12:$K$200,8,0)&gt;0,0.4,""))),
IF(VLOOKUP($A13-COUNT('Шаг2.Бланк заказа NEW'!$B$19:$B$201)-COUNT('Бланк OLD 0.8 04'!$B$18:$B$200),'Бланк OLD 2.0 04 '!$B$16:$K$200,7,0)&gt;0,2,IF(VLOOKUP($A13-COUNT('Шаг2.Бланк заказа NEW'!$B$19:$B$201)-COUNT('Бланк OLD 0.8 04'!$B$18:$B$200),'Бланк OLD 2.0 04 '!$B$16:$K$200,8,0)&gt;0,0.4,"")))</f>
        <v/>
      </c>
      <c r="U13" s="147" t="str">
        <f ca="1">IFERROR(IFERROR(IF(VLOOKUP($A13,'Шаг2.Бланк заказа NEW'!$B$17:$N$201,8,0)="","",VLOOKUP($A13,'Шаг2.Бланк заказа NEW'!$B$17:$N$201,8,0)),
IF(VLOOKUP($A13-COUNT('Шаг2.Бланк заказа NEW'!$B$19:$B$201),'Бланк OLD 0.8 04'!$B$12:$K$200,7,0)&gt;1,0.8,
IF(VLOOKUP($A13-COUNT('Шаг2.Бланк заказа NEW'!$B$19:$B$201),'Бланк OLD 0.8 04'!$B$12:$K$200,8,0)&gt;1,0.4,
IF(AND(VLOOKUP($A13-COUNT('Шаг2.Бланк заказа NEW'!$B$19:$B$201),'Бланк OLD 0.8 04'!$B$12:$K$200,7,0)&gt;0,VLOOKUP($A13-COUNT('Шаг2.Бланк заказа NEW'!$B$19:$B$201),'Бланк OLD 0.8 04'!$B$12:$K$200,8,0)&gt;0),0.4,"")))),
IF(VLOOKUP($A13-COUNT('Шаг2.Бланк заказа NEW'!$B$19:$B$201)-COUNT('Бланк OLD 0.8 04'!$B$18:$B$200),'Бланк OLD 2.0 04 '!$B$16:$K$200,7,0)&gt;1,2,
IF(VLOOKUP($A13-COUNT('Шаг2.Бланк заказа NEW'!$B$19:$B$201)-COUNT('Бланк OLD 0.8 04'!$B$18:$B$200),'Бланк OLD 2.0 04 '!$B$16:$K$200,8,0)&gt;1,0.4,
IF(AND(VLOOKUP($A13-COUNT('Шаг2.Бланк заказа NEW'!$B$19:$B$201)-COUNT('Бланк OLD 0.8 04'!$B$18:$B$200),'Бланк OLD 2.0 04 '!$B$16:$K$200,7,0)&gt;0,VLOOKUP($A13-COUNT('Шаг2.Бланк заказа NEW'!$B$19:$B$201)-COUNT('Бланк OLD 0.8 04'!$B$18:$B$200),'Бланк OLD 2.0 04 '!$B$16:$K$200,8,0)&gt;0),0.4,""))))</f>
        <v/>
      </c>
      <c r="V13" s="146" t="str">
        <f ca="1">IFERROR(VLOOKUP(C13,'Шаг1.Выбор плиты'!C:S,12,0),"")</f>
        <v/>
      </c>
      <c r="W13" s="146" t="str">
        <f ca="1">IFERROR(VLOOKUP(C13,'Шаг1.Выбор плиты'!C:S,8,0),"")</f>
        <v/>
      </c>
      <c r="X13" s="146" t="str">
        <f ca="1">IFERROR(VLOOKUP(C13,'Шаг1.Выбор плиты'!C:S,10,0),"")</f>
        <v/>
      </c>
      <c r="Y13" s="147" t="str">
        <f t="shared" ca="1" si="1"/>
        <v/>
      </c>
      <c r="AD13" s="147" t="str">
        <f t="shared" ca="1" si="2"/>
        <v/>
      </c>
      <c r="AE13" s="147" t="str">
        <f t="shared" ca="1" si="3"/>
        <v/>
      </c>
      <c r="AH13" s="147" t="str">
        <f ca="1">IF(C13="","",VLOOKUP(C13,'Шаг1.Выбор плиты'!C:Q,7,0))</f>
        <v/>
      </c>
      <c r="AI13" s="147" t="str">
        <f t="shared" ca="1" si="4"/>
        <v/>
      </c>
    </row>
    <row r="14" spans="1:35" x14ac:dyDescent="0.2">
      <c r="A14" s="151" t="str">
        <f ca="1">IF(C14="","",MAX($A$1:OFFSET(C14,-1,0))+1)</f>
        <v/>
      </c>
      <c r="B14" s="151" t="str">
        <f ca="1">IFERROR(IFERROR(IFERROR("Шаг2.Бланк заказа NEW №"&amp;VLOOKUP(A13+1,CHOOSE({1,2},'Шаг2.Бланк заказа NEW'!$B$19:$B$201,'Шаг2.Бланк заказа NEW'!$A$19:$A$201),1,0),
"Бланк OLD 0.8 04 №"&amp;VLOOKUP(A13+1-COUNT('Шаг2.Бланк заказа NEW'!$B$19:$B$201),CHOOSE({1,2},'Бланк OLD 0.8 04'!$B$18:$B$200,'Бланк OLD 0.8 04'!$A$18:$A$200),1,0)),
"Бланк OLD 2.0 04 №"&amp;VLOOKUP(A13+1-COUNT('Шаг2.Бланк заказа NEW'!$B$19:$B$201)-COUNT('Бланк OLD 0.8 04'!$B$18:$B$200),CHOOSE({1,2},'Бланк OLD 2.0 04 '!$B$18:$B$200,'Бланк OLD 2.0 04 '!$A$18:$A$200),1,0)),"")</f>
        <v/>
      </c>
      <c r="C14" s="152" t="str">
        <f ca="1">IFERROR(IFERROR(IFERROR(VLOOKUP(A13+1,CHOOSE({1,2},'Шаг2.Бланк заказа NEW'!$B$19:$B$201,'Шаг2.Бланк заказа NEW'!$A$19:$A$201),2,0),
VLOOKUP(A13+1-COUNT('Шаг2.Бланк заказа NEW'!$B$19:$B$201),CHOOSE({1,2},'Бланк OLD 0.8 04'!$B$18:$B$200,'Бланк OLD 0.8 04'!$A$18:$A$200),2,0)),
VLOOKUP(A13+1-COUNT('Шаг2.Бланк заказа NEW'!$B$19:$B$201)-COUNT('Бланк OLD 0.8 04'!$B$18:$B$200),CHOOSE({1,2},'Бланк OLD 2.0 04 '!$B$18:$B$200,'Бланк OLD 2.0 04 '!$A$18:$A$200),2,0)),"")</f>
        <v/>
      </c>
      <c r="D14" s="150" t="str">
        <f ca="1">IFERROR(VLOOKUP(C14,'Шаг1.Выбор плиты'!C:G,5,0),"")</f>
        <v/>
      </c>
      <c r="E14" s="147" t="str">
        <f ca="1">IFERROR(IFERROR(IF(VLOOKUP($A14,'Шаг2.Бланк заказа NEW'!$B$17:$N$201,2,0)="","",VLOOKUP($A14,'Шаг2.Бланк заказа NEW'!$B$17:$N$201,2,0)),
IF(VLOOKUP($A14-COUNT('Шаг2.Бланк заказа NEW'!$B$19:$B$201),'Бланк OLD 0.8 04'!$B$12:$K$200,2,0)="","",VLOOKUP($A14-COUNT('Шаг2.Бланк заказа NEW'!$B$19:$B$201),'Бланк OLD 0.8 04'!$B$12:$K$200,2,0))),
IF(VLOOKUP($A14-COUNT('Шаг2.Бланк заказа NEW'!$B$19:$B$201)-COUNT('Бланк OLD 0.8 04'!$B$18:$B$200),'Бланк OLD 2.0 04 '!$B$16:$K$200,2,0)="","",VLOOKUP($A14-COUNT('Шаг2.Бланк заказа NEW'!$B$19:$B$201)-COUNT('Бланк OLD 0.8 04'!$B$18:$B$200),'Бланк OLD 2.0 04 '!$B$16:$K$200,2,0)))</f>
        <v/>
      </c>
      <c r="F14" s="147" t="str">
        <f ca="1">IFERROR(IFERROR(IF(VLOOKUP($A14,'Шаг2.Бланк заказа NEW'!$B$17:$N$201,3,0)="","",VLOOKUP($A14,'Шаг2.Бланк заказа NEW'!$B$17:$N$201,3,0)),
IF(VLOOKUP($A14-COUNT('Шаг2.Бланк заказа NEW'!$B$19:$B$201),'Бланк OLD 0.8 04'!$B$12:$K$200,3,0)="","",VLOOKUP($A14-COUNT('Шаг2.Бланк заказа NEW'!$B$19:$B$201),'Бланк OLD 0.8 04'!$B$12:$K$200,3,0))),
IF(VLOOKUP($A14-COUNT('Шаг2.Бланк заказа NEW'!$B$19:$B$201)-COUNT('Бланк OLD 0.8 04'!$B$18:$B$200),'Бланк OLD 2.0 04 '!$B$16:$K$200,3,0)="","",VLOOKUP($A14-COUNT('Шаг2.Бланк заказа NEW'!$B$19:$B$201)-COUNT('Бланк OLD 0.8 04'!$B$18:$B$200),'Бланк OLD 2.0 04 '!$B$16:$K$200,3,0)))</f>
        <v/>
      </c>
      <c r="G14" s="176" t="str">
        <f ca="1">IF(IF(R14="","",IF(R14=1,SUMIFS('Шаг1.Выбор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плиты'!C:Q,12,0)),1))))))=0,
R14,
IF(R14="","",IF(R14=1,SUMIFS('Шаг1.Выбор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плиты'!N:N,R14,'Шаг1.Выбор плиты'!M:M,SMALL(INDIRECT("мм"&amp;VLOOKUP(C14,'Шаг1.Выбор плиты'!C:Q,12,0)),1)))))))</f>
        <v/>
      </c>
      <c r="H14" s="177" t="str">
        <f ca="1">IF(IF(S14="","",IF(S14=1,SUMIFS('Шаг1.Выбор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плиты'!C:Q,12,0)),1))))))=0,
S14,
IF(S14="","",IF(S14=1,SUMIFS('Шаг1.Выбор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плиты'!N:N,S14,'Шаг1.Выбор плиты'!M:M,SMALL(INDIRECT("мм"&amp;VLOOKUP(C14,'Шаг1.Выбор плиты'!C:Q,12,0)),1)))))))</f>
        <v/>
      </c>
      <c r="I14" s="147" t="str">
        <f ca="1">IFERROR(IFERROR(IF(VLOOKUP($A14,'Шаг2.Бланк заказа NEW'!$B$17:$N$201,6,0)="","",VLOOKUP($A14,'Шаг2.Бланк заказа NEW'!$B$17:$N$201,6,0)),
IF(VLOOKUP($A14-COUNT('Шаг2.Бланк заказа NEW'!$B$19:$B$201),'Бланк OLD 0.8 04'!$B$12:$K$200,6,0)="","",VLOOKUP($A14-COUNT('Шаг2.Бланк заказа NEW'!$B$19:$B$201),'Бланк OLD 0.8 04'!$B$12:$K$200,6,0))),
IF(VLOOKUP($A14-COUNT('Шаг2.Бланк заказа NEW'!$B$19:$B$201)-COUNT('Бланк OLD 0.8 04'!$B$18:$B$200),'Бланк OLD 2.0 04 '!$B$16:$K$200,6,0)="","",VLOOKUP($A14-COUNT('Шаг2.Бланк заказа NEW'!$B$19:$B$201)-COUNT('Бланк OLD 0.8 04'!$B$18:$B$200),'Бланк OLD 2.0 04 '!$B$16:$K$200,6,0)))</f>
        <v/>
      </c>
      <c r="J14" s="177" t="str">
        <f ca="1">IF(IF(T14="","",IF(T14=1,SUMIFS('Шаг1.Выбор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плиты'!C:Q,12,0)),1))))))=0,
T14,
IF(T14="","",IF(T14=1,SUMIFS('Шаг1.Выбор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плиты'!N:N,T14,'Шаг1.Выбор плиты'!M:M,SMALL(INDIRECT("мм"&amp;VLOOKUP(C14,'Шаг1.Выбор плиты'!C:Q,12,0)),1)))))))</f>
        <v/>
      </c>
      <c r="K14" s="177" t="str">
        <f ca="1">IF(IF(U14="","",IF(U14=1,SUMIFS('Шаг1.Выбор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плиты'!C:Q,12,0)),1))))))=0,
U14,
IF(U14="","",IF(U14=1,SUMIFS('Шаг1.Выбор плиты'!$G:$G,'Шаг1.Выбор плиты'!J:J,"*"&amp;RIGHT(VLOOKUP(C14,'Шаг1.Выбор плиты'!C:Q,8,0),4),'Шаг1.Выбор плиты'!L:L,IF(MID(C14,1,6)="ЛДСП P","TM"&amp;MID(VLOOKUP(C14,'Шаг1.Выбор плиты'!C:Q,10,0),3,2),MID(VLOOKUP(C14,'Шаг1.Выбор плиты'!C:Q,10,0),1,2)),
'Шаг1.Выбор плиты'!N:N,1),IF(SUMIFS('Шаг1.Выбор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плиты'!C:Q,12,0)),1))=0,
IF(SUMIFS('Шаг1.Выбор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плиты'!C:Q,12,0)),2))=0,
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плиты'!C:Q,12,0)),3)),
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плиты'!C:Q,12,0)),2))),
(SUMIFS('Шаг1.Выбор плиты'!$G:$G,'Шаг1.Выбор плиты'!J:J,"*"&amp;RIGHT(VLOOKUP(C14,'Шаг1.Выбор плиты'!C:Q,8,0),4),'Шаг1.Выбор плиты'!L:L,VLOOKUP(C14,'Шаг1.Выбор плиты'!C:Q,10,0),'Шаг1.Выбор плиты'!N:N,U14,'Шаг1.Выбор плиты'!M:M,SMALL(INDIRECT("мм"&amp;VLOOKUP(C14,'Шаг1.Выбор плиты'!C:Q,12,0)),1)))))))</f>
        <v/>
      </c>
      <c r="L14" s="147" t="str">
        <f ca="1">IFERROR(IFERROR(IF(VLOOKUP($A14,'Шаг2.Бланк заказа NEW'!$B$17:$N$201,9,0)="","",VLOOKUP($A14,'Шаг2.Бланк заказа NEW'!$B$17:$N$201,9,0)),
IF(VLOOKUP($A14-COUNT('Шаг2.Бланк заказа NEW'!$B$19:$B$201),'Бланк OLD 0.8 04'!$B$12:$K$200,9,0)="","",VLOOKUP($A14-COUNT('Шаг2.Бланк заказа NEW'!$B$19:$B$201),'Бланк OLD 0.8 04'!$B$12:$K$200,9,0))),
IF(VLOOKUP($A14-COUNT('Шаг2.Бланк заказа NEW'!$B$19:$B$201)-COUNT('Бланк OLD 0.8 04'!$B$18:$B$200),'Бланк OLD 2.0 04 '!$B$16:$K$200,9,0)="","",VLOOKUP($A14-COUNT('Шаг2.Бланк заказа NEW'!$B$19:$B$201)-COUNT('Бланк OLD 0.8 04'!$B$18:$B$200),'Бланк OLD 2.0 04 '!$B$16:$K$200,9,0)))</f>
        <v/>
      </c>
      <c r="M14" s="154" t="str">
        <f t="shared" ca="1" si="0"/>
        <v/>
      </c>
      <c r="N14" s="153" t="str">
        <f ca="1">IFERROR(IF(VLOOKUP($A14,'Шаг2.Бланк заказа NEW'!$B$17:$N$201,11,0)="","",VLOOKUP($A14,'Шаг2.Бланк заказа NEW'!$B$17:$N$201,11,0)),
"Нет")</f>
        <v/>
      </c>
      <c r="O14" s="147" t="str">
        <f ca="1">IFERROR(IF(VLOOKUP($A14,'Шаг2.Бланк заказа NEW'!$B$17:$N$201,11,0)="","",VLOOKUP($A14,'Шаг2.Бланк заказа NEW'!$B$17:$N$201,12,0)),
"Нет")</f>
        <v/>
      </c>
      <c r="P14" s="153" t="str">
        <f ca="1">IFERROR(IF(VLOOKUP($A14,'Шаг2.Бланк заказа NEW'!$B$17:$N$201,13,0)="","",VLOOKUP($A14,'Шаг2.Бланк заказа NEW'!$B$17:$N$201,13,0)),
"Нет")</f>
        <v/>
      </c>
      <c r="Q14" s="147" t="str">
        <f ca="1">IFERROR(IF(VLOOKUP($A14,'Шаг2.Бланк заказа NEW'!$B$17:$O$201,14,0)="","",VLOOKUP($A14,'Шаг2.Бланк заказа NEW'!$B$17:$O$201,14,0)),"")</f>
        <v/>
      </c>
      <c r="R14" s="147" t="str">
        <f ca="1">IFERROR(IFERROR(IF(VLOOKUP($A14,'Шаг2.Бланк заказа NEW'!$B$17:$N$201,4,0)="","",VLOOKUP($A14,'Шаг2.Бланк заказа NEW'!$B$17:$N$201,4,0)),
IF(VLOOKUP($A14-COUNT('Шаг2.Бланк заказа NEW'!$B$19:$B$201),'Бланк OLD 0.8 04'!$B$12:$K$200,4,0)&gt;0,0.8,
IF(VLOOKUP($A14-COUNT('Шаг2.Бланк заказа NEW'!$B$19:$B$201),'Бланк OLD 0.8 04'!$B$12:$K$200,5,0)&gt;0,0.4,""))),
IF(VLOOKUP($A14-COUNT('Шаг2.Бланк заказа NEW'!$B$19:$B$201)-COUNT('Бланк OLD 0.8 04'!$B$18:$B$200),'Бланк OLD 2.0 04 '!$B$16:$K$200,4,0)&gt;0,2,IF(VLOOKUP($A14-COUNT('Шаг2.Бланк заказа NEW'!$B$19:$B$201)-COUNT('Бланк OLD 0.8 04'!$B$18:$B$200),'Бланк OLD 2.0 04 '!$B$16:$K$200,5,0)&gt;0,0.4,"")))</f>
        <v/>
      </c>
      <c r="S14" s="147" t="str">
        <f ca="1">IFERROR(IFERROR(IF(VLOOKUP($A14,'Шаг2.Бланк заказа NEW'!$B$17:$N$201,5,0)="","",VLOOKUP($A14,'Шаг2.Бланк заказа NEW'!$B$17:$N$201,5,0)),
IF(VLOOKUP($A14-COUNT('Шаг2.Бланк заказа NEW'!$B$19:$B$201),'Бланк OLD 0.8 04'!$B$12:$K$200,4,0)&gt;1,0.8,
IF(VLOOKUP($A14-COUNT('Шаг2.Бланк заказа NEW'!$B$19:$B$201),'Бланк OLD 0.8 04'!$B$12:$K$200,5,0)&gt;1,0.4,
IF(AND(VLOOKUP($A14-COUNT('Шаг2.Бланк заказа NEW'!$B$19:$B$201),'Бланк OLD 0.8 04'!$B$12:$K$200,4,0)&gt;0,VLOOKUP($A14-COUNT('Шаг2.Бланк заказа NEW'!$B$19:$B$201),'Бланк OLD 0.8 04'!$B$12:$K$200,5,0)&gt;0),0.4,"")))),
IF(VLOOKUP($A14-COUNT('Шаг2.Бланк заказа NEW'!$B$19:$B$201)-COUNT('Бланк OLD 0.8 04'!$B$18:$B$200),'Бланк OLD 2.0 04 '!$B$16:$K$200,4,0)&gt;1,2,
IF(VLOOKUP($A14-COUNT('Шаг2.Бланк заказа NEW'!$B$19:$B$201)-COUNT('Бланк OLD 0.8 04'!$B$18:$B$200),'Бланк OLD 2.0 04 '!$B$16:$K$200,5,0)&gt;1,0.4,IF(AND(VLOOKUP($A14-COUNT('Шаг2.Бланк заказа NEW'!$B$19:$B$201)-COUNT('Бланк OLD 0.8 04'!$B$18:$B$200),'Бланк OLD 2.0 04 '!$B$16:$K$200,4,0)&gt;0,VLOOKUP($A14-COUNT('Шаг2.Бланк заказа NEW'!$B$19:$B$201)-COUNT('Бланк OLD 0.8 04'!$B$18:$B$200),'Бланк OLD 2.0 04 '!$B$16:$K$200,5,0)&gt;0),0.4,""))))</f>
        <v/>
      </c>
      <c r="T14" s="147" t="str">
        <f ca="1">IFERROR(IFERROR(IF(VLOOKUP($A14,'Шаг2.Бланк заказа NEW'!$B$17:$N$201,7,0)="","",VLOOKUP($A14,'Шаг2.Бланк заказа NEW'!$B$17:$N$201,7,0)),
IF(VLOOKUP($A14-COUNT('Шаг2.Бланк заказа NEW'!$B$19:$B$201),'Бланк OLD 0.8 04'!$B$12:$K$200,7,0)&gt;0,0.8,
IF(VLOOKUP($A14-COUNT('Шаг2.Бланк заказа NEW'!$B$19:$B$201),'Бланк OLD 0.8 04'!$B$12:$K$200,8,0)&gt;0,0.4,""))),
IF(VLOOKUP($A14-COUNT('Шаг2.Бланк заказа NEW'!$B$19:$B$201)-COUNT('Бланк OLD 0.8 04'!$B$18:$B$200),'Бланк OLD 2.0 04 '!$B$16:$K$200,7,0)&gt;0,2,IF(VLOOKUP($A14-COUNT('Шаг2.Бланк заказа NEW'!$B$19:$B$201)-COUNT('Бланк OLD 0.8 04'!$B$18:$B$200),'Бланк OLD 2.0 04 '!$B$16:$K$200,8,0)&gt;0,0.4,"")))</f>
        <v/>
      </c>
      <c r="U14" s="147" t="str">
        <f ca="1">IFERROR(IFERROR(IF(VLOOKUP($A14,'Шаг2.Бланк заказа NEW'!$B$17:$N$201,8,0)="","",VLOOKUP($A14,'Шаг2.Бланк заказа NEW'!$B$17:$N$201,8,0)),
IF(VLOOKUP($A14-COUNT('Шаг2.Бланк заказа NEW'!$B$19:$B$201),'Бланк OLD 0.8 04'!$B$12:$K$200,7,0)&gt;1,0.8,
IF(VLOOKUP($A14-COUNT('Шаг2.Бланк заказа NEW'!$B$19:$B$201),'Бланк OLD 0.8 04'!$B$12:$K$200,8,0)&gt;1,0.4,
IF(AND(VLOOKUP($A14-COUNT('Шаг2.Бланк заказа NEW'!$B$19:$B$201),'Бланк OLD 0.8 04'!$B$12:$K$200,7,0)&gt;0,VLOOKUP($A14-COUNT('Шаг2.Бланк заказа NEW'!$B$19:$B$201),'Бланк OLD 0.8 04'!$B$12:$K$200,8,0)&gt;0),0.4,"")))),
IF(VLOOKUP($A14-COUNT('Шаг2.Бланк заказа NEW'!$B$19:$B$201)-COUNT('Бланк OLD 0.8 04'!$B$18:$B$200),'Бланк OLD 2.0 04 '!$B$16:$K$200,7,0)&gt;1,2,
IF(VLOOKUP($A14-COUNT('Шаг2.Бланк заказа NEW'!$B$19:$B$201)-COUNT('Бланк OLD 0.8 04'!$B$18:$B$200),'Бланк OLD 2.0 04 '!$B$16:$K$200,8,0)&gt;1,0.4,
IF(AND(VLOOKUP($A14-COUNT('Шаг2.Бланк заказа NEW'!$B$19:$B$201)-COUNT('Бланк OLD 0.8 04'!$B$18:$B$200),'Бланк OLD 2.0 04 '!$B$16:$K$200,7,0)&gt;0,VLOOKUP($A14-COUNT('Шаг2.Бланк заказа NEW'!$B$19:$B$201)-COUNT('Бланк OLD 0.8 04'!$B$18:$B$200),'Бланк OLD 2.0 04 '!$B$16:$K$200,8,0)&gt;0),0.4,""))))</f>
        <v/>
      </c>
      <c r="V14" s="146" t="str">
        <f ca="1">IFERROR(VLOOKUP(C14,'Шаг1.Выбор плиты'!C:S,12,0),"")</f>
        <v/>
      </c>
      <c r="W14" s="146" t="str">
        <f ca="1">IFERROR(VLOOKUP(C14,'Шаг1.Выбор плиты'!C:S,8,0),"")</f>
        <v/>
      </c>
      <c r="X14" s="146" t="str">
        <f ca="1">IFERROR(VLOOKUP(C14,'Шаг1.Выбор плиты'!C:S,10,0),"")</f>
        <v/>
      </c>
      <c r="Y14" s="147" t="str">
        <f t="shared" ca="1" si="1"/>
        <v/>
      </c>
      <c r="AD14" s="147" t="str">
        <f t="shared" ca="1" si="2"/>
        <v/>
      </c>
      <c r="AE14" s="147" t="str">
        <f t="shared" ca="1" si="3"/>
        <v/>
      </c>
      <c r="AH14" s="147" t="str">
        <f ca="1">IF(C14="","",VLOOKUP(C14,'Шаг1.Выбор плиты'!C:Q,7,0))</f>
        <v/>
      </c>
      <c r="AI14" s="147" t="str">
        <f t="shared" ca="1" si="4"/>
        <v/>
      </c>
    </row>
    <row r="15" spans="1:35" x14ac:dyDescent="0.2">
      <c r="A15" s="151" t="str">
        <f ca="1">IF(C15="","",MAX($A$1:OFFSET(C15,-1,0))+1)</f>
        <v/>
      </c>
      <c r="B15" s="151" t="str">
        <f ca="1">IFERROR(IFERROR(IFERROR("Шаг2.Бланк заказа NEW №"&amp;VLOOKUP(A14+1,CHOOSE({1,2},'Шаг2.Бланк заказа NEW'!$B$19:$B$201,'Шаг2.Бланк заказа NEW'!$A$19:$A$201),1,0),
"Бланк OLD 0.8 04 №"&amp;VLOOKUP(A14+1-COUNT('Шаг2.Бланк заказа NEW'!$B$19:$B$201),CHOOSE({1,2},'Бланк OLD 0.8 04'!$B$18:$B$200,'Бланк OLD 0.8 04'!$A$18:$A$200),1,0)),
"Бланк OLD 2.0 04 №"&amp;VLOOKUP(A14+1-COUNT('Шаг2.Бланк заказа NEW'!$B$19:$B$201)-COUNT('Бланк OLD 0.8 04'!$B$18:$B$200),CHOOSE({1,2},'Бланк OLD 2.0 04 '!$B$18:$B$200,'Бланк OLD 2.0 04 '!$A$18:$A$200),1,0)),"")</f>
        <v/>
      </c>
      <c r="C15" s="152" t="str">
        <f ca="1">IFERROR(IFERROR(IFERROR(VLOOKUP(A14+1,CHOOSE({1,2},'Шаг2.Бланк заказа NEW'!$B$19:$B$201,'Шаг2.Бланк заказа NEW'!$A$19:$A$201),2,0),
VLOOKUP(A14+1-COUNT('Шаг2.Бланк заказа NEW'!$B$19:$B$201),CHOOSE({1,2},'Бланк OLD 0.8 04'!$B$18:$B$200,'Бланк OLD 0.8 04'!$A$18:$A$200),2,0)),
VLOOKUP(A14+1-COUNT('Шаг2.Бланк заказа NEW'!$B$19:$B$201)-COUNT('Бланк OLD 0.8 04'!$B$18:$B$200),CHOOSE({1,2},'Бланк OLD 2.0 04 '!$B$18:$B$200,'Бланк OLD 2.0 04 '!$A$18:$A$200),2,0)),"")</f>
        <v/>
      </c>
      <c r="D15" s="150" t="str">
        <f ca="1">IFERROR(VLOOKUP(C15,'Шаг1.Выбор плиты'!C:G,5,0),"")</f>
        <v/>
      </c>
      <c r="E15" s="147" t="str">
        <f ca="1">IFERROR(IFERROR(IF(VLOOKUP($A15,'Шаг2.Бланк заказа NEW'!$B$17:$N$201,2,0)="","",VLOOKUP($A15,'Шаг2.Бланк заказа NEW'!$B$17:$N$201,2,0)),
IF(VLOOKUP($A15-COUNT('Шаг2.Бланк заказа NEW'!$B$19:$B$201),'Бланк OLD 0.8 04'!$B$12:$K$200,2,0)="","",VLOOKUP($A15-COUNT('Шаг2.Бланк заказа NEW'!$B$19:$B$201),'Бланк OLD 0.8 04'!$B$12:$K$200,2,0))),
IF(VLOOKUP($A15-COUNT('Шаг2.Бланк заказа NEW'!$B$19:$B$201)-COUNT('Бланк OLD 0.8 04'!$B$18:$B$200),'Бланк OLD 2.0 04 '!$B$16:$K$200,2,0)="","",VLOOKUP($A15-COUNT('Шаг2.Бланк заказа NEW'!$B$19:$B$201)-COUNT('Бланк OLD 0.8 04'!$B$18:$B$200),'Бланк OLD 2.0 04 '!$B$16:$K$200,2,0)))</f>
        <v/>
      </c>
      <c r="F15" s="147" t="str">
        <f ca="1">IFERROR(IFERROR(IF(VLOOKUP($A15,'Шаг2.Бланк заказа NEW'!$B$17:$N$201,3,0)="","",VLOOKUP($A15,'Шаг2.Бланк заказа NEW'!$B$17:$N$201,3,0)),
IF(VLOOKUP($A15-COUNT('Шаг2.Бланк заказа NEW'!$B$19:$B$201),'Бланк OLD 0.8 04'!$B$12:$K$200,3,0)="","",VLOOKUP($A15-COUNT('Шаг2.Бланк заказа NEW'!$B$19:$B$201),'Бланк OLD 0.8 04'!$B$12:$K$200,3,0))),
IF(VLOOKUP($A15-COUNT('Шаг2.Бланк заказа NEW'!$B$19:$B$201)-COUNT('Бланк OLD 0.8 04'!$B$18:$B$200),'Бланк OLD 2.0 04 '!$B$16:$K$200,3,0)="","",VLOOKUP($A15-COUNT('Шаг2.Бланк заказа NEW'!$B$19:$B$201)-COUNT('Бланк OLD 0.8 04'!$B$18:$B$200),'Бланк OLD 2.0 04 '!$B$16:$K$200,3,0)))</f>
        <v/>
      </c>
      <c r="G15" s="176" t="str">
        <f ca="1">IF(IF(R15="","",IF(R15=1,SUMIFS('Шаг1.Выбор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плиты'!C:Q,12,0)),1))))))=0,
R15,
IF(R15="","",IF(R15=1,SUMIFS('Шаг1.Выбор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плиты'!N:N,R15,'Шаг1.Выбор плиты'!M:M,SMALL(INDIRECT("мм"&amp;VLOOKUP(C15,'Шаг1.Выбор плиты'!C:Q,12,0)),1)))))))</f>
        <v/>
      </c>
      <c r="H15" s="177" t="str">
        <f ca="1">IF(IF(S15="","",IF(S15=1,SUMIFS('Шаг1.Выбор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плиты'!C:Q,12,0)),1))))))=0,
S15,
IF(S15="","",IF(S15=1,SUMIFS('Шаг1.Выбор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плиты'!N:N,S15,'Шаг1.Выбор плиты'!M:M,SMALL(INDIRECT("мм"&amp;VLOOKUP(C15,'Шаг1.Выбор плиты'!C:Q,12,0)),1)))))))</f>
        <v/>
      </c>
      <c r="I15" s="147" t="str">
        <f ca="1">IFERROR(IFERROR(IF(VLOOKUP($A15,'Шаг2.Бланк заказа NEW'!$B$17:$N$201,6,0)="","",VLOOKUP($A15,'Шаг2.Бланк заказа NEW'!$B$17:$N$201,6,0)),
IF(VLOOKUP($A15-COUNT('Шаг2.Бланк заказа NEW'!$B$19:$B$201),'Бланк OLD 0.8 04'!$B$12:$K$200,6,0)="","",VLOOKUP($A15-COUNT('Шаг2.Бланк заказа NEW'!$B$19:$B$201),'Бланк OLD 0.8 04'!$B$12:$K$200,6,0))),
IF(VLOOKUP($A15-COUNT('Шаг2.Бланк заказа NEW'!$B$19:$B$201)-COUNT('Бланк OLD 0.8 04'!$B$18:$B$200),'Бланк OLD 2.0 04 '!$B$16:$K$200,6,0)="","",VLOOKUP($A15-COUNT('Шаг2.Бланк заказа NEW'!$B$19:$B$201)-COUNT('Бланк OLD 0.8 04'!$B$18:$B$200),'Бланк OLD 2.0 04 '!$B$16:$K$200,6,0)))</f>
        <v/>
      </c>
      <c r="J15" s="177" t="str">
        <f ca="1">IF(IF(T15="","",IF(T15=1,SUMIFS('Шаг1.Выбор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плиты'!C:Q,12,0)),1))))))=0,
T15,
IF(T15="","",IF(T15=1,SUMIFS('Шаг1.Выбор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плиты'!N:N,T15,'Шаг1.Выбор плиты'!M:M,SMALL(INDIRECT("мм"&amp;VLOOKUP(C15,'Шаг1.Выбор плиты'!C:Q,12,0)),1)))))))</f>
        <v/>
      </c>
      <c r="K15" s="177" t="str">
        <f ca="1">IF(IF(U15="","",IF(U15=1,SUMIFS('Шаг1.Выбор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плиты'!C:Q,12,0)),1))))))=0,
U15,
IF(U15="","",IF(U15=1,SUMIFS('Шаг1.Выбор плиты'!$G:$G,'Шаг1.Выбор плиты'!J:J,"*"&amp;RIGHT(VLOOKUP(C15,'Шаг1.Выбор плиты'!C:Q,8,0),4),'Шаг1.Выбор плиты'!L:L,IF(MID(C15,1,6)="ЛДСП P","TM"&amp;MID(VLOOKUP(C15,'Шаг1.Выбор плиты'!C:Q,10,0),3,2),MID(VLOOKUP(C15,'Шаг1.Выбор плиты'!C:Q,10,0),1,2)),
'Шаг1.Выбор плиты'!N:N,1),IF(SUMIFS('Шаг1.Выбор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плиты'!C:Q,12,0)),1))=0,
IF(SUMIFS('Шаг1.Выбор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плиты'!C:Q,12,0)),2))=0,
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плиты'!C:Q,12,0)),3)),
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плиты'!C:Q,12,0)),2))),
(SUMIFS('Шаг1.Выбор плиты'!$G:$G,'Шаг1.Выбор плиты'!J:J,"*"&amp;RIGHT(VLOOKUP(C15,'Шаг1.Выбор плиты'!C:Q,8,0),4),'Шаг1.Выбор плиты'!L:L,VLOOKUP(C15,'Шаг1.Выбор плиты'!C:Q,10,0),'Шаг1.Выбор плиты'!N:N,U15,'Шаг1.Выбор плиты'!M:M,SMALL(INDIRECT("мм"&amp;VLOOKUP(C15,'Шаг1.Выбор плиты'!C:Q,12,0)),1)))))))</f>
        <v/>
      </c>
      <c r="L15" s="147" t="str">
        <f ca="1">IFERROR(IFERROR(IF(VLOOKUP($A15,'Шаг2.Бланк заказа NEW'!$B$17:$N$201,9,0)="","",VLOOKUP($A15,'Шаг2.Бланк заказа NEW'!$B$17:$N$201,9,0)),
IF(VLOOKUP($A15-COUNT('Шаг2.Бланк заказа NEW'!$B$19:$B$201),'Бланк OLD 0.8 04'!$B$12:$K$200,9,0)="","",VLOOKUP($A15-COUNT('Шаг2.Бланк заказа NEW'!$B$19:$B$201),'Бланк OLD 0.8 04'!$B$12:$K$200,9,0))),
IF(VLOOKUP($A15-COUNT('Шаг2.Бланк заказа NEW'!$B$19:$B$201)-COUNT('Бланк OLD 0.8 04'!$B$18:$B$200),'Бланк OLD 2.0 04 '!$B$16:$K$200,9,0)="","",VLOOKUP($A15-COUNT('Шаг2.Бланк заказа NEW'!$B$19:$B$201)-COUNT('Бланк OLD 0.8 04'!$B$18:$B$200),'Бланк OLD 2.0 04 '!$B$16:$K$200,9,0)))</f>
        <v/>
      </c>
      <c r="M15" s="154" t="str">
        <f t="shared" ca="1" si="0"/>
        <v/>
      </c>
      <c r="N15" s="153" t="str">
        <f ca="1">IFERROR(IF(VLOOKUP($A15,'Шаг2.Бланк заказа NEW'!$B$17:$N$201,11,0)="","",VLOOKUP($A15,'Шаг2.Бланк заказа NEW'!$B$17:$N$201,11,0)),
"Нет")</f>
        <v/>
      </c>
      <c r="O15" s="147" t="str">
        <f ca="1">IFERROR(IF(VLOOKUP($A15,'Шаг2.Бланк заказа NEW'!$B$17:$N$201,11,0)="","",VLOOKUP($A15,'Шаг2.Бланк заказа NEW'!$B$17:$N$201,12,0)),
"Нет")</f>
        <v/>
      </c>
      <c r="P15" s="153" t="str">
        <f ca="1">IFERROR(IF(VLOOKUP($A15,'Шаг2.Бланк заказа NEW'!$B$17:$N$201,13,0)="","",VLOOKUP($A15,'Шаг2.Бланк заказа NEW'!$B$17:$N$201,13,0)),
"Нет")</f>
        <v/>
      </c>
      <c r="Q15" s="147" t="str">
        <f ca="1">IFERROR(IF(VLOOKUP($A15,'Шаг2.Бланк заказа NEW'!$B$17:$O$201,14,0)="","",VLOOKUP($A15,'Шаг2.Бланк заказа NEW'!$B$17:$O$201,14,0)),"")</f>
        <v/>
      </c>
      <c r="R15" s="147" t="str">
        <f ca="1">IFERROR(IFERROR(IF(VLOOKUP($A15,'Шаг2.Бланк заказа NEW'!$B$17:$N$201,4,0)="","",VLOOKUP($A15,'Шаг2.Бланк заказа NEW'!$B$17:$N$201,4,0)),
IF(VLOOKUP($A15-COUNT('Шаг2.Бланк заказа NEW'!$B$19:$B$201),'Бланк OLD 0.8 04'!$B$12:$K$200,4,0)&gt;0,0.8,
IF(VLOOKUP($A15-COUNT('Шаг2.Бланк заказа NEW'!$B$19:$B$201),'Бланк OLD 0.8 04'!$B$12:$K$200,5,0)&gt;0,0.4,""))),
IF(VLOOKUP($A15-COUNT('Шаг2.Бланк заказа NEW'!$B$19:$B$201)-COUNT('Бланк OLD 0.8 04'!$B$18:$B$200),'Бланк OLD 2.0 04 '!$B$16:$K$200,4,0)&gt;0,2,IF(VLOOKUP($A15-COUNT('Шаг2.Бланк заказа NEW'!$B$19:$B$201)-COUNT('Бланк OLD 0.8 04'!$B$18:$B$200),'Бланк OLD 2.0 04 '!$B$16:$K$200,5,0)&gt;0,0.4,"")))</f>
        <v/>
      </c>
      <c r="S15" s="147" t="str">
        <f ca="1">IFERROR(IFERROR(IF(VLOOKUP($A15,'Шаг2.Бланк заказа NEW'!$B$17:$N$201,5,0)="","",VLOOKUP($A15,'Шаг2.Бланк заказа NEW'!$B$17:$N$201,5,0)),
IF(VLOOKUP($A15-COUNT('Шаг2.Бланк заказа NEW'!$B$19:$B$201),'Бланк OLD 0.8 04'!$B$12:$K$200,4,0)&gt;1,0.8,
IF(VLOOKUP($A15-COUNT('Шаг2.Бланк заказа NEW'!$B$19:$B$201),'Бланк OLD 0.8 04'!$B$12:$K$200,5,0)&gt;1,0.4,
IF(AND(VLOOKUP($A15-COUNT('Шаг2.Бланк заказа NEW'!$B$19:$B$201),'Бланк OLD 0.8 04'!$B$12:$K$200,4,0)&gt;0,VLOOKUP($A15-COUNT('Шаг2.Бланк заказа NEW'!$B$19:$B$201),'Бланк OLD 0.8 04'!$B$12:$K$200,5,0)&gt;0),0.4,"")))),
IF(VLOOKUP($A15-COUNT('Шаг2.Бланк заказа NEW'!$B$19:$B$201)-COUNT('Бланк OLD 0.8 04'!$B$18:$B$200),'Бланк OLD 2.0 04 '!$B$16:$K$200,4,0)&gt;1,2,
IF(VLOOKUP($A15-COUNT('Шаг2.Бланк заказа NEW'!$B$19:$B$201)-COUNT('Бланк OLD 0.8 04'!$B$18:$B$200),'Бланк OLD 2.0 04 '!$B$16:$K$200,5,0)&gt;1,0.4,IF(AND(VLOOKUP($A15-COUNT('Шаг2.Бланк заказа NEW'!$B$19:$B$201)-COUNT('Бланк OLD 0.8 04'!$B$18:$B$200),'Бланк OLD 2.0 04 '!$B$16:$K$200,4,0)&gt;0,VLOOKUP($A15-COUNT('Шаг2.Бланк заказа NEW'!$B$19:$B$201)-COUNT('Бланк OLD 0.8 04'!$B$18:$B$200),'Бланк OLD 2.0 04 '!$B$16:$K$200,5,0)&gt;0),0.4,""))))</f>
        <v/>
      </c>
      <c r="T15" s="147" t="str">
        <f ca="1">IFERROR(IFERROR(IF(VLOOKUP($A15,'Шаг2.Бланк заказа NEW'!$B$17:$N$201,7,0)="","",VLOOKUP($A15,'Шаг2.Бланк заказа NEW'!$B$17:$N$201,7,0)),
IF(VLOOKUP($A15-COUNT('Шаг2.Бланк заказа NEW'!$B$19:$B$201),'Бланк OLD 0.8 04'!$B$12:$K$200,7,0)&gt;0,0.8,
IF(VLOOKUP($A15-COUNT('Шаг2.Бланк заказа NEW'!$B$19:$B$201),'Бланк OLD 0.8 04'!$B$12:$K$200,8,0)&gt;0,0.4,""))),
IF(VLOOKUP($A15-COUNT('Шаг2.Бланк заказа NEW'!$B$19:$B$201)-COUNT('Бланк OLD 0.8 04'!$B$18:$B$200),'Бланк OLD 2.0 04 '!$B$16:$K$200,7,0)&gt;0,2,IF(VLOOKUP($A15-COUNT('Шаг2.Бланк заказа NEW'!$B$19:$B$201)-COUNT('Бланк OLD 0.8 04'!$B$18:$B$200),'Бланк OLD 2.0 04 '!$B$16:$K$200,8,0)&gt;0,0.4,"")))</f>
        <v/>
      </c>
      <c r="U15" s="147" t="str">
        <f ca="1">IFERROR(IFERROR(IF(VLOOKUP($A15,'Шаг2.Бланк заказа NEW'!$B$17:$N$201,8,0)="","",VLOOKUP($A15,'Шаг2.Бланк заказа NEW'!$B$17:$N$201,8,0)),
IF(VLOOKUP($A15-COUNT('Шаг2.Бланк заказа NEW'!$B$19:$B$201),'Бланк OLD 0.8 04'!$B$12:$K$200,7,0)&gt;1,0.8,
IF(VLOOKUP($A15-COUNT('Шаг2.Бланк заказа NEW'!$B$19:$B$201),'Бланк OLD 0.8 04'!$B$12:$K$200,8,0)&gt;1,0.4,
IF(AND(VLOOKUP($A15-COUNT('Шаг2.Бланк заказа NEW'!$B$19:$B$201),'Бланк OLD 0.8 04'!$B$12:$K$200,7,0)&gt;0,VLOOKUP($A15-COUNT('Шаг2.Бланк заказа NEW'!$B$19:$B$201),'Бланк OLD 0.8 04'!$B$12:$K$200,8,0)&gt;0),0.4,"")))),
IF(VLOOKUP($A15-COUNT('Шаг2.Бланк заказа NEW'!$B$19:$B$201)-COUNT('Бланк OLD 0.8 04'!$B$18:$B$200),'Бланк OLD 2.0 04 '!$B$16:$K$200,7,0)&gt;1,2,
IF(VLOOKUP($A15-COUNT('Шаг2.Бланк заказа NEW'!$B$19:$B$201)-COUNT('Бланк OLD 0.8 04'!$B$18:$B$200),'Бланк OLD 2.0 04 '!$B$16:$K$200,8,0)&gt;1,0.4,
IF(AND(VLOOKUP($A15-COUNT('Шаг2.Бланк заказа NEW'!$B$19:$B$201)-COUNT('Бланк OLD 0.8 04'!$B$18:$B$200),'Бланк OLD 2.0 04 '!$B$16:$K$200,7,0)&gt;0,VLOOKUP($A15-COUNT('Шаг2.Бланк заказа NEW'!$B$19:$B$201)-COUNT('Бланк OLD 0.8 04'!$B$18:$B$200),'Бланк OLD 2.0 04 '!$B$16:$K$200,8,0)&gt;0),0.4,""))))</f>
        <v/>
      </c>
      <c r="V15" s="146" t="str">
        <f ca="1">IFERROR(VLOOKUP(C15,'Шаг1.Выбор плиты'!C:S,12,0),"")</f>
        <v/>
      </c>
      <c r="W15" s="146" t="str">
        <f ca="1">IFERROR(VLOOKUP(C15,'Шаг1.Выбор плиты'!C:S,8,0),"")</f>
        <v/>
      </c>
      <c r="X15" s="146" t="str">
        <f ca="1">IFERROR(VLOOKUP(C15,'Шаг1.Выбор плиты'!C:S,10,0),"")</f>
        <v/>
      </c>
      <c r="Y15" s="147" t="str">
        <f t="shared" ca="1" si="1"/>
        <v/>
      </c>
      <c r="AD15" s="147" t="str">
        <f t="shared" ca="1" si="2"/>
        <v/>
      </c>
      <c r="AE15" s="147" t="str">
        <f t="shared" ca="1" si="3"/>
        <v/>
      </c>
      <c r="AH15" s="147" t="str">
        <f ca="1">IF(C15="","",VLOOKUP(C15,'Шаг1.Выбор плиты'!C:Q,7,0))</f>
        <v/>
      </c>
      <c r="AI15" s="147" t="str">
        <f t="shared" ca="1" si="4"/>
        <v/>
      </c>
    </row>
    <row r="16" spans="1:35" x14ac:dyDescent="0.2">
      <c r="A16" s="151" t="str">
        <f ca="1">IF(C16="","",MAX($A$1:OFFSET(C16,-1,0))+1)</f>
        <v/>
      </c>
      <c r="B16" s="151" t="str">
        <f ca="1">IFERROR(IFERROR(IFERROR("Шаг2.Бланк заказа NEW №"&amp;VLOOKUP(A15+1,CHOOSE({1,2},'Шаг2.Бланк заказа NEW'!$B$19:$B$201,'Шаг2.Бланк заказа NEW'!$A$19:$A$201),1,0),
"Бланк OLD 0.8 04 №"&amp;VLOOKUP(A15+1-COUNT('Шаг2.Бланк заказа NEW'!$B$19:$B$201),CHOOSE({1,2},'Бланк OLD 0.8 04'!$B$18:$B$200,'Бланк OLD 0.8 04'!$A$18:$A$200),1,0)),
"Бланк OLD 2.0 04 №"&amp;VLOOKUP(A15+1-COUNT('Шаг2.Бланк заказа NEW'!$B$19:$B$201)-COUNT('Бланк OLD 0.8 04'!$B$18:$B$200),CHOOSE({1,2},'Бланк OLD 2.0 04 '!$B$18:$B$200,'Бланк OLD 2.0 04 '!$A$18:$A$200),1,0)),"")</f>
        <v/>
      </c>
      <c r="C16" s="152" t="str">
        <f ca="1">IFERROR(IFERROR(IFERROR(VLOOKUP(A15+1,CHOOSE({1,2},'Шаг2.Бланк заказа NEW'!$B$19:$B$201,'Шаг2.Бланк заказа NEW'!$A$19:$A$201),2,0),
VLOOKUP(A15+1-COUNT('Шаг2.Бланк заказа NEW'!$B$19:$B$201),CHOOSE({1,2},'Бланк OLD 0.8 04'!$B$18:$B$200,'Бланк OLD 0.8 04'!$A$18:$A$200),2,0)),
VLOOKUP(A15+1-COUNT('Шаг2.Бланк заказа NEW'!$B$19:$B$201)-COUNT('Бланк OLD 0.8 04'!$B$18:$B$200),CHOOSE({1,2},'Бланк OLD 2.0 04 '!$B$18:$B$200,'Бланк OLD 2.0 04 '!$A$18:$A$200),2,0)),"")</f>
        <v/>
      </c>
      <c r="D16" s="150" t="str">
        <f ca="1">IFERROR(VLOOKUP(C16,'Шаг1.Выбор плиты'!C:G,5,0),"")</f>
        <v/>
      </c>
      <c r="E16" s="147" t="str">
        <f ca="1">IFERROR(IFERROR(IF(VLOOKUP($A16,'Шаг2.Бланк заказа NEW'!$B$17:$N$201,2,0)="","",VLOOKUP($A16,'Шаг2.Бланк заказа NEW'!$B$17:$N$201,2,0)),
IF(VLOOKUP($A16-COUNT('Шаг2.Бланк заказа NEW'!$B$19:$B$201),'Бланк OLD 0.8 04'!$B$12:$K$200,2,0)="","",VLOOKUP($A16-COUNT('Шаг2.Бланк заказа NEW'!$B$19:$B$201),'Бланк OLD 0.8 04'!$B$12:$K$200,2,0))),
IF(VLOOKUP($A16-COUNT('Шаг2.Бланк заказа NEW'!$B$19:$B$201)-COUNT('Бланк OLD 0.8 04'!$B$18:$B$200),'Бланк OLD 2.0 04 '!$B$16:$K$200,2,0)="","",VLOOKUP($A16-COUNT('Шаг2.Бланк заказа NEW'!$B$19:$B$201)-COUNT('Бланк OLD 0.8 04'!$B$18:$B$200),'Бланк OLD 2.0 04 '!$B$16:$K$200,2,0)))</f>
        <v/>
      </c>
      <c r="F16" s="147" t="str">
        <f ca="1">IFERROR(IFERROR(IF(VLOOKUP($A16,'Шаг2.Бланк заказа NEW'!$B$17:$N$201,3,0)="","",VLOOKUP($A16,'Шаг2.Бланк заказа NEW'!$B$17:$N$201,3,0)),
IF(VLOOKUP($A16-COUNT('Шаг2.Бланк заказа NEW'!$B$19:$B$201),'Бланк OLD 0.8 04'!$B$12:$K$200,3,0)="","",VLOOKUP($A16-COUNT('Шаг2.Бланк заказа NEW'!$B$19:$B$201),'Бланк OLD 0.8 04'!$B$12:$K$200,3,0))),
IF(VLOOKUP($A16-COUNT('Шаг2.Бланк заказа NEW'!$B$19:$B$201)-COUNT('Бланк OLD 0.8 04'!$B$18:$B$200),'Бланк OLD 2.0 04 '!$B$16:$K$200,3,0)="","",VLOOKUP($A16-COUNT('Шаг2.Бланк заказа NEW'!$B$19:$B$201)-COUNT('Бланк OLD 0.8 04'!$B$18:$B$200),'Бланк OLD 2.0 04 '!$B$16:$K$200,3,0)))</f>
        <v/>
      </c>
      <c r="G16" s="176" t="str">
        <f ca="1">IF(IF(R16="","",IF(R16=1,SUMIFS('Шаг1.Выбор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плиты'!C:Q,12,0)),1))))))=0,
R16,
IF(R16="","",IF(R16=1,SUMIFS('Шаг1.Выбор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плиты'!N:N,R16,'Шаг1.Выбор плиты'!M:M,SMALL(INDIRECT("мм"&amp;VLOOKUP(C16,'Шаг1.Выбор плиты'!C:Q,12,0)),1)))))))</f>
        <v/>
      </c>
      <c r="H16" s="177" t="str">
        <f ca="1">IF(IF(S16="","",IF(S16=1,SUMIFS('Шаг1.Выбор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плиты'!C:Q,12,0)),1))))))=0,
S16,
IF(S16="","",IF(S16=1,SUMIFS('Шаг1.Выбор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плиты'!N:N,S16,'Шаг1.Выбор плиты'!M:M,SMALL(INDIRECT("мм"&amp;VLOOKUP(C16,'Шаг1.Выбор плиты'!C:Q,12,0)),1)))))))</f>
        <v/>
      </c>
      <c r="I16" s="147" t="str">
        <f ca="1">IFERROR(IFERROR(IF(VLOOKUP($A16,'Шаг2.Бланк заказа NEW'!$B$17:$N$201,6,0)="","",VLOOKUP($A16,'Шаг2.Бланк заказа NEW'!$B$17:$N$201,6,0)),
IF(VLOOKUP($A16-COUNT('Шаг2.Бланк заказа NEW'!$B$19:$B$201),'Бланк OLD 0.8 04'!$B$12:$K$200,6,0)="","",VLOOKUP($A16-COUNT('Шаг2.Бланк заказа NEW'!$B$19:$B$201),'Бланк OLD 0.8 04'!$B$12:$K$200,6,0))),
IF(VLOOKUP($A16-COUNT('Шаг2.Бланк заказа NEW'!$B$19:$B$201)-COUNT('Бланк OLD 0.8 04'!$B$18:$B$200),'Бланк OLD 2.0 04 '!$B$16:$K$200,6,0)="","",VLOOKUP($A16-COUNT('Шаг2.Бланк заказа NEW'!$B$19:$B$201)-COUNT('Бланк OLD 0.8 04'!$B$18:$B$200),'Бланк OLD 2.0 04 '!$B$16:$K$200,6,0)))</f>
        <v/>
      </c>
      <c r="J16" s="177" t="str">
        <f ca="1">IF(IF(T16="","",IF(T16=1,SUMIFS('Шаг1.Выбор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плиты'!C:Q,12,0)),1))))))=0,
T16,
IF(T16="","",IF(T16=1,SUMIFS('Шаг1.Выбор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плиты'!N:N,T16,'Шаг1.Выбор плиты'!M:M,SMALL(INDIRECT("мм"&amp;VLOOKUP(C16,'Шаг1.Выбор плиты'!C:Q,12,0)),1)))))))</f>
        <v/>
      </c>
      <c r="K16" s="177" t="str">
        <f ca="1">IF(IF(U16="","",IF(U16=1,SUMIFS('Шаг1.Выбор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плиты'!C:Q,12,0)),1))))))=0,
U16,
IF(U16="","",IF(U16=1,SUMIFS('Шаг1.Выбор плиты'!$G:$G,'Шаг1.Выбор плиты'!J:J,"*"&amp;RIGHT(VLOOKUP(C16,'Шаг1.Выбор плиты'!C:Q,8,0),4),'Шаг1.Выбор плиты'!L:L,IF(MID(C16,1,6)="ЛДСП P","TM"&amp;MID(VLOOKUP(C16,'Шаг1.Выбор плиты'!C:Q,10,0),3,2),MID(VLOOKUP(C16,'Шаг1.Выбор плиты'!C:Q,10,0),1,2)),
'Шаг1.Выбор плиты'!N:N,1),IF(SUMIFS('Шаг1.Выбор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плиты'!C:Q,12,0)),1))=0,
IF(SUMIFS('Шаг1.Выбор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плиты'!C:Q,12,0)),2))=0,
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плиты'!C:Q,12,0)),3)),
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плиты'!C:Q,12,0)),2))),
(SUMIFS('Шаг1.Выбор плиты'!$G:$G,'Шаг1.Выбор плиты'!J:J,"*"&amp;RIGHT(VLOOKUP(C16,'Шаг1.Выбор плиты'!C:Q,8,0),4),'Шаг1.Выбор плиты'!L:L,VLOOKUP(C16,'Шаг1.Выбор плиты'!C:Q,10,0),'Шаг1.Выбор плиты'!N:N,U16,'Шаг1.Выбор плиты'!M:M,SMALL(INDIRECT("мм"&amp;VLOOKUP(C16,'Шаг1.Выбор плиты'!C:Q,12,0)),1)))))))</f>
        <v/>
      </c>
      <c r="L16" s="147" t="str">
        <f ca="1">IFERROR(IFERROR(IF(VLOOKUP($A16,'Шаг2.Бланк заказа NEW'!$B$17:$N$201,9,0)="","",VLOOKUP($A16,'Шаг2.Бланк заказа NEW'!$B$17:$N$201,9,0)),
IF(VLOOKUP($A16-COUNT('Шаг2.Бланк заказа NEW'!$B$19:$B$201),'Бланк OLD 0.8 04'!$B$12:$K$200,9,0)="","",VLOOKUP($A16-COUNT('Шаг2.Бланк заказа NEW'!$B$19:$B$201),'Бланк OLD 0.8 04'!$B$12:$K$200,9,0))),
IF(VLOOKUP($A16-COUNT('Шаг2.Бланк заказа NEW'!$B$19:$B$201)-COUNT('Бланк OLD 0.8 04'!$B$18:$B$200),'Бланк OLD 2.0 04 '!$B$16:$K$200,9,0)="","",VLOOKUP($A16-COUNT('Шаг2.Бланк заказа NEW'!$B$19:$B$201)-COUNT('Бланк OLD 0.8 04'!$B$18:$B$200),'Бланк OLD 2.0 04 '!$B$16:$K$200,9,0)))</f>
        <v/>
      </c>
      <c r="M16" s="154" t="str">
        <f t="shared" ca="1" si="0"/>
        <v/>
      </c>
      <c r="N16" s="153" t="str">
        <f ca="1">IFERROR(IF(VLOOKUP($A16,'Шаг2.Бланк заказа NEW'!$B$17:$N$201,11,0)="","",VLOOKUP($A16,'Шаг2.Бланк заказа NEW'!$B$17:$N$201,11,0)),
"Нет")</f>
        <v/>
      </c>
      <c r="O16" s="147" t="str">
        <f ca="1">IFERROR(IF(VLOOKUP($A16,'Шаг2.Бланк заказа NEW'!$B$17:$N$201,11,0)="","",VLOOKUP($A16,'Шаг2.Бланк заказа NEW'!$B$17:$N$201,12,0)),
"Нет")</f>
        <v/>
      </c>
      <c r="P16" s="153" t="str">
        <f ca="1">IFERROR(IF(VLOOKUP($A16,'Шаг2.Бланк заказа NEW'!$B$17:$N$201,13,0)="","",VLOOKUP($A16,'Шаг2.Бланк заказа NEW'!$B$17:$N$201,13,0)),
"Нет")</f>
        <v/>
      </c>
      <c r="Q16" s="147" t="str">
        <f ca="1">IFERROR(IF(VLOOKUP($A16,'Шаг2.Бланк заказа NEW'!$B$17:$O$201,14,0)="","",VLOOKUP($A16,'Шаг2.Бланк заказа NEW'!$B$17:$O$201,14,0)),"")</f>
        <v/>
      </c>
      <c r="R16" s="147" t="str">
        <f ca="1">IFERROR(IFERROR(IF(VLOOKUP($A16,'Шаг2.Бланк заказа NEW'!$B$17:$N$201,4,0)="","",VLOOKUP($A16,'Шаг2.Бланк заказа NEW'!$B$17:$N$201,4,0)),
IF(VLOOKUP($A16-COUNT('Шаг2.Бланк заказа NEW'!$B$19:$B$201),'Бланк OLD 0.8 04'!$B$12:$K$200,4,0)&gt;0,0.8,
IF(VLOOKUP($A16-COUNT('Шаг2.Бланк заказа NEW'!$B$19:$B$201),'Бланк OLD 0.8 04'!$B$12:$K$200,5,0)&gt;0,0.4,""))),
IF(VLOOKUP($A16-COUNT('Шаг2.Бланк заказа NEW'!$B$19:$B$201)-COUNT('Бланк OLD 0.8 04'!$B$18:$B$200),'Бланк OLD 2.0 04 '!$B$16:$K$200,4,0)&gt;0,2,IF(VLOOKUP($A16-COUNT('Шаг2.Бланк заказа NEW'!$B$19:$B$201)-COUNT('Бланк OLD 0.8 04'!$B$18:$B$200),'Бланк OLD 2.0 04 '!$B$16:$K$200,5,0)&gt;0,0.4,"")))</f>
        <v/>
      </c>
      <c r="S16" s="147" t="str">
        <f ca="1">IFERROR(IFERROR(IF(VLOOKUP($A16,'Шаг2.Бланк заказа NEW'!$B$17:$N$201,5,0)="","",VLOOKUP($A16,'Шаг2.Бланк заказа NEW'!$B$17:$N$201,5,0)),
IF(VLOOKUP($A16-COUNT('Шаг2.Бланк заказа NEW'!$B$19:$B$201),'Бланк OLD 0.8 04'!$B$12:$K$200,4,0)&gt;1,0.8,
IF(VLOOKUP($A16-COUNT('Шаг2.Бланк заказа NEW'!$B$19:$B$201),'Бланк OLD 0.8 04'!$B$12:$K$200,5,0)&gt;1,0.4,
IF(AND(VLOOKUP($A16-COUNT('Шаг2.Бланк заказа NEW'!$B$19:$B$201),'Бланк OLD 0.8 04'!$B$12:$K$200,4,0)&gt;0,VLOOKUP($A16-COUNT('Шаг2.Бланк заказа NEW'!$B$19:$B$201),'Бланк OLD 0.8 04'!$B$12:$K$200,5,0)&gt;0),0.4,"")))),
IF(VLOOKUP($A16-COUNT('Шаг2.Бланк заказа NEW'!$B$19:$B$201)-COUNT('Бланк OLD 0.8 04'!$B$18:$B$200),'Бланк OLD 2.0 04 '!$B$16:$K$200,4,0)&gt;1,2,
IF(VLOOKUP($A16-COUNT('Шаг2.Бланк заказа NEW'!$B$19:$B$201)-COUNT('Бланк OLD 0.8 04'!$B$18:$B$200),'Бланк OLD 2.0 04 '!$B$16:$K$200,5,0)&gt;1,0.4,IF(AND(VLOOKUP($A16-COUNT('Шаг2.Бланк заказа NEW'!$B$19:$B$201)-COUNT('Бланк OLD 0.8 04'!$B$18:$B$200),'Бланк OLD 2.0 04 '!$B$16:$K$200,4,0)&gt;0,VLOOKUP($A16-COUNT('Шаг2.Бланк заказа NEW'!$B$19:$B$201)-COUNT('Бланк OLD 0.8 04'!$B$18:$B$200),'Бланк OLD 2.0 04 '!$B$16:$K$200,5,0)&gt;0),0.4,""))))</f>
        <v/>
      </c>
      <c r="T16" s="147" t="str">
        <f ca="1">IFERROR(IFERROR(IF(VLOOKUP($A16,'Шаг2.Бланк заказа NEW'!$B$17:$N$201,7,0)="","",VLOOKUP($A16,'Шаг2.Бланк заказа NEW'!$B$17:$N$201,7,0)),
IF(VLOOKUP($A16-COUNT('Шаг2.Бланк заказа NEW'!$B$19:$B$201),'Бланк OLD 0.8 04'!$B$12:$K$200,7,0)&gt;0,0.8,
IF(VLOOKUP($A16-COUNT('Шаг2.Бланк заказа NEW'!$B$19:$B$201),'Бланк OLD 0.8 04'!$B$12:$K$200,8,0)&gt;0,0.4,""))),
IF(VLOOKUP($A16-COUNT('Шаг2.Бланк заказа NEW'!$B$19:$B$201)-COUNT('Бланк OLD 0.8 04'!$B$18:$B$200),'Бланк OLD 2.0 04 '!$B$16:$K$200,7,0)&gt;0,2,IF(VLOOKUP($A16-COUNT('Шаг2.Бланк заказа NEW'!$B$19:$B$201)-COUNT('Бланк OLD 0.8 04'!$B$18:$B$200),'Бланк OLD 2.0 04 '!$B$16:$K$200,8,0)&gt;0,0.4,"")))</f>
        <v/>
      </c>
      <c r="U16" s="147" t="str">
        <f ca="1">IFERROR(IFERROR(IF(VLOOKUP($A16,'Шаг2.Бланк заказа NEW'!$B$17:$N$201,8,0)="","",VLOOKUP($A16,'Шаг2.Бланк заказа NEW'!$B$17:$N$201,8,0)),
IF(VLOOKUP($A16-COUNT('Шаг2.Бланк заказа NEW'!$B$19:$B$201),'Бланк OLD 0.8 04'!$B$12:$K$200,7,0)&gt;1,0.8,
IF(VLOOKUP($A16-COUNT('Шаг2.Бланк заказа NEW'!$B$19:$B$201),'Бланк OLD 0.8 04'!$B$12:$K$200,8,0)&gt;1,0.4,
IF(AND(VLOOKUP($A16-COUNT('Шаг2.Бланк заказа NEW'!$B$19:$B$201),'Бланк OLD 0.8 04'!$B$12:$K$200,7,0)&gt;0,VLOOKUP($A16-COUNT('Шаг2.Бланк заказа NEW'!$B$19:$B$201),'Бланк OLD 0.8 04'!$B$12:$K$200,8,0)&gt;0),0.4,"")))),
IF(VLOOKUP($A16-COUNT('Шаг2.Бланк заказа NEW'!$B$19:$B$201)-COUNT('Бланк OLD 0.8 04'!$B$18:$B$200),'Бланк OLD 2.0 04 '!$B$16:$K$200,7,0)&gt;1,2,
IF(VLOOKUP($A16-COUNT('Шаг2.Бланк заказа NEW'!$B$19:$B$201)-COUNT('Бланк OLD 0.8 04'!$B$18:$B$200),'Бланк OLD 2.0 04 '!$B$16:$K$200,8,0)&gt;1,0.4,
IF(AND(VLOOKUP($A16-COUNT('Шаг2.Бланк заказа NEW'!$B$19:$B$201)-COUNT('Бланк OLD 0.8 04'!$B$18:$B$200),'Бланк OLD 2.0 04 '!$B$16:$K$200,7,0)&gt;0,VLOOKUP($A16-COUNT('Шаг2.Бланк заказа NEW'!$B$19:$B$201)-COUNT('Бланк OLD 0.8 04'!$B$18:$B$200),'Бланк OLD 2.0 04 '!$B$16:$K$200,8,0)&gt;0),0.4,""))))</f>
        <v/>
      </c>
      <c r="V16" s="146" t="str">
        <f ca="1">IFERROR(VLOOKUP(C16,'Шаг1.Выбор плиты'!C:S,12,0),"")</f>
        <v/>
      </c>
      <c r="W16" s="146" t="str">
        <f ca="1">IFERROR(VLOOKUP(C16,'Шаг1.Выбор плиты'!C:S,8,0),"")</f>
        <v/>
      </c>
      <c r="X16" s="146" t="str">
        <f ca="1">IFERROR(VLOOKUP(C16,'Шаг1.Выбор плиты'!C:S,10,0),"")</f>
        <v/>
      </c>
      <c r="Y16" s="147" t="str">
        <f t="shared" ca="1" si="1"/>
        <v/>
      </c>
      <c r="AD16" s="147" t="str">
        <f t="shared" ca="1" si="2"/>
        <v/>
      </c>
      <c r="AE16" s="147" t="str">
        <f t="shared" ca="1" si="3"/>
        <v/>
      </c>
      <c r="AH16" s="147" t="str">
        <f ca="1">IF(C16="","",VLOOKUP(C16,'Шаг1.Выбор плиты'!C:Q,7,0))</f>
        <v/>
      </c>
      <c r="AI16" s="147" t="str">
        <f t="shared" ca="1" si="4"/>
        <v/>
      </c>
    </row>
    <row r="17" spans="1:35" x14ac:dyDescent="0.2">
      <c r="A17" s="151" t="str">
        <f ca="1">IF(C17="","",MAX($A$1:OFFSET(C17,-1,0))+1)</f>
        <v/>
      </c>
      <c r="B17" s="151" t="str">
        <f ca="1">IFERROR(IFERROR(IFERROR("Шаг2.Бланк заказа NEW №"&amp;VLOOKUP(A16+1,CHOOSE({1,2},'Шаг2.Бланк заказа NEW'!$B$19:$B$201,'Шаг2.Бланк заказа NEW'!$A$19:$A$201),1,0),
"Бланк OLD 0.8 04 №"&amp;VLOOKUP(A16+1-COUNT('Шаг2.Бланк заказа NEW'!$B$19:$B$201),CHOOSE({1,2},'Бланк OLD 0.8 04'!$B$18:$B$200,'Бланк OLD 0.8 04'!$A$18:$A$200),1,0)),
"Бланк OLD 2.0 04 №"&amp;VLOOKUP(A16+1-COUNT('Шаг2.Бланк заказа NEW'!$B$19:$B$201)-COUNT('Бланк OLD 0.8 04'!$B$18:$B$200),CHOOSE({1,2},'Бланк OLD 2.0 04 '!$B$18:$B$200,'Бланк OLD 2.0 04 '!$A$18:$A$200),1,0)),"")</f>
        <v/>
      </c>
      <c r="C17" s="152" t="str">
        <f ca="1">IFERROR(IFERROR(IFERROR(VLOOKUP(A16+1,CHOOSE({1,2},'Шаг2.Бланк заказа NEW'!$B$19:$B$201,'Шаг2.Бланк заказа NEW'!$A$19:$A$201),2,0),
VLOOKUP(A16+1-COUNT('Шаг2.Бланк заказа NEW'!$B$19:$B$201),CHOOSE({1,2},'Бланк OLD 0.8 04'!$B$18:$B$200,'Бланк OLD 0.8 04'!$A$18:$A$200),2,0)),
VLOOKUP(A16+1-COUNT('Шаг2.Бланк заказа NEW'!$B$19:$B$201)-COUNT('Бланк OLD 0.8 04'!$B$18:$B$200),CHOOSE({1,2},'Бланк OLD 2.0 04 '!$B$18:$B$200,'Бланк OLD 2.0 04 '!$A$18:$A$200),2,0)),"")</f>
        <v/>
      </c>
      <c r="D17" s="150" t="str">
        <f ca="1">IFERROR(VLOOKUP(C17,'Шаг1.Выбор плиты'!C:G,5,0),"")</f>
        <v/>
      </c>
      <c r="E17" s="147" t="str">
        <f ca="1">IFERROR(IFERROR(IF(VLOOKUP($A17,'Шаг2.Бланк заказа NEW'!$B$17:$N$201,2,0)="","",VLOOKUP($A17,'Шаг2.Бланк заказа NEW'!$B$17:$N$201,2,0)),
IF(VLOOKUP($A17-COUNT('Шаг2.Бланк заказа NEW'!$B$19:$B$201),'Бланк OLD 0.8 04'!$B$12:$K$200,2,0)="","",VLOOKUP($A17-COUNT('Шаг2.Бланк заказа NEW'!$B$19:$B$201),'Бланк OLD 0.8 04'!$B$12:$K$200,2,0))),
IF(VLOOKUP($A17-COUNT('Шаг2.Бланк заказа NEW'!$B$19:$B$201)-COUNT('Бланк OLD 0.8 04'!$B$18:$B$200),'Бланк OLD 2.0 04 '!$B$16:$K$200,2,0)="","",VLOOKUP($A17-COUNT('Шаг2.Бланк заказа NEW'!$B$19:$B$201)-COUNT('Бланк OLD 0.8 04'!$B$18:$B$200),'Бланк OLD 2.0 04 '!$B$16:$K$200,2,0)))</f>
        <v/>
      </c>
      <c r="F17" s="147" t="str">
        <f ca="1">IFERROR(IFERROR(IF(VLOOKUP($A17,'Шаг2.Бланк заказа NEW'!$B$17:$N$201,3,0)="","",VLOOKUP($A17,'Шаг2.Бланк заказа NEW'!$B$17:$N$201,3,0)),
IF(VLOOKUP($A17-COUNT('Шаг2.Бланк заказа NEW'!$B$19:$B$201),'Бланк OLD 0.8 04'!$B$12:$K$200,3,0)="","",VLOOKUP($A17-COUNT('Шаг2.Бланк заказа NEW'!$B$19:$B$201),'Бланк OLD 0.8 04'!$B$12:$K$200,3,0))),
IF(VLOOKUP($A17-COUNT('Шаг2.Бланк заказа NEW'!$B$19:$B$201)-COUNT('Бланк OLD 0.8 04'!$B$18:$B$200),'Бланк OLD 2.0 04 '!$B$16:$K$200,3,0)="","",VLOOKUP($A17-COUNT('Шаг2.Бланк заказа NEW'!$B$19:$B$201)-COUNT('Бланк OLD 0.8 04'!$B$18:$B$200),'Бланк OLD 2.0 04 '!$B$16:$K$200,3,0)))</f>
        <v/>
      </c>
      <c r="G17" s="176" t="str">
        <f ca="1">IF(IF(R17="","",IF(R17=1,SUMIFS('Шаг1.Выбор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плиты'!C:Q,12,0)),1))))))=0,
R17,
IF(R17="","",IF(R17=1,SUMIFS('Шаг1.Выбор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плиты'!N:N,R17,'Шаг1.Выбор плиты'!M:M,SMALL(INDIRECT("мм"&amp;VLOOKUP(C17,'Шаг1.Выбор плиты'!C:Q,12,0)),1)))))))</f>
        <v/>
      </c>
      <c r="H17" s="177" t="str">
        <f ca="1">IF(IF(S17="","",IF(S17=1,SUMIFS('Шаг1.Выбор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плиты'!C:Q,12,0)),1))))))=0,
S17,
IF(S17="","",IF(S17=1,SUMIFS('Шаг1.Выбор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плиты'!N:N,S17,'Шаг1.Выбор плиты'!M:M,SMALL(INDIRECT("мм"&amp;VLOOKUP(C17,'Шаг1.Выбор плиты'!C:Q,12,0)),1)))))))</f>
        <v/>
      </c>
      <c r="I17" s="147" t="str">
        <f ca="1">IFERROR(IFERROR(IF(VLOOKUP($A17,'Шаг2.Бланк заказа NEW'!$B$17:$N$201,6,0)="","",VLOOKUP($A17,'Шаг2.Бланк заказа NEW'!$B$17:$N$201,6,0)),
IF(VLOOKUP($A17-COUNT('Шаг2.Бланк заказа NEW'!$B$19:$B$201),'Бланк OLD 0.8 04'!$B$12:$K$200,6,0)="","",VLOOKUP($A17-COUNT('Шаг2.Бланк заказа NEW'!$B$19:$B$201),'Бланк OLD 0.8 04'!$B$12:$K$200,6,0))),
IF(VLOOKUP($A17-COUNT('Шаг2.Бланк заказа NEW'!$B$19:$B$201)-COUNT('Бланк OLD 0.8 04'!$B$18:$B$200),'Бланк OLD 2.0 04 '!$B$16:$K$200,6,0)="","",VLOOKUP($A17-COUNT('Шаг2.Бланк заказа NEW'!$B$19:$B$201)-COUNT('Бланк OLD 0.8 04'!$B$18:$B$200),'Бланк OLD 2.0 04 '!$B$16:$K$200,6,0)))</f>
        <v/>
      </c>
      <c r="J17" s="177" t="str">
        <f ca="1">IF(IF(T17="","",IF(T17=1,SUMIFS('Шаг1.Выбор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плиты'!C:Q,12,0)),1))))))=0,
T17,
IF(T17="","",IF(T17=1,SUMIFS('Шаг1.Выбор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плиты'!N:N,T17,'Шаг1.Выбор плиты'!M:M,SMALL(INDIRECT("мм"&amp;VLOOKUP(C17,'Шаг1.Выбор плиты'!C:Q,12,0)),1)))))))</f>
        <v/>
      </c>
      <c r="K17" s="177" t="str">
        <f ca="1">IF(IF(U17="","",IF(U17=1,SUMIFS('Шаг1.Выбор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плиты'!C:Q,12,0)),1))))))=0,
U17,
IF(U17="","",IF(U17=1,SUMIFS('Шаг1.Выбор плиты'!$G:$G,'Шаг1.Выбор плиты'!J:J,"*"&amp;RIGHT(VLOOKUP(C17,'Шаг1.Выбор плиты'!C:Q,8,0),4),'Шаг1.Выбор плиты'!L:L,IF(MID(C17,1,6)="ЛДСП P","TM"&amp;MID(VLOOKUP(C17,'Шаг1.Выбор плиты'!C:Q,10,0),3,2),MID(VLOOKUP(C17,'Шаг1.Выбор плиты'!C:Q,10,0),1,2)),
'Шаг1.Выбор плиты'!N:N,1),IF(SUMIFS('Шаг1.Выбор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плиты'!C:Q,12,0)),1))=0,
IF(SUMIFS('Шаг1.Выбор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плиты'!C:Q,12,0)),2))=0,
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плиты'!C:Q,12,0)),3)),
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плиты'!C:Q,12,0)),2))),
(SUMIFS('Шаг1.Выбор плиты'!$G:$G,'Шаг1.Выбор плиты'!J:J,"*"&amp;RIGHT(VLOOKUP(C17,'Шаг1.Выбор плиты'!C:Q,8,0),4),'Шаг1.Выбор плиты'!L:L,VLOOKUP(C17,'Шаг1.Выбор плиты'!C:Q,10,0),'Шаг1.Выбор плиты'!N:N,U17,'Шаг1.Выбор плиты'!M:M,SMALL(INDIRECT("мм"&amp;VLOOKUP(C17,'Шаг1.Выбор плиты'!C:Q,12,0)),1)))))))</f>
        <v/>
      </c>
      <c r="L17" s="147" t="str">
        <f ca="1">IFERROR(IFERROR(IF(VLOOKUP($A17,'Шаг2.Бланк заказа NEW'!$B$17:$N$201,9,0)="","",VLOOKUP($A17,'Шаг2.Бланк заказа NEW'!$B$17:$N$201,9,0)),
IF(VLOOKUP($A17-COUNT('Шаг2.Бланк заказа NEW'!$B$19:$B$201),'Бланк OLD 0.8 04'!$B$12:$K$200,9,0)="","",VLOOKUP($A17-COUNT('Шаг2.Бланк заказа NEW'!$B$19:$B$201),'Бланк OLD 0.8 04'!$B$12:$K$200,9,0))),
IF(VLOOKUP($A17-COUNT('Шаг2.Бланк заказа NEW'!$B$19:$B$201)-COUNT('Бланк OLD 0.8 04'!$B$18:$B$200),'Бланк OLD 2.0 04 '!$B$16:$K$200,9,0)="","",VLOOKUP($A17-COUNT('Шаг2.Бланк заказа NEW'!$B$19:$B$201)-COUNT('Бланк OLD 0.8 04'!$B$18:$B$200),'Бланк OLD 2.0 04 '!$B$16:$K$200,9,0)))</f>
        <v/>
      </c>
      <c r="M17" s="154" t="str">
        <f t="shared" ca="1" si="0"/>
        <v/>
      </c>
      <c r="N17" s="153" t="str">
        <f ca="1">IFERROR(IF(VLOOKUP($A17,'Шаг2.Бланк заказа NEW'!$B$17:$N$201,11,0)="","",VLOOKUP($A17,'Шаг2.Бланк заказа NEW'!$B$17:$N$201,11,0)),
"Нет")</f>
        <v/>
      </c>
      <c r="O17" s="147" t="str">
        <f ca="1">IFERROR(IF(VLOOKUP($A17,'Шаг2.Бланк заказа NEW'!$B$17:$N$201,11,0)="","",VLOOKUP($A17,'Шаг2.Бланк заказа NEW'!$B$17:$N$201,12,0)),
"Нет")</f>
        <v/>
      </c>
      <c r="P17" s="153" t="str">
        <f ca="1">IFERROR(IF(VLOOKUP($A17,'Шаг2.Бланк заказа NEW'!$B$17:$N$201,13,0)="","",VLOOKUP($A17,'Шаг2.Бланк заказа NEW'!$B$17:$N$201,13,0)),
"Нет")</f>
        <v/>
      </c>
      <c r="Q17" s="147" t="str">
        <f ca="1">IFERROR(IF(VLOOKUP($A17,'Шаг2.Бланк заказа NEW'!$B$17:$O$201,14,0)="","",VLOOKUP($A17,'Шаг2.Бланк заказа NEW'!$B$17:$O$201,14,0)),"")</f>
        <v/>
      </c>
      <c r="R17" s="147" t="str">
        <f ca="1">IFERROR(IFERROR(IF(VLOOKUP($A17,'Шаг2.Бланк заказа NEW'!$B$17:$N$201,4,0)="","",VLOOKUP($A17,'Шаг2.Бланк заказа NEW'!$B$17:$N$201,4,0)),
IF(VLOOKUP($A17-COUNT('Шаг2.Бланк заказа NEW'!$B$19:$B$201),'Бланк OLD 0.8 04'!$B$12:$K$200,4,0)&gt;0,0.8,
IF(VLOOKUP($A17-COUNT('Шаг2.Бланк заказа NEW'!$B$19:$B$201),'Бланк OLD 0.8 04'!$B$12:$K$200,5,0)&gt;0,0.4,""))),
IF(VLOOKUP($A17-COUNT('Шаг2.Бланк заказа NEW'!$B$19:$B$201)-COUNT('Бланк OLD 0.8 04'!$B$18:$B$200),'Бланк OLD 2.0 04 '!$B$16:$K$200,4,0)&gt;0,2,IF(VLOOKUP($A17-COUNT('Шаг2.Бланк заказа NEW'!$B$19:$B$201)-COUNT('Бланк OLD 0.8 04'!$B$18:$B$200),'Бланк OLD 2.0 04 '!$B$16:$K$200,5,0)&gt;0,0.4,"")))</f>
        <v/>
      </c>
      <c r="S17" s="147" t="str">
        <f ca="1">IFERROR(IFERROR(IF(VLOOKUP($A17,'Шаг2.Бланк заказа NEW'!$B$17:$N$201,5,0)="","",VLOOKUP($A17,'Шаг2.Бланк заказа NEW'!$B$17:$N$201,5,0)),
IF(VLOOKUP($A17-COUNT('Шаг2.Бланк заказа NEW'!$B$19:$B$201),'Бланк OLD 0.8 04'!$B$12:$K$200,4,0)&gt;1,0.8,
IF(VLOOKUP($A17-COUNT('Шаг2.Бланк заказа NEW'!$B$19:$B$201),'Бланк OLD 0.8 04'!$B$12:$K$200,5,0)&gt;1,0.4,
IF(AND(VLOOKUP($A17-COUNT('Шаг2.Бланк заказа NEW'!$B$19:$B$201),'Бланк OLD 0.8 04'!$B$12:$K$200,4,0)&gt;0,VLOOKUP($A17-COUNT('Шаг2.Бланк заказа NEW'!$B$19:$B$201),'Бланк OLD 0.8 04'!$B$12:$K$200,5,0)&gt;0),0.4,"")))),
IF(VLOOKUP($A17-COUNT('Шаг2.Бланк заказа NEW'!$B$19:$B$201)-COUNT('Бланк OLD 0.8 04'!$B$18:$B$200),'Бланк OLD 2.0 04 '!$B$16:$K$200,4,0)&gt;1,2,
IF(VLOOKUP($A17-COUNT('Шаг2.Бланк заказа NEW'!$B$19:$B$201)-COUNT('Бланк OLD 0.8 04'!$B$18:$B$200),'Бланк OLD 2.0 04 '!$B$16:$K$200,5,0)&gt;1,0.4,IF(AND(VLOOKUP($A17-COUNT('Шаг2.Бланк заказа NEW'!$B$19:$B$201)-COUNT('Бланк OLD 0.8 04'!$B$18:$B$200),'Бланк OLD 2.0 04 '!$B$16:$K$200,4,0)&gt;0,VLOOKUP($A17-COUNT('Шаг2.Бланк заказа NEW'!$B$19:$B$201)-COUNT('Бланк OLD 0.8 04'!$B$18:$B$200),'Бланк OLD 2.0 04 '!$B$16:$K$200,5,0)&gt;0),0.4,""))))</f>
        <v/>
      </c>
      <c r="T17" s="147" t="str">
        <f ca="1">IFERROR(IFERROR(IF(VLOOKUP($A17,'Шаг2.Бланк заказа NEW'!$B$17:$N$201,7,0)="","",VLOOKUP($A17,'Шаг2.Бланк заказа NEW'!$B$17:$N$201,7,0)),
IF(VLOOKUP($A17-COUNT('Шаг2.Бланк заказа NEW'!$B$19:$B$201),'Бланк OLD 0.8 04'!$B$12:$K$200,7,0)&gt;0,0.8,
IF(VLOOKUP($A17-COUNT('Шаг2.Бланк заказа NEW'!$B$19:$B$201),'Бланк OLD 0.8 04'!$B$12:$K$200,8,0)&gt;0,0.4,""))),
IF(VLOOKUP($A17-COUNT('Шаг2.Бланк заказа NEW'!$B$19:$B$201)-COUNT('Бланк OLD 0.8 04'!$B$18:$B$200),'Бланк OLD 2.0 04 '!$B$16:$K$200,7,0)&gt;0,2,IF(VLOOKUP($A17-COUNT('Шаг2.Бланк заказа NEW'!$B$19:$B$201)-COUNT('Бланк OLD 0.8 04'!$B$18:$B$200),'Бланк OLD 2.0 04 '!$B$16:$K$200,8,0)&gt;0,0.4,"")))</f>
        <v/>
      </c>
      <c r="U17" s="147" t="str">
        <f ca="1">IFERROR(IFERROR(IF(VLOOKUP($A17,'Шаг2.Бланк заказа NEW'!$B$17:$N$201,8,0)="","",VLOOKUP($A17,'Шаг2.Бланк заказа NEW'!$B$17:$N$201,8,0)),
IF(VLOOKUP($A17-COUNT('Шаг2.Бланк заказа NEW'!$B$19:$B$201),'Бланк OLD 0.8 04'!$B$12:$K$200,7,0)&gt;1,0.8,
IF(VLOOKUP($A17-COUNT('Шаг2.Бланк заказа NEW'!$B$19:$B$201),'Бланк OLD 0.8 04'!$B$12:$K$200,8,0)&gt;1,0.4,
IF(AND(VLOOKUP($A17-COUNT('Шаг2.Бланк заказа NEW'!$B$19:$B$201),'Бланк OLD 0.8 04'!$B$12:$K$200,7,0)&gt;0,VLOOKUP($A17-COUNT('Шаг2.Бланк заказа NEW'!$B$19:$B$201),'Бланк OLD 0.8 04'!$B$12:$K$200,8,0)&gt;0),0.4,"")))),
IF(VLOOKUP($A17-COUNT('Шаг2.Бланк заказа NEW'!$B$19:$B$201)-COUNT('Бланк OLD 0.8 04'!$B$18:$B$200),'Бланк OLD 2.0 04 '!$B$16:$K$200,7,0)&gt;1,2,
IF(VLOOKUP($A17-COUNT('Шаг2.Бланк заказа NEW'!$B$19:$B$201)-COUNT('Бланк OLD 0.8 04'!$B$18:$B$200),'Бланк OLD 2.0 04 '!$B$16:$K$200,8,0)&gt;1,0.4,
IF(AND(VLOOKUP($A17-COUNT('Шаг2.Бланк заказа NEW'!$B$19:$B$201)-COUNT('Бланк OLD 0.8 04'!$B$18:$B$200),'Бланк OLD 2.0 04 '!$B$16:$K$200,7,0)&gt;0,VLOOKUP($A17-COUNT('Шаг2.Бланк заказа NEW'!$B$19:$B$201)-COUNT('Бланк OLD 0.8 04'!$B$18:$B$200),'Бланк OLD 2.0 04 '!$B$16:$K$200,8,0)&gt;0),0.4,""))))</f>
        <v/>
      </c>
      <c r="V17" s="146" t="str">
        <f ca="1">IFERROR(VLOOKUP(C17,'Шаг1.Выбор плиты'!C:S,12,0),"")</f>
        <v/>
      </c>
      <c r="W17" s="146" t="str">
        <f ca="1">IFERROR(VLOOKUP(C17,'Шаг1.Выбор плиты'!C:S,8,0),"")</f>
        <v/>
      </c>
      <c r="X17" s="146" t="str">
        <f ca="1">IFERROR(VLOOKUP(C17,'Шаг1.Выбор плиты'!C:S,10,0),"")</f>
        <v/>
      </c>
      <c r="Y17" s="147" t="str">
        <f t="shared" ca="1" si="1"/>
        <v/>
      </c>
      <c r="AD17" s="147" t="str">
        <f t="shared" ca="1" si="2"/>
        <v/>
      </c>
      <c r="AE17" s="147" t="str">
        <f t="shared" ca="1" si="3"/>
        <v/>
      </c>
      <c r="AH17" s="147" t="str">
        <f ca="1">IF(C17="","",VLOOKUP(C17,'Шаг1.Выбор плиты'!C:Q,7,0))</f>
        <v/>
      </c>
      <c r="AI17" s="147" t="str">
        <f t="shared" ca="1" si="4"/>
        <v/>
      </c>
    </row>
    <row r="18" spans="1:35" x14ac:dyDescent="0.2">
      <c r="A18" s="151" t="str">
        <f ca="1">IF(C18="","",MAX($A$1:OFFSET(C18,-1,0))+1)</f>
        <v/>
      </c>
      <c r="B18" s="151" t="str">
        <f ca="1">IFERROR(IFERROR(IFERROR("Шаг2.Бланк заказа NEW №"&amp;VLOOKUP(A17+1,CHOOSE({1,2},'Шаг2.Бланк заказа NEW'!$B$19:$B$201,'Шаг2.Бланк заказа NEW'!$A$19:$A$201),1,0),
"Бланк OLD 0.8 04 №"&amp;VLOOKUP(A17+1-COUNT('Шаг2.Бланк заказа NEW'!$B$19:$B$201),CHOOSE({1,2},'Бланк OLD 0.8 04'!$B$18:$B$200,'Бланк OLD 0.8 04'!$A$18:$A$200),1,0)),
"Бланк OLD 2.0 04 №"&amp;VLOOKUP(A17+1-COUNT('Шаг2.Бланк заказа NEW'!$B$19:$B$201)-COUNT('Бланк OLD 0.8 04'!$B$18:$B$200),CHOOSE({1,2},'Бланк OLD 2.0 04 '!$B$18:$B$200,'Бланк OLD 2.0 04 '!$A$18:$A$200),1,0)),"")</f>
        <v/>
      </c>
      <c r="C18" s="152" t="str">
        <f ca="1">IFERROR(IFERROR(IFERROR(VLOOKUP(A17+1,CHOOSE({1,2},'Шаг2.Бланк заказа NEW'!$B$19:$B$201,'Шаг2.Бланк заказа NEW'!$A$19:$A$201),2,0),
VLOOKUP(A17+1-COUNT('Шаг2.Бланк заказа NEW'!$B$19:$B$201),CHOOSE({1,2},'Бланк OLD 0.8 04'!$B$18:$B$200,'Бланк OLD 0.8 04'!$A$18:$A$200),2,0)),
VLOOKUP(A17+1-COUNT('Шаг2.Бланк заказа NEW'!$B$19:$B$201)-COUNT('Бланк OLD 0.8 04'!$B$18:$B$200),CHOOSE({1,2},'Бланк OLD 2.0 04 '!$B$18:$B$200,'Бланк OLD 2.0 04 '!$A$18:$A$200),2,0)),"")</f>
        <v/>
      </c>
      <c r="D18" s="150" t="str">
        <f ca="1">IFERROR(VLOOKUP(C18,'Шаг1.Выбор плиты'!C:G,5,0),"")</f>
        <v/>
      </c>
      <c r="E18" s="147" t="str">
        <f ca="1">IFERROR(IFERROR(IF(VLOOKUP($A18,'Шаг2.Бланк заказа NEW'!$B$17:$N$201,2,0)="","",VLOOKUP($A18,'Шаг2.Бланк заказа NEW'!$B$17:$N$201,2,0)),
IF(VLOOKUP($A18-COUNT('Шаг2.Бланк заказа NEW'!$B$19:$B$201),'Бланк OLD 0.8 04'!$B$12:$K$200,2,0)="","",VLOOKUP($A18-COUNT('Шаг2.Бланк заказа NEW'!$B$19:$B$201),'Бланк OLD 0.8 04'!$B$12:$K$200,2,0))),
IF(VLOOKUP($A18-COUNT('Шаг2.Бланк заказа NEW'!$B$19:$B$201)-COUNT('Бланк OLD 0.8 04'!$B$18:$B$200),'Бланк OLD 2.0 04 '!$B$16:$K$200,2,0)="","",VLOOKUP($A18-COUNT('Шаг2.Бланк заказа NEW'!$B$19:$B$201)-COUNT('Бланк OLD 0.8 04'!$B$18:$B$200),'Бланк OLD 2.0 04 '!$B$16:$K$200,2,0)))</f>
        <v/>
      </c>
      <c r="F18" s="147" t="str">
        <f ca="1">IFERROR(IFERROR(IF(VLOOKUP($A18,'Шаг2.Бланк заказа NEW'!$B$17:$N$201,3,0)="","",VLOOKUP($A18,'Шаг2.Бланк заказа NEW'!$B$17:$N$201,3,0)),
IF(VLOOKUP($A18-COUNT('Шаг2.Бланк заказа NEW'!$B$19:$B$201),'Бланк OLD 0.8 04'!$B$12:$K$200,3,0)="","",VLOOKUP($A18-COUNT('Шаг2.Бланк заказа NEW'!$B$19:$B$201),'Бланк OLD 0.8 04'!$B$12:$K$200,3,0))),
IF(VLOOKUP($A18-COUNT('Шаг2.Бланк заказа NEW'!$B$19:$B$201)-COUNT('Бланк OLD 0.8 04'!$B$18:$B$200),'Бланк OLD 2.0 04 '!$B$16:$K$200,3,0)="","",VLOOKUP($A18-COUNT('Шаг2.Бланк заказа NEW'!$B$19:$B$201)-COUNT('Бланк OLD 0.8 04'!$B$18:$B$200),'Бланк OLD 2.0 04 '!$B$16:$K$200,3,0)))</f>
        <v/>
      </c>
      <c r="G18" s="176" t="str">
        <f ca="1">IF(IF(R18="","",IF(R18=1,SUMIFS('Шаг1.Выбор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плиты'!C:Q,12,0)),1))))))=0,
R18,
IF(R18="","",IF(R18=1,SUMIFS('Шаг1.Выбор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плиты'!N:N,R18,'Шаг1.Выбор плиты'!M:M,SMALL(INDIRECT("мм"&amp;VLOOKUP(C18,'Шаг1.Выбор плиты'!C:Q,12,0)),1)))))))</f>
        <v/>
      </c>
      <c r="H18" s="177" t="str">
        <f ca="1">IF(IF(S18="","",IF(S18=1,SUMIFS('Шаг1.Выбор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плиты'!C:Q,12,0)),1))))))=0,
S18,
IF(S18="","",IF(S18=1,SUMIFS('Шаг1.Выбор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плиты'!N:N,S18,'Шаг1.Выбор плиты'!M:M,SMALL(INDIRECT("мм"&amp;VLOOKUP(C18,'Шаг1.Выбор плиты'!C:Q,12,0)),1)))))))</f>
        <v/>
      </c>
      <c r="I18" s="147" t="str">
        <f ca="1">IFERROR(IFERROR(IF(VLOOKUP($A18,'Шаг2.Бланк заказа NEW'!$B$17:$N$201,6,0)="","",VLOOKUP($A18,'Шаг2.Бланк заказа NEW'!$B$17:$N$201,6,0)),
IF(VLOOKUP($A18-COUNT('Шаг2.Бланк заказа NEW'!$B$19:$B$201),'Бланк OLD 0.8 04'!$B$12:$K$200,6,0)="","",VLOOKUP($A18-COUNT('Шаг2.Бланк заказа NEW'!$B$19:$B$201),'Бланк OLD 0.8 04'!$B$12:$K$200,6,0))),
IF(VLOOKUP($A18-COUNT('Шаг2.Бланк заказа NEW'!$B$19:$B$201)-COUNT('Бланк OLD 0.8 04'!$B$18:$B$200),'Бланк OLD 2.0 04 '!$B$16:$K$200,6,0)="","",VLOOKUP($A18-COUNT('Шаг2.Бланк заказа NEW'!$B$19:$B$201)-COUNT('Бланк OLD 0.8 04'!$B$18:$B$200),'Бланк OLD 2.0 04 '!$B$16:$K$200,6,0)))</f>
        <v/>
      </c>
      <c r="J18" s="177" t="str">
        <f ca="1">IF(IF(T18="","",IF(T18=1,SUMIFS('Шаг1.Выбор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плиты'!C:Q,12,0)),1))))))=0,
T18,
IF(T18="","",IF(T18=1,SUMIFS('Шаг1.Выбор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плиты'!N:N,T18,'Шаг1.Выбор плиты'!M:M,SMALL(INDIRECT("мм"&amp;VLOOKUP(C18,'Шаг1.Выбор плиты'!C:Q,12,0)),1)))))))</f>
        <v/>
      </c>
      <c r="K18" s="177" t="str">
        <f ca="1">IF(IF(U18="","",IF(U18=1,SUMIFS('Шаг1.Выбор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плиты'!C:Q,12,0)),1))))))=0,
U18,
IF(U18="","",IF(U18=1,SUMIFS('Шаг1.Выбор плиты'!$G:$G,'Шаг1.Выбор плиты'!J:J,"*"&amp;RIGHT(VLOOKUP(C18,'Шаг1.Выбор плиты'!C:Q,8,0),4),'Шаг1.Выбор плиты'!L:L,IF(MID(C18,1,6)="ЛДСП P","TM"&amp;MID(VLOOKUP(C18,'Шаг1.Выбор плиты'!C:Q,10,0),3,2),MID(VLOOKUP(C18,'Шаг1.Выбор плиты'!C:Q,10,0),1,2)),
'Шаг1.Выбор плиты'!N:N,1),IF(SUMIFS('Шаг1.Выбор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плиты'!C:Q,12,0)),1))=0,
IF(SUMIFS('Шаг1.Выбор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плиты'!C:Q,12,0)),2))=0,
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плиты'!C:Q,12,0)),3)),
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плиты'!C:Q,12,0)),2))),
(SUMIFS('Шаг1.Выбор плиты'!$G:$G,'Шаг1.Выбор плиты'!J:J,"*"&amp;RIGHT(VLOOKUP(C18,'Шаг1.Выбор плиты'!C:Q,8,0),4),'Шаг1.Выбор плиты'!L:L,VLOOKUP(C18,'Шаг1.Выбор плиты'!C:Q,10,0),'Шаг1.Выбор плиты'!N:N,U18,'Шаг1.Выбор плиты'!M:M,SMALL(INDIRECT("мм"&amp;VLOOKUP(C18,'Шаг1.Выбор плиты'!C:Q,12,0)),1)))))))</f>
        <v/>
      </c>
      <c r="L18" s="147" t="str">
        <f ca="1">IFERROR(IFERROR(IF(VLOOKUP($A18,'Шаг2.Бланк заказа NEW'!$B$17:$N$201,9,0)="","",VLOOKUP($A18,'Шаг2.Бланк заказа NEW'!$B$17:$N$201,9,0)),
IF(VLOOKUP($A18-COUNT('Шаг2.Бланк заказа NEW'!$B$19:$B$201),'Бланк OLD 0.8 04'!$B$12:$K$200,9,0)="","",VLOOKUP($A18-COUNT('Шаг2.Бланк заказа NEW'!$B$19:$B$201),'Бланк OLD 0.8 04'!$B$12:$K$200,9,0))),
IF(VLOOKUP($A18-COUNT('Шаг2.Бланк заказа NEW'!$B$19:$B$201)-COUNT('Бланк OLD 0.8 04'!$B$18:$B$200),'Бланк OLD 2.0 04 '!$B$16:$K$200,9,0)="","",VLOOKUP($A18-COUNT('Шаг2.Бланк заказа NEW'!$B$19:$B$201)-COUNT('Бланк OLD 0.8 04'!$B$18:$B$200),'Бланк OLD 2.0 04 '!$B$16:$K$200,9,0)))</f>
        <v/>
      </c>
      <c r="M18" s="154" t="str">
        <f t="shared" ca="1" si="0"/>
        <v/>
      </c>
      <c r="N18" s="153" t="str">
        <f ca="1">IFERROR(IF(VLOOKUP($A18,'Шаг2.Бланк заказа NEW'!$B$17:$N$201,11,0)="","",VLOOKUP($A18,'Шаг2.Бланк заказа NEW'!$B$17:$N$201,11,0)),
"Нет")</f>
        <v/>
      </c>
      <c r="O18" s="147" t="str">
        <f ca="1">IFERROR(IF(VLOOKUP($A18,'Шаг2.Бланк заказа NEW'!$B$17:$N$201,11,0)="","",VLOOKUP($A18,'Шаг2.Бланк заказа NEW'!$B$17:$N$201,12,0)),
"Нет")</f>
        <v/>
      </c>
      <c r="P18" s="153" t="str">
        <f ca="1">IFERROR(IF(VLOOKUP($A18,'Шаг2.Бланк заказа NEW'!$B$17:$N$201,13,0)="","",VLOOKUP($A18,'Шаг2.Бланк заказа NEW'!$B$17:$N$201,13,0)),
"Нет")</f>
        <v/>
      </c>
      <c r="Q18" s="147" t="str">
        <f ca="1">IFERROR(IF(VLOOKUP($A18,'Шаг2.Бланк заказа NEW'!$B$17:$O$201,14,0)="","",VLOOKUP($A18,'Шаг2.Бланк заказа NEW'!$B$17:$O$201,14,0)),"")</f>
        <v/>
      </c>
      <c r="R18" s="147" t="str">
        <f ca="1">IFERROR(IFERROR(IF(VLOOKUP($A18,'Шаг2.Бланк заказа NEW'!$B$17:$N$201,4,0)="","",VLOOKUP($A18,'Шаг2.Бланк заказа NEW'!$B$17:$N$201,4,0)),
IF(VLOOKUP($A18-COUNT('Шаг2.Бланк заказа NEW'!$B$19:$B$201),'Бланк OLD 0.8 04'!$B$12:$K$200,4,0)&gt;0,0.8,
IF(VLOOKUP($A18-COUNT('Шаг2.Бланк заказа NEW'!$B$19:$B$201),'Бланк OLD 0.8 04'!$B$12:$K$200,5,0)&gt;0,0.4,""))),
IF(VLOOKUP($A18-COUNT('Шаг2.Бланк заказа NEW'!$B$19:$B$201)-COUNT('Бланк OLD 0.8 04'!$B$18:$B$200),'Бланк OLD 2.0 04 '!$B$16:$K$200,4,0)&gt;0,2,IF(VLOOKUP($A18-COUNT('Шаг2.Бланк заказа NEW'!$B$19:$B$201)-COUNT('Бланк OLD 0.8 04'!$B$18:$B$200),'Бланк OLD 2.0 04 '!$B$16:$K$200,5,0)&gt;0,0.4,"")))</f>
        <v/>
      </c>
      <c r="S18" s="147" t="str">
        <f ca="1">IFERROR(IFERROR(IF(VLOOKUP($A18,'Шаг2.Бланк заказа NEW'!$B$17:$N$201,5,0)="","",VLOOKUP($A18,'Шаг2.Бланк заказа NEW'!$B$17:$N$201,5,0)),
IF(VLOOKUP($A18-COUNT('Шаг2.Бланк заказа NEW'!$B$19:$B$201),'Бланк OLD 0.8 04'!$B$12:$K$200,4,0)&gt;1,0.8,
IF(VLOOKUP($A18-COUNT('Шаг2.Бланк заказа NEW'!$B$19:$B$201),'Бланк OLD 0.8 04'!$B$12:$K$200,5,0)&gt;1,0.4,
IF(AND(VLOOKUP($A18-COUNT('Шаг2.Бланк заказа NEW'!$B$19:$B$201),'Бланк OLD 0.8 04'!$B$12:$K$200,4,0)&gt;0,VLOOKUP($A18-COUNT('Шаг2.Бланк заказа NEW'!$B$19:$B$201),'Бланк OLD 0.8 04'!$B$12:$K$200,5,0)&gt;0),0.4,"")))),
IF(VLOOKUP($A18-COUNT('Шаг2.Бланк заказа NEW'!$B$19:$B$201)-COUNT('Бланк OLD 0.8 04'!$B$18:$B$200),'Бланк OLD 2.0 04 '!$B$16:$K$200,4,0)&gt;1,2,
IF(VLOOKUP($A18-COUNT('Шаг2.Бланк заказа NEW'!$B$19:$B$201)-COUNT('Бланк OLD 0.8 04'!$B$18:$B$200),'Бланк OLD 2.0 04 '!$B$16:$K$200,5,0)&gt;1,0.4,IF(AND(VLOOKUP($A18-COUNT('Шаг2.Бланк заказа NEW'!$B$19:$B$201)-COUNT('Бланк OLD 0.8 04'!$B$18:$B$200),'Бланк OLD 2.0 04 '!$B$16:$K$200,4,0)&gt;0,VLOOKUP($A18-COUNT('Шаг2.Бланк заказа NEW'!$B$19:$B$201)-COUNT('Бланк OLD 0.8 04'!$B$18:$B$200),'Бланк OLD 2.0 04 '!$B$16:$K$200,5,0)&gt;0),0.4,""))))</f>
        <v/>
      </c>
      <c r="T18" s="147" t="str">
        <f ca="1">IFERROR(IFERROR(IF(VLOOKUP($A18,'Шаг2.Бланк заказа NEW'!$B$17:$N$201,7,0)="","",VLOOKUP($A18,'Шаг2.Бланк заказа NEW'!$B$17:$N$201,7,0)),
IF(VLOOKUP($A18-COUNT('Шаг2.Бланк заказа NEW'!$B$19:$B$201),'Бланк OLD 0.8 04'!$B$12:$K$200,7,0)&gt;0,0.8,
IF(VLOOKUP($A18-COUNT('Шаг2.Бланк заказа NEW'!$B$19:$B$201),'Бланк OLD 0.8 04'!$B$12:$K$200,8,0)&gt;0,0.4,""))),
IF(VLOOKUP($A18-COUNT('Шаг2.Бланк заказа NEW'!$B$19:$B$201)-COUNT('Бланк OLD 0.8 04'!$B$18:$B$200),'Бланк OLD 2.0 04 '!$B$16:$K$200,7,0)&gt;0,2,IF(VLOOKUP($A18-COUNT('Шаг2.Бланк заказа NEW'!$B$19:$B$201)-COUNT('Бланк OLD 0.8 04'!$B$18:$B$200),'Бланк OLD 2.0 04 '!$B$16:$K$200,8,0)&gt;0,0.4,"")))</f>
        <v/>
      </c>
      <c r="U18" s="147" t="str">
        <f ca="1">IFERROR(IFERROR(IF(VLOOKUP($A18,'Шаг2.Бланк заказа NEW'!$B$17:$N$201,8,0)="","",VLOOKUP($A18,'Шаг2.Бланк заказа NEW'!$B$17:$N$201,8,0)),
IF(VLOOKUP($A18-COUNT('Шаг2.Бланк заказа NEW'!$B$19:$B$201),'Бланк OLD 0.8 04'!$B$12:$K$200,7,0)&gt;1,0.8,
IF(VLOOKUP($A18-COUNT('Шаг2.Бланк заказа NEW'!$B$19:$B$201),'Бланк OLD 0.8 04'!$B$12:$K$200,8,0)&gt;1,0.4,
IF(AND(VLOOKUP($A18-COUNT('Шаг2.Бланк заказа NEW'!$B$19:$B$201),'Бланк OLD 0.8 04'!$B$12:$K$200,7,0)&gt;0,VLOOKUP($A18-COUNT('Шаг2.Бланк заказа NEW'!$B$19:$B$201),'Бланк OLD 0.8 04'!$B$12:$K$200,8,0)&gt;0),0.4,"")))),
IF(VLOOKUP($A18-COUNT('Шаг2.Бланк заказа NEW'!$B$19:$B$201)-COUNT('Бланк OLD 0.8 04'!$B$18:$B$200),'Бланк OLD 2.0 04 '!$B$16:$K$200,7,0)&gt;1,2,
IF(VLOOKUP($A18-COUNT('Шаг2.Бланк заказа NEW'!$B$19:$B$201)-COUNT('Бланк OLD 0.8 04'!$B$18:$B$200),'Бланк OLD 2.0 04 '!$B$16:$K$200,8,0)&gt;1,0.4,
IF(AND(VLOOKUP($A18-COUNT('Шаг2.Бланк заказа NEW'!$B$19:$B$201)-COUNT('Бланк OLD 0.8 04'!$B$18:$B$200),'Бланк OLD 2.0 04 '!$B$16:$K$200,7,0)&gt;0,VLOOKUP($A18-COUNT('Шаг2.Бланк заказа NEW'!$B$19:$B$201)-COUNT('Бланк OLD 0.8 04'!$B$18:$B$200),'Бланк OLD 2.0 04 '!$B$16:$K$200,8,0)&gt;0),0.4,""))))</f>
        <v/>
      </c>
      <c r="V18" s="146" t="str">
        <f ca="1">IFERROR(VLOOKUP(C18,'Шаг1.Выбор плиты'!C:S,12,0),"")</f>
        <v/>
      </c>
      <c r="W18" s="146" t="str">
        <f ca="1">IFERROR(VLOOKUP(C18,'Шаг1.Выбор плиты'!C:S,8,0),"")</f>
        <v/>
      </c>
      <c r="X18" s="146"/>
      <c r="Y18" s="147" t="str">
        <f t="shared" ca="1" si="1"/>
        <v/>
      </c>
      <c r="AD18" s="147" t="str">
        <f t="shared" ca="1" si="2"/>
        <v/>
      </c>
      <c r="AE18" s="147" t="str">
        <f t="shared" ca="1" si="3"/>
        <v/>
      </c>
      <c r="AH18" s="147" t="str">
        <f ca="1">IF(C18="","",VLOOKUP(C18,'Шаг1.Выбор плиты'!C:Q,7,0))</f>
        <v/>
      </c>
      <c r="AI18" s="147" t="str">
        <f t="shared" ca="1" si="4"/>
        <v/>
      </c>
    </row>
    <row r="19" spans="1:35" x14ac:dyDescent="0.2">
      <c r="A19" s="151" t="str">
        <f ca="1">IF(C19="","",MAX($A$1:OFFSET(C19,-1,0))+1)</f>
        <v/>
      </c>
      <c r="B19" s="151" t="str">
        <f ca="1">IFERROR(IFERROR(IFERROR("Шаг2.Бланк заказа NEW №"&amp;VLOOKUP(A18+1,CHOOSE({1,2},'Шаг2.Бланк заказа NEW'!$B$19:$B$201,'Шаг2.Бланк заказа NEW'!$A$19:$A$201),1,0),
"Бланк OLD 0.8 04 №"&amp;VLOOKUP(A18+1-COUNT('Шаг2.Бланк заказа NEW'!$B$19:$B$201),CHOOSE({1,2},'Бланк OLD 0.8 04'!$B$18:$B$200,'Бланк OLD 0.8 04'!$A$18:$A$200),1,0)),
"Бланк OLD 2.0 04 №"&amp;VLOOKUP(A18+1-COUNT('Шаг2.Бланк заказа NEW'!$B$19:$B$201)-COUNT('Бланк OLD 0.8 04'!$B$18:$B$200),CHOOSE({1,2},'Бланк OLD 2.0 04 '!$B$18:$B$200,'Бланк OLD 2.0 04 '!$A$18:$A$200),1,0)),"")</f>
        <v/>
      </c>
      <c r="C19" s="152" t="str">
        <f ca="1">IFERROR(IFERROR(IFERROR(VLOOKUP(A18+1,CHOOSE({1,2},'Шаг2.Бланк заказа NEW'!$B$19:$B$201,'Шаг2.Бланк заказа NEW'!$A$19:$A$201),2,0),
VLOOKUP(A18+1-COUNT('Шаг2.Бланк заказа NEW'!$B$19:$B$201),CHOOSE({1,2},'Бланк OLD 0.8 04'!$B$18:$B$200,'Бланк OLD 0.8 04'!$A$18:$A$200),2,0)),
VLOOKUP(A18+1-COUNT('Шаг2.Бланк заказа NEW'!$B$19:$B$201)-COUNT('Бланк OLD 0.8 04'!$B$18:$B$200),CHOOSE({1,2},'Бланк OLD 2.0 04 '!$B$18:$B$200,'Бланк OLD 2.0 04 '!$A$18:$A$200),2,0)),"")</f>
        <v/>
      </c>
      <c r="D19" s="150" t="str">
        <f ca="1">IFERROR(VLOOKUP(C19,'Шаг1.Выбор плиты'!C:G,5,0),"")</f>
        <v/>
      </c>
      <c r="E19" s="147" t="str">
        <f ca="1">IFERROR(IFERROR(IF(VLOOKUP($A19,'Шаг2.Бланк заказа NEW'!$B$17:$N$201,2,0)="","",VLOOKUP($A19,'Шаг2.Бланк заказа NEW'!$B$17:$N$201,2,0)),
IF(VLOOKUP($A19-COUNT('Шаг2.Бланк заказа NEW'!$B$19:$B$201),'Бланк OLD 0.8 04'!$B$12:$K$200,2,0)="","",VLOOKUP($A19-COUNT('Шаг2.Бланк заказа NEW'!$B$19:$B$201),'Бланк OLD 0.8 04'!$B$12:$K$200,2,0))),
IF(VLOOKUP($A19-COUNT('Шаг2.Бланк заказа NEW'!$B$19:$B$201)-COUNT('Бланк OLD 0.8 04'!$B$18:$B$200),'Бланк OLD 2.0 04 '!$B$16:$K$200,2,0)="","",VLOOKUP($A19-COUNT('Шаг2.Бланк заказа NEW'!$B$19:$B$201)-COUNT('Бланк OLD 0.8 04'!$B$18:$B$200),'Бланк OLD 2.0 04 '!$B$16:$K$200,2,0)))</f>
        <v/>
      </c>
      <c r="F19" s="147" t="str">
        <f ca="1">IFERROR(IFERROR(IF(VLOOKUP($A19,'Шаг2.Бланк заказа NEW'!$B$17:$N$201,3,0)="","",VLOOKUP($A19,'Шаг2.Бланк заказа NEW'!$B$17:$N$201,3,0)),
IF(VLOOKUP($A19-COUNT('Шаг2.Бланк заказа NEW'!$B$19:$B$201),'Бланк OLD 0.8 04'!$B$12:$K$200,3,0)="","",VLOOKUP($A19-COUNT('Шаг2.Бланк заказа NEW'!$B$19:$B$201),'Бланк OLD 0.8 04'!$B$12:$K$200,3,0))),
IF(VLOOKUP($A19-COUNT('Шаг2.Бланк заказа NEW'!$B$19:$B$201)-COUNT('Бланк OLD 0.8 04'!$B$18:$B$200),'Бланк OLD 2.0 04 '!$B$16:$K$200,3,0)="","",VLOOKUP($A19-COUNT('Шаг2.Бланк заказа NEW'!$B$19:$B$201)-COUNT('Бланк OLD 0.8 04'!$B$18:$B$200),'Бланк OLD 2.0 04 '!$B$16:$K$200,3,0)))</f>
        <v/>
      </c>
      <c r="G19" s="176" t="str">
        <f ca="1">IF(IF(R19="","",IF(R19=1,SUMIFS('Шаг1.Выбор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плиты'!C:Q,12,0)),1))))))=0,
R19,
IF(R19="","",IF(R19=1,SUMIFS('Шаг1.Выбор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плиты'!N:N,R19,'Шаг1.Выбор плиты'!M:M,SMALL(INDIRECT("мм"&amp;VLOOKUP(C19,'Шаг1.Выбор плиты'!C:Q,12,0)),1)))))))</f>
        <v/>
      </c>
      <c r="H19" s="177" t="str">
        <f ca="1">IF(IF(S19="","",IF(S19=1,SUMIFS('Шаг1.Выбор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плиты'!C:Q,12,0)),1))))))=0,
S19,
IF(S19="","",IF(S19=1,SUMIFS('Шаг1.Выбор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плиты'!N:N,S19,'Шаг1.Выбор плиты'!M:M,SMALL(INDIRECT("мм"&amp;VLOOKUP(C19,'Шаг1.Выбор плиты'!C:Q,12,0)),1)))))))</f>
        <v/>
      </c>
      <c r="I19" s="147" t="str">
        <f ca="1">IFERROR(IFERROR(IF(VLOOKUP($A19,'Шаг2.Бланк заказа NEW'!$B$17:$N$201,6,0)="","",VLOOKUP($A19,'Шаг2.Бланк заказа NEW'!$B$17:$N$201,6,0)),
IF(VLOOKUP($A19-COUNT('Шаг2.Бланк заказа NEW'!$B$19:$B$201),'Бланк OLD 0.8 04'!$B$12:$K$200,6,0)="","",VLOOKUP($A19-COUNT('Шаг2.Бланк заказа NEW'!$B$19:$B$201),'Бланк OLD 0.8 04'!$B$12:$K$200,6,0))),
IF(VLOOKUP($A19-COUNT('Шаг2.Бланк заказа NEW'!$B$19:$B$201)-COUNT('Бланк OLD 0.8 04'!$B$18:$B$200),'Бланк OLD 2.0 04 '!$B$16:$K$200,6,0)="","",VLOOKUP($A19-COUNT('Шаг2.Бланк заказа NEW'!$B$19:$B$201)-COUNT('Бланк OLD 0.8 04'!$B$18:$B$200),'Бланк OLD 2.0 04 '!$B$16:$K$200,6,0)))</f>
        <v/>
      </c>
      <c r="J19" s="177" t="str">
        <f ca="1">IF(IF(T19="","",IF(T19=1,SUMIFS('Шаг1.Выбор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плиты'!C:Q,12,0)),1))))))=0,
T19,
IF(T19="","",IF(T19=1,SUMIFS('Шаг1.Выбор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плиты'!N:N,T19,'Шаг1.Выбор плиты'!M:M,SMALL(INDIRECT("мм"&amp;VLOOKUP(C19,'Шаг1.Выбор плиты'!C:Q,12,0)),1)))))))</f>
        <v/>
      </c>
      <c r="K19" s="177" t="str">
        <f ca="1">IF(IF(U19="","",IF(U19=1,SUMIFS('Шаг1.Выбор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плиты'!C:Q,12,0)),1))))))=0,
U19,
IF(U19="","",IF(U19=1,SUMIFS('Шаг1.Выбор плиты'!$G:$G,'Шаг1.Выбор плиты'!J:J,"*"&amp;RIGHT(VLOOKUP(C19,'Шаг1.Выбор плиты'!C:Q,8,0),4),'Шаг1.Выбор плиты'!L:L,IF(MID(C19,1,6)="ЛДСП P","TM"&amp;MID(VLOOKUP(C19,'Шаг1.Выбор плиты'!C:Q,10,0),3,2),MID(VLOOKUP(C19,'Шаг1.Выбор плиты'!C:Q,10,0),1,2)),
'Шаг1.Выбор плиты'!N:N,1),IF(SUMIFS('Шаг1.Выбор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плиты'!C:Q,12,0)),1))=0,
IF(SUMIFS('Шаг1.Выбор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плиты'!C:Q,12,0)),2))=0,
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плиты'!C:Q,12,0)),3)),
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плиты'!C:Q,12,0)),2))),
(SUMIFS('Шаг1.Выбор плиты'!$G:$G,'Шаг1.Выбор плиты'!J:J,"*"&amp;RIGHT(VLOOKUP(C19,'Шаг1.Выбор плиты'!C:Q,8,0),4),'Шаг1.Выбор плиты'!L:L,VLOOKUP(C19,'Шаг1.Выбор плиты'!C:Q,10,0),'Шаг1.Выбор плиты'!N:N,U19,'Шаг1.Выбор плиты'!M:M,SMALL(INDIRECT("мм"&amp;VLOOKUP(C19,'Шаг1.Выбор плиты'!C:Q,12,0)),1)))))))</f>
        <v/>
      </c>
      <c r="L19" s="147" t="str">
        <f ca="1">IFERROR(IFERROR(IF(VLOOKUP($A19,'Шаг2.Бланк заказа NEW'!$B$17:$N$201,9,0)="","",VLOOKUP($A19,'Шаг2.Бланк заказа NEW'!$B$17:$N$201,9,0)),
IF(VLOOKUP($A19-COUNT('Шаг2.Бланк заказа NEW'!$B$19:$B$201),'Бланк OLD 0.8 04'!$B$12:$K$200,9,0)="","",VLOOKUP($A19-COUNT('Шаг2.Бланк заказа NEW'!$B$19:$B$201),'Бланк OLD 0.8 04'!$B$12:$K$200,9,0))),
IF(VLOOKUP($A19-COUNT('Шаг2.Бланк заказа NEW'!$B$19:$B$201)-COUNT('Бланк OLD 0.8 04'!$B$18:$B$200),'Бланк OLD 2.0 04 '!$B$16:$K$200,9,0)="","",VLOOKUP($A19-COUNT('Шаг2.Бланк заказа NEW'!$B$19:$B$201)-COUNT('Бланк OLD 0.8 04'!$B$18:$B$200),'Бланк OLD 2.0 04 '!$B$16:$K$200,9,0)))</f>
        <v/>
      </c>
      <c r="M19" s="154" t="str">
        <f t="shared" ca="1" si="0"/>
        <v/>
      </c>
      <c r="N19" s="153" t="str">
        <f ca="1">IFERROR(IF(VLOOKUP($A19,'Шаг2.Бланк заказа NEW'!$B$17:$N$201,11,0)="","",VLOOKUP($A19,'Шаг2.Бланк заказа NEW'!$B$17:$N$201,11,0)),
"Нет")</f>
        <v/>
      </c>
      <c r="O19" s="147" t="str">
        <f ca="1">IFERROR(IF(VLOOKUP($A19,'Шаг2.Бланк заказа NEW'!$B$17:$N$201,11,0)="","",VLOOKUP($A19,'Шаг2.Бланк заказа NEW'!$B$17:$N$201,12,0)),
"Нет")</f>
        <v/>
      </c>
      <c r="P19" s="153" t="str">
        <f ca="1">IFERROR(IF(VLOOKUP($A19,'Шаг2.Бланк заказа NEW'!$B$17:$N$201,13,0)="","",VLOOKUP($A19,'Шаг2.Бланк заказа NEW'!$B$17:$N$201,13,0)),
"Нет")</f>
        <v/>
      </c>
      <c r="Q19" s="147" t="str">
        <f ca="1">IFERROR(IF(VLOOKUP($A19,'Шаг2.Бланк заказа NEW'!$B$17:$O$201,14,0)="","",VLOOKUP($A19,'Шаг2.Бланк заказа NEW'!$B$17:$O$201,14,0)),"")</f>
        <v/>
      </c>
      <c r="R19" s="147" t="str">
        <f ca="1">IFERROR(IFERROR(IF(VLOOKUP($A19,'Шаг2.Бланк заказа NEW'!$B$17:$N$201,4,0)="","",VLOOKUP($A19,'Шаг2.Бланк заказа NEW'!$B$17:$N$201,4,0)),
IF(VLOOKUP($A19-COUNT('Шаг2.Бланк заказа NEW'!$B$19:$B$201),'Бланк OLD 0.8 04'!$B$12:$K$200,4,0)&gt;0,0.8,
IF(VLOOKUP($A19-COUNT('Шаг2.Бланк заказа NEW'!$B$19:$B$201),'Бланк OLD 0.8 04'!$B$12:$K$200,5,0)&gt;0,0.4,""))),
IF(VLOOKUP($A19-COUNT('Шаг2.Бланк заказа NEW'!$B$19:$B$201)-COUNT('Бланк OLD 0.8 04'!$B$18:$B$200),'Бланк OLD 2.0 04 '!$B$16:$K$200,4,0)&gt;0,2,IF(VLOOKUP($A19-COUNT('Шаг2.Бланк заказа NEW'!$B$19:$B$201)-COUNT('Бланк OLD 0.8 04'!$B$18:$B$200),'Бланк OLD 2.0 04 '!$B$16:$K$200,5,0)&gt;0,0.4,"")))</f>
        <v/>
      </c>
      <c r="S19" s="147" t="str">
        <f ca="1">IFERROR(IFERROR(IF(VLOOKUP($A19,'Шаг2.Бланк заказа NEW'!$B$17:$N$201,5,0)="","",VLOOKUP($A19,'Шаг2.Бланк заказа NEW'!$B$17:$N$201,5,0)),
IF(VLOOKUP($A19-COUNT('Шаг2.Бланк заказа NEW'!$B$19:$B$201),'Бланк OLD 0.8 04'!$B$12:$K$200,4,0)&gt;1,0.8,
IF(VLOOKUP($A19-COUNT('Шаг2.Бланк заказа NEW'!$B$19:$B$201),'Бланк OLD 0.8 04'!$B$12:$K$200,5,0)&gt;1,0.4,
IF(AND(VLOOKUP($A19-COUNT('Шаг2.Бланк заказа NEW'!$B$19:$B$201),'Бланк OLD 0.8 04'!$B$12:$K$200,4,0)&gt;0,VLOOKUP($A19-COUNT('Шаг2.Бланк заказа NEW'!$B$19:$B$201),'Бланк OLD 0.8 04'!$B$12:$K$200,5,0)&gt;0),0.4,"")))),
IF(VLOOKUP($A19-COUNT('Шаг2.Бланк заказа NEW'!$B$19:$B$201)-COUNT('Бланк OLD 0.8 04'!$B$18:$B$200),'Бланк OLD 2.0 04 '!$B$16:$K$200,4,0)&gt;1,2,
IF(VLOOKUP($A19-COUNT('Шаг2.Бланк заказа NEW'!$B$19:$B$201)-COUNT('Бланк OLD 0.8 04'!$B$18:$B$200),'Бланк OLD 2.0 04 '!$B$16:$K$200,5,0)&gt;1,0.4,IF(AND(VLOOKUP($A19-COUNT('Шаг2.Бланк заказа NEW'!$B$19:$B$201)-COUNT('Бланк OLD 0.8 04'!$B$18:$B$200),'Бланк OLD 2.0 04 '!$B$16:$K$200,4,0)&gt;0,VLOOKUP($A19-COUNT('Шаг2.Бланк заказа NEW'!$B$19:$B$201)-COUNT('Бланк OLD 0.8 04'!$B$18:$B$200),'Бланк OLD 2.0 04 '!$B$16:$K$200,5,0)&gt;0),0.4,""))))</f>
        <v/>
      </c>
      <c r="T19" s="147" t="str">
        <f ca="1">IFERROR(IFERROR(IF(VLOOKUP($A19,'Шаг2.Бланк заказа NEW'!$B$17:$N$201,7,0)="","",VLOOKUP($A19,'Шаг2.Бланк заказа NEW'!$B$17:$N$201,7,0)),
IF(VLOOKUP($A19-COUNT('Шаг2.Бланк заказа NEW'!$B$19:$B$201),'Бланк OLD 0.8 04'!$B$12:$K$200,7,0)&gt;0,0.8,
IF(VLOOKUP($A19-COUNT('Шаг2.Бланк заказа NEW'!$B$19:$B$201),'Бланк OLD 0.8 04'!$B$12:$K$200,8,0)&gt;0,0.4,""))),
IF(VLOOKUP($A19-COUNT('Шаг2.Бланк заказа NEW'!$B$19:$B$201)-COUNT('Бланк OLD 0.8 04'!$B$18:$B$200),'Бланк OLD 2.0 04 '!$B$16:$K$200,7,0)&gt;0,2,IF(VLOOKUP($A19-COUNT('Шаг2.Бланк заказа NEW'!$B$19:$B$201)-COUNT('Бланк OLD 0.8 04'!$B$18:$B$200),'Бланк OLD 2.0 04 '!$B$16:$K$200,8,0)&gt;0,0.4,"")))</f>
        <v/>
      </c>
      <c r="U19" s="147" t="str">
        <f ca="1">IFERROR(IFERROR(IF(VLOOKUP($A19,'Шаг2.Бланк заказа NEW'!$B$17:$N$201,8,0)="","",VLOOKUP($A19,'Шаг2.Бланк заказа NEW'!$B$17:$N$201,8,0)),
IF(VLOOKUP($A19-COUNT('Шаг2.Бланк заказа NEW'!$B$19:$B$201),'Бланк OLD 0.8 04'!$B$12:$K$200,7,0)&gt;1,0.8,
IF(VLOOKUP($A19-COUNT('Шаг2.Бланк заказа NEW'!$B$19:$B$201),'Бланк OLD 0.8 04'!$B$12:$K$200,8,0)&gt;1,0.4,
IF(AND(VLOOKUP($A19-COUNT('Шаг2.Бланк заказа NEW'!$B$19:$B$201),'Бланк OLD 0.8 04'!$B$12:$K$200,7,0)&gt;0,VLOOKUP($A19-COUNT('Шаг2.Бланк заказа NEW'!$B$19:$B$201),'Бланк OLD 0.8 04'!$B$12:$K$200,8,0)&gt;0),0.4,"")))),
IF(VLOOKUP($A19-COUNT('Шаг2.Бланк заказа NEW'!$B$19:$B$201)-COUNT('Бланк OLD 0.8 04'!$B$18:$B$200),'Бланк OLD 2.0 04 '!$B$16:$K$200,7,0)&gt;1,2,
IF(VLOOKUP($A19-COUNT('Шаг2.Бланк заказа NEW'!$B$19:$B$201)-COUNT('Бланк OLD 0.8 04'!$B$18:$B$200),'Бланк OLD 2.0 04 '!$B$16:$K$200,8,0)&gt;1,0.4,
IF(AND(VLOOKUP($A19-COUNT('Шаг2.Бланк заказа NEW'!$B$19:$B$201)-COUNT('Бланк OLD 0.8 04'!$B$18:$B$200),'Бланк OLD 2.0 04 '!$B$16:$K$200,7,0)&gt;0,VLOOKUP($A19-COUNT('Шаг2.Бланк заказа NEW'!$B$19:$B$201)-COUNT('Бланк OLD 0.8 04'!$B$18:$B$200),'Бланк OLD 2.0 04 '!$B$16:$K$200,8,0)&gt;0),0.4,""))))</f>
        <v/>
      </c>
      <c r="V19" s="146" t="str">
        <f ca="1">IFERROR(VLOOKUP(C19,'Шаг1.Выбор плиты'!C:S,12,0),"")</f>
        <v/>
      </c>
      <c r="W19" s="146" t="str">
        <f ca="1">IFERROR(VLOOKUP(C19,'Шаг1.Выбор плиты'!C:S,8,0),"")</f>
        <v/>
      </c>
      <c r="X19" s="146" t="str">
        <f ca="1">IFERROR(VLOOKUP(C19,'Шаг1.Выбор плиты'!C:S,10,0),"")</f>
        <v/>
      </c>
      <c r="Y19" s="147" t="str">
        <f t="shared" ca="1" si="1"/>
        <v/>
      </c>
      <c r="AD19" s="147" t="str">
        <f t="shared" ca="1" si="2"/>
        <v/>
      </c>
      <c r="AE19" s="147" t="str">
        <f t="shared" ca="1" si="3"/>
        <v/>
      </c>
      <c r="AH19" s="147" t="str">
        <f ca="1">IF(C19="","",VLOOKUP(C19,'Шаг1.Выбор плиты'!C:Q,7,0))</f>
        <v/>
      </c>
      <c r="AI19" s="147" t="str">
        <f t="shared" ca="1" si="4"/>
        <v/>
      </c>
    </row>
    <row r="20" spans="1:35" x14ac:dyDescent="0.2">
      <c r="A20" s="151" t="str">
        <f ca="1">IF(C20="","",MAX($A$1:OFFSET(C20,-1,0))+1)</f>
        <v/>
      </c>
      <c r="B20" s="151" t="str">
        <f ca="1">IFERROR(IFERROR(IFERROR("Шаг2.Бланк заказа NEW №"&amp;VLOOKUP(A19+1,CHOOSE({1,2},'Шаг2.Бланк заказа NEW'!$B$19:$B$201,'Шаг2.Бланк заказа NEW'!$A$19:$A$201),1,0),
"Бланк OLD 0.8 04 №"&amp;VLOOKUP(A19+1-COUNT('Шаг2.Бланк заказа NEW'!$B$19:$B$201),CHOOSE({1,2},'Бланк OLD 0.8 04'!$B$18:$B$200,'Бланк OLD 0.8 04'!$A$18:$A$200),1,0)),
"Бланк OLD 2.0 04 №"&amp;VLOOKUP(A19+1-COUNT('Шаг2.Бланк заказа NEW'!$B$19:$B$201)-COUNT('Бланк OLD 0.8 04'!$B$18:$B$200),CHOOSE({1,2},'Бланк OLD 2.0 04 '!$B$18:$B$200,'Бланк OLD 2.0 04 '!$A$18:$A$200),1,0)),"")</f>
        <v/>
      </c>
      <c r="C20" s="152" t="str">
        <f ca="1">IFERROR(IFERROR(IFERROR(VLOOKUP(A19+1,CHOOSE({1,2},'Шаг2.Бланк заказа NEW'!$B$19:$B$201,'Шаг2.Бланк заказа NEW'!$A$19:$A$201),2,0),
VLOOKUP(A19+1-COUNT('Шаг2.Бланк заказа NEW'!$B$19:$B$201),CHOOSE({1,2},'Бланк OLD 0.8 04'!$B$18:$B$200,'Бланк OLD 0.8 04'!$A$18:$A$200),2,0)),
VLOOKUP(A19+1-COUNT('Шаг2.Бланк заказа NEW'!$B$19:$B$201)-COUNT('Бланк OLD 0.8 04'!$B$18:$B$200),CHOOSE({1,2},'Бланк OLD 2.0 04 '!$B$18:$B$200,'Бланк OLD 2.0 04 '!$A$18:$A$200),2,0)),"")</f>
        <v/>
      </c>
      <c r="D20" s="150" t="str">
        <f ca="1">IFERROR(VLOOKUP(C20,'Шаг1.Выбор плиты'!C:G,5,0),"")</f>
        <v/>
      </c>
      <c r="E20" s="147" t="str">
        <f ca="1">IFERROR(IFERROR(IF(VLOOKUP($A20,'Шаг2.Бланк заказа NEW'!$B$17:$N$201,2,0)="","",VLOOKUP($A20,'Шаг2.Бланк заказа NEW'!$B$17:$N$201,2,0)),
IF(VLOOKUP($A20-COUNT('Шаг2.Бланк заказа NEW'!$B$19:$B$201),'Бланк OLD 0.8 04'!$B$12:$K$200,2,0)="","",VLOOKUP($A20-COUNT('Шаг2.Бланк заказа NEW'!$B$19:$B$201),'Бланк OLD 0.8 04'!$B$12:$K$200,2,0))),
IF(VLOOKUP($A20-COUNT('Шаг2.Бланк заказа NEW'!$B$19:$B$201)-COUNT('Бланк OLD 0.8 04'!$B$18:$B$200),'Бланк OLD 2.0 04 '!$B$16:$K$200,2,0)="","",VLOOKUP($A20-COUNT('Шаг2.Бланк заказа NEW'!$B$19:$B$201)-COUNT('Бланк OLD 0.8 04'!$B$18:$B$200),'Бланк OLD 2.0 04 '!$B$16:$K$200,2,0)))</f>
        <v/>
      </c>
      <c r="F20" s="147" t="str">
        <f ca="1">IFERROR(IFERROR(IF(VLOOKUP($A20,'Шаг2.Бланк заказа NEW'!$B$17:$N$201,3,0)="","",VLOOKUP($A20,'Шаг2.Бланк заказа NEW'!$B$17:$N$201,3,0)),
IF(VLOOKUP($A20-COUNT('Шаг2.Бланк заказа NEW'!$B$19:$B$201),'Бланк OLD 0.8 04'!$B$12:$K$200,3,0)="","",VLOOKUP($A20-COUNT('Шаг2.Бланк заказа NEW'!$B$19:$B$201),'Бланк OLD 0.8 04'!$B$12:$K$200,3,0))),
IF(VLOOKUP($A20-COUNT('Шаг2.Бланк заказа NEW'!$B$19:$B$201)-COUNT('Бланк OLD 0.8 04'!$B$18:$B$200),'Бланк OLD 2.0 04 '!$B$16:$K$200,3,0)="","",VLOOKUP($A20-COUNT('Шаг2.Бланк заказа NEW'!$B$19:$B$201)-COUNT('Бланк OLD 0.8 04'!$B$18:$B$200),'Бланк OLD 2.0 04 '!$B$16:$K$200,3,0)))</f>
        <v/>
      </c>
      <c r="G20" s="176" t="str">
        <f ca="1">IF(IF(R20="","",IF(R20=1,SUMIFS('Шаг1.Выбор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плиты'!C:Q,12,0)),1))))))=0,
R20,
IF(R20="","",IF(R20=1,SUMIFS('Шаг1.Выбор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плиты'!N:N,R20,'Шаг1.Выбор плиты'!M:M,SMALL(INDIRECT("мм"&amp;VLOOKUP(C20,'Шаг1.Выбор плиты'!C:Q,12,0)),1)))))))</f>
        <v/>
      </c>
      <c r="H20" s="177" t="str">
        <f ca="1">IF(IF(S20="","",IF(S20=1,SUMIFS('Шаг1.Выбор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плиты'!C:Q,12,0)),1))))))=0,
S20,
IF(S20="","",IF(S20=1,SUMIFS('Шаг1.Выбор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плиты'!N:N,S20,'Шаг1.Выбор плиты'!M:M,SMALL(INDIRECT("мм"&amp;VLOOKUP(C20,'Шаг1.Выбор плиты'!C:Q,12,0)),1)))))))</f>
        <v/>
      </c>
      <c r="I20" s="147" t="str">
        <f ca="1">IFERROR(IFERROR(IF(VLOOKUP($A20,'Шаг2.Бланк заказа NEW'!$B$17:$N$201,6,0)="","",VLOOKUP($A20,'Шаг2.Бланк заказа NEW'!$B$17:$N$201,6,0)),
IF(VLOOKUP($A20-COUNT('Шаг2.Бланк заказа NEW'!$B$19:$B$201),'Бланк OLD 0.8 04'!$B$12:$K$200,6,0)="","",VLOOKUP($A20-COUNT('Шаг2.Бланк заказа NEW'!$B$19:$B$201),'Бланк OLD 0.8 04'!$B$12:$K$200,6,0))),
IF(VLOOKUP($A20-COUNT('Шаг2.Бланк заказа NEW'!$B$19:$B$201)-COUNT('Бланк OLD 0.8 04'!$B$18:$B$200),'Бланк OLD 2.0 04 '!$B$16:$K$200,6,0)="","",VLOOKUP($A20-COUNT('Шаг2.Бланк заказа NEW'!$B$19:$B$201)-COUNT('Бланк OLD 0.8 04'!$B$18:$B$200),'Бланк OLD 2.0 04 '!$B$16:$K$200,6,0)))</f>
        <v/>
      </c>
      <c r="J20" s="177" t="str">
        <f ca="1">IF(IF(T20="","",IF(T20=1,SUMIFS('Шаг1.Выбор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плиты'!C:Q,12,0)),1))))))=0,
T20,
IF(T20="","",IF(T20=1,SUMIFS('Шаг1.Выбор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плиты'!N:N,T20,'Шаг1.Выбор плиты'!M:M,SMALL(INDIRECT("мм"&amp;VLOOKUP(C20,'Шаг1.Выбор плиты'!C:Q,12,0)),1)))))))</f>
        <v/>
      </c>
      <c r="K20" s="177" t="str">
        <f ca="1">IF(IF(U20="","",IF(U20=1,SUMIFS('Шаг1.Выбор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плиты'!C:Q,12,0)),1))))))=0,
U20,
IF(U20="","",IF(U20=1,SUMIFS('Шаг1.Выбор плиты'!$G:$G,'Шаг1.Выбор плиты'!J:J,"*"&amp;RIGHT(VLOOKUP(C20,'Шаг1.Выбор плиты'!C:Q,8,0),4),'Шаг1.Выбор плиты'!L:L,IF(MID(C20,1,6)="ЛДСП P","TM"&amp;MID(VLOOKUP(C20,'Шаг1.Выбор плиты'!C:Q,10,0),3,2),MID(VLOOKUP(C20,'Шаг1.Выбор плиты'!C:Q,10,0),1,2)),
'Шаг1.Выбор плиты'!N:N,1),IF(SUMIFS('Шаг1.Выбор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плиты'!C:Q,12,0)),1))=0,
IF(SUMIFS('Шаг1.Выбор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плиты'!C:Q,12,0)),2))=0,
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плиты'!C:Q,12,0)),3)),
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плиты'!C:Q,12,0)),2))),
(SUMIFS('Шаг1.Выбор плиты'!$G:$G,'Шаг1.Выбор плиты'!J:J,"*"&amp;RIGHT(VLOOKUP(C20,'Шаг1.Выбор плиты'!C:Q,8,0),4),'Шаг1.Выбор плиты'!L:L,VLOOKUP(C20,'Шаг1.Выбор плиты'!C:Q,10,0),'Шаг1.Выбор плиты'!N:N,U20,'Шаг1.Выбор плиты'!M:M,SMALL(INDIRECT("мм"&amp;VLOOKUP(C20,'Шаг1.Выбор плиты'!C:Q,12,0)),1)))))))</f>
        <v/>
      </c>
      <c r="L20" s="147" t="str">
        <f ca="1">IFERROR(IFERROR(IF(VLOOKUP($A20,'Шаг2.Бланк заказа NEW'!$B$17:$N$201,9,0)="","",VLOOKUP($A20,'Шаг2.Бланк заказа NEW'!$B$17:$N$201,9,0)),
IF(VLOOKUP($A20-COUNT('Шаг2.Бланк заказа NEW'!$B$19:$B$201),'Бланк OLD 0.8 04'!$B$12:$K$200,9,0)="","",VLOOKUP($A20-COUNT('Шаг2.Бланк заказа NEW'!$B$19:$B$201),'Бланк OLD 0.8 04'!$B$12:$K$200,9,0))),
IF(VLOOKUP($A20-COUNT('Шаг2.Бланк заказа NEW'!$B$19:$B$201)-COUNT('Бланк OLD 0.8 04'!$B$18:$B$200),'Бланк OLD 2.0 04 '!$B$16:$K$200,9,0)="","",VLOOKUP($A20-COUNT('Шаг2.Бланк заказа NEW'!$B$19:$B$201)-COUNT('Бланк OLD 0.8 04'!$B$18:$B$200),'Бланк OLD 2.0 04 '!$B$16:$K$200,9,0)))</f>
        <v/>
      </c>
      <c r="M20" s="154" t="str">
        <f t="shared" ref="M20:M83" ca="1" si="5">IFERROR((F20/1000)*(I20/1000)*L20,"")</f>
        <v/>
      </c>
      <c r="N20" s="153" t="str">
        <f ca="1">IFERROR(IF(VLOOKUP($A20,'Шаг2.Бланк заказа NEW'!$B$17:$N$201,11,0)="","",VLOOKUP($A20,'Шаг2.Бланк заказа NEW'!$B$17:$N$201,11,0)),
"Нет")</f>
        <v/>
      </c>
      <c r="O20" s="147" t="str">
        <f ca="1">IFERROR(IF(VLOOKUP($A20,'Шаг2.Бланк заказа NEW'!$B$17:$N$201,11,0)="","",VLOOKUP($A20,'Шаг2.Бланк заказа NEW'!$B$17:$N$201,12,0)),
"Нет")</f>
        <v/>
      </c>
      <c r="P20" s="153" t="str">
        <f ca="1">IFERROR(IF(VLOOKUP($A20,'Шаг2.Бланк заказа NEW'!$B$17:$N$201,13,0)="","",VLOOKUP($A20,'Шаг2.Бланк заказа NEW'!$B$17:$N$201,13,0)),
"Нет")</f>
        <v/>
      </c>
      <c r="Q20" s="147" t="str">
        <f ca="1">IFERROR(IF(VLOOKUP($A20,'Шаг2.Бланк заказа NEW'!$B$17:$O$201,14,0)="","",VLOOKUP($A20,'Шаг2.Бланк заказа NEW'!$B$17:$O$201,14,0)),"")</f>
        <v/>
      </c>
      <c r="R20" s="147" t="str">
        <f ca="1">IFERROR(IFERROR(IF(VLOOKUP($A20,'Шаг2.Бланк заказа NEW'!$B$17:$N$201,4,0)="","",VLOOKUP($A20,'Шаг2.Бланк заказа NEW'!$B$17:$N$201,4,0)),
IF(VLOOKUP($A20-COUNT('Шаг2.Бланк заказа NEW'!$B$19:$B$201),'Бланк OLD 0.8 04'!$B$12:$K$200,4,0)&gt;0,0.8,
IF(VLOOKUP($A20-COUNT('Шаг2.Бланк заказа NEW'!$B$19:$B$201),'Бланк OLD 0.8 04'!$B$12:$K$200,5,0)&gt;0,0.4,""))),
IF(VLOOKUP($A20-COUNT('Шаг2.Бланк заказа NEW'!$B$19:$B$201)-COUNT('Бланк OLD 0.8 04'!$B$18:$B$200),'Бланк OLD 2.0 04 '!$B$16:$K$200,4,0)&gt;0,2,IF(VLOOKUP($A20-COUNT('Шаг2.Бланк заказа NEW'!$B$19:$B$201)-COUNT('Бланк OLD 0.8 04'!$B$18:$B$200),'Бланк OLD 2.0 04 '!$B$16:$K$200,5,0)&gt;0,0.4,"")))</f>
        <v/>
      </c>
      <c r="S20" s="147" t="str">
        <f ca="1">IFERROR(IFERROR(IF(VLOOKUP($A20,'Шаг2.Бланк заказа NEW'!$B$17:$N$201,5,0)="","",VLOOKUP($A20,'Шаг2.Бланк заказа NEW'!$B$17:$N$201,5,0)),
IF(VLOOKUP($A20-COUNT('Шаг2.Бланк заказа NEW'!$B$19:$B$201),'Бланк OLD 0.8 04'!$B$12:$K$200,4,0)&gt;1,0.8,
IF(VLOOKUP($A20-COUNT('Шаг2.Бланк заказа NEW'!$B$19:$B$201),'Бланк OLD 0.8 04'!$B$12:$K$200,5,0)&gt;1,0.4,
IF(AND(VLOOKUP($A20-COUNT('Шаг2.Бланк заказа NEW'!$B$19:$B$201),'Бланк OLD 0.8 04'!$B$12:$K$200,4,0)&gt;0,VLOOKUP($A20-COUNT('Шаг2.Бланк заказа NEW'!$B$19:$B$201),'Бланк OLD 0.8 04'!$B$12:$K$200,5,0)&gt;0),0.4,"")))),
IF(VLOOKUP($A20-COUNT('Шаг2.Бланк заказа NEW'!$B$19:$B$201)-COUNT('Бланк OLD 0.8 04'!$B$18:$B$200),'Бланк OLD 2.0 04 '!$B$16:$K$200,4,0)&gt;1,2,
IF(VLOOKUP($A20-COUNT('Шаг2.Бланк заказа NEW'!$B$19:$B$201)-COUNT('Бланк OLD 0.8 04'!$B$18:$B$200),'Бланк OLD 2.0 04 '!$B$16:$K$200,5,0)&gt;1,0.4,IF(AND(VLOOKUP($A20-COUNT('Шаг2.Бланк заказа NEW'!$B$19:$B$201)-COUNT('Бланк OLD 0.8 04'!$B$18:$B$200),'Бланк OLD 2.0 04 '!$B$16:$K$200,4,0)&gt;0,VLOOKUP($A20-COUNT('Шаг2.Бланк заказа NEW'!$B$19:$B$201)-COUNT('Бланк OLD 0.8 04'!$B$18:$B$200),'Бланк OLD 2.0 04 '!$B$16:$K$200,5,0)&gt;0),0.4,""))))</f>
        <v/>
      </c>
      <c r="T20" s="147" t="str">
        <f ca="1">IFERROR(IFERROR(IF(VLOOKUP($A20,'Шаг2.Бланк заказа NEW'!$B$17:$N$201,7,0)="","",VLOOKUP($A20,'Шаг2.Бланк заказа NEW'!$B$17:$N$201,7,0)),
IF(VLOOKUP($A20-COUNT('Шаг2.Бланк заказа NEW'!$B$19:$B$201),'Бланк OLD 0.8 04'!$B$12:$K$200,7,0)&gt;0,0.8,
IF(VLOOKUP($A20-COUNT('Шаг2.Бланк заказа NEW'!$B$19:$B$201),'Бланк OLD 0.8 04'!$B$12:$K$200,8,0)&gt;0,0.4,""))),
IF(VLOOKUP($A20-COUNT('Шаг2.Бланк заказа NEW'!$B$19:$B$201)-COUNT('Бланк OLD 0.8 04'!$B$18:$B$200),'Бланк OLD 2.0 04 '!$B$16:$K$200,7,0)&gt;0,2,IF(VLOOKUP($A20-COUNT('Шаг2.Бланк заказа NEW'!$B$19:$B$201)-COUNT('Бланк OLD 0.8 04'!$B$18:$B$200),'Бланк OLD 2.0 04 '!$B$16:$K$200,8,0)&gt;0,0.4,"")))</f>
        <v/>
      </c>
      <c r="U20" s="147" t="str">
        <f ca="1">IFERROR(IFERROR(IF(VLOOKUP($A20,'Шаг2.Бланк заказа NEW'!$B$17:$N$201,8,0)="","",VLOOKUP($A20,'Шаг2.Бланк заказа NEW'!$B$17:$N$201,8,0)),
IF(VLOOKUP($A20-COUNT('Шаг2.Бланк заказа NEW'!$B$19:$B$201),'Бланк OLD 0.8 04'!$B$12:$K$200,7,0)&gt;1,0.8,
IF(VLOOKUP($A20-COUNT('Шаг2.Бланк заказа NEW'!$B$19:$B$201),'Бланк OLD 0.8 04'!$B$12:$K$200,8,0)&gt;1,0.4,
IF(AND(VLOOKUP($A20-COUNT('Шаг2.Бланк заказа NEW'!$B$19:$B$201),'Бланк OLD 0.8 04'!$B$12:$K$200,7,0)&gt;0,VLOOKUP($A20-COUNT('Шаг2.Бланк заказа NEW'!$B$19:$B$201),'Бланк OLD 0.8 04'!$B$12:$K$200,8,0)&gt;0),0.4,"")))),
IF(VLOOKUP($A20-COUNT('Шаг2.Бланк заказа NEW'!$B$19:$B$201)-COUNT('Бланк OLD 0.8 04'!$B$18:$B$200),'Бланк OLD 2.0 04 '!$B$16:$K$200,7,0)&gt;1,2,
IF(VLOOKUP($A20-COUNT('Шаг2.Бланк заказа NEW'!$B$19:$B$201)-COUNT('Бланк OLD 0.8 04'!$B$18:$B$200),'Бланк OLD 2.0 04 '!$B$16:$K$200,8,0)&gt;1,0.4,
IF(AND(VLOOKUP($A20-COUNT('Шаг2.Бланк заказа NEW'!$B$19:$B$201)-COUNT('Бланк OLD 0.8 04'!$B$18:$B$200),'Бланк OLD 2.0 04 '!$B$16:$K$200,7,0)&gt;0,VLOOKUP($A20-COUNT('Шаг2.Бланк заказа NEW'!$B$19:$B$201)-COUNT('Бланк OLD 0.8 04'!$B$18:$B$200),'Бланк OLD 2.0 04 '!$B$16:$K$200,8,0)&gt;0),0.4,""))))</f>
        <v/>
      </c>
      <c r="V20" s="146" t="str">
        <f ca="1">IFERROR(VLOOKUP(C20,'Шаг1.Выбор плиты'!C:S,12,0),"")</f>
        <v/>
      </c>
      <c r="W20" s="146" t="str">
        <f ca="1">IFERROR(VLOOKUP(C20,'Шаг1.Выбор плиты'!C:S,8,0),"")</f>
        <v/>
      </c>
      <c r="X20" s="146" t="str">
        <f ca="1">IFERROR(VLOOKUP(C20,'Шаг1.Выбор плиты'!C:S,10,0),"")</f>
        <v/>
      </c>
      <c r="Y20" s="147" t="str">
        <f t="shared" ca="1" si="1"/>
        <v/>
      </c>
      <c r="AD20" s="147" t="str">
        <f t="shared" ref="AD20:AD83" ca="1" si="6">IF(C20="","",0)</f>
        <v/>
      </c>
      <c r="AE20" s="147" t="str">
        <f t="shared" ca="1" si="3"/>
        <v/>
      </c>
      <c r="AH20" s="147" t="str">
        <f ca="1">IF(C20="","",VLOOKUP(C20,'Шаг1.Выбор плиты'!C:Q,7,0))</f>
        <v/>
      </c>
      <c r="AI20" s="147" t="str">
        <f t="shared" ref="AI20:AI83" ca="1" si="7">IF(N20="","",IF(N20="да",1,0))</f>
        <v/>
      </c>
    </row>
    <row r="21" spans="1:35" x14ac:dyDescent="0.2">
      <c r="A21" s="151" t="str">
        <f ca="1">IF(C21="","",MAX($A$1:OFFSET(C21,-1,0))+1)</f>
        <v/>
      </c>
      <c r="B21" s="151" t="str">
        <f ca="1">IFERROR(IFERROR(IFERROR("Шаг2.Бланк заказа NEW №"&amp;VLOOKUP(A20+1,CHOOSE({1,2},'Шаг2.Бланк заказа NEW'!$B$19:$B$201,'Шаг2.Бланк заказа NEW'!$A$19:$A$201),1,0),
"Бланк OLD 0.8 04 №"&amp;VLOOKUP(A20+1-COUNT('Шаг2.Бланк заказа NEW'!$B$19:$B$201),CHOOSE({1,2},'Бланк OLD 0.8 04'!$B$18:$B$200,'Бланк OLD 0.8 04'!$A$18:$A$200),1,0)),
"Бланк OLD 2.0 04 №"&amp;VLOOKUP(A20+1-COUNT('Шаг2.Бланк заказа NEW'!$B$19:$B$201)-COUNT('Бланк OLD 0.8 04'!$B$18:$B$200),CHOOSE({1,2},'Бланк OLD 2.0 04 '!$B$18:$B$200,'Бланк OLD 2.0 04 '!$A$18:$A$200),1,0)),"")</f>
        <v/>
      </c>
      <c r="C21" s="152" t="str">
        <f ca="1">IFERROR(IFERROR(IFERROR(VLOOKUP(A20+1,CHOOSE({1,2},'Шаг2.Бланк заказа NEW'!$B$19:$B$201,'Шаг2.Бланк заказа NEW'!$A$19:$A$201),2,0),
VLOOKUP(A20+1-COUNT('Шаг2.Бланк заказа NEW'!$B$19:$B$201),CHOOSE({1,2},'Бланк OLD 0.8 04'!$B$18:$B$200,'Бланк OLD 0.8 04'!$A$18:$A$200),2,0)),
VLOOKUP(A20+1-COUNT('Шаг2.Бланк заказа NEW'!$B$19:$B$201)-COUNT('Бланк OLD 0.8 04'!$B$18:$B$200),CHOOSE({1,2},'Бланк OLD 2.0 04 '!$B$18:$B$200,'Бланк OLD 2.0 04 '!$A$18:$A$200),2,0)),"")</f>
        <v/>
      </c>
      <c r="D21" s="150" t="str">
        <f ca="1">IFERROR(VLOOKUP(C21,'Шаг1.Выбор плиты'!C:G,5,0),"")</f>
        <v/>
      </c>
      <c r="E21" s="147" t="str">
        <f ca="1">IFERROR(IFERROR(IF(VLOOKUP($A21,'Шаг2.Бланк заказа NEW'!$B$17:$N$201,2,0)="","",VLOOKUP($A21,'Шаг2.Бланк заказа NEW'!$B$17:$N$201,2,0)),
IF(VLOOKUP($A21-COUNT('Шаг2.Бланк заказа NEW'!$B$19:$B$201),'Бланк OLD 0.8 04'!$B$12:$K$200,2,0)="","",VLOOKUP($A21-COUNT('Шаг2.Бланк заказа NEW'!$B$19:$B$201),'Бланк OLD 0.8 04'!$B$12:$K$200,2,0))),
IF(VLOOKUP($A21-COUNT('Шаг2.Бланк заказа NEW'!$B$19:$B$201)-COUNT('Бланк OLD 0.8 04'!$B$18:$B$200),'Бланк OLD 2.0 04 '!$B$16:$K$200,2,0)="","",VLOOKUP($A21-COUNT('Шаг2.Бланк заказа NEW'!$B$19:$B$201)-COUNT('Бланк OLD 0.8 04'!$B$18:$B$200),'Бланк OLD 2.0 04 '!$B$16:$K$200,2,0)))</f>
        <v/>
      </c>
      <c r="F21" s="147" t="str">
        <f ca="1">IFERROR(IFERROR(IF(VLOOKUP($A21,'Шаг2.Бланк заказа NEW'!$B$17:$N$201,3,0)="","",VLOOKUP($A21,'Шаг2.Бланк заказа NEW'!$B$17:$N$201,3,0)),
IF(VLOOKUP($A21-COUNT('Шаг2.Бланк заказа NEW'!$B$19:$B$201),'Бланк OLD 0.8 04'!$B$12:$K$200,3,0)="","",VLOOKUP($A21-COUNT('Шаг2.Бланк заказа NEW'!$B$19:$B$201),'Бланк OLD 0.8 04'!$B$12:$K$200,3,0))),
IF(VLOOKUP($A21-COUNT('Шаг2.Бланк заказа NEW'!$B$19:$B$201)-COUNT('Бланк OLD 0.8 04'!$B$18:$B$200),'Бланк OLD 2.0 04 '!$B$16:$K$200,3,0)="","",VLOOKUP($A21-COUNT('Шаг2.Бланк заказа NEW'!$B$19:$B$201)-COUNT('Бланк OLD 0.8 04'!$B$18:$B$200),'Бланк OLD 2.0 04 '!$B$16:$K$200,3,0)))</f>
        <v/>
      </c>
      <c r="G21" s="176" t="str">
        <f ca="1">IF(IF(R21="","",IF(R21=1,SUMIFS('Шаг1.Выбор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плиты'!C:Q,12,0)),1))))))=0,
R21,
IF(R21="","",IF(R21=1,SUMIFS('Шаг1.Выбор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плиты'!N:N,R21,'Шаг1.Выбор плиты'!M:M,SMALL(INDIRECT("мм"&amp;VLOOKUP(C21,'Шаг1.Выбор плиты'!C:Q,12,0)),1)))))))</f>
        <v/>
      </c>
      <c r="H21" s="177" t="str">
        <f ca="1">IF(IF(S21="","",IF(S21=1,SUMIFS('Шаг1.Выбор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плиты'!C:Q,12,0)),1))))))=0,
S21,
IF(S21="","",IF(S21=1,SUMIFS('Шаг1.Выбор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плиты'!N:N,S21,'Шаг1.Выбор плиты'!M:M,SMALL(INDIRECT("мм"&amp;VLOOKUP(C21,'Шаг1.Выбор плиты'!C:Q,12,0)),1)))))))</f>
        <v/>
      </c>
      <c r="I21" s="147" t="str">
        <f ca="1">IFERROR(IFERROR(IF(VLOOKUP($A21,'Шаг2.Бланк заказа NEW'!$B$17:$N$201,6,0)="","",VLOOKUP($A21,'Шаг2.Бланк заказа NEW'!$B$17:$N$201,6,0)),
IF(VLOOKUP($A21-COUNT('Шаг2.Бланк заказа NEW'!$B$19:$B$201),'Бланк OLD 0.8 04'!$B$12:$K$200,6,0)="","",VLOOKUP($A21-COUNT('Шаг2.Бланк заказа NEW'!$B$19:$B$201),'Бланк OLD 0.8 04'!$B$12:$K$200,6,0))),
IF(VLOOKUP($A21-COUNT('Шаг2.Бланк заказа NEW'!$B$19:$B$201)-COUNT('Бланк OLD 0.8 04'!$B$18:$B$200),'Бланк OLD 2.0 04 '!$B$16:$K$200,6,0)="","",VLOOKUP($A21-COUNT('Шаг2.Бланк заказа NEW'!$B$19:$B$201)-COUNT('Бланк OLD 0.8 04'!$B$18:$B$200),'Бланк OLD 2.0 04 '!$B$16:$K$200,6,0)))</f>
        <v/>
      </c>
      <c r="J21" s="177" t="str">
        <f ca="1">IF(IF(T21="","",IF(T21=1,SUMIFS('Шаг1.Выбор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плиты'!C:Q,12,0)),1))))))=0,
T21,
IF(T21="","",IF(T21=1,SUMIFS('Шаг1.Выбор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плиты'!N:N,T21,'Шаг1.Выбор плиты'!M:M,SMALL(INDIRECT("мм"&amp;VLOOKUP(C21,'Шаг1.Выбор плиты'!C:Q,12,0)),1)))))))</f>
        <v/>
      </c>
      <c r="K21" s="177" t="str">
        <f ca="1">IF(IF(U21="","",IF(U21=1,SUMIFS('Шаг1.Выбор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плиты'!C:Q,12,0)),1))))))=0,
U21,
IF(U21="","",IF(U21=1,SUMIFS('Шаг1.Выбор плиты'!$G:$G,'Шаг1.Выбор плиты'!J:J,"*"&amp;RIGHT(VLOOKUP(C21,'Шаг1.Выбор плиты'!C:Q,8,0),4),'Шаг1.Выбор плиты'!L:L,IF(MID(C21,1,6)="ЛДСП P","TM"&amp;MID(VLOOKUP(C21,'Шаг1.Выбор плиты'!C:Q,10,0),3,2),MID(VLOOKUP(C21,'Шаг1.Выбор плиты'!C:Q,10,0),1,2)),
'Шаг1.Выбор плиты'!N:N,1),IF(SUMIFS('Шаг1.Выбор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плиты'!C:Q,12,0)),1))=0,
IF(SUMIFS('Шаг1.Выбор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плиты'!C:Q,12,0)),2))=0,
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плиты'!C:Q,12,0)),3)),
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плиты'!C:Q,12,0)),2))),
(SUMIFS('Шаг1.Выбор плиты'!$G:$G,'Шаг1.Выбор плиты'!J:J,"*"&amp;RIGHT(VLOOKUP(C21,'Шаг1.Выбор плиты'!C:Q,8,0),4),'Шаг1.Выбор плиты'!L:L,VLOOKUP(C21,'Шаг1.Выбор плиты'!C:Q,10,0),'Шаг1.Выбор плиты'!N:N,U21,'Шаг1.Выбор плиты'!M:M,SMALL(INDIRECT("мм"&amp;VLOOKUP(C21,'Шаг1.Выбор плиты'!C:Q,12,0)),1)))))))</f>
        <v/>
      </c>
      <c r="L21" s="147" t="str">
        <f ca="1">IFERROR(IFERROR(IF(VLOOKUP($A21,'Шаг2.Бланк заказа NEW'!$B$17:$N$201,9,0)="","",VLOOKUP($A21,'Шаг2.Бланк заказа NEW'!$B$17:$N$201,9,0)),
IF(VLOOKUP($A21-COUNT('Шаг2.Бланк заказа NEW'!$B$19:$B$201),'Бланк OLD 0.8 04'!$B$12:$K$200,9,0)="","",VLOOKUP($A21-COUNT('Шаг2.Бланк заказа NEW'!$B$19:$B$201),'Бланк OLD 0.8 04'!$B$12:$K$200,9,0))),
IF(VLOOKUP($A21-COUNT('Шаг2.Бланк заказа NEW'!$B$19:$B$201)-COUNT('Бланк OLD 0.8 04'!$B$18:$B$200),'Бланк OLD 2.0 04 '!$B$16:$K$200,9,0)="","",VLOOKUP($A21-COUNT('Шаг2.Бланк заказа NEW'!$B$19:$B$201)-COUNT('Бланк OLD 0.8 04'!$B$18:$B$200),'Бланк OLD 2.0 04 '!$B$16:$K$200,9,0)))</f>
        <v/>
      </c>
      <c r="M21" s="154" t="str">
        <f t="shared" ca="1" si="5"/>
        <v/>
      </c>
      <c r="N21" s="153" t="str">
        <f ca="1">IFERROR(IF(VLOOKUP($A21,'Шаг2.Бланк заказа NEW'!$B$17:$N$201,11,0)="","",VLOOKUP($A21,'Шаг2.Бланк заказа NEW'!$B$17:$N$201,11,0)),
"Нет")</f>
        <v/>
      </c>
      <c r="O21" s="147" t="str">
        <f ca="1">IFERROR(IF(VLOOKUP($A21,'Шаг2.Бланк заказа NEW'!$B$17:$N$201,11,0)="","",VLOOKUP($A21,'Шаг2.Бланк заказа NEW'!$B$17:$N$201,12,0)),
"Нет")</f>
        <v/>
      </c>
      <c r="P21" s="153" t="str">
        <f ca="1">IFERROR(IF(VLOOKUP($A21,'Шаг2.Бланк заказа NEW'!$B$17:$N$201,13,0)="","",VLOOKUP($A21,'Шаг2.Бланк заказа NEW'!$B$17:$N$201,13,0)),
"Нет")</f>
        <v/>
      </c>
      <c r="Q21" s="147" t="str">
        <f ca="1">IFERROR(IF(VLOOKUP($A21,'Шаг2.Бланк заказа NEW'!$B$17:$O$201,14,0)="","",VLOOKUP($A21,'Шаг2.Бланк заказа NEW'!$B$17:$O$201,14,0)),"")</f>
        <v/>
      </c>
      <c r="R21" s="147" t="str">
        <f ca="1">IFERROR(IFERROR(IF(VLOOKUP($A21,'Шаг2.Бланк заказа NEW'!$B$17:$N$201,4,0)="","",VLOOKUP($A21,'Шаг2.Бланк заказа NEW'!$B$17:$N$201,4,0)),
IF(VLOOKUP($A21-COUNT('Шаг2.Бланк заказа NEW'!$B$19:$B$201),'Бланк OLD 0.8 04'!$B$12:$K$200,4,0)&gt;0,0.8,
IF(VLOOKUP($A21-COUNT('Шаг2.Бланк заказа NEW'!$B$19:$B$201),'Бланк OLD 0.8 04'!$B$12:$K$200,5,0)&gt;0,0.4,""))),
IF(VLOOKUP($A21-COUNT('Шаг2.Бланк заказа NEW'!$B$19:$B$201)-COUNT('Бланк OLD 0.8 04'!$B$18:$B$200),'Бланк OLD 2.0 04 '!$B$16:$K$200,4,0)&gt;0,2,IF(VLOOKUP($A21-COUNT('Шаг2.Бланк заказа NEW'!$B$19:$B$201)-COUNT('Бланк OLD 0.8 04'!$B$18:$B$200),'Бланк OLD 2.0 04 '!$B$16:$K$200,5,0)&gt;0,0.4,"")))</f>
        <v/>
      </c>
      <c r="S21" s="147" t="str">
        <f ca="1">IFERROR(IFERROR(IF(VLOOKUP($A21,'Шаг2.Бланк заказа NEW'!$B$17:$N$201,5,0)="","",VLOOKUP($A21,'Шаг2.Бланк заказа NEW'!$B$17:$N$201,5,0)),
IF(VLOOKUP($A21-COUNT('Шаг2.Бланк заказа NEW'!$B$19:$B$201),'Бланк OLD 0.8 04'!$B$12:$K$200,4,0)&gt;1,0.8,
IF(VLOOKUP($A21-COUNT('Шаг2.Бланк заказа NEW'!$B$19:$B$201),'Бланк OLD 0.8 04'!$B$12:$K$200,5,0)&gt;1,0.4,
IF(AND(VLOOKUP($A21-COUNT('Шаг2.Бланк заказа NEW'!$B$19:$B$201),'Бланк OLD 0.8 04'!$B$12:$K$200,4,0)&gt;0,VLOOKUP($A21-COUNT('Шаг2.Бланк заказа NEW'!$B$19:$B$201),'Бланк OLD 0.8 04'!$B$12:$K$200,5,0)&gt;0),0.4,"")))),
IF(VLOOKUP($A21-COUNT('Шаг2.Бланк заказа NEW'!$B$19:$B$201)-COUNT('Бланк OLD 0.8 04'!$B$18:$B$200),'Бланк OLD 2.0 04 '!$B$16:$K$200,4,0)&gt;1,2,
IF(VLOOKUP($A21-COUNT('Шаг2.Бланк заказа NEW'!$B$19:$B$201)-COUNT('Бланк OLD 0.8 04'!$B$18:$B$200),'Бланк OLD 2.0 04 '!$B$16:$K$200,5,0)&gt;1,0.4,IF(AND(VLOOKUP($A21-COUNT('Шаг2.Бланк заказа NEW'!$B$19:$B$201)-COUNT('Бланк OLD 0.8 04'!$B$18:$B$200),'Бланк OLD 2.0 04 '!$B$16:$K$200,4,0)&gt;0,VLOOKUP($A21-COUNT('Шаг2.Бланк заказа NEW'!$B$19:$B$201)-COUNT('Бланк OLD 0.8 04'!$B$18:$B$200),'Бланк OLD 2.0 04 '!$B$16:$K$200,5,0)&gt;0),0.4,""))))</f>
        <v/>
      </c>
      <c r="T21" s="147" t="str">
        <f ca="1">IFERROR(IFERROR(IF(VLOOKUP($A21,'Шаг2.Бланк заказа NEW'!$B$17:$N$201,7,0)="","",VLOOKUP($A21,'Шаг2.Бланк заказа NEW'!$B$17:$N$201,7,0)),
IF(VLOOKUP($A21-COUNT('Шаг2.Бланк заказа NEW'!$B$19:$B$201),'Бланк OLD 0.8 04'!$B$12:$K$200,7,0)&gt;0,0.8,
IF(VLOOKUP($A21-COUNT('Шаг2.Бланк заказа NEW'!$B$19:$B$201),'Бланк OLD 0.8 04'!$B$12:$K$200,8,0)&gt;0,0.4,""))),
IF(VLOOKUP($A21-COUNT('Шаг2.Бланк заказа NEW'!$B$19:$B$201)-COUNT('Бланк OLD 0.8 04'!$B$18:$B$200),'Бланк OLD 2.0 04 '!$B$16:$K$200,7,0)&gt;0,2,IF(VLOOKUP($A21-COUNT('Шаг2.Бланк заказа NEW'!$B$19:$B$201)-COUNT('Бланк OLD 0.8 04'!$B$18:$B$200),'Бланк OLD 2.0 04 '!$B$16:$K$200,8,0)&gt;0,0.4,"")))</f>
        <v/>
      </c>
      <c r="U21" s="147" t="str">
        <f ca="1">IFERROR(IFERROR(IF(VLOOKUP($A21,'Шаг2.Бланк заказа NEW'!$B$17:$N$201,8,0)="","",VLOOKUP($A21,'Шаг2.Бланк заказа NEW'!$B$17:$N$201,8,0)),
IF(VLOOKUP($A21-COUNT('Шаг2.Бланк заказа NEW'!$B$19:$B$201),'Бланк OLD 0.8 04'!$B$12:$K$200,7,0)&gt;1,0.8,
IF(VLOOKUP($A21-COUNT('Шаг2.Бланк заказа NEW'!$B$19:$B$201),'Бланк OLD 0.8 04'!$B$12:$K$200,8,0)&gt;1,0.4,
IF(AND(VLOOKUP($A21-COUNT('Шаг2.Бланк заказа NEW'!$B$19:$B$201),'Бланк OLD 0.8 04'!$B$12:$K$200,7,0)&gt;0,VLOOKUP($A21-COUNT('Шаг2.Бланк заказа NEW'!$B$19:$B$201),'Бланк OLD 0.8 04'!$B$12:$K$200,8,0)&gt;0),0.4,"")))),
IF(VLOOKUP($A21-COUNT('Шаг2.Бланк заказа NEW'!$B$19:$B$201)-COUNT('Бланк OLD 0.8 04'!$B$18:$B$200),'Бланк OLD 2.0 04 '!$B$16:$K$200,7,0)&gt;1,2,
IF(VLOOKUP($A21-COUNT('Шаг2.Бланк заказа NEW'!$B$19:$B$201)-COUNT('Бланк OLD 0.8 04'!$B$18:$B$200),'Бланк OLD 2.0 04 '!$B$16:$K$200,8,0)&gt;1,0.4,
IF(AND(VLOOKUP($A21-COUNT('Шаг2.Бланк заказа NEW'!$B$19:$B$201)-COUNT('Бланк OLD 0.8 04'!$B$18:$B$200),'Бланк OLD 2.0 04 '!$B$16:$K$200,7,0)&gt;0,VLOOKUP($A21-COUNT('Шаг2.Бланк заказа NEW'!$B$19:$B$201)-COUNT('Бланк OLD 0.8 04'!$B$18:$B$200),'Бланк OLD 2.0 04 '!$B$16:$K$200,8,0)&gt;0),0.4,""))))</f>
        <v/>
      </c>
      <c r="V21" s="146" t="str">
        <f ca="1">IFERROR(VLOOKUP(C21,'Шаг1.Выбор плиты'!C:S,12,0),"")</f>
        <v/>
      </c>
      <c r="W21" s="146" t="str">
        <f ca="1">IFERROR(VLOOKUP(C21,'Шаг1.Выбор плиты'!C:S,8,0),"")</f>
        <v/>
      </c>
      <c r="X21" s="146" t="str">
        <f ca="1">IFERROR(VLOOKUP(C21,'Шаг1.Выбор плиты'!C:S,10,0),"")</f>
        <v/>
      </c>
      <c r="Y21" s="147" t="str">
        <f t="shared" ca="1" si="1"/>
        <v/>
      </c>
      <c r="AD21" s="147" t="str">
        <f t="shared" ca="1" si="6"/>
        <v/>
      </c>
      <c r="AE21" s="147" t="str">
        <f t="shared" ca="1" si="3"/>
        <v/>
      </c>
      <c r="AH21" s="147" t="str">
        <f ca="1">IF(C21="","",VLOOKUP(C21,'Шаг1.Выбор плиты'!C:Q,7,0))</f>
        <v/>
      </c>
      <c r="AI21" s="147" t="str">
        <f t="shared" ca="1" si="7"/>
        <v/>
      </c>
    </row>
    <row r="22" spans="1:35" x14ac:dyDescent="0.2">
      <c r="A22" s="151" t="str">
        <f ca="1">IF(C22="","",MAX($A$1:OFFSET(C22,-1,0))+1)</f>
        <v/>
      </c>
      <c r="B22" s="151" t="str">
        <f ca="1">IFERROR(IFERROR(IFERROR("Шаг2.Бланк заказа NEW №"&amp;VLOOKUP(A21+1,CHOOSE({1,2},'Шаг2.Бланк заказа NEW'!$B$19:$B$201,'Шаг2.Бланк заказа NEW'!$A$19:$A$201),1,0),
"Бланк OLD 0.8 04 №"&amp;VLOOKUP(A21+1-COUNT('Шаг2.Бланк заказа NEW'!$B$19:$B$201),CHOOSE({1,2},'Бланк OLD 0.8 04'!$B$18:$B$200,'Бланк OLD 0.8 04'!$A$18:$A$200),1,0)),
"Бланк OLD 2.0 04 №"&amp;VLOOKUP(A21+1-COUNT('Шаг2.Бланк заказа NEW'!$B$19:$B$201)-COUNT('Бланк OLD 0.8 04'!$B$18:$B$200),CHOOSE({1,2},'Бланк OLD 2.0 04 '!$B$18:$B$200,'Бланк OLD 2.0 04 '!$A$18:$A$200),1,0)),"")</f>
        <v/>
      </c>
      <c r="C22" s="152" t="str">
        <f ca="1">IFERROR(IFERROR(IFERROR(VLOOKUP(A21+1,CHOOSE({1,2},'Шаг2.Бланк заказа NEW'!$B$19:$B$201,'Шаг2.Бланк заказа NEW'!$A$19:$A$201),2,0),
VLOOKUP(A21+1-COUNT('Шаг2.Бланк заказа NEW'!$B$19:$B$201),CHOOSE({1,2},'Бланк OLD 0.8 04'!$B$18:$B$200,'Бланк OLD 0.8 04'!$A$18:$A$200),2,0)),
VLOOKUP(A21+1-COUNT('Шаг2.Бланк заказа NEW'!$B$19:$B$201)-COUNT('Бланк OLD 0.8 04'!$B$18:$B$200),CHOOSE({1,2},'Бланк OLD 2.0 04 '!$B$18:$B$200,'Бланк OLD 2.0 04 '!$A$18:$A$200),2,0)),"")</f>
        <v/>
      </c>
      <c r="D22" s="150" t="str">
        <f ca="1">IFERROR(VLOOKUP(C22,'Шаг1.Выбор плиты'!C:G,5,0),"")</f>
        <v/>
      </c>
      <c r="E22" s="147" t="str">
        <f ca="1">IFERROR(IFERROR(IF(VLOOKUP($A22,'Шаг2.Бланк заказа NEW'!$B$17:$N$201,2,0)="","",VLOOKUP($A22,'Шаг2.Бланк заказа NEW'!$B$17:$N$201,2,0)),
IF(VLOOKUP($A22-COUNT('Шаг2.Бланк заказа NEW'!$B$19:$B$201),'Бланк OLD 0.8 04'!$B$12:$K$200,2,0)="","",VLOOKUP($A22-COUNT('Шаг2.Бланк заказа NEW'!$B$19:$B$201),'Бланк OLD 0.8 04'!$B$12:$K$200,2,0))),
IF(VLOOKUP($A22-COUNT('Шаг2.Бланк заказа NEW'!$B$19:$B$201)-COUNT('Бланк OLD 0.8 04'!$B$18:$B$200),'Бланк OLD 2.0 04 '!$B$16:$K$200,2,0)="","",VLOOKUP($A22-COUNT('Шаг2.Бланк заказа NEW'!$B$19:$B$201)-COUNT('Бланк OLD 0.8 04'!$B$18:$B$200),'Бланк OLD 2.0 04 '!$B$16:$K$200,2,0)))</f>
        <v/>
      </c>
      <c r="F22" s="147" t="str">
        <f ca="1">IFERROR(IFERROR(IF(VLOOKUP($A22,'Шаг2.Бланк заказа NEW'!$B$17:$N$201,3,0)="","",VLOOKUP($A22,'Шаг2.Бланк заказа NEW'!$B$17:$N$201,3,0)),
IF(VLOOKUP($A22-COUNT('Шаг2.Бланк заказа NEW'!$B$19:$B$201),'Бланк OLD 0.8 04'!$B$12:$K$200,3,0)="","",VLOOKUP($A22-COUNT('Шаг2.Бланк заказа NEW'!$B$19:$B$201),'Бланк OLD 0.8 04'!$B$12:$K$200,3,0))),
IF(VLOOKUP($A22-COUNT('Шаг2.Бланк заказа NEW'!$B$19:$B$201)-COUNT('Бланк OLD 0.8 04'!$B$18:$B$200),'Бланк OLD 2.0 04 '!$B$16:$K$200,3,0)="","",VLOOKUP($A22-COUNT('Шаг2.Бланк заказа NEW'!$B$19:$B$201)-COUNT('Бланк OLD 0.8 04'!$B$18:$B$200),'Бланк OLD 2.0 04 '!$B$16:$K$200,3,0)))</f>
        <v/>
      </c>
      <c r="G22" s="176" t="str">
        <f ca="1">IF(IF(R22="","",IF(R22=1,SUMIFS('Шаг1.Выбор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плиты'!C:Q,12,0)),1))))))=0,
R22,
IF(R22="","",IF(R22=1,SUMIFS('Шаг1.Выбор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плиты'!N:N,R22,'Шаг1.Выбор плиты'!M:M,SMALL(INDIRECT("мм"&amp;VLOOKUP(C22,'Шаг1.Выбор плиты'!C:Q,12,0)),1)))))))</f>
        <v/>
      </c>
      <c r="H22" s="177" t="str">
        <f ca="1">IF(IF(S22="","",IF(S22=1,SUMIFS('Шаг1.Выбор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плиты'!C:Q,12,0)),1))))))=0,
S22,
IF(S22="","",IF(S22=1,SUMIFS('Шаг1.Выбор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плиты'!N:N,S22,'Шаг1.Выбор плиты'!M:M,SMALL(INDIRECT("мм"&amp;VLOOKUP(C22,'Шаг1.Выбор плиты'!C:Q,12,0)),1)))))))</f>
        <v/>
      </c>
      <c r="I22" s="147" t="str">
        <f ca="1">IFERROR(IFERROR(IF(VLOOKUP($A22,'Шаг2.Бланк заказа NEW'!$B$17:$N$201,6,0)="","",VLOOKUP($A22,'Шаг2.Бланк заказа NEW'!$B$17:$N$201,6,0)),
IF(VLOOKUP($A22-COUNT('Шаг2.Бланк заказа NEW'!$B$19:$B$201),'Бланк OLD 0.8 04'!$B$12:$K$200,6,0)="","",VLOOKUP($A22-COUNT('Шаг2.Бланк заказа NEW'!$B$19:$B$201),'Бланк OLD 0.8 04'!$B$12:$K$200,6,0))),
IF(VLOOKUP($A22-COUNT('Шаг2.Бланк заказа NEW'!$B$19:$B$201)-COUNT('Бланк OLD 0.8 04'!$B$18:$B$200),'Бланк OLD 2.0 04 '!$B$16:$K$200,6,0)="","",VLOOKUP($A22-COUNT('Шаг2.Бланк заказа NEW'!$B$19:$B$201)-COUNT('Бланк OLD 0.8 04'!$B$18:$B$200),'Бланк OLD 2.0 04 '!$B$16:$K$200,6,0)))</f>
        <v/>
      </c>
      <c r="J22" s="177" t="str">
        <f ca="1">IF(IF(T22="","",IF(T22=1,SUMIFS('Шаг1.Выбор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плиты'!C:Q,12,0)),1))))))=0,
T22,
IF(T22="","",IF(T22=1,SUMIFS('Шаг1.Выбор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плиты'!N:N,T22,'Шаг1.Выбор плиты'!M:M,SMALL(INDIRECT("мм"&amp;VLOOKUP(C22,'Шаг1.Выбор плиты'!C:Q,12,0)),1)))))))</f>
        <v/>
      </c>
      <c r="K22" s="177" t="str">
        <f ca="1">IF(IF(U22="","",IF(U22=1,SUMIFS('Шаг1.Выбор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плиты'!C:Q,12,0)),1))))))=0,
U22,
IF(U22="","",IF(U22=1,SUMIFS('Шаг1.Выбор плиты'!$G:$G,'Шаг1.Выбор плиты'!J:J,"*"&amp;RIGHT(VLOOKUP(C22,'Шаг1.Выбор плиты'!C:Q,8,0),4),'Шаг1.Выбор плиты'!L:L,IF(MID(C22,1,6)="ЛДСП P","TM"&amp;MID(VLOOKUP(C22,'Шаг1.Выбор плиты'!C:Q,10,0),3,2),MID(VLOOKUP(C22,'Шаг1.Выбор плиты'!C:Q,10,0),1,2)),
'Шаг1.Выбор плиты'!N:N,1),IF(SUMIFS('Шаг1.Выбор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плиты'!C:Q,12,0)),1))=0,
IF(SUMIFS('Шаг1.Выбор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плиты'!C:Q,12,0)),2))=0,
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плиты'!C:Q,12,0)),3)),
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плиты'!C:Q,12,0)),2))),
(SUMIFS('Шаг1.Выбор плиты'!$G:$G,'Шаг1.Выбор плиты'!J:J,"*"&amp;RIGHT(VLOOKUP(C22,'Шаг1.Выбор плиты'!C:Q,8,0),4),'Шаг1.Выбор плиты'!L:L,VLOOKUP(C22,'Шаг1.Выбор плиты'!C:Q,10,0),'Шаг1.Выбор плиты'!N:N,U22,'Шаг1.Выбор плиты'!M:M,SMALL(INDIRECT("мм"&amp;VLOOKUP(C22,'Шаг1.Выбор плиты'!C:Q,12,0)),1)))))))</f>
        <v/>
      </c>
      <c r="L22" s="147" t="str">
        <f ca="1">IFERROR(IFERROR(IF(VLOOKUP($A22,'Шаг2.Бланк заказа NEW'!$B$17:$N$201,9,0)="","",VLOOKUP($A22,'Шаг2.Бланк заказа NEW'!$B$17:$N$201,9,0)),
IF(VLOOKUP($A22-COUNT('Шаг2.Бланк заказа NEW'!$B$19:$B$201),'Бланк OLD 0.8 04'!$B$12:$K$200,9,0)="","",VLOOKUP($A22-COUNT('Шаг2.Бланк заказа NEW'!$B$19:$B$201),'Бланк OLD 0.8 04'!$B$12:$K$200,9,0))),
IF(VLOOKUP($A22-COUNT('Шаг2.Бланк заказа NEW'!$B$19:$B$201)-COUNT('Бланк OLD 0.8 04'!$B$18:$B$200),'Бланк OLD 2.0 04 '!$B$16:$K$200,9,0)="","",VLOOKUP($A22-COUNT('Шаг2.Бланк заказа NEW'!$B$19:$B$201)-COUNT('Бланк OLD 0.8 04'!$B$18:$B$200),'Бланк OLD 2.0 04 '!$B$16:$K$200,9,0)))</f>
        <v/>
      </c>
      <c r="M22" s="154" t="str">
        <f t="shared" ca="1" si="5"/>
        <v/>
      </c>
      <c r="N22" s="153" t="str">
        <f ca="1">IFERROR(IF(VLOOKUP($A22,'Шаг2.Бланк заказа NEW'!$B$17:$N$201,11,0)="","",VLOOKUP($A22,'Шаг2.Бланк заказа NEW'!$B$17:$N$201,11,0)),
"Нет")</f>
        <v/>
      </c>
      <c r="O22" s="147" t="str">
        <f ca="1">IFERROR(IF(VLOOKUP($A22,'Шаг2.Бланк заказа NEW'!$B$17:$N$201,11,0)="","",VLOOKUP($A22,'Шаг2.Бланк заказа NEW'!$B$17:$N$201,12,0)),
"Нет")</f>
        <v/>
      </c>
      <c r="P22" s="153" t="str">
        <f ca="1">IFERROR(IF(VLOOKUP($A22,'Шаг2.Бланк заказа NEW'!$B$17:$N$201,13,0)="","",VLOOKUP($A22,'Шаг2.Бланк заказа NEW'!$B$17:$N$201,13,0)),
"Нет")</f>
        <v/>
      </c>
      <c r="Q22" s="147" t="str">
        <f ca="1">IFERROR(IF(VLOOKUP($A22,'Шаг2.Бланк заказа NEW'!$B$17:$O$201,14,0)="","",VLOOKUP($A22,'Шаг2.Бланк заказа NEW'!$B$17:$O$201,14,0)),"")</f>
        <v/>
      </c>
      <c r="R22" s="147" t="str">
        <f ca="1">IFERROR(IFERROR(IF(VLOOKUP($A22,'Шаг2.Бланк заказа NEW'!$B$17:$N$201,4,0)="","",VLOOKUP($A22,'Шаг2.Бланк заказа NEW'!$B$17:$N$201,4,0)),
IF(VLOOKUP($A22-COUNT('Шаг2.Бланк заказа NEW'!$B$19:$B$201),'Бланк OLD 0.8 04'!$B$12:$K$200,4,0)&gt;0,0.8,
IF(VLOOKUP($A22-COUNT('Шаг2.Бланк заказа NEW'!$B$19:$B$201),'Бланк OLD 0.8 04'!$B$12:$K$200,5,0)&gt;0,0.4,""))),
IF(VLOOKUP($A22-COUNT('Шаг2.Бланк заказа NEW'!$B$19:$B$201)-COUNT('Бланк OLD 0.8 04'!$B$18:$B$200),'Бланк OLD 2.0 04 '!$B$16:$K$200,4,0)&gt;0,2,IF(VLOOKUP($A22-COUNT('Шаг2.Бланк заказа NEW'!$B$19:$B$201)-COUNT('Бланк OLD 0.8 04'!$B$18:$B$200),'Бланк OLD 2.0 04 '!$B$16:$K$200,5,0)&gt;0,0.4,"")))</f>
        <v/>
      </c>
      <c r="S22" s="147" t="str">
        <f ca="1">IFERROR(IFERROR(IF(VLOOKUP($A22,'Шаг2.Бланк заказа NEW'!$B$17:$N$201,5,0)="","",VLOOKUP($A22,'Шаг2.Бланк заказа NEW'!$B$17:$N$201,5,0)),
IF(VLOOKUP($A22-COUNT('Шаг2.Бланк заказа NEW'!$B$19:$B$201),'Бланк OLD 0.8 04'!$B$12:$K$200,4,0)&gt;1,0.8,
IF(VLOOKUP($A22-COUNT('Шаг2.Бланк заказа NEW'!$B$19:$B$201),'Бланк OLD 0.8 04'!$B$12:$K$200,5,0)&gt;1,0.4,
IF(AND(VLOOKUP($A22-COUNT('Шаг2.Бланк заказа NEW'!$B$19:$B$201),'Бланк OLD 0.8 04'!$B$12:$K$200,4,0)&gt;0,VLOOKUP($A22-COUNT('Шаг2.Бланк заказа NEW'!$B$19:$B$201),'Бланк OLD 0.8 04'!$B$12:$K$200,5,0)&gt;0),0.4,"")))),
IF(VLOOKUP($A22-COUNT('Шаг2.Бланк заказа NEW'!$B$19:$B$201)-COUNT('Бланк OLD 0.8 04'!$B$18:$B$200),'Бланк OLD 2.0 04 '!$B$16:$K$200,4,0)&gt;1,2,
IF(VLOOKUP($A22-COUNT('Шаг2.Бланк заказа NEW'!$B$19:$B$201)-COUNT('Бланк OLD 0.8 04'!$B$18:$B$200),'Бланк OLD 2.0 04 '!$B$16:$K$200,5,0)&gt;1,0.4,IF(AND(VLOOKUP($A22-COUNT('Шаг2.Бланк заказа NEW'!$B$19:$B$201)-COUNT('Бланк OLD 0.8 04'!$B$18:$B$200),'Бланк OLD 2.0 04 '!$B$16:$K$200,4,0)&gt;0,VLOOKUP($A22-COUNT('Шаг2.Бланк заказа NEW'!$B$19:$B$201)-COUNT('Бланк OLD 0.8 04'!$B$18:$B$200),'Бланк OLD 2.0 04 '!$B$16:$K$200,5,0)&gt;0),0.4,""))))</f>
        <v/>
      </c>
      <c r="T22" s="147" t="str">
        <f ca="1">IFERROR(IFERROR(IF(VLOOKUP($A22,'Шаг2.Бланк заказа NEW'!$B$17:$N$201,7,0)="","",VLOOKUP($A22,'Шаг2.Бланк заказа NEW'!$B$17:$N$201,7,0)),
IF(VLOOKUP($A22-COUNT('Шаг2.Бланк заказа NEW'!$B$19:$B$201),'Бланк OLD 0.8 04'!$B$12:$K$200,7,0)&gt;0,0.8,
IF(VLOOKUP($A22-COUNT('Шаг2.Бланк заказа NEW'!$B$19:$B$201),'Бланк OLD 0.8 04'!$B$12:$K$200,8,0)&gt;0,0.4,""))),
IF(VLOOKUP($A22-COUNT('Шаг2.Бланк заказа NEW'!$B$19:$B$201)-COUNT('Бланк OLD 0.8 04'!$B$18:$B$200),'Бланк OLD 2.0 04 '!$B$16:$K$200,7,0)&gt;0,2,IF(VLOOKUP($A22-COUNT('Шаг2.Бланк заказа NEW'!$B$19:$B$201)-COUNT('Бланк OLD 0.8 04'!$B$18:$B$200),'Бланк OLD 2.0 04 '!$B$16:$K$200,8,0)&gt;0,0.4,"")))</f>
        <v/>
      </c>
      <c r="U22" s="147" t="str">
        <f ca="1">IFERROR(IFERROR(IF(VLOOKUP($A22,'Шаг2.Бланк заказа NEW'!$B$17:$N$201,8,0)="","",VLOOKUP($A22,'Шаг2.Бланк заказа NEW'!$B$17:$N$201,8,0)),
IF(VLOOKUP($A22-COUNT('Шаг2.Бланк заказа NEW'!$B$19:$B$201),'Бланк OLD 0.8 04'!$B$12:$K$200,7,0)&gt;1,0.8,
IF(VLOOKUP($A22-COUNT('Шаг2.Бланк заказа NEW'!$B$19:$B$201),'Бланк OLD 0.8 04'!$B$12:$K$200,8,0)&gt;1,0.4,
IF(AND(VLOOKUP($A22-COUNT('Шаг2.Бланк заказа NEW'!$B$19:$B$201),'Бланк OLD 0.8 04'!$B$12:$K$200,7,0)&gt;0,VLOOKUP($A22-COUNT('Шаг2.Бланк заказа NEW'!$B$19:$B$201),'Бланк OLD 0.8 04'!$B$12:$K$200,8,0)&gt;0),0.4,"")))),
IF(VLOOKUP($A22-COUNT('Шаг2.Бланк заказа NEW'!$B$19:$B$201)-COUNT('Бланк OLD 0.8 04'!$B$18:$B$200),'Бланк OLD 2.0 04 '!$B$16:$K$200,7,0)&gt;1,2,
IF(VLOOKUP($A22-COUNT('Шаг2.Бланк заказа NEW'!$B$19:$B$201)-COUNT('Бланк OLD 0.8 04'!$B$18:$B$200),'Бланк OLD 2.0 04 '!$B$16:$K$200,8,0)&gt;1,0.4,
IF(AND(VLOOKUP($A22-COUNT('Шаг2.Бланк заказа NEW'!$B$19:$B$201)-COUNT('Бланк OLD 0.8 04'!$B$18:$B$200),'Бланк OLD 2.0 04 '!$B$16:$K$200,7,0)&gt;0,VLOOKUP($A22-COUNT('Шаг2.Бланк заказа NEW'!$B$19:$B$201)-COUNT('Бланк OLD 0.8 04'!$B$18:$B$200),'Бланк OLD 2.0 04 '!$B$16:$K$200,8,0)&gt;0),0.4,""))))</f>
        <v/>
      </c>
      <c r="V22" s="146" t="str">
        <f ca="1">IFERROR(VLOOKUP(C22,'Шаг1.Выбор плиты'!C:S,12,0),"")</f>
        <v/>
      </c>
      <c r="W22" s="146" t="str">
        <f ca="1">IFERROR(VLOOKUP(C22,'Шаг1.Выбор плиты'!C:S,8,0),"")</f>
        <v/>
      </c>
      <c r="X22" s="146" t="str">
        <f ca="1">IFERROR(VLOOKUP(C22,'Шаг1.Выбор плиты'!C:S,10,0),"")</f>
        <v/>
      </c>
      <c r="Y22" s="147" t="str">
        <f t="shared" ca="1" si="1"/>
        <v/>
      </c>
      <c r="AD22" s="147" t="str">
        <f t="shared" ca="1" si="6"/>
        <v/>
      </c>
      <c r="AE22" s="147" t="str">
        <f t="shared" ca="1" si="3"/>
        <v/>
      </c>
      <c r="AF22" s="25"/>
      <c r="AH22" s="147" t="str">
        <f ca="1">IF(C22="","",VLOOKUP(C22,'Шаг1.Выбор плиты'!C:Q,7,0))</f>
        <v/>
      </c>
      <c r="AI22" s="147" t="str">
        <f t="shared" ca="1" si="7"/>
        <v/>
      </c>
    </row>
    <row r="23" spans="1:35" x14ac:dyDescent="0.2">
      <c r="A23" s="151" t="str">
        <f ca="1">IF(C23="","",MAX($A$1:OFFSET(C23,-1,0))+1)</f>
        <v/>
      </c>
      <c r="B23" s="151" t="str">
        <f ca="1">IFERROR(IFERROR(IFERROR("Шаг2.Бланк заказа NEW №"&amp;VLOOKUP(A22+1,CHOOSE({1,2},'Шаг2.Бланк заказа NEW'!$B$19:$B$201,'Шаг2.Бланк заказа NEW'!$A$19:$A$201),1,0),
"Бланк OLD 0.8 04 №"&amp;VLOOKUP(A22+1-COUNT('Шаг2.Бланк заказа NEW'!$B$19:$B$201),CHOOSE({1,2},'Бланк OLD 0.8 04'!$B$18:$B$200,'Бланк OLD 0.8 04'!$A$18:$A$200),1,0)),
"Бланк OLD 2.0 04 №"&amp;VLOOKUP(A22+1-COUNT('Шаг2.Бланк заказа NEW'!$B$19:$B$201)-COUNT('Бланк OLD 0.8 04'!$B$18:$B$200),CHOOSE({1,2},'Бланк OLD 2.0 04 '!$B$18:$B$200,'Бланк OLD 2.0 04 '!$A$18:$A$200),1,0)),"")</f>
        <v/>
      </c>
      <c r="C23" s="152" t="str">
        <f ca="1">IFERROR(IFERROR(IFERROR(VLOOKUP(A22+1,CHOOSE({1,2},'Шаг2.Бланк заказа NEW'!$B$19:$B$201,'Шаг2.Бланк заказа NEW'!$A$19:$A$201),2,0),
VLOOKUP(A22+1-COUNT('Шаг2.Бланк заказа NEW'!$B$19:$B$201),CHOOSE({1,2},'Бланк OLD 0.8 04'!$B$18:$B$200,'Бланк OLD 0.8 04'!$A$18:$A$200),2,0)),
VLOOKUP(A22+1-COUNT('Шаг2.Бланк заказа NEW'!$B$19:$B$201)-COUNT('Бланк OLD 0.8 04'!$B$18:$B$200),CHOOSE({1,2},'Бланк OLD 2.0 04 '!$B$18:$B$200,'Бланк OLD 2.0 04 '!$A$18:$A$200),2,0)),"")</f>
        <v/>
      </c>
      <c r="D23" s="150" t="str">
        <f ca="1">IFERROR(VLOOKUP(C23,'Шаг1.Выбор плиты'!C:G,5,0),"")</f>
        <v/>
      </c>
      <c r="E23" s="147" t="str">
        <f ca="1">IFERROR(IFERROR(IF(VLOOKUP($A23,'Шаг2.Бланк заказа NEW'!$B$17:$N$201,2,0)="","",VLOOKUP($A23,'Шаг2.Бланк заказа NEW'!$B$17:$N$201,2,0)),
IF(VLOOKUP($A23-COUNT('Шаг2.Бланк заказа NEW'!$B$19:$B$201),'Бланк OLD 0.8 04'!$B$12:$K$200,2,0)="","",VLOOKUP($A23-COUNT('Шаг2.Бланк заказа NEW'!$B$19:$B$201),'Бланк OLD 0.8 04'!$B$12:$K$200,2,0))),
IF(VLOOKUP($A23-COUNT('Шаг2.Бланк заказа NEW'!$B$19:$B$201)-COUNT('Бланк OLD 0.8 04'!$B$18:$B$200),'Бланк OLD 2.0 04 '!$B$16:$K$200,2,0)="","",VLOOKUP($A23-COUNT('Шаг2.Бланк заказа NEW'!$B$19:$B$201)-COUNT('Бланк OLD 0.8 04'!$B$18:$B$200),'Бланк OLD 2.0 04 '!$B$16:$K$200,2,0)))</f>
        <v/>
      </c>
      <c r="F23" s="147" t="str">
        <f ca="1">IFERROR(IFERROR(IF(VLOOKUP($A23,'Шаг2.Бланк заказа NEW'!$B$17:$N$201,3,0)="","",VLOOKUP($A23,'Шаг2.Бланк заказа NEW'!$B$17:$N$201,3,0)),
IF(VLOOKUP($A23-COUNT('Шаг2.Бланк заказа NEW'!$B$19:$B$201),'Бланк OLD 0.8 04'!$B$12:$K$200,3,0)="","",VLOOKUP($A23-COUNT('Шаг2.Бланк заказа NEW'!$B$19:$B$201),'Бланк OLD 0.8 04'!$B$12:$K$200,3,0))),
IF(VLOOKUP($A23-COUNT('Шаг2.Бланк заказа NEW'!$B$19:$B$201)-COUNT('Бланк OLD 0.8 04'!$B$18:$B$200),'Бланк OLD 2.0 04 '!$B$16:$K$200,3,0)="","",VLOOKUP($A23-COUNT('Шаг2.Бланк заказа NEW'!$B$19:$B$201)-COUNT('Бланк OLD 0.8 04'!$B$18:$B$200),'Бланк OLD 2.0 04 '!$B$16:$K$200,3,0)))</f>
        <v/>
      </c>
      <c r="G23" s="176" t="str">
        <f ca="1">IF(IF(R23="","",IF(R23=1,SUMIFS('Шаг1.Выбор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плиты'!C:Q,12,0)),1))))))=0,
R23,
IF(R23="","",IF(R23=1,SUMIFS('Шаг1.Выбор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плиты'!N:N,R23,'Шаг1.Выбор плиты'!M:M,SMALL(INDIRECT("мм"&amp;VLOOKUP(C23,'Шаг1.Выбор плиты'!C:Q,12,0)),1)))))))</f>
        <v/>
      </c>
      <c r="H23" s="177" t="str">
        <f ca="1">IF(IF(S23="","",IF(S23=1,SUMIFS('Шаг1.Выбор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плиты'!C:Q,12,0)),1))))))=0,
S23,
IF(S23="","",IF(S23=1,SUMIFS('Шаг1.Выбор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плиты'!N:N,S23,'Шаг1.Выбор плиты'!M:M,SMALL(INDIRECT("мм"&amp;VLOOKUP(C23,'Шаг1.Выбор плиты'!C:Q,12,0)),1)))))))</f>
        <v/>
      </c>
      <c r="I23" s="147" t="str">
        <f ca="1">IFERROR(IFERROR(IF(VLOOKUP($A23,'Шаг2.Бланк заказа NEW'!$B$17:$N$201,6,0)="","",VLOOKUP($A23,'Шаг2.Бланк заказа NEW'!$B$17:$N$201,6,0)),
IF(VLOOKUP($A23-COUNT('Шаг2.Бланк заказа NEW'!$B$19:$B$201),'Бланк OLD 0.8 04'!$B$12:$K$200,6,0)="","",VLOOKUP($A23-COUNT('Шаг2.Бланк заказа NEW'!$B$19:$B$201),'Бланк OLD 0.8 04'!$B$12:$K$200,6,0))),
IF(VLOOKUP($A23-COUNT('Шаг2.Бланк заказа NEW'!$B$19:$B$201)-COUNT('Бланк OLD 0.8 04'!$B$18:$B$200),'Бланк OLD 2.0 04 '!$B$16:$K$200,6,0)="","",VLOOKUP($A23-COUNT('Шаг2.Бланк заказа NEW'!$B$19:$B$201)-COUNT('Бланк OLD 0.8 04'!$B$18:$B$200),'Бланк OLD 2.0 04 '!$B$16:$K$200,6,0)))</f>
        <v/>
      </c>
      <c r="J23" s="177" t="str">
        <f ca="1">IF(IF(T23="","",IF(T23=1,SUMIFS('Шаг1.Выбор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плиты'!C:Q,12,0)),1))))))=0,
T23,
IF(T23="","",IF(T23=1,SUMIFS('Шаг1.Выбор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плиты'!N:N,T23,'Шаг1.Выбор плиты'!M:M,SMALL(INDIRECT("мм"&amp;VLOOKUP(C23,'Шаг1.Выбор плиты'!C:Q,12,0)),1)))))))</f>
        <v/>
      </c>
      <c r="K23" s="177" t="str">
        <f ca="1">IF(IF(U23="","",IF(U23=1,SUMIFS('Шаг1.Выбор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плиты'!C:Q,12,0)),1))))))=0,
U23,
IF(U23="","",IF(U23=1,SUMIFS('Шаг1.Выбор плиты'!$G:$G,'Шаг1.Выбор плиты'!J:J,"*"&amp;RIGHT(VLOOKUP(C23,'Шаг1.Выбор плиты'!C:Q,8,0),4),'Шаг1.Выбор плиты'!L:L,IF(MID(C23,1,6)="ЛДСП P","TM"&amp;MID(VLOOKUP(C23,'Шаг1.Выбор плиты'!C:Q,10,0),3,2),MID(VLOOKUP(C23,'Шаг1.Выбор плиты'!C:Q,10,0),1,2)),
'Шаг1.Выбор плиты'!N:N,1),IF(SUMIFS('Шаг1.Выбор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плиты'!C:Q,12,0)),1))=0,
IF(SUMIFS('Шаг1.Выбор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плиты'!C:Q,12,0)),2))=0,
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плиты'!C:Q,12,0)),3)),
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плиты'!C:Q,12,0)),2))),
(SUMIFS('Шаг1.Выбор плиты'!$G:$G,'Шаг1.Выбор плиты'!J:J,"*"&amp;RIGHT(VLOOKUP(C23,'Шаг1.Выбор плиты'!C:Q,8,0),4),'Шаг1.Выбор плиты'!L:L,VLOOKUP(C23,'Шаг1.Выбор плиты'!C:Q,10,0),'Шаг1.Выбор плиты'!N:N,U23,'Шаг1.Выбор плиты'!M:M,SMALL(INDIRECT("мм"&amp;VLOOKUP(C23,'Шаг1.Выбор плиты'!C:Q,12,0)),1)))))))</f>
        <v/>
      </c>
      <c r="L23" s="147" t="str">
        <f ca="1">IFERROR(IFERROR(IF(VLOOKUP($A23,'Шаг2.Бланк заказа NEW'!$B$17:$N$201,9,0)="","",VLOOKUP($A23,'Шаг2.Бланк заказа NEW'!$B$17:$N$201,9,0)),
IF(VLOOKUP($A23-COUNT('Шаг2.Бланк заказа NEW'!$B$19:$B$201),'Бланк OLD 0.8 04'!$B$12:$K$200,9,0)="","",VLOOKUP($A23-COUNT('Шаг2.Бланк заказа NEW'!$B$19:$B$201),'Бланк OLD 0.8 04'!$B$12:$K$200,9,0))),
IF(VLOOKUP($A23-COUNT('Шаг2.Бланк заказа NEW'!$B$19:$B$201)-COUNT('Бланк OLD 0.8 04'!$B$18:$B$200),'Бланк OLD 2.0 04 '!$B$16:$K$200,9,0)="","",VLOOKUP($A23-COUNT('Шаг2.Бланк заказа NEW'!$B$19:$B$201)-COUNT('Бланк OLD 0.8 04'!$B$18:$B$200),'Бланк OLD 2.0 04 '!$B$16:$K$200,9,0)))</f>
        <v/>
      </c>
      <c r="M23" s="154" t="str">
        <f t="shared" ca="1" si="5"/>
        <v/>
      </c>
      <c r="N23" s="153" t="str">
        <f ca="1">IFERROR(IF(VLOOKUP($A23,'Шаг2.Бланк заказа NEW'!$B$17:$N$201,11,0)="","",VLOOKUP($A23,'Шаг2.Бланк заказа NEW'!$B$17:$N$201,11,0)),
"Нет")</f>
        <v/>
      </c>
      <c r="O23" s="147" t="str">
        <f ca="1">IFERROR(IF(VLOOKUP($A23,'Шаг2.Бланк заказа NEW'!$B$17:$N$201,11,0)="","",VLOOKUP($A23,'Шаг2.Бланк заказа NEW'!$B$17:$N$201,12,0)),
"Нет")</f>
        <v/>
      </c>
      <c r="P23" s="153" t="str">
        <f ca="1">IFERROR(IF(VLOOKUP($A23,'Шаг2.Бланк заказа NEW'!$B$17:$N$201,13,0)="","",VLOOKUP($A23,'Шаг2.Бланк заказа NEW'!$B$17:$N$201,13,0)),
"Нет")</f>
        <v/>
      </c>
      <c r="Q23" s="147" t="str">
        <f ca="1">IFERROR(IF(VLOOKUP($A23,'Шаг2.Бланк заказа NEW'!$B$17:$O$201,14,0)="","",VLOOKUP($A23,'Шаг2.Бланк заказа NEW'!$B$17:$O$201,14,0)),"")</f>
        <v/>
      </c>
      <c r="R23" s="147" t="str">
        <f ca="1">IFERROR(IFERROR(IF(VLOOKUP($A23,'Шаг2.Бланк заказа NEW'!$B$17:$N$201,4,0)="","",VLOOKUP($A23,'Шаг2.Бланк заказа NEW'!$B$17:$N$201,4,0)),
IF(VLOOKUP($A23-COUNT('Шаг2.Бланк заказа NEW'!$B$19:$B$201),'Бланк OLD 0.8 04'!$B$12:$K$200,4,0)&gt;0,0.8,
IF(VLOOKUP($A23-COUNT('Шаг2.Бланк заказа NEW'!$B$19:$B$201),'Бланк OLD 0.8 04'!$B$12:$K$200,5,0)&gt;0,0.4,""))),
IF(VLOOKUP($A23-COUNT('Шаг2.Бланк заказа NEW'!$B$19:$B$201)-COUNT('Бланк OLD 0.8 04'!$B$18:$B$200),'Бланк OLD 2.0 04 '!$B$16:$K$200,4,0)&gt;0,2,IF(VLOOKUP($A23-COUNT('Шаг2.Бланк заказа NEW'!$B$19:$B$201)-COUNT('Бланк OLD 0.8 04'!$B$18:$B$200),'Бланк OLD 2.0 04 '!$B$16:$K$200,5,0)&gt;0,0.4,"")))</f>
        <v/>
      </c>
      <c r="S23" s="147" t="str">
        <f ca="1">IFERROR(IFERROR(IF(VLOOKUP($A23,'Шаг2.Бланк заказа NEW'!$B$17:$N$201,5,0)="","",VLOOKUP($A23,'Шаг2.Бланк заказа NEW'!$B$17:$N$201,5,0)),
IF(VLOOKUP($A23-COUNT('Шаг2.Бланк заказа NEW'!$B$19:$B$201),'Бланк OLD 0.8 04'!$B$12:$K$200,4,0)&gt;1,0.8,
IF(VLOOKUP($A23-COUNT('Шаг2.Бланк заказа NEW'!$B$19:$B$201),'Бланк OLD 0.8 04'!$B$12:$K$200,5,0)&gt;1,0.4,
IF(AND(VLOOKUP($A23-COUNT('Шаг2.Бланк заказа NEW'!$B$19:$B$201),'Бланк OLD 0.8 04'!$B$12:$K$200,4,0)&gt;0,VLOOKUP($A23-COUNT('Шаг2.Бланк заказа NEW'!$B$19:$B$201),'Бланк OLD 0.8 04'!$B$12:$K$200,5,0)&gt;0),0.4,"")))),
IF(VLOOKUP($A23-COUNT('Шаг2.Бланк заказа NEW'!$B$19:$B$201)-COUNT('Бланк OLD 0.8 04'!$B$18:$B$200),'Бланк OLD 2.0 04 '!$B$16:$K$200,4,0)&gt;1,2,
IF(VLOOKUP($A23-COUNT('Шаг2.Бланк заказа NEW'!$B$19:$B$201)-COUNT('Бланк OLD 0.8 04'!$B$18:$B$200),'Бланк OLD 2.0 04 '!$B$16:$K$200,5,0)&gt;1,0.4,IF(AND(VLOOKUP($A23-COUNT('Шаг2.Бланк заказа NEW'!$B$19:$B$201)-COUNT('Бланк OLD 0.8 04'!$B$18:$B$200),'Бланк OLD 2.0 04 '!$B$16:$K$200,4,0)&gt;0,VLOOKUP($A23-COUNT('Шаг2.Бланк заказа NEW'!$B$19:$B$201)-COUNT('Бланк OLD 0.8 04'!$B$18:$B$200),'Бланк OLD 2.0 04 '!$B$16:$K$200,5,0)&gt;0),0.4,""))))</f>
        <v/>
      </c>
      <c r="T23" s="147" t="str">
        <f ca="1">IFERROR(IFERROR(IF(VLOOKUP($A23,'Шаг2.Бланк заказа NEW'!$B$17:$N$201,7,0)="","",VLOOKUP($A23,'Шаг2.Бланк заказа NEW'!$B$17:$N$201,7,0)),
IF(VLOOKUP($A23-COUNT('Шаг2.Бланк заказа NEW'!$B$19:$B$201),'Бланк OLD 0.8 04'!$B$12:$K$200,7,0)&gt;0,0.8,
IF(VLOOKUP($A23-COUNT('Шаг2.Бланк заказа NEW'!$B$19:$B$201),'Бланк OLD 0.8 04'!$B$12:$K$200,8,0)&gt;0,0.4,""))),
IF(VLOOKUP($A23-COUNT('Шаг2.Бланк заказа NEW'!$B$19:$B$201)-COUNT('Бланк OLD 0.8 04'!$B$18:$B$200),'Бланк OLD 2.0 04 '!$B$16:$K$200,7,0)&gt;0,2,IF(VLOOKUP($A23-COUNT('Шаг2.Бланк заказа NEW'!$B$19:$B$201)-COUNT('Бланк OLD 0.8 04'!$B$18:$B$200),'Бланк OLD 2.0 04 '!$B$16:$K$200,8,0)&gt;0,0.4,"")))</f>
        <v/>
      </c>
      <c r="U23" s="147" t="str">
        <f ca="1">IFERROR(IFERROR(IF(VLOOKUP($A23,'Шаг2.Бланк заказа NEW'!$B$17:$N$201,8,0)="","",VLOOKUP($A23,'Шаг2.Бланк заказа NEW'!$B$17:$N$201,8,0)),
IF(VLOOKUP($A23-COUNT('Шаг2.Бланк заказа NEW'!$B$19:$B$201),'Бланк OLD 0.8 04'!$B$12:$K$200,7,0)&gt;1,0.8,
IF(VLOOKUP($A23-COUNT('Шаг2.Бланк заказа NEW'!$B$19:$B$201),'Бланк OLD 0.8 04'!$B$12:$K$200,8,0)&gt;1,0.4,
IF(AND(VLOOKUP($A23-COUNT('Шаг2.Бланк заказа NEW'!$B$19:$B$201),'Бланк OLD 0.8 04'!$B$12:$K$200,7,0)&gt;0,VLOOKUP($A23-COUNT('Шаг2.Бланк заказа NEW'!$B$19:$B$201),'Бланк OLD 0.8 04'!$B$12:$K$200,8,0)&gt;0),0.4,"")))),
IF(VLOOKUP($A23-COUNT('Шаг2.Бланк заказа NEW'!$B$19:$B$201)-COUNT('Бланк OLD 0.8 04'!$B$18:$B$200),'Бланк OLD 2.0 04 '!$B$16:$K$200,7,0)&gt;1,2,
IF(VLOOKUP($A23-COUNT('Шаг2.Бланк заказа NEW'!$B$19:$B$201)-COUNT('Бланк OLD 0.8 04'!$B$18:$B$200),'Бланк OLD 2.0 04 '!$B$16:$K$200,8,0)&gt;1,0.4,
IF(AND(VLOOKUP($A23-COUNT('Шаг2.Бланк заказа NEW'!$B$19:$B$201)-COUNT('Бланк OLD 0.8 04'!$B$18:$B$200),'Бланк OLD 2.0 04 '!$B$16:$K$200,7,0)&gt;0,VLOOKUP($A23-COUNT('Шаг2.Бланк заказа NEW'!$B$19:$B$201)-COUNT('Бланк OLD 0.8 04'!$B$18:$B$200),'Бланк OLD 2.0 04 '!$B$16:$K$200,8,0)&gt;0),0.4,""))))</f>
        <v/>
      </c>
      <c r="V23" s="146" t="str">
        <f ca="1">IFERROR(VLOOKUP(C23,'Шаг1.Выбор плиты'!C:S,12,0),"")</f>
        <v/>
      </c>
      <c r="W23" s="146" t="str">
        <f ca="1">IFERROR(VLOOKUP(C23,'Шаг1.Выбор плиты'!C:S,8,0),"")</f>
        <v/>
      </c>
      <c r="X23" s="146" t="str">
        <f ca="1">IFERROR(VLOOKUP(C23,'Шаг1.Выбор плиты'!C:S,10,0),"")</f>
        <v/>
      </c>
      <c r="Y23" s="147" t="str">
        <f t="shared" ca="1" si="1"/>
        <v/>
      </c>
      <c r="AD23" s="147" t="str">
        <f t="shared" ca="1" si="6"/>
        <v/>
      </c>
      <c r="AE23" s="147" t="str">
        <f t="shared" ca="1" si="3"/>
        <v/>
      </c>
      <c r="AF23" s="25"/>
      <c r="AH23" s="147" t="str">
        <f ca="1">IF(C23="","",VLOOKUP(C23,'Шаг1.Выбор плиты'!C:Q,7,0))</f>
        <v/>
      </c>
      <c r="AI23" s="147" t="str">
        <f t="shared" ca="1" si="7"/>
        <v/>
      </c>
    </row>
    <row r="24" spans="1:35" x14ac:dyDescent="0.2">
      <c r="A24" s="151" t="str">
        <f ca="1">IF(C24="","",MAX($A$1:OFFSET(C24,-1,0))+1)</f>
        <v/>
      </c>
      <c r="B24" s="151" t="str">
        <f ca="1">IFERROR(IFERROR(IFERROR("Шаг2.Бланк заказа NEW №"&amp;VLOOKUP(A23+1,CHOOSE({1,2},'Шаг2.Бланк заказа NEW'!$B$19:$B$201,'Шаг2.Бланк заказа NEW'!$A$19:$A$201),1,0),
"Бланк OLD 0.8 04 №"&amp;VLOOKUP(A23+1-COUNT('Шаг2.Бланк заказа NEW'!$B$19:$B$201),CHOOSE({1,2},'Бланк OLD 0.8 04'!$B$18:$B$200,'Бланк OLD 0.8 04'!$A$18:$A$200),1,0)),
"Бланк OLD 2.0 04 №"&amp;VLOOKUP(A23+1-COUNT('Шаг2.Бланк заказа NEW'!$B$19:$B$201)-COUNT('Бланк OLD 0.8 04'!$B$18:$B$200),CHOOSE({1,2},'Бланк OLD 2.0 04 '!$B$18:$B$200,'Бланк OLD 2.0 04 '!$A$18:$A$200),1,0)),"")</f>
        <v/>
      </c>
      <c r="C24" s="152" t="str">
        <f ca="1">IFERROR(IFERROR(IFERROR(VLOOKUP(A23+1,CHOOSE({1,2},'Шаг2.Бланк заказа NEW'!$B$19:$B$201,'Шаг2.Бланк заказа NEW'!$A$19:$A$201),2,0),
VLOOKUP(A23+1-COUNT('Шаг2.Бланк заказа NEW'!$B$19:$B$201),CHOOSE({1,2},'Бланк OLD 0.8 04'!$B$18:$B$200,'Бланк OLD 0.8 04'!$A$18:$A$200),2,0)),
VLOOKUP(A23+1-COUNT('Шаг2.Бланк заказа NEW'!$B$19:$B$201)-COUNT('Бланк OLD 0.8 04'!$B$18:$B$200),CHOOSE({1,2},'Бланк OLD 2.0 04 '!$B$18:$B$200,'Бланк OLD 2.0 04 '!$A$18:$A$200),2,0)),"")</f>
        <v/>
      </c>
      <c r="D24" s="150" t="str">
        <f ca="1">IFERROR(VLOOKUP(C24,'Шаг1.Выбор плиты'!C:G,5,0),"")</f>
        <v/>
      </c>
      <c r="E24" s="147" t="str">
        <f ca="1">IFERROR(IFERROR(IF(VLOOKUP($A24,'Шаг2.Бланк заказа NEW'!$B$17:$N$201,2,0)="","",VLOOKUP($A24,'Шаг2.Бланк заказа NEW'!$B$17:$N$201,2,0)),
IF(VLOOKUP($A24-COUNT('Шаг2.Бланк заказа NEW'!$B$19:$B$201),'Бланк OLD 0.8 04'!$B$12:$K$200,2,0)="","",VLOOKUP($A24-COUNT('Шаг2.Бланк заказа NEW'!$B$19:$B$201),'Бланк OLD 0.8 04'!$B$12:$K$200,2,0))),
IF(VLOOKUP($A24-COUNT('Шаг2.Бланк заказа NEW'!$B$19:$B$201)-COUNT('Бланк OLD 0.8 04'!$B$18:$B$200),'Бланк OLD 2.0 04 '!$B$16:$K$200,2,0)="","",VLOOKUP($A24-COUNT('Шаг2.Бланк заказа NEW'!$B$19:$B$201)-COUNT('Бланк OLD 0.8 04'!$B$18:$B$200),'Бланк OLD 2.0 04 '!$B$16:$K$200,2,0)))</f>
        <v/>
      </c>
      <c r="F24" s="147" t="str">
        <f ca="1">IFERROR(IFERROR(IF(VLOOKUP($A24,'Шаг2.Бланк заказа NEW'!$B$17:$N$201,3,0)="","",VLOOKUP($A24,'Шаг2.Бланк заказа NEW'!$B$17:$N$201,3,0)),
IF(VLOOKUP($A24-COUNT('Шаг2.Бланк заказа NEW'!$B$19:$B$201),'Бланк OLD 0.8 04'!$B$12:$K$200,3,0)="","",VLOOKUP($A24-COUNT('Шаг2.Бланк заказа NEW'!$B$19:$B$201),'Бланк OLD 0.8 04'!$B$12:$K$200,3,0))),
IF(VLOOKUP($A24-COUNT('Шаг2.Бланк заказа NEW'!$B$19:$B$201)-COUNT('Бланк OLD 0.8 04'!$B$18:$B$200),'Бланк OLD 2.0 04 '!$B$16:$K$200,3,0)="","",VLOOKUP($A24-COUNT('Шаг2.Бланк заказа NEW'!$B$19:$B$201)-COUNT('Бланк OLD 0.8 04'!$B$18:$B$200),'Бланк OLD 2.0 04 '!$B$16:$K$200,3,0)))</f>
        <v/>
      </c>
      <c r="G24" s="176" t="str">
        <f ca="1">IF(IF(R24="","",IF(R24=1,SUMIFS('Шаг1.Выбор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плиты'!C:Q,12,0)),1))))))=0,
R24,
IF(R24="","",IF(R24=1,SUMIFS('Шаг1.Выбор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плиты'!N:N,R24,'Шаг1.Выбор плиты'!M:M,SMALL(INDIRECT("мм"&amp;VLOOKUP(C24,'Шаг1.Выбор плиты'!C:Q,12,0)),1)))))))</f>
        <v/>
      </c>
      <c r="H24" s="177" t="str">
        <f ca="1">IF(IF(S24="","",IF(S24=1,SUMIFS('Шаг1.Выбор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плиты'!C:Q,12,0)),1))))))=0,
S24,
IF(S24="","",IF(S24=1,SUMIFS('Шаг1.Выбор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плиты'!N:N,S24,'Шаг1.Выбор плиты'!M:M,SMALL(INDIRECT("мм"&amp;VLOOKUP(C24,'Шаг1.Выбор плиты'!C:Q,12,0)),1)))))))</f>
        <v/>
      </c>
      <c r="I24" s="147" t="str">
        <f ca="1">IFERROR(IFERROR(IF(VLOOKUP($A24,'Шаг2.Бланк заказа NEW'!$B$17:$N$201,6,0)="","",VLOOKUP($A24,'Шаг2.Бланк заказа NEW'!$B$17:$N$201,6,0)),
IF(VLOOKUP($A24-COUNT('Шаг2.Бланк заказа NEW'!$B$19:$B$201),'Бланк OLD 0.8 04'!$B$12:$K$200,6,0)="","",VLOOKUP($A24-COUNT('Шаг2.Бланк заказа NEW'!$B$19:$B$201),'Бланк OLD 0.8 04'!$B$12:$K$200,6,0))),
IF(VLOOKUP($A24-COUNT('Шаг2.Бланк заказа NEW'!$B$19:$B$201)-COUNT('Бланк OLD 0.8 04'!$B$18:$B$200),'Бланк OLD 2.0 04 '!$B$16:$K$200,6,0)="","",VLOOKUP($A24-COUNT('Шаг2.Бланк заказа NEW'!$B$19:$B$201)-COUNT('Бланк OLD 0.8 04'!$B$18:$B$200),'Бланк OLD 2.0 04 '!$B$16:$K$200,6,0)))</f>
        <v/>
      </c>
      <c r="J24" s="177" t="str">
        <f ca="1">IF(IF(T24="","",IF(T24=1,SUMIFS('Шаг1.Выбор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плиты'!C:Q,12,0)),1))))))=0,
T24,
IF(T24="","",IF(T24=1,SUMIFS('Шаг1.Выбор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плиты'!N:N,T24,'Шаг1.Выбор плиты'!M:M,SMALL(INDIRECT("мм"&amp;VLOOKUP(C24,'Шаг1.Выбор плиты'!C:Q,12,0)),1)))))))</f>
        <v/>
      </c>
      <c r="K24" s="177" t="str">
        <f ca="1">IF(IF(U24="","",IF(U24=1,SUMIFS('Шаг1.Выбор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плиты'!C:Q,12,0)),1))))))=0,
U24,
IF(U24="","",IF(U24=1,SUMIFS('Шаг1.Выбор плиты'!$G:$G,'Шаг1.Выбор плиты'!J:J,"*"&amp;RIGHT(VLOOKUP(C24,'Шаг1.Выбор плиты'!C:Q,8,0),4),'Шаг1.Выбор плиты'!L:L,IF(MID(C24,1,6)="ЛДСП P","TM"&amp;MID(VLOOKUP(C24,'Шаг1.Выбор плиты'!C:Q,10,0),3,2),MID(VLOOKUP(C24,'Шаг1.Выбор плиты'!C:Q,10,0),1,2)),
'Шаг1.Выбор плиты'!N:N,1),IF(SUMIFS('Шаг1.Выбор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плиты'!C:Q,12,0)),1))=0,
IF(SUMIFS('Шаг1.Выбор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плиты'!C:Q,12,0)),2))=0,
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плиты'!C:Q,12,0)),3)),
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плиты'!C:Q,12,0)),2))),
(SUMIFS('Шаг1.Выбор плиты'!$G:$G,'Шаг1.Выбор плиты'!J:J,"*"&amp;RIGHT(VLOOKUP(C24,'Шаг1.Выбор плиты'!C:Q,8,0),4),'Шаг1.Выбор плиты'!L:L,VLOOKUP(C24,'Шаг1.Выбор плиты'!C:Q,10,0),'Шаг1.Выбор плиты'!N:N,U24,'Шаг1.Выбор плиты'!M:M,SMALL(INDIRECT("мм"&amp;VLOOKUP(C24,'Шаг1.Выбор плиты'!C:Q,12,0)),1)))))))</f>
        <v/>
      </c>
      <c r="L24" s="147" t="str">
        <f ca="1">IFERROR(IFERROR(IF(VLOOKUP($A24,'Шаг2.Бланк заказа NEW'!$B$17:$N$201,9,0)="","",VLOOKUP($A24,'Шаг2.Бланк заказа NEW'!$B$17:$N$201,9,0)),
IF(VLOOKUP($A24-COUNT('Шаг2.Бланк заказа NEW'!$B$19:$B$201),'Бланк OLD 0.8 04'!$B$12:$K$200,9,0)="","",VLOOKUP($A24-COUNT('Шаг2.Бланк заказа NEW'!$B$19:$B$201),'Бланк OLD 0.8 04'!$B$12:$K$200,9,0))),
IF(VLOOKUP($A24-COUNT('Шаг2.Бланк заказа NEW'!$B$19:$B$201)-COUNT('Бланк OLD 0.8 04'!$B$18:$B$200),'Бланк OLD 2.0 04 '!$B$16:$K$200,9,0)="","",VLOOKUP($A24-COUNT('Шаг2.Бланк заказа NEW'!$B$19:$B$201)-COUNT('Бланк OLD 0.8 04'!$B$18:$B$200),'Бланк OLD 2.0 04 '!$B$16:$K$200,9,0)))</f>
        <v/>
      </c>
      <c r="M24" s="154" t="str">
        <f t="shared" ca="1" si="5"/>
        <v/>
      </c>
      <c r="N24" s="153" t="str">
        <f ca="1">IFERROR(IF(VLOOKUP($A24,'Шаг2.Бланк заказа NEW'!$B$17:$N$201,11,0)="","",VLOOKUP($A24,'Шаг2.Бланк заказа NEW'!$B$17:$N$201,11,0)),
"Нет")</f>
        <v/>
      </c>
      <c r="O24" s="147" t="str">
        <f ca="1">IFERROR(IF(VLOOKUP($A24,'Шаг2.Бланк заказа NEW'!$B$17:$N$201,11,0)="","",VLOOKUP($A24,'Шаг2.Бланк заказа NEW'!$B$17:$N$201,12,0)),
"Нет")</f>
        <v/>
      </c>
      <c r="P24" s="153" t="str">
        <f ca="1">IFERROR(IF(VLOOKUP($A24,'Шаг2.Бланк заказа NEW'!$B$17:$N$201,13,0)="","",VLOOKUP($A24,'Шаг2.Бланк заказа NEW'!$B$17:$N$201,13,0)),
"Нет")</f>
        <v/>
      </c>
      <c r="Q24" s="147" t="str">
        <f ca="1">IFERROR(IF(VLOOKUP($A24,'Шаг2.Бланк заказа NEW'!$B$17:$O$201,14,0)="","",VLOOKUP($A24,'Шаг2.Бланк заказа NEW'!$B$17:$O$201,14,0)),"")</f>
        <v/>
      </c>
      <c r="R24" s="147" t="str">
        <f ca="1">IFERROR(IFERROR(IF(VLOOKUP($A24,'Шаг2.Бланк заказа NEW'!$B$17:$N$201,4,0)="","",VLOOKUP($A24,'Шаг2.Бланк заказа NEW'!$B$17:$N$201,4,0)),
IF(VLOOKUP($A24-COUNT('Шаг2.Бланк заказа NEW'!$B$19:$B$201),'Бланк OLD 0.8 04'!$B$12:$K$200,4,0)&gt;0,0.8,
IF(VLOOKUP($A24-COUNT('Шаг2.Бланк заказа NEW'!$B$19:$B$201),'Бланк OLD 0.8 04'!$B$12:$K$200,5,0)&gt;0,0.4,""))),
IF(VLOOKUP($A24-COUNT('Шаг2.Бланк заказа NEW'!$B$19:$B$201)-COUNT('Бланк OLD 0.8 04'!$B$18:$B$200),'Бланк OLD 2.0 04 '!$B$16:$K$200,4,0)&gt;0,2,IF(VLOOKUP($A24-COUNT('Шаг2.Бланк заказа NEW'!$B$19:$B$201)-COUNT('Бланк OLD 0.8 04'!$B$18:$B$200),'Бланк OLD 2.0 04 '!$B$16:$K$200,5,0)&gt;0,0.4,"")))</f>
        <v/>
      </c>
      <c r="S24" s="147" t="str">
        <f ca="1">IFERROR(IFERROR(IF(VLOOKUP($A24,'Шаг2.Бланк заказа NEW'!$B$17:$N$201,5,0)="","",VLOOKUP($A24,'Шаг2.Бланк заказа NEW'!$B$17:$N$201,5,0)),
IF(VLOOKUP($A24-COUNT('Шаг2.Бланк заказа NEW'!$B$19:$B$201),'Бланк OLD 0.8 04'!$B$12:$K$200,4,0)&gt;1,0.8,
IF(VLOOKUP($A24-COUNT('Шаг2.Бланк заказа NEW'!$B$19:$B$201),'Бланк OLD 0.8 04'!$B$12:$K$200,5,0)&gt;1,0.4,
IF(AND(VLOOKUP($A24-COUNT('Шаг2.Бланк заказа NEW'!$B$19:$B$201),'Бланк OLD 0.8 04'!$B$12:$K$200,4,0)&gt;0,VLOOKUP($A24-COUNT('Шаг2.Бланк заказа NEW'!$B$19:$B$201),'Бланк OLD 0.8 04'!$B$12:$K$200,5,0)&gt;0),0.4,"")))),
IF(VLOOKUP($A24-COUNT('Шаг2.Бланк заказа NEW'!$B$19:$B$201)-COUNT('Бланк OLD 0.8 04'!$B$18:$B$200),'Бланк OLD 2.0 04 '!$B$16:$K$200,4,0)&gt;1,2,
IF(VLOOKUP($A24-COUNT('Шаг2.Бланк заказа NEW'!$B$19:$B$201)-COUNT('Бланк OLD 0.8 04'!$B$18:$B$200),'Бланк OLD 2.0 04 '!$B$16:$K$200,5,0)&gt;1,0.4,IF(AND(VLOOKUP($A24-COUNT('Шаг2.Бланк заказа NEW'!$B$19:$B$201)-COUNT('Бланк OLD 0.8 04'!$B$18:$B$200),'Бланк OLD 2.0 04 '!$B$16:$K$200,4,0)&gt;0,VLOOKUP($A24-COUNT('Шаг2.Бланк заказа NEW'!$B$19:$B$201)-COUNT('Бланк OLD 0.8 04'!$B$18:$B$200),'Бланк OLD 2.0 04 '!$B$16:$K$200,5,0)&gt;0),0.4,""))))</f>
        <v/>
      </c>
      <c r="T24" s="147" t="str">
        <f ca="1">IFERROR(IFERROR(IF(VLOOKUP($A24,'Шаг2.Бланк заказа NEW'!$B$17:$N$201,7,0)="","",VLOOKUP($A24,'Шаг2.Бланк заказа NEW'!$B$17:$N$201,7,0)),
IF(VLOOKUP($A24-COUNT('Шаг2.Бланк заказа NEW'!$B$19:$B$201),'Бланк OLD 0.8 04'!$B$12:$K$200,7,0)&gt;0,0.8,
IF(VLOOKUP($A24-COUNT('Шаг2.Бланк заказа NEW'!$B$19:$B$201),'Бланк OLD 0.8 04'!$B$12:$K$200,8,0)&gt;0,0.4,""))),
IF(VLOOKUP($A24-COUNT('Шаг2.Бланк заказа NEW'!$B$19:$B$201)-COUNT('Бланк OLD 0.8 04'!$B$18:$B$200),'Бланк OLD 2.0 04 '!$B$16:$K$200,7,0)&gt;0,2,IF(VLOOKUP($A24-COUNT('Шаг2.Бланк заказа NEW'!$B$19:$B$201)-COUNT('Бланк OLD 0.8 04'!$B$18:$B$200),'Бланк OLD 2.0 04 '!$B$16:$K$200,8,0)&gt;0,0.4,"")))</f>
        <v/>
      </c>
      <c r="U24" s="147" t="str">
        <f ca="1">IFERROR(IFERROR(IF(VLOOKUP($A24,'Шаг2.Бланк заказа NEW'!$B$17:$N$201,8,0)="","",VLOOKUP($A24,'Шаг2.Бланк заказа NEW'!$B$17:$N$201,8,0)),
IF(VLOOKUP($A24-COUNT('Шаг2.Бланк заказа NEW'!$B$19:$B$201),'Бланк OLD 0.8 04'!$B$12:$K$200,7,0)&gt;1,0.8,
IF(VLOOKUP($A24-COUNT('Шаг2.Бланк заказа NEW'!$B$19:$B$201),'Бланк OLD 0.8 04'!$B$12:$K$200,8,0)&gt;1,0.4,
IF(AND(VLOOKUP($A24-COUNT('Шаг2.Бланк заказа NEW'!$B$19:$B$201),'Бланк OLD 0.8 04'!$B$12:$K$200,7,0)&gt;0,VLOOKUP($A24-COUNT('Шаг2.Бланк заказа NEW'!$B$19:$B$201),'Бланк OLD 0.8 04'!$B$12:$K$200,8,0)&gt;0),0.4,"")))),
IF(VLOOKUP($A24-COUNT('Шаг2.Бланк заказа NEW'!$B$19:$B$201)-COUNT('Бланк OLD 0.8 04'!$B$18:$B$200),'Бланк OLD 2.0 04 '!$B$16:$K$200,7,0)&gt;1,2,
IF(VLOOKUP($A24-COUNT('Шаг2.Бланк заказа NEW'!$B$19:$B$201)-COUNT('Бланк OLD 0.8 04'!$B$18:$B$200),'Бланк OLD 2.0 04 '!$B$16:$K$200,8,0)&gt;1,0.4,
IF(AND(VLOOKUP($A24-COUNT('Шаг2.Бланк заказа NEW'!$B$19:$B$201)-COUNT('Бланк OLD 0.8 04'!$B$18:$B$200),'Бланк OLD 2.0 04 '!$B$16:$K$200,7,0)&gt;0,VLOOKUP($A24-COUNT('Шаг2.Бланк заказа NEW'!$B$19:$B$201)-COUNT('Бланк OLD 0.8 04'!$B$18:$B$200),'Бланк OLD 2.0 04 '!$B$16:$K$200,8,0)&gt;0),0.4,""))))</f>
        <v/>
      </c>
      <c r="V24" s="146" t="str">
        <f ca="1">IFERROR(VLOOKUP(C24,'Шаг1.Выбор плиты'!C:S,12,0),"")</f>
        <v/>
      </c>
      <c r="W24" s="146" t="str">
        <f ca="1">IFERROR(VLOOKUP(C24,'Шаг1.Выбор плиты'!C:S,8,0),"")</f>
        <v/>
      </c>
      <c r="X24" s="146" t="str">
        <f ca="1">IFERROR(VLOOKUP(C24,'Шаг1.Выбор плиты'!C:S,10,0),"")</f>
        <v/>
      </c>
      <c r="Y24" s="147" t="str">
        <f t="shared" ca="1" si="1"/>
        <v/>
      </c>
      <c r="AD24" s="147" t="str">
        <f t="shared" ca="1" si="6"/>
        <v/>
      </c>
      <c r="AE24" s="147" t="str">
        <f t="shared" ca="1" si="3"/>
        <v/>
      </c>
      <c r="AF24" s="25"/>
      <c r="AH24" s="147" t="str">
        <f ca="1">IF(C24="","",VLOOKUP(C24,'Шаг1.Выбор плиты'!C:Q,7,0))</f>
        <v/>
      </c>
      <c r="AI24" s="147" t="str">
        <f t="shared" ca="1" si="7"/>
        <v/>
      </c>
    </row>
    <row r="25" spans="1:35" x14ac:dyDescent="0.2">
      <c r="A25" s="151" t="str">
        <f ca="1">IF(C25="","",MAX($A$1:OFFSET(C25,-1,0))+1)</f>
        <v/>
      </c>
      <c r="B25" s="151" t="str">
        <f ca="1">IFERROR(IFERROR(IFERROR("Шаг2.Бланк заказа NEW №"&amp;VLOOKUP(A24+1,CHOOSE({1,2},'Шаг2.Бланк заказа NEW'!$B$19:$B$201,'Шаг2.Бланк заказа NEW'!$A$19:$A$201),1,0),
"Бланк OLD 0.8 04 №"&amp;VLOOKUP(A24+1-COUNT('Шаг2.Бланк заказа NEW'!$B$19:$B$201),CHOOSE({1,2},'Бланк OLD 0.8 04'!$B$18:$B$200,'Бланк OLD 0.8 04'!$A$18:$A$200),1,0)),
"Бланк OLD 2.0 04 №"&amp;VLOOKUP(A24+1-COUNT('Шаг2.Бланк заказа NEW'!$B$19:$B$201)-COUNT('Бланк OLD 0.8 04'!$B$18:$B$200),CHOOSE({1,2},'Бланк OLD 2.0 04 '!$B$18:$B$200,'Бланк OLD 2.0 04 '!$A$18:$A$200),1,0)),"")</f>
        <v/>
      </c>
      <c r="C25" s="152" t="str">
        <f ca="1">IFERROR(IFERROR(IFERROR(VLOOKUP(A24+1,CHOOSE({1,2},'Шаг2.Бланк заказа NEW'!$B$19:$B$201,'Шаг2.Бланк заказа NEW'!$A$19:$A$201),2,0),
VLOOKUP(A24+1-COUNT('Шаг2.Бланк заказа NEW'!$B$19:$B$201),CHOOSE({1,2},'Бланк OLD 0.8 04'!$B$18:$B$200,'Бланк OLD 0.8 04'!$A$18:$A$200),2,0)),
VLOOKUP(A24+1-COUNT('Шаг2.Бланк заказа NEW'!$B$19:$B$201)-COUNT('Бланк OLD 0.8 04'!$B$18:$B$200),CHOOSE({1,2},'Бланк OLD 2.0 04 '!$B$18:$B$200,'Бланк OLD 2.0 04 '!$A$18:$A$200),2,0)),"")</f>
        <v/>
      </c>
      <c r="D25" s="150" t="str">
        <f ca="1">IFERROR(VLOOKUP(C25,'Шаг1.Выбор плиты'!C:G,5,0),"")</f>
        <v/>
      </c>
      <c r="E25" s="147" t="str">
        <f ca="1">IFERROR(IFERROR(IF(VLOOKUP($A25,'Шаг2.Бланк заказа NEW'!$B$17:$N$201,2,0)="","",VLOOKUP($A25,'Шаг2.Бланк заказа NEW'!$B$17:$N$201,2,0)),
IF(VLOOKUP($A25-COUNT('Шаг2.Бланк заказа NEW'!$B$19:$B$201),'Бланк OLD 0.8 04'!$B$12:$K$200,2,0)="","",VLOOKUP($A25-COUNT('Шаг2.Бланк заказа NEW'!$B$19:$B$201),'Бланк OLD 0.8 04'!$B$12:$K$200,2,0))),
IF(VLOOKUP($A25-COUNT('Шаг2.Бланк заказа NEW'!$B$19:$B$201)-COUNT('Бланк OLD 0.8 04'!$B$18:$B$200),'Бланк OLD 2.0 04 '!$B$16:$K$200,2,0)="","",VLOOKUP($A25-COUNT('Шаг2.Бланк заказа NEW'!$B$19:$B$201)-COUNT('Бланк OLD 0.8 04'!$B$18:$B$200),'Бланк OLD 2.0 04 '!$B$16:$K$200,2,0)))</f>
        <v/>
      </c>
      <c r="F25" s="147" t="str">
        <f ca="1">IFERROR(IFERROR(IF(VLOOKUP($A25,'Шаг2.Бланк заказа NEW'!$B$17:$N$201,3,0)="","",VLOOKUP($A25,'Шаг2.Бланк заказа NEW'!$B$17:$N$201,3,0)),
IF(VLOOKUP($A25-COUNT('Шаг2.Бланк заказа NEW'!$B$19:$B$201),'Бланк OLD 0.8 04'!$B$12:$K$200,3,0)="","",VLOOKUP($A25-COUNT('Шаг2.Бланк заказа NEW'!$B$19:$B$201),'Бланк OLD 0.8 04'!$B$12:$K$200,3,0))),
IF(VLOOKUP($A25-COUNT('Шаг2.Бланк заказа NEW'!$B$19:$B$201)-COUNT('Бланк OLD 0.8 04'!$B$18:$B$200),'Бланк OLD 2.0 04 '!$B$16:$K$200,3,0)="","",VLOOKUP($A25-COUNT('Шаг2.Бланк заказа NEW'!$B$19:$B$201)-COUNT('Бланк OLD 0.8 04'!$B$18:$B$200),'Бланк OLD 2.0 04 '!$B$16:$K$200,3,0)))</f>
        <v/>
      </c>
      <c r="G25" s="176" t="str">
        <f ca="1">IF(IF(R25="","",IF(R25=1,SUMIFS('Шаг1.Выбор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плиты'!C:Q,12,0)),1))))))=0,
R25,
IF(R25="","",IF(R25=1,SUMIFS('Шаг1.Выбор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плиты'!N:N,R25,'Шаг1.Выбор плиты'!M:M,SMALL(INDIRECT("мм"&amp;VLOOKUP(C25,'Шаг1.Выбор плиты'!C:Q,12,0)),1)))))))</f>
        <v/>
      </c>
      <c r="H25" s="177" t="str">
        <f ca="1">IF(IF(S25="","",IF(S25=1,SUMIFS('Шаг1.Выбор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плиты'!C:Q,12,0)),1))))))=0,
S25,
IF(S25="","",IF(S25=1,SUMIFS('Шаг1.Выбор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плиты'!N:N,S25,'Шаг1.Выбор плиты'!M:M,SMALL(INDIRECT("мм"&amp;VLOOKUP(C25,'Шаг1.Выбор плиты'!C:Q,12,0)),1)))))))</f>
        <v/>
      </c>
      <c r="I25" s="147" t="str">
        <f ca="1">IFERROR(IFERROR(IF(VLOOKUP($A25,'Шаг2.Бланк заказа NEW'!$B$17:$N$201,6,0)="","",VLOOKUP($A25,'Шаг2.Бланк заказа NEW'!$B$17:$N$201,6,0)),
IF(VLOOKUP($A25-COUNT('Шаг2.Бланк заказа NEW'!$B$19:$B$201),'Бланк OLD 0.8 04'!$B$12:$K$200,6,0)="","",VLOOKUP($A25-COUNT('Шаг2.Бланк заказа NEW'!$B$19:$B$201),'Бланк OLD 0.8 04'!$B$12:$K$200,6,0))),
IF(VLOOKUP($A25-COUNT('Шаг2.Бланк заказа NEW'!$B$19:$B$201)-COUNT('Бланк OLD 0.8 04'!$B$18:$B$200),'Бланк OLD 2.0 04 '!$B$16:$K$200,6,0)="","",VLOOKUP($A25-COUNT('Шаг2.Бланк заказа NEW'!$B$19:$B$201)-COUNT('Бланк OLD 0.8 04'!$B$18:$B$200),'Бланк OLD 2.0 04 '!$B$16:$K$200,6,0)))</f>
        <v/>
      </c>
      <c r="J25" s="177" t="str">
        <f ca="1">IF(IF(T25="","",IF(T25=1,SUMIFS('Шаг1.Выбор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плиты'!C:Q,12,0)),1))))))=0,
T25,
IF(T25="","",IF(T25=1,SUMIFS('Шаг1.Выбор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плиты'!N:N,T25,'Шаг1.Выбор плиты'!M:M,SMALL(INDIRECT("мм"&amp;VLOOKUP(C25,'Шаг1.Выбор плиты'!C:Q,12,0)),1)))))))</f>
        <v/>
      </c>
      <c r="K25" s="177" t="str">
        <f ca="1">IF(IF(U25="","",IF(U25=1,SUMIFS('Шаг1.Выбор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плиты'!C:Q,12,0)),1))))))=0,
U25,
IF(U25="","",IF(U25=1,SUMIFS('Шаг1.Выбор плиты'!$G:$G,'Шаг1.Выбор плиты'!J:J,"*"&amp;RIGHT(VLOOKUP(C25,'Шаг1.Выбор плиты'!C:Q,8,0),4),'Шаг1.Выбор плиты'!L:L,IF(MID(C25,1,6)="ЛДСП P","TM"&amp;MID(VLOOKUP(C25,'Шаг1.Выбор плиты'!C:Q,10,0),3,2),MID(VLOOKUP(C25,'Шаг1.Выбор плиты'!C:Q,10,0),1,2)),
'Шаг1.Выбор плиты'!N:N,1),IF(SUMIFS('Шаг1.Выбор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плиты'!C:Q,12,0)),1))=0,
IF(SUMIFS('Шаг1.Выбор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плиты'!C:Q,12,0)),2))=0,
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плиты'!C:Q,12,0)),3)),
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плиты'!C:Q,12,0)),2))),
(SUMIFS('Шаг1.Выбор плиты'!$G:$G,'Шаг1.Выбор плиты'!J:J,"*"&amp;RIGHT(VLOOKUP(C25,'Шаг1.Выбор плиты'!C:Q,8,0),4),'Шаг1.Выбор плиты'!L:L,VLOOKUP(C25,'Шаг1.Выбор плиты'!C:Q,10,0),'Шаг1.Выбор плиты'!N:N,U25,'Шаг1.Выбор плиты'!M:M,SMALL(INDIRECT("мм"&amp;VLOOKUP(C25,'Шаг1.Выбор плиты'!C:Q,12,0)),1)))))))</f>
        <v/>
      </c>
      <c r="L25" s="147" t="str">
        <f ca="1">IFERROR(IFERROR(IF(VLOOKUP($A25,'Шаг2.Бланк заказа NEW'!$B$17:$N$201,9,0)="","",VLOOKUP($A25,'Шаг2.Бланк заказа NEW'!$B$17:$N$201,9,0)),
IF(VLOOKUP($A25-COUNT('Шаг2.Бланк заказа NEW'!$B$19:$B$201),'Бланк OLD 0.8 04'!$B$12:$K$200,9,0)="","",VLOOKUP($A25-COUNT('Шаг2.Бланк заказа NEW'!$B$19:$B$201),'Бланк OLD 0.8 04'!$B$12:$K$200,9,0))),
IF(VLOOKUP($A25-COUNT('Шаг2.Бланк заказа NEW'!$B$19:$B$201)-COUNT('Бланк OLD 0.8 04'!$B$18:$B$200),'Бланк OLD 2.0 04 '!$B$16:$K$200,9,0)="","",VLOOKUP($A25-COUNT('Шаг2.Бланк заказа NEW'!$B$19:$B$201)-COUNT('Бланк OLD 0.8 04'!$B$18:$B$200),'Бланк OLD 2.0 04 '!$B$16:$K$200,9,0)))</f>
        <v/>
      </c>
      <c r="M25" s="154" t="str">
        <f t="shared" ca="1" si="5"/>
        <v/>
      </c>
      <c r="N25" s="153" t="str">
        <f ca="1">IFERROR(IF(VLOOKUP($A25,'Шаг2.Бланк заказа NEW'!$B$17:$N$201,11,0)="","",VLOOKUP($A25,'Шаг2.Бланк заказа NEW'!$B$17:$N$201,11,0)),
"Нет")</f>
        <v/>
      </c>
      <c r="O25" s="147" t="str">
        <f ca="1">IFERROR(IF(VLOOKUP($A25,'Шаг2.Бланк заказа NEW'!$B$17:$N$201,11,0)="","",VLOOKUP($A25,'Шаг2.Бланк заказа NEW'!$B$17:$N$201,12,0)),
"Нет")</f>
        <v/>
      </c>
      <c r="P25" s="153" t="str">
        <f ca="1">IFERROR(IF(VLOOKUP($A25,'Шаг2.Бланк заказа NEW'!$B$17:$N$201,13,0)="","",VLOOKUP($A25,'Шаг2.Бланк заказа NEW'!$B$17:$N$201,13,0)),
"Нет")</f>
        <v/>
      </c>
      <c r="Q25" s="147" t="str">
        <f ca="1">IFERROR(IF(VLOOKUP($A25,'Шаг2.Бланк заказа NEW'!$B$17:$O$201,14,0)="","",VLOOKUP($A25,'Шаг2.Бланк заказа NEW'!$B$17:$O$201,14,0)),"")</f>
        <v/>
      </c>
      <c r="R25" s="147" t="str">
        <f ca="1">IFERROR(IFERROR(IF(VLOOKUP($A25,'Шаг2.Бланк заказа NEW'!$B$17:$N$201,4,0)="","",VLOOKUP($A25,'Шаг2.Бланк заказа NEW'!$B$17:$N$201,4,0)),
IF(VLOOKUP($A25-COUNT('Шаг2.Бланк заказа NEW'!$B$19:$B$201),'Бланк OLD 0.8 04'!$B$12:$K$200,4,0)&gt;0,0.8,
IF(VLOOKUP($A25-COUNT('Шаг2.Бланк заказа NEW'!$B$19:$B$201),'Бланк OLD 0.8 04'!$B$12:$K$200,5,0)&gt;0,0.4,""))),
IF(VLOOKUP($A25-COUNT('Шаг2.Бланк заказа NEW'!$B$19:$B$201)-COUNT('Бланк OLD 0.8 04'!$B$18:$B$200),'Бланк OLD 2.0 04 '!$B$16:$K$200,4,0)&gt;0,2,IF(VLOOKUP($A25-COUNT('Шаг2.Бланк заказа NEW'!$B$19:$B$201)-COUNT('Бланк OLD 0.8 04'!$B$18:$B$200),'Бланк OLD 2.0 04 '!$B$16:$K$200,5,0)&gt;0,0.4,"")))</f>
        <v/>
      </c>
      <c r="S25" s="147" t="str">
        <f ca="1">IFERROR(IFERROR(IF(VLOOKUP($A25,'Шаг2.Бланк заказа NEW'!$B$17:$N$201,5,0)="","",VLOOKUP($A25,'Шаг2.Бланк заказа NEW'!$B$17:$N$201,5,0)),
IF(VLOOKUP($A25-COUNT('Шаг2.Бланк заказа NEW'!$B$19:$B$201),'Бланк OLD 0.8 04'!$B$12:$K$200,4,0)&gt;1,0.8,
IF(VLOOKUP($A25-COUNT('Шаг2.Бланк заказа NEW'!$B$19:$B$201),'Бланк OLD 0.8 04'!$B$12:$K$200,5,0)&gt;1,0.4,
IF(AND(VLOOKUP($A25-COUNT('Шаг2.Бланк заказа NEW'!$B$19:$B$201),'Бланк OLD 0.8 04'!$B$12:$K$200,4,0)&gt;0,VLOOKUP($A25-COUNT('Шаг2.Бланк заказа NEW'!$B$19:$B$201),'Бланк OLD 0.8 04'!$B$12:$K$200,5,0)&gt;0),0.4,"")))),
IF(VLOOKUP($A25-COUNT('Шаг2.Бланк заказа NEW'!$B$19:$B$201)-COUNT('Бланк OLD 0.8 04'!$B$18:$B$200),'Бланк OLD 2.0 04 '!$B$16:$K$200,4,0)&gt;1,2,
IF(VLOOKUP($A25-COUNT('Шаг2.Бланк заказа NEW'!$B$19:$B$201)-COUNT('Бланк OLD 0.8 04'!$B$18:$B$200),'Бланк OLD 2.0 04 '!$B$16:$K$200,5,0)&gt;1,0.4,IF(AND(VLOOKUP($A25-COUNT('Шаг2.Бланк заказа NEW'!$B$19:$B$201)-COUNT('Бланк OLD 0.8 04'!$B$18:$B$200),'Бланк OLD 2.0 04 '!$B$16:$K$200,4,0)&gt;0,VLOOKUP($A25-COUNT('Шаг2.Бланк заказа NEW'!$B$19:$B$201)-COUNT('Бланк OLD 0.8 04'!$B$18:$B$200),'Бланк OLD 2.0 04 '!$B$16:$K$200,5,0)&gt;0),0.4,""))))</f>
        <v/>
      </c>
      <c r="T25" s="147" t="str">
        <f ca="1">IFERROR(IFERROR(IF(VLOOKUP($A25,'Шаг2.Бланк заказа NEW'!$B$17:$N$201,7,0)="","",VLOOKUP($A25,'Шаг2.Бланк заказа NEW'!$B$17:$N$201,7,0)),
IF(VLOOKUP($A25-COUNT('Шаг2.Бланк заказа NEW'!$B$19:$B$201),'Бланк OLD 0.8 04'!$B$12:$K$200,7,0)&gt;0,0.8,
IF(VLOOKUP($A25-COUNT('Шаг2.Бланк заказа NEW'!$B$19:$B$201),'Бланк OLD 0.8 04'!$B$12:$K$200,8,0)&gt;0,0.4,""))),
IF(VLOOKUP($A25-COUNT('Шаг2.Бланк заказа NEW'!$B$19:$B$201)-COUNT('Бланк OLD 0.8 04'!$B$18:$B$200),'Бланк OLD 2.0 04 '!$B$16:$K$200,7,0)&gt;0,2,IF(VLOOKUP($A25-COUNT('Шаг2.Бланк заказа NEW'!$B$19:$B$201)-COUNT('Бланк OLD 0.8 04'!$B$18:$B$200),'Бланк OLD 2.0 04 '!$B$16:$K$200,8,0)&gt;0,0.4,"")))</f>
        <v/>
      </c>
      <c r="U25" s="147" t="str">
        <f ca="1">IFERROR(IFERROR(IF(VLOOKUP($A25,'Шаг2.Бланк заказа NEW'!$B$17:$N$201,8,0)="","",VLOOKUP($A25,'Шаг2.Бланк заказа NEW'!$B$17:$N$201,8,0)),
IF(VLOOKUP($A25-COUNT('Шаг2.Бланк заказа NEW'!$B$19:$B$201),'Бланк OLD 0.8 04'!$B$12:$K$200,7,0)&gt;1,0.8,
IF(VLOOKUP($A25-COUNT('Шаг2.Бланк заказа NEW'!$B$19:$B$201),'Бланк OLD 0.8 04'!$B$12:$K$200,8,0)&gt;1,0.4,
IF(AND(VLOOKUP($A25-COUNT('Шаг2.Бланк заказа NEW'!$B$19:$B$201),'Бланк OLD 0.8 04'!$B$12:$K$200,7,0)&gt;0,VLOOKUP($A25-COUNT('Шаг2.Бланк заказа NEW'!$B$19:$B$201),'Бланк OLD 0.8 04'!$B$12:$K$200,8,0)&gt;0),0.4,"")))),
IF(VLOOKUP($A25-COUNT('Шаг2.Бланк заказа NEW'!$B$19:$B$201)-COUNT('Бланк OLD 0.8 04'!$B$18:$B$200),'Бланк OLD 2.0 04 '!$B$16:$K$200,7,0)&gt;1,2,
IF(VLOOKUP($A25-COUNT('Шаг2.Бланк заказа NEW'!$B$19:$B$201)-COUNT('Бланк OLD 0.8 04'!$B$18:$B$200),'Бланк OLD 2.0 04 '!$B$16:$K$200,8,0)&gt;1,0.4,
IF(AND(VLOOKUP($A25-COUNT('Шаг2.Бланк заказа NEW'!$B$19:$B$201)-COUNT('Бланк OLD 0.8 04'!$B$18:$B$200),'Бланк OLD 2.0 04 '!$B$16:$K$200,7,0)&gt;0,VLOOKUP($A25-COUNT('Шаг2.Бланк заказа NEW'!$B$19:$B$201)-COUNT('Бланк OLD 0.8 04'!$B$18:$B$200),'Бланк OLD 2.0 04 '!$B$16:$K$200,8,0)&gt;0),0.4,""))))</f>
        <v/>
      </c>
      <c r="V25" s="146" t="str">
        <f ca="1">IFERROR(VLOOKUP(C25,'Шаг1.Выбор плиты'!C:S,12,0),"")</f>
        <v/>
      </c>
      <c r="W25" s="146" t="str">
        <f ca="1">IFERROR(VLOOKUP(C25,'Шаг1.Выбор плиты'!C:S,8,0),"")</f>
        <v/>
      </c>
      <c r="X25" s="146" t="str">
        <f ca="1">IFERROR(VLOOKUP(C25,'Шаг1.Выбор плиты'!C:S,10,0),"")</f>
        <v/>
      </c>
      <c r="Y25" s="147" t="str">
        <f t="shared" ca="1" si="1"/>
        <v/>
      </c>
      <c r="AD25" s="147" t="str">
        <f t="shared" ca="1" si="6"/>
        <v/>
      </c>
      <c r="AE25" s="147" t="str">
        <f t="shared" ca="1" si="3"/>
        <v/>
      </c>
      <c r="AF25" s="25"/>
      <c r="AH25" s="147" t="str">
        <f ca="1">IF(C25="","",VLOOKUP(C25,'Шаг1.Выбор плиты'!C:Q,7,0))</f>
        <v/>
      </c>
      <c r="AI25" s="147" t="str">
        <f t="shared" ca="1" si="7"/>
        <v/>
      </c>
    </row>
    <row r="26" spans="1:35" x14ac:dyDescent="0.2">
      <c r="A26" s="151" t="str">
        <f ca="1">IF(C26="","",MAX($A$1:OFFSET(C26,-1,0))+1)</f>
        <v/>
      </c>
      <c r="B26" s="151" t="str">
        <f ca="1">IFERROR(IFERROR(IFERROR("Шаг2.Бланк заказа NEW №"&amp;VLOOKUP(A25+1,CHOOSE({1,2},'Шаг2.Бланк заказа NEW'!$B$19:$B$201,'Шаг2.Бланк заказа NEW'!$A$19:$A$201),1,0),
"Бланк OLD 0.8 04 №"&amp;VLOOKUP(A25+1-COUNT('Шаг2.Бланк заказа NEW'!$B$19:$B$201),CHOOSE({1,2},'Бланк OLD 0.8 04'!$B$18:$B$200,'Бланк OLD 0.8 04'!$A$18:$A$200),1,0)),
"Бланк OLD 2.0 04 №"&amp;VLOOKUP(A25+1-COUNT('Шаг2.Бланк заказа NEW'!$B$19:$B$201)-COUNT('Бланк OLD 0.8 04'!$B$18:$B$200),CHOOSE({1,2},'Бланк OLD 2.0 04 '!$B$18:$B$200,'Бланк OLD 2.0 04 '!$A$18:$A$200),1,0)),"")</f>
        <v/>
      </c>
      <c r="C26" s="152" t="str">
        <f ca="1">IFERROR(IFERROR(IFERROR(VLOOKUP(A25+1,CHOOSE({1,2},'Шаг2.Бланк заказа NEW'!$B$19:$B$201,'Шаг2.Бланк заказа NEW'!$A$19:$A$201),2,0),
VLOOKUP(A25+1-COUNT('Шаг2.Бланк заказа NEW'!$B$19:$B$201),CHOOSE({1,2},'Бланк OLD 0.8 04'!$B$18:$B$200,'Бланк OLD 0.8 04'!$A$18:$A$200),2,0)),
VLOOKUP(A25+1-COUNT('Шаг2.Бланк заказа NEW'!$B$19:$B$201)-COUNT('Бланк OLD 0.8 04'!$B$18:$B$200),CHOOSE({1,2},'Бланк OLD 2.0 04 '!$B$18:$B$200,'Бланк OLD 2.0 04 '!$A$18:$A$200),2,0)),"")</f>
        <v/>
      </c>
      <c r="D26" s="150" t="str">
        <f ca="1">IFERROR(VLOOKUP(C26,'Шаг1.Выбор плиты'!C:G,5,0),"")</f>
        <v/>
      </c>
      <c r="E26" s="147" t="str">
        <f ca="1">IFERROR(IFERROR(IF(VLOOKUP($A26,'Шаг2.Бланк заказа NEW'!$B$17:$N$201,2,0)="","",VLOOKUP($A26,'Шаг2.Бланк заказа NEW'!$B$17:$N$201,2,0)),
IF(VLOOKUP($A26-COUNT('Шаг2.Бланк заказа NEW'!$B$19:$B$201),'Бланк OLD 0.8 04'!$B$12:$K$200,2,0)="","",VLOOKUP($A26-COUNT('Шаг2.Бланк заказа NEW'!$B$19:$B$201),'Бланк OLD 0.8 04'!$B$12:$K$200,2,0))),
IF(VLOOKUP($A26-COUNT('Шаг2.Бланк заказа NEW'!$B$19:$B$201)-COUNT('Бланк OLD 0.8 04'!$B$18:$B$200),'Бланк OLD 2.0 04 '!$B$16:$K$200,2,0)="","",VLOOKUP($A26-COUNT('Шаг2.Бланк заказа NEW'!$B$19:$B$201)-COUNT('Бланк OLD 0.8 04'!$B$18:$B$200),'Бланк OLD 2.0 04 '!$B$16:$K$200,2,0)))</f>
        <v/>
      </c>
      <c r="F26" s="147" t="str">
        <f ca="1">IFERROR(IFERROR(IF(VLOOKUP($A26,'Шаг2.Бланк заказа NEW'!$B$17:$N$201,3,0)="","",VLOOKUP($A26,'Шаг2.Бланк заказа NEW'!$B$17:$N$201,3,0)),
IF(VLOOKUP($A26-COUNT('Шаг2.Бланк заказа NEW'!$B$19:$B$201),'Бланк OLD 0.8 04'!$B$12:$K$200,3,0)="","",VLOOKUP($A26-COUNT('Шаг2.Бланк заказа NEW'!$B$19:$B$201),'Бланк OLD 0.8 04'!$B$12:$K$200,3,0))),
IF(VLOOKUP($A26-COUNT('Шаг2.Бланк заказа NEW'!$B$19:$B$201)-COUNT('Бланк OLD 0.8 04'!$B$18:$B$200),'Бланк OLD 2.0 04 '!$B$16:$K$200,3,0)="","",VLOOKUP($A26-COUNT('Шаг2.Бланк заказа NEW'!$B$19:$B$201)-COUNT('Бланк OLD 0.8 04'!$B$18:$B$200),'Бланк OLD 2.0 04 '!$B$16:$K$200,3,0)))</f>
        <v/>
      </c>
      <c r="G26" s="176" t="str">
        <f ca="1">IF(IF(R26="","",IF(R26=1,SUMIFS('Шаг1.Выбор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плиты'!C:Q,12,0)),1))))))=0,
R26,
IF(R26="","",IF(R26=1,SUMIFS('Шаг1.Выбор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плиты'!N:N,R26,'Шаг1.Выбор плиты'!M:M,SMALL(INDIRECT("мм"&amp;VLOOKUP(C26,'Шаг1.Выбор плиты'!C:Q,12,0)),1)))))))</f>
        <v/>
      </c>
      <c r="H26" s="177" t="str">
        <f ca="1">IF(IF(S26="","",IF(S26=1,SUMIFS('Шаг1.Выбор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плиты'!C:Q,12,0)),1))))))=0,
S26,
IF(S26="","",IF(S26=1,SUMIFS('Шаг1.Выбор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плиты'!N:N,S26,'Шаг1.Выбор плиты'!M:M,SMALL(INDIRECT("мм"&amp;VLOOKUP(C26,'Шаг1.Выбор плиты'!C:Q,12,0)),1)))))))</f>
        <v/>
      </c>
      <c r="I26" s="147" t="str">
        <f ca="1">IFERROR(IFERROR(IF(VLOOKUP($A26,'Шаг2.Бланк заказа NEW'!$B$17:$N$201,6,0)="","",VLOOKUP($A26,'Шаг2.Бланк заказа NEW'!$B$17:$N$201,6,0)),
IF(VLOOKUP($A26-COUNT('Шаг2.Бланк заказа NEW'!$B$19:$B$201),'Бланк OLD 0.8 04'!$B$12:$K$200,6,0)="","",VLOOKUP($A26-COUNT('Шаг2.Бланк заказа NEW'!$B$19:$B$201),'Бланк OLD 0.8 04'!$B$12:$K$200,6,0))),
IF(VLOOKUP($A26-COUNT('Шаг2.Бланк заказа NEW'!$B$19:$B$201)-COUNT('Бланк OLD 0.8 04'!$B$18:$B$200),'Бланк OLD 2.0 04 '!$B$16:$K$200,6,0)="","",VLOOKUP($A26-COUNT('Шаг2.Бланк заказа NEW'!$B$19:$B$201)-COUNT('Бланк OLD 0.8 04'!$B$18:$B$200),'Бланк OLD 2.0 04 '!$B$16:$K$200,6,0)))</f>
        <v/>
      </c>
      <c r="J26" s="177" t="str">
        <f ca="1">IF(IF(T26="","",IF(T26=1,SUMIFS('Шаг1.Выбор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плиты'!C:Q,12,0)),1))))))=0,
T26,
IF(T26="","",IF(T26=1,SUMIFS('Шаг1.Выбор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плиты'!N:N,T26,'Шаг1.Выбор плиты'!M:M,SMALL(INDIRECT("мм"&amp;VLOOKUP(C26,'Шаг1.Выбор плиты'!C:Q,12,0)),1)))))))</f>
        <v/>
      </c>
      <c r="K26" s="177" t="str">
        <f ca="1">IF(IF(U26="","",IF(U26=1,SUMIFS('Шаг1.Выбор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плиты'!C:Q,12,0)),1))))))=0,
U26,
IF(U26="","",IF(U26=1,SUMIFS('Шаг1.Выбор плиты'!$G:$G,'Шаг1.Выбор плиты'!J:J,"*"&amp;RIGHT(VLOOKUP(C26,'Шаг1.Выбор плиты'!C:Q,8,0),4),'Шаг1.Выбор плиты'!L:L,IF(MID(C26,1,6)="ЛДСП P","TM"&amp;MID(VLOOKUP(C26,'Шаг1.Выбор плиты'!C:Q,10,0),3,2),MID(VLOOKUP(C26,'Шаг1.Выбор плиты'!C:Q,10,0),1,2)),
'Шаг1.Выбор плиты'!N:N,1),IF(SUMIFS('Шаг1.Выбор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плиты'!C:Q,12,0)),1))=0,
IF(SUMIFS('Шаг1.Выбор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плиты'!C:Q,12,0)),2))=0,
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плиты'!C:Q,12,0)),3)),
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плиты'!C:Q,12,0)),2))),
(SUMIFS('Шаг1.Выбор плиты'!$G:$G,'Шаг1.Выбор плиты'!J:J,"*"&amp;RIGHT(VLOOKUP(C26,'Шаг1.Выбор плиты'!C:Q,8,0),4),'Шаг1.Выбор плиты'!L:L,VLOOKUP(C26,'Шаг1.Выбор плиты'!C:Q,10,0),'Шаг1.Выбор плиты'!N:N,U26,'Шаг1.Выбор плиты'!M:M,SMALL(INDIRECT("мм"&amp;VLOOKUP(C26,'Шаг1.Выбор плиты'!C:Q,12,0)),1)))))))</f>
        <v/>
      </c>
      <c r="L26" s="147" t="str">
        <f ca="1">IFERROR(IFERROR(IF(VLOOKUP($A26,'Шаг2.Бланк заказа NEW'!$B$17:$N$201,9,0)="","",VLOOKUP($A26,'Шаг2.Бланк заказа NEW'!$B$17:$N$201,9,0)),
IF(VLOOKUP($A26-COUNT('Шаг2.Бланк заказа NEW'!$B$19:$B$201),'Бланк OLD 0.8 04'!$B$12:$K$200,9,0)="","",VLOOKUP($A26-COUNT('Шаг2.Бланк заказа NEW'!$B$19:$B$201),'Бланк OLD 0.8 04'!$B$12:$K$200,9,0))),
IF(VLOOKUP($A26-COUNT('Шаг2.Бланк заказа NEW'!$B$19:$B$201)-COUNT('Бланк OLD 0.8 04'!$B$18:$B$200),'Бланк OLD 2.0 04 '!$B$16:$K$200,9,0)="","",VLOOKUP($A26-COUNT('Шаг2.Бланк заказа NEW'!$B$19:$B$201)-COUNT('Бланк OLD 0.8 04'!$B$18:$B$200),'Бланк OLD 2.0 04 '!$B$16:$K$200,9,0)))</f>
        <v/>
      </c>
      <c r="M26" s="154" t="str">
        <f t="shared" ca="1" si="5"/>
        <v/>
      </c>
      <c r="N26" s="153" t="str">
        <f ca="1">IFERROR(IF(VLOOKUP($A26,'Шаг2.Бланк заказа NEW'!$B$17:$N$201,11,0)="","",VLOOKUP($A26,'Шаг2.Бланк заказа NEW'!$B$17:$N$201,11,0)),
"Нет")</f>
        <v/>
      </c>
      <c r="O26" s="147" t="str">
        <f ca="1">IFERROR(IF(VLOOKUP($A26,'Шаг2.Бланк заказа NEW'!$B$17:$N$201,11,0)="","",VLOOKUP($A26,'Шаг2.Бланк заказа NEW'!$B$17:$N$201,12,0)),
"Нет")</f>
        <v/>
      </c>
      <c r="P26" s="153" t="str">
        <f ca="1">IFERROR(IF(VLOOKUP($A26,'Шаг2.Бланк заказа NEW'!$B$17:$N$201,13,0)="","",VLOOKUP($A26,'Шаг2.Бланк заказа NEW'!$B$17:$N$201,13,0)),
"Нет")</f>
        <v/>
      </c>
      <c r="Q26" s="147" t="str">
        <f ca="1">IFERROR(IF(VLOOKUP($A26,'Шаг2.Бланк заказа NEW'!$B$17:$O$201,14,0)="","",VLOOKUP($A26,'Шаг2.Бланк заказа NEW'!$B$17:$O$201,14,0)),"")</f>
        <v/>
      </c>
      <c r="R26" s="147" t="str">
        <f ca="1">IFERROR(IFERROR(IF(VLOOKUP($A26,'Шаг2.Бланк заказа NEW'!$B$17:$N$201,4,0)="","",VLOOKUP($A26,'Шаг2.Бланк заказа NEW'!$B$17:$N$201,4,0)),
IF(VLOOKUP($A26-COUNT('Шаг2.Бланк заказа NEW'!$B$19:$B$201),'Бланк OLD 0.8 04'!$B$12:$K$200,4,0)&gt;0,0.8,
IF(VLOOKUP($A26-COUNT('Шаг2.Бланк заказа NEW'!$B$19:$B$201),'Бланк OLD 0.8 04'!$B$12:$K$200,5,0)&gt;0,0.4,""))),
IF(VLOOKUP($A26-COUNT('Шаг2.Бланк заказа NEW'!$B$19:$B$201)-COUNT('Бланк OLD 0.8 04'!$B$18:$B$200),'Бланк OLD 2.0 04 '!$B$16:$K$200,4,0)&gt;0,2,IF(VLOOKUP($A26-COUNT('Шаг2.Бланк заказа NEW'!$B$19:$B$201)-COUNT('Бланк OLD 0.8 04'!$B$18:$B$200),'Бланк OLD 2.0 04 '!$B$16:$K$200,5,0)&gt;0,0.4,"")))</f>
        <v/>
      </c>
      <c r="S26" s="147" t="str">
        <f ca="1">IFERROR(IFERROR(IF(VLOOKUP($A26,'Шаг2.Бланк заказа NEW'!$B$17:$N$201,5,0)="","",VLOOKUP($A26,'Шаг2.Бланк заказа NEW'!$B$17:$N$201,5,0)),
IF(VLOOKUP($A26-COUNT('Шаг2.Бланк заказа NEW'!$B$19:$B$201),'Бланк OLD 0.8 04'!$B$12:$K$200,4,0)&gt;1,0.8,
IF(VLOOKUP($A26-COUNT('Шаг2.Бланк заказа NEW'!$B$19:$B$201),'Бланк OLD 0.8 04'!$B$12:$K$200,5,0)&gt;1,0.4,
IF(AND(VLOOKUP($A26-COUNT('Шаг2.Бланк заказа NEW'!$B$19:$B$201),'Бланк OLD 0.8 04'!$B$12:$K$200,4,0)&gt;0,VLOOKUP($A26-COUNT('Шаг2.Бланк заказа NEW'!$B$19:$B$201),'Бланк OLD 0.8 04'!$B$12:$K$200,5,0)&gt;0),0.4,"")))),
IF(VLOOKUP($A26-COUNT('Шаг2.Бланк заказа NEW'!$B$19:$B$201)-COUNT('Бланк OLD 0.8 04'!$B$18:$B$200),'Бланк OLD 2.0 04 '!$B$16:$K$200,4,0)&gt;1,2,
IF(VLOOKUP($A26-COUNT('Шаг2.Бланк заказа NEW'!$B$19:$B$201)-COUNT('Бланк OLD 0.8 04'!$B$18:$B$200),'Бланк OLD 2.0 04 '!$B$16:$K$200,5,0)&gt;1,0.4,IF(AND(VLOOKUP($A26-COUNT('Шаг2.Бланк заказа NEW'!$B$19:$B$201)-COUNT('Бланк OLD 0.8 04'!$B$18:$B$200),'Бланк OLD 2.0 04 '!$B$16:$K$200,4,0)&gt;0,VLOOKUP($A26-COUNT('Шаг2.Бланк заказа NEW'!$B$19:$B$201)-COUNT('Бланк OLD 0.8 04'!$B$18:$B$200),'Бланк OLD 2.0 04 '!$B$16:$K$200,5,0)&gt;0),0.4,""))))</f>
        <v/>
      </c>
      <c r="T26" s="147" t="str">
        <f ca="1">IFERROR(IFERROR(IF(VLOOKUP($A26,'Шаг2.Бланк заказа NEW'!$B$17:$N$201,7,0)="","",VLOOKUP($A26,'Шаг2.Бланк заказа NEW'!$B$17:$N$201,7,0)),
IF(VLOOKUP($A26-COUNT('Шаг2.Бланк заказа NEW'!$B$19:$B$201),'Бланк OLD 0.8 04'!$B$12:$K$200,7,0)&gt;0,0.8,
IF(VLOOKUP($A26-COUNT('Шаг2.Бланк заказа NEW'!$B$19:$B$201),'Бланк OLD 0.8 04'!$B$12:$K$200,8,0)&gt;0,0.4,""))),
IF(VLOOKUP($A26-COUNT('Шаг2.Бланк заказа NEW'!$B$19:$B$201)-COUNT('Бланк OLD 0.8 04'!$B$18:$B$200),'Бланк OLD 2.0 04 '!$B$16:$K$200,7,0)&gt;0,2,IF(VLOOKUP($A26-COUNT('Шаг2.Бланк заказа NEW'!$B$19:$B$201)-COUNT('Бланк OLD 0.8 04'!$B$18:$B$200),'Бланк OLD 2.0 04 '!$B$16:$K$200,8,0)&gt;0,0.4,"")))</f>
        <v/>
      </c>
      <c r="U26" s="147" t="str">
        <f ca="1">IFERROR(IFERROR(IF(VLOOKUP($A26,'Шаг2.Бланк заказа NEW'!$B$17:$N$201,8,0)="","",VLOOKUP($A26,'Шаг2.Бланк заказа NEW'!$B$17:$N$201,8,0)),
IF(VLOOKUP($A26-COUNT('Шаг2.Бланк заказа NEW'!$B$19:$B$201),'Бланк OLD 0.8 04'!$B$12:$K$200,7,0)&gt;1,0.8,
IF(VLOOKUP($A26-COUNT('Шаг2.Бланк заказа NEW'!$B$19:$B$201),'Бланк OLD 0.8 04'!$B$12:$K$200,8,0)&gt;1,0.4,
IF(AND(VLOOKUP($A26-COUNT('Шаг2.Бланк заказа NEW'!$B$19:$B$201),'Бланк OLD 0.8 04'!$B$12:$K$200,7,0)&gt;0,VLOOKUP($A26-COUNT('Шаг2.Бланк заказа NEW'!$B$19:$B$201),'Бланк OLD 0.8 04'!$B$12:$K$200,8,0)&gt;0),0.4,"")))),
IF(VLOOKUP($A26-COUNT('Шаг2.Бланк заказа NEW'!$B$19:$B$201)-COUNT('Бланк OLD 0.8 04'!$B$18:$B$200),'Бланк OLD 2.0 04 '!$B$16:$K$200,7,0)&gt;1,2,
IF(VLOOKUP($A26-COUNT('Шаг2.Бланк заказа NEW'!$B$19:$B$201)-COUNT('Бланк OLD 0.8 04'!$B$18:$B$200),'Бланк OLD 2.0 04 '!$B$16:$K$200,8,0)&gt;1,0.4,
IF(AND(VLOOKUP($A26-COUNT('Шаг2.Бланк заказа NEW'!$B$19:$B$201)-COUNT('Бланк OLD 0.8 04'!$B$18:$B$200),'Бланк OLD 2.0 04 '!$B$16:$K$200,7,0)&gt;0,VLOOKUP($A26-COUNT('Шаг2.Бланк заказа NEW'!$B$19:$B$201)-COUNT('Бланк OLD 0.8 04'!$B$18:$B$200),'Бланк OLD 2.0 04 '!$B$16:$K$200,8,0)&gt;0),0.4,""))))</f>
        <v/>
      </c>
      <c r="V26" s="146" t="str">
        <f ca="1">IFERROR(VLOOKUP(C26,'Шаг1.Выбор плиты'!C:S,12,0),"")</f>
        <v/>
      </c>
      <c r="W26" s="146" t="str">
        <f ca="1">IFERROR(VLOOKUP(C26,'Шаг1.Выбор плиты'!C:S,8,0),"")</f>
        <v/>
      </c>
      <c r="X26" s="146" t="str">
        <f ca="1">IFERROR(VLOOKUP(C26,'Шаг1.Выбор плиты'!C:S,10,0),"")</f>
        <v/>
      </c>
      <c r="Y26" s="147" t="str">
        <f t="shared" ca="1" si="1"/>
        <v/>
      </c>
      <c r="AD26" s="147" t="str">
        <f t="shared" ca="1" si="6"/>
        <v/>
      </c>
      <c r="AE26" s="147" t="str">
        <f t="shared" ca="1" si="3"/>
        <v/>
      </c>
      <c r="AF26" s="25"/>
      <c r="AH26" s="147" t="str">
        <f ca="1">IF(C26="","",VLOOKUP(C26,'Шаг1.Выбор плиты'!C:Q,7,0))</f>
        <v/>
      </c>
      <c r="AI26" s="147" t="str">
        <f t="shared" ca="1" si="7"/>
        <v/>
      </c>
    </row>
    <row r="27" spans="1:35" x14ac:dyDescent="0.2">
      <c r="A27" s="151" t="str">
        <f ca="1">IF(C27="","",MAX($A$1:OFFSET(C27,-1,0))+1)</f>
        <v/>
      </c>
      <c r="B27" s="151" t="str">
        <f ca="1">IFERROR(IFERROR(IFERROR("Шаг2.Бланк заказа NEW №"&amp;VLOOKUP(A26+1,CHOOSE({1,2},'Шаг2.Бланк заказа NEW'!$B$19:$B$201,'Шаг2.Бланк заказа NEW'!$A$19:$A$201),1,0),
"Бланк OLD 0.8 04 №"&amp;VLOOKUP(A26+1-COUNT('Шаг2.Бланк заказа NEW'!$B$19:$B$201),CHOOSE({1,2},'Бланк OLD 0.8 04'!$B$18:$B$200,'Бланк OLD 0.8 04'!$A$18:$A$200),1,0)),
"Бланк OLD 2.0 04 №"&amp;VLOOKUP(A26+1-COUNT('Шаг2.Бланк заказа NEW'!$B$19:$B$201)-COUNT('Бланк OLD 0.8 04'!$B$18:$B$200),CHOOSE({1,2},'Бланк OLD 2.0 04 '!$B$18:$B$200,'Бланк OLD 2.0 04 '!$A$18:$A$200),1,0)),"")</f>
        <v/>
      </c>
      <c r="C27" s="152" t="str">
        <f ca="1">IFERROR(IFERROR(IFERROR(VLOOKUP(A26+1,CHOOSE({1,2},'Шаг2.Бланк заказа NEW'!$B$19:$B$201,'Шаг2.Бланк заказа NEW'!$A$19:$A$201),2,0),
VLOOKUP(A26+1-COUNT('Шаг2.Бланк заказа NEW'!$B$19:$B$201),CHOOSE({1,2},'Бланк OLD 0.8 04'!$B$18:$B$200,'Бланк OLD 0.8 04'!$A$18:$A$200),2,0)),
VLOOKUP(A26+1-COUNT('Шаг2.Бланк заказа NEW'!$B$19:$B$201)-COUNT('Бланк OLD 0.8 04'!$B$18:$B$200),CHOOSE({1,2},'Бланк OLD 2.0 04 '!$B$18:$B$200,'Бланк OLD 2.0 04 '!$A$18:$A$200),2,0)),"")</f>
        <v/>
      </c>
      <c r="D27" s="150" t="str">
        <f ca="1">IFERROR(VLOOKUP(C27,'Шаг1.Выбор плиты'!C:G,5,0),"")</f>
        <v/>
      </c>
      <c r="E27" s="147" t="str">
        <f ca="1">IFERROR(IFERROR(IF(VLOOKUP($A27,'Шаг2.Бланк заказа NEW'!$B$17:$N$201,2,0)="","",VLOOKUP($A27,'Шаг2.Бланк заказа NEW'!$B$17:$N$201,2,0)),
IF(VLOOKUP($A27-COUNT('Шаг2.Бланк заказа NEW'!$B$19:$B$201),'Бланк OLD 0.8 04'!$B$12:$K$200,2,0)="","",VLOOKUP($A27-COUNT('Шаг2.Бланк заказа NEW'!$B$19:$B$201),'Бланк OLD 0.8 04'!$B$12:$K$200,2,0))),
IF(VLOOKUP($A27-COUNT('Шаг2.Бланк заказа NEW'!$B$19:$B$201)-COUNT('Бланк OLD 0.8 04'!$B$18:$B$200),'Бланк OLD 2.0 04 '!$B$16:$K$200,2,0)="","",VLOOKUP($A27-COUNT('Шаг2.Бланк заказа NEW'!$B$19:$B$201)-COUNT('Бланк OLD 0.8 04'!$B$18:$B$200),'Бланк OLD 2.0 04 '!$B$16:$K$200,2,0)))</f>
        <v/>
      </c>
      <c r="F27" s="147" t="str">
        <f ca="1">IFERROR(IFERROR(IF(VLOOKUP($A27,'Шаг2.Бланк заказа NEW'!$B$17:$N$201,3,0)="","",VLOOKUP($A27,'Шаг2.Бланк заказа NEW'!$B$17:$N$201,3,0)),
IF(VLOOKUP($A27-COUNT('Шаг2.Бланк заказа NEW'!$B$19:$B$201),'Бланк OLD 0.8 04'!$B$12:$K$200,3,0)="","",VLOOKUP($A27-COUNT('Шаг2.Бланк заказа NEW'!$B$19:$B$201),'Бланк OLD 0.8 04'!$B$12:$K$200,3,0))),
IF(VLOOKUP($A27-COUNT('Шаг2.Бланк заказа NEW'!$B$19:$B$201)-COUNT('Бланк OLD 0.8 04'!$B$18:$B$200),'Бланк OLD 2.0 04 '!$B$16:$K$200,3,0)="","",VLOOKUP($A27-COUNT('Шаг2.Бланк заказа NEW'!$B$19:$B$201)-COUNT('Бланк OLD 0.8 04'!$B$18:$B$200),'Бланк OLD 2.0 04 '!$B$16:$K$200,3,0)))</f>
        <v/>
      </c>
      <c r="G27" s="176" t="str">
        <f ca="1">IF(IF(R27="","",IF(R27=1,SUMIFS('Шаг1.Выбор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плиты'!C:Q,12,0)),1))))))=0,
R27,
IF(R27="","",IF(R27=1,SUMIFS('Шаг1.Выбор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плиты'!N:N,R27,'Шаг1.Выбор плиты'!M:M,SMALL(INDIRECT("мм"&amp;VLOOKUP(C27,'Шаг1.Выбор плиты'!C:Q,12,0)),1)))))))</f>
        <v/>
      </c>
      <c r="H27" s="177" t="str">
        <f ca="1">IF(IF(S27="","",IF(S27=1,SUMIFS('Шаг1.Выбор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плиты'!C:Q,12,0)),1))))))=0,
S27,
IF(S27="","",IF(S27=1,SUMIFS('Шаг1.Выбор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плиты'!N:N,S27,'Шаг1.Выбор плиты'!M:M,SMALL(INDIRECT("мм"&amp;VLOOKUP(C27,'Шаг1.Выбор плиты'!C:Q,12,0)),1)))))))</f>
        <v/>
      </c>
      <c r="I27" s="147" t="str">
        <f ca="1">IFERROR(IFERROR(IF(VLOOKUP($A27,'Шаг2.Бланк заказа NEW'!$B$17:$N$201,6,0)="","",VLOOKUP($A27,'Шаг2.Бланк заказа NEW'!$B$17:$N$201,6,0)),
IF(VLOOKUP($A27-COUNT('Шаг2.Бланк заказа NEW'!$B$19:$B$201),'Бланк OLD 0.8 04'!$B$12:$K$200,6,0)="","",VLOOKUP($A27-COUNT('Шаг2.Бланк заказа NEW'!$B$19:$B$201),'Бланк OLD 0.8 04'!$B$12:$K$200,6,0))),
IF(VLOOKUP($A27-COUNT('Шаг2.Бланк заказа NEW'!$B$19:$B$201)-COUNT('Бланк OLD 0.8 04'!$B$18:$B$200),'Бланк OLD 2.0 04 '!$B$16:$K$200,6,0)="","",VLOOKUP($A27-COUNT('Шаг2.Бланк заказа NEW'!$B$19:$B$201)-COUNT('Бланк OLD 0.8 04'!$B$18:$B$200),'Бланк OLD 2.0 04 '!$B$16:$K$200,6,0)))</f>
        <v/>
      </c>
      <c r="J27" s="177" t="str">
        <f ca="1">IF(IF(T27="","",IF(T27=1,SUMIFS('Шаг1.Выбор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плиты'!C:Q,12,0)),1))))))=0,
T27,
IF(T27="","",IF(T27=1,SUMIFS('Шаг1.Выбор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плиты'!N:N,T27,'Шаг1.Выбор плиты'!M:M,SMALL(INDIRECT("мм"&amp;VLOOKUP(C27,'Шаг1.Выбор плиты'!C:Q,12,0)),1)))))))</f>
        <v/>
      </c>
      <c r="K27" s="177" t="str">
        <f ca="1">IF(IF(U27="","",IF(U27=1,SUMIFS('Шаг1.Выбор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плиты'!C:Q,12,0)),1))))))=0,
U27,
IF(U27="","",IF(U27=1,SUMIFS('Шаг1.Выбор плиты'!$G:$G,'Шаг1.Выбор плиты'!J:J,"*"&amp;RIGHT(VLOOKUP(C27,'Шаг1.Выбор плиты'!C:Q,8,0),4),'Шаг1.Выбор плиты'!L:L,IF(MID(C27,1,6)="ЛДСП P","TM"&amp;MID(VLOOKUP(C27,'Шаг1.Выбор плиты'!C:Q,10,0),3,2),MID(VLOOKUP(C27,'Шаг1.Выбор плиты'!C:Q,10,0),1,2)),
'Шаг1.Выбор плиты'!N:N,1),IF(SUMIFS('Шаг1.Выбор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плиты'!C:Q,12,0)),1))=0,
IF(SUMIFS('Шаг1.Выбор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плиты'!C:Q,12,0)),2))=0,
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плиты'!C:Q,12,0)),3)),
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плиты'!C:Q,12,0)),2))),
(SUMIFS('Шаг1.Выбор плиты'!$G:$G,'Шаг1.Выбор плиты'!J:J,"*"&amp;RIGHT(VLOOKUP(C27,'Шаг1.Выбор плиты'!C:Q,8,0),4),'Шаг1.Выбор плиты'!L:L,VLOOKUP(C27,'Шаг1.Выбор плиты'!C:Q,10,0),'Шаг1.Выбор плиты'!N:N,U27,'Шаг1.Выбор плиты'!M:M,SMALL(INDIRECT("мм"&amp;VLOOKUP(C27,'Шаг1.Выбор плиты'!C:Q,12,0)),1)))))))</f>
        <v/>
      </c>
      <c r="L27" s="147" t="str">
        <f ca="1">IFERROR(IFERROR(IF(VLOOKUP($A27,'Шаг2.Бланк заказа NEW'!$B$17:$N$201,9,0)="","",VLOOKUP($A27,'Шаг2.Бланк заказа NEW'!$B$17:$N$201,9,0)),
IF(VLOOKUP($A27-COUNT('Шаг2.Бланк заказа NEW'!$B$19:$B$201),'Бланк OLD 0.8 04'!$B$12:$K$200,9,0)="","",VLOOKUP($A27-COUNT('Шаг2.Бланк заказа NEW'!$B$19:$B$201),'Бланк OLD 0.8 04'!$B$12:$K$200,9,0))),
IF(VLOOKUP($A27-COUNT('Шаг2.Бланк заказа NEW'!$B$19:$B$201)-COUNT('Бланк OLD 0.8 04'!$B$18:$B$200),'Бланк OLD 2.0 04 '!$B$16:$K$200,9,0)="","",VLOOKUP($A27-COUNT('Шаг2.Бланк заказа NEW'!$B$19:$B$201)-COUNT('Бланк OLD 0.8 04'!$B$18:$B$200),'Бланк OLD 2.0 04 '!$B$16:$K$200,9,0)))</f>
        <v/>
      </c>
      <c r="M27" s="154" t="str">
        <f t="shared" ca="1" si="5"/>
        <v/>
      </c>
      <c r="N27" s="153" t="str">
        <f ca="1">IFERROR(IF(VLOOKUP($A27,'Шаг2.Бланк заказа NEW'!$B$17:$N$201,11,0)="","",VLOOKUP($A27,'Шаг2.Бланк заказа NEW'!$B$17:$N$201,11,0)),
"Нет")</f>
        <v/>
      </c>
      <c r="O27" s="147" t="str">
        <f ca="1">IFERROR(IF(VLOOKUP($A27,'Шаг2.Бланк заказа NEW'!$B$17:$N$201,11,0)="","",VLOOKUP($A27,'Шаг2.Бланк заказа NEW'!$B$17:$N$201,12,0)),
"Нет")</f>
        <v/>
      </c>
      <c r="P27" s="153" t="str">
        <f ca="1">IFERROR(IF(VLOOKUP($A27,'Шаг2.Бланк заказа NEW'!$B$17:$N$201,13,0)="","",VLOOKUP($A27,'Шаг2.Бланк заказа NEW'!$B$17:$N$201,13,0)),
"Нет")</f>
        <v/>
      </c>
      <c r="Q27" s="147" t="str">
        <f ca="1">IFERROR(IF(VLOOKUP($A27,'Шаг2.Бланк заказа NEW'!$B$17:$O$201,14,0)="","",VLOOKUP($A27,'Шаг2.Бланк заказа NEW'!$B$17:$O$201,14,0)),"")</f>
        <v/>
      </c>
      <c r="R27" s="147" t="str">
        <f ca="1">IFERROR(IFERROR(IF(VLOOKUP($A27,'Шаг2.Бланк заказа NEW'!$B$17:$N$201,4,0)="","",VLOOKUP($A27,'Шаг2.Бланк заказа NEW'!$B$17:$N$201,4,0)),
IF(VLOOKUP($A27-COUNT('Шаг2.Бланк заказа NEW'!$B$19:$B$201),'Бланк OLD 0.8 04'!$B$12:$K$200,4,0)&gt;0,0.8,
IF(VLOOKUP($A27-COUNT('Шаг2.Бланк заказа NEW'!$B$19:$B$201),'Бланк OLD 0.8 04'!$B$12:$K$200,5,0)&gt;0,0.4,""))),
IF(VLOOKUP($A27-COUNT('Шаг2.Бланк заказа NEW'!$B$19:$B$201)-COUNT('Бланк OLD 0.8 04'!$B$18:$B$200),'Бланк OLD 2.0 04 '!$B$16:$K$200,4,0)&gt;0,2,IF(VLOOKUP($A27-COUNT('Шаг2.Бланк заказа NEW'!$B$19:$B$201)-COUNT('Бланк OLD 0.8 04'!$B$18:$B$200),'Бланк OLD 2.0 04 '!$B$16:$K$200,5,0)&gt;0,0.4,"")))</f>
        <v/>
      </c>
      <c r="S27" s="147" t="str">
        <f ca="1">IFERROR(IFERROR(IF(VLOOKUP($A27,'Шаг2.Бланк заказа NEW'!$B$17:$N$201,5,0)="","",VLOOKUP($A27,'Шаг2.Бланк заказа NEW'!$B$17:$N$201,5,0)),
IF(VLOOKUP($A27-COUNT('Шаг2.Бланк заказа NEW'!$B$19:$B$201),'Бланк OLD 0.8 04'!$B$12:$K$200,4,0)&gt;1,0.8,
IF(VLOOKUP($A27-COUNT('Шаг2.Бланк заказа NEW'!$B$19:$B$201),'Бланк OLD 0.8 04'!$B$12:$K$200,5,0)&gt;1,0.4,
IF(AND(VLOOKUP($A27-COUNT('Шаг2.Бланк заказа NEW'!$B$19:$B$201),'Бланк OLD 0.8 04'!$B$12:$K$200,4,0)&gt;0,VLOOKUP($A27-COUNT('Шаг2.Бланк заказа NEW'!$B$19:$B$201),'Бланк OLD 0.8 04'!$B$12:$K$200,5,0)&gt;0),0.4,"")))),
IF(VLOOKUP($A27-COUNT('Шаг2.Бланк заказа NEW'!$B$19:$B$201)-COUNT('Бланк OLD 0.8 04'!$B$18:$B$200),'Бланк OLD 2.0 04 '!$B$16:$K$200,4,0)&gt;1,2,
IF(VLOOKUP($A27-COUNT('Шаг2.Бланк заказа NEW'!$B$19:$B$201)-COUNT('Бланк OLD 0.8 04'!$B$18:$B$200),'Бланк OLD 2.0 04 '!$B$16:$K$200,5,0)&gt;1,0.4,IF(AND(VLOOKUP($A27-COUNT('Шаг2.Бланк заказа NEW'!$B$19:$B$201)-COUNT('Бланк OLD 0.8 04'!$B$18:$B$200),'Бланк OLD 2.0 04 '!$B$16:$K$200,4,0)&gt;0,VLOOKUP($A27-COUNT('Шаг2.Бланк заказа NEW'!$B$19:$B$201)-COUNT('Бланк OLD 0.8 04'!$B$18:$B$200),'Бланк OLD 2.0 04 '!$B$16:$K$200,5,0)&gt;0),0.4,""))))</f>
        <v/>
      </c>
      <c r="T27" s="147" t="str">
        <f ca="1">IFERROR(IFERROR(IF(VLOOKUP($A27,'Шаг2.Бланк заказа NEW'!$B$17:$N$201,7,0)="","",VLOOKUP($A27,'Шаг2.Бланк заказа NEW'!$B$17:$N$201,7,0)),
IF(VLOOKUP($A27-COUNT('Шаг2.Бланк заказа NEW'!$B$19:$B$201),'Бланк OLD 0.8 04'!$B$12:$K$200,7,0)&gt;0,0.8,
IF(VLOOKUP($A27-COUNT('Шаг2.Бланк заказа NEW'!$B$19:$B$201),'Бланк OLD 0.8 04'!$B$12:$K$200,8,0)&gt;0,0.4,""))),
IF(VLOOKUP($A27-COUNT('Шаг2.Бланк заказа NEW'!$B$19:$B$201)-COUNT('Бланк OLD 0.8 04'!$B$18:$B$200),'Бланк OLD 2.0 04 '!$B$16:$K$200,7,0)&gt;0,2,IF(VLOOKUP($A27-COUNT('Шаг2.Бланк заказа NEW'!$B$19:$B$201)-COUNT('Бланк OLD 0.8 04'!$B$18:$B$200),'Бланк OLD 2.0 04 '!$B$16:$K$200,8,0)&gt;0,0.4,"")))</f>
        <v/>
      </c>
      <c r="U27" s="147" t="str">
        <f ca="1">IFERROR(IFERROR(IF(VLOOKUP($A27,'Шаг2.Бланк заказа NEW'!$B$17:$N$201,8,0)="","",VLOOKUP($A27,'Шаг2.Бланк заказа NEW'!$B$17:$N$201,8,0)),
IF(VLOOKUP($A27-COUNT('Шаг2.Бланк заказа NEW'!$B$19:$B$201),'Бланк OLD 0.8 04'!$B$12:$K$200,7,0)&gt;1,0.8,
IF(VLOOKUP($A27-COUNT('Шаг2.Бланк заказа NEW'!$B$19:$B$201),'Бланк OLD 0.8 04'!$B$12:$K$200,8,0)&gt;1,0.4,
IF(AND(VLOOKUP($A27-COUNT('Шаг2.Бланк заказа NEW'!$B$19:$B$201),'Бланк OLD 0.8 04'!$B$12:$K$200,7,0)&gt;0,VLOOKUP($A27-COUNT('Шаг2.Бланк заказа NEW'!$B$19:$B$201),'Бланк OLD 0.8 04'!$B$12:$K$200,8,0)&gt;0),0.4,"")))),
IF(VLOOKUP($A27-COUNT('Шаг2.Бланк заказа NEW'!$B$19:$B$201)-COUNT('Бланк OLD 0.8 04'!$B$18:$B$200),'Бланк OLD 2.0 04 '!$B$16:$K$200,7,0)&gt;1,2,
IF(VLOOKUP($A27-COUNT('Шаг2.Бланк заказа NEW'!$B$19:$B$201)-COUNT('Бланк OLD 0.8 04'!$B$18:$B$200),'Бланк OLD 2.0 04 '!$B$16:$K$200,8,0)&gt;1,0.4,
IF(AND(VLOOKUP($A27-COUNT('Шаг2.Бланк заказа NEW'!$B$19:$B$201)-COUNT('Бланк OLD 0.8 04'!$B$18:$B$200),'Бланк OLD 2.0 04 '!$B$16:$K$200,7,0)&gt;0,VLOOKUP($A27-COUNT('Шаг2.Бланк заказа NEW'!$B$19:$B$201)-COUNT('Бланк OLD 0.8 04'!$B$18:$B$200),'Бланк OLD 2.0 04 '!$B$16:$K$200,8,0)&gt;0),0.4,""))))</f>
        <v/>
      </c>
      <c r="V27" s="146" t="str">
        <f ca="1">IFERROR(VLOOKUP(C27,'Шаг1.Выбор плиты'!C:S,12,0),"")</f>
        <v/>
      </c>
      <c r="W27" s="146" t="str">
        <f ca="1">IFERROR(VLOOKUP(C27,'Шаг1.Выбор плиты'!C:S,8,0),"")</f>
        <v/>
      </c>
      <c r="X27" s="146" t="str">
        <f ca="1">IFERROR(VLOOKUP(C27,'Шаг1.Выбор плиты'!C:S,10,0),"")</f>
        <v/>
      </c>
      <c r="Y27" s="147" t="str">
        <f t="shared" ca="1" si="1"/>
        <v/>
      </c>
      <c r="AD27" s="147" t="str">
        <f t="shared" ca="1" si="6"/>
        <v/>
      </c>
      <c r="AE27" s="147" t="str">
        <f t="shared" ca="1" si="3"/>
        <v/>
      </c>
      <c r="AF27" s="25"/>
      <c r="AH27" s="147" t="str">
        <f ca="1">IF(C27="","",VLOOKUP(C27,'Шаг1.Выбор плиты'!C:Q,7,0))</f>
        <v/>
      </c>
      <c r="AI27" s="147" t="str">
        <f t="shared" ca="1" si="7"/>
        <v/>
      </c>
    </row>
    <row r="28" spans="1:35" x14ac:dyDescent="0.2">
      <c r="A28" s="151" t="str">
        <f ca="1">IF(C28="","",MAX($A$1:OFFSET(C28,-1,0))+1)</f>
        <v/>
      </c>
      <c r="B28" s="151" t="str">
        <f ca="1">IFERROR(IFERROR(IFERROR("Шаг2.Бланк заказа NEW №"&amp;VLOOKUP(A27+1,CHOOSE({1,2},'Шаг2.Бланк заказа NEW'!$B$19:$B$201,'Шаг2.Бланк заказа NEW'!$A$19:$A$201),1,0),
"Бланк OLD 0.8 04 №"&amp;VLOOKUP(A27+1-COUNT('Шаг2.Бланк заказа NEW'!$B$19:$B$201),CHOOSE({1,2},'Бланк OLD 0.8 04'!$B$18:$B$200,'Бланк OLD 0.8 04'!$A$18:$A$200),1,0)),
"Бланк OLD 2.0 04 №"&amp;VLOOKUP(A27+1-COUNT('Шаг2.Бланк заказа NEW'!$B$19:$B$201)-COUNT('Бланк OLD 0.8 04'!$B$18:$B$200),CHOOSE({1,2},'Бланк OLD 2.0 04 '!$B$18:$B$200,'Бланк OLD 2.0 04 '!$A$18:$A$200),1,0)),"")</f>
        <v/>
      </c>
      <c r="C28" s="152" t="str">
        <f ca="1">IFERROR(IFERROR(IFERROR(VLOOKUP(A27+1,CHOOSE({1,2},'Шаг2.Бланк заказа NEW'!$B$19:$B$201,'Шаг2.Бланк заказа NEW'!$A$19:$A$201),2,0),
VLOOKUP(A27+1-COUNT('Шаг2.Бланк заказа NEW'!$B$19:$B$201),CHOOSE({1,2},'Бланк OLD 0.8 04'!$B$18:$B$200,'Бланк OLD 0.8 04'!$A$18:$A$200),2,0)),
VLOOKUP(A27+1-COUNT('Шаг2.Бланк заказа NEW'!$B$19:$B$201)-COUNT('Бланк OLD 0.8 04'!$B$18:$B$200),CHOOSE({1,2},'Бланк OLD 2.0 04 '!$B$18:$B$200,'Бланк OLD 2.0 04 '!$A$18:$A$200),2,0)),"")</f>
        <v/>
      </c>
      <c r="D28" s="150" t="str">
        <f ca="1">IFERROR(VLOOKUP(C28,'Шаг1.Выбор плиты'!C:G,5,0),"")</f>
        <v/>
      </c>
      <c r="E28" s="147" t="str">
        <f ca="1">IFERROR(IFERROR(IF(VLOOKUP($A28,'Шаг2.Бланк заказа NEW'!$B$17:$N$201,2,0)="","",VLOOKUP($A28,'Шаг2.Бланк заказа NEW'!$B$17:$N$201,2,0)),
IF(VLOOKUP($A28-COUNT('Шаг2.Бланк заказа NEW'!$B$19:$B$201),'Бланк OLD 0.8 04'!$B$12:$K$200,2,0)="","",VLOOKUP($A28-COUNT('Шаг2.Бланк заказа NEW'!$B$19:$B$201),'Бланк OLD 0.8 04'!$B$12:$K$200,2,0))),
IF(VLOOKUP($A28-COUNT('Шаг2.Бланк заказа NEW'!$B$19:$B$201)-COUNT('Бланк OLD 0.8 04'!$B$18:$B$200),'Бланк OLD 2.0 04 '!$B$16:$K$200,2,0)="","",VLOOKUP($A28-COUNT('Шаг2.Бланк заказа NEW'!$B$19:$B$201)-COUNT('Бланк OLD 0.8 04'!$B$18:$B$200),'Бланк OLD 2.0 04 '!$B$16:$K$200,2,0)))</f>
        <v/>
      </c>
      <c r="F28" s="147" t="str">
        <f ca="1">IFERROR(IFERROR(IF(VLOOKUP($A28,'Шаг2.Бланк заказа NEW'!$B$17:$N$201,3,0)="","",VLOOKUP($A28,'Шаг2.Бланк заказа NEW'!$B$17:$N$201,3,0)),
IF(VLOOKUP($A28-COUNT('Шаг2.Бланк заказа NEW'!$B$19:$B$201),'Бланк OLD 0.8 04'!$B$12:$K$200,3,0)="","",VLOOKUP($A28-COUNT('Шаг2.Бланк заказа NEW'!$B$19:$B$201),'Бланк OLD 0.8 04'!$B$12:$K$200,3,0))),
IF(VLOOKUP($A28-COUNT('Шаг2.Бланк заказа NEW'!$B$19:$B$201)-COUNT('Бланк OLD 0.8 04'!$B$18:$B$200),'Бланк OLD 2.0 04 '!$B$16:$K$200,3,0)="","",VLOOKUP($A28-COUNT('Шаг2.Бланк заказа NEW'!$B$19:$B$201)-COUNT('Бланк OLD 0.8 04'!$B$18:$B$200),'Бланк OLD 2.0 04 '!$B$16:$K$200,3,0)))</f>
        <v/>
      </c>
      <c r="G28" s="176" t="str">
        <f ca="1">IF(IF(R28="","",IF(R28=1,SUMIFS('Шаг1.Выбор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плиты'!C:Q,12,0)),1))))))=0,
R28,
IF(R28="","",IF(R28=1,SUMIFS('Шаг1.Выбор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плиты'!N:N,R28,'Шаг1.Выбор плиты'!M:M,SMALL(INDIRECT("мм"&amp;VLOOKUP(C28,'Шаг1.Выбор плиты'!C:Q,12,0)),1)))))))</f>
        <v/>
      </c>
      <c r="H28" s="177" t="str">
        <f ca="1">IF(IF(S28="","",IF(S28=1,SUMIFS('Шаг1.Выбор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плиты'!C:Q,12,0)),1))))))=0,
S28,
IF(S28="","",IF(S28=1,SUMIFS('Шаг1.Выбор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плиты'!N:N,S28,'Шаг1.Выбор плиты'!M:M,SMALL(INDIRECT("мм"&amp;VLOOKUP(C28,'Шаг1.Выбор плиты'!C:Q,12,0)),1)))))))</f>
        <v/>
      </c>
      <c r="I28" s="147" t="str">
        <f ca="1">IFERROR(IFERROR(IF(VLOOKUP($A28,'Шаг2.Бланк заказа NEW'!$B$17:$N$201,6,0)="","",VLOOKUP($A28,'Шаг2.Бланк заказа NEW'!$B$17:$N$201,6,0)),
IF(VLOOKUP($A28-COUNT('Шаг2.Бланк заказа NEW'!$B$19:$B$201),'Бланк OLD 0.8 04'!$B$12:$K$200,6,0)="","",VLOOKUP($A28-COUNT('Шаг2.Бланк заказа NEW'!$B$19:$B$201),'Бланк OLD 0.8 04'!$B$12:$K$200,6,0))),
IF(VLOOKUP($A28-COUNT('Шаг2.Бланк заказа NEW'!$B$19:$B$201)-COUNT('Бланк OLD 0.8 04'!$B$18:$B$200),'Бланк OLD 2.0 04 '!$B$16:$K$200,6,0)="","",VLOOKUP($A28-COUNT('Шаг2.Бланк заказа NEW'!$B$19:$B$201)-COUNT('Бланк OLD 0.8 04'!$B$18:$B$200),'Бланк OLD 2.0 04 '!$B$16:$K$200,6,0)))</f>
        <v/>
      </c>
      <c r="J28" s="177" t="str">
        <f ca="1">IF(IF(T28="","",IF(T28=1,SUMIFS('Шаг1.Выбор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плиты'!C:Q,12,0)),1))))))=0,
T28,
IF(T28="","",IF(T28=1,SUMIFS('Шаг1.Выбор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плиты'!N:N,T28,'Шаг1.Выбор плиты'!M:M,SMALL(INDIRECT("мм"&amp;VLOOKUP(C28,'Шаг1.Выбор плиты'!C:Q,12,0)),1)))))))</f>
        <v/>
      </c>
      <c r="K28" s="177" t="str">
        <f ca="1">IF(IF(U28="","",IF(U28=1,SUMIFS('Шаг1.Выбор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плиты'!C:Q,12,0)),1))))))=0,
U28,
IF(U28="","",IF(U28=1,SUMIFS('Шаг1.Выбор плиты'!$G:$G,'Шаг1.Выбор плиты'!J:J,"*"&amp;RIGHT(VLOOKUP(C28,'Шаг1.Выбор плиты'!C:Q,8,0),4),'Шаг1.Выбор плиты'!L:L,IF(MID(C28,1,6)="ЛДСП P","TM"&amp;MID(VLOOKUP(C28,'Шаг1.Выбор плиты'!C:Q,10,0),3,2),MID(VLOOKUP(C28,'Шаг1.Выбор плиты'!C:Q,10,0),1,2)),
'Шаг1.Выбор плиты'!N:N,1),IF(SUMIFS('Шаг1.Выбор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плиты'!C:Q,12,0)),1))=0,
IF(SUMIFS('Шаг1.Выбор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плиты'!C:Q,12,0)),2))=0,
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плиты'!C:Q,12,0)),3)),
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плиты'!C:Q,12,0)),2))),
(SUMIFS('Шаг1.Выбор плиты'!$G:$G,'Шаг1.Выбор плиты'!J:J,"*"&amp;RIGHT(VLOOKUP(C28,'Шаг1.Выбор плиты'!C:Q,8,0),4),'Шаг1.Выбор плиты'!L:L,VLOOKUP(C28,'Шаг1.Выбор плиты'!C:Q,10,0),'Шаг1.Выбор плиты'!N:N,U28,'Шаг1.Выбор плиты'!M:M,SMALL(INDIRECT("мм"&amp;VLOOKUP(C28,'Шаг1.Выбор плиты'!C:Q,12,0)),1)))))))</f>
        <v/>
      </c>
      <c r="L28" s="147" t="str">
        <f ca="1">IFERROR(IFERROR(IF(VLOOKUP($A28,'Шаг2.Бланк заказа NEW'!$B$17:$N$201,9,0)="","",VLOOKUP($A28,'Шаг2.Бланк заказа NEW'!$B$17:$N$201,9,0)),
IF(VLOOKUP($A28-COUNT('Шаг2.Бланк заказа NEW'!$B$19:$B$201),'Бланк OLD 0.8 04'!$B$12:$K$200,9,0)="","",VLOOKUP($A28-COUNT('Шаг2.Бланк заказа NEW'!$B$19:$B$201),'Бланк OLD 0.8 04'!$B$12:$K$200,9,0))),
IF(VLOOKUP($A28-COUNT('Шаг2.Бланк заказа NEW'!$B$19:$B$201)-COUNT('Бланк OLD 0.8 04'!$B$18:$B$200),'Бланк OLD 2.0 04 '!$B$16:$K$200,9,0)="","",VLOOKUP($A28-COUNT('Шаг2.Бланк заказа NEW'!$B$19:$B$201)-COUNT('Бланк OLD 0.8 04'!$B$18:$B$200),'Бланк OLD 2.0 04 '!$B$16:$K$200,9,0)))</f>
        <v/>
      </c>
      <c r="M28" s="154" t="str">
        <f t="shared" ca="1" si="5"/>
        <v/>
      </c>
      <c r="N28" s="153" t="str">
        <f ca="1">IFERROR(IF(VLOOKUP($A28,'Шаг2.Бланк заказа NEW'!$B$17:$N$201,11,0)="","",VLOOKUP($A28,'Шаг2.Бланк заказа NEW'!$B$17:$N$201,11,0)),
"Нет")</f>
        <v/>
      </c>
      <c r="O28" s="147" t="str">
        <f ca="1">IFERROR(IF(VLOOKUP($A28,'Шаг2.Бланк заказа NEW'!$B$17:$N$201,11,0)="","",VLOOKUP($A28,'Шаг2.Бланк заказа NEW'!$B$17:$N$201,12,0)),
"Нет")</f>
        <v/>
      </c>
      <c r="P28" s="153" t="str">
        <f ca="1">IFERROR(IF(VLOOKUP($A28,'Шаг2.Бланк заказа NEW'!$B$17:$N$201,13,0)="","",VLOOKUP($A28,'Шаг2.Бланк заказа NEW'!$B$17:$N$201,13,0)),
"Нет")</f>
        <v/>
      </c>
      <c r="Q28" s="147" t="str">
        <f ca="1">IFERROR(IF(VLOOKUP($A28,'Шаг2.Бланк заказа NEW'!$B$17:$O$201,14,0)="","",VLOOKUP($A28,'Шаг2.Бланк заказа NEW'!$B$17:$O$201,14,0)),"")</f>
        <v/>
      </c>
      <c r="R28" s="147" t="str">
        <f ca="1">IFERROR(IFERROR(IF(VLOOKUP($A28,'Шаг2.Бланк заказа NEW'!$B$17:$N$201,4,0)="","",VLOOKUP($A28,'Шаг2.Бланк заказа NEW'!$B$17:$N$201,4,0)),
IF(VLOOKUP($A28-COUNT('Шаг2.Бланк заказа NEW'!$B$19:$B$201),'Бланк OLD 0.8 04'!$B$12:$K$200,4,0)&gt;0,0.8,
IF(VLOOKUP($A28-COUNT('Шаг2.Бланк заказа NEW'!$B$19:$B$201),'Бланк OLD 0.8 04'!$B$12:$K$200,5,0)&gt;0,0.4,""))),
IF(VLOOKUP($A28-COUNT('Шаг2.Бланк заказа NEW'!$B$19:$B$201)-COUNT('Бланк OLD 0.8 04'!$B$18:$B$200),'Бланк OLD 2.0 04 '!$B$16:$K$200,4,0)&gt;0,2,IF(VLOOKUP($A28-COUNT('Шаг2.Бланк заказа NEW'!$B$19:$B$201)-COUNT('Бланк OLD 0.8 04'!$B$18:$B$200),'Бланк OLD 2.0 04 '!$B$16:$K$200,5,0)&gt;0,0.4,"")))</f>
        <v/>
      </c>
      <c r="S28" s="147" t="str">
        <f ca="1">IFERROR(IFERROR(IF(VLOOKUP($A28,'Шаг2.Бланк заказа NEW'!$B$17:$N$201,5,0)="","",VLOOKUP($A28,'Шаг2.Бланк заказа NEW'!$B$17:$N$201,5,0)),
IF(VLOOKUP($A28-COUNT('Шаг2.Бланк заказа NEW'!$B$19:$B$201),'Бланк OLD 0.8 04'!$B$12:$K$200,4,0)&gt;1,0.8,
IF(VLOOKUP($A28-COUNT('Шаг2.Бланк заказа NEW'!$B$19:$B$201),'Бланк OLD 0.8 04'!$B$12:$K$200,5,0)&gt;1,0.4,
IF(AND(VLOOKUP($A28-COUNT('Шаг2.Бланк заказа NEW'!$B$19:$B$201),'Бланк OLD 0.8 04'!$B$12:$K$200,4,0)&gt;0,VLOOKUP($A28-COUNT('Шаг2.Бланк заказа NEW'!$B$19:$B$201),'Бланк OLD 0.8 04'!$B$12:$K$200,5,0)&gt;0),0.4,"")))),
IF(VLOOKUP($A28-COUNT('Шаг2.Бланк заказа NEW'!$B$19:$B$201)-COUNT('Бланк OLD 0.8 04'!$B$18:$B$200),'Бланк OLD 2.0 04 '!$B$16:$K$200,4,0)&gt;1,2,
IF(VLOOKUP($A28-COUNT('Шаг2.Бланк заказа NEW'!$B$19:$B$201)-COUNT('Бланк OLD 0.8 04'!$B$18:$B$200),'Бланк OLD 2.0 04 '!$B$16:$K$200,5,0)&gt;1,0.4,IF(AND(VLOOKUP($A28-COUNT('Шаг2.Бланк заказа NEW'!$B$19:$B$201)-COUNT('Бланк OLD 0.8 04'!$B$18:$B$200),'Бланк OLD 2.0 04 '!$B$16:$K$200,4,0)&gt;0,VLOOKUP($A28-COUNT('Шаг2.Бланк заказа NEW'!$B$19:$B$201)-COUNT('Бланк OLD 0.8 04'!$B$18:$B$200),'Бланк OLD 2.0 04 '!$B$16:$K$200,5,0)&gt;0),0.4,""))))</f>
        <v/>
      </c>
      <c r="T28" s="147" t="str">
        <f ca="1">IFERROR(IFERROR(IF(VLOOKUP($A28,'Шаг2.Бланк заказа NEW'!$B$17:$N$201,7,0)="","",VLOOKUP($A28,'Шаг2.Бланк заказа NEW'!$B$17:$N$201,7,0)),
IF(VLOOKUP($A28-COUNT('Шаг2.Бланк заказа NEW'!$B$19:$B$201),'Бланк OLD 0.8 04'!$B$12:$K$200,7,0)&gt;0,0.8,
IF(VLOOKUP($A28-COUNT('Шаг2.Бланк заказа NEW'!$B$19:$B$201),'Бланк OLD 0.8 04'!$B$12:$K$200,8,0)&gt;0,0.4,""))),
IF(VLOOKUP($A28-COUNT('Шаг2.Бланк заказа NEW'!$B$19:$B$201)-COUNT('Бланк OLD 0.8 04'!$B$18:$B$200),'Бланк OLD 2.0 04 '!$B$16:$K$200,7,0)&gt;0,2,IF(VLOOKUP($A28-COUNT('Шаг2.Бланк заказа NEW'!$B$19:$B$201)-COUNT('Бланк OLD 0.8 04'!$B$18:$B$200),'Бланк OLD 2.0 04 '!$B$16:$K$200,8,0)&gt;0,0.4,"")))</f>
        <v/>
      </c>
      <c r="U28" s="147" t="str">
        <f ca="1">IFERROR(IFERROR(IF(VLOOKUP($A28,'Шаг2.Бланк заказа NEW'!$B$17:$N$201,8,0)="","",VLOOKUP($A28,'Шаг2.Бланк заказа NEW'!$B$17:$N$201,8,0)),
IF(VLOOKUP($A28-COUNT('Шаг2.Бланк заказа NEW'!$B$19:$B$201),'Бланк OLD 0.8 04'!$B$12:$K$200,7,0)&gt;1,0.8,
IF(VLOOKUP($A28-COUNT('Шаг2.Бланк заказа NEW'!$B$19:$B$201),'Бланк OLD 0.8 04'!$B$12:$K$200,8,0)&gt;1,0.4,
IF(AND(VLOOKUP($A28-COUNT('Шаг2.Бланк заказа NEW'!$B$19:$B$201),'Бланк OLD 0.8 04'!$B$12:$K$200,7,0)&gt;0,VLOOKUP($A28-COUNT('Шаг2.Бланк заказа NEW'!$B$19:$B$201),'Бланк OLD 0.8 04'!$B$12:$K$200,8,0)&gt;0),0.4,"")))),
IF(VLOOKUP($A28-COUNT('Шаг2.Бланк заказа NEW'!$B$19:$B$201)-COUNT('Бланк OLD 0.8 04'!$B$18:$B$200),'Бланк OLD 2.0 04 '!$B$16:$K$200,7,0)&gt;1,2,
IF(VLOOKUP($A28-COUNT('Шаг2.Бланк заказа NEW'!$B$19:$B$201)-COUNT('Бланк OLD 0.8 04'!$B$18:$B$200),'Бланк OLD 2.0 04 '!$B$16:$K$200,8,0)&gt;1,0.4,
IF(AND(VLOOKUP($A28-COUNT('Шаг2.Бланк заказа NEW'!$B$19:$B$201)-COUNT('Бланк OLD 0.8 04'!$B$18:$B$200),'Бланк OLD 2.0 04 '!$B$16:$K$200,7,0)&gt;0,VLOOKUP($A28-COUNT('Шаг2.Бланк заказа NEW'!$B$19:$B$201)-COUNT('Бланк OLD 0.8 04'!$B$18:$B$200),'Бланк OLD 2.0 04 '!$B$16:$K$200,8,0)&gt;0),0.4,""))))</f>
        <v/>
      </c>
      <c r="V28" s="146" t="str">
        <f ca="1">IFERROR(VLOOKUP(C28,'Шаг1.Выбор плиты'!C:S,12,0),"")</f>
        <v/>
      </c>
      <c r="W28" s="146" t="str">
        <f ca="1">IFERROR(VLOOKUP(C28,'Шаг1.Выбор плиты'!C:S,8,0),"")</f>
        <v/>
      </c>
      <c r="X28" s="146" t="str">
        <f ca="1">IFERROR(VLOOKUP(C28,'Шаг1.Выбор плиты'!C:S,10,0),"")</f>
        <v/>
      </c>
      <c r="Y28" s="147" t="str">
        <f t="shared" ca="1" si="1"/>
        <v/>
      </c>
      <c r="AD28" s="147" t="str">
        <f t="shared" ca="1" si="6"/>
        <v/>
      </c>
      <c r="AE28" s="147" t="str">
        <f t="shared" ca="1" si="3"/>
        <v/>
      </c>
      <c r="AF28" s="25"/>
      <c r="AH28" s="147" t="str">
        <f ca="1">IF(C28="","",VLOOKUP(C28,'Шаг1.Выбор плиты'!C:Q,7,0))</f>
        <v/>
      </c>
      <c r="AI28" s="147" t="str">
        <f t="shared" ca="1" si="7"/>
        <v/>
      </c>
    </row>
    <row r="29" spans="1:35" x14ac:dyDescent="0.2">
      <c r="A29" s="151" t="str">
        <f ca="1">IF(C29="","",MAX($A$1:OFFSET(C29,-1,0))+1)</f>
        <v/>
      </c>
      <c r="B29" s="151" t="str">
        <f ca="1">IFERROR(IFERROR(IFERROR("Шаг2.Бланк заказа NEW №"&amp;VLOOKUP(A28+1,CHOOSE({1,2},'Шаг2.Бланк заказа NEW'!$B$19:$B$201,'Шаг2.Бланк заказа NEW'!$A$19:$A$201),1,0),
"Бланк OLD 0.8 04 №"&amp;VLOOKUP(A28+1-COUNT('Шаг2.Бланк заказа NEW'!$B$19:$B$201),CHOOSE({1,2},'Бланк OLD 0.8 04'!$B$18:$B$200,'Бланк OLD 0.8 04'!$A$18:$A$200),1,0)),
"Бланк OLD 2.0 04 №"&amp;VLOOKUP(A28+1-COUNT('Шаг2.Бланк заказа NEW'!$B$19:$B$201)-COUNT('Бланк OLD 0.8 04'!$B$18:$B$200),CHOOSE({1,2},'Бланк OLD 2.0 04 '!$B$18:$B$200,'Бланк OLD 2.0 04 '!$A$18:$A$200),1,0)),"")</f>
        <v/>
      </c>
      <c r="C29" s="152" t="str">
        <f ca="1">IFERROR(IFERROR(IFERROR(VLOOKUP(A28+1,CHOOSE({1,2},'Шаг2.Бланк заказа NEW'!$B$19:$B$201,'Шаг2.Бланк заказа NEW'!$A$19:$A$201),2,0),
VLOOKUP(A28+1-COUNT('Шаг2.Бланк заказа NEW'!$B$19:$B$201),CHOOSE({1,2},'Бланк OLD 0.8 04'!$B$18:$B$200,'Бланк OLD 0.8 04'!$A$18:$A$200),2,0)),
VLOOKUP(A28+1-COUNT('Шаг2.Бланк заказа NEW'!$B$19:$B$201)-COUNT('Бланк OLD 0.8 04'!$B$18:$B$200),CHOOSE({1,2},'Бланк OLD 2.0 04 '!$B$18:$B$200,'Бланк OLD 2.0 04 '!$A$18:$A$200),2,0)),"")</f>
        <v/>
      </c>
      <c r="D29" s="150" t="str">
        <f ca="1">IFERROR(VLOOKUP(C29,'Шаг1.Выбор плиты'!C:G,5,0),"")</f>
        <v/>
      </c>
      <c r="E29" s="147" t="str">
        <f ca="1">IFERROR(IFERROR(IF(VLOOKUP($A29,'Шаг2.Бланк заказа NEW'!$B$17:$N$201,2,0)="","",VLOOKUP($A29,'Шаг2.Бланк заказа NEW'!$B$17:$N$201,2,0)),
IF(VLOOKUP($A29-COUNT('Шаг2.Бланк заказа NEW'!$B$19:$B$201),'Бланк OLD 0.8 04'!$B$12:$K$200,2,0)="","",VLOOKUP($A29-COUNT('Шаг2.Бланк заказа NEW'!$B$19:$B$201),'Бланк OLD 0.8 04'!$B$12:$K$200,2,0))),
IF(VLOOKUP($A29-COUNT('Шаг2.Бланк заказа NEW'!$B$19:$B$201)-COUNT('Бланк OLD 0.8 04'!$B$18:$B$200),'Бланк OLD 2.0 04 '!$B$16:$K$200,2,0)="","",VLOOKUP($A29-COUNT('Шаг2.Бланк заказа NEW'!$B$19:$B$201)-COUNT('Бланк OLD 0.8 04'!$B$18:$B$200),'Бланк OLD 2.0 04 '!$B$16:$K$200,2,0)))</f>
        <v/>
      </c>
      <c r="F29" s="147" t="str">
        <f ca="1">IFERROR(IFERROR(IF(VLOOKUP($A29,'Шаг2.Бланк заказа NEW'!$B$17:$N$201,3,0)="","",VLOOKUP($A29,'Шаг2.Бланк заказа NEW'!$B$17:$N$201,3,0)),
IF(VLOOKUP($A29-COUNT('Шаг2.Бланк заказа NEW'!$B$19:$B$201),'Бланк OLD 0.8 04'!$B$12:$K$200,3,0)="","",VLOOKUP($A29-COUNT('Шаг2.Бланк заказа NEW'!$B$19:$B$201),'Бланк OLD 0.8 04'!$B$12:$K$200,3,0))),
IF(VLOOKUP($A29-COUNT('Шаг2.Бланк заказа NEW'!$B$19:$B$201)-COUNT('Бланк OLD 0.8 04'!$B$18:$B$200),'Бланк OLD 2.0 04 '!$B$16:$K$200,3,0)="","",VLOOKUP($A29-COUNT('Шаг2.Бланк заказа NEW'!$B$19:$B$201)-COUNT('Бланк OLD 0.8 04'!$B$18:$B$200),'Бланк OLD 2.0 04 '!$B$16:$K$200,3,0)))</f>
        <v/>
      </c>
      <c r="G29" s="176" t="str">
        <f ca="1">IF(IF(R29="","",IF(R29=1,SUMIFS('Шаг1.Выбор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плиты'!C:Q,12,0)),1))))))=0,
R29,
IF(R29="","",IF(R29=1,SUMIFS('Шаг1.Выбор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плиты'!N:N,R29,'Шаг1.Выбор плиты'!M:M,SMALL(INDIRECT("мм"&amp;VLOOKUP(C29,'Шаг1.Выбор плиты'!C:Q,12,0)),1)))))))</f>
        <v/>
      </c>
      <c r="H29" s="177" t="str">
        <f ca="1">IF(IF(S29="","",IF(S29=1,SUMIFS('Шаг1.Выбор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плиты'!C:Q,12,0)),1))))))=0,
S29,
IF(S29="","",IF(S29=1,SUMIFS('Шаг1.Выбор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плиты'!N:N,S29,'Шаг1.Выбор плиты'!M:M,SMALL(INDIRECT("мм"&amp;VLOOKUP(C29,'Шаг1.Выбор плиты'!C:Q,12,0)),1)))))))</f>
        <v/>
      </c>
      <c r="I29" s="147" t="str">
        <f ca="1">IFERROR(IFERROR(IF(VLOOKUP($A29,'Шаг2.Бланк заказа NEW'!$B$17:$N$201,6,0)="","",VLOOKUP($A29,'Шаг2.Бланк заказа NEW'!$B$17:$N$201,6,0)),
IF(VLOOKUP($A29-COUNT('Шаг2.Бланк заказа NEW'!$B$19:$B$201),'Бланк OLD 0.8 04'!$B$12:$K$200,6,0)="","",VLOOKUP($A29-COUNT('Шаг2.Бланк заказа NEW'!$B$19:$B$201),'Бланк OLD 0.8 04'!$B$12:$K$200,6,0))),
IF(VLOOKUP($A29-COUNT('Шаг2.Бланк заказа NEW'!$B$19:$B$201)-COUNT('Бланк OLD 0.8 04'!$B$18:$B$200),'Бланк OLD 2.0 04 '!$B$16:$K$200,6,0)="","",VLOOKUP($A29-COUNT('Шаг2.Бланк заказа NEW'!$B$19:$B$201)-COUNT('Бланк OLD 0.8 04'!$B$18:$B$200),'Бланк OLD 2.0 04 '!$B$16:$K$200,6,0)))</f>
        <v/>
      </c>
      <c r="J29" s="177" t="str">
        <f ca="1">IF(IF(T29="","",IF(T29=1,SUMIFS('Шаг1.Выбор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плиты'!C:Q,12,0)),1))))))=0,
T29,
IF(T29="","",IF(T29=1,SUMIFS('Шаг1.Выбор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плиты'!N:N,T29,'Шаг1.Выбор плиты'!M:M,SMALL(INDIRECT("мм"&amp;VLOOKUP(C29,'Шаг1.Выбор плиты'!C:Q,12,0)),1)))))))</f>
        <v/>
      </c>
      <c r="K29" s="177" t="str">
        <f ca="1">IF(IF(U29="","",IF(U29=1,SUMIFS('Шаг1.Выбор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плиты'!C:Q,12,0)),1))))))=0,
U29,
IF(U29="","",IF(U29=1,SUMIFS('Шаг1.Выбор плиты'!$G:$G,'Шаг1.Выбор плиты'!J:J,"*"&amp;RIGHT(VLOOKUP(C29,'Шаг1.Выбор плиты'!C:Q,8,0),4),'Шаг1.Выбор плиты'!L:L,IF(MID(C29,1,6)="ЛДСП P","TM"&amp;MID(VLOOKUP(C29,'Шаг1.Выбор плиты'!C:Q,10,0),3,2),MID(VLOOKUP(C29,'Шаг1.Выбор плиты'!C:Q,10,0),1,2)),
'Шаг1.Выбор плиты'!N:N,1),IF(SUMIFS('Шаг1.Выбор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плиты'!C:Q,12,0)),1))=0,
IF(SUMIFS('Шаг1.Выбор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плиты'!C:Q,12,0)),2))=0,
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плиты'!C:Q,12,0)),3)),
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плиты'!C:Q,12,0)),2))),
(SUMIFS('Шаг1.Выбор плиты'!$G:$G,'Шаг1.Выбор плиты'!J:J,"*"&amp;RIGHT(VLOOKUP(C29,'Шаг1.Выбор плиты'!C:Q,8,0),4),'Шаг1.Выбор плиты'!L:L,VLOOKUP(C29,'Шаг1.Выбор плиты'!C:Q,10,0),'Шаг1.Выбор плиты'!N:N,U29,'Шаг1.Выбор плиты'!M:M,SMALL(INDIRECT("мм"&amp;VLOOKUP(C29,'Шаг1.Выбор плиты'!C:Q,12,0)),1)))))))</f>
        <v/>
      </c>
      <c r="L29" s="147" t="str">
        <f ca="1">IFERROR(IFERROR(IF(VLOOKUP($A29,'Шаг2.Бланк заказа NEW'!$B$17:$N$201,9,0)="","",VLOOKUP($A29,'Шаг2.Бланк заказа NEW'!$B$17:$N$201,9,0)),
IF(VLOOKUP($A29-COUNT('Шаг2.Бланк заказа NEW'!$B$19:$B$201),'Бланк OLD 0.8 04'!$B$12:$K$200,9,0)="","",VLOOKUP($A29-COUNT('Шаг2.Бланк заказа NEW'!$B$19:$B$201),'Бланк OLD 0.8 04'!$B$12:$K$200,9,0))),
IF(VLOOKUP($A29-COUNT('Шаг2.Бланк заказа NEW'!$B$19:$B$201)-COUNT('Бланк OLD 0.8 04'!$B$18:$B$200),'Бланк OLD 2.0 04 '!$B$16:$K$200,9,0)="","",VLOOKUP($A29-COUNT('Шаг2.Бланк заказа NEW'!$B$19:$B$201)-COUNT('Бланк OLD 0.8 04'!$B$18:$B$200),'Бланк OLD 2.0 04 '!$B$16:$K$200,9,0)))</f>
        <v/>
      </c>
      <c r="M29" s="154" t="str">
        <f t="shared" ca="1" si="5"/>
        <v/>
      </c>
      <c r="N29" s="153" t="str">
        <f ca="1">IFERROR(IF(VLOOKUP($A29,'Шаг2.Бланк заказа NEW'!$B$17:$N$201,11,0)="","",VLOOKUP($A29,'Шаг2.Бланк заказа NEW'!$B$17:$N$201,11,0)),
"Нет")</f>
        <v/>
      </c>
      <c r="O29" s="147" t="str">
        <f ca="1">IFERROR(IF(VLOOKUP($A29,'Шаг2.Бланк заказа NEW'!$B$17:$N$201,11,0)="","",VLOOKUP($A29,'Шаг2.Бланк заказа NEW'!$B$17:$N$201,12,0)),
"Нет")</f>
        <v/>
      </c>
      <c r="P29" s="153" t="str">
        <f ca="1">IFERROR(IF(VLOOKUP($A29,'Шаг2.Бланк заказа NEW'!$B$17:$N$201,13,0)="","",VLOOKUP($A29,'Шаг2.Бланк заказа NEW'!$B$17:$N$201,13,0)),
"Нет")</f>
        <v/>
      </c>
      <c r="Q29" s="147" t="str">
        <f ca="1">IFERROR(IF(VLOOKUP($A29,'Шаг2.Бланк заказа NEW'!$B$17:$O$201,14,0)="","",VLOOKUP($A29,'Шаг2.Бланк заказа NEW'!$B$17:$O$201,14,0)),"")</f>
        <v/>
      </c>
      <c r="R29" s="147" t="str">
        <f ca="1">IFERROR(IFERROR(IF(VLOOKUP($A29,'Шаг2.Бланк заказа NEW'!$B$17:$N$201,4,0)="","",VLOOKUP($A29,'Шаг2.Бланк заказа NEW'!$B$17:$N$201,4,0)),
IF(VLOOKUP($A29-COUNT('Шаг2.Бланк заказа NEW'!$B$19:$B$201),'Бланк OLD 0.8 04'!$B$12:$K$200,4,0)&gt;0,0.8,
IF(VLOOKUP($A29-COUNT('Шаг2.Бланк заказа NEW'!$B$19:$B$201),'Бланк OLD 0.8 04'!$B$12:$K$200,5,0)&gt;0,0.4,""))),
IF(VLOOKUP($A29-COUNT('Шаг2.Бланк заказа NEW'!$B$19:$B$201)-COUNT('Бланк OLD 0.8 04'!$B$18:$B$200),'Бланк OLD 2.0 04 '!$B$16:$K$200,4,0)&gt;0,2,IF(VLOOKUP($A29-COUNT('Шаг2.Бланк заказа NEW'!$B$19:$B$201)-COUNT('Бланк OLD 0.8 04'!$B$18:$B$200),'Бланк OLD 2.0 04 '!$B$16:$K$200,5,0)&gt;0,0.4,"")))</f>
        <v/>
      </c>
      <c r="S29" s="147" t="str">
        <f ca="1">IFERROR(IFERROR(IF(VLOOKUP($A29,'Шаг2.Бланк заказа NEW'!$B$17:$N$201,5,0)="","",VLOOKUP($A29,'Шаг2.Бланк заказа NEW'!$B$17:$N$201,5,0)),
IF(VLOOKUP($A29-COUNT('Шаг2.Бланк заказа NEW'!$B$19:$B$201),'Бланк OLD 0.8 04'!$B$12:$K$200,4,0)&gt;1,0.8,
IF(VLOOKUP($A29-COUNT('Шаг2.Бланк заказа NEW'!$B$19:$B$201),'Бланк OLD 0.8 04'!$B$12:$K$200,5,0)&gt;1,0.4,
IF(AND(VLOOKUP($A29-COUNT('Шаг2.Бланк заказа NEW'!$B$19:$B$201),'Бланк OLD 0.8 04'!$B$12:$K$200,4,0)&gt;0,VLOOKUP($A29-COUNT('Шаг2.Бланк заказа NEW'!$B$19:$B$201),'Бланк OLD 0.8 04'!$B$12:$K$200,5,0)&gt;0),0.4,"")))),
IF(VLOOKUP($A29-COUNT('Шаг2.Бланк заказа NEW'!$B$19:$B$201)-COUNT('Бланк OLD 0.8 04'!$B$18:$B$200),'Бланк OLD 2.0 04 '!$B$16:$K$200,4,0)&gt;1,2,
IF(VLOOKUP($A29-COUNT('Шаг2.Бланк заказа NEW'!$B$19:$B$201)-COUNT('Бланк OLD 0.8 04'!$B$18:$B$200),'Бланк OLD 2.0 04 '!$B$16:$K$200,5,0)&gt;1,0.4,IF(AND(VLOOKUP($A29-COUNT('Шаг2.Бланк заказа NEW'!$B$19:$B$201)-COUNT('Бланк OLD 0.8 04'!$B$18:$B$200),'Бланк OLD 2.0 04 '!$B$16:$K$200,4,0)&gt;0,VLOOKUP($A29-COUNT('Шаг2.Бланк заказа NEW'!$B$19:$B$201)-COUNT('Бланк OLD 0.8 04'!$B$18:$B$200),'Бланк OLD 2.0 04 '!$B$16:$K$200,5,0)&gt;0),0.4,""))))</f>
        <v/>
      </c>
      <c r="T29" s="147" t="str">
        <f ca="1">IFERROR(IFERROR(IF(VLOOKUP($A29,'Шаг2.Бланк заказа NEW'!$B$17:$N$201,7,0)="","",VLOOKUP($A29,'Шаг2.Бланк заказа NEW'!$B$17:$N$201,7,0)),
IF(VLOOKUP($A29-COUNT('Шаг2.Бланк заказа NEW'!$B$19:$B$201),'Бланк OLD 0.8 04'!$B$12:$K$200,7,0)&gt;0,0.8,
IF(VLOOKUP($A29-COUNT('Шаг2.Бланк заказа NEW'!$B$19:$B$201),'Бланк OLD 0.8 04'!$B$12:$K$200,8,0)&gt;0,0.4,""))),
IF(VLOOKUP($A29-COUNT('Шаг2.Бланк заказа NEW'!$B$19:$B$201)-COUNT('Бланк OLD 0.8 04'!$B$18:$B$200),'Бланк OLD 2.0 04 '!$B$16:$K$200,7,0)&gt;0,2,IF(VLOOKUP($A29-COUNT('Шаг2.Бланк заказа NEW'!$B$19:$B$201)-COUNT('Бланк OLD 0.8 04'!$B$18:$B$200),'Бланк OLD 2.0 04 '!$B$16:$K$200,8,0)&gt;0,0.4,"")))</f>
        <v/>
      </c>
      <c r="U29" s="147" t="str">
        <f ca="1">IFERROR(IFERROR(IF(VLOOKUP($A29,'Шаг2.Бланк заказа NEW'!$B$17:$N$201,8,0)="","",VLOOKUP($A29,'Шаг2.Бланк заказа NEW'!$B$17:$N$201,8,0)),
IF(VLOOKUP($A29-COUNT('Шаг2.Бланк заказа NEW'!$B$19:$B$201),'Бланк OLD 0.8 04'!$B$12:$K$200,7,0)&gt;1,0.8,
IF(VLOOKUP($A29-COUNT('Шаг2.Бланк заказа NEW'!$B$19:$B$201),'Бланк OLD 0.8 04'!$B$12:$K$200,8,0)&gt;1,0.4,
IF(AND(VLOOKUP($A29-COUNT('Шаг2.Бланк заказа NEW'!$B$19:$B$201),'Бланк OLD 0.8 04'!$B$12:$K$200,7,0)&gt;0,VLOOKUP($A29-COUNT('Шаг2.Бланк заказа NEW'!$B$19:$B$201),'Бланк OLD 0.8 04'!$B$12:$K$200,8,0)&gt;0),0.4,"")))),
IF(VLOOKUP($A29-COUNT('Шаг2.Бланк заказа NEW'!$B$19:$B$201)-COUNT('Бланк OLD 0.8 04'!$B$18:$B$200),'Бланк OLD 2.0 04 '!$B$16:$K$200,7,0)&gt;1,2,
IF(VLOOKUP($A29-COUNT('Шаг2.Бланк заказа NEW'!$B$19:$B$201)-COUNT('Бланк OLD 0.8 04'!$B$18:$B$200),'Бланк OLD 2.0 04 '!$B$16:$K$200,8,0)&gt;1,0.4,
IF(AND(VLOOKUP($A29-COUNT('Шаг2.Бланк заказа NEW'!$B$19:$B$201)-COUNT('Бланк OLD 0.8 04'!$B$18:$B$200),'Бланк OLD 2.0 04 '!$B$16:$K$200,7,0)&gt;0,VLOOKUP($A29-COUNT('Шаг2.Бланк заказа NEW'!$B$19:$B$201)-COUNT('Бланк OLD 0.8 04'!$B$18:$B$200),'Бланк OLD 2.0 04 '!$B$16:$K$200,8,0)&gt;0),0.4,""))))</f>
        <v/>
      </c>
      <c r="V29" s="146" t="str">
        <f ca="1">IFERROR(VLOOKUP(C29,'Шаг1.Выбор плиты'!C:S,12,0),"")</f>
        <v/>
      </c>
      <c r="W29" s="146" t="str">
        <f ca="1">IFERROR(VLOOKUP(C29,'Шаг1.Выбор плиты'!C:S,8,0),"")</f>
        <v/>
      </c>
      <c r="X29" s="146" t="str">
        <f ca="1">IFERROR(VLOOKUP(C29,'Шаг1.Выбор плиты'!C:S,10,0),"")</f>
        <v/>
      </c>
      <c r="Y29" s="147" t="str">
        <f t="shared" ca="1" si="1"/>
        <v/>
      </c>
      <c r="AD29" s="147" t="str">
        <f t="shared" ca="1" si="6"/>
        <v/>
      </c>
      <c r="AE29" s="147" t="str">
        <f t="shared" ca="1" si="3"/>
        <v/>
      </c>
      <c r="AF29" s="25"/>
      <c r="AH29" s="147" t="str">
        <f ca="1">IF(C29="","",VLOOKUP(C29,'Шаг1.Выбор плиты'!C:Q,7,0))</f>
        <v/>
      </c>
      <c r="AI29" s="147" t="str">
        <f t="shared" ca="1" si="7"/>
        <v/>
      </c>
    </row>
    <row r="30" spans="1:35" x14ac:dyDescent="0.2">
      <c r="A30" s="151" t="str">
        <f ca="1">IF(C30="","",MAX($A$1:OFFSET(C30,-1,0))+1)</f>
        <v/>
      </c>
      <c r="B30" s="151" t="str">
        <f ca="1">IFERROR(IFERROR(IFERROR("Шаг2.Бланк заказа NEW №"&amp;VLOOKUP(A29+1,CHOOSE({1,2},'Шаг2.Бланк заказа NEW'!$B$19:$B$201,'Шаг2.Бланк заказа NEW'!$A$19:$A$201),1,0),
"Бланк OLD 0.8 04 №"&amp;VLOOKUP(A29+1-COUNT('Шаг2.Бланк заказа NEW'!$B$19:$B$201),CHOOSE({1,2},'Бланк OLD 0.8 04'!$B$18:$B$200,'Бланк OLD 0.8 04'!$A$18:$A$200),1,0)),
"Бланк OLD 2.0 04 №"&amp;VLOOKUP(A29+1-COUNT('Шаг2.Бланк заказа NEW'!$B$19:$B$201)-COUNT('Бланк OLD 0.8 04'!$B$18:$B$200),CHOOSE({1,2},'Бланк OLD 2.0 04 '!$B$18:$B$200,'Бланк OLD 2.0 04 '!$A$18:$A$200),1,0)),"")</f>
        <v/>
      </c>
      <c r="C30" s="152" t="str">
        <f ca="1">IFERROR(IFERROR(IFERROR(VLOOKUP(A29+1,CHOOSE({1,2},'Шаг2.Бланк заказа NEW'!$B$19:$B$201,'Шаг2.Бланк заказа NEW'!$A$19:$A$201),2,0),
VLOOKUP(A29+1-COUNT('Шаг2.Бланк заказа NEW'!$B$19:$B$201),CHOOSE({1,2},'Бланк OLD 0.8 04'!$B$18:$B$200,'Бланк OLD 0.8 04'!$A$18:$A$200),2,0)),
VLOOKUP(A29+1-COUNT('Шаг2.Бланк заказа NEW'!$B$19:$B$201)-COUNT('Бланк OLD 0.8 04'!$B$18:$B$200),CHOOSE({1,2},'Бланк OLD 2.0 04 '!$B$18:$B$200,'Бланк OLD 2.0 04 '!$A$18:$A$200),2,0)),"")</f>
        <v/>
      </c>
      <c r="D30" s="150" t="str">
        <f ca="1">IFERROR(VLOOKUP(C30,'Шаг1.Выбор плиты'!C:G,5,0),"")</f>
        <v/>
      </c>
      <c r="E30" s="147" t="str">
        <f ca="1">IFERROR(IFERROR(IF(VLOOKUP($A30,'Шаг2.Бланк заказа NEW'!$B$17:$N$201,2,0)="","",VLOOKUP($A30,'Шаг2.Бланк заказа NEW'!$B$17:$N$201,2,0)),
IF(VLOOKUP($A30-COUNT('Шаг2.Бланк заказа NEW'!$B$19:$B$201),'Бланк OLD 0.8 04'!$B$12:$K$200,2,0)="","",VLOOKUP($A30-COUNT('Шаг2.Бланк заказа NEW'!$B$19:$B$201),'Бланк OLD 0.8 04'!$B$12:$K$200,2,0))),
IF(VLOOKUP($A30-COUNT('Шаг2.Бланк заказа NEW'!$B$19:$B$201)-COUNT('Бланк OLD 0.8 04'!$B$18:$B$200),'Бланк OLD 2.0 04 '!$B$16:$K$200,2,0)="","",VLOOKUP($A30-COUNT('Шаг2.Бланк заказа NEW'!$B$19:$B$201)-COUNT('Бланк OLD 0.8 04'!$B$18:$B$200),'Бланк OLD 2.0 04 '!$B$16:$K$200,2,0)))</f>
        <v/>
      </c>
      <c r="F30" s="147" t="str">
        <f ca="1">IFERROR(IFERROR(IF(VLOOKUP($A30,'Шаг2.Бланк заказа NEW'!$B$17:$N$201,3,0)="","",VLOOKUP($A30,'Шаг2.Бланк заказа NEW'!$B$17:$N$201,3,0)),
IF(VLOOKUP($A30-COUNT('Шаг2.Бланк заказа NEW'!$B$19:$B$201),'Бланк OLD 0.8 04'!$B$12:$K$200,3,0)="","",VLOOKUP($A30-COUNT('Шаг2.Бланк заказа NEW'!$B$19:$B$201),'Бланк OLD 0.8 04'!$B$12:$K$200,3,0))),
IF(VLOOKUP($A30-COUNT('Шаг2.Бланк заказа NEW'!$B$19:$B$201)-COUNT('Бланк OLD 0.8 04'!$B$18:$B$200),'Бланк OLD 2.0 04 '!$B$16:$K$200,3,0)="","",VLOOKUP($A30-COUNT('Шаг2.Бланк заказа NEW'!$B$19:$B$201)-COUNT('Бланк OLD 0.8 04'!$B$18:$B$200),'Бланк OLD 2.0 04 '!$B$16:$K$200,3,0)))</f>
        <v/>
      </c>
      <c r="G30" s="176" t="str">
        <f ca="1">IF(IF(R30="","",IF(R30=1,SUMIFS('Шаг1.Выбор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плиты'!C:Q,12,0)),1))))))=0,
R30,
IF(R30="","",IF(R30=1,SUMIFS('Шаг1.Выбор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плиты'!N:N,R30,'Шаг1.Выбор плиты'!M:M,SMALL(INDIRECT("мм"&amp;VLOOKUP(C30,'Шаг1.Выбор плиты'!C:Q,12,0)),1)))))))</f>
        <v/>
      </c>
      <c r="H30" s="177" t="str">
        <f ca="1">IF(IF(S30="","",IF(S30=1,SUMIFS('Шаг1.Выбор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плиты'!C:Q,12,0)),1))))))=0,
S30,
IF(S30="","",IF(S30=1,SUMIFS('Шаг1.Выбор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плиты'!N:N,S30,'Шаг1.Выбор плиты'!M:M,SMALL(INDIRECT("мм"&amp;VLOOKUP(C30,'Шаг1.Выбор плиты'!C:Q,12,0)),1)))))))</f>
        <v/>
      </c>
      <c r="I30" s="147" t="str">
        <f ca="1">IFERROR(IFERROR(IF(VLOOKUP($A30,'Шаг2.Бланк заказа NEW'!$B$17:$N$201,6,0)="","",VLOOKUP($A30,'Шаг2.Бланк заказа NEW'!$B$17:$N$201,6,0)),
IF(VLOOKUP($A30-COUNT('Шаг2.Бланк заказа NEW'!$B$19:$B$201),'Бланк OLD 0.8 04'!$B$12:$K$200,6,0)="","",VLOOKUP($A30-COUNT('Шаг2.Бланк заказа NEW'!$B$19:$B$201),'Бланк OLD 0.8 04'!$B$12:$K$200,6,0))),
IF(VLOOKUP($A30-COUNT('Шаг2.Бланк заказа NEW'!$B$19:$B$201)-COUNT('Бланк OLD 0.8 04'!$B$18:$B$200),'Бланк OLD 2.0 04 '!$B$16:$K$200,6,0)="","",VLOOKUP($A30-COUNT('Шаг2.Бланк заказа NEW'!$B$19:$B$201)-COUNT('Бланк OLD 0.8 04'!$B$18:$B$200),'Бланк OLD 2.0 04 '!$B$16:$K$200,6,0)))</f>
        <v/>
      </c>
      <c r="J30" s="177" t="str">
        <f ca="1">IF(IF(T30="","",IF(T30=1,SUMIFS('Шаг1.Выбор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плиты'!C:Q,12,0)),1))))))=0,
T30,
IF(T30="","",IF(T30=1,SUMIFS('Шаг1.Выбор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плиты'!N:N,T30,'Шаг1.Выбор плиты'!M:M,SMALL(INDIRECT("мм"&amp;VLOOKUP(C30,'Шаг1.Выбор плиты'!C:Q,12,0)),1)))))))</f>
        <v/>
      </c>
      <c r="K30" s="177" t="str">
        <f ca="1">IF(IF(U30="","",IF(U30=1,SUMIFS('Шаг1.Выбор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плиты'!C:Q,12,0)),1))))))=0,
U30,
IF(U30="","",IF(U30=1,SUMIFS('Шаг1.Выбор плиты'!$G:$G,'Шаг1.Выбор плиты'!J:J,"*"&amp;RIGHT(VLOOKUP(C30,'Шаг1.Выбор плиты'!C:Q,8,0),4),'Шаг1.Выбор плиты'!L:L,IF(MID(C30,1,6)="ЛДСП P","TM"&amp;MID(VLOOKUP(C30,'Шаг1.Выбор плиты'!C:Q,10,0),3,2),MID(VLOOKUP(C30,'Шаг1.Выбор плиты'!C:Q,10,0),1,2)),
'Шаг1.Выбор плиты'!N:N,1),IF(SUMIFS('Шаг1.Выбор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плиты'!C:Q,12,0)),1))=0,
IF(SUMIFS('Шаг1.Выбор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плиты'!C:Q,12,0)),2))=0,
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плиты'!C:Q,12,0)),3)),
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плиты'!C:Q,12,0)),2))),
(SUMIFS('Шаг1.Выбор плиты'!$G:$G,'Шаг1.Выбор плиты'!J:J,"*"&amp;RIGHT(VLOOKUP(C30,'Шаг1.Выбор плиты'!C:Q,8,0),4),'Шаг1.Выбор плиты'!L:L,VLOOKUP(C30,'Шаг1.Выбор плиты'!C:Q,10,0),'Шаг1.Выбор плиты'!N:N,U30,'Шаг1.Выбор плиты'!M:M,SMALL(INDIRECT("мм"&amp;VLOOKUP(C30,'Шаг1.Выбор плиты'!C:Q,12,0)),1)))))))</f>
        <v/>
      </c>
      <c r="L30" s="147" t="str">
        <f ca="1">IFERROR(IFERROR(IF(VLOOKUP($A30,'Шаг2.Бланк заказа NEW'!$B$17:$N$201,9,0)="","",VLOOKUP($A30,'Шаг2.Бланк заказа NEW'!$B$17:$N$201,9,0)),
IF(VLOOKUP($A30-COUNT('Шаг2.Бланк заказа NEW'!$B$19:$B$201),'Бланк OLD 0.8 04'!$B$12:$K$200,9,0)="","",VLOOKUP($A30-COUNT('Шаг2.Бланк заказа NEW'!$B$19:$B$201),'Бланк OLD 0.8 04'!$B$12:$K$200,9,0))),
IF(VLOOKUP($A30-COUNT('Шаг2.Бланк заказа NEW'!$B$19:$B$201)-COUNT('Бланк OLD 0.8 04'!$B$18:$B$200),'Бланк OLD 2.0 04 '!$B$16:$K$200,9,0)="","",VLOOKUP($A30-COUNT('Шаг2.Бланк заказа NEW'!$B$19:$B$201)-COUNT('Бланк OLD 0.8 04'!$B$18:$B$200),'Бланк OLD 2.0 04 '!$B$16:$K$200,9,0)))</f>
        <v/>
      </c>
      <c r="M30" s="154" t="str">
        <f t="shared" ca="1" si="5"/>
        <v/>
      </c>
      <c r="N30" s="153" t="str">
        <f ca="1">IFERROR(IF(VLOOKUP($A30,'Шаг2.Бланк заказа NEW'!$B$17:$N$201,11,0)="","",VLOOKUP($A30,'Шаг2.Бланк заказа NEW'!$B$17:$N$201,11,0)),
"Нет")</f>
        <v/>
      </c>
      <c r="O30" s="147" t="str">
        <f ca="1">IFERROR(IF(VLOOKUP($A30,'Шаг2.Бланк заказа NEW'!$B$17:$N$201,11,0)="","",VLOOKUP($A30,'Шаг2.Бланк заказа NEW'!$B$17:$N$201,12,0)),
"Нет")</f>
        <v/>
      </c>
      <c r="P30" s="153" t="str">
        <f ca="1">IFERROR(IF(VLOOKUP($A30,'Шаг2.Бланк заказа NEW'!$B$17:$N$201,13,0)="","",VLOOKUP($A30,'Шаг2.Бланк заказа NEW'!$B$17:$N$201,13,0)),
"Нет")</f>
        <v/>
      </c>
      <c r="Q30" s="147" t="str">
        <f ca="1">IFERROR(IF(VLOOKUP($A30,'Шаг2.Бланк заказа NEW'!$B$17:$O$201,14,0)="","",VLOOKUP($A30,'Шаг2.Бланк заказа NEW'!$B$17:$O$201,14,0)),"")</f>
        <v/>
      </c>
      <c r="R30" s="147" t="str">
        <f ca="1">IFERROR(IFERROR(IF(VLOOKUP($A30,'Шаг2.Бланк заказа NEW'!$B$17:$N$201,4,0)="","",VLOOKUP($A30,'Шаг2.Бланк заказа NEW'!$B$17:$N$201,4,0)),
IF(VLOOKUP($A30-COUNT('Шаг2.Бланк заказа NEW'!$B$19:$B$201),'Бланк OLD 0.8 04'!$B$12:$K$200,4,0)&gt;0,0.8,
IF(VLOOKUP($A30-COUNT('Шаг2.Бланк заказа NEW'!$B$19:$B$201),'Бланк OLD 0.8 04'!$B$12:$K$200,5,0)&gt;0,0.4,""))),
IF(VLOOKUP($A30-COUNT('Шаг2.Бланк заказа NEW'!$B$19:$B$201)-COUNT('Бланк OLD 0.8 04'!$B$18:$B$200),'Бланк OLD 2.0 04 '!$B$16:$K$200,4,0)&gt;0,2,IF(VLOOKUP($A30-COUNT('Шаг2.Бланк заказа NEW'!$B$19:$B$201)-COUNT('Бланк OLD 0.8 04'!$B$18:$B$200),'Бланк OLD 2.0 04 '!$B$16:$K$200,5,0)&gt;0,0.4,"")))</f>
        <v/>
      </c>
      <c r="S30" s="147" t="str">
        <f ca="1">IFERROR(IFERROR(IF(VLOOKUP($A30,'Шаг2.Бланк заказа NEW'!$B$17:$N$201,5,0)="","",VLOOKUP($A30,'Шаг2.Бланк заказа NEW'!$B$17:$N$201,5,0)),
IF(VLOOKUP($A30-COUNT('Шаг2.Бланк заказа NEW'!$B$19:$B$201),'Бланк OLD 0.8 04'!$B$12:$K$200,4,0)&gt;1,0.8,
IF(VLOOKUP($A30-COUNT('Шаг2.Бланк заказа NEW'!$B$19:$B$201),'Бланк OLD 0.8 04'!$B$12:$K$200,5,0)&gt;1,0.4,
IF(AND(VLOOKUP($A30-COUNT('Шаг2.Бланк заказа NEW'!$B$19:$B$201),'Бланк OLD 0.8 04'!$B$12:$K$200,4,0)&gt;0,VLOOKUP($A30-COUNT('Шаг2.Бланк заказа NEW'!$B$19:$B$201),'Бланк OLD 0.8 04'!$B$12:$K$200,5,0)&gt;0),0.4,"")))),
IF(VLOOKUP($A30-COUNT('Шаг2.Бланк заказа NEW'!$B$19:$B$201)-COUNT('Бланк OLD 0.8 04'!$B$18:$B$200),'Бланк OLD 2.0 04 '!$B$16:$K$200,4,0)&gt;1,2,
IF(VLOOKUP($A30-COUNT('Шаг2.Бланк заказа NEW'!$B$19:$B$201)-COUNT('Бланк OLD 0.8 04'!$B$18:$B$200),'Бланк OLD 2.0 04 '!$B$16:$K$200,5,0)&gt;1,0.4,IF(AND(VLOOKUP($A30-COUNT('Шаг2.Бланк заказа NEW'!$B$19:$B$201)-COUNT('Бланк OLD 0.8 04'!$B$18:$B$200),'Бланк OLD 2.0 04 '!$B$16:$K$200,4,0)&gt;0,VLOOKUP($A30-COUNT('Шаг2.Бланк заказа NEW'!$B$19:$B$201)-COUNT('Бланк OLD 0.8 04'!$B$18:$B$200),'Бланк OLD 2.0 04 '!$B$16:$K$200,5,0)&gt;0),0.4,""))))</f>
        <v/>
      </c>
      <c r="T30" s="147" t="str">
        <f ca="1">IFERROR(IFERROR(IF(VLOOKUP($A30,'Шаг2.Бланк заказа NEW'!$B$17:$N$201,7,0)="","",VLOOKUP($A30,'Шаг2.Бланк заказа NEW'!$B$17:$N$201,7,0)),
IF(VLOOKUP($A30-COUNT('Шаг2.Бланк заказа NEW'!$B$19:$B$201),'Бланк OLD 0.8 04'!$B$12:$K$200,7,0)&gt;0,0.8,
IF(VLOOKUP($A30-COUNT('Шаг2.Бланк заказа NEW'!$B$19:$B$201),'Бланк OLD 0.8 04'!$B$12:$K$200,8,0)&gt;0,0.4,""))),
IF(VLOOKUP($A30-COUNT('Шаг2.Бланк заказа NEW'!$B$19:$B$201)-COUNT('Бланк OLD 0.8 04'!$B$18:$B$200),'Бланк OLD 2.0 04 '!$B$16:$K$200,7,0)&gt;0,2,IF(VLOOKUP($A30-COUNT('Шаг2.Бланк заказа NEW'!$B$19:$B$201)-COUNT('Бланк OLD 0.8 04'!$B$18:$B$200),'Бланк OLD 2.0 04 '!$B$16:$K$200,8,0)&gt;0,0.4,"")))</f>
        <v/>
      </c>
      <c r="U30" s="147" t="str">
        <f ca="1">IFERROR(IFERROR(IF(VLOOKUP($A30,'Шаг2.Бланк заказа NEW'!$B$17:$N$201,8,0)="","",VLOOKUP($A30,'Шаг2.Бланк заказа NEW'!$B$17:$N$201,8,0)),
IF(VLOOKUP($A30-COUNT('Шаг2.Бланк заказа NEW'!$B$19:$B$201),'Бланк OLD 0.8 04'!$B$12:$K$200,7,0)&gt;1,0.8,
IF(VLOOKUP($A30-COUNT('Шаг2.Бланк заказа NEW'!$B$19:$B$201),'Бланк OLD 0.8 04'!$B$12:$K$200,8,0)&gt;1,0.4,
IF(AND(VLOOKUP($A30-COUNT('Шаг2.Бланк заказа NEW'!$B$19:$B$201),'Бланк OLD 0.8 04'!$B$12:$K$200,7,0)&gt;0,VLOOKUP($A30-COUNT('Шаг2.Бланк заказа NEW'!$B$19:$B$201),'Бланк OLD 0.8 04'!$B$12:$K$200,8,0)&gt;0),0.4,"")))),
IF(VLOOKUP($A30-COUNT('Шаг2.Бланк заказа NEW'!$B$19:$B$201)-COUNT('Бланк OLD 0.8 04'!$B$18:$B$200),'Бланк OLD 2.0 04 '!$B$16:$K$200,7,0)&gt;1,2,
IF(VLOOKUP($A30-COUNT('Шаг2.Бланк заказа NEW'!$B$19:$B$201)-COUNT('Бланк OLD 0.8 04'!$B$18:$B$200),'Бланк OLD 2.0 04 '!$B$16:$K$200,8,0)&gt;1,0.4,
IF(AND(VLOOKUP($A30-COUNT('Шаг2.Бланк заказа NEW'!$B$19:$B$201)-COUNT('Бланк OLD 0.8 04'!$B$18:$B$200),'Бланк OLD 2.0 04 '!$B$16:$K$200,7,0)&gt;0,VLOOKUP($A30-COUNT('Шаг2.Бланк заказа NEW'!$B$19:$B$201)-COUNT('Бланк OLD 0.8 04'!$B$18:$B$200),'Бланк OLD 2.0 04 '!$B$16:$K$200,8,0)&gt;0),0.4,""))))</f>
        <v/>
      </c>
      <c r="V30" s="146" t="str">
        <f ca="1">IFERROR(VLOOKUP(C30,'Шаг1.Выбор плиты'!C:S,12,0),"")</f>
        <v/>
      </c>
      <c r="W30" s="146" t="str">
        <f ca="1">IFERROR(VLOOKUP(C30,'Шаг1.Выбор плиты'!C:S,8,0),"")</f>
        <v/>
      </c>
      <c r="X30" s="146" t="str">
        <f ca="1">IFERROR(VLOOKUP(C30,'Шаг1.Выбор плиты'!C:S,10,0),"")</f>
        <v/>
      </c>
      <c r="Y30" s="147" t="str">
        <f t="shared" ca="1" si="1"/>
        <v/>
      </c>
      <c r="AD30" s="147" t="str">
        <f t="shared" ca="1" si="6"/>
        <v/>
      </c>
      <c r="AE30" s="147" t="str">
        <f t="shared" ca="1" si="3"/>
        <v/>
      </c>
      <c r="AF30" s="25"/>
      <c r="AH30" s="147" t="str">
        <f ca="1">IF(C30="","",VLOOKUP(C30,'Шаг1.Выбор плиты'!C:Q,7,0))</f>
        <v/>
      </c>
      <c r="AI30" s="147" t="str">
        <f t="shared" ca="1" si="7"/>
        <v/>
      </c>
    </row>
    <row r="31" spans="1:35" x14ac:dyDescent="0.2">
      <c r="A31" s="151" t="str">
        <f ca="1">IF(C31="","",MAX($A$1:OFFSET(C31,-1,0))+1)</f>
        <v/>
      </c>
      <c r="B31" s="151" t="str">
        <f ca="1">IFERROR(IFERROR(IFERROR("Шаг2.Бланк заказа NEW №"&amp;VLOOKUP(A30+1,CHOOSE({1,2},'Шаг2.Бланк заказа NEW'!$B$19:$B$201,'Шаг2.Бланк заказа NEW'!$A$19:$A$201),1,0),
"Бланк OLD 0.8 04 №"&amp;VLOOKUP(A30+1-COUNT('Шаг2.Бланк заказа NEW'!$B$19:$B$201),CHOOSE({1,2},'Бланк OLD 0.8 04'!$B$18:$B$200,'Бланк OLD 0.8 04'!$A$18:$A$200),1,0)),
"Бланк OLD 2.0 04 №"&amp;VLOOKUP(A30+1-COUNT('Шаг2.Бланк заказа NEW'!$B$19:$B$201)-COUNT('Бланк OLD 0.8 04'!$B$18:$B$200),CHOOSE({1,2},'Бланк OLD 2.0 04 '!$B$18:$B$200,'Бланк OLD 2.0 04 '!$A$18:$A$200),1,0)),"")</f>
        <v/>
      </c>
      <c r="C31" s="152" t="str">
        <f ca="1">IFERROR(IFERROR(IFERROR(VLOOKUP(A30+1,CHOOSE({1,2},'Шаг2.Бланк заказа NEW'!$B$19:$B$201,'Шаг2.Бланк заказа NEW'!$A$19:$A$201),2,0),
VLOOKUP(A30+1-COUNT('Шаг2.Бланк заказа NEW'!$B$19:$B$201),CHOOSE({1,2},'Бланк OLD 0.8 04'!$B$18:$B$200,'Бланк OLD 0.8 04'!$A$18:$A$200),2,0)),
VLOOKUP(A30+1-COUNT('Шаг2.Бланк заказа NEW'!$B$19:$B$201)-COUNT('Бланк OLD 0.8 04'!$B$18:$B$200),CHOOSE({1,2},'Бланк OLD 2.0 04 '!$B$18:$B$200,'Бланк OLD 2.0 04 '!$A$18:$A$200),2,0)),"")</f>
        <v/>
      </c>
      <c r="D31" s="150" t="str">
        <f ca="1">IFERROR(VLOOKUP(C31,'Шаг1.Выбор плиты'!C:G,5,0),"")</f>
        <v/>
      </c>
      <c r="E31" s="147" t="str">
        <f ca="1">IFERROR(IFERROR(IF(VLOOKUP($A31,'Шаг2.Бланк заказа NEW'!$B$17:$N$201,2,0)="","",VLOOKUP($A31,'Шаг2.Бланк заказа NEW'!$B$17:$N$201,2,0)),
IF(VLOOKUP($A31-COUNT('Шаг2.Бланк заказа NEW'!$B$19:$B$201),'Бланк OLD 0.8 04'!$B$12:$K$200,2,0)="","",VLOOKUP($A31-COUNT('Шаг2.Бланк заказа NEW'!$B$19:$B$201),'Бланк OLD 0.8 04'!$B$12:$K$200,2,0))),
IF(VLOOKUP($A31-COUNT('Шаг2.Бланк заказа NEW'!$B$19:$B$201)-COUNT('Бланк OLD 0.8 04'!$B$18:$B$200),'Бланк OLD 2.0 04 '!$B$16:$K$200,2,0)="","",VLOOKUP($A31-COUNT('Шаг2.Бланк заказа NEW'!$B$19:$B$201)-COUNT('Бланк OLD 0.8 04'!$B$18:$B$200),'Бланк OLD 2.0 04 '!$B$16:$K$200,2,0)))</f>
        <v/>
      </c>
      <c r="F31" s="147" t="str">
        <f ca="1">IFERROR(IFERROR(IF(VLOOKUP($A31,'Шаг2.Бланк заказа NEW'!$B$17:$N$201,3,0)="","",VLOOKUP($A31,'Шаг2.Бланк заказа NEW'!$B$17:$N$201,3,0)),
IF(VLOOKUP($A31-COUNT('Шаг2.Бланк заказа NEW'!$B$19:$B$201),'Бланк OLD 0.8 04'!$B$12:$K$200,3,0)="","",VLOOKUP($A31-COUNT('Шаг2.Бланк заказа NEW'!$B$19:$B$201),'Бланк OLD 0.8 04'!$B$12:$K$200,3,0))),
IF(VLOOKUP($A31-COUNT('Шаг2.Бланк заказа NEW'!$B$19:$B$201)-COUNT('Бланк OLD 0.8 04'!$B$18:$B$200),'Бланк OLD 2.0 04 '!$B$16:$K$200,3,0)="","",VLOOKUP($A31-COUNT('Шаг2.Бланк заказа NEW'!$B$19:$B$201)-COUNT('Бланк OLD 0.8 04'!$B$18:$B$200),'Бланк OLD 2.0 04 '!$B$16:$K$200,3,0)))</f>
        <v/>
      </c>
      <c r="G31" s="176" t="str">
        <f ca="1">IF(IF(R31="","",IF(R31=1,SUMIFS('Шаг1.Выбор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плиты'!C:Q,12,0)),1))))))=0,
R31,
IF(R31="","",IF(R31=1,SUMIFS('Шаг1.Выбор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плиты'!N:N,R31,'Шаг1.Выбор плиты'!M:M,SMALL(INDIRECT("мм"&amp;VLOOKUP(C31,'Шаг1.Выбор плиты'!C:Q,12,0)),1)))))))</f>
        <v/>
      </c>
      <c r="H31" s="177" t="str">
        <f ca="1">IF(IF(S31="","",IF(S31=1,SUMIFS('Шаг1.Выбор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плиты'!C:Q,12,0)),1))))))=0,
S31,
IF(S31="","",IF(S31=1,SUMIFS('Шаг1.Выбор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плиты'!N:N,S31,'Шаг1.Выбор плиты'!M:M,SMALL(INDIRECT("мм"&amp;VLOOKUP(C31,'Шаг1.Выбор плиты'!C:Q,12,0)),1)))))))</f>
        <v/>
      </c>
      <c r="I31" s="147" t="str">
        <f ca="1">IFERROR(IFERROR(IF(VLOOKUP($A31,'Шаг2.Бланк заказа NEW'!$B$17:$N$201,6,0)="","",VLOOKUP($A31,'Шаг2.Бланк заказа NEW'!$B$17:$N$201,6,0)),
IF(VLOOKUP($A31-COUNT('Шаг2.Бланк заказа NEW'!$B$19:$B$201),'Бланк OLD 0.8 04'!$B$12:$K$200,6,0)="","",VLOOKUP($A31-COUNT('Шаг2.Бланк заказа NEW'!$B$19:$B$201),'Бланк OLD 0.8 04'!$B$12:$K$200,6,0))),
IF(VLOOKUP($A31-COUNT('Шаг2.Бланк заказа NEW'!$B$19:$B$201)-COUNT('Бланк OLD 0.8 04'!$B$18:$B$200),'Бланк OLD 2.0 04 '!$B$16:$K$200,6,0)="","",VLOOKUP($A31-COUNT('Шаг2.Бланк заказа NEW'!$B$19:$B$201)-COUNT('Бланк OLD 0.8 04'!$B$18:$B$200),'Бланк OLD 2.0 04 '!$B$16:$K$200,6,0)))</f>
        <v/>
      </c>
      <c r="J31" s="177" t="str">
        <f ca="1">IF(IF(T31="","",IF(T31=1,SUMIFS('Шаг1.Выбор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плиты'!C:Q,12,0)),1))))))=0,
T31,
IF(T31="","",IF(T31=1,SUMIFS('Шаг1.Выбор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плиты'!N:N,T31,'Шаг1.Выбор плиты'!M:M,SMALL(INDIRECT("мм"&amp;VLOOKUP(C31,'Шаг1.Выбор плиты'!C:Q,12,0)),1)))))))</f>
        <v/>
      </c>
      <c r="K31" s="177" t="str">
        <f ca="1">IF(IF(U31="","",IF(U31=1,SUMIFS('Шаг1.Выбор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плиты'!C:Q,12,0)),1))))))=0,
U31,
IF(U31="","",IF(U31=1,SUMIFS('Шаг1.Выбор плиты'!$G:$G,'Шаг1.Выбор плиты'!J:J,"*"&amp;RIGHT(VLOOKUP(C31,'Шаг1.Выбор плиты'!C:Q,8,0),4),'Шаг1.Выбор плиты'!L:L,IF(MID(C31,1,6)="ЛДСП P","TM"&amp;MID(VLOOKUP(C31,'Шаг1.Выбор плиты'!C:Q,10,0),3,2),MID(VLOOKUP(C31,'Шаг1.Выбор плиты'!C:Q,10,0),1,2)),
'Шаг1.Выбор плиты'!N:N,1),IF(SUMIFS('Шаг1.Выбор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плиты'!C:Q,12,0)),1))=0,
IF(SUMIFS('Шаг1.Выбор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плиты'!C:Q,12,0)),2))=0,
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плиты'!C:Q,12,0)),3)),
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плиты'!C:Q,12,0)),2))),
(SUMIFS('Шаг1.Выбор плиты'!$G:$G,'Шаг1.Выбор плиты'!J:J,"*"&amp;RIGHT(VLOOKUP(C31,'Шаг1.Выбор плиты'!C:Q,8,0),4),'Шаг1.Выбор плиты'!L:L,VLOOKUP(C31,'Шаг1.Выбор плиты'!C:Q,10,0),'Шаг1.Выбор плиты'!N:N,U31,'Шаг1.Выбор плиты'!M:M,SMALL(INDIRECT("мм"&amp;VLOOKUP(C31,'Шаг1.Выбор плиты'!C:Q,12,0)),1)))))))</f>
        <v/>
      </c>
      <c r="L31" s="147" t="str">
        <f ca="1">IFERROR(IFERROR(IF(VLOOKUP($A31,'Шаг2.Бланк заказа NEW'!$B$17:$N$201,9,0)="","",VLOOKUP($A31,'Шаг2.Бланк заказа NEW'!$B$17:$N$201,9,0)),
IF(VLOOKUP($A31-COUNT('Шаг2.Бланк заказа NEW'!$B$19:$B$201),'Бланк OLD 0.8 04'!$B$12:$K$200,9,0)="","",VLOOKUP($A31-COUNT('Шаг2.Бланк заказа NEW'!$B$19:$B$201),'Бланк OLD 0.8 04'!$B$12:$K$200,9,0))),
IF(VLOOKUP($A31-COUNT('Шаг2.Бланк заказа NEW'!$B$19:$B$201)-COUNT('Бланк OLD 0.8 04'!$B$18:$B$200),'Бланк OLD 2.0 04 '!$B$16:$K$200,9,0)="","",VLOOKUP($A31-COUNT('Шаг2.Бланк заказа NEW'!$B$19:$B$201)-COUNT('Бланк OLD 0.8 04'!$B$18:$B$200),'Бланк OLD 2.0 04 '!$B$16:$K$200,9,0)))</f>
        <v/>
      </c>
      <c r="M31" s="154" t="str">
        <f t="shared" ca="1" si="5"/>
        <v/>
      </c>
      <c r="N31" s="153" t="str">
        <f ca="1">IFERROR(IF(VLOOKUP($A31,'Шаг2.Бланк заказа NEW'!$B$17:$N$201,11,0)="","",VLOOKUP($A31,'Шаг2.Бланк заказа NEW'!$B$17:$N$201,11,0)),
"Нет")</f>
        <v/>
      </c>
      <c r="O31" s="147" t="str">
        <f ca="1">IFERROR(IF(VLOOKUP($A31,'Шаг2.Бланк заказа NEW'!$B$17:$N$201,11,0)="","",VLOOKUP($A31,'Шаг2.Бланк заказа NEW'!$B$17:$N$201,12,0)),
"Нет")</f>
        <v/>
      </c>
      <c r="P31" s="153" t="str">
        <f ca="1">IFERROR(IF(VLOOKUP($A31,'Шаг2.Бланк заказа NEW'!$B$17:$N$201,13,0)="","",VLOOKUP($A31,'Шаг2.Бланк заказа NEW'!$B$17:$N$201,13,0)),
"Нет")</f>
        <v/>
      </c>
      <c r="Q31" s="147" t="str">
        <f ca="1">IFERROR(IF(VLOOKUP($A31,'Шаг2.Бланк заказа NEW'!$B$17:$O$201,14,0)="","",VLOOKUP($A31,'Шаг2.Бланк заказа NEW'!$B$17:$O$201,14,0)),"")</f>
        <v/>
      </c>
      <c r="R31" s="147" t="str">
        <f ca="1">IFERROR(IFERROR(IF(VLOOKUP($A31,'Шаг2.Бланк заказа NEW'!$B$17:$N$201,4,0)="","",VLOOKUP($A31,'Шаг2.Бланк заказа NEW'!$B$17:$N$201,4,0)),
IF(VLOOKUP($A31-COUNT('Шаг2.Бланк заказа NEW'!$B$19:$B$201),'Бланк OLD 0.8 04'!$B$12:$K$200,4,0)&gt;0,0.8,
IF(VLOOKUP($A31-COUNT('Шаг2.Бланк заказа NEW'!$B$19:$B$201),'Бланк OLD 0.8 04'!$B$12:$K$200,5,0)&gt;0,0.4,""))),
IF(VLOOKUP($A31-COUNT('Шаг2.Бланк заказа NEW'!$B$19:$B$201)-COUNT('Бланк OLD 0.8 04'!$B$18:$B$200),'Бланк OLD 2.0 04 '!$B$16:$K$200,4,0)&gt;0,2,IF(VLOOKUP($A31-COUNT('Шаг2.Бланк заказа NEW'!$B$19:$B$201)-COUNT('Бланк OLD 0.8 04'!$B$18:$B$200),'Бланк OLD 2.0 04 '!$B$16:$K$200,5,0)&gt;0,0.4,"")))</f>
        <v/>
      </c>
      <c r="S31" s="147" t="str">
        <f ca="1">IFERROR(IFERROR(IF(VLOOKUP($A31,'Шаг2.Бланк заказа NEW'!$B$17:$N$201,5,0)="","",VLOOKUP($A31,'Шаг2.Бланк заказа NEW'!$B$17:$N$201,5,0)),
IF(VLOOKUP($A31-COUNT('Шаг2.Бланк заказа NEW'!$B$19:$B$201),'Бланк OLD 0.8 04'!$B$12:$K$200,4,0)&gt;1,0.8,
IF(VLOOKUP($A31-COUNT('Шаг2.Бланк заказа NEW'!$B$19:$B$201),'Бланк OLD 0.8 04'!$B$12:$K$200,5,0)&gt;1,0.4,
IF(AND(VLOOKUP($A31-COUNT('Шаг2.Бланк заказа NEW'!$B$19:$B$201),'Бланк OLD 0.8 04'!$B$12:$K$200,4,0)&gt;0,VLOOKUP($A31-COUNT('Шаг2.Бланк заказа NEW'!$B$19:$B$201),'Бланк OLD 0.8 04'!$B$12:$K$200,5,0)&gt;0),0.4,"")))),
IF(VLOOKUP($A31-COUNT('Шаг2.Бланк заказа NEW'!$B$19:$B$201)-COUNT('Бланк OLD 0.8 04'!$B$18:$B$200),'Бланк OLD 2.0 04 '!$B$16:$K$200,4,0)&gt;1,2,
IF(VLOOKUP($A31-COUNT('Шаг2.Бланк заказа NEW'!$B$19:$B$201)-COUNT('Бланк OLD 0.8 04'!$B$18:$B$200),'Бланк OLD 2.0 04 '!$B$16:$K$200,5,0)&gt;1,0.4,IF(AND(VLOOKUP($A31-COUNT('Шаг2.Бланк заказа NEW'!$B$19:$B$201)-COUNT('Бланк OLD 0.8 04'!$B$18:$B$200),'Бланк OLD 2.0 04 '!$B$16:$K$200,4,0)&gt;0,VLOOKUP($A31-COUNT('Шаг2.Бланк заказа NEW'!$B$19:$B$201)-COUNT('Бланк OLD 0.8 04'!$B$18:$B$200),'Бланк OLD 2.0 04 '!$B$16:$K$200,5,0)&gt;0),0.4,""))))</f>
        <v/>
      </c>
      <c r="T31" s="147" t="str">
        <f ca="1">IFERROR(IFERROR(IF(VLOOKUP($A31,'Шаг2.Бланк заказа NEW'!$B$17:$N$201,7,0)="","",VLOOKUP($A31,'Шаг2.Бланк заказа NEW'!$B$17:$N$201,7,0)),
IF(VLOOKUP($A31-COUNT('Шаг2.Бланк заказа NEW'!$B$19:$B$201),'Бланк OLD 0.8 04'!$B$12:$K$200,7,0)&gt;0,0.8,
IF(VLOOKUP($A31-COUNT('Шаг2.Бланк заказа NEW'!$B$19:$B$201),'Бланк OLD 0.8 04'!$B$12:$K$200,8,0)&gt;0,0.4,""))),
IF(VLOOKUP($A31-COUNT('Шаг2.Бланк заказа NEW'!$B$19:$B$201)-COUNT('Бланк OLD 0.8 04'!$B$18:$B$200),'Бланк OLD 2.0 04 '!$B$16:$K$200,7,0)&gt;0,2,IF(VLOOKUP($A31-COUNT('Шаг2.Бланк заказа NEW'!$B$19:$B$201)-COUNT('Бланк OLD 0.8 04'!$B$18:$B$200),'Бланк OLD 2.0 04 '!$B$16:$K$200,8,0)&gt;0,0.4,"")))</f>
        <v/>
      </c>
      <c r="U31" s="147" t="str">
        <f ca="1">IFERROR(IFERROR(IF(VLOOKUP($A31,'Шаг2.Бланк заказа NEW'!$B$17:$N$201,8,0)="","",VLOOKUP($A31,'Шаг2.Бланк заказа NEW'!$B$17:$N$201,8,0)),
IF(VLOOKUP($A31-COUNT('Шаг2.Бланк заказа NEW'!$B$19:$B$201),'Бланк OLD 0.8 04'!$B$12:$K$200,7,0)&gt;1,0.8,
IF(VLOOKUP($A31-COUNT('Шаг2.Бланк заказа NEW'!$B$19:$B$201),'Бланк OLD 0.8 04'!$B$12:$K$200,8,0)&gt;1,0.4,
IF(AND(VLOOKUP($A31-COUNT('Шаг2.Бланк заказа NEW'!$B$19:$B$201),'Бланк OLD 0.8 04'!$B$12:$K$200,7,0)&gt;0,VLOOKUP($A31-COUNT('Шаг2.Бланк заказа NEW'!$B$19:$B$201),'Бланк OLD 0.8 04'!$B$12:$K$200,8,0)&gt;0),0.4,"")))),
IF(VLOOKUP($A31-COUNT('Шаг2.Бланк заказа NEW'!$B$19:$B$201)-COUNT('Бланк OLD 0.8 04'!$B$18:$B$200),'Бланк OLD 2.0 04 '!$B$16:$K$200,7,0)&gt;1,2,
IF(VLOOKUP($A31-COUNT('Шаг2.Бланк заказа NEW'!$B$19:$B$201)-COUNT('Бланк OLD 0.8 04'!$B$18:$B$200),'Бланк OLD 2.0 04 '!$B$16:$K$200,8,0)&gt;1,0.4,
IF(AND(VLOOKUP($A31-COUNT('Шаг2.Бланк заказа NEW'!$B$19:$B$201)-COUNT('Бланк OLD 0.8 04'!$B$18:$B$200),'Бланк OLD 2.0 04 '!$B$16:$K$200,7,0)&gt;0,VLOOKUP($A31-COUNT('Шаг2.Бланк заказа NEW'!$B$19:$B$201)-COUNT('Бланк OLD 0.8 04'!$B$18:$B$200),'Бланк OLD 2.0 04 '!$B$16:$K$200,8,0)&gt;0),0.4,""))))</f>
        <v/>
      </c>
      <c r="V31" s="146" t="str">
        <f ca="1">IFERROR(VLOOKUP(C31,'Шаг1.Выбор плиты'!C:S,12,0),"")</f>
        <v/>
      </c>
      <c r="W31" s="146" t="str">
        <f ca="1">IFERROR(VLOOKUP(C31,'Шаг1.Выбор плиты'!C:S,8,0),"")</f>
        <v/>
      </c>
      <c r="X31" s="146" t="str">
        <f ca="1">IFERROR(VLOOKUP(C31,'Шаг1.Выбор плиты'!C:S,10,0),"")</f>
        <v/>
      </c>
      <c r="Y31" s="147" t="str">
        <f t="shared" ca="1" si="1"/>
        <v/>
      </c>
      <c r="AD31" s="147" t="str">
        <f t="shared" ca="1" si="6"/>
        <v/>
      </c>
      <c r="AE31" s="147" t="str">
        <f t="shared" ca="1" si="3"/>
        <v/>
      </c>
      <c r="AF31" s="25"/>
      <c r="AH31" s="147" t="str">
        <f ca="1">IF(C31="","",VLOOKUP(C31,'Шаг1.Выбор плиты'!C:Q,7,0))</f>
        <v/>
      </c>
      <c r="AI31" s="147" t="str">
        <f t="shared" ca="1" si="7"/>
        <v/>
      </c>
    </row>
    <row r="32" spans="1:35" x14ac:dyDescent="0.2">
      <c r="A32" s="151" t="str">
        <f ca="1">IF(C32="","",MAX($A$1:OFFSET(C32,-1,0))+1)</f>
        <v/>
      </c>
      <c r="B32" s="151" t="str">
        <f ca="1">IFERROR(IFERROR(IFERROR("Шаг2.Бланк заказа NEW №"&amp;VLOOKUP(A31+1,CHOOSE({1,2},'Шаг2.Бланк заказа NEW'!$B$19:$B$201,'Шаг2.Бланк заказа NEW'!$A$19:$A$201),1,0),
"Бланк OLD 0.8 04 №"&amp;VLOOKUP(A31+1-COUNT('Шаг2.Бланк заказа NEW'!$B$19:$B$201),CHOOSE({1,2},'Бланк OLD 0.8 04'!$B$18:$B$200,'Бланк OLD 0.8 04'!$A$18:$A$200),1,0)),
"Бланк OLD 2.0 04 №"&amp;VLOOKUP(A31+1-COUNT('Шаг2.Бланк заказа NEW'!$B$19:$B$201)-COUNT('Бланк OLD 0.8 04'!$B$18:$B$200),CHOOSE({1,2},'Бланк OLD 2.0 04 '!$B$18:$B$200,'Бланк OLD 2.0 04 '!$A$18:$A$200),1,0)),"")</f>
        <v/>
      </c>
      <c r="C32" s="152" t="str">
        <f ca="1">IFERROR(IFERROR(IFERROR(VLOOKUP(A31+1,CHOOSE({1,2},'Шаг2.Бланк заказа NEW'!$B$19:$B$201,'Шаг2.Бланк заказа NEW'!$A$19:$A$201),2,0),
VLOOKUP(A31+1-COUNT('Шаг2.Бланк заказа NEW'!$B$19:$B$201),CHOOSE({1,2},'Бланк OLD 0.8 04'!$B$18:$B$200,'Бланк OLD 0.8 04'!$A$18:$A$200),2,0)),
VLOOKUP(A31+1-COUNT('Шаг2.Бланк заказа NEW'!$B$19:$B$201)-COUNT('Бланк OLD 0.8 04'!$B$18:$B$200),CHOOSE({1,2},'Бланк OLD 2.0 04 '!$B$18:$B$200,'Бланк OLD 2.0 04 '!$A$18:$A$200),2,0)),"")</f>
        <v/>
      </c>
      <c r="D32" s="150" t="str">
        <f ca="1">IFERROR(VLOOKUP(C32,'Шаг1.Выбор плиты'!C:G,5,0),"")</f>
        <v/>
      </c>
      <c r="E32" s="147" t="str">
        <f ca="1">IFERROR(IFERROR(IF(VLOOKUP($A32,'Шаг2.Бланк заказа NEW'!$B$17:$N$201,2,0)="","",VLOOKUP($A32,'Шаг2.Бланк заказа NEW'!$B$17:$N$201,2,0)),
IF(VLOOKUP($A32-COUNT('Шаг2.Бланк заказа NEW'!$B$19:$B$201),'Бланк OLD 0.8 04'!$B$12:$K$200,2,0)="","",VLOOKUP($A32-COUNT('Шаг2.Бланк заказа NEW'!$B$19:$B$201),'Бланк OLD 0.8 04'!$B$12:$K$200,2,0))),
IF(VLOOKUP($A32-COUNT('Шаг2.Бланк заказа NEW'!$B$19:$B$201)-COUNT('Бланк OLD 0.8 04'!$B$18:$B$200),'Бланк OLD 2.0 04 '!$B$16:$K$200,2,0)="","",VLOOKUP($A32-COUNT('Шаг2.Бланк заказа NEW'!$B$19:$B$201)-COUNT('Бланк OLD 0.8 04'!$B$18:$B$200),'Бланк OLD 2.0 04 '!$B$16:$K$200,2,0)))</f>
        <v/>
      </c>
      <c r="F32" s="147" t="str">
        <f ca="1">IFERROR(IFERROR(IF(VLOOKUP($A32,'Шаг2.Бланк заказа NEW'!$B$17:$N$201,3,0)="","",VLOOKUP($A32,'Шаг2.Бланк заказа NEW'!$B$17:$N$201,3,0)),
IF(VLOOKUP($A32-COUNT('Шаг2.Бланк заказа NEW'!$B$19:$B$201),'Бланк OLD 0.8 04'!$B$12:$K$200,3,0)="","",VLOOKUP($A32-COUNT('Шаг2.Бланк заказа NEW'!$B$19:$B$201),'Бланк OLD 0.8 04'!$B$12:$K$200,3,0))),
IF(VLOOKUP($A32-COUNT('Шаг2.Бланк заказа NEW'!$B$19:$B$201)-COUNT('Бланк OLD 0.8 04'!$B$18:$B$200),'Бланк OLD 2.0 04 '!$B$16:$K$200,3,0)="","",VLOOKUP($A32-COUNT('Шаг2.Бланк заказа NEW'!$B$19:$B$201)-COUNT('Бланк OLD 0.8 04'!$B$18:$B$200),'Бланк OLD 2.0 04 '!$B$16:$K$200,3,0)))</f>
        <v/>
      </c>
      <c r="G32" s="176" t="str">
        <f ca="1">IF(IF(R32="","",IF(R32=1,SUMIFS('Шаг1.Выбор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плиты'!C:Q,12,0)),1))))))=0,
R32,
IF(R32="","",IF(R32=1,SUMIFS('Шаг1.Выбор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плиты'!N:N,R32,'Шаг1.Выбор плиты'!M:M,SMALL(INDIRECT("мм"&amp;VLOOKUP(C32,'Шаг1.Выбор плиты'!C:Q,12,0)),1)))))))</f>
        <v/>
      </c>
      <c r="H32" s="177" t="str">
        <f ca="1">IF(IF(S32="","",IF(S32=1,SUMIFS('Шаг1.Выбор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плиты'!C:Q,12,0)),1))))))=0,
S32,
IF(S32="","",IF(S32=1,SUMIFS('Шаг1.Выбор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плиты'!N:N,S32,'Шаг1.Выбор плиты'!M:M,SMALL(INDIRECT("мм"&amp;VLOOKUP(C32,'Шаг1.Выбор плиты'!C:Q,12,0)),1)))))))</f>
        <v/>
      </c>
      <c r="I32" s="147" t="str">
        <f ca="1">IFERROR(IFERROR(IF(VLOOKUP($A32,'Шаг2.Бланк заказа NEW'!$B$17:$N$201,6,0)="","",VLOOKUP($A32,'Шаг2.Бланк заказа NEW'!$B$17:$N$201,6,0)),
IF(VLOOKUP($A32-COUNT('Шаг2.Бланк заказа NEW'!$B$19:$B$201),'Бланк OLD 0.8 04'!$B$12:$K$200,6,0)="","",VLOOKUP($A32-COUNT('Шаг2.Бланк заказа NEW'!$B$19:$B$201),'Бланк OLD 0.8 04'!$B$12:$K$200,6,0))),
IF(VLOOKUP($A32-COUNT('Шаг2.Бланк заказа NEW'!$B$19:$B$201)-COUNT('Бланк OLD 0.8 04'!$B$18:$B$200),'Бланк OLD 2.0 04 '!$B$16:$K$200,6,0)="","",VLOOKUP($A32-COUNT('Шаг2.Бланк заказа NEW'!$B$19:$B$201)-COUNT('Бланк OLD 0.8 04'!$B$18:$B$200),'Бланк OLD 2.0 04 '!$B$16:$K$200,6,0)))</f>
        <v/>
      </c>
      <c r="J32" s="177" t="str">
        <f ca="1">IF(IF(T32="","",IF(T32=1,SUMIFS('Шаг1.Выбор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плиты'!C:Q,12,0)),1))))))=0,
T32,
IF(T32="","",IF(T32=1,SUMIFS('Шаг1.Выбор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плиты'!N:N,T32,'Шаг1.Выбор плиты'!M:M,SMALL(INDIRECT("мм"&amp;VLOOKUP(C32,'Шаг1.Выбор плиты'!C:Q,12,0)),1)))))))</f>
        <v/>
      </c>
      <c r="K32" s="177" t="str">
        <f ca="1">IF(IF(U32="","",IF(U32=1,SUMIFS('Шаг1.Выбор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плиты'!C:Q,12,0)),1))))))=0,
U32,
IF(U32="","",IF(U32=1,SUMIFS('Шаг1.Выбор плиты'!$G:$G,'Шаг1.Выбор плиты'!J:J,"*"&amp;RIGHT(VLOOKUP(C32,'Шаг1.Выбор плиты'!C:Q,8,0),4),'Шаг1.Выбор плиты'!L:L,IF(MID(C32,1,6)="ЛДСП P","TM"&amp;MID(VLOOKUP(C32,'Шаг1.Выбор плиты'!C:Q,10,0),3,2),MID(VLOOKUP(C32,'Шаг1.Выбор плиты'!C:Q,10,0),1,2)),
'Шаг1.Выбор плиты'!N:N,1),IF(SUMIFS('Шаг1.Выбор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плиты'!C:Q,12,0)),1))=0,
IF(SUMIFS('Шаг1.Выбор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плиты'!C:Q,12,0)),2))=0,
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плиты'!C:Q,12,0)),3)),
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плиты'!C:Q,12,0)),2))),
(SUMIFS('Шаг1.Выбор плиты'!$G:$G,'Шаг1.Выбор плиты'!J:J,"*"&amp;RIGHT(VLOOKUP(C32,'Шаг1.Выбор плиты'!C:Q,8,0),4),'Шаг1.Выбор плиты'!L:L,VLOOKUP(C32,'Шаг1.Выбор плиты'!C:Q,10,0),'Шаг1.Выбор плиты'!N:N,U32,'Шаг1.Выбор плиты'!M:M,SMALL(INDIRECT("мм"&amp;VLOOKUP(C32,'Шаг1.Выбор плиты'!C:Q,12,0)),1)))))))</f>
        <v/>
      </c>
      <c r="L32" s="147" t="str">
        <f ca="1">IFERROR(IFERROR(IF(VLOOKUP($A32,'Шаг2.Бланк заказа NEW'!$B$17:$N$201,9,0)="","",VLOOKUP($A32,'Шаг2.Бланк заказа NEW'!$B$17:$N$201,9,0)),
IF(VLOOKUP($A32-COUNT('Шаг2.Бланк заказа NEW'!$B$19:$B$201),'Бланк OLD 0.8 04'!$B$12:$K$200,9,0)="","",VLOOKUP($A32-COUNT('Шаг2.Бланк заказа NEW'!$B$19:$B$201),'Бланк OLD 0.8 04'!$B$12:$K$200,9,0))),
IF(VLOOKUP($A32-COUNT('Шаг2.Бланк заказа NEW'!$B$19:$B$201)-COUNT('Бланк OLD 0.8 04'!$B$18:$B$200),'Бланк OLD 2.0 04 '!$B$16:$K$200,9,0)="","",VLOOKUP($A32-COUNT('Шаг2.Бланк заказа NEW'!$B$19:$B$201)-COUNT('Бланк OLD 0.8 04'!$B$18:$B$200),'Бланк OLD 2.0 04 '!$B$16:$K$200,9,0)))</f>
        <v/>
      </c>
      <c r="M32" s="154" t="str">
        <f t="shared" ca="1" si="5"/>
        <v/>
      </c>
      <c r="N32" s="153" t="str">
        <f ca="1">IFERROR(IF(VLOOKUP($A32,'Шаг2.Бланк заказа NEW'!$B$17:$N$201,11,0)="","",VLOOKUP($A32,'Шаг2.Бланк заказа NEW'!$B$17:$N$201,11,0)),
"Нет")</f>
        <v/>
      </c>
      <c r="O32" s="147" t="str">
        <f ca="1">IFERROR(IF(VLOOKUP($A32,'Шаг2.Бланк заказа NEW'!$B$17:$N$201,11,0)="","",VLOOKUP($A32,'Шаг2.Бланк заказа NEW'!$B$17:$N$201,12,0)),
"Нет")</f>
        <v/>
      </c>
      <c r="P32" s="153" t="str">
        <f ca="1">IFERROR(IF(VLOOKUP($A32,'Шаг2.Бланк заказа NEW'!$B$17:$N$201,13,0)="","",VLOOKUP($A32,'Шаг2.Бланк заказа NEW'!$B$17:$N$201,13,0)),
"Нет")</f>
        <v/>
      </c>
      <c r="Q32" s="147" t="str">
        <f ca="1">IFERROR(IF(VLOOKUP($A32,'Шаг2.Бланк заказа NEW'!$B$17:$O$201,14,0)="","",VLOOKUP($A32,'Шаг2.Бланк заказа NEW'!$B$17:$O$201,14,0)),"")</f>
        <v/>
      </c>
      <c r="R32" s="147" t="str">
        <f ca="1">IFERROR(IFERROR(IF(VLOOKUP($A32,'Шаг2.Бланк заказа NEW'!$B$17:$N$201,4,0)="","",VLOOKUP($A32,'Шаг2.Бланк заказа NEW'!$B$17:$N$201,4,0)),
IF(VLOOKUP($A32-COUNT('Шаг2.Бланк заказа NEW'!$B$19:$B$201),'Бланк OLD 0.8 04'!$B$12:$K$200,4,0)&gt;0,0.8,
IF(VLOOKUP($A32-COUNT('Шаг2.Бланк заказа NEW'!$B$19:$B$201),'Бланк OLD 0.8 04'!$B$12:$K$200,5,0)&gt;0,0.4,""))),
IF(VLOOKUP($A32-COUNT('Шаг2.Бланк заказа NEW'!$B$19:$B$201)-COUNT('Бланк OLD 0.8 04'!$B$18:$B$200),'Бланк OLD 2.0 04 '!$B$16:$K$200,4,0)&gt;0,2,IF(VLOOKUP($A32-COUNT('Шаг2.Бланк заказа NEW'!$B$19:$B$201)-COUNT('Бланк OLD 0.8 04'!$B$18:$B$200),'Бланк OLD 2.0 04 '!$B$16:$K$200,5,0)&gt;0,0.4,"")))</f>
        <v/>
      </c>
      <c r="S32" s="147" t="str">
        <f ca="1">IFERROR(IFERROR(IF(VLOOKUP($A32,'Шаг2.Бланк заказа NEW'!$B$17:$N$201,5,0)="","",VLOOKUP($A32,'Шаг2.Бланк заказа NEW'!$B$17:$N$201,5,0)),
IF(VLOOKUP($A32-COUNT('Шаг2.Бланк заказа NEW'!$B$19:$B$201),'Бланк OLD 0.8 04'!$B$12:$K$200,4,0)&gt;1,0.8,
IF(VLOOKUP($A32-COUNT('Шаг2.Бланк заказа NEW'!$B$19:$B$201),'Бланк OLD 0.8 04'!$B$12:$K$200,5,0)&gt;1,0.4,
IF(AND(VLOOKUP($A32-COUNT('Шаг2.Бланк заказа NEW'!$B$19:$B$201),'Бланк OLD 0.8 04'!$B$12:$K$200,4,0)&gt;0,VLOOKUP($A32-COUNT('Шаг2.Бланк заказа NEW'!$B$19:$B$201),'Бланк OLD 0.8 04'!$B$12:$K$200,5,0)&gt;0),0.4,"")))),
IF(VLOOKUP($A32-COUNT('Шаг2.Бланк заказа NEW'!$B$19:$B$201)-COUNT('Бланк OLD 0.8 04'!$B$18:$B$200),'Бланк OLD 2.0 04 '!$B$16:$K$200,4,0)&gt;1,2,
IF(VLOOKUP($A32-COUNT('Шаг2.Бланк заказа NEW'!$B$19:$B$201)-COUNT('Бланк OLD 0.8 04'!$B$18:$B$200),'Бланк OLD 2.0 04 '!$B$16:$K$200,5,0)&gt;1,0.4,IF(AND(VLOOKUP($A32-COUNT('Шаг2.Бланк заказа NEW'!$B$19:$B$201)-COUNT('Бланк OLD 0.8 04'!$B$18:$B$200),'Бланк OLD 2.0 04 '!$B$16:$K$200,4,0)&gt;0,VLOOKUP($A32-COUNT('Шаг2.Бланк заказа NEW'!$B$19:$B$201)-COUNT('Бланк OLD 0.8 04'!$B$18:$B$200),'Бланк OLD 2.0 04 '!$B$16:$K$200,5,0)&gt;0),0.4,""))))</f>
        <v/>
      </c>
      <c r="T32" s="147" t="str">
        <f ca="1">IFERROR(IFERROR(IF(VLOOKUP($A32,'Шаг2.Бланк заказа NEW'!$B$17:$N$201,7,0)="","",VLOOKUP($A32,'Шаг2.Бланк заказа NEW'!$B$17:$N$201,7,0)),
IF(VLOOKUP($A32-COUNT('Шаг2.Бланк заказа NEW'!$B$19:$B$201),'Бланк OLD 0.8 04'!$B$12:$K$200,7,0)&gt;0,0.8,
IF(VLOOKUP($A32-COUNT('Шаг2.Бланк заказа NEW'!$B$19:$B$201),'Бланк OLD 0.8 04'!$B$12:$K$200,8,0)&gt;0,0.4,""))),
IF(VLOOKUP($A32-COUNT('Шаг2.Бланк заказа NEW'!$B$19:$B$201)-COUNT('Бланк OLD 0.8 04'!$B$18:$B$200),'Бланк OLD 2.0 04 '!$B$16:$K$200,7,0)&gt;0,2,IF(VLOOKUP($A32-COUNT('Шаг2.Бланк заказа NEW'!$B$19:$B$201)-COUNT('Бланк OLD 0.8 04'!$B$18:$B$200),'Бланк OLD 2.0 04 '!$B$16:$K$200,8,0)&gt;0,0.4,"")))</f>
        <v/>
      </c>
      <c r="U32" s="147" t="str">
        <f ca="1">IFERROR(IFERROR(IF(VLOOKUP($A32,'Шаг2.Бланк заказа NEW'!$B$17:$N$201,8,0)="","",VLOOKUP($A32,'Шаг2.Бланк заказа NEW'!$B$17:$N$201,8,0)),
IF(VLOOKUP($A32-COUNT('Шаг2.Бланк заказа NEW'!$B$19:$B$201),'Бланк OLD 0.8 04'!$B$12:$K$200,7,0)&gt;1,0.8,
IF(VLOOKUP($A32-COUNT('Шаг2.Бланк заказа NEW'!$B$19:$B$201),'Бланк OLD 0.8 04'!$B$12:$K$200,8,0)&gt;1,0.4,
IF(AND(VLOOKUP($A32-COUNT('Шаг2.Бланк заказа NEW'!$B$19:$B$201),'Бланк OLD 0.8 04'!$B$12:$K$200,7,0)&gt;0,VLOOKUP($A32-COUNT('Шаг2.Бланк заказа NEW'!$B$19:$B$201),'Бланк OLD 0.8 04'!$B$12:$K$200,8,0)&gt;0),0.4,"")))),
IF(VLOOKUP($A32-COUNT('Шаг2.Бланк заказа NEW'!$B$19:$B$201)-COUNT('Бланк OLD 0.8 04'!$B$18:$B$200),'Бланк OLD 2.0 04 '!$B$16:$K$200,7,0)&gt;1,2,
IF(VLOOKUP($A32-COUNT('Шаг2.Бланк заказа NEW'!$B$19:$B$201)-COUNT('Бланк OLD 0.8 04'!$B$18:$B$200),'Бланк OLD 2.0 04 '!$B$16:$K$200,8,0)&gt;1,0.4,
IF(AND(VLOOKUP($A32-COUNT('Шаг2.Бланк заказа NEW'!$B$19:$B$201)-COUNT('Бланк OLD 0.8 04'!$B$18:$B$200),'Бланк OLD 2.0 04 '!$B$16:$K$200,7,0)&gt;0,VLOOKUP($A32-COUNT('Шаг2.Бланк заказа NEW'!$B$19:$B$201)-COUNT('Бланк OLD 0.8 04'!$B$18:$B$200),'Бланк OLD 2.0 04 '!$B$16:$K$200,8,0)&gt;0),0.4,""))))</f>
        <v/>
      </c>
      <c r="V32" s="146" t="str">
        <f ca="1">IFERROR(VLOOKUP(C32,'Шаг1.Выбор плиты'!C:S,12,0),"")</f>
        <v/>
      </c>
      <c r="W32" s="146" t="str">
        <f ca="1">IFERROR(VLOOKUP(C32,'Шаг1.Выбор плиты'!C:S,8,0),"")</f>
        <v/>
      </c>
      <c r="X32" s="146" t="str">
        <f ca="1">IFERROR(VLOOKUP(C32,'Шаг1.Выбор плиты'!C:S,10,0),"")</f>
        <v/>
      </c>
      <c r="Y32" s="147" t="str">
        <f t="shared" ca="1" si="1"/>
        <v/>
      </c>
      <c r="AD32" s="147" t="str">
        <f t="shared" ca="1" si="6"/>
        <v/>
      </c>
      <c r="AE32" s="147" t="str">
        <f t="shared" ca="1" si="3"/>
        <v/>
      </c>
      <c r="AF32" s="25"/>
      <c r="AH32" s="147" t="str">
        <f ca="1">IF(C32="","",VLOOKUP(C32,'Шаг1.Выбор плиты'!C:Q,7,0))</f>
        <v/>
      </c>
      <c r="AI32" s="147" t="str">
        <f t="shared" ca="1" si="7"/>
        <v/>
      </c>
    </row>
    <row r="33" spans="1:35" x14ac:dyDescent="0.2">
      <c r="A33" s="151" t="str">
        <f ca="1">IF(C33="","",MAX($A$1:OFFSET(C33,-1,0))+1)</f>
        <v/>
      </c>
      <c r="B33" s="151" t="str">
        <f ca="1">IFERROR(IFERROR(IFERROR("Шаг2.Бланк заказа NEW №"&amp;VLOOKUP(A32+1,CHOOSE({1,2},'Шаг2.Бланк заказа NEW'!$B$19:$B$201,'Шаг2.Бланк заказа NEW'!$A$19:$A$201),1,0),
"Бланк OLD 0.8 04 №"&amp;VLOOKUP(A32+1-COUNT('Шаг2.Бланк заказа NEW'!$B$19:$B$201),CHOOSE({1,2},'Бланк OLD 0.8 04'!$B$18:$B$200,'Бланк OLD 0.8 04'!$A$18:$A$200),1,0)),
"Бланк OLD 2.0 04 №"&amp;VLOOKUP(A32+1-COUNT('Шаг2.Бланк заказа NEW'!$B$19:$B$201)-COUNT('Бланк OLD 0.8 04'!$B$18:$B$200),CHOOSE({1,2},'Бланк OLD 2.0 04 '!$B$18:$B$200,'Бланк OLD 2.0 04 '!$A$18:$A$200),1,0)),"")</f>
        <v/>
      </c>
      <c r="C33" s="152" t="str">
        <f ca="1">IFERROR(IFERROR(IFERROR(VLOOKUP(A32+1,CHOOSE({1,2},'Шаг2.Бланк заказа NEW'!$B$19:$B$201,'Шаг2.Бланк заказа NEW'!$A$19:$A$201),2,0),
VLOOKUP(A32+1-COUNT('Шаг2.Бланк заказа NEW'!$B$19:$B$201),CHOOSE({1,2},'Бланк OLD 0.8 04'!$B$18:$B$200,'Бланк OLD 0.8 04'!$A$18:$A$200),2,0)),
VLOOKUP(A32+1-COUNT('Шаг2.Бланк заказа NEW'!$B$19:$B$201)-COUNT('Бланк OLD 0.8 04'!$B$18:$B$200),CHOOSE({1,2},'Бланк OLD 2.0 04 '!$B$18:$B$200,'Бланк OLD 2.0 04 '!$A$18:$A$200),2,0)),"")</f>
        <v/>
      </c>
      <c r="D33" s="150" t="str">
        <f ca="1">IFERROR(VLOOKUP(C33,'Шаг1.Выбор плиты'!C:G,5,0),"")</f>
        <v/>
      </c>
      <c r="E33" s="147" t="str">
        <f ca="1">IFERROR(IFERROR(IF(VLOOKUP($A33,'Шаг2.Бланк заказа NEW'!$B$17:$N$201,2,0)="","",VLOOKUP($A33,'Шаг2.Бланк заказа NEW'!$B$17:$N$201,2,0)),
IF(VLOOKUP($A33-COUNT('Шаг2.Бланк заказа NEW'!$B$19:$B$201),'Бланк OLD 0.8 04'!$B$12:$K$200,2,0)="","",VLOOKUP($A33-COUNT('Шаг2.Бланк заказа NEW'!$B$19:$B$201),'Бланк OLD 0.8 04'!$B$12:$K$200,2,0))),
IF(VLOOKUP($A33-COUNT('Шаг2.Бланк заказа NEW'!$B$19:$B$201)-COUNT('Бланк OLD 0.8 04'!$B$18:$B$200),'Бланк OLD 2.0 04 '!$B$16:$K$200,2,0)="","",VLOOKUP($A33-COUNT('Шаг2.Бланк заказа NEW'!$B$19:$B$201)-COUNT('Бланк OLD 0.8 04'!$B$18:$B$200),'Бланк OLD 2.0 04 '!$B$16:$K$200,2,0)))</f>
        <v/>
      </c>
      <c r="F33" s="147" t="str">
        <f ca="1">IFERROR(IFERROR(IF(VLOOKUP($A33,'Шаг2.Бланк заказа NEW'!$B$17:$N$201,3,0)="","",VLOOKUP($A33,'Шаг2.Бланк заказа NEW'!$B$17:$N$201,3,0)),
IF(VLOOKUP($A33-COUNT('Шаг2.Бланк заказа NEW'!$B$19:$B$201),'Бланк OLD 0.8 04'!$B$12:$K$200,3,0)="","",VLOOKUP($A33-COUNT('Шаг2.Бланк заказа NEW'!$B$19:$B$201),'Бланк OLD 0.8 04'!$B$12:$K$200,3,0))),
IF(VLOOKUP($A33-COUNT('Шаг2.Бланк заказа NEW'!$B$19:$B$201)-COUNT('Бланк OLD 0.8 04'!$B$18:$B$200),'Бланк OLD 2.0 04 '!$B$16:$K$200,3,0)="","",VLOOKUP($A33-COUNT('Шаг2.Бланк заказа NEW'!$B$19:$B$201)-COUNT('Бланк OLD 0.8 04'!$B$18:$B$200),'Бланк OLD 2.0 04 '!$B$16:$K$200,3,0)))</f>
        <v/>
      </c>
      <c r="G33" s="176" t="str">
        <f ca="1">IF(IF(R33="","",IF(R33=1,SUMIFS('Шаг1.Выбор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плиты'!C:Q,12,0)),1))))))=0,
R33,
IF(R33="","",IF(R33=1,SUMIFS('Шаг1.Выбор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плиты'!N:N,R33,'Шаг1.Выбор плиты'!M:M,SMALL(INDIRECT("мм"&amp;VLOOKUP(C33,'Шаг1.Выбор плиты'!C:Q,12,0)),1)))))))</f>
        <v/>
      </c>
      <c r="H33" s="177" t="str">
        <f ca="1">IF(IF(S33="","",IF(S33=1,SUMIFS('Шаг1.Выбор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плиты'!C:Q,12,0)),1))))))=0,
S33,
IF(S33="","",IF(S33=1,SUMIFS('Шаг1.Выбор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плиты'!N:N,S33,'Шаг1.Выбор плиты'!M:M,SMALL(INDIRECT("мм"&amp;VLOOKUP(C33,'Шаг1.Выбор плиты'!C:Q,12,0)),1)))))))</f>
        <v/>
      </c>
      <c r="I33" s="147" t="str">
        <f ca="1">IFERROR(IFERROR(IF(VLOOKUP($A33,'Шаг2.Бланк заказа NEW'!$B$17:$N$201,6,0)="","",VLOOKUP($A33,'Шаг2.Бланк заказа NEW'!$B$17:$N$201,6,0)),
IF(VLOOKUP($A33-COUNT('Шаг2.Бланк заказа NEW'!$B$19:$B$201),'Бланк OLD 0.8 04'!$B$12:$K$200,6,0)="","",VLOOKUP($A33-COUNT('Шаг2.Бланк заказа NEW'!$B$19:$B$201),'Бланк OLD 0.8 04'!$B$12:$K$200,6,0))),
IF(VLOOKUP($A33-COUNT('Шаг2.Бланк заказа NEW'!$B$19:$B$201)-COUNT('Бланк OLD 0.8 04'!$B$18:$B$200),'Бланк OLD 2.0 04 '!$B$16:$K$200,6,0)="","",VLOOKUP($A33-COUNT('Шаг2.Бланк заказа NEW'!$B$19:$B$201)-COUNT('Бланк OLD 0.8 04'!$B$18:$B$200),'Бланк OLD 2.0 04 '!$B$16:$K$200,6,0)))</f>
        <v/>
      </c>
      <c r="J33" s="177" t="str">
        <f ca="1">IF(IF(T33="","",IF(T33=1,SUMIFS('Шаг1.Выбор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плиты'!C:Q,12,0)),1))))))=0,
T33,
IF(T33="","",IF(T33=1,SUMIFS('Шаг1.Выбор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плиты'!N:N,T33,'Шаг1.Выбор плиты'!M:M,SMALL(INDIRECT("мм"&amp;VLOOKUP(C33,'Шаг1.Выбор плиты'!C:Q,12,0)),1)))))))</f>
        <v/>
      </c>
      <c r="K33" s="177" t="str">
        <f ca="1">IF(IF(U33="","",IF(U33=1,SUMIFS('Шаг1.Выбор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плиты'!C:Q,12,0)),1))))))=0,
U33,
IF(U33="","",IF(U33=1,SUMIFS('Шаг1.Выбор плиты'!$G:$G,'Шаг1.Выбор плиты'!J:J,"*"&amp;RIGHT(VLOOKUP(C33,'Шаг1.Выбор плиты'!C:Q,8,0),4),'Шаг1.Выбор плиты'!L:L,IF(MID(C33,1,6)="ЛДСП P","TM"&amp;MID(VLOOKUP(C33,'Шаг1.Выбор плиты'!C:Q,10,0),3,2),MID(VLOOKUP(C33,'Шаг1.Выбор плиты'!C:Q,10,0),1,2)),
'Шаг1.Выбор плиты'!N:N,1),IF(SUMIFS('Шаг1.Выбор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плиты'!C:Q,12,0)),1))=0,
IF(SUMIFS('Шаг1.Выбор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плиты'!C:Q,12,0)),2))=0,
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плиты'!C:Q,12,0)),3)),
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плиты'!C:Q,12,0)),2))),
(SUMIFS('Шаг1.Выбор плиты'!$G:$G,'Шаг1.Выбор плиты'!J:J,"*"&amp;RIGHT(VLOOKUP(C33,'Шаг1.Выбор плиты'!C:Q,8,0),4),'Шаг1.Выбор плиты'!L:L,VLOOKUP(C33,'Шаг1.Выбор плиты'!C:Q,10,0),'Шаг1.Выбор плиты'!N:N,U33,'Шаг1.Выбор плиты'!M:M,SMALL(INDIRECT("мм"&amp;VLOOKUP(C33,'Шаг1.Выбор плиты'!C:Q,12,0)),1)))))))</f>
        <v/>
      </c>
      <c r="L33" s="147" t="str">
        <f ca="1">IFERROR(IFERROR(IF(VLOOKUP($A33,'Шаг2.Бланк заказа NEW'!$B$17:$N$201,9,0)="","",VLOOKUP($A33,'Шаг2.Бланк заказа NEW'!$B$17:$N$201,9,0)),
IF(VLOOKUP($A33-COUNT('Шаг2.Бланк заказа NEW'!$B$19:$B$201),'Бланк OLD 0.8 04'!$B$12:$K$200,9,0)="","",VLOOKUP($A33-COUNT('Шаг2.Бланк заказа NEW'!$B$19:$B$201),'Бланк OLD 0.8 04'!$B$12:$K$200,9,0))),
IF(VLOOKUP($A33-COUNT('Шаг2.Бланк заказа NEW'!$B$19:$B$201)-COUNT('Бланк OLD 0.8 04'!$B$18:$B$200),'Бланк OLD 2.0 04 '!$B$16:$K$200,9,0)="","",VLOOKUP($A33-COUNT('Шаг2.Бланк заказа NEW'!$B$19:$B$201)-COUNT('Бланк OLD 0.8 04'!$B$18:$B$200),'Бланк OLD 2.0 04 '!$B$16:$K$200,9,0)))</f>
        <v/>
      </c>
      <c r="M33" s="154" t="str">
        <f t="shared" ca="1" si="5"/>
        <v/>
      </c>
      <c r="N33" s="153" t="str">
        <f ca="1">IFERROR(IF(VLOOKUP($A33,'Шаг2.Бланк заказа NEW'!$B$17:$N$201,11,0)="","",VLOOKUP($A33,'Шаг2.Бланк заказа NEW'!$B$17:$N$201,11,0)),
"Нет")</f>
        <v/>
      </c>
      <c r="O33" s="147" t="str">
        <f ca="1">IFERROR(IF(VLOOKUP($A33,'Шаг2.Бланк заказа NEW'!$B$17:$N$201,11,0)="","",VLOOKUP($A33,'Шаг2.Бланк заказа NEW'!$B$17:$N$201,12,0)),
"Нет")</f>
        <v/>
      </c>
      <c r="P33" s="153" t="str">
        <f ca="1">IFERROR(IF(VLOOKUP($A33,'Шаг2.Бланк заказа NEW'!$B$17:$N$201,13,0)="","",VLOOKUP($A33,'Шаг2.Бланк заказа NEW'!$B$17:$N$201,13,0)),
"Нет")</f>
        <v/>
      </c>
      <c r="Q33" s="147" t="str">
        <f ca="1">IFERROR(IF(VLOOKUP($A33,'Шаг2.Бланк заказа NEW'!$B$17:$O$201,14,0)="","",VLOOKUP($A33,'Шаг2.Бланк заказа NEW'!$B$17:$O$201,14,0)),"")</f>
        <v/>
      </c>
      <c r="R33" s="147" t="str">
        <f ca="1">IFERROR(IFERROR(IF(VLOOKUP($A33,'Шаг2.Бланк заказа NEW'!$B$17:$N$201,4,0)="","",VLOOKUP($A33,'Шаг2.Бланк заказа NEW'!$B$17:$N$201,4,0)),
IF(VLOOKUP($A33-COUNT('Шаг2.Бланк заказа NEW'!$B$19:$B$201),'Бланк OLD 0.8 04'!$B$12:$K$200,4,0)&gt;0,0.8,
IF(VLOOKUP($A33-COUNT('Шаг2.Бланк заказа NEW'!$B$19:$B$201),'Бланк OLD 0.8 04'!$B$12:$K$200,5,0)&gt;0,0.4,""))),
IF(VLOOKUP($A33-COUNT('Шаг2.Бланк заказа NEW'!$B$19:$B$201)-COUNT('Бланк OLD 0.8 04'!$B$18:$B$200),'Бланк OLD 2.0 04 '!$B$16:$K$200,4,0)&gt;0,2,IF(VLOOKUP($A33-COUNT('Шаг2.Бланк заказа NEW'!$B$19:$B$201)-COUNT('Бланк OLD 0.8 04'!$B$18:$B$200),'Бланк OLD 2.0 04 '!$B$16:$K$200,5,0)&gt;0,0.4,"")))</f>
        <v/>
      </c>
      <c r="S33" s="147" t="str">
        <f ca="1">IFERROR(IFERROR(IF(VLOOKUP($A33,'Шаг2.Бланк заказа NEW'!$B$17:$N$201,5,0)="","",VLOOKUP($A33,'Шаг2.Бланк заказа NEW'!$B$17:$N$201,5,0)),
IF(VLOOKUP($A33-COUNT('Шаг2.Бланк заказа NEW'!$B$19:$B$201),'Бланк OLD 0.8 04'!$B$12:$K$200,4,0)&gt;1,0.8,
IF(VLOOKUP($A33-COUNT('Шаг2.Бланк заказа NEW'!$B$19:$B$201),'Бланк OLD 0.8 04'!$B$12:$K$200,5,0)&gt;1,0.4,
IF(AND(VLOOKUP($A33-COUNT('Шаг2.Бланк заказа NEW'!$B$19:$B$201),'Бланк OLD 0.8 04'!$B$12:$K$200,4,0)&gt;0,VLOOKUP($A33-COUNT('Шаг2.Бланк заказа NEW'!$B$19:$B$201),'Бланк OLD 0.8 04'!$B$12:$K$200,5,0)&gt;0),0.4,"")))),
IF(VLOOKUP($A33-COUNT('Шаг2.Бланк заказа NEW'!$B$19:$B$201)-COUNT('Бланк OLD 0.8 04'!$B$18:$B$200),'Бланк OLD 2.0 04 '!$B$16:$K$200,4,0)&gt;1,2,
IF(VLOOKUP($A33-COUNT('Шаг2.Бланк заказа NEW'!$B$19:$B$201)-COUNT('Бланк OLD 0.8 04'!$B$18:$B$200),'Бланк OLD 2.0 04 '!$B$16:$K$200,5,0)&gt;1,0.4,IF(AND(VLOOKUP($A33-COUNT('Шаг2.Бланк заказа NEW'!$B$19:$B$201)-COUNT('Бланк OLD 0.8 04'!$B$18:$B$200),'Бланк OLD 2.0 04 '!$B$16:$K$200,4,0)&gt;0,VLOOKUP($A33-COUNT('Шаг2.Бланк заказа NEW'!$B$19:$B$201)-COUNT('Бланк OLD 0.8 04'!$B$18:$B$200),'Бланк OLD 2.0 04 '!$B$16:$K$200,5,0)&gt;0),0.4,""))))</f>
        <v/>
      </c>
      <c r="T33" s="147" t="str">
        <f ca="1">IFERROR(IFERROR(IF(VLOOKUP($A33,'Шаг2.Бланк заказа NEW'!$B$17:$N$201,7,0)="","",VLOOKUP($A33,'Шаг2.Бланк заказа NEW'!$B$17:$N$201,7,0)),
IF(VLOOKUP($A33-COUNT('Шаг2.Бланк заказа NEW'!$B$19:$B$201),'Бланк OLD 0.8 04'!$B$12:$K$200,7,0)&gt;0,0.8,
IF(VLOOKUP($A33-COUNT('Шаг2.Бланк заказа NEW'!$B$19:$B$201),'Бланк OLD 0.8 04'!$B$12:$K$200,8,0)&gt;0,0.4,""))),
IF(VLOOKUP($A33-COUNT('Шаг2.Бланк заказа NEW'!$B$19:$B$201)-COUNT('Бланк OLD 0.8 04'!$B$18:$B$200),'Бланк OLD 2.0 04 '!$B$16:$K$200,7,0)&gt;0,2,IF(VLOOKUP($A33-COUNT('Шаг2.Бланк заказа NEW'!$B$19:$B$201)-COUNT('Бланк OLD 0.8 04'!$B$18:$B$200),'Бланк OLD 2.0 04 '!$B$16:$K$200,8,0)&gt;0,0.4,"")))</f>
        <v/>
      </c>
      <c r="U33" s="147" t="str">
        <f ca="1">IFERROR(IFERROR(IF(VLOOKUP($A33,'Шаг2.Бланк заказа NEW'!$B$17:$N$201,8,0)="","",VLOOKUP($A33,'Шаг2.Бланк заказа NEW'!$B$17:$N$201,8,0)),
IF(VLOOKUP($A33-COUNT('Шаг2.Бланк заказа NEW'!$B$19:$B$201),'Бланк OLD 0.8 04'!$B$12:$K$200,7,0)&gt;1,0.8,
IF(VLOOKUP($A33-COUNT('Шаг2.Бланк заказа NEW'!$B$19:$B$201),'Бланк OLD 0.8 04'!$B$12:$K$200,8,0)&gt;1,0.4,
IF(AND(VLOOKUP($A33-COUNT('Шаг2.Бланк заказа NEW'!$B$19:$B$201),'Бланк OLD 0.8 04'!$B$12:$K$200,7,0)&gt;0,VLOOKUP($A33-COUNT('Шаг2.Бланк заказа NEW'!$B$19:$B$201),'Бланк OLD 0.8 04'!$B$12:$K$200,8,0)&gt;0),0.4,"")))),
IF(VLOOKUP($A33-COUNT('Шаг2.Бланк заказа NEW'!$B$19:$B$201)-COUNT('Бланк OLD 0.8 04'!$B$18:$B$200),'Бланк OLD 2.0 04 '!$B$16:$K$200,7,0)&gt;1,2,
IF(VLOOKUP($A33-COUNT('Шаг2.Бланк заказа NEW'!$B$19:$B$201)-COUNT('Бланк OLD 0.8 04'!$B$18:$B$200),'Бланк OLD 2.0 04 '!$B$16:$K$200,8,0)&gt;1,0.4,
IF(AND(VLOOKUP($A33-COUNT('Шаг2.Бланк заказа NEW'!$B$19:$B$201)-COUNT('Бланк OLD 0.8 04'!$B$18:$B$200),'Бланк OLD 2.0 04 '!$B$16:$K$200,7,0)&gt;0,VLOOKUP($A33-COUNT('Шаг2.Бланк заказа NEW'!$B$19:$B$201)-COUNT('Бланк OLD 0.8 04'!$B$18:$B$200),'Бланк OLD 2.0 04 '!$B$16:$K$200,8,0)&gt;0),0.4,""))))</f>
        <v/>
      </c>
      <c r="V33" s="146" t="str">
        <f ca="1">IFERROR(VLOOKUP(C33,'Шаг1.Выбор плиты'!C:S,12,0),"")</f>
        <v/>
      </c>
      <c r="W33" s="146" t="str">
        <f ca="1">IFERROR(VLOOKUP(C33,'Шаг1.Выбор плиты'!C:S,8,0),"")</f>
        <v/>
      </c>
      <c r="X33" s="146" t="str">
        <f ca="1">IFERROR(VLOOKUP(C33,'Шаг1.Выбор плиты'!C:S,10,0),"")</f>
        <v/>
      </c>
      <c r="Y33" s="147" t="str">
        <f t="shared" ca="1" si="1"/>
        <v/>
      </c>
      <c r="AD33" s="147" t="str">
        <f t="shared" ca="1" si="6"/>
        <v/>
      </c>
      <c r="AE33" s="147" t="str">
        <f t="shared" ca="1" si="3"/>
        <v/>
      </c>
      <c r="AF33" s="25"/>
      <c r="AH33" s="147" t="str">
        <f ca="1">IF(C33="","",VLOOKUP(C33,'Шаг1.Выбор плиты'!C:Q,7,0))</f>
        <v/>
      </c>
      <c r="AI33" s="147" t="str">
        <f t="shared" ca="1" si="7"/>
        <v/>
      </c>
    </row>
    <row r="34" spans="1:35" x14ac:dyDescent="0.2">
      <c r="A34" s="151" t="str">
        <f ca="1">IF(C34="","",MAX($A$1:OFFSET(C34,-1,0))+1)</f>
        <v/>
      </c>
      <c r="B34" s="151" t="str">
        <f ca="1">IFERROR(IFERROR(IFERROR("Шаг2.Бланк заказа NEW №"&amp;VLOOKUP(A33+1,CHOOSE({1,2},'Шаг2.Бланк заказа NEW'!$B$19:$B$201,'Шаг2.Бланк заказа NEW'!$A$19:$A$201),1,0),
"Бланк OLD 0.8 04 №"&amp;VLOOKUP(A33+1-COUNT('Шаг2.Бланк заказа NEW'!$B$19:$B$201),CHOOSE({1,2},'Бланк OLD 0.8 04'!$B$18:$B$200,'Бланк OLD 0.8 04'!$A$18:$A$200),1,0)),
"Бланк OLD 2.0 04 №"&amp;VLOOKUP(A33+1-COUNT('Шаг2.Бланк заказа NEW'!$B$19:$B$201)-COUNT('Бланк OLD 0.8 04'!$B$18:$B$200),CHOOSE({1,2},'Бланк OLD 2.0 04 '!$B$18:$B$200,'Бланк OLD 2.0 04 '!$A$18:$A$200),1,0)),"")</f>
        <v/>
      </c>
      <c r="C34" s="152" t="str">
        <f ca="1">IFERROR(IFERROR(IFERROR(VLOOKUP(A33+1,CHOOSE({1,2},'Шаг2.Бланк заказа NEW'!$B$19:$B$201,'Шаг2.Бланк заказа NEW'!$A$19:$A$201),2,0),
VLOOKUP(A33+1-COUNT('Шаг2.Бланк заказа NEW'!$B$19:$B$201),CHOOSE({1,2},'Бланк OLD 0.8 04'!$B$18:$B$200,'Бланк OLD 0.8 04'!$A$18:$A$200),2,0)),
VLOOKUP(A33+1-COUNT('Шаг2.Бланк заказа NEW'!$B$19:$B$201)-COUNT('Бланк OLD 0.8 04'!$B$18:$B$200),CHOOSE({1,2},'Бланк OLD 2.0 04 '!$B$18:$B$200,'Бланк OLD 2.0 04 '!$A$18:$A$200),2,0)),"")</f>
        <v/>
      </c>
      <c r="D34" s="150" t="str">
        <f ca="1">IFERROR(VLOOKUP(C34,'Шаг1.Выбор плиты'!C:G,5,0),"")</f>
        <v/>
      </c>
      <c r="E34" s="147" t="str">
        <f ca="1">IFERROR(IFERROR(IF(VLOOKUP($A34,'Шаг2.Бланк заказа NEW'!$B$17:$N$201,2,0)="","",VLOOKUP($A34,'Шаг2.Бланк заказа NEW'!$B$17:$N$201,2,0)),
IF(VLOOKUP($A34-COUNT('Шаг2.Бланк заказа NEW'!$B$19:$B$201),'Бланк OLD 0.8 04'!$B$12:$K$200,2,0)="","",VLOOKUP($A34-COUNT('Шаг2.Бланк заказа NEW'!$B$19:$B$201),'Бланк OLD 0.8 04'!$B$12:$K$200,2,0))),
IF(VLOOKUP($A34-COUNT('Шаг2.Бланк заказа NEW'!$B$19:$B$201)-COUNT('Бланк OLD 0.8 04'!$B$18:$B$200),'Бланк OLD 2.0 04 '!$B$16:$K$200,2,0)="","",VLOOKUP($A34-COUNT('Шаг2.Бланк заказа NEW'!$B$19:$B$201)-COUNT('Бланк OLD 0.8 04'!$B$18:$B$200),'Бланк OLD 2.0 04 '!$B$16:$K$200,2,0)))</f>
        <v/>
      </c>
      <c r="F34" s="147" t="str">
        <f ca="1">IFERROR(IFERROR(IF(VLOOKUP($A34,'Шаг2.Бланк заказа NEW'!$B$17:$N$201,3,0)="","",VLOOKUP($A34,'Шаг2.Бланк заказа NEW'!$B$17:$N$201,3,0)),
IF(VLOOKUP($A34-COUNT('Шаг2.Бланк заказа NEW'!$B$19:$B$201),'Бланк OLD 0.8 04'!$B$12:$K$200,3,0)="","",VLOOKUP($A34-COUNT('Шаг2.Бланк заказа NEW'!$B$19:$B$201),'Бланк OLD 0.8 04'!$B$12:$K$200,3,0))),
IF(VLOOKUP($A34-COUNT('Шаг2.Бланк заказа NEW'!$B$19:$B$201)-COUNT('Бланк OLD 0.8 04'!$B$18:$B$200),'Бланк OLD 2.0 04 '!$B$16:$K$200,3,0)="","",VLOOKUP($A34-COUNT('Шаг2.Бланк заказа NEW'!$B$19:$B$201)-COUNT('Бланк OLD 0.8 04'!$B$18:$B$200),'Бланк OLD 2.0 04 '!$B$16:$K$200,3,0)))</f>
        <v/>
      </c>
      <c r="G34" s="176" t="str">
        <f ca="1">IF(IF(R34="","",IF(R34=1,SUMIFS('Шаг1.Выбор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плиты'!C:Q,12,0)),1))))))=0,
R34,
IF(R34="","",IF(R34=1,SUMIFS('Шаг1.Выбор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плиты'!N:N,R34,'Шаг1.Выбор плиты'!M:M,SMALL(INDIRECT("мм"&amp;VLOOKUP(C34,'Шаг1.Выбор плиты'!C:Q,12,0)),1)))))))</f>
        <v/>
      </c>
      <c r="H34" s="177" t="str">
        <f ca="1">IF(IF(S34="","",IF(S34=1,SUMIFS('Шаг1.Выбор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плиты'!C:Q,12,0)),1))))))=0,
S34,
IF(S34="","",IF(S34=1,SUMIFS('Шаг1.Выбор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плиты'!N:N,S34,'Шаг1.Выбор плиты'!M:M,SMALL(INDIRECT("мм"&amp;VLOOKUP(C34,'Шаг1.Выбор плиты'!C:Q,12,0)),1)))))))</f>
        <v/>
      </c>
      <c r="I34" s="147" t="str">
        <f ca="1">IFERROR(IFERROR(IF(VLOOKUP($A34,'Шаг2.Бланк заказа NEW'!$B$17:$N$201,6,0)="","",VLOOKUP($A34,'Шаг2.Бланк заказа NEW'!$B$17:$N$201,6,0)),
IF(VLOOKUP($A34-COUNT('Шаг2.Бланк заказа NEW'!$B$19:$B$201),'Бланк OLD 0.8 04'!$B$12:$K$200,6,0)="","",VLOOKUP($A34-COUNT('Шаг2.Бланк заказа NEW'!$B$19:$B$201),'Бланк OLD 0.8 04'!$B$12:$K$200,6,0))),
IF(VLOOKUP($A34-COUNT('Шаг2.Бланк заказа NEW'!$B$19:$B$201)-COUNT('Бланк OLD 0.8 04'!$B$18:$B$200),'Бланк OLD 2.0 04 '!$B$16:$K$200,6,0)="","",VLOOKUP($A34-COUNT('Шаг2.Бланк заказа NEW'!$B$19:$B$201)-COUNT('Бланк OLD 0.8 04'!$B$18:$B$200),'Бланк OLD 2.0 04 '!$B$16:$K$200,6,0)))</f>
        <v/>
      </c>
      <c r="J34" s="177" t="str">
        <f ca="1">IF(IF(T34="","",IF(T34=1,SUMIFS('Шаг1.Выбор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плиты'!C:Q,12,0)),1))))))=0,
T34,
IF(T34="","",IF(T34=1,SUMIFS('Шаг1.Выбор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плиты'!N:N,T34,'Шаг1.Выбор плиты'!M:M,SMALL(INDIRECT("мм"&amp;VLOOKUP(C34,'Шаг1.Выбор плиты'!C:Q,12,0)),1)))))))</f>
        <v/>
      </c>
      <c r="K34" s="177" t="str">
        <f ca="1">IF(IF(U34="","",IF(U34=1,SUMIFS('Шаг1.Выбор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плиты'!C:Q,12,0)),1))))))=0,
U34,
IF(U34="","",IF(U34=1,SUMIFS('Шаг1.Выбор плиты'!$G:$G,'Шаг1.Выбор плиты'!J:J,"*"&amp;RIGHT(VLOOKUP(C34,'Шаг1.Выбор плиты'!C:Q,8,0),4),'Шаг1.Выбор плиты'!L:L,IF(MID(C34,1,6)="ЛДСП P","TM"&amp;MID(VLOOKUP(C34,'Шаг1.Выбор плиты'!C:Q,10,0),3,2),MID(VLOOKUP(C34,'Шаг1.Выбор плиты'!C:Q,10,0),1,2)),
'Шаг1.Выбор плиты'!N:N,1),IF(SUMIFS('Шаг1.Выбор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плиты'!C:Q,12,0)),1))=0,
IF(SUMIFS('Шаг1.Выбор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плиты'!C:Q,12,0)),2))=0,
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плиты'!C:Q,12,0)),3)),
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плиты'!C:Q,12,0)),2))),
(SUMIFS('Шаг1.Выбор плиты'!$G:$G,'Шаг1.Выбор плиты'!J:J,"*"&amp;RIGHT(VLOOKUP(C34,'Шаг1.Выбор плиты'!C:Q,8,0),4),'Шаг1.Выбор плиты'!L:L,VLOOKUP(C34,'Шаг1.Выбор плиты'!C:Q,10,0),'Шаг1.Выбор плиты'!N:N,U34,'Шаг1.Выбор плиты'!M:M,SMALL(INDIRECT("мм"&amp;VLOOKUP(C34,'Шаг1.Выбор плиты'!C:Q,12,0)),1)))))))</f>
        <v/>
      </c>
      <c r="L34" s="147" t="str">
        <f ca="1">IFERROR(IFERROR(IF(VLOOKUP($A34,'Шаг2.Бланк заказа NEW'!$B$17:$N$201,9,0)="","",VLOOKUP($A34,'Шаг2.Бланк заказа NEW'!$B$17:$N$201,9,0)),
IF(VLOOKUP($A34-COUNT('Шаг2.Бланк заказа NEW'!$B$19:$B$201),'Бланк OLD 0.8 04'!$B$12:$K$200,9,0)="","",VLOOKUP($A34-COUNT('Шаг2.Бланк заказа NEW'!$B$19:$B$201),'Бланк OLD 0.8 04'!$B$12:$K$200,9,0))),
IF(VLOOKUP($A34-COUNT('Шаг2.Бланк заказа NEW'!$B$19:$B$201)-COUNT('Бланк OLD 0.8 04'!$B$18:$B$200),'Бланк OLD 2.0 04 '!$B$16:$K$200,9,0)="","",VLOOKUP($A34-COUNT('Шаг2.Бланк заказа NEW'!$B$19:$B$201)-COUNT('Бланк OLD 0.8 04'!$B$18:$B$200),'Бланк OLD 2.0 04 '!$B$16:$K$200,9,0)))</f>
        <v/>
      </c>
      <c r="M34" s="154" t="str">
        <f t="shared" ca="1" si="5"/>
        <v/>
      </c>
      <c r="N34" s="153" t="str">
        <f ca="1">IFERROR(IF(VLOOKUP($A34,'Шаг2.Бланк заказа NEW'!$B$17:$N$201,11,0)="","",VLOOKUP($A34,'Шаг2.Бланк заказа NEW'!$B$17:$N$201,11,0)),
"Нет")</f>
        <v/>
      </c>
      <c r="O34" s="147" t="str">
        <f ca="1">IFERROR(IF(VLOOKUP($A34,'Шаг2.Бланк заказа NEW'!$B$17:$N$201,11,0)="","",VLOOKUP($A34,'Шаг2.Бланк заказа NEW'!$B$17:$N$201,12,0)),
"Нет")</f>
        <v/>
      </c>
      <c r="P34" s="153" t="str">
        <f ca="1">IFERROR(IF(VLOOKUP($A34,'Шаг2.Бланк заказа NEW'!$B$17:$N$201,13,0)="","",VLOOKUP($A34,'Шаг2.Бланк заказа NEW'!$B$17:$N$201,13,0)),
"Нет")</f>
        <v/>
      </c>
      <c r="Q34" s="147" t="str">
        <f ca="1">IFERROR(IF(VLOOKUP($A34,'Шаг2.Бланк заказа NEW'!$B$17:$O$201,14,0)="","",VLOOKUP($A34,'Шаг2.Бланк заказа NEW'!$B$17:$O$201,14,0)),"")</f>
        <v/>
      </c>
      <c r="R34" s="147" t="str">
        <f ca="1">IFERROR(IFERROR(IF(VLOOKUP($A34,'Шаг2.Бланк заказа NEW'!$B$17:$N$201,4,0)="","",VLOOKUP($A34,'Шаг2.Бланк заказа NEW'!$B$17:$N$201,4,0)),
IF(VLOOKUP($A34-COUNT('Шаг2.Бланк заказа NEW'!$B$19:$B$201),'Бланк OLD 0.8 04'!$B$12:$K$200,4,0)&gt;0,0.8,
IF(VLOOKUP($A34-COUNT('Шаг2.Бланк заказа NEW'!$B$19:$B$201),'Бланк OLD 0.8 04'!$B$12:$K$200,5,0)&gt;0,0.4,""))),
IF(VLOOKUP($A34-COUNT('Шаг2.Бланк заказа NEW'!$B$19:$B$201)-COUNT('Бланк OLD 0.8 04'!$B$18:$B$200),'Бланк OLD 2.0 04 '!$B$16:$K$200,4,0)&gt;0,2,IF(VLOOKUP($A34-COUNT('Шаг2.Бланк заказа NEW'!$B$19:$B$201)-COUNT('Бланк OLD 0.8 04'!$B$18:$B$200),'Бланк OLD 2.0 04 '!$B$16:$K$200,5,0)&gt;0,0.4,"")))</f>
        <v/>
      </c>
      <c r="S34" s="147" t="str">
        <f ca="1">IFERROR(IFERROR(IF(VLOOKUP($A34,'Шаг2.Бланк заказа NEW'!$B$17:$N$201,5,0)="","",VLOOKUP($A34,'Шаг2.Бланк заказа NEW'!$B$17:$N$201,5,0)),
IF(VLOOKUP($A34-COUNT('Шаг2.Бланк заказа NEW'!$B$19:$B$201),'Бланк OLD 0.8 04'!$B$12:$K$200,4,0)&gt;1,0.8,
IF(VLOOKUP($A34-COUNT('Шаг2.Бланк заказа NEW'!$B$19:$B$201),'Бланк OLD 0.8 04'!$B$12:$K$200,5,0)&gt;1,0.4,
IF(AND(VLOOKUP($A34-COUNT('Шаг2.Бланк заказа NEW'!$B$19:$B$201),'Бланк OLD 0.8 04'!$B$12:$K$200,4,0)&gt;0,VLOOKUP($A34-COUNT('Шаг2.Бланк заказа NEW'!$B$19:$B$201),'Бланк OLD 0.8 04'!$B$12:$K$200,5,0)&gt;0),0.4,"")))),
IF(VLOOKUP($A34-COUNT('Шаг2.Бланк заказа NEW'!$B$19:$B$201)-COUNT('Бланк OLD 0.8 04'!$B$18:$B$200),'Бланк OLD 2.0 04 '!$B$16:$K$200,4,0)&gt;1,2,
IF(VLOOKUP($A34-COUNT('Шаг2.Бланк заказа NEW'!$B$19:$B$201)-COUNT('Бланк OLD 0.8 04'!$B$18:$B$200),'Бланк OLD 2.0 04 '!$B$16:$K$200,5,0)&gt;1,0.4,IF(AND(VLOOKUP($A34-COUNT('Шаг2.Бланк заказа NEW'!$B$19:$B$201)-COUNT('Бланк OLD 0.8 04'!$B$18:$B$200),'Бланк OLD 2.0 04 '!$B$16:$K$200,4,0)&gt;0,VLOOKUP($A34-COUNT('Шаг2.Бланк заказа NEW'!$B$19:$B$201)-COUNT('Бланк OLD 0.8 04'!$B$18:$B$200),'Бланк OLD 2.0 04 '!$B$16:$K$200,5,0)&gt;0),0.4,""))))</f>
        <v/>
      </c>
      <c r="T34" s="147" t="str">
        <f ca="1">IFERROR(IFERROR(IF(VLOOKUP($A34,'Шаг2.Бланк заказа NEW'!$B$17:$N$201,7,0)="","",VLOOKUP($A34,'Шаг2.Бланк заказа NEW'!$B$17:$N$201,7,0)),
IF(VLOOKUP($A34-COUNT('Шаг2.Бланк заказа NEW'!$B$19:$B$201),'Бланк OLD 0.8 04'!$B$12:$K$200,7,0)&gt;0,0.8,
IF(VLOOKUP($A34-COUNT('Шаг2.Бланк заказа NEW'!$B$19:$B$201),'Бланк OLD 0.8 04'!$B$12:$K$200,8,0)&gt;0,0.4,""))),
IF(VLOOKUP($A34-COUNT('Шаг2.Бланк заказа NEW'!$B$19:$B$201)-COUNT('Бланк OLD 0.8 04'!$B$18:$B$200),'Бланк OLD 2.0 04 '!$B$16:$K$200,7,0)&gt;0,2,IF(VLOOKUP($A34-COUNT('Шаг2.Бланк заказа NEW'!$B$19:$B$201)-COUNT('Бланк OLD 0.8 04'!$B$18:$B$200),'Бланк OLD 2.0 04 '!$B$16:$K$200,8,0)&gt;0,0.4,"")))</f>
        <v/>
      </c>
      <c r="U34" s="147" t="str">
        <f ca="1">IFERROR(IFERROR(IF(VLOOKUP($A34,'Шаг2.Бланк заказа NEW'!$B$17:$N$201,8,0)="","",VLOOKUP($A34,'Шаг2.Бланк заказа NEW'!$B$17:$N$201,8,0)),
IF(VLOOKUP($A34-COUNT('Шаг2.Бланк заказа NEW'!$B$19:$B$201),'Бланк OLD 0.8 04'!$B$12:$K$200,7,0)&gt;1,0.8,
IF(VLOOKUP($A34-COUNT('Шаг2.Бланк заказа NEW'!$B$19:$B$201),'Бланк OLD 0.8 04'!$B$12:$K$200,8,0)&gt;1,0.4,
IF(AND(VLOOKUP($A34-COUNT('Шаг2.Бланк заказа NEW'!$B$19:$B$201),'Бланк OLD 0.8 04'!$B$12:$K$200,7,0)&gt;0,VLOOKUP($A34-COUNT('Шаг2.Бланк заказа NEW'!$B$19:$B$201),'Бланк OLD 0.8 04'!$B$12:$K$200,8,0)&gt;0),0.4,"")))),
IF(VLOOKUP($A34-COUNT('Шаг2.Бланк заказа NEW'!$B$19:$B$201)-COUNT('Бланк OLD 0.8 04'!$B$18:$B$200),'Бланк OLD 2.0 04 '!$B$16:$K$200,7,0)&gt;1,2,
IF(VLOOKUP($A34-COUNT('Шаг2.Бланк заказа NEW'!$B$19:$B$201)-COUNT('Бланк OLD 0.8 04'!$B$18:$B$200),'Бланк OLD 2.0 04 '!$B$16:$K$200,8,0)&gt;1,0.4,
IF(AND(VLOOKUP($A34-COUNT('Шаг2.Бланк заказа NEW'!$B$19:$B$201)-COUNT('Бланк OLD 0.8 04'!$B$18:$B$200),'Бланк OLD 2.0 04 '!$B$16:$K$200,7,0)&gt;0,VLOOKUP($A34-COUNT('Шаг2.Бланк заказа NEW'!$B$19:$B$201)-COUNT('Бланк OLD 0.8 04'!$B$18:$B$200),'Бланк OLD 2.0 04 '!$B$16:$K$200,8,0)&gt;0),0.4,""))))</f>
        <v/>
      </c>
      <c r="V34" s="146" t="str">
        <f ca="1">IFERROR(VLOOKUP(C34,'Шаг1.Выбор плиты'!C:S,12,0),"")</f>
        <v/>
      </c>
      <c r="W34" s="146" t="str">
        <f ca="1">IFERROR(VLOOKUP(C34,'Шаг1.Выбор плиты'!C:S,8,0),"")</f>
        <v/>
      </c>
      <c r="X34" s="146" t="str">
        <f ca="1">IFERROR(VLOOKUP(C34,'Шаг1.Выбор плиты'!C:S,10,0),"")</f>
        <v/>
      </c>
      <c r="Y34" s="147" t="str">
        <f t="shared" ca="1" si="1"/>
        <v/>
      </c>
      <c r="AD34" s="147" t="str">
        <f t="shared" ca="1" si="6"/>
        <v/>
      </c>
      <c r="AE34" s="147" t="str">
        <f t="shared" ca="1" si="3"/>
        <v/>
      </c>
      <c r="AF34" s="25"/>
      <c r="AH34" s="147" t="str">
        <f ca="1">IF(C34="","",VLOOKUP(C34,'Шаг1.Выбор плиты'!C:Q,7,0))</f>
        <v/>
      </c>
      <c r="AI34" s="147" t="str">
        <f t="shared" ca="1" si="7"/>
        <v/>
      </c>
    </row>
    <row r="35" spans="1:35" x14ac:dyDescent="0.2">
      <c r="A35" s="151" t="str">
        <f ca="1">IF(C35="","",MAX($A$1:OFFSET(C35,-1,0))+1)</f>
        <v/>
      </c>
      <c r="B35" s="151" t="str">
        <f ca="1">IFERROR(IFERROR(IFERROR("Шаг2.Бланк заказа NEW №"&amp;VLOOKUP(A34+1,CHOOSE({1,2},'Шаг2.Бланк заказа NEW'!$B$19:$B$201,'Шаг2.Бланк заказа NEW'!$A$19:$A$201),1,0),
"Бланк OLD 0.8 04 №"&amp;VLOOKUP(A34+1-COUNT('Шаг2.Бланк заказа NEW'!$B$19:$B$201),CHOOSE({1,2},'Бланк OLD 0.8 04'!$B$18:$B$200,'Бланк OLD 0.8 04'!$A$18:$A$200),1,0)),
"Бланк OLD 2.0 04 №"&amp;VLOOKUP(A34+1-COUNT('Шаг2.Бланк заказа NEW'!$B$19:$B$201)-COUNT('Бланк OLD 0.8 04'!$B$18:$B$200),CHOOSE({1,2},'Бланк OLD 2.0 04 '!$B$18:$B$200,'Бланк OLD 2.0 04 '!$A$18:$A$200),1,0)),"")</f>
        <v/>
      </c>
      <c r="C35" s="152" t="str">
        <f ca="1">IFERROR(IFERROR(IFERROR(VLOOKUP(A34+1,CHOOSE({1,2},'Шаг2.Бланк заказа NEW'!$B$19:$B$201,'Шаг2.Бланк заказа NEW'!$A$19:$A$201),2,0),
VLOOKUP(A34+1-COUNT('Шаг2.Бланк заказа NEW'!$B$19:$B$201),CHOOSE({1,2},'Бланк OLD 0.8 04'!$B$18:$B$200,'Бланк OLD 0.8 04'!$A$18:$A$200),2,0)),
VLOOKUP(A34+1-COUNT('Шаг2.Бланк заказа NEW'!$B$19:$B$201)-COUNT('Бланк OLD 0.8 04'!$B$18:$B$200),CHOOSE({1,2},'Бланк OLD 2.0 04 '!$B$18:$B$200,'Бланк OLD 2.0 04 '!$A$18:$A$200),2,0)),"")</f>
        <v/>
      </c>
      <c r="D35" s="150" t="str">
        <f ca="1">IFERROR(VLOOKUP(C35,'Шаг1.Выбор плиты'!C:G,5,0),"")</f>
        <v/>
      </c>
      <c r="E35" s="147" t="str">
        <f ca="1">IFERROR(IFERROR(IF(VLOOKUP($A35,'Шаг2.Бланк заказа NEW'!$B$17:$N$201,2,0)="","",VLOOKUP($A35,'Шаг2.Бланк заказа NEW'!$B$17:$N$201,2,0)),
IF(VLOOKUP($A35-COUNT('Шаг2.Бланк заказа NEW'!$B$19:$B$201),'Бланк OLD 0.8 04'!$B$12:$K$200,2,0)="","",VLOOKUP($A35-COUNT('Шаг2.Бланк заказа NEW'!$B$19:$B$201),'Бланк OLD 0.8 04'!$B$12:$K$200,2,0))),
IF(VLOOKUP($A35-COUNT('Шаг2.Бланк заказа NEW'!$B$19:$B$201)-COUNT('Бланк OLD 0.8 04'!$B$18:$B$200),'Бланк OLD 2.0 04 '!$B$16:$K$200,2,0)="","",VLOOKUP($A35-COUNT('Шаг2.Бланк заказа NEW'!$B$19:$B$201)-COUNT('Бланк OLD 0.8 04'!$B$18:$B$200),'Бланк OLD 2.0 04 '!$B$16:$K$200,2,0)))</f>
        <v/>
      </c>
      <c r="F35" s="147" t="str">
        <f ca="1">IFERROR(IFERROR(IF(VLOOKUP($A35,'Шаг2.Бланк заказа NEW'!$B$17:$N$201,3,0)="","",VLOOKUP($A35,'Шаг2.Бланк заказа NEW'!$B$17:$N$201,3,0)),
IF(VLOOKUP($A35-COUNT('Шаг2.Бланк заказа NEW'!$B$19:$B$201),'Бланк OLD 0.8 04'!$B$12:$K$200,3,0)="","",VLOOKUP($A35-COUNT('Шаг2.Бланк заказа NEW'!$B$19:$B$201),'Бланк OLD 0.8 04'!$B$12:$K$200,3,0))),
IF(VLOOKUP($A35-COUNT('Шаг2.Бланк заказа NEW'!$B$19:$B$201)-COUNT('Бланк OLD 0.8 04'!$B$18:$B$200),'Бланк OLD 2.0 04 '!$B$16:$K$200,3,0)="","",VLOOKUP($A35-COUNT('Шаг2.Бланк заказа NEW'!$B$19:$B$201)-COUNT('Бланк OLD 0.8 04'!$B$18:$B$200),'Бланк OLD 2.0 04 '!$B$16:$K$200,3,0)))</f>
        <v/>
      </c>
      <c r="G35" s="176" t="str">
        <f ca="1">IF(IF(R35="","",IF(R35=1,SUMIFS('Шаг1.Выбор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плиты'!C:Q,12,0)),1))))))=0,
R35,
IF(R35="","",IF(R35=1,SUMIFS('Шаг1.Выбор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плиты'!N:N,R35,'Шаг1.Выбор плиты'!M:M,SMALL(INDIRECT("мм"&amp;VLOOKUP(C35,'Шаг1.Выбор плиты'!C:Q,12,0)),1)))))))</f>
        <v/>
      </c>
      <c r="H35" s="177" t="str">
        <f ca="1">IF(IF(S35="","",IF(S35=1,SUMIFS('Шаг1.Выбор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плиты'!C:Q,12,0)),1))))))=0,
S35,
IF(S35="","",IF(S35=1,SUMIFS('Шаг1.Выбор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плиты'!N:N,S35,'Шаг1.Выбор плиты'!M:M,SMALL(INDIRECT("мм"&amp;VLOOKUP(C35,'Шаг1.Выбор плиты'!C:Q,12,0)),1)))))))</f>
        <v/>
      </c>
      <c r="I35" s="147" t="str">
        <f ca="1">IFERROR(IFERROR(IF(VLOOKUP($A35,'Шаг2.Бланк заказа NEW'!$B$17:$N$201,6,0)="","",VLOOKUP($A35,'Шаг2.Бланк заказа NEW'!$B$17:$N$201,6,0)),
IF(VLOOKUP($A35-COUNT('Шаг2.Бланк заказа NEW'!$B$19:$B$201),'Бланк OLD 0.8 04'!$B$12:$K$200,6,0)="","",VLOOKUP($A35-COUNT('Шаг2.Бланк заказа NEW'!$B$19:$B$201),'Бланк OLD 0.8 04'!$B$12:$K$200,6,0))),
IF(VLOOKUP($A35-COUNT('Шаг2.Бланк заказа NEW'!$B$19:$B$201)-COUNT('Бланк OLD 0.8 04'!$B$18:$B$200),'Бланк OLD 2.0 04 '!$B$16:$K$200,6,0)="","",VLOOKUP($A35-COUNT('Шаг2.Бланк заказа NEW'!$B$19:$B$201)-COUNT('Бланк OLD 0.8 04'!$B$18:$B$200),'Бланк OLD 2.0 04 '!$B$16:$K$200,6,0)))</f>
        <v/>
      </c>
      <c r="J35" s="177" t="str">
        <f ca="1">IF(IF(T35="","",IF(T35=1,SUMIFS('Шаг1.Выбор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плиты'!C:Q,12,0)),1))))))=0,
T35,
IF(T35="","",IF(T35=1,SUMIFS('Шаг1.Выбор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плиты'!N:N,T35,'Шаг1.Выбор плиты'!M:M,SMALL(INDIRECT("мм"&amp;VLOOKUP(C35,'Шаг1.Выбор плиты'!C:Q,12,0)),1)))))))</f>
        <v/>
      </c>
      <c r="K35" s="177" t="str">
        <f ca="1">IF(IF(U35="","",IF(U35=1,SUMIFS('Шаг1.Выбор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плиты'!C:Q,12,0)),1))))))=0,
U35,
IF(U35="","",IF(U35=1,SUMIFS('Шаг1.Выбор плиты'!$G:$G,'Шаг1.Выбор плиты'!J:J,"*"&amp;RIGHT(VLOOKUP(C35,'Шаг1.Выбор плиты'!C:Q,8,0),4),'Шаг1.Выбор плиты'!L:L,IF(MID(C35,1,6)="ЛДСП P","TM"&amp;MID(VLOOKUP(C35,'Шаг1.Выбор плиты'!C:Q,10,0),3,2),MID(VLOOKUP(C35,'Шаг1.Выбор плиты'!C:Q,10,0),1,2)),
'Шаг1.Выбор плиты'!N:N,1),IF(SUMIFS('Шаг1.Выбор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плиты'!C:Q,12,0)),1))=0,
IF(SUMIFS('Шаг1.Выбор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плиты'!C:Q,12,0)),2))=0,
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плиты'!C:Q,12,0)),3)),
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плиты'!C:Q,12,0)),2))),
(SUMIFS('Шаг1.Выбор плиты'!$G:$G,'Шаг1.Выбор плиты'!J:J,"*"&amp;RIGHT(VLOOKUP(C35,'Шаг1.Выбор плиты'!C:Q,8,0),4),'Шаг1.Выбор плиты'!L:L,VLOOKUP(C35,'Шаг1.Выбор плиты'!C:Q,10,0),'Шаг1.Выбор плиты'!N:N,U35,'Шаг1.Выбор плиты'!M:M,SMALL(INDIRECT("мм"&amp;VLOOKUP(C35,'Шаг1.Выбор плиты'!C:Q,12,0)),1)))))))</f>
        <v/>
      </c>
      <c r="L35" s="147" t="str">
        <f ca="1">IFERROR(IFERROR(IF(VLOOKUP($A35,'Шаг2.Бланк заказа NEW'!$B$17:$N$201,9,0)="","",VLOOKUP($A35,'Шаг2.Бланк заказа NEW'!$B$17:$N$201,9,0)),
IF(VLOOKUP($A35-COUNT('Шаг2.Бланк заказа NEW'!$B$19:$B$201),'Бланк OLD 0.8 04'!$B$12:$K$200,9,0)="","",VLOOKUP($A35-COUNT('Шаг2.Бланк заказа NEW'!$B$19:$B$201),'Бланк OLD 0.8 04'!$B$12:$K$200,9,0))),
IF(VLOOKUP($A35-COUNT('Шаг2.Бланк заказа NEW'!$B$19:$B$201)-COUNT('Бланк OLD 0.8 04'!$B$18:$B$200),'Бланк OLD 2.0 04 '!$B$16:$K$200,9,0)="","",VLOOKUP($A35-COUNT('Шаг2.Бланк заказа NEW'!$B$19:$B$201)-COUNT('Бланк OLD 0.8 04'!$B$18:$B$200),'Бланк OLD 2.0 04 '!$B$16:$K$200,9,0)))</f>
        <v/>
      </c>
      <c r="M35" s="154" t="str">
        <f t="shared" ca="1" si="5"/>
        <v/>
      </c>
      <c r="N35" s="153" t="str">
        <f ca="1">IFERROR(IF(VLOOKUP($A35,'Шаг2.Бланк заказа NEW'!$B$17:$N$201,11,0)="","",VLOOKUP($A35,'Шаг2.Бланк заказа NEW'!$B$17:$N$201,11,0)),
"Нет")</f>
        <v/>
      </c>
      <c r="O35" s="147" t="str">
        <f ca="1">IFERROR(IF(VLOOKUP($A35,'Шаг2.Бланк заказа NEW'!$B$17:$N$201,11,0)="","",VLOOKUP($A35,'Шаг2.Бланк заказа NEW'!$B$17:$N$201,12,0)),
"Нет")</f>
        <v/>
      </c>
      <c r="P35" s="153" t="str">
        <f ca="1">IFERROR(IF(VLOOKUP($A35,'Шаг2.Бланк заказа NEW'!$B$17:$N$201,13,0)="","",VLOOKUP($A35,'Шаг2.Бланк заказа NEW'!$B$17:$N$201,13,0)),
"Нет")</f>
        <v/>
      </c>
      <c r="Q35" s="147" t="str">
        <f ca="1">IFERROR(IF(VLOOKUP($A35,'Шаг2.Бланк заказа NEW'!$B$17:$O$201,14,0)="","",VLOOKUP($A35,'Шаг2.Бланк заказа NEW'!$B$17:$O$201,14,0)),"")</f>
        <v/>
      </c>
      <c r="R35" s="147" t="str">
        <f ca="1">IFERROR(IFERROR(IF(VLOOKUP($A35,'Шаг2.Бланк заказа NEW'!$B$17:$N$201,4,0)="","",VLOOKUP($A35,'Шаг2.Бланк заказа NEW'!$B$17:$N$201,4,0)),
IF(VLOOKUP($A35-COUNT('Шаг2.Бланк заказа NEW'!$B$19:$B$201),'Бланк OLD 0.8 04'!$B$12:$K$200,4,0)&gt;0,0.8,
IF(VLOOKUP($A35-COUNT('Шаг2.Бланк заказа NEW'!$B$19:$B$201),'Бланк OLD 0.8 04'!$B$12:$K$200,5,0)&gt;0,0.4,""))),
IF(VLOOKUP($A35-COUNT('Шаг2.Бланк заказа NEW'!$B$19:$B$201)-COUNT('Бланк OLD 0.8 04'!$B$18:$B$200),'Бланк OLD 2.0 04 '!$B$16:$K$200,4,0)&gt;0,2,IF(VLOOKUP($A35-COUNT('Шаг2.Бланк заказа NEW'!$B$19:$B$201)-COUNT('Бланк OLD 0.8 04'!$B$18:$B$200),'Бланк OLD 2.0 04 '!$B$16:$K$200,5,0)&gt;0,0.4,"")))</f>
        <v/>
      </c>
      <c r="S35" s="147" t="str">
        <f ca="1">IFERROR(IFERROR(IF(VLOOKUP($A35,'Шаг2.Бланк заказа NEW'!$B$17:$N$201,5,0)="","",VLOOKUP($A35,'Шаг2.Бланк заказа NEW'!$B$17:$N$201,5,0)),
IF(VLOOKUP($A35-COUNT('Шаг2.Бланк заказа NEW'!$B$19:$B$201),'Бланк OLD 0.8 04'!$B$12:$K$200,4,0)&gt;1,0.8,
IF(VLOOKUP($A35-COUNT('Шаг2.Бланк заказа NEW'!$B$19:$B$201),'Бланк OLD 0.8 04'!$B$12:$K$200,5,0)&gt;1,0.4,
IF(AND(VLOOKUP($A35-COUNT('Шаг2.Бланк заказа NEW'!$B$19:$B$201),'Бланк OLD 0.8 04'!$B$12:$K$200,4,0)&gt;0,VLOOKUP($A35-COUNT('Шаг2.Бланк заказа NEW'!$B$19:$B$201),'Бланк OLD 0.8 04'!$B$12:$K$200,5,0)&gt;0),0.4,"")))),
IF(VLOOKUP($A35-COUNT('Шаг2.Бланк заказа NEW'!$B$19:$B$201)-COUNT('Бланк OLD 0.8 04'!$B$18:$B$200),'Бланк OLD 2.0 04 '!$B$16:$K$200,4,0)&gt;1,2,
IF(VLOOKUP($A35-COUNT('Шаг2.Бланк заказа NEW'!$B$19:$B$201)-COUNT('Бланк OLD 0.8 04'!$B$18:$B$200),'Бланк OLD 2.0 04 '!$B$16:$K$200,5,0)&gt;1,0.4,IF(AND(VLOOKUP($A35-COUNT('Шаг2.Бланк заказа NEW'!$B$19:$B$201)-COUNT('Бланк OLD 0.8 04'!$B$18:$B$200),'Бланк OLD 2.0 04 '!$B$16:$K$200,4,0)&gt;0,VLOOKUP($A35-COUNT('Шаг2.Бланк заказа NEW'!$B$19:$B$201)-COUNT('Бланк OLD 0.8 04'!$B$18:$B$200),'Бланк OLD 2.0 04 '!$B$16:$K$200,5,0)&gt;0),0.4,""))))</f>
        <v/>
      </c>
      <c r="T35" s="147" t="str">
        <f ca="1">IFERROR(IFERROR(IF(VLOOKUP($A35,'Шаг2.Бланк заказа NEW'!$B$17:$N$201,7,0)="","",VLOOKUP($A35,'Шаг2.Бланк заказа NEW'!$B$17:$N$201,7,0)),
IF(VLOOKUP($A35-COUNT('Шаг2.Бланк заказа NEW'!$B$19:$B$201),'Бланк OLD 0.8 04'!$B$12:$K$200,7,0)&gt;0,0.8,
IF(VLOOKUP($A35-COUNT('Шаг2.Бланк заказа NEW'!$B$19:$B$201),'Бланк OLD 0.8 04'!$B$12:$K$200,8,0)&gt;0,0.4,""))),
IF(VLOOKUP($A35-COUNT('Шаг2.Бланк заказа NEW'!$B$19:$B$201)-COUNT('Бланк OLD 0.8 04'!$B$18:$B$200),'Бланк OLD 2.0 04 '!$B$16:$K$200,7,0)&gt;0,2,IF(VLOOKUP($A35-COUNT('Шаг2.Бланк заказа NEW'!$B$19:$B$201)-COUNT('Бланк OLD 0.8 04'!$B$18:$B$200),'Бланк OLD 2.0 04 '!$B$16:$K$200,8,0)&gt;0,0.4,"")))</f>
        <v/>
      </c>
      <c r="U35" s="147" t="str">
        <f ca="1">IFERROR(IFERROR(IF(VLOOKUP($A35,'Шаг2.Бланк заказа NEW'!$B$17:$N$201,8,0)="","",VLOOKUP($A35,'Шаг2.Бланк заказа NEW'!$B$17:$N$201,8,0)),
IF(VLOOKUP($A35-COUNT('Шаг2.Бланк заказа NEW'!$B$19:$B$201),'Бланк OLD 0.8 04'!$B$12:$K$200,7,0)&gt;1,0.8,
IF(VLOOKUP($A35-COUNT('Шаг2.Бланк заказа NEW'!$B$19:$B$201),'Бланк OLD 0.8 04'!$B$12:$K$200,8,0)&gt;1,0.4,
IF(AND(VLOOKUP($A35-COUNT('Шаг2.Бланк заказа NEW'!$B$19:$B$201),'Бланк OLD 0.8 04'!$B$12:$K$200,7,0)&gt;0,VLOOKUP($A35-COUNT('Шаг2.Бланк заказа NEW'!$B$19:$B$201),'Бланк OLD 0.8 04'!$B$12:$K$200,8,0)&gt;0),0.4,"")))),
IF(VLOOKUP($A35-COUNT('Шаг2.Бланк заказа NEW'!$B$19:$B$201)-COUNT('Бланк OLD 0.8 04'!$B$18:$B$200),'Бланк OLD 2.0 04 '!$B$16:$K$200,7,0)&gt;1,2,
IF(VLOOKUP($A35-COUNT('Шаг2.Бланк заказа NEW'!$B$19:$B$201)-COUNT('Бланк OLD 0.8 04'!$B$18:$B$200),'Бланк OLD 2.0 04 '!$B$16:$K$200,8,0)&gt;1,0.4,
IF(AND(VLOOKUP($A35-COUNT('Шаг2.Бланк заказа NEW'!$B$19:$B$201)-COUNT('Бланк OLD 0.8 04'!$B$18:$B$200),'Бланк OLD 2.0 04 '!$B$16:$K$200,7,0)&gt;0,VLOOKUP($A35-COUNT('Шаг2.Бланк заказа NEW'!$B$19:$B$201)-COUNT('Бланк OLD 0.8 04'!$B$18:$B$200),'Бланк OLD 2.0 04 '!$B$16:$K$200,8,0)&gt;0),0.4,""))))</f>
        <v/>
      </c>
      <c r="V35" s="146" t="str">
        <f ca="1">IFERROR(VLOOKUP(C35,'Шаг1.Выбор плиты'!C:S,12,0),"")</f>
        <v/>
      </c>
      <c r="W35" s="146" t="str">
        <f ca="1">IFERROR(VLOOKUP(C35,'Шаг1.Выбор плиты'!C:S,8,0),"")</f>
        <v/>
      </c>
      <c r="X35" s="146" t="str">
        <f ca="1">IFERROR(VLOOKUP(C35,'Шаг1.Выбор плиты'!C:S,10,0),"")</f>
        <v/>
      </c>
      <c r="Y35" s="147" t="str">
        <f t="shared" ca="1" si="1"/>
        <v/>
      </c>
      <c r="AD35" s="147" t="str">
        <f t="shared" ca="1" si="6"/>
        <v/>
      </c>
      <c r="AE35" s="147" t="str">
        <f t="shared" ca="1" si="3"/>
        <v/>
      </c>
      <c r="AF35" s="25"/>
      <c r="AH35" s="147" t="str">
        <f ca="1">IF(C35="","",VLOOKUP(C35,'Шаг1.Выбор плиты'!C:Q,7,0))</f>
        <v/>
      </c>
      <c r="AI35" s="147" t="str">
        <f t="shared" ca="1" si="7"/>
        <v/>
      </c>
    </row>
    <row r="36" spans="1:35" x14ac:dyDescent="0.2">
      <c r="A36" s="151" t="str">
        <f ca="1">IF(C36="","",MAX($A$1:OFFSET(C36,-1,0))+1)</f>
        <v/>
      </c>
      <c r="B36" s="151" t="str">
        <f ca="1">IFERROR(IFERROR(IFERROR("Шаг2.Бланк заказа NEW №"&amp;VLOOKUP(A35+1,CHOOSE({1,2},'Шаг2.Бланк заказа NEW'!$B$19:$B$201,'Шаг2.Бланк заказа NEW'!$A$19:$A$201),1,0),
"Бланк OLD 0.8 04 №"&amp;VLOOKUP(A35+1-COUNT('Шаг2.Бланк заказа NEW'!$B$19:$B$201),CHOOSE({1,2},'Бланк OLD 0.8 04'!$B$18:$B$200,'Бланк OLD 0.8 04'!$A$18:$A$200),1,0)),
"Бланк OLD 2.0 04 №"&amp;VLOOKUP(A35+1-COUNT('Шаг2.Бланк заказа NEW'!$B$19:$B$201)-COUNT('Бланк OLD 0.8 04'!$B$18:$B$200),CHOOSE({1,2},'Бланк OLD 2.0 04 '!$B$18:$B$200,'Бланк OLD 2.0 04 '!$A$18:$A$200),1,0)),"")</f>
        <v/>
      </c>
      <c r="C36" s="152" t="str">
        <f ca="1">IFERROR(IFERROR(IFERROR(VLOOKUP(A35+1,CHOOSE({1,2},'Шаг2.Бланк заказа NEW'!$B$19:$B$201,'Шаг2.Бланк заказа NEW'!$A$19:$A$201),2,0),
VLOOKUP(A35+1-COUNT('Шаг2.Бланк заказа NEW'!$B$19:$B$201),CHOOSE({1,2},'Бланк OLD 0.8 04'!$B$18:$B$200,'Бланк OLD 0.8 04'!$A$18:$A$200),2,0)),
VLOOKUP(A35+1-COUNT('Шаг2.Бланк заказа NEW'!$B$19:$B$201)-COUNT('Бланк OLD 0.8 04'!$B$18:$B$200),CHOOSE({1,2},'Бланк OLD 2.0 04 '!$B$18:$B$200,'Бланк OLD 2.0 04 '!$A$18:$A$200),2,0)),"")</f>
        <v/>
      </c>
      <c r="D36" s="150" t="str">
        <f ca="1">IFERROR(VLOOKUP(C36,'Шаг1.Выбор плиты'!C:G,5,0),"")</f>
        <v/>
      </c>
      <c r="E36" s="147" t="str">
        <f ca="1">IFERROR(IFERROR(IF(VLOOKUP($A36,'Шаг2.Бланк заказа NEW'!$B$17:$N$201,2,0)="","",VLOOKUP($A36,'Шаг2.Бланк заказа NEW'!$B$17:$N$201,2,0)),
IF(VLOOKUP($A36-COUNT('Шаг2.Бланк заказа NEW'!$B$19:$B$201),'Бланк OLD 0.8 04'!$B$12:$K$200,2,0)="","",VLOOKUP($A36-COUNT('Шаг2.Бланк заказа NEW'!$B$19:$B$201),'Бланк OLD 0.8 04'!$B$12:$K$200,2,0))),
IF(VLOOKUP($A36-COUNT('Шаг2.Бланк заказа NEW'!$B$19:$B$201)-COUNT('Бланк OLD 0.8 04'!$B$18:$B$200),'Бланк OLD 2.0 04 '!$B$16:$K$200,2,0)="","",VLOOKUP($A36-COUNT('Шаг2.Бланк заказа NEW'!$B$19:$B$201)-COUNT('Бланк OLD 0.8 04'!$B$18:$B$200),'Бланк OLD 2.0 04 '!$B$16:$K$200,2,0)))</f>
        <v/>
      </c>
      <c r="F36" s="147" t="str">
        <f ca="1">IFERROR(IFERROR(IF(VLOOKUP($A36,'Шаг2.Бланк заказа NEW'!$B$17:$N$201,3,0)="","",VLOOKUP($A36,'Шаг2.Бланк заказа NEW'!$B$17:$N$201,3,0)),
IF(VLOOKUP($A36-COUNT('Шаг2.Бланк заказа NEW'!$B$19:$B$201),'Бланк OLD 0.8 04'!$B$12:$K$200,3,0)="","",VLOOKUP($A36-COUNT('Шаг2.Бланк заказа NEW'!$B$19:$B$201),'Бланк OLD 0.8 04'!$B$12:$K$200,3,0))),
IF(VLOOKUP($A36-COUNT('Шаг2.Бланк заказа NEW'!$B$19:$B$201)-COUNT('Бланк OLD 0.8 04'!$B$18:$B$200),'Бланк OLD 2.0 04 '!$B$16:$K$200,3,0)="","",VLOOKUP($A36-COUNT('Шаг2.Бланк заказа NEW'!$B$19:$B$201)-COUNT('Бланк OLD 0.8 04'!$B$18:$B$200),'Бланк OLD 2.0 04 '!$B$16:$K$200,3,0)))</f>
        <v/>
      </c>
      <c r="G36" s="176" t="str">
        <f ca="1">IF(IF(R36="","",IF(R36=1,SUMIFS('Шаг1.Выбор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плиты'!C:Q,12,0)),1))))))=0,
R36,
IF(R36="","",IF(R36=1,SUMIFS('Шаг1.Выбор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плиты'!N:N,R36,'Шаг1.Выбор плиты'!M:M,SMALL(INDIRECT("мм"&amp;VLOOKUP(C36,'Шаг1.Выбор плиты'!C:Q,12,0)),1)))))))</f>
        <v/>
      </c>
      <c r="H36" s="177" t="str">
        <f ca="1">IF(IF(S36="","",IF(S36=1,SUMIFS('Шаг1.Выбор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плиты'!C:Q,12,0)),1))))))=0,
S36,
IF(S36="","",IF(S36=1,SUMIFS('Шаг1.Выбор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плиты'!N:N,S36,'Шаг1.Выбор плиты'!M:M,SMALL(INDIRECT("мм"&amp;VLOOKUP(C36,'Шаг1.Выбор плиты'!C:Q,12,0)),1)))))))</f>
        <v/>
      </c>
      <c r="I36" s="147" t="str">
        <f ca="1">IFERROR(IFERROR(IF(VLOOKUP($A36,'Шаг2.Бланк заказа NEW'!$B$17:$N$201,6,0)="","",VLOOKUP($A36,'Шаг2.Бланк заказа NEW'!$B$17:$N$201,6,0)),
IF(VLOOKUP($A36-COUNT('Шаг2.Бланк заказа NEW'!$B$19:$B$201),'Бланк OLD 0.8 04'!$B$12:$K$200,6,0)="","",VLOOKUP($A36-COUNT('Шаг2.Бланк заказа NEW'!$B$19:$B$201),'Бланк OLD 0.8 04'!$B$12:$K$200,6,0))),
IF(VLOOKUP($A36-COUNT('Шаг2.Бланк заказа NEW'!$B$19:$B$201)-COUNT('Бланк OLD 0.8 04'!$B$18:$B$200),'Бланк OLD 2.0 04 '!$B$16:$K$200,6,0)="","",VLOOKUP($A36-COUNT('Шаг2.Бланк заказа NEW'!$B$19:$B$201)-COUNT('Бланк OLD 0.8 04'!$B$18:$B$200),'Бланк OLD 2.0 04 '!$B$16:$K$200,6,0)))</f>
        <v/>
      </c>
      <c r="J36" s="177" t="str">
        <f ca="1">IF(IF(T36="","",IF(T36=1,SUMIFS('Шаг1.Выбор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плиты'!C:Q,12,0)),1))))))=0,
T36,
IF(T36="","",IF(T36=1,SUMIFS('Шаг1.Выбор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плиты'!N:N,T36,'Шаг1.Выбор плиты'!M:M,SMALL(INDIRECT("мм"&amp;VLOOKUP(C36,'Шаг1.Выбор плиты'!C:Q,12,0)),1)))))))</f>
        <v/>
      </c>
      <c r="K36" s="177" t="str">
        <f ca="1">IF(IF(U36="","",IF(U36=1,SUMIFS('Шаг1.Выбор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плиты'!C:Q,12,0)),1))))))=0,
U36,
IF(U36="","",IF(U36=1,SUMIFS('Шаг1.Выбор плиты'!$G:$G,'Шаг1.Выбор плиты'!J:J,"*"&amp;RIGHT(VLOOKUP(C36,'Шаг1.Выбор плиты'!C:Q,8,0),4),'Шаг1.Выбор плиты'!L:L,IF(MID(C36,1,6)="ЛДСП P","TM"&amp;MID(VLOOKUP(C36,'Шаг1.Выбор плиты'!C:Q,10,0),3,2),MID(VLOOKUP(C36,'Шаг1.Выбор плиты'!C:Q,10,0),1,2)),
'Шаг1.Выбор плиты'!N:N,1),IF(SUMIFS('Шаг1.Выбор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плиты'!C:Q,12,0)),1))=0,
IF(SUMIFS('Шаг1.Выбор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плиты'!C:Q,12,0)),2))=0,
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плиты'!C:Q,12,0)),3)),
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плиты'!C:Q,12,0)),2))),
(SUMIFS('Шаг1.Выбор плиты'!$G:$G,'Шаг1.Выбор плиты'!J:J,"*"&amp;RIGHT(VLOOKUP(C36,'Шаг1.Выбор плиты'!C:Q,8,0),4),'Шаг1.Выбор плиты'!L:L,VLOOKUP(C36,'Шаг1.Выбор плиты'!C:Q,10,0),'Шаг1.Выбор плиты'!N:N,U36,'Шаг1.Выбор плиты'!M:M,SMALL(INDIRECT("мм"&amp;VLOOKUP(C36,'Шаг1.Выбор плиты'!C:Q,12,0)),1)))))))</f>
        <v/>
      </c>
      <c r="L36" s="147" t="str">
        <f ca="1">IFERROR(IFERROR(IF(VLOOKUP($A36,'Шаг2.Бланк заказа NEW'!$B$17:$N$201,9,0)="","",VLOOKUP($A36,'Шаг2.Бланк заказа NEW'!$B$17:$N$201,9,0)),
IF(VLOOKUP($A36-COUNT('Шаг2.Бланк заказа NEW'!$B$19:$B$201),'Бланк OLD 0.8 04'!$B$12:$K$200,9,0)="","",VLOOKUP($A36-COUNT('Шаг2.Бланк заказа NEW'!$B$19:$B$201),'Бланк OLD 0.8 04'!$B$12:$K$200,9,0))),
IF(VLOOKUP($A36-COUNT('Шаг2.Бланк заказа NEW'!$B$19:$B$201)-COUNT('Бланк OLD 0.8 04'!$B$18:$B$200),'Бланк OLD 2.0 04 '!$B$16:$K$200,9,0)="","",VLOOKUP($A36-COUNT('Шаг2.Бланк заказа NEW'!$B$19:$B$201)-COUNT('Бланк OLD 0.8 04'!$B$18:$B$200),'Бланк OLD 2.0 04 '!$B$16:$K$200,9,0)))</f>
        <v/>
      </c>
      <c r="M36" s="154" t="str">
        <f t="shared" ca="1" si="5"/>
        <v/>
      </c>
      <c r="N36" s="153" t="str">
        <f ca="1">IFERROR(IF(VLOOKUP($A36,'Шаг2.Бланк заказа NEW'!$B$17:$N$201,11,0)="","",VLOOKUP($A36,'Шаг2.Бланк заказа NEW'!$B$17:$N$201,11,0)),
"Нет")</f>
        <v/>
      </c>
      <c r="O36" s="147" t="str">
        <f ca="1">IFERROR(IF(VLOOKUP($A36,'Шаг2.Бланк заказа NEW'!$B$17:$N$201,11,0)="","",VLOOKUP($A36,'Шаг2.Бланк заказа NEW'!$B$17:$N$201,12,0)),
"Нет")</f>
        <v/>
      </c>
      <c r="P36" s="153" t="str">
        <f ca="1">IFERROR(IF(VLOOKUP($A36,'Шаг2.Бланк заказа NEW'!$B$17:$N$201,13,0)="","",VLOOKUP($A36,'Шаг2.Бланк заказа NEW'!$B$17:$N$201,13,0)),
"Нет")</f>
        <v/>
      </c>
      <c r="Q36" s="147" t="str">
        <f ca="1">IFERROR(IF(VLOOKUP($A36,'Шаг2.Бланк заказа NEW'!$B$17:$O$201,14,0)="","",VLOOKUP($A36,'Шаг2.Бланк заказа NEW'!$B$17:$O$201,14,0)),"")</f>
        <v/>
      </c>
      <c r="R36" s="147" t="str">
        <f ca="1">IFERROR(IFERROR(IF(VLOOKUP($A36,'Шаг2.Бланк заказа NEW'!$B$17:$N$201,4,0)="","",VLOOKUP($A36,'Шаг2.Бланк заказа NEW'!$B$17:$N$201,4,0)),
IF(VLOOKUP($A36-COUNT('Шаг2.Бланк заказа NEW'!$B$19:$B$201),'Бланк OLD 0.8 04'!$B$12:$K$200,4,0)&gt;0,0.8,
IF(VLOOKUP($A36-COUNT('Шаг2.Бланк заказа NEW'!$B$19:$B$201),'Бланк OLD 0.8 04'!$B$12:$K$200,5,0)&gt;0,0.4,""))),
IF(VLOOKUP($A36-COUNT('Шаг2.Бланк заказа NEW'!$B$19:$B$201)-COUNT('Бланк OLD 0.8 04'!$B$18:$B$200),'Бланк OLD 2.0 04 '!$B$16:$K$200,4,0)&gt;0,2,IF(VLOOKUP($A36-COUNT('Шаг2.Бланк заказа NEW'!$B$19:$B$201)-COUNT('Бланк OLD 0.8 04'!$B$18:$B$200),'Бланк OLD 2.0 04 '!$B$16:$K$200,5,0)&gt;0,0.4,"")))</f>
        <v/>
      </c>
      <c r="S36" s="147" t="str">
        <f ca="1">IFERROR(IFERROR(IF(VLOOKUP($A36,'Шаг2.Бланк заказа NEW'!$B$17:$N$201,5,0)="","",VLOOKUP($A36,'Шаг2.Бланк заказа NEW'!$B$17:$N$201,5,0)),
IF(VLOOKUP($A36-COUNT('Шаг2.Бланк заказа NEW'!$B$19:$B$201),'Бланк OLD 0.8 04'!$B$12:$K$200,4,0)&gt;1,0.8,
IF(VLOOKUP($A36-COUNT('Шаг2.Бланк заказа NEW'!$B$19:$B$201),'Бланк OLD 0.8 04'!$B$12:$K$200,5,0)&gt;1,0.4,
IF(AND(VLOOKUP($A36-COUNT('Шаг2.Бланк заказа NEW'!$B$19:$B$201),'Бланк OLD 0.8 04'!$B$12:$K$200,4,0)&gt;0,VLOOKUP($A36-COUNT('Шаг2.Бланк заказа NEW'!$B$19:$B$201),'Бланк OLD 0.8 04'!$B$12:$K$200,5,0)&gt;0),0.4,"")))),
IF(VLOOKUP($A36-COUNT('Шаг2.Бланк заказа NEW'!$B$19:$B$201)-COUNT('Бланк OLD 0.8 04'!$B$18:$B$200),'Бланк OLD 2.0 04 '!$B$16:$K$200,4,0)&gt;1,2,
IF(VLOOKUP($A36-COUNT('Шаг2.Бланк заказа NEW'!$B$19:$B$201)-COUNT('Бланк OLD 0.8 04'!$B$18:$B$200),'Бланк OLD 2.0 04 '!$B$16:$K$200,5,0)&gt;1,0.4,IF(AND(VLOOKUP($A36-COUNT('Шаг2.Бланк заказа NEW'!$B$19:$B$201)-COUNT('Бланк OLD 0.8 04'!$B$18:$B$200),'Бланк OLD 2.0 04 '!$B$16:$K$200,4,0)&gt;0,VLOOKUP($A36-COUNT('Шаг2.Бланк заказа NEW'!$B$19:$B$201)-COUNT('Бланк OLD 0.8 04'!$B$18:$B$200),'Бланк OLD 2.0 04 '!$B$16:$K$200,5,0)&gt;0),0.4,""))))</f>
        <v/>
      </c>
      <c r="T36" s="147" t="str">
        <f ca="1">IFERROR(IFERROR(IF(VLOOKUP($A36,'Шаг2.Бланк заказа NEW'!$B$17:$N$201,7,0)="","",VLOOKUP($A36,'Шаг2.Бланк заказа NEW'!$B$17:$N$201,7,0)),
IF(VLOOKUP($A36-COUNT('Шаг2.Бланк заказа NEW'!$B$19:$B$201),'Бланк OLD 0.8 04'!$B$12:$K$200,7,0)&gt;0,0.8,
IF(VLOOKUP($A36-COUNT('Шаг2.Бланк заказа NEW'!$B$19:$B$201),'Бланк OLD 0.8 04'!$B$12:$K$200,8,0)&gt;0,0.4,""))),
IF(VLOOKUP($A36-COUNT('Шаг2.Бланк заказа NEW'!$B$19:$B$201)-COUNT('Бланк OLD 0.8 04'!$B$18:$B$200),'Бланк OLD 2.0 04 '!$B$16:$K$200,7,0)&gt;0,2,IF(VLOOKUP($A36-COUNT('Шаг2.Бланк заказа NEW'!$B$19:$B$201)-COUNT('Бланк OLD 0.8 04'!$B$18:$B$200),'Бланк OLD 2.0 04 '!$B$16:$K$200,8,0)&gt;0,0.4,"")))</f>
        <v/>
      </c>
      <c r="U36" s="147" t="str">
        <f ca="1">IFERROR(IFERROR(IF(VLOOKUP($A36,'Шаг2.Бланк заказа NEW'!$B$17:$N$201,8,0)="","",VLOOKUP($A36,'Шаг2.Бланк заказа NEW'!$B$17:$N$201,8,0)),
IF(VLOOKUP($A36-COUNT('Шаг2.Бланк заказа NEW'!$B$19:$B$201),'Бланк OLD 0.8 04'!$B$12:$K$200,7,0)&gt;1,0.8,
IF(VLOOKUP($A36-COUNT('Шаг2.Бланк заказа NEW'!$B$19:$B$201),'Бланк OLD 0.8 04'!$B$12:$K$200,8,0)&gt;1,0.4,
IF(AND(VLOOKUP($A36-COUNT('Шаг2.Бланк заказа NEW'!$B$19:$B$201),'Бланк OLD 0.8 04'!$B$12:$K$200,7,0)&gt;0,VLOOKUP($A36-COUNT('Шаг2.Бланк заказа NEW'!$B$19:$B$201),'Бланк OLD 0.8 04'!$B$12:$K$200,8,0)&gt;0),0.4,"")))),
IF(VLOOKUP($A36-COUNT('Шаг2.Бланк заказа NEW'!$B$19:$B$201)-COUNT('Бланк OLD 0.8 04'!$B$18:$B$200),'Бланк OLD 2.0 04 '!$B$16:$K$200,7,0)&gt;1,2,
IF(VLOOKUP($A36-COUNT('Шаг2.Бланк заказа NEW'!$B$19:$B$201)-COUNT('Бланк OLD 0.8 04'!$B$18:$B$200),'Бланк OLD 2.0 04 '!$B$16:$K$200,8,0)&gt;1,0.4,
IF(AND(VLOOKUP($A36-COUNT('Шаг2.Бланк заказа NEW'!$B$19:$B$201)-COUNT('Бланк OLD 0.8 04'!$B$18:$B$200),'Бланк OLD 2.0 04 '!$B$16:$K$200,7,0)&gt;0,VLOOKUP($A36-COUNT('Шаг2.Бланк заказа NEW'!$B$19:$B$201)-COUNT('Бланк OLD 0.8 04'!$B$18:$B$200),'Бланк OLD 2.0 04 '!$B$16:$K$200,8,0)&gt;0),0.4,""))))</f>
        <v/>
      </c>
      <c r="V36" s="146" t="str">
        <f ca="1">IFERROR(VLOOKUP(C36,'Шаг1.Выбор плиты'!C:S,12,0),"")</f>
        <v/>
      </c>
      <c r="W36" s="146" t="str">
        <f ca="1">IFERROR(VLOOKUP(C36,'Шаг1.Выбор плиты'!C:S,8,0),"")</f>
        <v/>
      </c>
      <c r="X36" s="146" t="str">
        <f ca="1">IFERROR(VLOOKUP(C36,'Шаг1.Выбор плиты'!C:S,10,0),"")</f>
        <v/>
      </c>
      <c r="Y36" s="147" t="str">
        <f t="shared" ca="1" si="1"/>
        <v/>
      </c>
      <c r="AD36" s="147" t="str">
        <f t="shared" ca="1" si="6"/>
        <v/>
      </c>
      <c r="AE36" s="147" t="str">
        <f t="shared" ca="1" si="3"/>
        <v/>
      </c>
      <c r="AF36" s="25"/>
      <c r="AH36" s="147" t="str">
        <f ca="1">IF(C36="","",VLOOKUP(C36,'Шаг1.Выбор плиты'!C:Q,7,0))</f>
        <v/>
      </c>
      <c r="AI36" s="147" t="str">
        <f t="shared" ca="1" si="7"/>
        <v/>
      </c>
    </row>
    <row r="37" spans="1:35" x14ac:dyDescent="0.2">
      <c r="A37" s="151" t="str">
        <f ca="1">IF(C37="","",MAX($A$1:OFFSET(C37,-1,0))+1)</f>
        <v/>
      </c>
      <c r="B37" s="151" t="str">
        <f ca="1">IFERROR(IFERROR(IFERROR("Шаг2.Бланк заказа NEW №"&amp;VLOOKUP(A36+1,CHOOSE({1,2},'Шаг2.Бланк заказа NEW'!$B$19:$B$201,'Шаг2.Бланк заказа NEW'!$A$19:$A$201),1,0),
"Бланк OLD 0.8 04 №"&amp;VLOOKUP(A36+1-COUNT('Шаг2.Бланк заказа NEW'!$B$19:$B$201),CHOOSE({1,2},'Бланк OLD 0.8 04'!$B$18:$B$200,'Бланк OLD 0.8 04'!$A$18:$A$200),1,0)),
"Бланк OLD 2.0 04 №"&amp;VLOOKUP(A36+1-COUNT('Шаг2.Бланк заказа NEW'!$B$19:$B$201)-COUNT('Бланк OLD 0.8 04'!$B$18:$B$200),CHOOSE({1,2},'Бланк OLD 2.0 04 '!$B$18:$B$200,'Бланк OLD 2.0 04 '!$A$18:$A$200),1,0)),"")</f>
        <v/>
      </c>
      <c r="C37" s="152" t="str">
        <f ca="1">IFERROR(IFERROR(IFERROR(VLOOKUP(A36+1,CHOOSE({1,2},'Шаг2.Бланк заказа NEW'!$B$19:$B$201,'Шаг2.Бланк заказа NEW'!$A$19:$A$201),2,0),
VLOOKUP(A36+1-COUNT('Шаг2.Бланк заказа NEW'!$B$19:$B$201),CHOOSE({1,2},'Бланк OLD 0.8 04'!$B$18:$B$200,'Бланк OLD 0.8 04'!$A$18:$A$200),2,0)),
VLOOKUP(A36+1-COUNT('Шаг2.Бланк заказа NEW'!$B$19:$B$201)-COUNT('Бланк OLD 0.8 04'!$B$18:$B$200),CHOOSE({1,2},'Бланк OLD 2.0 04 '!$B$18:$B$200,'Бланк OLD 2.0 04 '!$A$18:$A$200),2,0)),"")</f>
        <v/>
      </c>
      <c r="D37" s="150" t="str">
        <f ca="1">IFERROR(VLOOKUP(C37,'Шаг1.Выбор плиты'!C:G,5,0),"")</f>
        <v/>
      </c>
      <c r="E37" s="147" t="str">
        <f ca="1">IFERROR(IFERROR(IF(VLOOKUP($A37,'Шаг2.Бланк заказа NEW'!$B$17:$N$201,2,0)="","",VLOOKUP($A37,'Шаг2.Бланк заказа NEW'!$B$17:$N$201,2,0)),
IF(VLOOKUP($A37-COUNT('Шаг2.Бланк заказа NEW'!$B$19:$B$201),'Бланк OLD 0.8 04'!$B$12:$K$200,2,0)="","",VLOOKUP($A37-COUNT('Шаг2.Бланк заказа NEW'!$B$19:$B$201),'Бланк OLD 0.8 04'!$B$12:$K$200,2,0))),
IF(VLOOKUP($A37-COUNT('Шаг2.Бланк заказа NEW'!$B$19:$B$201)-COUNT('Бланк OLD 0.8 04'!$B$18:$B$200),'Бланк OLD 2.0 04 '!$B$16:$K$200,2,0)="","",VLOOKUP($A37-COUNT('Шаг2.Бланк заказа NEW'!$B$19:$B$201)-COUNT('Бланк OLD 0.8 04'!$B$18:$B$200),'Бланк OLD 2.0 04 '!$B$16:$K$200,2,0)))</f>
        <v/>
      </c>
      <c r="F37" s="147" t="str">
        <f ca="1">IFERROR(IFERROR(IF(VLOOKUP($A37,'Шаг2.Бланк заказа NEW'!$B$17:$N$201,3,0)="","",VLOOKUP($A37,'Шаг2.Бланк заказа NEW'!$B$17:$N$201,3,0)),
IF(VLOOKUP($A37-COUNT('Шаг2.Бланк заказа NEW'!$B$19:$B$201),'Бланк OLD 0.8 04'!$B$12:$K$200,3,0)="","",VLOOKUP($A37-COUNT('Шаг2.Бланк заказа NEW'!$B$19:$B$201),'Бланк OLD 0.8 04'!$B$12:$K$200,3,0))),
IF(VLOOKUP($A37-COUNT('Шаг2.Бланк заказа NEW'!$B$19:$B$201)-COUNT('Бланк OLD 0.8 04'!$B$18:$B$200),'Бланк OLD 2.0 04 '!$B$16:$K$200,3,0)="","",VLOOKUP($A37-COUNT('Шаг2.Бланк заказа NEW'!$B$19:$B$201)-COUNT('Бланк OLD 0.8 04'!$B$18:$B$200),'Бланк OLD 2.0 04 '!$B$16:$K$200,3,0)))</f>
        <v/>
      </c>
      <c r="G37" s="176" t="str">
        <f ca="1">IF(IF(R37="","",IF(R37=1,SUMIFS('Шаг1.Выбор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плиты'!C:Q,12,0)),1))))))=0,
R37,
IF(R37="","",IF(R37=1,SUMIFS('Шаг1.Выбор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плиты'!N:N,R37,'Шаг1.Выбор плиты'!M:M,SMALL(INDIRECT("мм"&amp;VLOOKUP(C37,'Шаг1.Выбор плиты'!C:Q,12,0)),1)))))))</f>
        <v/>
      </c>
      <c r="H37" s="177" t="str">
        <f ca="1">IF(IF(S37="","",IF(S37=1,SUMIFS('Шаг1.Выбор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плиты'!C:Q,12,0)),1))))))=0,
S37,
IF(S37="","",IF(S37=1,SUMIFS('Шаг1.Выбор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плиты'!N:N,S37,'Шаг1.Выбор плиты'!M:M,SMALL(INDIRECT("мм"&amp;VLOOKUP(C37,'Шаг1.Выбор плиты'!C:Q,12,0)),1)))))))</f>
        <v/>
      </c>
      <c r="I37" s="147" t="str">
        <f ca="1">IFERROR(IFERROR(IF(VLOOKUP($A37,'Шаг2.Бланк заказа NEW'!$B$17:$N$201,6,0)="","",VLOOKUP($A37,'Шаг2.Бланк заказа NEW'!$B$17:$N$201,6,0)),
IF(VLOOKUP($A37-COUNT('Шаг2.Бланк заказа NEW'!$B$19:$B$201),'Бланк OLD 0.8 04'!$B$12:$K$200,6,0)="","",VLOOKUP($A37-COUNT('Шаг2.Бланк заказа NEW'!$B$19:$B$201),'Бланк OLD 0.8 04'!$B$12:$K$200,6,0))),
IF(VLOOKUP($A37-COUNT('Шаг2.Бланк заказа NEW'!$B$19:$B$201)-COUNT('Бланк OLD 0.8 04'!$B$18:$B$200),'Бланк OLD 2.0 04 '!$B$16:$K$200,6,0)="","",VLOOKUP($A37-COUNT('Шаг2.Бланк заказа NEW'!$B$19:$B$201)-COUNT('Бланк OLD 0.8 04'!$B$18:$B$200),'Бланк OLD 2.0 04 '!$B$16:$K$200,6,0)))</f>
        <v/>
      </c>
      <c r="J37" s="177" t="str">
        <f ca="1">IF(IF(T37="","",IF(T37=1,SUMIFS('Шаг1.Выбор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плиты'!C:Q,12,0)),1))))))=0,
T37,
IF(T37="","",IF(T37=1,SUMIFS('Шаг1.Выбор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плиты'!N:N,T37,'Шаг1.Выбор плиты'!M:M,SMALL(INDIRECT("мм"&amp;VLOOKUP(C37,'Шаг1.Выбор плиты'!C:Q,12,0)),1)))))))</f>
        <v/>
      </c>
      <c r="K37" s="177" t="str">
        <f ca="1">IF(IF(U37="","",IF(U37=1,SUMIFS('Шаг1.Выбор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плиты'!C:Q,12,0)),1))))))=0,
U37,
IF(U37="","",IF(U37=1,SUMIFS('Шаг1.Выбор плиты'!$G:$G,'Шаг1.Выбор плиты'!J:J,"*"&amp;RIGHT(VLOOKUP(C37,'Шаг1.Выбор плиты'!C:Q,8,0),4),'Шаг1.Выбор плиты'!L:L,IF(MID(C37,1,6)="ЛДСП P","TM"&amp;MID(VLOOKUP(C37,'Шаг1.Выбор плиты'!C:Q,10,0),3,2),MID(VLOOKUP(C37,'Шаг1.Выбор плиты'!C:Q,10,0),1,2)),
'Шаг1.Выбор плиты'!N:N,1),IF(SUMIFS('Шаг1.Выбор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плиты'!C:Q,12,0)),1))=0,
IF(SUMIFS('Шаг1.Выбор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плиты'!C:Q,12,0)),2))=0,
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плиты'!C:Q,12,0)),3)),
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плиты'!C:Q,12,0)),2))),
(SUMIFS('Шаг1.Выбор плиты'!$G:$G,'Шаг1.Выбор плиты'!J:J,"*"&amp;RIGHT(VLOOKUP(C37,'Шаг1.Выбор плиты'!C:Q,8,0),4),'Шаг1.Выбор плиты'!L:L,VLOOKUP(C37,'Шаг1.Выбор плиты'!C:Q,10,0),'Шаг1.Выбор плиты'!N:N,U37,'Шаг1.Выбор плиты'!M:M,SMALL(INDIRECT("мм"&amp;VLOOKUP(C37,'Шаг1.Выбор плиты'!C:Q,12,0)),1)))))))</f>
        <v/>
      </c>
      <c r="L37" s="147" t="str">
        <f ca="1">IFERROR(IFERROR(IF(VLOOKUP($A37,'Шаг2.Бланк заказа NEW'!$B$17:$N$201,9,0)="","",VLOOKUP($A37,'Шаг2.Бланк заказа NEW'!$B$17:$N$201,9,0)),
IF(VLOOKUP($A37-COUNT('Шаг2.Бланк заказа NEW'!$B$19:$B$201),'Бланк OLD 0.8 04'!$B$12:$K$200,9,0)="","",VLOOKUP($A37-COUNT('Шаг2.Бланк заказа NEW'!$B$19:$B$201),'Бланк OLD 0.8 04'!$B$12:$K$200,9,0))),
IF(VLOOKUP($A37-COUNT('Шаг2.Бланк заказа NEW'!$B$19:$B$201)-COUNT('Бланк OLD 0.8 04'!$B$18:$B$200),'Бланк OLD 2.0 04 '!$B$16:$K$200,9,0)="","",VLOOKUP($A37-COUNT('Шаг2.Бланк заказа NEW'!$B$19:$B$201)-COUNT('Бланк OLD 0.8 04'!$B$18:$B$200),'Бланк OLD 2.0 04 '!$B$16:$K$200,9,0)))</f>
        <v/>
      </c>
      <c r="M37" s="154" t="str">
        <f t="shared" ca="1" si="5"/>
        <v/>
      </c>
      <c r="N37" s="153" t="str">
        <f ca="1">IFERROR(IF(VLOOKUP($A37,'Шаг2.Бланк заказа NEW'!$B$17:$N$201,11,0)="","",VLOOKUP($A37,'Шаг2.Бланк заказа NEW'!$B$17:$N$201,11,0)),
"Нет")</f>
        <v/>
      </c>
      <c r="O37" s="147" t="str">
        <f ca="1">IFERROR(IF(VLOOKUP($A37,'Шаг2.Бланк заказа NEW'!$B$17:$N$201,11,0)="","",VLOOKUP($A37,'Шаг2.Бланк заказа NEW'!$B$17:$N$201,12,0)),
"Нет")</f>
        <v/>
      </c>
      <c r="P37" s="153" t="str">
        <f ca="1">IFERROR(IF(VLOOKUP($A37,'Шаг2.Бланк заказа NEW'!$B$17:$N$201,13,0)="","",VLOOKUP($A37,'Шаг2.Бланк заказа NEW'!$B$17:$N$201,13,0)),
"Нет")</f>
        <v/>
      </c>
      <c r="Q37" s="147" t="str">
        <f ca="1">IFERROR(IF(VLOOKUP($A37,'Шаг2.Бланк заказа NEW'!$B$17:$O$201,14,0)="","",VLOOKUP($A37,'Шаг2.Бланк заказа NEW'!$B$17:$O$201,14,0)),"")</f>
        <v/>
      </c>
      <c r="R37" s="147" t="str">
        <f ca="1">IFERROR(IFERROR(IF(VLOOKUP($A37,'Шаг2.Бланк заказа NEW'!$B$17:$N$201,4,0)="","",VLOOKUP($A37,'Шаг2.Бланк заказа NEW'!$B$17:$N$201,4,0)),
IF(VLOOKUP($A37-COUNT('Шаг2.Бланк заказа NEW'!$B$19:$B$201),'Бланк OLD 0.8 04'!$B$12:$K$200,4,0)&gt;0,0.8,
IF(VLOOKUP($A37-COUNT('Шаг2.Бланк заказа NEW'!$B$19:$B$201),'Бланк OLD 0.8 04'!$B$12:$K$200,5,0)&gt;0,0.4,""))),
IF(VLOOKUP($A37-COUNT('Шаг2.Бланк заказа NEW'!$B$19:$B$201)-COUNT('Бланк OLD 0.8 04'!$B$18:$B$200),'Бланк OLD 2.0 04 '!$B$16:$K$200,4,0)&gt;0,2,IF(VLOOKUP($A37-COUNT('Шаг2.Бланк заказа NEW'!$B$19:$B$201)-COUNT('Бланк OLD 0.8 04'!$B$18:$B$200),'Бланк OLD 2.0 04 '!$B$16:$K$200,5,0)&gt;0,0.4,"")))</f>
        <v/>
      </c>
      <c r="S37" s="147" t="str">
        <f ca="1">IFERROR(IFERROR(IF(VLOOKUP($A37,'Шаг2.Бланк заказа NEW'!$B$17:$N$201,5,0)="","",VLOOKUP($A37,'Шаг2.Бланк заказа NEW'!$B$17:$N$201,5,0)),
IF(VLOOKUP($A37-COUNT('Шаг2.Бланк заказа NEW'!$B$19:$B$201),'Бланк OLD 0.8 04'!$B$12:$K$200,4,0)&gt;1,0.8,
IF(VLOOKUP($A37-COUNT('Шаг2.Бланк заказа NEW'!$B$19:$B$201),'Бланк OLD 0.8 04'!$B$12:$K$200,5,0)&gt;1,0.4,
IF(AND(VLOOKUP($A37-COUNT('Шаг2.Бланк заказа NEW'!$B$19:$B$201),'Бланк OLD 0.8 04'!$B$12:$K$200,4,0)&gt;0,VLOOKUP($A37-COUNT('Шаг2.Бланк заказа NEW'!$B$19:$B$201),'Бланк OLD 0.8 04'!$B$12:$K$200,5,0)&gt;0),0.4,"")))),
IF(VLOOKUP($A37-COUNT('Шаг2.Бланк заказа NEW'!$B$19:$B$201)-COUNT('Бланк OLD 0.8 04'!$B$18:$B$200),'Бланк OLD 2.0 04 '!$B$16:$K$200,4,0)&gt;1,2,
IF(VLOOKUP($A37-COUNT('Шаг2.Бланк заказа NEW'!$B$19:$B$201)-COUNT('Бланк OLD 0.8 04'!$B$18:$B$200),'Бланк OLD 2.0 04 '!$B$16:$K$200,5,0)&gt;1,0.4,IF(AND(VLOOKUP($A37-COUNT('Шаг2.Бланк заказа NEW'!$B$19:$B$201)-COUNT('Бланк OLD 0.8 04'!$B$18:$B$200),'Бланк OLD 2.0 04 '!$B$16:$K$200,4,0)&gt;0,VLOOKUP($A37-COUNT('Шаг2.Бланк заказа NEW'!$B$19:$B$201)-COUNT('Бланк OLD 0.8 04'!$B$18:$B$200),'Бланк OLD 2.0 04 '!$B$16:$K$200,5,0)&gt;0),0.4,""))))</f>
        <v/>
      </c>
      <c r="T37" s="147" t="str">
        <f ca="1">IFERROR(IFERROR(IF(VLOOKUP($A37,'Шаг2.Бланк заказа NEW'!$B$17:$N$201,7,0)="","",VLOOKUP($A37,'Шаг2.Бланк заказа NEW'!$B$17:$N$201,7,0)),
IF(VLOOKUP($A37-COUNT('Шаг2.Бланк заказа NEW'!$B$19:$B$201),'Бланк OLD 0.8 04'!$B$12:$K$200,7,0)&gt;0,0.8,
IF(VLOOKUP($A37-COUNT('Шаг2.Бланк заказа NEW'!$B$19:$B$201),'Бланк OLD 0.8 04'!$B$12:$K$200,8,0)&gt;0,0.4,""))),
IF(VLOOKUP($A37-COUNT('Шаг2.Бланк заказа NEW'!$B$19:$B$201)-COUNT('Бланк OLD 0.8 04'!$B$18:$B$200),'Бланк OLD 2.0 04 '!$B$16:$K$200,7,0)&gt;0,2,IF(VLOOKUP($A37-COUNT('Шаг2.Бланк заказа NEW'!$B$19:$B$201)-COUNT('Бланк OLD 0.8 04'!$B$18:$B$200),'Бланк OLD 2.0 04 '!$B$16:$K$200,8,0)&gt;0,0.4,"")))</f>
        <v/>
      </c>
      <c r="U37" s="147" t="str">
        <f ca="1">IFERROR(IFERROR(IF(VLOOKUP($A37,'Шаг2.Бланк заказа NEW'!$B$17:$N$201,8,0)="","",VLOOKUP($A37,'Шаг2.Бланк заказа NEW'!$B$17:$N$201,8,0)),
IF(VLOOKUP($A37-COUNT('Шаг2.Бланк заказа NEW'!$B$19:$B$201),'Бланк OLD 0.8 04'!$B$12:$K$200,7,0)&gt;1,0.8,
IF(VLOOKUP($A37-COUNT('Шаг2.Бланк заказа NEW'!$B$19:$B$201),'Бланк OLD 0.8 04'!$B$12:$K$200,8,0)&gt;1,0.4,
IF(AND(VLOOKUP($A37-COUNT('Шаг2.Бланк заказа NEW'!$B$19:$B$201),'Бланк OLD 0.8 04'!$B$12:$K$200,7,0)&gt;0,VLOOKUP($A37-COUNT('Шаг2.Бланк заказа NEW'!$B$19:$B$201),'Бланк OLD 0.8 04'!$B$12:$K$200,8,0)&gt;0),0.4,"")))),
IF(VLOOKUP($A37-COUNT('Шаг2.Бланк заказа NEW'!$B$19:$B$201)-COUNT('Бланк OLD 0.8 04'!$B$18:$B$200),'Бланк OLD 2.0 04 '!$B$16:$K$200,7,0)&gt;1,2,
IF(VLOOKUP($A37-COUNT('Шаг2.Бланк заказа NEW'!$B$19:$B$201)-COUNT('Бланк OLD 0.8 04'!$B$18:$B$200),'Бланк OLD 2.0 04 '!$B$16:$K$200,8,0)&gt;1,0.4,
IF(AND(VLOOKUP($A37-COUNT('Шаг2.Бланк заказа NEW'!$B$19:$B$201)-COUNT('Бланк OLD 0.8 04'!$B$18:$B$200),'Бланк OLD 2.0 04 '!$B$16:$K$200,7,0)&gt;0,VLOOKUP($A37-COUNT('Шаг2.Бланк заказа NEW'!$B$19:$B$201)-COUNT('Бланк OLD 0.8 04'!$B$18:$B$200),'Бланк OLD 2.0 04 '!$B$16:$K$200,8,0)&gt;0),0.4,""))))</f>
        <v/>
      </c>
      <c r="V37" s="146" t="str">
        <f ca="1">IFERROR(VLOOKUP(C37,'Шаг1.Выбор плиты'!C:S,12,0),"")</f>
        <v/>
      </c>
      <c r="W37" s="146" t="str">
        <f ca="1">IFERROR(VLOOKUP(C37,'Шаг1.Выбор плиты'!C:S,8,0),"")</f>
        <v/>
      </c>
      <c r="X37" s="146" t="str">
        <f ca="1">IFERROR(VLOOKUP(C37,'Шаг1.Выбор плиты'!C:S,10,0),"")</f>
        <v/>
      </c>
      <c r="Y37" s="147" t="str">
        <f t="shared" ca="1" si="1"/>
        <v/>
      </c>
      <c r="AD37" s="147" t="str">
        <f t="shared" ca="1" si="6"/>
        <v/>
      </c>
      <c r="AE37" s="147" t="str">
        <f t="shared" ca="1" si="3"/>
        <v/>
      </c>
      <c r="AF37" s="25"/>
      <c r="AH37" s="147" t="str">
        <f ca="1">IF(C37="","",VLOOKUP(C37,'Шаг1.Выбор плиты'!C:Q,7,0))</f>
        <v/>
      </c>
      <c r="AI37" s="147" t="str">
        <f t="shared" ca="1" si="7"/>
        <v/>
      </c>
    </row>
    <row r="38" spans="1:35" x14ac:dyDescent="0.2">
      <c r="A38" s="151" t="str">
        <f ca="1">IF(C38="","",MAX($A$1:OFFSET(C38,-1,0))+1)</f>
        <v/>
      </c>
      <c r="B38" s="151" t="str">
        <f ca="1">IFERROR(IFERROR(IFERROR("Шаг2.Бланк заказа NEW №"&amp;VLOOKUP(A37+1,CHOOSE({1,2},'Шаг2.Бланк заказа NEW'!$B$19:$B$201,'Шаг2.Бланк заказа NEW'!$A$19:$A$201),1,0),
"Бланк OLD 0.8 04 №"&amp;VLOOKUP(A37+1-COUNT('Шаг2.Бланк заказа NEW'!$B$19:$B$201),CHOOSE({1,2},'Бланк OLD 0.8 04'!$B$18:$B$200,'Бланк OLD 0.8 04'!$A$18:$A$200),1,0)),
"Бланк OLD 2.0 04 №"&amp;VLOOKUP(A37+1-COUNT('Шаг2.Бланк заказа NEW'!$B$19:$B$201)-COUNT('Бланк OLD 0.8 04'!$B$18:$B$200),CHOOSE({1,2},'Бланк OLD 2.0 04 '!$B$18:$B$200,'Бланк OLD 2.0 04 '!$A$18:$A$200),1,0)),"")</f>
        <v/>
      </c>
      <c r="C38" s="152" t="str">
        <f ca="1">IFERROR(IFERROR(IFERROR(VLOOKUP(A37+1,CHOOSE({1,2},'Шаг2.Бланк заказа NEW'!$B$19:$B$201,'Шаг2.Бланк заказа NEW'!$A$19:$A$201),2,0),
VLOOKUP(A37+1-COUNT('Шаг2.Бланк заказа NEW'!$B$19:$B$201),CHOOSE({1,2},'Бланк OLD 0.8 04'!$B$18:$B$200,'Бланк OLD 0.8 04'!$A$18:$A$200),2,0)),
VLOOKUP(A37+1-COUNT('Шаг2.Бланк заказа NEW'!$B$19:$B$201)-COUNT('Бланк OLD 0.8 04'!$B$18:$B$200),CHOOSE({1,2},'Бланк OLD 2.0 04 '!$B$18:$B$200,'Бланк OLD 2.0 04 '!$A$18:$A$200),2,0)),"")</f>
        <v/>
      </c>
      <c r="D38" s="150" t="str">
        <f ca="1">IFERROR(VLOOKUP(C38,'Шаг1.Выбор плиты'!C:G,5,0),"")</f>
        <v/>
      </c>
      <c r="E38" s="147" t="str">
        <f ca="1">IFERROR(IFERROR(IF(VLOOKUP($A38,'Шаг2.Бланк заказа NEW'!$B$17:$N$201,2,0)="","",VLOOKUP($A38,'Шаг2.Бланк заказа NEW'!$B$17:$N$201,2,0)),
IF(VLOOKUP($A38-COUNT('Шаг2.Бланк заказа NEW'!$B$19:$B$201),'Бланк OLD 0.8 04'!$B$12:$K$200,2,0)="","",VLOOKUP($A38-COUNT('Шаг2.Бланк заказа NEW'!$B$19:$B$201),'Бланк OLD 0.8 04'!$B$12:$K$200,2,0))),
IF(VLOOKUP($A38-COUNT('Шаг2.Бланк заказа NEW'!$B$19:$B$201)-COUNT('Бланк OLD 0.8 04'!$B$18:$B$200),'Бланк OLD 2.0 04 '!$B$16:$K$200,2,0)="","",VLOOKUP($A38-COUNT('Шаг2.Бланк заказа NEW'!$B$19:$B$201)-COUNT('Бланк OLD 0.8 04'!$B$18:$B$200),'Бланк OLD 2.0 04 '!$B$16:$K$200,2,0)))</f>
        <v/>
      </c>
      <c r="F38" s="147" t="str">
        <f ca="1">IFERROR(IFERROR(IF(VLOOKUP($A38,'Шаг2.Бланк заказа NEW'!$B$17:$N$201,3,0)="","",VLOOKUP($A38,'Шаг2.Бланк заказа NEW'!$B$17:$N$201,3,0)),
IF(VLOOKUP($A38-COUNT('Шаг2.Бланк заказа NEW'!$B$19:$B$201),'Бланк OLD 0.8 04'!$B$12:$K$200,3,0)="","",VLOOKUP($A38-COUNT('Шаг2.Бланк заказа NEW'!$B$19:$B$201),'Бланк OLD 0.8 04'!$B$12:$K$200,3,0))),
IF(VLOOKUP($A38-COUNT('Шаг2.Бланк заказа NEW'!$B$19:$B$201)-COUNT('Бланк OLD 0.8 04'!$B$18:$B$200),'Бланк OLD 2.0 04 '!$B$16:$K$200,3,0)="","",VLOOKUP($A38-COUNT('Шаг2.Бланк заказа NEW'!$B$19:$B$201)-COUNT('Бланк OLD 0.8 04'!$B$18:$B$200),'Бланк OLD 2.0 04 '!$B$16:$K$200,3,0)))</f>
        <v/>
      </c>
      <c r="G38" s="176" t="str">
        <f ca="1">IF(IF(R38="","",IF(R38=1,SUMIFS('Шаг1.Выбор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плиты'!C:Q,12,0)),1))))))=0,
R38,
IF(R38="","",IF(R38=1,SUMIFS('Шаг1.Выбор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плиты'!N:N,R38,'Шаг1.Выбор плиты'!M:M,SMALL(INDIRECT("мм"&amp;VLOOKUP(C38,'Шаг1.Выбор плиты'!C:Q,12,0)),1)))))))</f>
        <v/>
      </c>
      <c r="H38" s="177" t="str">
        <f ca="1">IF(IF(S38="","",IF(S38=1,SUMIFS('Шаг1.Выбор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плиты'!C:Q,12,0)),1))))))=0,
S38,
IF(S38="","",IF(S38=1,SUMIFS('Шаг1.Выбор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плиты'!N:N,S38,'Шаг1.Выбор плиты'!M:M,SMALL(INDIRECT("мм"&amp;VLOOKUP(C38,'Шаг1.Выбор плиты'!C:Q,12,0)),1)))))))</f>
        <v/>
      </c>
      <c r="I38" s="147" t="str">
        <f ca="1">IFERROR(IFERROR(IF(VLOOKUP($A38,'Шаг2.Бланк заказа NEW'!$B$17:$N$201,6,0)="","",VLOOKUP($A38,'Шаг2.Бланк заказа NEW'!$B$17:$N$201,6,0)),
IF(VLOOKUP($A38-COUNT('Шаг2.Бланк заказа NEW'!$B$19:$B$201),'Бланк OLD 0.8 04'!$B$12:$K$200,6,0)="","",VLOOKUP($A38-COUNT('Шаг2.Бланк заказа NEW'!$B$19:$B$201),'Бланк OLD 0.8 04'!$B$12:$K$200,6,0))),
IF(VLOOKUP($A38-COUNT('Шаг2.Бланк заказа NEW'!$B$19:$B$201)-COUNT('Бланк OLD 0.8 04'!$B$18:$B$200),'Бланк OLD 2.0 04 '!$B$16:$K$200,6,0)="","",VLOOKUP($A38-COUNT('Шаг2.Бланк заказа NEW'!$B$19:$B$201)-COUNT('Бланк OLD 0.8 04'!$B$18:$B$200),'Бланк OLD 2.0 04 '!$B$16:$K$200,6,0)))</f>
        <v/>
      </c>
      <c r="J38" s="177" t="str">
        <f ca="1">IF(IF(T38="","",IF(T38=1,SUMIFS('Шаг1.Выбор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плиты'!C:Q,12,0)),1))))))=0,
T38,
IF(T38="","",IF(T38=1,SUMIFS('Шаг1.Выбор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плиты'!N:N,T38,'Шаг1.Выбор плиты'!M:M,SMALL(INDIRECT("мм"&amp;VLOOKUP(C38,'Шаг1.Выбор плиты'!C:Q,12,0)),1)))))))</f>
        <v/>
      </c>
      <c r="K38" s="177" t="str">
        <f ca="1">IF(IF(U38="","",IF(U38=1,SUMIFS('Шаг1.Выбор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плиты'!C:Q,12,0)),1))))))=0,
U38,
IF(U38="","",IF(U38=1,SUMIFS('Шаг1.Выбор плиты'!$G:$G,'Шаг1.Выбор плиты'!J:J,"*"&amp;RIGHT(VLOOKUP(C38,'Шаг1.Выбор плиты'!C:Q,8,0),4),'Шаг1.Выбор плиты'!L:L,IF(MID(C38,1,6)="ЛДСП P","TM"&amp;MID(VLOOKUP(C38,'Шаг1.Выбор плиты'!C:Q,10,0),3,2),MID(VLOOKUP(C38,'Шаг1.Выбор плиты'!C:Q,10,0),1,2)),
'Шаг1.Выбор плиты'!N:N,1),IF(SUMIFS('Шаг1.Выбор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плиты'!C:Q,12,0)),1))=0,
IF(SUMIFS('Шаг1.Выбор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плиты'!C:Q,12,0)),2))=0,
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плиты'!C:Q,12,0)),3)),
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плиты'!C:Q,12,0)),2))),
(SUMIFS('Шаг1.Выбор плиты'!$G:$G,'Шаг1.Выбор плиты'!J:J,"*"&amp;RIGHT(VLOOKUP(C38,'Шаг1.Выбор плиты'!C:Q,8,0),4),'Шаг1.Выбор плиты'!L:L,VLOOKUP(C38,'Шаг1.Выбор плиты'!C:Q,10,0),'Шаг1.Выбор плиты'!N:N,U38,'Шаг1.Выбор плиты'!M:M,SMALL(INDIRECT("мм"&amp;VLOOKUP(C38,'Шаг1.Выбор плиты'!C:Q,12,0)),1)))))))</f>
        <v/>
      </c>
      <c r="L38" s="147" t="str">
        <f ca="1">IFERROR(IFERROR(IF(VLOOKUP($A38,'Шаг2.Бланк заказа NEW'!$B$17:$N$201,9,0)="","",VLOOKUP($A38,'Шаг2.Бланк заказа NEW'!$B$17:$N$201,9,0)),
IF(VLOOKUP($A38-COUNT('Шаг2.Бланк заказа NEW'!$B$19:$B$201),'Бланк OLD 0.8 04'!$B$12:$K$200,9,0)="","",VLOOKUP($A38-COUNT('Шаг2.Бланк заказа NEW'!$B$19:$B$201),'Бланк OLD 0.8 04'!$B$12:$K$200,9,0))),
IF(VLOOKUP($A38-COUNT('Шаг2.Бланк заказа NEW'!$B$19:$B$201)-COUNT('Бланк OLD 0.8 04'!$B$18:$B$200),'Бланк OLD 2.0 04 '!$B$16:$K$200,9,0)="","",VLOOKUP($A38-COUNT('Шаг2.Бланк заказа NEW'!$B$19:$B$201)-COUNT('Бланк OLD 0.8 04'!$B$18:$B$200),'Бланк OLD 2.0 04 '!$B$16:$K$200,9,0)))</f>
        <v/>
      </c>
      <c r="M38" s="154" t="str">
        <f t="shared" ca="1" si="5"/>
        <v/>
      </c>
      <c r="N38" s="153" t="str">
        <f ca="1">IFERROR(IF(VLOOKUP($A38,'Шаг2.Бланк заказа NEW'!$B$17:$N$201,11,0)="","",VLOOKUP($A38,'Шаг2.Бланк заказа NEW'!$B$17:$N$201,11,0)),
"Нет")</f>
        <v/>
      </c>
      <c r="O38" s="147" t="str">
        <f ca="1">IFERROR(IF(VLOOKUP($A38,'Шаг2.Бланк заказа NEW'!$B$17:$N$201,11,0)="","",VLOOKUP($A38,'Шаг2.Бланк заказа NEW'!$B$17:$N$201,12,0)),
"Нет")</f>
        <v/>
      </c>
      <c r="P38" s="153" t="str">
        <f ca="1">IFERROR(IF(VLOOKUP($A38,'Шаг2.Бланк заказа NEW'!$B$17:$N$201,13,0)="","",VLOOKUP($A38,'Шаг2.Бланк заказа NEW'!$B$17:$N$201,13,0)),
"Нет")</f>
        <v/>
      </c>
      <c r="Q38" s="147" t="str">
        <f ca="1">IFERROR(IF(VLOOKUP($A38,'Шаг2.Бланк заказа NEW'!$B$17:$O$201,14,0)="","",VLOOKUP($A38,'Шаг2.Бланк заказа NEW'!$B$17:$O$201,14,0)),"")</f>
        <v/>
      </c>
      <c r="R38" s="147" t="str">
        <f ca="1">IFERROR(IFERROR(IF(VLOOKUP($A38,'Шаг2.Бланк заказа NEW'!$B$17:$N$201,4,0)="","",VLOOKUP($A38,'Шаг2.Бланк заказа NEW'!$B$17:$N$201,4,0)),
IF(VLOOKUP($A38-COUNT('Шаг2.Бланк заказа NEW'!$B$19:$B$201),'Бланк OLD 0.8 04'!$B$12:$K$200,4,0)&gt;0,0.8,
IF(VLOOKUP($A38-COUNT('Шаг2.Бланк заказа NEW'!$B$19:$B$201),'Бланк OLD 0.8 04'!$B$12:$K$200,5,0)&gt;0,0.4,""))),
IF(VLOOKUP($A38-COUNT('Шаг2.Бланк заказа NEW'!$B$19:$B$201)-COUNT('Бланк OLD 0.8 04'!$B$18:$B$200),'Бланк OLD 2.0 04 '!$B$16:$K$200,4,0)&gt;0,2,IF(VLOOKUP($A38-COUNT('Шаг2.Бланк заказа NEW'!$B$19:$B$201)-COUNT('Бланк OLD 0.8 04'!$B$18:$B$200),'Бланк OLD 2.0 04 '!$B$16:$K$200,5,0)&gt;0,0.4,"")))</f>
        <v/>
      </c>
      <c r="S38" s="147" t="str">
        <f ca="1">IFERROR(IFERROR(IF(VLOOKUP($A38,'Шаг2.Бланк заказа NEW'!$B$17:$N$201,5,0)="","",VLOOKUP($A38,'Шаг2.Бланк заказа NEW'!$B$17:$N$201,5,0)),
IF(VLOOKUP($A38-COUNT('Шаг2.Бланк заказа NEW'!$B$19:$B$201),'Бланк OLD 0.8 04'!$B$12:$K$200,4,0)&gt;1,0.8,
IF(VLOOKUP($A38-COUNT('Шаг2.Бланк заказа NEW'!$B$19:$B$201),'Бланк OLD 0.8 04'!$B$12:$K$200,5,0)&gt;1,0.4,
IF(AND(VLOOKUP($A38-COUNT('Шаг2.Бланк заказа NEW'!$B$19:$B$201),'Бланк OLD 0.8 04'!$B$12:$K$200,4,0)&gt;0,VLOOKUP($A38-COUNT('Шаг2.Бланк заказа NEW'!$B$19:$B$201),'Бланк OLD 0.8 04'!$B$12:$K$200,5,0)&gt;0),0.4,"")))),
IF(VLOOKUP($A38-COUNT('Шаг2.Бланк заказа NEW'!$B$19:$B$201)-COUNT('Бланк OLD 0.8 04'!$B$18:$B$200),'Бланк OLD 2.0 04 '!$B$16:$K$200,4,0)&gt;1,2,
IF(VLOOKUP($A38-COUNT('Шаг2.Бланк заказа NEW'!$B$19:$B$201)-COUNT('Бланк OLD 0.8 04'!$B$18:$B$200),'Бланк OLD 2.0 04 '!$B$16:$K$200,5,0)&gt;1,0.4,IF(AND(VLOOKUP($A38-COUNT('Шаг2.Бланк заказа NEW'!$B$19:$B$201)-COUNT('Бланк OLD 0.8 04'!$B$18:$B$200),'Бланк OLD 2.0 04 '!$B$16:$K$200,4,0)&gt;0,VLOOKUP($A38-COUNT('Шаг2.Бланк заказа NEW'!$B$19:$B$201)-COUNT('Бланк OLD 0.8 04'!$B$18:$B$200),'Бланк OLD 2.0 04 '!$B$16:$K$200,5,0)&gt;0),0.4,""))))</f>
        <v/>
      </c>
      <c r="T38" s="147" t="str">
        <f ca="1">IFERROR(IFERROR(IF(VLOOKUP($A38,'Шаг2.Бланк заказа NEW'!$B$17:$N$201,7,0)="","",VLOOKUP($A38,'Шаг2.Бланк заказа NEW'!$B$17:$N$201,7,0)),
IF(VLOOKUP($A38-COUNT('Шаг2.Бланк заказа NEW'!$B$19:$B$201),'Бланк OLD 0.8 04'!$B$12:$K$200,7,0)&gt;0,0.8,
IF(VLOOKUP($A38-COUNT('Шаг2.Бланк заказа NEW'!$B$19:$B$201),'Бланк OLD 0.8 04'!$B$12:$K$200,8,0)&gt;0,0.4,""))),
IF(VLOOKUP($A38-COUNT('Шаг2.Бланк заказа NEW'!$B$19:$B$201)-COUNT('Бланк OLD 0.8 04'!$B$18:$B$200),'Бланк OLD 2.0 04 '!$B$16:$K$200,7,0)&gt;0,2,IF(VLOOKUP($A38-COUNT('Шаг2.Бланк заказа NEW'!$B$19:$B$201)-COUNT('Бланк OLD 0.8 04'!$B$18:$B$200),'Бланк OLD 2.0 04 '!$B$16:$K$200,8,0)&gt;0,0.4,"")))</f>
        <v/>
      </c>
      <c r="U38" s="147" t="str">
        <f ca="1">IFERROR(IFERROR(IF(VLOOKUP($A38,'Шаг2.Бланк заказа NEW'!$B$17:$N$201,8,0)="","",VLOOKUP($A38,'Шаг2.Бланк заказа NEW'!$B$17:$N$201,8,0)),
IF(VLOOKUP($A38-COUNT('Шаг2.Бланк заказа NEW'!$B$19:$B$201),'Бланк OLD 0.8 04'!$B$12:$K$200,7,0)&gt;1,0.8,
IF(VLOOKUP($A38-COUNT('Шаг2.Бланк заказа NEW'!$B$19:$B$201),'Бланк OLD 0.8 04'!$B$12:$K$200,8,0)&gt;1,0.4,
IF(AND(VLOOKUP($A38-COUNT('Шаг2.Бланк заказа NEW'!$B$19:$B$201),'Бланк OLD 0.8 04'!$B$12:$K$200,7,0)&gt;0,VLOOKUP($A38-COUNT('Шаг2.Бланк заказа NEW'!$B$19:$B$201),'Бланк OLD 0.8 04'!$B$12:$K$200,8,0)&gt;0),0.4,"")))),
IF(VLOOKUP($A38-COUNT('Шаг2.Бланк заказа NEW'!$B$19:$B$201)-COUNT('Бланк OLD 0.8 04'!$B$18:$B$200),'Бланк OLD 2.0 04 '!$B$16:$K$200,7,0)&gt;1,2,
IF(VLOOKUP($A38-COUNT('Шаг2.Бланк заказа NEW'!$B$19:$B$201)-COUNT('Бланк OLD 0.8 04'!$B$18:$B$200),'Бланк OLD 2.0 04 '!$B$16:$K$200,8,0)&gt;1,0.4,
IF(AND(VLOOKUP($A38-COUNT('Шаг2.Бланк заказа NEW'!$B$19:$B$201)-COUNT('Бланк OLD 0.8 04'!$B$18:$B$200),'Бланк OLD 2.0 04 '!$B$16:$K$200,7,0)&gt;0,VLOOKUP($A38-COUNT('Шаг2.Бланк заказа NEW'!$B$19:$B$201)-COUNT('Бланк OLD 0.8 04'!$B$18:$B$200),'Бланк OLD 2.0 04 '!$B$16:$K$200,8,0)&gt;0),0.4,""))))</f>
        <v/>
      </c>
      <c r="V38" s="146" t="str">
        <f ca="1">IFERROR(VLOOKUP(C38,'Шаг1.Выбор плиты'!C:S,12,0),"")</f>
        <v/>
      </c>
      <c r="W38" s="146" t="str">
        <f ca="1">IFERROR(VLOOKUP(C38,'Шаг1.Выбор плиты'!C:S,8,0),"")</f>
        <v/>
      </c>
      <c r="X38" s="146" t="str">
        <f ca="1">IFERROR(VLOOKUP(C38,'Шаг1.Выбор плиты'!C:S,10,0),"")</f>
        <v/>
      </c>
      <c r="Y38" s="147" t="str">
        <f t="shared" ca="1" si="1"/>
        <v/>
      </c>
      <c r="AD38" s="147" t="str">
        <f t="shared" ca="1" si="6"/>
        <v/>
      </c>
      <c r="AE38" s="147" t="str">
        <f t="shared" ca="1" si="3"/>
        <v/>
      </c>
      <c r="AF38" s="25"/>
      <c r="AH38" s="147" t="str">
        <f ca="1">IF(C38="","",VLOOKUP(C38,'Шаг1.Выбор плиты'!C:Q,7,0))</f>
        <v/>
      </c>
      <c r="AI38" s="147" t="str">
        <f t="shared" ca="1" si="7"/>
        <v/>
      </c>
    </row>
    <row r="39" spans="1:35" x14ac:dyDescent="0.2">
      <c r="A39" s="151" t="str">
        <f ca="1">IF(C39="","",MAX($A$1:OFFSET(C39,-1,0))+1)</f>
        <v/>
      </c>
      <c r="B39" s="151" t="str">
        <f ca="1">IFERROR(IFERROR(IFERROR("Шаг2.Бланк заказа NEW №"&amp;VLOOKUP(A38+1,CHOOSE({1,2},'Шаг2.Бланк заказа NEW'!$B$19:$B$201,'Шаг2.Бланк заказа NEW'!$A$19:$A$201),1,0),
"Бланк OLD 0.8 04 №"&amp;VLOOKUP(A38+1-COUNT('Шаг2.Бланк заказа NEW'!$B$19:$B$201),CHOOSE({1,2},'Бланк OLD 0.8 04'!$B$18:$B$200,'Бланк OLD 0.8 04'!$A$18:$A$200),1,0)),
"Бланк OLD 2.0 04 №"&amp;VLOOKUP(A38+1-COUNT('Шаг2.Бланк заказа NEW'!$B$19:$B$201)-COUNT('Бланк OLD 0.8 04'!$B$18:$B$200),CHOOSE({1,2},'Бланк OLD 2.0 04 '!$B$18:$B$200,'Бланк OLD 2.0 04 '!$A$18:$A$200),1,0)),"")</f>
        <v/>
      </c>
      <c r="C39" s="152" t="str">
        <f ca="1">IFERROR(IFERROR(IFERROR(VLOOKUP(A38+1,CHOOSE({1,2},'Шаг2.Бланк заказа NEW'!$B$19:$B$201,'Шаг2.Бланк заказа NEW'!$A$19:$A$201),2,0),
VLOOKUP(A38+1-COUNT('Шаг2.Бланк заказа NEW'!$B$19:$B$201),CHOOSE({1,2},'Бланк OLD 0.8 04'!$B$18:$B$200,'Бланк OLD 0.8 04'!$A$18:$A$200),2,0)),
VLOOKUP(A38+1-COUNT('Шаг2.Бланк заказа NEW'!$B$19:$B$201)-COUNT('Бланк OLD 0.8 04'!$B$18:$B$200),CHOOSE({1,2},'Бланк OLD 2.0 04 '!$B$18:$B$200,'Бланк OLD 2.0 04 '!$A$18:$A$200),2,0)),"")</f>
        <v/>
      </c>
      <c r="D39" s="150" t="str">
        <f ca="1">IFERROR(VLOOKUP(C39,'Шаг1.Выбор плиты'!C:G,5,0),"")</f>
        <v/>
      </c>
      <c r="E39" s="147" t="str">
        <f ca="1">IFERROR(IFERROR(IF(VLOOKUP($A39,'Шаг2.Бланк заказа NEW'!$B$17:$N$201,2,0)="","",VLOOKUP($A39,'Шаг2.Бланк заказа NEW'!$B$17:$N$201,2,0)),
IF(VLOOKUP($A39-COUNT('Шаг2.Бланк заказа NEW'!$B$19:$B$201),'Бланк OLD 0.8 04'!$B$12:$K$200,2,0)="","",VLOOKUP($A39-COUNT('Шаг2.Бланк заказа NEW'!$B$19:$B$201),'Бланк OLD 0.8 04'!$B$12:$K$200,2,0))),
IF(VLOOKUP($A39-COUNT('Шаг2.Бланк заказа NEW'!$B$19:$B$201)-COUNT('Бланк OLD 0.8 04'!$B$18:$B$200),'Бланк OLD 2.0 04 '!$B$16:$K$200,2,0)="","",VLOOKUP($A39-COUNT('Шаг2.Бланк заказа NEW'!$B$19:$B$201)-COUNT('Бланк OLD 0.8 04'!$B$18:$B$200),'Бланк OLD 2.0 04 '!$B$16:$K$200,2,0)))</f>
        <v/>
      </c>
      <c r="F39" s="147" t="str">
        <f ca="1">IFERROR(IFERROR(IF(VLOOKUP($A39,'Шаг2.Бланк заказа NEW'!$B$17:$N$201,3,0)="","",VLOOKUP($A39,'Шаг2.Бланк заказа NEW'!$B$17:$N$201,3,0)),
IF(VLOOKUP($A39-COUNT('Шаг2.Бланк заказа NEW'!$B$19:$B$201),'Бланк OLD 0.8 04'!$B$12:$K$200,3,0)="","",VLOOKUP($A39-COUNT('Шаг2.Бланк заказа NEW'!$B$19:$B$201),'Бланк OLD 0.8 04'!$B$12:$K$200,3,0))),
IF(VLOOKUP($A39-COUNT('Шаг2.Бланк заказа NEW'!$B$19:$B$201)-COUNT('Бланк OLD 0.8 04'!$B$18:$B$200),'Бланк OLD 2.0 04 '!$B$16:$K$200,3,0)="","",VLOOKUP($A39-COUNT('Шаг2.Бланк заказа NEW'!$B$19:$B$201)-COUNT('Бланк OLD 0.8 04'!$B$18:$B$200),'Бланк OLD 2.0 04 '!$B$16:$K$200,3,0)))</f>
        <v/>
      </c>
      <c r="G39" s="176" t="str">
        <f ca="1">IF(IF(R39="","",IF(R39=1,SUMIFS('Шаг1.Выбор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плиты'!C:Q,12,0)),1))))))=0,
R39,
IF(R39="","",IF(R39=1,SUMIFS('Шаг1.Выбор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плиты'!N:N,R39,'Шаг1.Выбор плиты'!M:M,SMALL(INDIRECT("мм"&amp;VLOOKUP(C39,'Шаг1.Выбор плиты'!C:Q,12,0)),1)))))))</f>
        <v/>
      </c>
      <c r="H39" s="177" t="str">
        <f ca="1">IF(IF(S39="","",IF(S39=1,SUMIFS('Шаг1.Выбор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плиты'!C:Q,12,0)),1))))))=0,
S39,
IF(S39="","",IF(S39=1,SUMIFS('Шаг1.Выбор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плиты'!N:N,S39,'Шаг1.Выбор плиты'!M:M,SMALL(INDIRECT("мм"&amp;VLOOKUP(C39,'Шаг1.Выбор плиты'!C:Q,12,0)),1)))))))</f>
        <v/>
      </c>
      <c r="I39" s="147" t="str">
        <f ca="1">IFERROR(IFERROR(IF(VLOOKUP($A39,'Шаг2.Бланк заказа NEW'!$B$17:$N$201,6,0)="","",VLOOKUP($A39,'Шаг2.Бланк заказа NEW'!$B$17:$N$201,6,0)),
IF(VLOOKUP($A39-COUNT('Шаг2.Бланк заказа NEW'!$B$19:$B$201),'Бланк OLD 0.8 04'!$B$12:$K$200,6,0)="","",VLOOKUP($A39-COUNT('Шаг2.Бланк заказа NEW'!$B$19:$B$201),'Бланк OLD 0.8 04'!$B$12:$K$200,6,0))),
IF(VLOOKUP($A39-COUNT('Шаг2.Бланк заказа NEW'!$B$19:$B$201)-COUNT('Бланк OLD 0.8 04'!$B$18:$B$200),'Бланк OLD 2.0 04 '!$B$16:$K$200,6,0)="","",VLOOKUP($A39-COUNT('Шаг2.Бланк заказа NEW'!$B$19:$B$201)-COUNT('Бланк OLD 0.8 04'!$B$18:$B$200),'Бланк OLD 2.0 04 '!$B$16:$K$200,6,0)))</f>
        <v/>
      </c>
      <c r="J39" s="177" t="str">
        <f ca="1">IF(IF(T39="","",IF(T39=1,SUMIFS('Шаг1.Выбор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плиты'!C:Q,12,0)),1))))))=0,
T39,
IF(T39="","",IF(T39=1,SUMIFS('Шаг1.Выбор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плиты'!N:N,T39,'Шаг1.Выбор плиты'!M:M,SMALL(INDIRECT("мм"&amp;VLOOKUP(C39,'Шаг1.Выбор плиты'!C:Q,12,0)),1)))))))</f>
        <v/>
      </c>
      <c r="K39" s="177" t="str">
        <f ca="1">IF(IF(U39="","",IF(U39=1,SUMIFS('Шаг1.Выбор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плиты'!C:Q,12,0)),1))))))=0,
U39,
IF(U39="","",IF(U39=1,SUMIFS('Шаг1.Выбор плиты'!$G:$G,'Шаг1.Выбор плиты'!J:J,"*"&amp;RIGHT(VLOOKUP(C39,'Шаг1.Выбор плиты'!C:Q,8,0),4),'Шаг1.Выбор плиты'!L:L,IF(MID(C39,1,6)="ЛДСП P","TM"&amp;MID(VLOOKUP(C39,'Шаг1.Выбор плиты'!C:Q,10,0),3,2),MID(VLOOKUP(C39,'Шаг1.Выбор плиты'!C:Q,10,0),1,2)),
'Шаг1.Выбор плиты'!N:N,1),IF(SUMIFS('Шаг1.Выбор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плиты'!C:Q,12,0)),1))=0,
IF(SUMIFS('Шаг1.Выбор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плиты'!C:Q,12,0)),2))=0,
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плиты'!C:Q,12,0)),3)),
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плиты'!C:Q,12,0)),2))),
(SUMIFS('Шаг1.Выбор плиты'!$G:$G,'Шаг1.Выбор плиты'!J:J,"*"&amp;RIGHT(VLOOKUP(C39,'Шаг1.Выбор плиты'!C:Q,8,0),4),'Шаг1.Выбор плиты'!L:L,VLOOKUP(C39,'Шаг1.Выбор плиты'!C:Q,10,0),'Шаг1.Выбор плиты'!N:N,U39,'Шаг1.Выбор плиты'!M:M,SMALL(INDIRECT("мм"&amp;VLOOKUP(C39,'Шаг1.Выбор плиты'!C:Q,12,0)),1)))))))</f>
        <v/>
      </c>
      <c r="L39" s="147" t="str">
        <f ca="1">IFERROR(IFERROR(IF(VLOOKUP($A39,'Шаг2.Бланк заказа NEW'!$B$17:$N$201,9,0)="","",VLOOKUP($A39,'Шаг2.Бланк заказа NEW'!$B$17:$N$201,9,0)),
IF(VLOOKUP($A39-COUNT('Шаг2.Бланк заказа NEW'!$B$19:$B$201),'Бланк OLD 0.8 04'!$B$12:$K$200,9,0)="","",VLOOKUP($A39-COUNT('Шаг2.Бланк заказа NEW'!$B$19:$B$201),'Бланк OLD 0.8 04'!$B$12:$K$200,9,0))),
IF(VLOOKUP($A39-COUNT('Шаг2.Бланк заказа NEW'!$B$19:$B$201)-COUNT('Бланк OLD 0.8 04'!$B$18:$B$200),'Бланк OLD 2.0 04 '!$B$16:$K$200,9,0)="","",VLOOKUP($A39-COUNT('Шаг2.Бланк заказа NEW'!$B$19:$B$201)-COUNT('Бланк OLD 0.8 04'!$B$18:$B$200),'Бланк OLD 2.0 04 '!$B$16:$K$200,9,0)))</f>
        <v/>
      </c>
      <c r="M39" s="154" t="str">
        <f t="shared" ca="1" si="5"/>
        <v/>
      </c>
      <c r="N39" s="153" t="str">
        <f ca="1">IFERROR(IF(VLOOKUP($A39,'Шаг2.Бланк заказа NEW'!$B$17:$N$201,11,0)="","",VLOOKUP($A39,'Шаг2.Бланк заказа NEW'!$B$17:$N$201,11,0)),
"Нет")</f>
        <v/>
      </c>
      <c r="O39" s="147" t="str">
        <f ca="1">IFERROR(IF(VLOOKUP($A39,'Шаг2.Бланк заказа NEW'!$B$17:$N$201,11,0)="","",VLOOKUP($A39,'Шаг2.Бланк заказа NEW'!$B$17:$N$201,12,0)),
"Нет")</f>
        <v/>
      </c>
      <c r="P39" s="153" t="str">
        <f ca="1">IFERROR(IF(VLOOKUP($A39,'Шаг2.Бланк заказа NEW'!$B$17:$N$201,13,0)="","",VLOOKUP($A39,'Шаг2.Бланк заказа NEW'!$B$17:$N$201,13,0)),
"Нет")</f>
        <v/>
      </c>
      <c r="Q39" s="147" t="str">
        <f ca="1">IFERROR(IF(VLOOKUP($A39,'Шаг2.Бланк заказа NEW'!$B$17:$O$201,14,0)="","",VLOOKUP($A39,'Шаг2.Бланк заказа NEW'!$B$17:$O$201,14,0)),"")</f>
        <v/>
      </c>
      <c r="R39" s="147" t="str">
        <f ca="1">IFERROR(IFERROR(IF(VLOOKUP($A39,'Шаг2.Бланк заказа NEW'!$B$17:$N$201,4,0)="","",VLOOKUP($A39,'Шаг2.Бланк заказа NEW'!$B$17:$N$201,4,0)),
IF(VLOOKUP($A39-COUNT('Шаг2.Бланк заказа NEW'!$B$19:$B$201),'Бланк OLD 0.8 04'!$B$12:$K$200,4,0)&gt;0,0.8,
IF(VLOOKUP($A39-COUNT('Шаг2.Бланк заказа NEW'!$B$19:$B$201),'Бланк OLD 0.8 04'!$B$12:$K$200,5,0)&gt;0,0.4,""))),
IF(VLOOKUP($A39-COUNT('Шаг2.Бланк заказа NEW'!$B$19:$B$201)-COUNT('Бланк OLD 0.8 04'!$B$18:$B$200),'Бланк OLD 2.0 04 '!$B$16:$K$200,4,0)&gt;0,2,IF(VLOOKUP($A39-COUNT('Шаг2.Бланк заказа NEW'!$B$19:$B$201)-COUNT('Бланк OLD 0.8 04'!$B$18:$B$200),'Бланк OLD 2.0 04 '!$B$16:$K$200,5,0)&gt;0,0.4,"")))</f>
        <v/>
      </c>
      <c r="S39" s="147" t="str">
        <f ca="1">IFERROR(IFERROR(IF(VLOOKUP($A39,'Шаг2.Бланк заказа NEW'!$B$17:$N$201,5,0)="","",VLOOKUP($A39,'Шаг2.Бланк заказа NEW'!$B$17:$N$201,5,0)),
IF(VLOOKUP($A39-COUNT('Шаг2.Бланк заказа NEW'!$B$19:$B$201),'Бланк OLD 0.8 04'!$B$12:$K$200,4,0)&gt;1,0.8,
IF(VLOOKUP($A39-COUNT('Шаг2.Бланк заказа NEW'!$B$19:$B$201),'Бланк OLD 0.8 04'!$B$12:$K$200,5,0)&gt;1,0.4,
IF(AND(VLOOKUP($A39-COUNT('Шаг2.Бланк заказа NEW'!$B$19:$B$201),'Бланк OLD 0.8 04'!$B$12:$K$200,4,0)&gt;0,VLOOKUP($A39-COUNT('Шаг2.Бланк заказа NEW'!$B$19:$B$201),'Бланк OLD 0.8 04'!$B$12:$K$200,5,0)&gt;0),0.4,"")))),
IF(VLOOKUP($A39-COUNT('Шаг2.Бланк заказа NEW'!$B$19:$B$201)-COUNT('Бланк OLD 0.8 04'!$B$18:$B$200),'Бланк OLD 2.0 04 '!$B$16:$K$200,4,0)&gt;1,2,
IF(VLOOKUP($A39-COUNT('Шаг2.Бланк заказа NEW'!$B$19:$B$201)-COUNT('Бланк OLD 0.8 04'!$B$18:$B$200),'Бланк OLD 2.0 04 '!$B$16:$K$200,5,0)&gt;1,0.4,IF(AND(VLOOKUP($A39-COUNT('Шаг2.Бланк заказа NEW'!$B$19:$B$201)-COUNT('Бланк OLD 0.8 04'!$B$18:$B$200),'Бланк OLD 2.0 04 '!$B$16:$K$200,4,0)&gt;0,VLOOKUP($A39-COUNT('Шаг2.Бланк заказа NEW'!$B$19:$B$201)-COUNT('Бланк OLD 0.8 04'!$B$18:$B$200),'Бланк OLD 2.0 04 '!$B$16:$K$200,5,0)&gt;0),0.4,""))))</f>
        <v/>
      </c>
      <c r="T39" s="147" t="str">
        <f ca="1">IFERROR(IFERROR(IF(VLOOKUP($A39,'Шаг2.Бланк заказа NEW'!$B$17:$N$201,7,0)="","",VLOOKUP($A39,'Шаг2.Бланк заказа NEW'!$B$17:$N$201,7,0)),
IF(VLOOKUP($A39-COUNT('Шаг2.Бланк заказа NEW'!$B$19:$B$201),'Бланк OLD 0.8 04'!$B$12:$K$200,7,0)&gt;0,0.8,
IF(VLOOKUP($A39-COUNT('Шаг2.Бланк заказа NEW'!$B$19:$B$201),'Бланк OLD 0.8 04'!$B$12:$K$200,8,0)&gt;0,0.4,""))),
IF(VLOOKUP($A39-COUNT('Шаг2.Бланк заказа NEW'!$B$19:$B$201)-COUNT('Бланк OLD 0.8 04'!$B$18:$B$200),'Бланк OLD 2.0 04 '!$B$16:$K$200,7,0)&gt;0,2,IF(VLOOKUP($A39-COUNT('Шаг2.Бланк заказа NEW'!$B$19:$B$201)-COUNT('Бланк OLD 0.8 04'!$B$18:$B$200),'Бланк OLD 2.0 04 '!$B$16:$K$200,8,0)&gt;0,0.4,"")))</f>
        <v/>
      </c>
      <c r="U39" s="147" t="str">
        <f ca="1">IFERROR(IFERROR(IF(VLOOKUP($A39,'Шаг2.Бланк заказа NEW'!$B$17:$N$201,8,0)="","",VLOOKUP($A39,'Шаг2.Бланк заказа NEW'!$B$17:$N$201,8,0)),
IF(VLOOKUP($A39-COUNT('Шаг2.Бланк заказа NEW'!$B$19:$B$201),'Бланк OLD 0.8 04'!$B$12:$K$200,7,0)&gt;1,0.8,
IF(VLOOKUP($A39-COUNT('Шаг2.Бланк заказа NEW'!$B$19:$B$201),'Бланк OLD 0.8 04'!$B$12:$K$200,8,0)&gt;1,0.4,
IF(AND(VLOOKUP($A39-COUNT('Шаг2.Бланк заказа NEW'!$B$19:$B$201),'Бланк OLD 0.8 04'!$B$12:$K$200,7,0)&gt;0,VLOOKUP($A39-COUNT('Шаг2.Бланк заказа NEW'!$B$19:$B$201),'Бланк OLD 0.8 04'!$B$12:$K$200,8,0)&gt;0),0.4,"")))),
IF(VLOOKUP($A39-COUNT('Шаг2.Бланк заказа NEW'!$B$19:$B$201)-COUNT('Бланк OLD 0.8 04'!$B$18:$B$200),'Бланк OLD 2.0 04 '!$B$16:$K$200,7,0)&gt;1,2,
IF(VLOOKUP($A39-COUNT('Шаг2.Бланк заказа NEW'!$B$19:$B$201)-COUNT('Бланк OLD 0.8 04'!$B$18:$B$200),'Бланк OLD 2.0 04 '!$B$16:$K$200,8,0)&gt;1,0.4,
IF(AND(VLOOKUP($A39-COUNT('Шаг2.Бланк заказа NEW'!$B$19:$B$201)-COUNT('Бланк OLD 0.8 04'!$B$18:$B$200),'Бланк OLD 2.0 04 '!$B$16:$K$200,7,0)&gt;0,VLOOKUP($A39-COUNT('Шаг2.Бланк заказа NEW'!$B$19:$B$201)-COUNT('Бланк OLD 0.8 04'!$B$18:$B$200),'Бланк OLD 2.0 04 '!$B$16:$K$200,8,0)&gt;0),0.4,""))))</f>
        <v/>
      </c>
      <c r="V39" s="146" t="str">
        <f ca="1">IFERROR(VLOOKUP(C39,'Шаг1.Выбор плиты'!C:S,12,0),"")</f>
        <v/>
      </c>
      <c r="W39" s="146" t="str">
        <f ca="1">IFERROR(VLOOKUP(C39,'Шаг1.Выбор плиты'!C:S,8,0),"")</f>
        <v/>
      </c>
      <c r="X39" s="146" t="str">
        <f ca="1">IFERROR(VLOOKUP(C39,'Шаг1.Выбор плиты'!C:S,10,0),"")</f>
        <v/>
      </c>
      <c r="Y39" s="147" t="str">
        <f t="shared" ca="1" si="1"/>
        <v/>
      </c>
      <c r="AD39" s="147" t="str">
        <f t="shared" ca="1" si="6"/>
        <v/>
      </c>
      <c r="AE39" s="147" t="str">
        <f t="shared" ca="1" si="3"/>
        <v/>
      </c>
      <c r="AF39" s="25"/>
      <c r="AH39" s="147" t="str">
        <f ca="1">IF(C39="","",VLOOKUP(C39,'Шаг1.Выбор плиты'!C:Q,7,0))</f>
        <v/>
      </c>
      <c r="AI39" s="147" t="str">
        <f t="shared" ca="1" si="7"/>
        <v/>
      </c>
    </row>
    <row r="40" spans="1:35" x14ac:dyDescent="0.2">
      <c r="A40" s="151" t="str">
        <f ca="1">IF(C40="","",MAX($A$1:OFFSET(C40,-1,0))+1)</f>
        <v/>
      </c>
      <c r="B40" s="151" t="str">
        <f ca="1">IFERROR(IFERROR(IFERROR("Шаг2.Бланк заказа NEW №"&amp;VLOOKUP(A39+1,CHOOSE({1,2},'Шаг2.Бланк заказа NEW'!$B$19:$B$201,'Шаг2.Бланк заказа NEW'!$A$19:$A$201),1,0),
"Бланк OLD 0.8 04 №"&amp;VLOOKUP(A39+1-COUNT('Шаг2.Бланк заказа NEW'!$B$19:$B$201),CHOOSE({1,2},'Бланк OLD 0.8 04'!$B$18:$B$200,'Бланк OLD 0.8 04'!$A$18:$A$200),1,0)),
"Бланк OLD 2.0 04 №"&amp;VLOOKUP(A39+1-COUNT('Шаг2.Бланк заказа NEW'!$B$19:$B$201)-COUNT('Бланк OLD 0.8 04'!$B$18:$B$200),CHOOSE({1,2},'Бланк OLD 2.0 04 '!$B$18:$B$200,'Бланк OLD 2.0 04 '!$A$18:$A$200),1,0)),"")</f>
        <v/>
      </c>
      <c r="C40" s="152" t="str">
        <f ca="1">IFERROR(IFERROR(IFERROR(VLOOKUP(A39+1,CHOOSE({1,2},'Шаг2.Бланк заказа NEW'!$B$19:$B$201,'Шаг2.Бланк заказа NEW'!$A$19:$A$201),2,0),
VLOOKUP(A39+1-COUNT('Шаг2.Бланк заказа NEW'!$B$19:$B$201),CHOOSE({1,2},'Бланк OLD 0.8 04'!$B$18:$B$200,'Бланк OLD 0.8 04'!$A$18:$A$200),2,0)),
VLOOKUP(A39+1-COUNT('Шаг2.Бланк заказа NEW'!$B$19:$B$201)-COUNT('Бланк OLD 0.8 04'!$B$18:$B$200),CHOOSE({1,2},'Бланк OLD 2.0 04 '!$B$18:$B$200,'Бланк OLD 2.0 04 '!$A$18:$A$200),2,0)),"")</f>
        <v/>
      </c>
      <c r="D40" s="150" t="str">
        <f ca="1">IFERROR(VLOOKUP(C40,'Шаг1.Выбор плиты'!C:G,5,0),"")</f>
        <v/>
      </c>
      <c r="E40" s="147" t="str">
        <f ca="1">IFERROR(IFERROR(IF(VLOOKUP($A40,'Шаг2.Бланк заказа NEW'!$B$17:$N$201,2,0)="","",VLOOKUP($A40,'Шаг2.Бланк заказа NEW'!$B$17:$N$201,2,0)),
IF(VLOOKUP($A40-COUNT('Шаг2.Бланк заказа NEW'!$B$19:$B$201),'Бланк OLD 0.8 04'!$B$12:$K$200,2,0)="","",VLOOKUP($A40-COUNT('Шаг2.Бланк заказа NEW'!$B$19:$B$201),'Бланк OLD 0.8 04'!$B$12:$K$200,2,0))),
IF(VLOOKUP($A40-COUNT('Шаг2.Бланк заказа NEW'!$B$19:$B$201)-COUNT('Бланк OLD 0.8 04'!$B$18:$B$200),'Бланк OLD 2.0 04 '!$B$16:$K$200,2,0)="","",VLOOKUP($A40-COUNT('Шаг2.Бланк заказа NEW'!$B$19:$B$201)-COUNT('Бланк OLD 0.8 04'!$B$18:$B$200),'Бланк OLD 2.0 04 '!$B$16:$K$200,2,0)))</f>
        <v/>
      </c>
      <c r="F40" s="147" t="str">
        <f ca="1">IFERROR(IFERROR(IF(VLOOKUP($A40,'Шаг2.Бланк заказа NEW'!$B$17:$N$201,3,0)="","",VLOOKUP($A40,'Шаг2.Бланк заказа NEW'!$B$17:$N$201,3,0)),
IF(VLOOKUP($A40-COUNT('Шаг2.Бланк заказа NEW'!$B$19:$B$201),'Бланк OLD 0.8 04'!$B$12:$K$200,3,0)="","",VLOOKUP($A40-COUNT('Шаг2.Бланк заказа NEW'!$B$19:$B$201),'Бланк OLD 0.8 04'!$B$12:$K$200,3,0))),
IF(VLOOKUP($A40-COUNT('Шаг2.Бланк заказа NEW'!$B$19:$B$201)-COUNT('Бланк OLD 0.8 04'!$B$18:$B$200),'Бланк OLD 2.0 04 '!$B$16:$K$200,3,0)="","",VLOOKUP($A40-COUNT('Шаг2.Бланк заказа NEW'!$B$19:$B$201)-COUNT('Бланк OLD 0.8 04'!$B$18:$B$200),'Бланк OLD 2.0 04 '!$B$16:$K$200,3,0)))</f>
        <v/>
      </c>
      <c r="G40" s="176" t="str">
        <f ca="1">IF(IF(R40="","",IF(R40=1,SUMIFS('Шаг1.Выбор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плиты'!C:Q,12,0)),1))))))=0,
R40,
IF(R40="","",IF(R40=1,SUMIFS('Шаг1.Выбор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плиты'!N:N,R40,'Шаг1.Выбор плиты'!M:M,SMALL(INDIRECT("мм"&amp;VLOOKUP(C40,'Шаг1.Выбор плиты'!C:Q,12,0)),1)))))))</f>
        <v/>
      </c>
      <c r="H40" s="177" t="str">
        <f ca="1">IF(IF(S40="","",IF(S40=1,SUMIFS('Шаг1.Выбор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плиты'!C:Q,12,0)),1))))))=0,
S40,
IF(S40="","",IF(S40=1,SUMIFS('Шаг1.Выбор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плиты'!N:N,S40,'Шаг1.Выбор плиты'!M:M,SMALL(INDIRECT("мм"&amp;VLOOKUP(C40,'Шаг1.Выбор плиты'!C:Q,12,0)),1)))))))</f>
        <v/>
      </c>
      <c r="I40" s="147" t="str">
        <f ca="1">IFERROR(IFERROR(IF(VLOOKUP($A40,'Шаг2.Бланк заказа NEW'!$B$17:$N$201,6,0)="","",VLOOKUP($A40,'Шаг2.Бланк заказа NEW'!$B$17:$N$201,6,0)),
IF(VLOOKUP($A40-COUNT('Шаг2.Бланк заказа NEW'!$B$19:$B$201),'Бланк OLD 0.8 04'!$B$12:$K$200,6,0)="","",VLOOKUP($A40-COUNT('Шаг2.Бланк заказа NEW'!$B$19:$B$201),'Бланк OLD 0.8 04'!$B$12:$K$200,6,0))),
IF(VLOOKUP($A40-COUNT('Шаг2.Бланк заказа NEW'!$B$19:$B$201)-COUNT('Бланк OLD 0.8 04'!$B$18:$B$200),'Бланк OLD 2.0 04 '!$B$16:$K$200,6,0)="","",VLOOKUP($A40-COUNT('Шаг2.Бланк заказа NEW'!$B$19:$B$201)-COUNT('Бланк OLD 0.8 04'!$B$18:$B$200),'Бланк OLD 2.0 04 '!$B$16:$K$200,6,0)))</f>
        <v/>
      </c>
      <c r="J40" s="177" t="str">
        <f ca="1">IF(IF(T40="","",IF(T40=1,SUMIFS('Шаг1.Выбор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плиты'!C:Q,12,0)),1))))))=0,
T40,
IF(T40="","",IF(T40=1,SUMIFS('Шаг1.Выбор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плиты'!N:N,T40,'Шаг1.Выбор плиты'!M:M,SMALL(INDIRECT("мм"&amp;VLOOKUP(C40,'Шаг1.Выбор плиты'!C:Q,12,0)),1)))))))</f>
        <v/>
      </c>
      <c r="K40" s="177" t="str">
        <f ca="1">IF(IF(U40="","",IF(U40=1,SUMIFS('Шаг1.Выбор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плиты'!C:Q,12,0)),1))))))=0,
U40,
IF(U40="","",IF(U40=1,SUMIFS('Шаг1.Выбор плиты'!$G:$G,'Шаг1.Выбор плиты'!J:J,"*"&amp;RIGHT(VLOOKUP(C40,'Шаг1.Выбор плиты'!C:Q,8,0),4),'Шаг1.Выбор плиты'!L:L,IF(MID(C40,1,6)="ЛДСП P","TM"&amp;MID(VLOOKUP(C40,'Шаг1.Выбор плиты'!C:Q,10,0),3,2),MID(VLOOKUP(C40,'Шаг1.Выбор плиты'!C:Q,10,0),1,2)),
'Шаг1.Выбор плиты'!N:N,1),IF(SUMIFS('Шаг1.Выбор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плиты'!C:Q,12,0)),1))=0,
IF(SUMIFS('Шаг1.Выбор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плиты'!C:Q,12,0)),2))=0,
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плиты'!C:Q,12,0)),3)),
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плиты'!C:Q,12,0)),2))),
(SUMIFS('Шаг1.Выбор плиты'!$G:$G,'Шаг1.Выбор плиты'!J:J,"*"&amp;RIGHT(VLOOKUP(C40,'Шаг1.Выбор плиты'!C:Q,8,0),4),'Шаг1.Выбор плиты'!L:L,VLOOKUP(C40,'Шаг1.Выбор плиты'!C:Q,10,0),'Шаг1.Выбор плиты'!N:N,U40,'Шаг1.Выбор плиты'!M:M,SMALL(INDIRECT("мм"&amp;VLOOKUP(C40,'Шаг1.Выбор плиты'!C:Q,12,0)),1)))))))</f>
        <v/>
      </c>
      <c r="L40" s="147" t="str">
        <f ca="1">IFERROR(IFERROR(IF(VLOOKUP($A40,'Шаг2.Бланк заказа NEW'!$B$17:$N$201,9,0)="","",VLOOKUP($A40,'Шаг2.Бланк заказа NEW'!$B$17:$N$201,9,0)),
IF(VLOOKUP($A40-COUNT('Шаг2.Бланк заказа NEW'!$B$19:$B$201),'Бланк OLD 0.8 04'!$B$12:$K$200,9,0)="","",VLOOKUP($A40-COUNT('Шаг2.Бланк заказа NEW'!$B$19:$B$201),'Бланк OLD 0.8 04'!$B$12:$K$200,9,0))),
IF(VLOOKUP($A40-COUNT('Шаг2.Бланк заказа NEW'!$B$19:$B$201)-COUNT('Бланк OLD 0.8 04'!$B$18:$B$200),'Бланк OLD 2.0 04 '!$B$16:$K$200,9,0)="","",VLOOKUP($A40-COUNT('Шаг2.Бланк заказа NEW'!$B$19:$B$201)-COUNT('Бланк OLD 0.8 04'!$B$18:$B$200),'Бланк OLD 2.0 04 '!$B$16:$K$200,9,0)))</f>
        <v/>
      </c>
      <c r="M40" s="154" t="str">
        <f t="shared" ca="1" si="5"/>
        <v/>
      </c>
      <c r="N40" s="153" t="str">
        <f ca="1">IFERROR(IF(VLOOKUP($A40,'Шаг2.Бланк заказа NEW'!$B$17:$N$201,11,0)="","",VLOOKUP($A40,'Шаг2.Бланк заказа NEW'!$B$17:$N$201,11,0)),
"Нет")</f>
        <v/>
      </c>
      <c r="O40" s="147" t="str">
        <f ca="1">IFERROR(IF(VLOOKUP($A40,'Шаг2.Бланк заказа NEW'!$B$17:$N$201,11,0)="","",VLOOKUP($A40,'Шаг2.Бланк заказа NEW'!$B$17:$N$201,12,0)),
"Нет")</f>
        <v/>
      </c>
      <c r="P40" s="153" t="str">
        <f ca="1">IFERROR(IF(VLOOKUP($A40,'Шаг2.Бланк заказа NEW'!$B$17:$N$201,13,0)="","",VLOOKUP($A40,'Шаг2.Бланк заказа NEW'!$B$17:$N$201,13,0)),
"Нет")</f>
        <v/>
      </c>
      <c r="Q40" s="147" t="str">
        <f ca="1">IFERROR(IF(VLOOKUP($A40,'Шаг2.Бланк заказа NEW'!$B$17:$O$201,14,0)="","",VLOOKUP($A40,'Шаг2.Бланк заказа NEW'!$B$17:$O$201,14,0)),"")</f>
        <v/>
      </c>
      <c r="R40" s="147" t="str">
        <f ca="1">IFERROR(IFERROR(IF(VLOOKUP($A40,'Шаг2.Бланк заказа NEW'!$B$17:$N$201,4,0)="","",VLOOKUP($A40,'Шаг2.Бланк заказа NEW'!$B$17:$N$201,4,0)),
IF(VLOOKUP($A40-COUNT('Шаг2.Бланк заказа NEW'!$B$19:$B$201),'Бланк OLD 0.8 04'!$B$12:$K$200,4,0)&gt;0,0.8,
IF(VLOOKUP($A40-COUNT('Шаг2.Бланк заказа NEW'!$B$19:$B$201),'Бланк OLD 0.8 04'!$B$12:$K$200,5,0)&gt;0,0.4,""))),
IF(VLOOKUP($A40-COUNT('Шаг2.Бланк заказа NEW'!$B$19:$B$201)-COUNT('Бланк OLD 0.8 04'!$B$18:$B$200),'Бланк OLD 2.0 04 '!$B$16:$K$200,4,0)&gt;0,2,IF(VLOOKUP($A40-COUNT('Шаг2.Бланк заказа NEW'!$B$19:$B$201)-COUNT('Бланк OLD 0.8 04'!$B$18:$B$200),'Бланк OLD 2.0 04 '!$B$16:$K$200,5,0)&gt;0,0.4,"")))</f>
        <v/>
      </c>
      <c r="S40" s="147" t="str">
        <f ca="1">IFERROR(IFERROR(IF(VLOOKUP($A40,'Шаг2.Бланк заказа NEW'!$B$17:$N$201,5,0)="","",VLOOKUP($A40,'Шаг2.Бланк заказа NEW'!$B$17:$N$201,5,0)),
IF(VLOOKUP($A40-COUNT('Шаг2.Бланк заказа NEW'!$B$19:$B$201),'Бланк OLD 0.8 04'!$B$12:$K$200,4,0)&gt;1,0.8,
IF(VLOOKUP($A40-COUNT('Шаг2.Бланк заказа NEW'!$B$19:$B$201),'Бланк OLD 0.8 04'!$B$12:$K$200,5,0)&gt;1,0.4,
IF(AND(VLOOKUP($A40-COUNT('Шаг2.Бланк заказа NEW'!$B$19:$B$201),'Бланк OLD 0.8 04'!$B$12:$K$200,4,0)&gt;0,VLOOKUP($A40-COUNT('Шаг2.Бланк заказа NEW'!$B$19:$B$201),'Бланк OLD 0.8 04'!$B$12:$K$200,5,0)&gt;0),0.4,"")))),
IF(VLOOKUP($A40-COUNT('Шаг2.Бланк заказа NEW'!$B$19:$B$201)-COUNT('Бланк OLD 0.8 04'!$B$18:$B$200),'Бланк OLD 2.0 04 '!$B$16:$K$200,4,0)&gt;1,2,
IF(VLOOKUP($A40-COUNT('Шаг2.Бланк заказа NEW'!$B$19:$B$201)-COUNT('Бланк OLD 0.8 04'!$B$18:$B$200),'Бланк OLD 2.0 04 '!$B$16:$K$200,5,0)&gt;1,0.4,IF(AND(VLOOKUP($A40-COUNT('Шаг2.Бланк заказа NEW'!$B$19:$B$201)-COUNT('Бланк OLD 0.8 04'!$B$18:$B$200),'Бланк OLD 2.0 04 '!$B$16:$K$200,4,0)&gt;0,VLOOKUP($A40-COUNT('Шаг2.Бланк заказа NEW'!$B$19:$B$201)-COUNT('Бланк OLD 0.8 04'!$B$18:$B$200),'Бланк OLD 2.0 04 '!$B$16:$K$200,5,0)&gt;0),0.4,""))))</f>
        <v/>
      </c>
      <c r="T40" s="147" t="str">
        <f ca="1">IFERROR(IFERROR(IF(VLOOKUP($A40,'Шаг2.Бланк заказа NEW'!$B$17:$N$201,7,0)="","",VLOOKUP($A40,'Шаг2.Бланк заказа NEW'!$B$17:$N$201,7,0)),
IF(VLOOKUP($A40-COUNT('Шаг2.Бланк заказа NEW'!$B$19:$B$201),'Бланк OLD 0.8 04'!$B$12:$K$200,7,0)&gt;0,0.8,
IF(VLOOKUP($A40-COUNT('Шаг2.Бланк заказа NEW'!$B$19:$B$201),'Бланк OLD 0.8 04'!$B$12:$K$200,8,0)&gt;0,0.4,""))),
IF(VLOOKUP($A40-COUNT('Шаг2.Бланк заказа NEW'!$B$19:$B$201)-COUNT('Бланк OLD 0.8 04'!$B$18:$B$200),'Бланк OLD 2.0 04 '!$B$16:$K$200,7,0)&gt;0,2,IF(VLOOKUP($A40-COUNT('Шаг2.Бланк заказа NEW'!$B$19:$B$201)-COUNT('Бланк OLD 0.8 04'!$B$18:$B$200),'Бланк OLD 2.0 04 '!$B$16:$K$200,8,0)&gt;0,0.4,"")))</f>
        <v/>
      </c>
      <c r="U40" s="147" t="str">
        <f ca="1">IFERROR(IFERROR(IF(VLOOKUP($A40,'Шаг2.Бланк заказа NEW'!$B$17:$N$201,8,0)="","",VLOOKUP($A40,'Шаг2.Бланк заказа NEW'!$B$17:$N$201,8,0)),
IF(VLOOKUP($A40-COUNT('Шаг2.Бланк заказа NEW'!$B$19:$B$201),'Бланк OLD 0.8 04'!$B$12:$K$200,7,0)&gt;1,0.8,
IF(VLOOKUP($A40-COUNT('Шаг2.Бланк заказа NEW'!$B$19:$B$201),'Бланк OLD 0.8 04'!$B$12:$K$200,8,0)&gt;1,0.4,
IF(AND(VLOOKUP($A40-COUNT('Шаг2.Бланк заказа NEW'!$B$19:$B$201),'Бланк OLD 0.8 04'!$B$12:$K$200,7,0)&gt;0,VLOOKUP($A40-COUNT('Шаг2.Бланк заказа NEW'!$B$19:$B$201),'Бланк OLD 0.8 04'!$B$12:$K$200,8,0)&gt;0),0.4,"")))),
IF(VLOOKUP($A40-COUNT('Шаг2.Бланк заказа NEW'!$B$19:$B$201)-COUNT('Бланк OLD 0.8 04'!$B$18:$B$200),'Бланк OLD 2.0 04 '!$B$16:$K$200,7,0)&gt;1,2,
IF(VLOOKUP($A40-COUNT('Шаг2.Бланк заказа NEW'!$B$19:$B$201)-COUNT('Бланк OLD 0.8 04'!$B$18:$B$200),'Бланк OLD 2.0 04 '!$B$16:$K$200,8,0)&gt;1,0.4,
IF(AND(VLOOKUP($A40-COUNT('Шаг2.Бланк заказа NEW'!$B$19:$B$201)-COUNT('Бланк OLD 0.8 04'!$B$18:$B$200),'Бланк OLD 2.0 04 '!$B$16:$K$200,7,0)&gt;0,VLOOKUP($A40-COUNT('Шаг2.Бланк заказа NEW'!$B$19:$B$201)-COUNT('Бланк OLD 0.8 04'!$B$18:$B$200),'Бланк OLD 2.0 04 '!$B$16:$K$200,8,0)&gt;0),0.4,""))))</f>
        <v/>
      </c>
      <c r="V40" s="146" t="str">
        <f ca="1">IFERROR(VLOOKUP(C40,'Шаг1.Выбор плиты'!C:S,12,0),"")</f>
        <v/>
      </c>
      <c r="W40" s="146" t="str">
        <f ca="1">IFERROR(VLOOKUP(C40,'Шаг1.Выбор плиты'!C:S,8,0),"")</f>
        <v/>
      </c>
      <c r="X40" s="146" t="str">
        <f ca="1">IFERROR(VLOOKUP(C40,'Шаг1.Выбор плиты'!C:S,10,0),"")</f>
        <v/>
      </c>
      <c r="Y40" s="147" t="str">
        <f t="shared" ca="1" si="1"/>
        <v/>
      </c>
      <c r="AD40" s="147" t="str">
        <f t="shared" ca="1" si="6"/>
        <v/>
      </c>
      <c r="AE40" s="147" t="str">
        <f t="shared" ca="1" si="3"/>
        <v/>
      </c>
      <c r="AF40" s="25"/>
      <c r="AH40" s="147" t="str">
        <f ca="1">IF(C40="","",VLOOKUP(C40,'Шаг1.Выбор плиты'!C:Q,7,0))</f>
        <v/>
      </c>
      <c r="AI40" s="147" t="str">
        <f t="shared" ca="1" si="7"/>
        <v/>
      </c>
    </row>
    <row r="41" spans="1:35" x14ac:dyDescent="0.2">
      <c r="A41" s="151" t="str">
        <f ca="1">IF(C41="","",MAX($A$1:OFFSET(C41,-1,0))+1)</f>
        <v/>
      </c>
      <c r="B41" s="151" t="str">
        <f ca="1">IFERROR(IFERROR(IFERROR("Шаг2.Бланк заказа NEW №"&amp;VLOOKUP(A40+1,CHOOSE({1,2},'Шаг2.Бланк заказа NEW'!$B$19:$B$201,'Шаг2.Бланк заказа NEW'!$A$19:$A$201),1,0),
"Бланк OLD 0.8 04 №"&amp;VLOOKUP(A40+1-COUNT('Шаг2.Бланк заказа NEW'!$B$19:$B$201),CHOOSE({1,2},'Бланк OLD 0.8 04'!$B$18:$B$200,'Бланк OLD 0.8 04'!$A$18:$A$200),1,0)),
"Бланк OLD 2.0 04 №"&amp;VLOOKUP(A40+1-COUNT('Шаг2.Бланк заказа NEW'!$B$19:$B$201)-COUNT('Бланк OLD 0.8 04'!$B$18:$B$200),CHOOSE({1,2},'Бланк OLD 2.0 04 '!$B$18:$B$200,'Бланк OLD 2.0 04 '!$A$18:$A$200),1,0)),"")</f>
        <v/>
      </c>
      <c r="C41" s="152" t="str">
        <f ca="1">IFERROR(IFERROR(IFERROR(VLOOKUP(A40+1,CHOOSE({1,2},'Шаг2.Бланк заказа NEW'!$B$19:$B$201,'Шаг2.Бланк заказа NEW'!$A$19:$A$201),2,0),
VLOOKUP(A40+1-COUNT('Шаг2.Бланк заказа NEW'!$B$19:$B$201),CHOOSE({1,2},'Бланк OLD 0.8 04'!$B$18:$B$200,'Бланк OLD 0.8 04'!$A$18:$A$200),2,0)),
VLOOKUP(A40+1-COUNT('Шаг2.Бланк заказа NEW'!$B$19:$B$201)-COUNT('Бланк OLD 0.8 04'!$B$18:$B$200),CHOOSE({1,2},'Бланк OLD 2.0 04 '!$B$18:$B$200,'Бланк OLD 2.0 04 '!$A$18:$A$200),2,0)),"")</f>
        <v/>
      </c>
      <c r="D41" s="150" t="str">
        <f ca="1">IFERROR(VLOOKUP(C41,'Шаг1.Выбор плиты'!C:G,5,0),"")</f>
        <v/>
      </c>
      <c r="E41" s="147" t="str">
        <f ca="1">IFERROR(IFERROR(IF(VLOOKUP($A41,'Шаг2.Бланк заказа NEW'!$B$17:$N$201,2,0)="","",VLOOKUP($A41,'Шаг2.Бланк заказа NEW'!$B$17:$N$201,2,0)),
IF(VLOOKUP($A41-COUNT('Шаг2.Бланк заказа NEW'!$B$19:$B$201),'Бланк OLD 0.8 04'!$B$12:$K$200,2,0)="","",VLOOKUP($A41-COUNT('Шаг2.Бланк заказа NEW'!$B$19:$B$201),'Бланк OLD 0.8 04'!$B$12:$K$200,2,0))),
IF(VLOOKUP($A41-COUNT('Шаг2.Бланк заказа NEW'!$B$19:$B$201)-COUNT('Бланк OLD 0.8 04'!$B$18:$B$200),'Бланк OLD 2.0 04 '!$B$16:$K$200,2,0)="","",VLOOKUP($A41-COUNT('Шаг2.Бланк заказа NEW'!$B$19:$B$201)-COUNT('Бланк OLD 0.8 04'!$B$18:$B$200),'Бланк OLD 2.0 04 '!$B$16:$K$200,2,0)))</f>
        <v/>
      </c>
      <c r="F41" s="147" t="str">
        <f ca="1">IFERROR(IFERROR(IF(VLOOKUP($A41,'Шаг2.Бланк заказа NEW'!$B$17:$N$201,3,0)="","",VLOOKUP($A41,'Шаг2.Бланк заказа NEW'!$B$17:$N$201,3,0)),
IF(VLOOKUP($A41-COUNT('Шаг2.Бланк заказа NEW'!$B$19:$B$201),'Бланк OLD 0.8 04'!$B$12:$K$200,3,0)="","",VLOOKUP($A41-COUNT('Шаг2.Бланк заказа NEW'!$B$19:$B$201),'Бланк OLD 0.8 04'!$B$12:$K$200,3,0))),
IF(VLOOKUP($A41-COUNT('Шаг2.Бланк заказа NEW'!$B$19:$B$201)-COUNT('Бланк OLD 0.8 04'!$B$18:$B$200),'Бланк OLD 2.0 04 '!$B$16:$K$200,3,0)="","",VLOOKUP($A41-COUNT('Шаг2.Бланк заказа NEW'!$B$19:$B$201)-COUNT('Бланк OLD 0.8 04'!$B$18:$B$200),'Бланк OLD 2.0 04 '!$B$16:$K$200,3,0)))</f>
        <v/>
      </c>
      <c r="G41" s="176" t="str">
        <f ca="1">IF(IF(R41="","",IF(R41=1,SUMIFS('Шаг1.Выбор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плиты'!C:Q,12,0)),1))))))=0,
R41,
IF(R41="","",IF(R41=1,SUMIFS('Шаг1.Выбор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плиты'!N:N,R41,'Шаг1.Выбор плиты'!M:M,SMALL(INDIRECT("мм"&amp;VLOOKUP(C41,'Шаг1.Выбор плиты'!C:Q,12,0)),1)))))))</f>
        <v/>
      </c>
      <c r="H41" s="177" t="str">
        <f ca="1">IF(IF(S41="","",IF(S41=1,SUMIFS('Шаг1.Выбор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плиты'!C:Q,12,0)),1))))))=0,
S41,
IF(S41="","",IF(S41=1,SUMIFS('Шаг1.Выбор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плиты'!N:N,S41,'Шаг1.Выбор плиты'!M:M,SMALL(INDIRECT("мм"&amp;VLOOKUP(C41,'Шаг1.Выбор плиты'!C:Q,12,0)),1)))))))</f>
        <v/>
      </c>
      <c r="I41" s="147" t="str">
        <f ca="1">IFERROR(IFERROR(IF(VLOOKUP($A41,'Шаг2.Бланк заказа NEW'!$B$17:$N$201,6,0)="","",VLOOKUP($A41,'Шаг2.Бланк заказа NEW'!$B$17:$N$201,6,0)),
IF(VLOOKUP($A41-COUNT('Шаг2.Бланк заказа NEW'!$B$19:$B$201),'Бланк OLD 0.8 04'!$B$12:$K$200,6,0)="","",VLOOKUP($A41-COUNT('Шаг2.Бланк заказа NEW'!$B$19:$B$201),'Бланк OLD 0.8 04'!$B$12:$K$200,6,0))),
IF(VLOOKUP($A41-COUNT('Шаг2.Бланк заказа NEW'!$B$19:$B$201)-COUNT('Бланк OLD 0.8 04'!$B$18:$B$200),'Бланк OLD 2.0 04 '!$B$16:$K$200,6,0)="","",VLOOKUP($A41-COUNT('Шаг2.Бланк заказа NEW'!$B$19:$B$201)-COUNT('Бланк OLD 0.8 04'!$B$18:$B$200),'Бланк OLD 2.0 04 '!$B$16:$K$200,6,0)))</f>
        <v/>
      </c>
      <c r="J41" s="177" t="str">
        <f ca="1">IF(IF(T41="","",IF(T41=1,SUMIFS('Шаг1.Выбор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плиты'!C:Q,12,0)),1))))))=0,
T41,
IF(T41="","",IF(T41=1,SUMIFS('Шаг1.Выбор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плиты'!N:N,T41,'Шаг1.Выбор плиты'!M:M,SMALL(INDIRECT("мм"&amp;VLOOKUP(C41,'Шаг1.Выбор плиты'!C:Q,12,0)),1)))))))</f>
        <v/>
      </c>
      <c r="K41" s="177" t="str">
        <f ca="1">IF(IF(U41="","",IF(U41=1,SUMIFS('Шаг1.Выбор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плиты'!C:Q,12,0)),1))))))=0,
U41,
IF(U41="","",IF(U41=1,SUMIFS('Шаг1.Выбор плиты'!$G:$G,'Шаг1.Выбор плиты'!J:J,"*"&amp;RIGHT(VLOOKUP(C41,'Шаг1.Выбор плиты'!C:Q,8,0),4),'Шаг1.Выбор плиты'!L:L,IF(MID(C41,1,6)="ЛДСП P","TM"&amp;MID(VLOOKUP(C41,'Шаг1.Выбор плиты'!C:Q,10,0),3,2),MID(VLOOKUP(C41,'Шаг1.Выбор плиты'!C:Q,10,0),1,2)),
'Шаг1.Выбор плиты'!N:N,1),IF(SUMIFS('Шаг1.Выбор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плиты'!C:Q,12,0)),1))=0,
IF(SUMIFS('Шаг1.Выбор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плиты'!C:Q,12,0)),2))=0,
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плиты'!C:Q,12,0)),3)),
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плиты'!C:Q,12,0)),2))),
(SUMIFS('Шаг1.Выбор плиты'!$G:$G,'Шаг1.Выбор плиты'!J:J,"*"&amp;RIGHT(VLOOKUP(C41,'Шаг1.Выбор плиты'!C:Q,8,0),4),'Шаг1.Выбор плиты'!L:L,VLOOKUP(C41,'Шаг1.Выбор плиты'!C:Q,10,0),'Шаг1.Выбор плиты'!N:N,U41,'Шаг1.Выбор плиты'!M:M,SMALL(INDIRECT("мм"&amp;VLOOKUP(C41,'Шаг1.Выбор плиты'!C:Q,12,0)),1)))))))</f>
        <v/>
      </c>
      <c r="L41" s="147" t="str">
        <f ca="1">IFERROR(IFERROR(IF(VLOOKUP($A41,'Шаг2.Бланк заказа NEW'!$B$17:$N$201,9,0)="","",VLOOKUP($A41,'Шаг2.Бланк заказа NEW'!$B$17:$N$201,9,0)),
IF(VLOOKUP($A41-COUNT('Шаг2.Бланк заказа NEW'!$B$19:$B$201),'Бланк OLD 0.8 04'!$B$12:$K$200,9,0)="","",VLOOKUP($A41-COUNT('Шаг2.Бланк заказа NEW'!$B$19:$B$201),'Бланк OLD 0.8 04'!$B$12:$K$200,9,0))),
IF(VLOOKUP($A41-COUNT('Шаг2.Бланк заказа NEW'!$B$19:$B$201)-COUNT('Бланк OLD 0.8 04'!$B$18:$B$200),'Бланк OLD 2.0 04 '!$B$16:$K$200,9,0)="","",VLOOKUP($A41-COUNT('Шаг2.Бланк заказа NEW'!$B$19:$B$201)-COUNT('Бланк OLD 0.8 04'!$B$18:$B$200),'Бланк OLD 2.0 04 '!$B$16:$K$200,9,0)))</f>
        <v/>
      </c>
      <c r="M41" s="154" t="str">
        <f t="shared" ca="1" si="5"/>
        <v/>
      </c>
      <c r="N41" s="153" t="str">
        <f ca="1">IFERROR(IF(VLOOKUP($A41,'Шаг2.Бланк заказа NEW'!$B$17:$N$201,11,0)="","",VLOOKUP($A41,'Шаг2.Бланк заказа NEW'!$B$17:$N$201,11,0)),
"Нет")</f>
        <v/>
      </c>
      <c r="O41" s="147" t="str">
        <f ca="1">IFERROR(IF(VLOOKUP($A41,'Шаг2.Бланк заказа NEW'!$B$17:$N$201,11,0)="","",VLOOKUP($A41,'Шаг2.Бланк заказа NEW'!$B$17:$N$201,12,0)),
"Нет")</f>
        <v/>
      </c>
      <c r="P41" s="153" t="str">
        <f ca="1">IFERROR(IF(VLOOKUP($A41,'Шаг2.Бланк заказа NEW'!$B$17:$N$201,13,0)="","",VLOOKUP($A41,'Шаг2.Бланк заказа NEW'!$B$17:$N$201,13,0)),
"Нет")</f>
        <v/>
      </c>
      <c r="Q41" s="147" t="str">
        <f ca="1">IFERROR(IF(VLOOKUP($A41,'Шаг2.Бланк заказа NEW'!$B$17:$O$201,14,0)="","",VLOOKUP($A41,'Шаг2.Бланк заказа NEW'!$B$17:$O$201,14,0)),"")</f>
        <v/>
      </c>
      <c r="R41" s="147" t="str">
        <f ca="1">IFERROR(IFERROR(IF(VLOOKUP($A41,'Шаг2.Бланк заказа NEW'!$B$17:$N$201,4,0)="","",VLOOKUP($A41,'Шаг2.Бланк заказа NEW'!$B$17:$N$201,4,0)),
IF(VLOOKUP($A41-COUNT('Шаг2.Бланк заказа NEW'!$B$19:$B$201),'Бланк OLD 0.8 04'!$B$12:$K$200,4,0)&gt;0,0.8,
IF(VLOOKUP($A41-COUNT('Шаг2.Бланк заказа NEW'!$B$19:$B$201),'Бланк OLD 0.8 04'!$B$12:$K$200,5,0)&gt;0,0.4,""))),
IF(VLOOKUP($A41-COUNT('Шаг2.Бланк заказа NEW'!$B$19:$B$201)-COUNT('Бланк OLD 0.8 04'!$B$18:$B$200),'Бланк OLD 2.0 04 '!$B$16:$K$200,4,0)&gt;0,2,IF(VLOOKUP($A41-COUNT('Шаг2.Бланк заказа NEW'!$B$19:$B$201)-COUNT('Бланк OLD 0.8 04'!$B$18:$B$200),'Бланк OLD 2.0 04 '!$B$16:$K$200,5,0)&gt;0,0.4,"")))</f>
        <v/>
      </c>
      <c r="S41" s="147" t="str">
        <f ca="1">IFERROR(IFERROR(IF(VLOOKUP($A41,'Шаг2.Бланк заказа NEW'!$B$17:$N$201,5,0)="","",VLOOKUP($A41,'Шаг2.Бланк заказа NEW'!$B$17:$N$201,5,0)),
IF(VLOOKUP($A41-COUNT('Шаг2.Бланк заказа NEW'!$B$19:$B$201),'Бланк OLD 0.8 04'!$B$12:$K$200,4,0)&gt;1,0.8,
IF(VLOOKUP($A41-COUNT('Шаг2.Бланк заказа NEW'!$B$19:$B$201),'Бланк OLD 0.8 04'!$B$12:$K$200,5,0)&gt;1,0.4,
IF(AND(VLOOKUP($A41-COUNT('Шаг2.Бланк заказа NEW'!$B$19:$B$201),'Бланк OLD 0.8 04'!$B$12:$K$200,4,0)&gt;0,VLOOKUP($A41-COUNT('Шаг2.Бланк заказа NEW'!$B$19:$B$201),'Бланк OLD 0.8 04'!$B$12:$K$200,5,0)&gt;0),0.4,"")))),
IF(VLOOKUP($A41-COUNT('Шаг2.Бланк заказа NEW'!$B$19:$B$201)-COUNT('Бланк OLD 0.8 04'!$B$18:$B$200),'Бланк OLD 2.0 04 '!$B$16:$K$200,4,0)&gt;1,2,
IF(VLOOKUP($A41-COUNT('Шаг2.Бланк заказа NEW'!$B$19:$B$201)-COUNT('Бланк OLD 0.8 04'!$B$18:$B$200),'Бланк OLD 2.0 04 '!$B$16:$K$200,5,0)&gt;1,0.4,IF(AND(VLOOKUP($A41-COUNT('Шаг2.Бланк заказа NEW'!$B$19:$B$201)-COUNT('Бланк OLD 0.8 04'!$B$18:$B$200),'Бланк OLD 2.0 04 '!$B$16:$K$200,4,0)&gt;0,VLOOKUP($A41-COUNT('Шаг2.Бланк заказа NEW'!$B$19:$B$201)-COUNT('Бланк OLD 0.8 04'!$B$18:$B$200),'Бланк OLD 2.0 04 '!$B$16:$K$200,5,0)&gt;0),0.4,""))))</f>
        <v/>
      </c>
      <c r="T41" s="147" t="str">
        <f ca="1">IFERROR(IFERROR(IF(VLOOKUP($A41,'Шаг2.Бланк заказа NEW'!$B$17:$N$201,7,0)="","",VLOOKUP($A41,'Шаг2.Бланк заказа NEW'!$B$17:$N$201,7,0)),
IF(VLOOKUP($A41-COUNT('Шаг2.Бланк заказа NEW'!$B$19:$B$201),'Бланк OLD 0.8 04'!$B$12:$K$200,7,0)&gt;0,0.8,
IF(VLOOKUP($A41-COUNT('Шаг2.Бланк заказа NEW'!$B$19:$B$201),'Бланк OLD 0.8 04'!$B$12:$K$200,8,0)&gt;0,0.4,""))),
IF(VLOOKUP($A41-COUNT('Шаг2.Бланк заказа NEW'!$B$19:$B$201)-COUNT('Бланк OLD 0.8 04'!$B$18:$B$200),'Бланк OLD 2.0 04 '!$B$16:$K$200,7,0)&gt;0,2,IF(VLOOKUP($A41-COUNT('Шаг2.Бланк заказа NEW'!$B$19:$B$201)-COUNT('Бланк OLD 0.8 04'!$B$18:$B$200),'Бланк OLD 2.0 04 '!$B$16:$K$200,8,0)&gt;0,0.4,"")))</f>
        <v/>
      </c>
      <c r="U41" s="147" t="str">
        <f ca="1">IFERROR(IFERROR(IF(VLOOKUP($A41,'Шаг2.Бланк заказа NEW'!$B$17:$N$201,8,0)="","",VLOOKUP($A41,'Шаг2.Бланк заказа NEW'!$B$17:$N$201,8,0)),
IF(VLOOKUP($A41-COUNT('Шаг2.Бланк заказа NEW'!$B$19:$B$201),'Бланк OLD 0.8 04'!$B$12:$K$200,7,0)&gt;1,0.8,
IF(VLOOKUP($A41-COUNT('Шаг2.Бланк заказа NEW'!$B$19:$B$201),'Бланк OLD 0.8 04'!$B$12:$K$200,8,0)&gt;1,0.4,
IF(AND(VLOOKUP($A41-COUNT('Шаг2.Бланк заказа NEW'!$B$19:$B$201),'Бланк OLD 0.8 04'!$B$12:$K$200,7,0)&gt;0,VLOOKUP($A41-COUNT('Шаг2.Бланк заказа NEW'!$B$19:$B$201),'Бланк OLD 0.8 04'!$B$12:$K$200,8,0)&gt;0),0.4,"")))),
IF(VLOOKUP($A41-COUNT('Шаг2.Бланк заказа NEW'!$B$19:$B$201)-COUNT('Бланк OLD 0.8 04'!$B$18:$B$200),'Бланк OLD 2.0 04 '!$B$16:$K$200,7,0)&gt;1,2,
IF(VLOOKUP($A41-COUNT('Шаг2.Бланк заказа NEW'!$B$19:$B$201)-COUNT('Бланк OLD 0.8 04'!$B$18:$B$200),'Бланк OLD 2.0 04 '!$B$16:$K$200,8,0)&gt;1,0.4,
IF(AND(VLOOKUP($A41-COUNT('Шаг2.Бланк заказа NEW'!$B$19:$B$201)-COUNT('Бланк OLD 0.8 04'!$B$18:$B$200),'Бланк OLD 2.0 04 '!$B$16:$K$200,7,0)&gt;0,VLOOKUP($A41-COUNT('Шаг2.Бланк заказа NEW'!$B$19:$B$201)-COUNT('Бланк OLD 0.8 04'!$B$18:$B$200),'Бланк OLD 2.0 04 '!$B$16:$K$200,8,0)&gt;0),0.4,""))))</f>
        <v/>
      </c>
      <c r="V41" s="146" t="str">
        <f ca="1">IFERROR(VLOOKUP(C41,'Шаг1.Выбор плиты'!C:S,12,0),"")</f>
        <v/>
      </c>
      <c r="W41" s="146" t="str">
        <f ca="1">IFERROR(VLOOKUP(C41,'Шаг1.Выбор плиты'!C:S,8,0),"")</f>
        <v/>
      </c>
      <c r="X41" s="146" t="str">
        <f ca="1">IFERROR(VLOOKUP(C41,'Шаг1.Выбор плиты'!C:S,10,0),"")</f>
        <v/>
      </c>
      <c r="Y41" s="147" t="str">
        <f t="shared" ca="1" si="1"/>
        <v/>
      </c>
      <c r="AD41" s="147" t="str">
        <f t="shared" ca="1" si="6"/>
        <v/>
      </c>
      <c r="AE41" s="147" t="str">
        <f t="shared" ca="1" si="3"/>
        <v/>
      </c>
      <c r="AF41" s="25"/>
      <c r="AH41" s="147" t="str">
        <f ca="1">IF(C41="","",VLOOKUP(C41,'Шаг1.Выбор плиты'!C:Q,7,0))</f>
        <v/>
      </c>
      <c r="AI41" s="147" t="str">
        <f t="shared" ca="1" si="7"/>
        <v/>
      </c>
    </row>
    <row r="42" spans="1:35" x14ac:dyDescent="0.2">
      <c r="A42" s="151" t="str">
        <f ca="1">IF(C42="","",MAX($A$1:OFFSET(C42,-1,0))+1)</f>
        <v/>
      </c>
      <c r="B42" s="151" t="str">
        <f ca="1">IFERROR(IFERROR(IFERROR("Шаг2.Бланк заказа NEW №"&amp;VLOOKUP(A41+1,CHOOSE({1,2},'Шаг2.Бланк заказа NEW'!$B$19:$B$201,'Шаг2.Бланк заказа NEW'!$A$19:$A$201),1,0),
"Бланк OLD 0.8 04 №"&amp;VLOOKUP(A41+1-COUNT('Шаг2.Бланк заказа NEW'!$B$19:$B$201),CHOOSE({1,2},'Бланк OLD 0.8 04'!$B$18:$B$200,'Бланк OLD 0.8 04'!$A$18:$A$200),1,0)),
"Бланк OLD 2.0 04 №"&amp;VLOOKUP(A41+1-COUNT('Шаг2.Бланк заказа NEW'!$B$19:$B$201)-COUNT('Бланк OLD 0.8 04'!$B$18:$B$200),CHOOSE({1,2},'Бланк OLD 2.0 04 '!$B$18:$B$200,'Бланк OLD 2.0 04 '!$A$18:$A$200),1,0)),"")</f>
        <v/>
      </c>
      <c r="C42" s="152" t="str">
        <f ca="1">IFERROR(IFERROR(IFERROR(VLOOKUP(A41+1,CHOOSE({1,2},'Шаг2.Бланк заказа NEW'!$B$19:$B$201,'Шаг2.Бланк заказа NEW'!$A$19:$A$201),2,0),
VLOOKUP(A41+1-COUNT('Шаг2.Бланк заказа NEW'!$B$19:$B$201),CHOOSE({1,2},'Бланк OLD 0.8 04'!$B$18:$B$200,'Бланк OLD 0.8 04'!$A$18:$A$200),2,0)),
VLOOKUP(A41+1-COUNT('Шаг2.Бланк заказа NEW'!$B$19:$B$201)-COUNT('Бланк OLD 0.8 04'!$B$18:$B$200),CHOOSE({1,2},'Бланк OLD 2.0 04 '!$B$18:$B$200,'Бланк OLD 2.0 04 '!$A$18:$A$200),2,0)),"")</f>
        <v/>
      </c>
      <c r="D42" s="150" t="str">
        <f ca="1">IFERROR(VLOOKUP(C42,'Шаг1.Выбор плиты'!C:G,5,0),"")</f>
        <v/>
      </c>
      <c r="E42" s="147" t="str">
        <f ca="1">IFERROR(IFERROR(IF(VLOOKUP($A42,'Шаг2.Бланк заказа NEW'!$B$17:$N$201,2,0)="","",VLOOKUP($A42,'Шаг2.Бланк заказа NEW'!$B$17:$N$201,2,0)),
IF(VLOOKUP($A42-COUNT('Шаг2.Бланк заказа NEW'!$B$19:$B$201),'Бланк OLD 0.8 04'!$B$12:$K$200,2,0)="","",VLOOKUP($A42-COUNT('Шаг2.Бланк заказа NEW'!$B$19:$B$201),'Бланк OLD 0.8 04'!$B$12:$K$200,2,0))),
IF(VLOOKUP($A42-COUNT('Шаг2.Бланк заказа NEW'!$B$19:$B$201)-COUNT('Бланк OLD 0.8 04'!$B$18:$B$200),'Бланк OLD 2.0 04 '!$B$16:$K$200,2,0)="","",VLOOKUP($A42-COUNT('Шаг2.Бланк заказа NEW'!$B$19:$B$201)-COUNT('Бланк OLD 0.8 04'!$B$18:$B$200),'Бланк OLD 2.0 04 '!$B$16:$K$200,2,0)))</f>
        <v/>
      </c>
      <c r="F42" s="147" t="str">
        <f ca="1">IFERROR(IFERROR(IF(VLOOKUP($A42,'Шаг2.Бланк заказа NEW'!$B$17:$N$201,3,0)="","",VLOOKUP($A42,'Шаг2.Бланк заказа NEW'!$B$17:$N$201,3,0)),
IF(VLOOKUP($A42-COUNT('Шаг2.Бланк заказа NEW'!$B$19:$B$201),'Бланк OLD 0.8 04'!$B$12:$K$200,3,0)="","",VLOOKUP($A42-COUNT('Шаг2.Бланк заказа NEW'!$B$19:$B$201),'Бланк OLD 0.8 04'!$B$12:$K$200,3,0))),
IF(VLOOKUP($A42-COUNT('Шаг2.Бланк заказа NEW'!$B$19:$B$201)-COUNT('Бланк OLD 0.8 04'!$B$18:$B$200),'Бланк OLD 2.0 04 '!$B$16:$K$200,3,0)="","",VLOOKUP($A42-COUNT('Шаг2.Бланк заказа NEW'!$B$19:$B$201)-COUNT('Бланк OLD 0.8 04'!$B$18:$B$200),'Бланк OLD 2.0 04 '!$B$16:$K$200,3,0)))</f>
        <v/>
      </c>
      <c r="G42" s="176" t="str">
        <f ca="1">IF(IF(R42="","",IF(R42=1,SUMIFS('Шаг1.Выбор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плиты'!C:Q,12,0)),1))))))=0,
R42,
IF(R42="","",IF(R42=1,SUMIFS('Шаг1.Выбор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плиты'!N:N,R42,'Шаг1.Выбор плиты'!M:M,SMALL(INDIRECT("мм"&amp;VLOOKUP(C42,'Шаг1.Выбор плиты'!C:Q,12,0)),1)))))))</f>
        <v/>
      </c>
      <c r="H42" s="177" t="str">
        <f ca="1">IF(IF(S42="","",IF(S42=1,SUMIFS('Шаг1.Выбор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плиты'!C:Q,12,0)),1))))))=0,
S42,
IF(S42="","",IF(S42=1,SUMIFS('Шаг1.Выбор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плиты'!N:N,S42,'Шаг1.Выбор плиты'!M:M,SMALL(INDIRECT("мм"&amp;VLOOKUP(C42,'Шаг1.Выбор плиты'!C:Q,12,0)),1)))))))</f>
        <v/>
      </c>
      <c r="I42" s="147" t="str">
        <f ca="1">IFERROR(IFERROR(IF(VLOOKUP($A42,'Шаг2.Бланк заказа NEW'!$B$17:$N$201,6,0)="","",VLOOKUP($A42,'Шаг2.Бланк заказа NEW'!$B$17:$N$201,6,0)),
IF(VLOOKUP($A42-COUNT('Шаг2.Бланк заказа NEW'!$B$19:$B$201),'Бланк OLD 0.8 04'!$B$12:$K$200,6,0)="","",VLOOKUP($A42-COUNT('Шаг2.Бланк заказа NEW'!$B$19:$B$201),'Бланк OLD 0.8 04'!$B$12:$K$200,6,0))),
IF(VLOOKUP($A42-COUNT('Шаг2.Бланк заказа NEW'!$B$19:$B$201)-COUNT('Бланк OLD 0.8 04'!$B$18:$B$200),'Бланк OLD 2.0 04 '!$B$16:$K$200,6,0)="","",VLOOKUP($A42-COUNT('Шаг2.Бланк заказа NEW'!$B$19:$B$201)-COUNT('Бланк OLD 0.8 04'!$B$18:$B$200),'Бланк OLD 2.0 04 '!$B$16:$K$200,6,0)))</f>
        <v/>
      </c>
      <c r="J42" s="177" t="str">
        <f ca="1">IF(IF(T42="","",IF(T42=1,SUMIFS('Шаг1.Выбор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плиты'!C:Q,12,0)),1))))))=0,
T42,
IF(T42="","",IF(T42=1,SUMIFS('Шаг1.Выбор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плиты'!N:N,T42,'Шаг1.Выбор плиты'!M:M,SMALL(INDIRECT("мм"&amp;VLOOKUP(C42,'Шаг1.Выбор плиты'!C:Q,12,0)),1)))))))</f>
        <v/>
      </c>
      <c r="K42" s="177" t="str">
        <f ca="1">IF(IF(U42="","",IF(U42=1,SUMIFS('Шаг1.Выбор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плиты'!C:Q,12,0)),1))))))=0,
U42,
IF(U42="","",IF(U42=1,SUMIFS('Шаг1.Выбор плиты'!$G:$G,'Шаг1.Выбор плиты'!J:J,"*"&amp;RIGHT(VLOOKUP(C42,'Шаг1.Выбор плиты'!C:Q,8,0),4),'Шаг1.Выбор плиты'!L:L,IF(MID(C42,1,6)="ЛДСП P","TM"&amp;MID(VLOOKUP(C42,'Шаг1.Выбор плиты'!C:Q,10,0),3,2),MID(VLOOKUP(C42,'Шаг1.Выбор плиты'!C:Q,10,0),1,2)),
'Шаг1.Выбор плиты'!N:N,1),IF(SUMIFS('Шаг1.Выбор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плиты'!C:Q,12,0)),1))=0,
IF(SUMIFS('Шаг1.Выбор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плиты'!C:Q,12,0)),2))=0,
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плиты'!C:Q,12,0)),3)),
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плиты'!C:Q,12,0)),2))),
(SUMIFS('Шаг1.Выбор плиты'!$G:$G,'Шаг1.Выбор плиты'!J:J,"*"&amp;RIGHT(VLOOKUP(C42,'Шаг1.Выбор плиты'!C:Q,8,0),4),'Шаг1.Выбор плиты'!L:L,VLOOKUP(C42,'Шаг1.Выбор плиты'!C:Q,10,0),'Шаг1.Выбор плиты'!N:N,U42,'Шаг1.Выбор плиты'!M:M,SMALL(INDIRECT("мм"&amp;VLOOKUP(C42,'Шаг1.Выбор плиты'!C:Q,12,0)),1)))))))</f>
        <v/>
      </c>
      <c r="L42" s="147" t="str">
        <f ca="1">IFERROR(IFERROR(IF(VLOOKUP($A42,'Шаг2.Бланк заказа NEW'!$B$17:$N$201,9,0)="","",VLOOKUP($A42,'Шаг2.Бланк заказа NEW'!$B$17:$N$201,9,0)),
IF(VLOOKUP($A42-COUNT('Шаг2.Бланк заказа NEW'!$B$19:$B$201),'Бланк OLD 0.8 04'!$B$12:$K$200,9,0)="","",VLOOKUP($A42-COUNT('Шаг2.Бланк заказа NEW'!$B$19:$B$201),'Бланк OLD 0.8 04'!$B$12:$K$200,9,0))),
IF(VLOOKUP($A42-COUNT('Шаг2.Бланк заказа NEW'!$B$19:$B$201)-COUNT('Бланк OLD 0.8 04'!$B$18:$B$200),'Бланк OLD 2.0 04 '!$B$16:$K$200,9,0)="","",VLOOKUP($A42-COUNT('Шаг2.Бланк заказа NEW'!$B$19:$B$201)-COUNT('Бланк OLD 0.8 04'!$B$18:$B$200),'Бланк OLD 2.0 04 '!$B$16:$K$200,9,0)))</f>
        <v/>
      </c>
      <c r="M42" s="154" t="str">
        <f t="shared" ca="1" si="5"/>
        <v/>
      </c>
      <c r="N42" s="153" t="str">
        <f ca="1">IFERROR(IF(VLOOKUP($A42,'Шаг2.Бланк заказа NEW'!$B$17:$N$201,11,0)="","",VLOOKUP($A42,'Шаг2.Бланк заказа NEW'!$B$17:$N$201,11,0)),
"Нет")</f>
        <v/>
      </c>
      <c r="O42" s="147" t="str">
        <f ca="1">IFERROR(IF(VLOOKUP($A42,'Шаг2.Бланк заказа NEW'!$B$17:$N$201,11,0)="","",VLOOKUP($A42,'Шаг2.Бланк заказа NEW'!$B$17:$N$201,12,0)),
"Нет")</f>
        <v/>
      </c>
      <c r="P42" s="153" t="str">
        <f ca="1">IFERROR(IF(VLOOKUP($A42,'Шаг2.Бланк заказа NEW'!$B$17:$N$201,13,0)="","",VLOOKUP($A42,'Шаг2.Бланк заказа NEW'!$B$17:$N$201,13,0)),
"Нет")</f>
        <v/>
      </c>
      <c r="Q42" s="147" t="str">
        <f ca="1">IFERROR(IF(VLOOKUP($A42,'Шаг2.Бланк заказа NEW'!$B$17:$O$201,14,0)="","",VLOOKUP($A42,'Шаг2.Бланк заказа NEW'!$B$17:$O$201,14,0)),"")</f>
        <v/>
      </c>
      <c r="R42" s="147" t="str">
        <f ca="1">IFERROR(IFERROR(IF(VLOOKUP($A42,'Шаг2.Бланк заказа NEW'!$B$17:$N$201,4,0)="","",VLOOKUP($A42,'Шаг2.Бланк заказа NEW'!$B$17:$N$201,4,0)),
IF(VLOOKUP($A42-COUNT('Шаг2.Бланк заказа NEW'!$B$19:$B$201),'Бланк OLD 0.8 04'!$B$12:$K$200,4,0)&gt;0,0.8,
IF(VLOOKUP($A42-COUNT('Шаг2.Бланк заказа NEW'!$B$19:$B$201),'Бланк OLD 0.8 04'!$B$12:$K$200,5,0)&gt;0,0.4,""))),
IF(VLOOKUP($A42-COUNT('Шаг2.Бланк заказа NEW'!$B$19:$B$201)-COUNT('Бланк OLD 0.8 04'!$B$18:$B$200),'Бланк OLD 2.0 04 '!$B$16:$K$200,4,0)&gt;0,2,IF(VLOOKUP($A42-COUNT('Шаг2.Бланк заказа NEW'!$B$19:$B$201)-COUNT('Бланк OLD 0.8 04'!$B$18:$B$200),'Бланк OLD 2.0 04 '!$B$16:$K$200,5,0)&gt;0,0.4,"")))</f>
        <v/>
      </c>
      <c r="S42" s="147" t="str">
        <f ca="1">IFERROR(IFERROR(IF(VLOOKUP($A42,'Шаг2.Бланк заказа NEW'!$B$17:$N$201,5,0)="","",VLOOKUP($A42,'Шаг2.Бланк заказа NEW'!$B$17:$N$201,5,0)),
IF(VLOOKUP($A42-COUNT('Шаг2.Бланк заказа NEW'!$B$19:$B$201),'Бланк OLD 0.8 04'!$B$12:$K$200,4,0)&gt;1,0.8,
IF(VLOOKUP($A42-COUNT('Шаг2.Бланк заказа NEW'!$B$19:$B$201),'Бланк OLD 0.8 04'!$B$12:$K$200,5,0)&gt;1,0.4,
IF(AND(VLOOKUP($A42-COUNT('Шаг2.Бланк заказа NEW'!$B$19:$B$201),'Бланк OLD 0.8 04'!$B$12:$K$200,4,0)&gt;0,VLOOKUP($A42-COUNT('Шаг2.Бланк заказа NEW'!$B$19:$B$201),'Бланк OLD 0.8 04'!$B$12:$K$200,5,0)&gt;0),0.4,"")))),
IF(VLOOKUP($A42-COUNT('Шаг2.Бланк заказа NEW'!$B$19:$B$201)-COUNT('Бланк OLD 0.8 04'!$B$18:$B$200),'Бланк OLD 2.0 04 '!$B$16:$K$200,4,0)&gt;1,2,
IF(VLOOKUP($A42-COUNT('Шаг2.Бланк заказа NEW'!$B$19:$B$201)-COUNT('Бланк OLD 0.8 04'!$B$18:$B$200),'Бланк OLD 2.0 04 '!$B$16:$K$200,5,0)&gt;1,0.4,IF(AND(VLOOKUP($A42-COUNT('Шаг2.Бланк заказа NEW'!$B$19:$B$201)-COUNT('Бланк OLD 0.8 04'!$B$18:$B$200),'Бланк OLD 2.0 04 '!$B$16:$K$200,4,0)&gt;0,VLOOKUP($A42-COUNT('Шаг2.Бланк заказа NEW'!$B$19:$B$201)-COUNT('Бланк OLD 0.8 04'!$B$18:$B$200),'Бланк OLD 2.0 04 '!$B$16:$K$200,5,0)&gt;0),0.4,""))))</f>
        <v/>
      </c>
      <c r="T42" s="147" t="str">
        <f ca="1">IFERROR(IFERROR(IF(VLOOKUP($A42,'Шаг2.Бланк заказа NEW'!$B$17:$N$201,7,0)="","",VLOOKUP($A42,'Шаг2.Бланк заказа NEW'!$B$17:$N$201,7,0)),
IF(VLOOKUP($A42-COUNT('Шаг2.Бланк заказа NEW'!$B$19:$B$201),'Бланк OLD 0.8 04'!$B$12:$K$200,7,0)&gt;0,0.8,
IF(VLOOKUP($A42-COUNT('Шаг2.Бланк заказа NEW'!$B$19:$B$201),'Бланк OLD 0.8 04'!$B$12:$K$200,8,0)&gt;0,0.4,""))),
IF(VLOOKUP($A42-COUNT('Шаг2.Бланк заказа NEW'!$B$19:$B$201)-COUNT('Бланк OLD 0.8 04'!$B$18:$B$200),'Бланк OLD 2.0 04 '!$B$16:$K$200,7,0)&gt;0,2,IF(VLOOKUP($A42-COUNT('Шаг2.Бланк заказа NEW'!$B$19:$B$201)-COUNT('Бланк OLD 0.8 04'!$B$18:$B$200),'Бланк OLD 2.0 04 '!$B$16:$K$200,8,0)&gt;0,0.4,"")))</f>
        <v/>
      </c>
      <c r="U42" s="147" t="str">
        <f ca="1">IFERROR(IFERROR(IF(VLOOKUP($A42,'Шаг2.Бланк заказа NEW'!$B$17:$N$201,8,0)="","",VLOOKUP($A42,'Шаг2.Бланк заказа NEW'!$B$17:$N$201,8,0)),
IF(VLOOKUP($A42-COUNT('Шаг2.Бланк заказа NEW'!$B$19:$B$201),'Бланк OLD 0.8 04'!$B$12:$K$200,7,0)&gt;1,0.8,
IF(VLOOKUP($A42-COUNT('Шаг2.Бланк заказа NEW'!$B$19:$B$201),'Бланк OLD 0.8 04'!$B$12:$K$200,8,0)&gt;1,0.4,
IF(AND(VLOOKUP($A42-COUNT('Шаг2.Бланк заказа NEW'!$B$19:$B$201),'Бланк OLD 0.8 04'!$B$12:$K$200,7,0)&gt;0,VLOOKUP($A42-COUNT('Шаг2.Бланк заказа NEW'!$B$19:$B$201),'Бланк OLD 0.8 04'!$B$12:$K$200,8,0)&gt;0),0.4,"")))),
IF(VLOOKUP($A42-COUNT('Шаг2.Бланк заказа NEW'!$B$19:$B$201)-COUNT('Бланк OLD 0.8 04'!$B$18:$B$200),'Бланк OLD 2.0 04 '!$B$16:$K$200,7,0)&gt;1,2,
IF(VLOOKUP($A42-COUNT('Шаг2.Бланк заказа NEW'!$B$19:$B$201)-COUNT('Бланк OLD 0.8 04'!$B$18:$B$200),'Бланк OLD 2.0 04 '!$B$16:$K$200,8,0)&gt;1,0.4,
IF(AND(VLOOKUP($A42-COUNT('Шаг2.Бланк заказа NEW'!$B$19:$B$201)-COUNT('Бланк OLD 0.8 04'!$B$18:$B$200),'Бланк OLD 2.0 04 '!$B$16:$K$200,7,0)&gt;0,VLOOKUP($A42-COUNT('Шаг2.Бланк заказа NEW'!$B$19:$B$201)-COUNT('Бланк OLD 0.8 04'!$B$18:$B$200),'Бланк OLD 2.0 04 '!$B$16:$K$200,8,0)&gt;0),0.4,""))))</f>
        <v/>
      </c>
      <c r="V42" s="146" t="str">
        <f ca="1">IFERROR(VLOOKUP(C42,'Шаг1.Выбор плиты'!C:S,12,0),"")</f>
        <v/>
      </c>
      <c r="W42" s="146" t="str">
        <f ca="1">IFERROR(VLOOKUP(C42,'Шаг1.Выбор плиты'!C:S,8,0),"")</f>
        <v/>
      </c>
      <c r="X42" s="146" t="str">
        <f ca="1">IFERROR(VLOOKUP(C42,'Шаг1.Выбор плиты'!C:S,10,0),"")</f>
        <v/>
      </c>
      <c r="Y42" s="147" t="str">
        <f t="shared" ca="1" si="1"/>
        <v/>
      </c>
      <c r="AD42" s="147" t="str">
        <f t="shared" ca="1" si="6"/>
        <v/>
      </c>
      <c r="AE42" s="147" t="str">
        <f t="shared" ca="1" si="3"/>
        <v/>
      </c>
      <c r="AF42" s="25"/>
      <c r="AH42" s="147" t="str">
        <f ca="1">IF(C42="","",VLOOKUP(C42,'Шаг1.Выбор плиты'!C:Q,7,0))</f>
        <v/>
      </c>
      <c r="AI42" s="147" t="str">
        <f t="shared" ca="1" si="7"/>
        <v/>
      </c>
    </row>
    <row r="43" spans="1:35" x14ac:dyDescent="0.2">
      <c r="A43" s="151" t="str">
        <f ca="1">IF(C43="","",MAX($A$1:OFFSET(C43,-1,0))+1)</f>
        <v/>
      </c>
      <c r="B43" s="151" t="str">
        <f ca="1">IFERROR(IFERROR(IFERROR("Шаг2.Бланк заказа NEW №"&amp;VLOOKUP(A42+1,CHOOSE({1,2},'Шаг2.Бланк заказа NEW'!$B$19:$B$201,'Шаг2.Бланк заказа NEW'!$A$19:$A$201),1,0),
"Бланк OLD 0.8 04 №"&amp;VLOOKUP(A42+1-COUNT('Шаг2.Бланк заказа NEW'!$B$19:$B$201),CHOOSE({1,2},'Бланк OLD 0.8 04'!$B$18:$B$200,'Бланк OLD 0.8 04'!$A$18:$A$200),1,0)),
"Бланк OLD 2.0 04 №"&amp;VLOOKUP(A42+1-COUNT('Шаг2.Бланк заказа NEW'!$B$19:$B$201)-COUNT('Бланк OLD 0.8 04'!$B$18:$B$200),CHOOSE({1,2},'Бланк OLD 2.0 04 '!$B$18:$B$200,'Бланк OLD 2.0 04 '!$A$18:$A$200),1,0)),"")</f>
        <v/>
      </c>
      <c r="C43" s="152" t="str">
        <f ca="1">IFERROR(IFERROR(IFERROR(VLOOKUP(A42+1,CHOOSE({1,2},'Шаг2.Бланк заказа NEW'!$B$19:$B$201,'Шаг2.Бланк заказа NEW'!$A$19:$A$201),2,0),
VLOOKUP(A42+1-COUNT('Шаг2.Бланк заказа NEW'!$B$19:$B$201),CHOOSE({1,2},'Бланк OLD 0.8 04'!$B$18:$B$200,'Бланк OLD 0.8 04'!$A$18:$A$200),2,0)),
VLOOKUP(A42+1-COUNT('Шаг2.Бланк заказа NEW'!$B$19:$B$201)-COUNT('Бланк OLD 0.8 04'!$B$18:$B$200),CHOOSE({1,2},'Бланк OLD 2.0 04 '!$B$18:$B$200,'Бланк OLD 2.0 04 '!$A$18:$A$200),2,0)),"")</f>
        <v/>
      </c>
      <c r="D43" s="150" t="str">
        <f ca="1">IFERROR(VLOOKUP(C43,'Шаг1.Выбор плиты'!C:G,5,0),"")</f>
        <v/>
      </c>
      <c r="E43" s="147" t="str">
        <f ca="1">IFERROR(IFERROR(IF(VLOOKUP($A43,'Шаг2.Бланк заказа NEW'!$B$17:$N$201,2,0)="","",VLOOKUP($A43,'Шаг2.Бланк заказа NEW'!$B$17:$N$201,2,0)),
IF(VLOOKUP($A43-COUNT('Шаг2.Бланк заказа NEW'!$B$19:$B$201),'Бланк OLD 0.8 04'!$B$12:$K$200,2,0)="","",VLOOKUP($A43-COUNT('Шаг2.Бланк заказа NEW'!$B$19:$B$201),'Бланк OLD 0.8 04'!$B$12:$K$200,2,0))),
IF(VLOOKUP($A43-COUNT('Шаг2.Бланк заказа NEW'!$B$19:$B$201)-COUNT('Бланк OLD 0.8 04'!$B$18:$B$200),'Бланк OLD 2.0 04 '!$B$16:$K$200,2,0)="","",VLOOKUP($A43-COUNT('Шаг2.Бланк заказа NEW'!$B$19:$B$201)-COUNT('Бланк OLD 0.8 04'!$B$18:$B$200),'Бланк OLD 2.0 04 '!$B$16:$K$200,2,0)))</f>
        <v/>
      </c>
      <c r="F43" s="147" t="str">
        <f ca="1">IFERROR(IFERROR(IF(VLOOKUP($A43,'Шаг2.Бланк заказа NEW'!$B$17:$N$201,3,0)="","",VLOOKUP($A43,'Шаг2.Бланк заказа NEW'!$B$17:$N$201,3,0)),
IF(VLOOKUP($A43-COUNT('Шаг2.Бланк заказа NEW'!$B$19:$B$201),'Бланк OLD 0.8 04'!$B$12:$K$200,3,0)="","",VLOOKUP($A43-COUNT('Шаг2.Бланк заказа NEW'!$B$19:$B$201),'Бланк OLD 0.8 04'!$B$12:$K$200,3,0))),
IF(VLOOKUP($A43-COUNT('Шаг2.Бланк заказа NEW'!$B$19:$B$201)-COUNT('Бланк OLD 0.8 04'!$B$18:$B$200),'Бланк OLD 2.0 04 '!$B$16:$K$200,3,0)="","",VLOOKUP($A43-COUNT('Шаг2.Бланк заказа NEW'!$B$19:$B$201)-COUNT('Бланк OLD 0.8 04'!$B$18:$B$200),'Бланк OLD 2.0 04 '!$B$16:$K$200,3,0)))</f>
        <v/>
      </c>
      <c r="G43" s="176" t="str">
        <f ca="1">IF(IF(R43="","",IF(R43=1,SUMIFS('Шаг1.Выбор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плиты'!C:Q,12,0)),1))))))=0,
R43,
IF(R43="","",IF(R43=1,SUMIFS('Шаг1.Выбор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плиты'!N:N,R43,'Шаг1.Выбор плиты'!M:M,SMALL(INDIRECT("мм"&amp;VLOOKUP(C43,'Шаг1.Выбор плиты'!C:Q,12,0)),1)))))))</f>
        <v/>
      </c>
      <c r="H43" s="177" t="str">
        <f ca="1">IF(IF(S43="","",IF(S43=1,SUMIFS('Шаг1.Выбор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плиты'!C:Q,12,0)),1))))))=0,
S43,
IF(S43="","",IF(S43=1,SUMIFS('Шаг1.Выбор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плиты'!N:N,S43,'Шаг1.Выбор плиты'!M:M,SMALL(INDIRECT("мм"&amp;VLOOKUP(C43,'Шаг1.Выбор плиты'!C:Q,12,0)),1)))))))</f>
        <v/>
      </c>
      <c r="I43" s="147" t="str">
        <f ca="1">IFERROR(IFERROR(IF(VLOOKUP($A43,'Шаг2.Бланк заказа NEW'!$B$17:$N$201,6,0)="","",VLOOKUP($A43,'Шаг2.Бланк заказа NEW'!$B$17:$N$201,6,0)),
IF(VLOOKUP($A43-COUNT('Шаг2.Бланк заказа NEW'!$B$19:$B$201),'Бланк OLD 0.8 04'!$B$12:$K$200,6,0)="","",VLOOKUP($A43-COUNT('Шаг2.Бланк заказа NEW'!$B$19:$B$201),'Бланк OLD 0.8 04'!$B$12:$K$200,6,0))),
IF(VLOOKUP($A43-COUNT('Шаг2.Бланк заказа NEW'!$B$19:$B$201)-COUNT('Бланк OLD 0.8 04'!$B$18:$B$200),'Бланк OLD 2.0 04 '!$B$16:$K$200,6,0)="","",VLOOKUP($A43-COUNT('Шаг2.Бланк заказа NEW'!$B$19:$B$201)-COUNT('Бланк OLD 0.8 04'!$B$18:$B$200),'Бланк OLD 2.0 04 '!$B$16:$K$200,6,0)))</f>
        <v/>
      </c>
      <c r="J43" s="177" t="str">
        <f ca="1">IF(IF(T43="","",IF(T43=1,SUMIFS('Шаг1.Выбор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плиты'!C:Q,12,0)),1))))))=0,
T43,
IF(T43="","",IF(T43=1,SUMIFS('Шаг1.Выбор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плиты'!N:N,T43,'Шаг1.Выбор плиты'!M:M,SMALL(INDIRECT("мм"&amp;VLOOKUP(C43,'Шаг1.Выбор плиты'!C:Q,12,0)),1)))))))</f>
        <v/>
      </c>
      <c r="K43" s="177" t="str">
        <f ca="1">IF(IF(U43="","",IF(U43=1,SUMIFS('Шаг1.Выбор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плиты'!C:Q,12,0)),1))))))=0,
U43,
IF(U43="","",IF(U43=1,SUMIFS('Шаг1.Выбор плиты'!$G:$G,'Шаг1.Выбор плиты'!J:J,"*"&amp;RIGHT(VLOOKUP(C43,'Шаг1.Выбор плиты'!C:Q,8,0),4),'Шаг1.Выбор плиты'!L:L,IF(MID(C43,1,6)="ЛДСП P","TM"&amp;MID(VLOOKUP(C43,'Шаг1.Выбор плиты'!C:Q,10,0),3,2),MID(VLOOKUP(C43,'Шаг1.Выбор плиты'!C:Q,10,0),1,2)),
'Шаг1.Выбор плиты'!N:N,1),IF(SUMIFS('Шаг1.Выбор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плиты'!C:Q,12,0)),1))=0,
IF(SUMIFS('Шаг1.Выбор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плиты'!C:Q,12,0)),2))=0,
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плиты'!C:Q,12,0)),3)),
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плиты'!C:Q,12,0)),2))),
(SUMIFS('Шаг1.Выбор плиты'!$G:$G,'Шаг1.Выбор плиты'!J:J,"*"&amp;RIGHT(VLOOKUP(C43,'Шаг1.Выбор плиты'!C:Q,8,0),4),'Шаг1.Выбор плиты'!L:L,VLOOKUP(C43,'Шаг1.Выбор плиты'!C:Q,10,0),'Шаг1.Выбор плиты'!N:N,U43,'Шаг1.Выбор плиты'!M:M,SMALL(INDIRECT("мм"&amp;VLOOKUP(C43,'Шаг1.Выбор плиты'!C:Q,12,0)),1)))))))</f>
        <v/>
      </c>
      <c r="L43" s="147" t="str">
        <f ca="1">IFERROR(IFERROR(IF(VLOOKUP($A43,'Шаг2.Бланк заказа NEW'!$B$17:$N$201,9,0)="","",VLOOKUP($A43,'Шаг2.Бланк заказа NEW'!$B$17:$N$201,9,0)),
IF(VLOOKUP($A43-COUNT('Шаг2.Бланк заказа NEW'!$B$19:$B$201),'Бланк OLD 0.8 04'!$B$12:$K$200,9,0)="","",VLOOKUP($A43-COUNT('Шаг2.Бланк заказа NEW'!$B$19:$B$201),'Бланк OLD 0.8 04'!$B$12:$K$200,9,0))),
IF(VLOOKUP($A43-COUNT('Шаг2.Бланк заказа NEW'!$B$19:$B$201)-COUNT('Бланк OLD 0.8 04'!$B$18:$B$200),'Бланк OLD 2.0 04 '!$B$16:$K$200,9,0)="","",VLOOKUP($A43-COUNT('Шаг2.Бланк заказа NEW'!$B$19:$B$201)-COUNT('Бланк OLD 0.8 04'!$B$18:$B$200),'Бланк OLD 2.0 04 '!$B$16:$K$200,9,0)))</f>
        <v/>
      </c>
      <c r="M43" s="154" t="str">
        <f t="shared" ca="1" si="5"/>
        <v/>
      </c>
      <c r="N43" s="153" t="str">
        <f ca="1">IFERROR(IF(VLOOKUP($A43,'Шаг2.Бланк заказа NEW'!$B$17:$N$201,11,0)="","",VLOOKUP($A43,'Шаг2.Бланк заказа NEW'!$B$17:$N$201,11,0)),
"Нет")</f>
        <v/>
      </c>
      <c r="O43" s="147" t="str">
        <f ca="1">IFERROR(IF(VLOOKUP($A43,'Шаг2.Бланк заказа NEW'!$B$17:$N$201,11,0)="","",VLOOKUP($A43,'Шаг2.Бланк заказа NEW'!$B$17:$N$201,12,0)),
"Нет")</f>
        <v/>
      </c>
      <c r="P43" s="153" t="str">
        <f ca="1">IFERROR(IF(VLOOKUP($A43,'Шаг2.Бланк заказа NEW'!$B$17:$N$201,13,0)="","",VLOOKUP($A43,'Шаг2.Бланк заказа NEW'!$B$17:$N$201,13,0)),
"Нет")</f>
        <v/>
      </c>
      <c r="Q43" s="147" t="str">
        <f ca="1">IFERROR(IF(VLOOKUP($A43,'Шаг2.Бланк заказа NEW'!$B$17:$O$201,14,0)="","",VLOOKUP($A43,'Шаг2.Бланк заказа NEW'!$B$17:$O$201,14,0)),"")</f>
        <v/>
      </c>
      <c r="R43" s="147" t="str">
        <f ca="1">IFERROR(IFERROR(IF(VLOOKUP($A43,'Шаг2.Бланк заказа NEW'!$B$17:$N$201,4,0)="","",VLOOKUP($A43,'Шаг2.Бланк заказа NEW'!$B$17:$N$201,4,0)),
IF(VLOOKUP($A43-COUNT('Шаг2.Бланк заказа NEW'!$B$19:$B$201),'Бланк OLD 0.8 04'!$B$12:$K$200,4,0)&gt;0,0.8,
IF(VLOOKUP($A43-COUNT('Шаг2.Бланк заказа NEW'!$B$19:$B$201),'Бланк OLD 0.8 04'!$B$12:$K$200,5,0)&gt;0,0.4,""))),
IF(VLOOKUP($A43-COUNT('Шаг2.Бланк заказа NEW'!$B$19:$B$201)-COUNT('Бланк OLD 0.8 04'!$B$18:$B$200),'Бланк OLD 2.0 04 '!$B$16:$K$200,4,0)&gt;0,2,IF(VLOOKUP($A43-COUNT('Шаг2.Бланк заказа NEW'!$B$19:$B$201)-COUNT('Бланк OLD 0.8 04'!$B$18:$B$200),'Бланк OLD 2.0 04 '!$B$16:$K$200,5,0)&gt;0,0.4,"")))</f>
        <v/>
      </c>
      <c r="S43" s="147" t="str">
        <f ca="1">IFERROR(IFERROR(IF(VLOOKUP($A43,'Шаг2.Бланк заказа NEW'!$B$17:$N$201,5,0)="","",VLOOKUP($A43,'Шаг2.Бланк заказа NEW'!$B$17:$N$201,5,0)),
IF(VLOOKUP($A43-COUNT('Шаг2.Бланк заказа NEW'!$B$19:$B$201),'Бланк OLD 0.8 04'!$B$12:$K$200,4,0)&gt;1,0.8,
IF(VLOOKUP($A43-COUNT('Шаг2.Бланк заказа NEW'!$B$19:$B$201),'Бланк OLD 0.8 04'!$B$12:$K$200,5,0)&gt;1,0.4,
IF(AND(VLOOKUP($A43-COUNT('Шаг2.Бланк заказа NEW'!$B$19:$B$201),'Бланк OLD 0.8 04'!$B$12:$K$200,4,0)&gt;0,VLOOKUP($A43-COUNT('Шаг2.Бланк заказа NEW'!$B$19:$B$201),'Бланк OLD 0.8 04'!$B$12:$K$200,5,0)&gt;0),0.4,"")))),
IF(VLOOKUP($A43-COUNT('Шаг2.Бланк заказа NEW'!$B$19:$B$201)-COUNT('Бланк OLD 0.8 04'!$B$18:$B$200),'Бланк OLD 2.0 04 '!$B$16:$K$200,4,0)&gt;1,2,
IF(VLOOKUP($A43-COUNT('Шаг2.Бланк заказа NEW'!$B$19:$B$201)-COUNT('Бланк OLD 0.8 04'!$B$18:$B$200),'Бланк OLD 2.0 04 '!$B$16:$K$200,5,0)&gt;1,0.4,IF(AND(VLOOKUP($A43-COUNT('Шаг2.Бланк заказа NEW'!$B$19:$B$201)-COUNT('Бланк OLD 0.8 04'!$B$18:$B$200),'Бланк OLD 2.0 04 '!$B$16:$K$200,4,0)&gt;0,VLOOKUP($A43-COUNT('Шаг2.Бланк заказа NEW'!$B$19:$B$201)-COUNT('Бланк OLD 0.8 04'!$B$18:$B$200),'Бланк OLD 2.0 04 '!$B$16:$K$200,5,0)&gt;0),0.4,""))))</f>
        <v/>
      </c>
      <c r="T43" s="147" t="str">
        <f ca="1">IFERROR(IFERROR(IF(VLOOKUP($A43,'Шаг2.Бланк заказа NEW'!$B$17:$N$201,7,0)="","",VLOOKUP($A43,'Шаг2.Бланк заказа NEW'!$B$17:$N$201,7,0)),
IF(VLOOKUP($A43-COUNT('Шаг2.Бланк заказа NEW'!$B$19:$B$201),'Бланк OLD 0.8 04'!$B$12:$K$200,7,0)&gt;0,0.8,
IF(VLOOKUP($A43-COUNT('Шаг2.Бланк заказа NEW'!$B$19:$B$201),'Бланк OLD 0.8 04'!$B$12:$K$200,8,0)&gt;0,0.4,""))),
IF(VLOOKUP($A43-COUNT('Шаг2.Бланк заказа NEW'!$B$19:$B$201)-COUNT('Бланк OLD 0.8 04'!$B$18:$B$200),'Бланк OLD 2.0 04 '!$B$16:$K$200,7,0)&gt;0,2,IF(VLOOKUP($A43-COUNT('Шаг2.Бланк заказа NEW'!$B$19:$B$201)-COUNT('Бланк OLD 0.8 04'!$B$18:$B$200),'Бланк OLD 2.0 04 '!$B$16:$K$200,8,0)&gt;0,0.4,"")))</f>
        <v/>
      </c>
      <c r="U43" s="147" t="str">
        <f ca="1">IFERROR(IFERROR(IF(VLOOKUP($A43,'Шаг2.Бланк заказа NEW'!$B$17:$N$201,8,0)="","",VLOOKUP($A43,'Шаг2.Бланк заказа NEW'!$B$17:$N$201,8,0)),
IF(VLOOKUP($A43-COUNT('Шаг2.Бланк заказа NEW'!$B$19:$B$201),'Бланк OLD 0.8 04'!$B$12:$K$200,7,0)&gt;1,0.8,
IF(VLOOKUP($A43-COUNT('Шаг2.Бланк заказа NEW'!$B$19:$B$201),'Бланк OLD 0.8 04'!$B$12:$K$200,8,0)&gt;1,0.4,
IF(AND(VLOOKUP($A43-COUNT('Шаг2.Бланк заказа NEW'!$B$19:$B$201),'Бланк OLD 0.8 04'!$B$12:$K$200,7,0)&gt;0,VLOOKUP($A43-COUNT('Шаг2.Бланк заказа NEW'!$B$19:$B$201),'Бланк OLD 0.8 04'!$B$12:$K$200,8,0)&gt;0),0.4,"")))),
IF(VLOOKUP($A43-COUNT('Шаг2.Бланк заказа NEW'!$B$19:$B$201)-COUNT('Бланк OLD 0.8 04'!$B$18:$B$200),'Бланк OLD 2.0 04 '!$B$16:$K$200,7,0)&gt;1,2,
IF(VLOOKUP($A43-COUNT('Шаг2.Бланк заказа NEW'!$B$19:$B$201)-COUNT('Бланк OLD 0.8 04'!$B$18:$B$200),'Бланк OLD 2.0 04 '!$B$16:$K$200,8,0)&gt;1,0.4,
IF(AND(VLOOKUP($A43-COUNT('Шаг2.Бланк заказа NEW'!$B$19:$B$201)-COUNT('Бланк OLD 0.8 04'!$B$18:$B$200),'Бланк OLD 2.0 04 '!$B$16:$K$200,7,0)&gt;0,VLOOKUP($A43-COUNT('Шаг2.Бланк заказа NEW'!$B$19:$B$201)-COUNT('Бланк OLD 0.8 04'!$B$18:$B$200),'Бланк OLD 2.0 04 '!$B$16:$K$200,8,0)&gt;0),0.4,""))))</f>
        <v/>
      </c>
      <c r="V43" s="146" t="str">
        <f ca="1">IFERROR(VLOOKUP(C43,'Шаг1.Выбор плиты'!C:S,12,0),"")</f>
        <v/>
      </c>
      <c r="W43" s="146" t="str">
        <f ca="1">IFERROR(VLOOKUP(C43,'Шаг1.Выбор плиты'!C:S,8,0),"")</f>
        <v/>
      </c>
      <c r="X43" s="146" t="str">
        <f ca="1">IFERROR(VLOOKUP(C43,'Шаг1.Выбор плиты'!C:S,10,0),"")</f>
        <v/>
      </c>
      <c r="Y43" s="147" t="str">
        <f t="shared" ca="1" si="1"/>
        <v/>
      </c>
      <c r="AD43" s="147" t="str">
        <f t="shared" ca="1" si="6"/>
        <v/>
      </c>
      <c r="AE43" s="147" t="str">
        <f t="shared" ca="1" si="3"/>
        <v/>
      </c>
      <c r="AF43" s="25"/>
      <c r="AH43" s="147" t="str">
        <f ca="1">IF(C43="","",VLOOKUP(C43,'Шаг1.Выбор плиты'!C:Q,7,0))</f>
        <v/>
      </c>
      <c r="AI43" s="147" t="str">
        <f t="shared" ca="1" si="7"/>
        <v/>
      </c>
    </row>
    <row r="44" spans="1:35" x14ac:dyDescent="0.2">
      <c r="A44" s="151" t="str">
        <f ca="1">IF(C44="","",MAX($A$1:OFFSET(C44,-1,0))+1)</f>
        <v/>
      </c>
      <c r="B44" s="151" t="str">
        <f ca="1">IFERROR(IFERROR(IFERROR("Шаг2.Бланк заказа NEW №"&amp;VLOOKUP(A43+1,CHOOSE({1,2},'Шаг2.Бланк заказа NEW'!$B$19:$B$201,'Шаг2.Бланк заказа NEW'!$A$19:$A$201),1,0),
"Бланк OLD 0.8 04 №"&amp;VLOOKUP(A43+1-COUNT('Шаг2.Бланк заказа NEW'!$B$19:$B$201),CHOOSE({1,2},'Бланк OLD 0.8 04'!$B$18:$B$200,'Бланк OLD 0.8 04'!$A$18:$A$200),1,0)),
"Бланк OLD 2.0 04 №"&amp;VLOOKUP(A43+1-COUNT('Шаг2.Бланк заказа NEW'!$B$19:$B$201)-COUNT('Бланк OLD 0.8 04'!$B$18:$B$200),CHOOSE({1,2},'Бланк OLD 2.0 04 '!$B$18:$B$200,'Бланк OLD 2.0 04 '!$A$18:$A$200),1,0)),"")</f>
        <v/>
      </c>
      <c r="C44" s="152" t="str">
        <f ca="1">IFERROR(IFERROR(IFERROR(VLOOKUP(A43+1,CHOOSE({1,2},'Шаг2.Бланк заказа NEW'!$B$19:$B$201,'Шаг2.Бланк заказа NEW'!$A$19:$A$201),2,0),
VLOOKUP(A43+1-COUNT('Шаг2.Бланк заказа NEW'!$B$19:$B$201),CHOOSE({1,2},'Бланк OLD 0.8 04'!$B$18:$B$200,'Бланк OLD 0.8 04'!$A$18:$A$200),2,0)),
VLOOKUP(A43+1-COUNT('Шаг2.Бланк заказа NEW'!$B$19:$B$201)-COUNT('Бланк OLD 0.8 04'!$B$18:$B$200),CHOOSE({1,2},'Бланк OLD 2.0 04 '!$B$18:$B$200,'Бланк OLD 2.0 04 '!$A$18:$A$200),2,0)),"")</f>
        <v/>
      </c>
      <c r="D44" s="150" t="str">
        <f ca="1">IFERROR(VLOOKUP(C44,'Шаг1.Выбор плиты'!C:G,5,0),"")</f>
        <v/>
      </c>
      <c r="E44" s="147" t="str">
        <f ca="1">IFERROR(IFERROR(IF(VLOOKUP($A44,'Шаг2.Бланк заказа NEW'!$B$17:$N$201,2,0)="","",VLOOKUP($A44,'Шаг2.Бланк заказа NEW'!$B$17:$N$201,2,0)),
IF(VLOOKUP($A44-COUNT('Шаг2.Бланк заказа NEW'!$B$19:$B$201),'Бланк OLD 0.8 04'!$B$12:$K$200,2,0)="","",VLOOKUP($A44-COUNT('Шаг2.Бланк заказа NEW'!$B$19:$B$201),'Бланк OLD 0.8 04'!$B$12:$K$200,2,0))),
IF(VLOOKUP($A44-COUNT('Шаг2.Бланк заказа NEW'!$B$19:$B$201)-COUNT('Бланк OLD 0.8 04'!$B$18:$B$200),'Бланк OLD 2.0 04 '!$B$16:$K$200,2,0)="","",VLOOKUP($A44-COUNT('Шаг2.Бланк заказа NEW'!$B$19:$B$201)-COUNT('Бланк OLD 0.8 04'!$B$18:$B$200),'Бланк OLD 2.0 04 '!$B$16:$K$200,2,0)))</f>
        <v/>
      </c>
      <c r="F44" s="147" t="str">
        <f ca="1">IFERROR(IFERROR(IF(VLOOKUP($A44,'Шаг2.Бланк заказа NEW'!$B$17:$N$201,3,0)="","",VLOOKUP($A44,'Шаг2.Бланк заказа NEW'!$B$17:$N$201,3,0)),
IF(VLOOKUP($A44-COUNT('Шаг2.Бланк заказа NEW'!$B$19:$B$201),'Бланк OLD 0.8 04'!$B$12:$K$200,3,0)="","",VLOOKUP($A44-COUNT('Шаг2.Бланк заказа NEW'!$B$19:$B$201),'Бланк OLD 0.8 04'!$B$12:$K$200,3,0))),
IF(VLOOKUP($A44-COUNT('Шаг2.Бланк заказа NEW'!$B$19:$B$201)-COUNT('Бланк OLD 0.8 04'!$B$18:$B$200),'Бланк OLD 2.0 04 '!$B$16:$K$200,3,0)="","",VLOOKUP($A44-COUNT('Шаг2.Бланк заказа NEW'!$B$19:$B$201)-COUNT('Бланк OLD 0.8 04'!$B$18:$B$200),'Бланк OLD 2.0 04 '!$B$16:$K$200,3,0)))</f>
        <v/>
      </c>
      <c r="G44" s="176" t="str">
        <f ca="1">IF(IF(R44="","",IF(R44=1,SUMIFS('Шаг1.Выбор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плиты'!C:Q,12,0)),1))))))=0,
R44,
IF(R44="","",IF(R44=1,SUMIFS('Шаг1.Выбор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плиты'!N:N,R44,'Шаг1.Выбор плиты'!M:M,SMALL(INDIRECT("мм"&amp;VLOOKUP(C44,'Шаг1.Выбор плиты'!C:Q,12,0)),1)))))))</f>
        <v/>
      </c>
      <c r="H44" s="177" t="str">
        <f ca="1">IF(IF(S44="","",IF(S44=1,SUMIFS('Шаг1.Выбор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плиты'!C:Q,12,0)),1))))))=0,
S44,
IF(S44="","",IF(S44=1,SUMIFS('Шаг1.Выбор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плиты'!N:N,S44,'Шаг1.Выбор плиты'!M:M,SMALL(INDIRECT("мм"&amp;VLOOKUP(C44,'Шаг1.Выбор плиты'!C:Q,12,0)),1)))))))</f>
        <v/>
      </c>
      <c r="I44" s="147" t="str">
        <f ca="1">IFERROR(IFERROR(IF(VLOOKUP($A44,'Шаг2.Бланк заказа NEW'!$B$17:$N$201,6,0)="","",VLOOKUP($A44,'Шаг2.Бланк заказа NEW'!$B$17:$N$201,6,0)),
IF(VLOOKUP($A44-COUNT('Шаг2.Бланк заказа NEW'!$B$19:$B$201),'Бланк OLD 0.8 04'!$B$12:$K$200,6,0)="","",VLOOKUP($A44-COUNT('Шаг2.Бланк заказа NEW'!$B$19:$B$201),'Бланк OLD 0.8 04'!$B$12:$K$200,6,0))),
IF(VLOOKUP($A44-COUNT('Шаг2.Бланк заказа NEW'!$B$19:$B$201)-COUNT('Бланк OLD 0.8 04'!$B$18:$B$200),'Бланк OLD 2.0 04 '!$B$16:$K$200,6,0)="","",VLOOKUP($A44-COUNT('Шаг2.Бланк заказа NEW'!$B$19:$B$201)-COUNT('Бланк OLD 0.8 04'!$B$18:$B$200),'Бланк OLD 2.0 04 '!$B$16:$K$200,6,0)))</f>
        <v/>
      </c>
      <c r="J44" s="177" t="str">
        <f ca="1">IF(IF(T44="","",IF(T44=1,SUMIFS('Шаг1.Выбор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плиты'!C:Q,12,0)),1))))))=0,
T44,
IF(T44="","",IF(T44=1,SUMIFS('Шаг1.Выбор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плиты'!N:N,T44,'Шаг1.Выбор плиты'!M:M,SMALL(INDIRECT("мм"&amp;VLOOKUP(C44,'Шаг1.Выбор плиты'!C:Q,12,0)),1)))))))</f>
        <v/>
      </c>
      <c r="K44" s="177" t="str">
        <f ca="1">IF(IF(U44="","",IF(U44=1,SUMIFS('Шаг1.Выбор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плиты'!C:Q,12,0)),1))))))=0,
U44,
IF(U44="","",IF(U44=1,SUMIFS('Шаг1.Выбор плиты'!$G:$G,'Шаг1.Выбор плиты'!J:J,"*"&amp;RIGHT(VLOOKUP(C44,'Шаг1.Выбор плиты'!C:Q,8,0),4),'Шаг1.Выбор плиты'!L:L,IF(MID(C44,1,6)="ЛДСП P","TM"&amp;MID(VLOOKUP(C44,'Шаг1.Выбор плиты'!C:Q,10,0),3,2),MID(VLOOKUP(C44,'Шаг1.Выбор плиты'!C:Q,10,0),1,2)),
'Шаг1.Выбор плиты'!N:N,1),IF(SUMIFS('Шаг1.Выбор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плиты'!C:Q,12,0)),1))=0,
IF(SUMIFS('Шаг1.Выбор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плиты'!C:Q,12,0)),2))=0,
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плиты'!C:Q,12,0)),3)),
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плиты'!C:Q,12,0)),2))),
(SUMIFS('Шаг1.Выбор плиты'!$G:$G,'Шаг1.Выбор плиты'!J:J,"*"&amp;RIGHT(VLOOKUP(C44,'Шаг1.Выбор плиты'!C:Q,8,0),4),'Шаг1.Выбор плиты'!L:L,VLOOKUP(C44,'Шаг1.Выбор плиты'!C:Q,10,0),'Шаг1.Выбор плиты'!N:N,U44,'Шаг1.Выбор плиты'!M:M,SMALL(INDIRECT("мм"&amp;VLOOKUP(C44,'Шаг1.Выбор плиты'!C:Q,12,0)),1)))))))</f>
        <v/>
      </c>
      <c r="L44" s="147" t="str">
        <f ca="1">IFERROR(IFERROR(IF(VLOOKUP($A44,'Шаг2.Бланк заказа NEW'!$B$17:$N$201,9,0)="","",VLOOKUP($A44,'Шаг2.Бланк заказа NEW'!$B$17:$N$201,9,0)),
IF(VLOOKUP($A44-COUNT('Шаг2.Бланк заказа NEW'!$B$19:$B$201),'Бланк OLD 0.8 04'!$B$12:$K$200,9,0)="","",VLOOKUP($A44-COUNT('Шаг2.Бланк заказа NEW'!$B$19:$B$201),'Бланк OLD 0.8 04'!$B$12:$K$200,9,0))),
IF(VLOOKUP($A44-COUNT('Шаг2.Бланк заказа NEW'!$B$19:$B$201)-COUNT('Бланк OLD 0.8 04'!$B$18:$B$200),'Бланк OLD 2.0 04 '!$B$16:$K$200,9,0)="","",VLOOKUP($A44-COUNT('Шаг2.Бланк заказа NEW'!$B$19:$B$201)-COUNT('Бланк OLD 0.8 04'!$B$18:$B$200),'Бланк OLD 2.0 04 '!$B$16:$K$200,9,0)))</f>
        <v/>
      </c>
      <c r="M44" s="154" t="str">
        <f t="shared" ca="1" si="5"/>
        <v/>
      </c>
      <c r="N44" s="153" t="str">
        <f ca="1">IFERROR(IF(VLOOKUP($A44,'Шаг2.Бланк заказа NEW'!$B$17:$N$201,11,0)="","",VLOOKUP($A44,'Шаг2.Бланк заказа NEW'!$B$17:$N$201,11,0)),
"Нет")</f>
        <v/>
      </c>
      <c r="O44" s="147" t="str">
        <f ca="1">IFERROR(IF(VLOOKUP($A44,'Шаг2.Бланк заказа NEW'!$B$17:$N$201,11,0)="","",VLOOKUP($A44,'Шаг2.Бланк заказа NEW'!$B$17:$N$201,12,0)),
"Нет")</f>
        <v/>
      </c>
      <c r="P44" s="153" t="str">
        <f ca="1">IFERROR(IF(VLOOKUP($A44,'Шаг2.Бланк заказа NEW'!$B$17:$N$201,13,0)="","",VLOOKUP($A44,'Шаг2.Бланк заказа NEW'!$B$17:$N$201,13,0)),
"Нет")</f>
        <v/>
      </c>
      <c r="Q44" s="147" t="str">
        <f ca="1">IFERROR(IF(VLOOKUP($A44,'Шаг2.Бланк заказа NEW'!$B$17:$O$201,14,0)="","",VLOOKUP($A44,'Шаг2.Бланк заказа NEW'!$B$17:$O$201,14,0)),"")</f>
        <v/>
      </c>
      <c r="R44" s="147" t="str">
        <f ca="1">IFERROR(IFERROR(IF(VLOOKUP($A44,'Шаг2.Бланк заказа NEW'!$B$17:$N$201,4,0)="","",VLOOKUP($A44,'Шаг2.Бланк заказа NEW'!$B$17:$N$201,4,0)),
IF(VLOOKUP($A44-COUNT('Шаг2.Бланк заказа NEW'!$B$19:$B$201),'Бланк OLD 0.8 04'!$B$12:$K$200,4,0)&gt;0,0.8,
IF(VLOOKUP($A44-COUNT('Шаг2.Бланк заказа NEW'!$B$19:$B$201),'Бланк OLD 0.8 04'!$B$12:$K$200,5,0)&gt;0,0.4,""))),
IF(VLOOKUP($A44-COUNT('Шаг2.Бланк заказа NEW'!$B$19:$B$201)-COUNT('Бланк OLD 0.8 04'!$B$18:$B$200),'Бланк OLD 2.0 04 '!$B$16:$K$200,4,0)&gt;0,2,IF(VLOOKUP($A44-COUNT('Шаг2.Бланк заказа NEW'!$B$19:$B$201)-COUNT('Бланк OLD 0.8 04'!$B$18:$B$200),'Бланк OLD 2.0 04 '!$B$16:$K$200,5,0)&gt;0,0.4,"")))</f>
        <v/>
      </c>
      <c r="S44" s="147" t="str">
        <f ca="1">IFERROR(IFERROR(IF(VLOOKUP($A44,'Шаг2.Бланк заказа NEW'!$B$17:$N$201,5,0)="","",VLOOKUP($A44,'Шаг2.Бланк заказа NEW'!$B$17:$N$201,5,0)),
IF(VLOOKUP($A44-COUNT('Шаг2.Бланк заказа NEW'!$B$19:$B$201),'Бланк OLD 0.8 04'!$B$12:$K$200,4,0)&gt;1,0.8,
IF(VLOOKUP($A44-COUNT('Шаг2.Бланк заказа NEW'!$B$19:$B$201),'Бланк OLD 0.8 04'!$B$12:$K$200,5,0)&gt;1,0.4,
IF(AND(VLOOKUP($A44-COUNT('Шаг2.Бланк заказа NEW'!$B$19:$B$201),'Бланк OLD 0.8 04'!$B$12:$K$200,4,0)&gt;0,VLOOKUP($A44-COUNT('Шаг2.Бланк заказа NEW'!$B$19:$B$201),'Бланк OLD 0.8 04'!$B$12:$K$200,5,0)&gt;0),0.4,"")))),
IF(VLOOKUP($A44-COUNT('Шаг2.Бланк заказа NEW'!$B$19:$B$201)-COUNT('Бланк OLD 0.8 04'!$B$18:$B$200),'Бланк OLD 2.0 04 '!$B$16:$K$200,4,0)&gt;1,2,
IF(VLOOKUP($A44-COUNT('Шаг2.Бланк заказа NEW'!$B$19:$B$201)-COUNT('Бланк OLD 0.8 04'!$B$18:$B$200),'Бланк OLD 2.0 04 '!$B$16:$K$200,5,0)&gt;1,0.4,IF(AND(VLOOKUP($A44-COUNT('Шаг2.Бланк заказа NEW'!$B$19:$B$201)-COUNT('Бланк OLD 0.8 04'!$B$18:$B$200),'Бланк OLD 2.0 04 '!$B$16:$K$200,4,0)&gt;0,VLOOKUP($A44-COUNT('Шаг2.Бланк заказа NEW'!$B$19:$B$201)-COUNT('Бланк OLD 0.8 04'!$B$18:$B$200),'Бланк OLD 2.0 04 '!$B$16:$K$200,5,0)&gt;0),0.4,""))))</f>
        <v/>
      </c>
      <c r="T44" s="147" t="str">
        <f ca="1">IFERROR(IFERROR(IF(VLOOKUP($A44,'Шаг2.Бланк заказа NEW'!$B$17:$N$201,7,0)="","",VLOOKUP($A44,'Шаг2.Бланк заказа NEW'!$B$17:$N$201,7,0)),
IF(VLOOKUP($A44-COUNT('Шаг2.Бланк заказа NEW'!$B$19:$B$201),'Бланк OLD 0.8 04'!$B$12:$K$200,7,0)&gt;0,0.8,
IF(VLOOKUP($A44-COUNT('Шаг2.Бланк заказа NEW'!$B$19:$B$201),'Бланк OLD 0.8 04'!$B$12:$K$200,8,0)&gt;0,0.4,""))),
IF(VLOOKUP($A44-COUNT('Шаг2.Бланк заказа NEW'!$B$19:$B$201)-COUNT('Бланк OLD 0.8 04'!$B$18:$B$200),'Бланк OLD 2.0 04 '!$B$16:$K$200,7,0)&gt;0,2,IF(VLOOKUP($A44-COUNT('Шаг2.Бланк заказа NEW'!$B$19:$B$201)-COUNT('Бланк OLD 0.8 04'!$B$18:$B$200),'Бланк OLD 2.0 04 '!$B$16:$K$200,8,0)&gt;0,0.4,"")))</f>
        <v/>
      </c>
      <c r="U44" s="147" t="str">
        <f ca="1">IFERROR(IFERROR(IF(VLOOKUP($A44,'Шаг2.Бланк заказа NEW'!$B$17:$N$201,8,0)="","",VLOOKUP($A44,'Шаг2.Бланк заказа NEW'!$B$17:$N$201,8,0)),
IF(VLOOKUP($A44-COUNT('Шаг2.Бланк заказа NEW'!$B$19:$B$201),'Бланк OLD 0.8 04'!$B$12:$K$200,7,0)&gt;1,0.8,
IF(VLOOKUP($A44-COUNT('Шаг2.Бланк заказа NEW'!$B$19:$B$201),'Бланк OLD 0.8 04'!$B$12:$K$200,8,0)&gt;1,0.4,
IF(AND(VLOOKUP($A44-COUNT('Шаг2.Бланк заказа NEW'!$B$19:$B$201),'Бланк OLD 0.8 04'!$B$12:$K$200,7,0)&gt;0,VLOOKUP($A44-COUNT('Шаг2.Бланк заказа NEW'!$B$19:$B$201),'Бланк OLD 0.8 04'!$B$12:$K$200,8,0)&gt;0),0.4,"")))),
IF(VLOOKUP($A44-COUNT('Шаг2.Бланк заказа NEW'!$B$19:$B$201)-COUNT('Бланк OLD 0.8 04'!$B$18:$B$200),'Бланк OLD 2.0 04 '!$B$16:$K$200,7,0)&gt;1,2,
IF(VLOOKUP($A44-COUNT('Шаг2.Бланк заказа NEW'!$B$19:$B$201)-COUNT('Бланк OLD 0.8 04'!$B$18:$B$200),'Бланк OLD 2.0 04 '!$B$16:$K$200,8,0)&gt;1,0.4,
IF(AND(VLOOKUP($A44-COUNT('Шаг2.Бланк заказа NEW'!$B$19:$B$201)-COUNT('Бланк OLD 0.8 04'!$B$18:$B$200),'Бланк OLD 2.0 04 '!$B$16:$K$200,7,0)&gt;0,VLOOKUP($A44-COUNT('Шаг2.Бланк заказа NEW'!$B$19:$B$201)-COUNT('Бланк OLD 0.8 04'!$B$18:$B$200),'Бланк OLD 2.0 04 '!$B$16:$K$200,8,0)&gt;0),0.4,""))))</f>
        <v/>
      </c>
      <c r="V44" s="146" t="str">
        <f ca="1">IFERROR(VLOOKUP(C44,'Шаг1.Выбор плиты'!C:S,12,0),"")</f>
        <v/>
      </c>
      <c r="W44" s="146" t="str">
        <f ca="1">IFERROR(VLOOKUP(C44,'Шаг1.Выбор плиты'!C:S,8,0),"")</f>
        <v/>
      </c>
      <c r="X44" s="146" t="str">
        <f ca="1">IFERROR(VLOOKUP(C44,'Шаг1.Выбор плиты'!C:S,10,0),"")</f>
        <v/>
      </c>
      <c r="Y44" s="147" t="str">
        <f t="shared" ca="1" si="1"/>
        <v/>
      </c>
      <c r="AD44" s="147" t="str">
        <f t="shared" ca="1" si="6"/>
        <v/>
      </c>
      <c r="AE44" s="147" t="str">
        <f t="shared" ca="1" si="3"/>
        <v/>
      </c>
      <c r="AF44" s="25"/>
      <c r="AH44" s="147" t="str">
        <f ca="1">IF(C44="","",VLOOKUP(C44,'Шаг1.Выбор плиты'!C:Q,7,0))</f>
        <v/>
      </c>
      <c r="AI44" s="147" t="str">
        <f t="shared" ca="1" si="7"/>
        <v/>
      </c>
    </row>
    <row r="45" spans="1:35" x14ac:dyDescent="0.2">
      <c r="A45" s="151" t="str">
        <f ca="1">IF(C45="","",MAX($A$1:OFFSET(C45,-1,0))+1)</f>
        <v/>
      </c>
      <c r="B45" s="151" t="str">
        <f ca="1">IFERROR(IFERROR(IFERROR("Шаг2.Бланк заказа NEW №"&amp;VLOOKUP(A44+1,CHOOSE({1,2},'Шаг2.Бланк заказа NEW'!$B$19:$B$201,'Шаг2.Бланк заказа NEW'!$A$19:$A$201),1,0),
"Бланк OLD 0.8 04 №"&amp;VLOOKUP(A44+1-COUNT('Шаг2.Бланк заказа NEW'!$B$19:$B$201),CHOOSE({1,2},'Бланк OLD 0.8 04'!$B$18:$B$200,'Бланк OLD 0.8 04'!$A$18:$A$200),1,0)),
"Бланк OLD 2.0 04 №"&amp;VLOOKUP(A44+1-COUNT('Шаг2.Бланк заказа NEW'!$B$19:$B$201)-COUNT('Бланк OLD 0.8 04'!$B$18:$B$200),CHOOSE({1,2},'Бланк OLD 2.0 04 '!$B$18:$B$200,'Бланк OLD 2.0 04 '!$A$18:$A$200),1,0)),"")</f>
        <v/>
      </c>
      <c r="C45" s="152" t="str">
        <f ca="1">IFERROR(IFERROR(IFERROR(VLOOKUP(A44+1,CHOOSE({1,2},'Шаг2.Бланк заказа NEW'!$B$19:$B$201,'Шаг2.Бланк заказа NEW'!$A$19:$A$201),2,0),
VLOOKUP(A44+1-COUNT('Шаг2.Бланк заказа NEW'!$B$19:$B$201),CHOOSE({1,2},'Бланк OLD 0.8 04'!$B$18:$B$200,'Бланк OLD 0.8 04'!$A$18:$A$200),2,0)),
VLOOKUP(A44+1-COUNT('Шаг2.Бланк заказа NEW'!$B$19:$B$201)-COUNT('Бланк OLD 0.8 04'!$B$18:$B$200),CHOOSE({1,2},'Бланк OLD 2.0 04 '!$B$18:$B$200,'Бланк OLD 2.0 04 '!$A$18:$A$200),2,0)),"")</f>
        <v/>
      </c>
      <c r="D45" s="150" t="str">
        <f ca="1">IFERROR(VLOOKUP(C45,'Шаг1.Выбор плиты'!C:G,5,0),"")</f>
        <v/>
      </c>
      <c r="E45" s="147" t="str">
        <f ca="1">IFERROR(IFERROR(IF(VLOOKUP($A45,'Шаг2.Бланк заказа NEW'!$B$17:$N$201,2,0)="","",VLOOKUP($A45,'Шаг2.Бланк заказа NEW'!$B$17:$N$201,2,0)),
IF(VLOOKUP($A45-COUNT('Шаг2.Бланк заказа NEW'!$B$19:$B$201),'Бланк OLD 0.8 04'!$B$12:$K$200,2,0)="","",VLOOKUP($A45-COUNT('Шаг2.Бланк заказа NEW'!$B$19:$B$201),'Бланк OLD 0.8 04'!$B$12:$K$200,2,0))),
IF(VLOOKUP($A45-COUNT('Шаг2.Бланк заказа NEW'!$B$19:$B$201)-COUNT('Бланк OLD 0.8 04'!$B$18:$B$200),'Бланк OLD 2.0 04 '!$B$16:$K$200,2,0)="","",VLOOKUP($A45-COUNT('Шаг2.Бланк заказа NEW'!$B$19:$B$201)-COUNT('Бланк OLD 0.8 04'!$B$18:$B$200),'Бланк OLD 2.0 04 '!$B$16:$K$200,2,0)))</f>
        <v/>
      </c>
      <c r="F45" s="147" t="str">
        <f ca="1">IFERROR(IFERROR(IF(VLOOKUP($A45,'Шаг2.Бланк заказа NEW'!$B$17:$N$201,3,0)="","",VLOOKUP($A45,'Шаг2.Бланк заказа NEW'!$B$17:$N$201,3,0)),
IF(VLOOKUP($A45-COUNT('Шаг2.Бланк заказа NEW'!$B$19:$B$201),'Бланк OLD 0.8 04'!$B$12:$K$200,3,0)="","",VLOOKUP($A45-COUNT('Шаг2.Бланк заказа NEW'!$B$19:$B$201),'Бланк OLD 0.8 04'!$B$12:$K$200,3,0))),
IF(VLOOKUP($A45-COUNT('Шаг2.Бланк заказа NEW'!$B$19:$B$201)-COUNT('Бланк OLD 0.8 04'!$B$18:$B$200),'Бланк OLD 2.0 04 '!$B$16:$K$200,3,0)="","",VLOOKUP($A45-COUNT('Шаг2.Бланк заказа NEW'!$B$19:$B$201)-COUNT('Бланк OLD 0.8 04'!$B$18:$B$200),'Бланк OLD 2.0 04 '!$B$16:$K$200,3,0)))</f>
        <v/>
      </c>
      <c r="G45" s="176" t="str">
        <f ca="1">IF(IF(R45="","",IF(R45=1,SUMIFS('Шаг1.Выбор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плиты'!C:Q,12,0)),1))))))=0,
R45,
IF(R45="","",IF(R45=1,SUMIFS('Шаг1.Выбор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плиты'!N:N,R45,'Шаг1.Выбор плиты'!M:M,SMALL(INDIRECT("мм"&amp;VLOOKUP(C45,'Шаг1.Выбор плиты'!C:Q,12,0)),1)))))))</f>
        <v/>
      </c>
      <c r="H45" s="177" t="str">
        <f ca="1">IF(IF(S45="","",IF(S45=1,SUMIFS('Шаг1.Выбор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плиты'!C:Q,12,0)),1))))))=0,
S45,
IF(S45="","",IF(S45=1,SUMIFS('Шаг1.Выбор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плиты'!N:N,S45,'Шаг1.Выбор плиты'!M:M,SMALL(INDIRECT("мм"&amp;VLOOKUP(C45,'Шаг1.Выбор плиты'!C:Q,12,0)),1)))))))</f>
        <v/>
      </c>
      <c r="I45" s="147" t="str">
        <f ca="1">IFERROR(IFERROR(IF(VLOOKUP($A45,'Шаг2.Бланк заказа NEW'!$B$17:$N$201,6,0)="","",VLOOKUP($A45,'Шаг2.Бланк заказа NEW'!$B$17:$N$201,6,0)),
IF(VLOOKUP($A45-COUNT('Шаг2.Бланк заказа NEW'!$B$19:$B$201),'Бланк OLD 0.8 04'!$B$12:$K$200,6,0)="","",VLOOKUP($A45-COUNT('Шаг2.Бланк заказа NEW'!$B$19:$B$201),'Бланк OLD 0.8 04'!$B$12:$K$200,6,0))),
IF(VLOOKUP($A45-COUNT('Шаг2.Бланк заказа NEW'!$B$19:$B$201)-COUNT('Бланк OLD 0.8 04'!$B$18:$B$200),'Бланк OLD 2.0 04 '!$B$16:$K$200,6,0)="","",VLOOKUP($A45-COUNT('Шаг2.Бланк заказа NEW'!$B$19:$B$201)-COUNT('Бланк OLD 0.8 04'!$B$18:$B$200),'Бланк OLD 2.0 04 '!$B$16:$K$200,6,0)))</f>
        <v/>
      </c>
      <c r="J45" s="177" t="str">
        <f ca="1">IF(IF(T45="","",IF(T45=1,SUMIFS('Шаг1.Выбор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плиты'!C:Q,12,0)),1))))))=0,
T45,
IF(T45="","",IF(T45=1,SUMIFS('Шаг1.Выбор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плиты'!N:N,T45,'Шаг1.Выбор плиты'!M:M,SMALL(INDIRECT("мм"&amp;VLOOKUP(C45,'Шаг1.Выбор плиты'!C:Q,12,0)),1)))))))</f>
        <v/>
      </c>
      <c r="K45" s="177" t="str">
        <f ca="1">IF(IF(U45="","",IF(U45=1,SUMIFS('Шаг1.Выбор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плиты'!C:Q,12,0)),1))))))=0,
U45,
IF(U45="","",IF(U45=1,SUMIFS('Шаг1.Выбор плиты'!$G:$G,'Шаг1.Выбор плиты'!J:J,"*"&amp;RIGHT(VLOOKUP(C45,'Шаг1.Выбор плиты'!C:Q,8,0),4),'Шаг1.Выбор плиты'!L:L,IF(MID(C45,1,6)="ЛДСП P","TM"&amp;MID(VLOOKUP(C45,'Шаг1.Выбор плиты'!C:Q,10,0),3,2),MID(VLOOKUP(C45,'Шаг1.Выбор плиты'!C:Q,10,0),1,2)),
'Шаг1.Выбор плиты'!N:N,1),IF(SUMIFS('Шаг1.Выбор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плиты'!C:Q,12,0)),1))=0,
IF(SUMIFS('Шаг1.Выбор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плиты'!C:Q,12,0)),2))=0,
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плиты'!C:Q,12,0)),3)),
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плиты'!C:Q,12,0)),2))),
(SUMIFS('Шаг1.Выбор плиты'!$G:$G,'Шаг1.Выбор плиты'!J:J,"*"&amp;RIGHT(VLOOKUP(C45,'Шаг1.Выбор плиты'!C:Q,8,0),4),'Шаг1.Выбор плиты'!L:L,VLOOKUP(C45,'Шаг1.Выбор плиты'!C:Q,10,0),'Шаг1.Выбор плиты'!N:N,U45,'Шаг1.Выбор плиты'!M:M,SMALL(INDIRECT("мм"&amp;VLOOKUP(C45,'Шаг1.Выбор плиты'!C:Q,12,0)),1)))))))</f>
        <v/>
      </c>
      <c r="L45" s="147" t="str">
        <f ca="1">IFERROR(IFERROR(IF(VLOOKUP($A45,'Шаг2.Бланк заказа NEW'!$B$17:$N$201,9,0)="","",VLOOKUP($A45,'Шаг2.Бланк заказа NEW'!$B$17:$N$201,9,0)),
IF(VLOOKUP($A45-COUNT('Шаг2.Бланк заказа NEW'!$B$19:$B$201),'Бланк OLD 0.8 04'!$B$12:$K$200,9,0)="","",VLOOKUP($A45-COUNT('Шаг2.Бланк заказа NEW'!$B$19:$B$201),'Бланк OLD 0.8 04'!$B$12:$K$200,9,0))),
IF(VLOOKUP($A45-COUNT('Шаг2.Бланк заказа NEW'!$B$19:$B$201)-COUNT('Бланк OLD 0.8 04'!$B$18:$B$200),'Бланк OLD 2.0 04 '!$B$16:$K$200,9,0)="","",VLOOKUP($A45-COUNT('Шаг2.Бланк заказа NEW'!$B$19:$B$201)-COUNT('Бланк OLD 0.8 04'!$B$18:$B$200),'Бланк OLD 2.0 04 '!$B$16:$K$200,9,0)))</f>
        <v/>
      </c>
      <c r="M45" s="154" t="str">
        <f t="shared" ca="1" si="5"/>
        <v/>
      </c>
      <c r="N45" s="153" t="str">
        <f ca="1">IFERROR(IF(VLOOKUP($A45,'Шаг2.Бланк заказа NEW'!$B$17:$N$201,11,0)="","",VLOOKUP($A45,'Шаг2.Бланк заказа NEW'!$B$17:$N$201,11,0)),
"Нет")</f>
        <v/>
      </c>
      <c r="O45" s="147" t="str">
        <f ca="1">IFERROR(IF(VLOOKUP($A45,'Шаг2.Бланк заказа NEW'!$B$17:$N$201,11,0)="","",VLOOKUP($A45,'Шаг2.Бланк заказа NEW'!$B$17:$N$201,12,0)),
"Нет")</f>
        <v/>
      </c>
      <c r="P45" s="153" t="str">
        <f ca="1">IFERROR(IF(VLOOKUP($A45,'Шаг2.Бланк заказа NEW'!$B$17:$N$201,13,0)="","",VLOOKUP($A45,'Шаг2.Бланк заказа NEW'!$B$17:$N$201,13,0)),
"Нет")</f>
        <v/>
      </c>
      <c r="Q45" s="147" t="str">
        <f ca="1">IFERROR(IF(VLOOKUP($A45,'Шаг2.Бланк заказа NEW'!$B$17:$O$201,14,0)="","",VLOOKUP($A45,'Шаг2.Бланк заказа NEW'!$B$17:$O$201,14,0)),"")</f>
        <v/>
      </c>
      <c r="R45" s="147" t="str">
        <f ca="1">IFERROR(IFERROR(IF(VLOOKUP($A45,'Шаг2.Бланк заказа NEW'!$B$17:$N$201,4,0)="","",VLOOKUP($A45,'Шаг2.Бланк заказа NEW'!$B$17:$N$201,4,0)),
IF(VLOOKUP($A45-COUNT('Шаг2.Бланк заказа NEW'!$B$19:$B$201),'Бланк OLD 0.8 04'!$B$12:$K$200,4,0)&gt;0,0.8,
IF(VLOOKUP($A45-COUNT('Шаг2.Бланк заказа NEW'!$B$19:$B$201),'Бланк OLD 0.8 04'!$B$12:$K$200,5,0)&gt;0,0.4,""))),
IF(VLOOKUP($A45-COUNT('Шаг2.Бланк заказа NEW'!$B$19:$B$201)-COUNT('Бланк OLD 0.8 04'!$B$18:$B$200),'Бланк OLD 2.0 04 '!$B$16:$K$200,4,0)&gt;0,2,IF(VLOOKUP($A45-COUNT('Шаг2.Бланк заказа NEW'!$B$19:$B$201)-COUNT('Бланк OLD 0.8 04'!$B$18:$B$200),'Бланк OLD 2.0 04 '!$B$16:$K$200,5,0)&gt;0,0.4,"")))</f>
        <v/>
      </c>
      <c r="S45" s="147" t="str">
        <f ca="1">IFERROR(IFERROR(IF(VLOOKUP($A45,'Шаг2.Бланк заказа NEW'!$B$17:$N$201,5,0)="","",VLOOKUP($A45,'Шаг2.Бланк заказа NEW'!$B$17:$N$201,5,0)),
IF(VLOOKUP($A45-COUNT('Шаг2.Бланк заказа NEW'!$B$19:$B$201),'Бланк OLD 0.8 04'!$B$12:$K$200,4,0)&gt;1,0.8,
IF(VLOOKUP($A45-COUNT('Шаг2.Бланк заказа NEW'!$B$19:$B$201),'Бланк OLD 0.8 04'!$B$12:$K$200,5,0)&gt;1,0.4,
IF(AND(VLOOKUP($A45-COUNT('Шаг2.Бланк заказа NEW'!$B$19:$B$201),'Бланк OLD 0.8 04'!$B$12:$K$200,4,0)&gt;0,VLOOKUP($A45-COUNT('Шаг2.Бланк заказа NEW'!$B$19:$B$201),'Бланк OLD 0.8 04'!$B$12:$K$200,5,0)&gt;0),0.4,"")))),
IF(VLOOKUP($A45-COUNT('Шаг2.Бланк заказа NEW'!$B$19:$B$201)-COUNT('Бланк OLD 0.8 04'!$B$18:$B$200),'Бланк OLD 2.0 04 '!$B$16:$K$200,4,0)&gt;1,2,
IF(VLOOKUP($A45-COUNT('Шаг2.Бланк заказа NEW'!$B$19:$B$201)-COUNT('Бланк OLD 0.8 04'!$B$18:$B$200),'Бланк OLD 2.0 04 '!$B$16:$K$200,5,0)&gt;1,0.4,IF(AND(VLOOKUP($A45-COUNT('Шаг2.Бланк заказа NEW'!$B$19:$B$201)-COUNT('Бланк OLD 0.8 04'!$B$18:$B$200),'Бланк OLD 2.0 04 '!$B$16:$K$200,4,0)&gt;0,VLOOKUP($A45-COUNT('Шаг2.Бланк заказа NEW'!$B$19:$B$201)-COUNT('Бланк OLD 0.8 04'!$B$18:$B$200),'Бланк OLD 2.0 04 '!$B$16:$K$200,5,0)&gt;0),0.4,""))))</f>
        <v/>
      </c>
      <c r="T45" s="147" t="str">
        <f ca="1">IFERROR(IFERROR(IF(VLOOKUP($A45,'Шаг2.Бланк заказа NEW'!$B$17:$N$201,7,0)="","",VLOOKUP($A45,'Шаг2.Бланк заказа NEW'!$B$17:$N$201,7,0)),
IF(VLOOKUP($A45-COUNT('Шаг2.Бланк заказа NEW'!$B$19:$B$201),'Бланк OLD 0.8 04'!$B$12:$K$200,7,0)&gt;0,0.8,
IF(VLOOKUP($A45-COUNT('Шаг2.Бланк заказа NEW'!$B$19:$B$201),'Бланк OLD 0.8 04'!$B$12:$K$200,8,0)&gt;0,0.4,""))),
IF(VLOOKUP($A45-COUNT('Шаг2.Бланк заказа NEW'!$B$19:$B$201)-COUNT('Бланк OLD 0.8 04'!$B$18:$B$200),'Бланк OLD 2.0 04 '!$B$16:$K$200,7,0)&gt;0,2,IF(VLOOKUP($A45-COUNT('Шаг2.Бланк заказа NEW'!$B$19:$B$201)-COUNT('Бланк OLD 0.8 04'!$B$18:$B$200),'Бланк OLD 2.0 04 '!$B$16:$K$200,8,0)&gt;0,0.4,"")))</f>
        <v/>
      </c>
      <c r="U45" s="147" t="str">
        <f ca="1">IFERROR(IFERROR(IF(VLOOKUP($A45,'Шаг2.Бланк заказа NEW'!$B$17:$N$201,8,0)="","",VLOOKUP($A45,'Шаг2.Бланк заказа NEW'!$B$17:$N$201,8,0)),
IF(VLOOKUP($A45-COUNT('Шаг2.Бланк заказа NEW'!$B$19:$B$201),'Бланк OLD 0.8 04'!$B$12:$K$200,7,0)&gt;1,0.8,
IF(VLOOKUP($A45-COUNT('Шаг2.Бланк заказа NEW'!$B$19:$B$201),'Бланк OLD 0.8 04'!$B$12:$K$200,8,0)&gt;1,0.4,
IF(AND(VLOOKUP($A45-COUNT('Шаг2.Бланк заказа NEW'!$B$19:$B$201),'Бланк OLD 0.8 04'!$B$12:$K$200,7,0)&gt;0,VLOOKUP($A45-COUNT('Шаг2.Бланк заказа NEW'!$B$19:$B$201),'Бланк OLD 0.8 04'!$B$12:$K$200,8,0)&gt;0),0.4,"")))),
IF(VLOOKUP($A45-COUNT('Шаг2.Бланк заказа NEW'!$B$19:$B$201)-COUNT('Бланк OLD 0.8 04'!$B$18:$B$200),'Бланк OLD 2.0 04 '!$B$16:$K$200,7,0)&gt;1,2,
IF(VLOOKUP($A45-COUNT('Шаг2.Бланк заказа NEW'!$B$19:$B$201)-COUNT('Бланк OLD 0.8 04'!$B$18:$B$200),'Бланк OLD 2.0 04 '!$B$16:$K$200,8,0)&gt;1,0.4,
IF(AND(VLOOKUP($A45-COUNT('Шаг2.Бланк заказа NEW'!$B$19:$B$201)-COUNT('Бланк OLD 0.8 04'!$B$18:$B$200),'Бланк OLD 2.0 04 '!$B$16:$K$200,7,0)&gt;0,VLOOKUP($A45-COUNT('Шаг2.Бланк заказа NEW'!$B$19:$B$201)-COUNT('Бланк OLD 0.8 04'!$B$18:$B$200),'Бланк OLD 2.0 04 '!$B$16:$K$200,8,0)&gt;0),0.4,""))))</f>
        <v/>
      </c>
      <c r="V45" s="146" t="str">
        <f ca="1">IFERROR(VLOOKUP(C45,'Шаг1.Выбор плиты'!C:S,12,0),"")</f>
        <v/>
      </c>
      <c r="W45" s="146" t="str">
        <f ca="1">IFERROR(VLOOKUP(C45,'Шаг1.Выбор плиты'!C:S,8,0),"")</f>
        <v/>
      </c>
      <c r="X45" s="146" t="str">
        <f ca="1">IFERROR(VLOOKUP(C45,'Шаг1.Выбор плиты'!C:S,10,0),"")</f>
        <v/>
      </c>
      <c r="Y45" s="147" t="str">
        <f t="shared" ca="1" si="1"/>
        <v/>
      </c>
      <c r="AD45" s="147" t="str">
        <f t="shared" ca="1" si="6"/>
        <v/>
      </c>
      <c r="AE45" s="147" t="str">
        <f t="shared" ca="1" si="3"/>
        <v/>
      </c>
      <c r="AF45" s="25"/>
      <c r="AH45" s="147" t="str">
        <f ca="1">IF(C45="","",VLOOKUP(C45,'Шаг1.Выбор плиты'!C:Q,7,0))</f>
        <v/>
      </c>
      <c r="AI45" s="147" t="str">
        <f t="shared" ca="1" si="7"/>
        <v/>
      </c>
    </row>
    <row r="46" spans="1:35" x14ac:dyDescent="0.2">
      <c r="A46" s="151" t="str">
        <f ca="1">IF(C46="","",MAX($A$1:OFFSET(C46,-1,0))+1)</f>
        <v/>
      </c>
      <c r="B46" s="151" t="str">
        <f ca="1">IFERROR(IFERROR(IFERROR("Шаг2.Бланк заказа NEW №"&amp;VLOOKUP(A45+1,CHOOSE({1,2},'Шаг2.Бланк заказа NEW'!$B$19:$B$201,'Шаг2.Бланк заказа NEW'!$A$19:$A$201),1,0),
"Бланк OLD 0.8 04 №"&amp;VLOOKUP(A45+1-COUNT('Шаг2.Бланк заказа NEW'!$B$19:$B$201),CHOOSE({1,2},'Бланк OLD 0.8 04'!$B$18:$B$200,'Бланк OLD 0.8 04'!$A$18:$A$200),1,0)),
"Бланк OLD 2.0 04 №"&amp;VLOOKUP(A45+1-COUNT('Шаг2.Бланк заказа NEW'!$B$19:$B$201)-COUNT('Бланк OLD 0.8 04'!$B$18:$B$200),CHOOSE({1,2},'Бланк OLD 2.0 04 '!$B$18:$B$200,'Бланк OLD 2.0 04 '!$A$18:$A$200),1,0)),"")</f>
        <v/>
      </c>
      <c r="C46" s="152" t="str">
        <f ca="1">IFERROR(IFERROR(IFERROR(VLOOKUP(A45+1,CHOOSE({1,2},'Шаг2.Бланк заказа NEW'!$B$19:$B$201,'Шаг2.Бланк заказа NEW'!$A$19:$A$201),2,0),
VLOOKUP(A45+1-COUNT('Шаг2.Бланк заказа NEW'!$B$19:$B$201),CHOOSE({1,2},'Бланк OLD 0.8 04'!$B$18:$B$200,'Бланк OLD 0.8 04'!$A$18:$A$200),2,0)),
VLOOKUP(A45+1-COUNT('Шаг2.Бланк заказа NEW'!$B$19:$B$201)-COUNT('Бланк OLD 0.8 04'!$B$18:$B$200),CHOOSE({1,2},'Бланк OLD 2.0 04 '!$B$18:$B$200,'Бланк OLD 2.0 04 '!$A$18:$A$200),2,0)),"")</f>
        <v/>
      </c>
      <c r="D46" s="150" t="str">
        <f ca="1">IFERROR(VLOOKUP(C46,'Шаг1.Выбор плиты'!C:G,5,0),"")</f>
        <v/>
      </c>
      <c r="E46" s="147" t="str">
        <f ca="1">IFERROR(IFERROR(IF(VLOOKUP($A46,'Шаг2.Бланк заказа NEW'!$B$17:$N$201,2,0)="","",VLOOKUP($A46,'Шаг2.Бланк заказа NEW'!$B$17:$N$201,2,0)),
IF(VLOOKUP($A46-COUNT('Шаг2.Бланк заказа NEW'!$B$19:$B$201),'Бланк OLD 0.8 04'!$B$12:$K$200,2,0)="","",VLOOKUP($A46-COUNT('Шаг2.Бланк заказа NEW'!$B$19:$B$201),'Бланк OLD 0.8 04'!$B$12:$K$200,2,0))),
IF(VLOOKUP($A46-COUNT('Шаг2.Бланк заказа NEW'!$B$19:$B$201)-COUNT('Бланк OLD 0.8 04'!$B$18:$B$200),'Бланк OLD 2.0 04 '!$B$16:$K$200,2,0)="","",VLOOKUP($A46-COUNT('Шаг2.Бланк заказа NEW'!$B$19:$B$201)-COUNT('Бланк OLD 0.8 04'!$B$18:$B$200),'Бланк OLD 2.0 04 '!$B$16:$K$200,2,0)))</f>
        <v/>
      </c>
      <c r="F46" s="147" t="str">
        <f ca="1">IFERROR(IFERROR(IF(VLOOKUP($A46,'Шаг2.Бланк заказа NEW'!$B$17:$N$201,3,0)="","",VLOOKUP($A46,'Шаг2.Бланк заказа NEW'!$B$17:$N$201,3,0)),
IF(VLOOKUP($A46-COUNT('Шаг2.Бланк заказа NEW'!$B$19:$B$201),'Бланк OLD 0.8 04'!$B$12:$K$200,3,0)="","",VLOOKUP($A46-COUNT('Шаг2.Бланк заказа NEW'!$B$19:$B$201),'Бланк OLD 0.8 04'!$B$12:$K$200,3,0))),
IF(VLOOKUP($A46-COUNT('Шаг2.Бланк заказа NEW'!$B$19:$B$201)-COUNT('Бланк OLD 0.8 04'!$B$18:$B$200),'Бланк OLD 2.0 04 '!$B$16:$K$200,3,0)="","",VLOOKUP($A46-COUNT('Шаг2.Бланк заказа NEW'!$B$19:$B$201)-COUNT('Бланк OLD 0.8 04'!$B$18:$B$200),'Бланк OLD 2.0 04 '!$B$16:$K$200,3,0)))</f>
        <v/>
      </c>
      <c r="G46" s="176" t="str">
        <f ca="1">IF(IF(R46="","",IF(R46=1,SUMIFS('Шаг1.Выбор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плиты'!C:Q,12,0)),1))))))=0,
R46,
IF(R46="","",IF(R46=1,SUMIFS('Шаг1.Выбор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плиты'!N:N,R46,'Шаг1.Выбор плиты'!M:M,SMALL(INDIRECT("мм"&amp;VLOOKUP(C46,'Шаг1.Выбор плиты'!C:Q,12,0)),1)))))))</f>
        <v/>
      </c>
      <c r="H46" s="177" t="str">
        <f ca="1">IF(IF(S46="","",IF(S46=1,SUMIFS('Шаг1.Выбор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плиты'!C:Q,12,0)),1))))))=0,
S46,
IF(S46="","",IF(S46=1,SUMIFS('Шаг1.Выбор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плиты'!N:N,S46,'Шаг1.Выбор плиты'!M:M,SMALL(INDIRECT("мм"&amp;VLOOKUP(C46,'Шаг1.Выбор плиты'!C:Q,12,0)),1)))))))</f>
        <v/>
      </c>
      <c r="I46" s="147" t="str">
        <f ca="1">IFERROR(IFERROR(IF(VLOOKUP($A46,'Шаг2.Бланк заказа NEW'!$B$17:$N$201,6,0)="","",VLOOKUP($A46,'Шаг2.Бланк заказа NEW'!$B$17:$N$201,6,0)),
IF(VLOOKUP($A46-COUNT('Шаг2.Бланк заказа NEW'!$B$19:$B$201),'Бланк OLD 0.8 04'!$B$12:$K$200,6,0)="","",VLOOKUP($A46-COUNT('Шаг2.Бланк заказа NEW'!$B$19:$B$201),'Бланк OLD 0.8 04'!$B$12:$K$200,6,0))),
IF(VLOOKUP($A46-COUNT('Шаг2.Бланк заказа NEW'!$B$19:$B$201)-COUNT('Бланк OLD 0.8 04'!$B$18:$B$200),'Бланк OLD 2.0 04 '!$B$16:$K$200,6,0)="","",VLOOKUP($A46-COUNT('Шаг2.Бланк заказа NEW'!$B$19:$B$201)-COUNT('Бланк OLD 0.8 04'!$B$18:$B$200),'Бланк OLD 2.0 04 '!$B$16:$K$200,6,0)))</f>
        <v/>
      </c>
      <c r="J46" s="177" t="str">
        <f ca="1">IF(IF(T46="","",IF(T46=1,SUMIFS('Шаг1.Выбор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плиты'!C:Q,12,0)),1))))))=0,
T46,
IF(T46="","",IF(T46=1,SUMIFS('Шаг1.Выбор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плиты'!N:N,T46,'Шаг1.Выбор плиты'!M:M,SMALL(INDIRECT("мм"&amp;VLOOKUP(C46,'Шаг1.Выбор плиты'!C:Q,12,0)),1)))))))</f>
        <v/>
      </c>
      <c r="K46" s="177" t="str">
        <f ca="1">IF(IF(U46="","",IF(U46=1,SUMIFS('Шаг1.Выбор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плиты'!C:Q,12,0)),1))))))=0,
U46,
IF(U46="","",IF(U46=1,SUMIFS('Шаг1.Выбор плиты'!$G:$G,'Шаг1.Выбор плиты'!J:J,"*"&amp;RIGHT(VLOOKUP(C46,'Шаг1.Выбор плиты'!C:Q,8,0),4),'Шаг1.Выбор плиты'!L:L,IF(MID(C46,1,6)="ЛДСП P","TM"&amp;MID(VLOOKUP(C46,'Шаг1.Выбор плиты'!C:Q,10,0),3,2),MID(VLOOKUP(C46,'Шаг1.Выбор плиты'!C:Q,10,0),1,2)),
'Шаг1.Выбор плиты'!N:N,1),IF(SUMIFS('Шаг1.Выбор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плиты'!C:Q,12,0)),1))=0,
IF(SUMIFS('Шаг1.Выбор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плиты'!C:Q,12,0)),2))=0,
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плиты'!C:Q,12,0)),3)),
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плиты'!C:Q,12,0)),2))),
(SUMIFS('Шаг1.Выбор плиты'!$G:$G,'Шаг1.Выбор плиты'!J:J,"*"&amp;RIGHT(VLOOKUP(C46,'Шаг1.Выбор плиты'!C:Q,8,0),4),'Шаг1.Выбор плиты'!L:L,VLOOKUP(C46,'Шаг1.Выбор плиты'!C:Q,10,0),'Шаг1.Выбор плиты'!N:N,U46,'Шаг1.Выбор плиты'!M:M,SMALL(INDIRECT("мм"&amp;VLOOKUP(C46,'Шаг1.Выбор плиты'!C:Q,12,0)),1)))))))</f>
        <v/>
      </c>
      <c r="L46" s="147" t="str">
        <f ca="1">IFERROR(IFERROR(IF(VLOOKUP($A46,'Шаг2.Бланк заказа NEW'!$B$17:$N$201,9,0)="","",VLOOKUP($A46,'Шаг2.Бланк заказа NEW'!$B$17:$N$201,9,0)),
IF(VLOOKUP($A46-COUNT('Шаг2.Бланк заказа NEW'!$B$19:$B$201),'Бланк OLD 0.8 04'!$B$12:$K$200,9,0)="","",VLOOKUP($A46-COUNT('Шаг2.Бланк заказа NEW'!$B$19:$B$201),'Бланк OLD 0.8 04'!$B$12:$K$200,9,0))),
IF(VLOOKUP($A46-COUNT('Шаг2.Бланк заказа NEW'!$B$19:$B$201)-COUNT('Бланк OLD 0.8 04'!$B$18:$B$200),'Бланк OLD 2.0 04 '!$B$16:$K$200,9,0)="","",VLOOKUP($A46-COUNT('Шаг2.Бланк заказа NEW'!$B$19:$B$201)-COUNT('Бланк OLD 0.8 04'!$B$18:$B$200),'Бланк OLD 2.0 04 '!$B$16:$K$200,9,0)))</f>
        <v/>
      </c>
      <c r="M46" s="154" t="str">
        <f t="shared" ca="1" si="5"/>
        <v/>
      </c>
      <c r="N46" s="153" t="str">
        <f ca="1">IFERROR(IF(VLOOKUP($A46,'Шаг2.Бланк заказа NEW'!$B$17:$N$201,11,0)="","",VLOOKUP($A46,'Шаг2.Бланк заказа NEW'!$B$17:$N$201,11,0)),
"Нет")</f>
        <v/>
      </c>
      <c r="O46" s="147" t="str">
        <f ca="1">IFERROR(IF(VLOOKUP($A46,'Шаг2.Бланк заказа NEW'!$B$17:$N$201,11,0)="","",VLOOKUP($A46,'Шаг2.Бланк заказа NEW'!$B$17:$N$201,12,0)),
"Нет")</f>
        <v/>
      </c>
      <c r="P46" s="153" t="str">
        <f ca="1">IFERROR(IF(VLOOKUP($A46,'Шаг2.Бланк заказа NEW'!$B$17:$N$201,13,0)="","",VLOOKUP($A46,'Шаг2.Бланк заказа NEW'!$B$17:$N$201,13,0)),
"Нет")</f>
        <v/>
      </c>
      <c r="Q46" s="147" t="str">
        <f ca="1">IFERROR(IF(VLOOKUP($A46,'Шаг2.Бланк заказа NEW'!$B$17:$O$201,14,0)="","",VLOOKUP($A46,'Шаг2.Бланк заказа NEW'!$B$17:$O$201,14,0)),"")</f>
        <v/>
      </c>
      <c r="R46" s="147" t="str">
        <f ca="1">IFERROR(IFERROR(IF(VLOOKUP($A46,'Шаг2.Бланк заказа NEW'!$B$17:$N$201,4,0)="","",VLOOKUP($A46,'Шаг2.Бланк заказа NEW'!$B$17:$N$201,4,0)),
IF(VLOOKUP($A46-COUNT('Шаг2.Бланк заказа NEW'!$B$19:$B$201),'Бланк OLD 0.8 04'!$B$12:$K$200,4,0)&gt;0,0.8,
IF(VLOOKUP($A46-COUNT('Шаг2.Бланк заказа NEW'!$B$19:$B$201),'Бланк OLD 0.8 04'!$B$12:$K$200,5,0)&gt;0,0.4,""))),
IF(VLOOKUP($A46-COUNT('Шаг2.Бланк заказа NEW'!$B$19:$B$201)-COUNT('Бланк OLD 0.8 04'!$B$18:$B$200),'Бланк OLD 2.0 04 '!$B$16:$K$200,4,0)&gt;0,2,IF(VLOOKUP($A46-COUNT('Шаг2.Бланк заказа NEW'!$B$19:$B$201)-COUNT('Бланк OLD 0.8 04'!$B$18:$B$200),'Бланк OLD 2.0 04 '!$B$16:$K$200,5,0)&gt;0,0.4,"")))</f>
        <v/>
      </c>
      <c r="S46" s="147" t="str">
        <f ca="1">IFERROR(IFERROR(IF(VLOOKUP($A46,'Шаг2.Бланк заказа NEW'!$B$17:$N$201,5,0)="","",VLOOKUP($A46,'Шаг2.Бланк заказа NEW'!$B$17:$N$201,5,0)),
IF(VLOOKUP($A46-COUNT('Шаг2.Бланк заказа NEW'!$B$19:$B$201),'Бланк OLD 0.8 04'!$B$12:$K$200,4,0)&gt;1,0.8,
IF(VLOOKUP($A46-COUNT('Шаг2.Бланк заказа NEW'!$B$19:$B$201),'Бланк OLD 0.8 04'!$B$12:$K$200,5,0)&gt;1,0.4,
IF(AND(VLOOKUP($A46-COUNT('Шаг2.Бланк заказа NEW'!$B$19:$B$201),'Бланк OLD 0.8 04'!$B$12:$K$200,4,0)&gt;0,VLOOKUP($A46-COUNT('Шаг2.Бланк заказа NEW'!$B$19:$B$201),'Бланк OLD 0.8 04'!$B$12:$K$200,5,0)&gt;0),0.4,"")))),
IF(VLOOKUP($A46-COUNT('Шаг2.Бланк заказа NEW'!$B$19:$B$201)-COUNT('Бланк OLD 0.8 04'!$B$18:$B$200),'Бланк OLD 2.0 04 '!$B$16:$K$200,4,0)&gt;1,2,
IF(VLOOKUP($A46-COUNT('Шаг2.Бланк заказа NEW'!$B$19:$B$201)-COUNT('Бланк OLD 0.8 04'!$B$18:$B$200),'Бланк OLD 2.0 04 '!$B$16:$K$200,5,0)&gt;1,0.4,IF(AND(VLOOKUP($A46-COUNT('Шаг2.Бланк заказа NEW'!$B$19:$B$201)-COUNT('Бланк OLD 0.8 04'!$B$18:$B$200),'Бланк OLD 2.0 04 '!$B$16:$K$200,4,0)&gt;0,VLOOKUP($A46-COUNT('Шаг2.Бланк заказа NEW'!$B$19:$B$201)-COUNT('Бланк OLD 0.8 04'!$B$18:$B$200),'Бланк OLD 2.0 04 '!$B$16:$K$200,5,0)&gt;0),0.4,""))))</f>
        <v/>
      </c>
      <c r="T46" s="147" t="str">
        <f ca="1">IFERROR(IFERROR(IF(VLOOKUP($A46,'Шаг2.Бланк заказа NEW'!$B$17:$N$201,7,0)="","",VLOOKUP($A46,'Шаг2.Бланк заказа NEW'!$B$17:$N$201,7,0)),
IF(VLOOKUP($A46-COUNT('Шаг2.Бланк заказа NEW'!$B$19:$B$201),'Бланк OLD 0.8 04'!$B$12:$K$200,7,0)&gt;0,0.8,
IF(VLOOKUP($A46-COUNT('Шаг2.Бланк заказа NEW'!$B$19:$B$201),'Бланк OLD 0.8 04'!$B$12:$K$200,8,0)&gt;0,0.4,""))),
IF(VLOOKUP($A46-COUNT('Шаг2.Бланк заказа NEW'!$B$19:$B$201)-COUNT('Бланк OLD 0.8 04'!$B$18:$B$200),'Бланк OLD 2.0 04 '!$B$16:$K$200,7,0)&gt;0,2,IF(VLOOKUP($A46-COUNT('Шаг2.Бланк заказа NEW'!$B$19:$B$201)-COUNT('Бланк OLD 0.8 04'!$B$18:$B$200),'Бланк OLD 2.0 04 '!$B$16:$K$200,8,0)&gt;0,0.4,"")))</f>
        <v/>
      </c>
      <c r="U46" s="147" t="str">
        <f ca="1">IFERROR(IFERROR(IF(VLOOKUP($A46,'Шаг2.Бланк заказа NEW'!$B$17:$N$201,8,0)="","",VLOOKUP($A46,'Шаг2.Бланк заказа NEW'!$B$17:$N$201,8,0)),
IF(VLOOKUP($A46-COUNT('Шаг2.Бланк заказа NEW'!$B$19:$B$201),'Бланк OLD 0.8 04'!$B$12:$K$200,7,0)&gt;1,0.8,
IF(VLOOKUP($A46-COUNT('Шаг2.Бланк заказа NEW'!$B$19:$B$201),'Бланк OLD 0.8 04'!$B$12:$K$200,8,0)&gt;1,0.4,
IF(AND(VLOOKUP($A46-COUNT('Шаг2.Бланк заказа NEW'!$B$19:$B$201),'Бланк OLD 0.8 04'!$B$12:$K$200,7,0)&gt;0,VLOOKUP($A46-COUNT('Шаг2.Бланк заказа NEW'!$B$19:$B$201),'Бланк OLD 0.8 04'!$B$12:$K$200,8,0)&gt;0),0.4,"")))),
IF(VLOOKUP($A46-COUNT('Шаг2.Бланк заказа NEW'!$B$19:$B$201)-COUNT('Бланк OLD 0.8 04'!$B$18:$B$200),'Бланк OLD 2.0 04 '!$B$16:$K$200,7,0)&gt;1,2,
IF(VLOOKUP($A46-COUNT('Шаг2.Бланк заказа NEW'!$B$19:$B$201)-COUNT('Бланк OLD 0.8 04'!$B$18:$B$200),'Бланк OLD 2.0 04 '!$B$16:$K$200,8,0)&gt;1,0.4,
IF(AND(VLOOKUP($A46-COUNT('Шаг2.Бланк заказа NEW'!$B$19:$B$201)-COUNT('Бланк OLD 0.8 04'!$B$18:$B$200),'Бланк OLD 2.0 04 '!$B$16:$K$200,7,0)&gt;0,VLOOKUP($A46-COUNT('Шаг2.Бланк заказа NEW'!$B$19:$B$201)-COUNT('Бланк OLD 0.8 04'!$B$18:$B$200),'Бланк OLD 2.0 04 '!$B$16:$K$200,8,0)&gt;0),0.4,""))))</f>
        <v/>
      </c>
      <c r="V46" s="146" t="str">
        <f ca="1">IFERROR(VLOOKUP(C46,'Шаг1.Выбор плиты'!C:S,12,0),"")</f>
        <v/>
      </c>
      <c r="W46" s="146" t="str">
        <f ca="1">IFERROR(VLOOKUP(C46,'Шаг1.Выбор плиты'!C:S,8,0),"")</f>
        <v/>
      </c>
      <c r="X46" s="146" t="str">
        <f ca="1">IFERROR(VLOOKUP(C46,'Шаг1.Выбор плиты'!C:S,10,0),"")</f>
        <v/>
      </c>
      <c r="Y46" s="147" t="str">
        <f t="shared" ca="1" si="1"/>
        <v/>
      </c>
      <c r="AD46" s="147" t="str">
        <f t="shared" ca="1" si="6"/>
        <v/>
      </c>
      <c r="AE46" s="147" t="str">
        <f t="shared" ca="1" si="3"/>
        <v/>
      </c>
      <c r="AF46" s="25"/>
      <c r="AH46" s="147" t="str">
        <f ca="1">IF(C46="","",VLOOKUP(C46,'Шаг1.Выбор плиты'!C:Q,7,0))</f>
        <v/>
      </c>
      <c r="AI46" s="147" t="str">
        <f t="shared" ca="1" si="7"/>
        <v/>
      </c>
    </row>
    <row r="47" spans="1:35" x14ac:dyDescent="0.2">
      <c r="A47" s="151" t="str">
        <f ca="1">IF(C47="","",MAX($A$1:OFFSET(C47,-1,0))+1)</f>
        <v/>
      </c>
      <c r="B47" s="151" t="str">
        <f ca="1">IFERROR(IFERROR(IFERROR("Шаг2.Бланк заказа NEW №"&amp;VLOOKUP(A46+1,CHOOSE({1,2},'Шаг2.Бланк заказа NEW'!$B$19:$B$201,'Шаг2.Бланк заказа NEW'!$A$19:$A$201),1,0),
"Бланк OLD 0.8 04 №"&amp;VLOOKUP(A46+1-COUNT('Шаг2.Бланк заказа NEW'!$B$19:$B$201),CHOOSE({1,2},'Бланк OLD 0.8 04'!$B$18:$B$200,'Бланк OLD 0.8 04'!$A$18:$A$200),1,0)),
"Бланк OLD 2.0 04 №"&amp;VLOOKUP(A46+1-COUNT('Шаг2.Бланк заказа NEW'!$B$19:$B$201)-COUNT('Бланк OLD 0.8 04'!$B$18:$B$200),CHOOSE({1,2},'Бланк OLD 2.0 04 '!$B$18:$B$200,'Бланк OLD 2.0 04 '!$A$18:$A$200),1,0)),"")</f>
        <v/>
      </c>
      <c r="C47" s="152" t="str">
        <f ca="1">IFERROR(IFERROR(IFERROR(VLOOKUP(A46+1,CHOOSE({1,2},'Шаг2.Бланк заказа NEW'!$B$19:$B$201,'Шаг2.Бланк заказа NEW'!$A$19:$A$201),2,0),
VLOOKUP(A46+1-COUNT('Шаг2.Бланк заказа NEW'!$B$19:$B$201),CHOOSE({1,2},'Бланк OLD 0.8 04'!$B$18:$B$200,'Бланк OLD 0.8 04'!$A$18:$A$200),2,0)),
VLOOKUP(A46+1-COUNT('Шаг2.Бланк заказа NEW'!$B$19:$B$201)-COUNT('Бланк OLD 0.8 04'!$B$18:$B$200),CHOOSE({1,2},'Бланк OLD 2.0 04 '!$B$18:$B$200,'Бланк OLD 2.0 04 '!$A$18:$A$200),2,0)),"")</f>
        <v/>
      </c>
      <c r="D47" s="150" t="str">
        <f ca="1">IFERROR(VLOOKUP(C47,'Шаг1.Выбор плиты'!C:G,5,0),"")</f>
        <v/>
      </c>
      <c r="E47" s="147" t="str">
        <f ca="1">IFERROR(IFERROR(IF(VLOOKUP($A47,'Шаг2.Бланк заказа NEW'!$B$17:$N$201,2,0)="","",VLOOKUP($A47,'Шаг2.Бланк заказа NEW'!$B$17:$N$201,2,0)),
IF(VLOOKUP($A47-COUNT('Шаг2.Бланк заказа NEW'!$B$19:$B$201),'Бланк OLD 0.8 04'!$B$12:$K$200,2,0)="","",VLOOKUP($A47-COUNT('Шаг2.Бланк заказа NEW'!$B$19:$B$201),'Бланк OLD 0.8 04'!$B$12:$K$200,2,0))),
IF(VLOOKUP($A47-COUNT('Шаг2.Бланк заказа NEW'!$B$19:$B$201)-COUNT('Бланк OLD 0.8 04'!$B$18:$B$200),'Бланк OLD 2.0 04 '!$B$16:$K$200,2,0)="","",VLOOKUP($A47-COUNT('Шаг2.Бланк заказа NEW'!$B$19:$B$201)-COUNT('Бланк OLD 0.8 04'!$B$18:$B$200),'Бланк OLD 2.0 04 '!$B$16:$K$200,2,0)))</f>
        <v/>
      </c>
      <c r="F47" s="147" t="str">
        <f ca="1">IFERROR(IFERROR(IF(VLOOKUP($A47,'Шаг2.Бланк заказа NEW'!$B$17:$N$201,3,0)="","",VLOOKUP($A47,'Шаг2.Бланк заказа NEW'!$B$17:$N$201,3,0)),
IF(VLOOKUP($A47-COUNT('Шаг2.Бланк заказа NEW'!$B$19:$B$201),'Бланк OLD 0.8 04'!$B$12:$K$200,3,0)="","",VLOOKUP($A47-COUNT('Шаг2.Бланк заказа NEW'!$B$19:$B$201),'Бланк OLD 0.8 04'!$B$12:$K$200,3,0))),
IF(VLOOKUP($A47-COUNT('Шаг2.Бланк заказа NEW'!$B$19:$B$201)-COUNT('Бланк OLD 0.8 04'!$B$18:$B$200),'Бланк OLD 2.0 04 '!$B$16:$K$200,3,0)="","",VLOOKUP($A47-COUNT('Шаг2.Бланк заказа NEW'!$B$19:$B$201)-COUNT('Бланк OLD 0.8 04'!$B$18:$B$200),'Бланк OLD 2.0 04 '!$B$16:$K$200,3,0)))</f>
        <v/>
      </c>
      <c r="G47" s="176" t="str">
        <f ca="1">IF(IF(R47="","",IF(R47=1,SUMIFS('Шаг1.Выбор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плиты'!C:Q,12,0)),1))))))=0,
R47,
IF(R47="","",IF(R47=1,SUMIFS('Шаг1.Выбор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плиты'!N:N,R47,'Шаг1.Выбор плиты'!M:M,SMALL(INDIRECT("мм"&amp;VLOOKUP(C47,'Шаг1.Выбор плиты'!C:Q,12,0)),1)))))))</f>
        <v/>
      </c>
      <c r="H47" s="177" t="str">
        <f ca="1">IF(IF(S47="","",IF(S47=1,SUMIFS('Шаг1.Выбор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плиты'!C:Q,12,0)),1))))))=0,
S47,
IF(S47="","",IF(S47=1,SUMIFS('Шаг1.Выбор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плиты'!N:N,S47,'Шаг1.Выбор плиты'!M:M,SMALL(INDIRECT("мм"&amp;VLOOKUP(C47,'Шаг1.Выбор плиты'!C:Q,12,0)),1)))))))</f>
        <v/>
      </c>
      <c r="I47" s="147" t="str">
        <f ca="1">IFERROR(IFERROR(IF(VLOOKUP($A47,'Шаг2.Бланк заказа NEW'!$B$17:$N$201,6,0)="","",VLOOKUP($A47,'Шаг2.Бланк заказа NEW'!$B$17:$N$201,6,0)),
IF(VLOOKUP($A47-COUNT('Шаг2.Бланк заказа NEW'!$B$19:$B$201),'Бланк OLD 0.8 04'!$B$12:$K$200,6,0)="","",VLOOKUP($A47-COUNT('Шаг2.Бланк заказа NEW'!$B$19:$B$201),'Бланк OLD 0.8 04'!$B$12:$K$200,6,0))),
IF(VLOOKUP($A47-COUNT('Шаг2.Бланк заказа NEW'!$B$19:$B$201)-COUNT('Бланк OLD 0.8 04'!$B$18:$B$200),'Бланк OLD 2.0 04 '!$B$16:$K$200,6,0)="","",VLOOKUP($A47-COUNT('Шаг2.Бланк заказа NEW'!$B$19:$B$201)-COUNT('Бланк OLD 0.8 04'!$B$18:$B$200),'Бланк OLD 2.0 04 '!$B$16:$K$200,6,0)))</f>
        <v/>
      </c>
      <c r="J47" s="177" t="str">
        <f ca="1">IF(IF(T47="","",IF(T47=1,SUMIFS('Шаг1.Выбор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плиты'!C:Q,12,0)),1))))))=0,
T47,
IF(T47="","",IF(T47=1,SUMIFS('Шаг1.Выбор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плиты'!N:N,T47,'Шаг1.Выбор плиты'!M:M,SMALL(INDIRECT("мм"&amp;VLOOKUP(C47,'Шаг1.Выбор плиты'!C:Q,12,0)),1)))))))</f>
        <v/>
      </c>
      <c r="K47" s="177" t="str">
        <f ca="1">IF(IF(U47="","",IF(U47=1,SUMIFS('Шаг1.Выбор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плиты'!C:Q,12,0)),1))))))=0,
U47,
IF(U47="","",IF(U47=1,SUMIFS('Шаг1.Выбор плиты'!$G:$G,'Шаг1.Выбор плиты'!J:J,"*"&amp;RIGHT(VLOOKUP(C47,'Шаг1.Выбор плиты'!C:Q,8,0),4),'Шаг1.Выбор плиты'!L:L,IF(MID(C47,1,6)="ЛДСП P","TM"&amp;MID(VLOOKUP(C47,'Шаг1.Выбор плиты'!C:Q,10,0),3,2),MID(VLOOKUP(C47,'Шаг1.Выбор плиты'!C:Q,10,0),1,2)),
'Шаг1.Выбор плиты'!N:N,1),IF(SUMIFS('Шаг1.Выбор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плиты'!C:Q,12,0)),1))=0,
IF(SUMIFS('Шаг1.Выбор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плиты'!C:Q,12,0)),2))=0,
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плиты'!C:Q,12,0)),3)),
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плиты'!C:Q,12,0)),2))),
(SUMIFS('Шаг1.Выбор плиты'!$G:$G,'Шаг1.Выбор плиты'!J:J,"*"&amp;RIGHT(VLOOKUP(C47,'Шаг1.Выбор плиты'!C:Q,8,0),4),'Шаг1.Выбор плиты'!L:L,VLOOKUP(C47,'Шаг1.Выбор плиты'!C:Q,10,0),'Шаг1.Выбор плиты'!N:N,U47,'Шаг1.Выбор плиты'!M:M,SMALL(INDIRECT("мм"&amp;VLOOKUP(C47,'Шаг1.Выбор плиты'!C:Q,12,0)),1)))))))</f>
        <v/>
      </c>
      <c r="L47" s="147" t="str">
        <f ca="1">IFERROR(IFERROR(IF(VLOOKUP($A47,'Шаг2.Бланк заказа NEW'!$B$17:$N$201,9,0)="","",VLOOKUP($A47,'Шаг2.Бланк заказа NEW'!$B$17:$N$201,9,0)),
IF(VLOOKUP($A47-COUNT('Шаг2.Бланк заказа NEW'!$B$19:$B$201),'Бланк OLD 0.8 04'!$B$12:$K$200,9,0)="","",VLOOKUP($A47-COUNT('Шаг2.Бланк заказа NEW'!$B$19:$B$201),'Бланк OLD 0.8 04'!$B$12:$K$200,9,0))),
IF(VLOOKUP($A47-COUNT('Шаг2.Бланк заказа NEW'!$B$19:$B$201)-COUNT('Бланк OLD 0.8 04'!$B$18:$B$200),'Бланк OLD 2.0 04 '!$B$16:$K$200,9,0)="","",VLOOKUP($A47-COUNT('Шаг2.Бланк заказа NEW'!$B$19:$B$201)-COUNT('Бланк OLD 0.8 04'!$B$18:$B$200),'Бланк OLD 2.0 04 '!$B$16:$K$200,9,0)))</f>
        <v/>
      </c>
      <c r="M47" s="154" t="str">
        <f t="shared" ca="1" si="5"/>
        <v/>
      </c>
      <c r="N47" s="153" t="str">
        <f ca="1">IFERROR(IF(VLOOKUP($A47,'Шаг2.Бланк заказа NEW'!$B$17:$N$201,11,0)="","",VLOOKUP($A47,'Шаг2.Бланк заказа NEW'!$B$17:$N$201,11,0)),
"Нет")</f>
        <v/>
      </c>
      <c r="O47" s="147" t="str">
        <f ca="1">IFERROR(IF(VLOOKUP($A47,'Шаг2.Бланк заказа NEW'!$B$17:$N$201,11,0)="","",VLOOKUP($A47,'Шаг2.Бланк заказа NEW'!$B$17:$N$201,12,0)),
"Нет")</f>
        <v/>
      </c>
      <c r="P47" s="153" t="str">
        <f ca="1">IFERROR(IF(VLOOKUP($A47,'Шаг2.Бланк заказа NEW'!$B$17:$N$201,13,0)="","",VLOOKUP($A47,'Шаг2.Бланк заказа NEW'!$B$17:$N$201,13,0)),
"Нет")</f>
        <v/>
      </c>
      <c r="Q47" s="147" t="str">
        <f ca="1">IFERROR(IF(VLOOKUP($A47,'Шаг2.Бланк заказа NEW'!$B$17:$O$201,14,0)="","",VLOOKUP($A47,'Шаг2.Бланк заказа NEW'!$B$17:$O$201,14,0)),"")</f>
        <v/>
      </c>
      <c r="R47" s="147" t="str">
        <f ca="1">IFERROR(IFERROR(IF(VLOOKUP($A47,'Шаг2.Бланк заказа NEW'!$B$17:$N$201,4,0)="","",VLOOKUP($A47,'Шаг2.Бланк заказа NEW'!$B$17:$N$201,4,0)),
IF(VLOOKUP($A47-COUNT('Шаг2.Бланк заказа NEW'!$B$19:$B$201),'Бланк OLD 0.8 04'!$B$12:$K$200,4,0)&gt;0,0.8,
IF(VLOOKUP($A47-COUNT('Шаг2.Бланк заказа NEW'!$B$19:$B$201),'Бланк OLD 0.8 04'!$B$12:$K$200,5,0)&gt;0,0.4,""))),
IF(VLOOKUP($A47-COUNT('Шаг2.Бланк заказа NEW'!$B$19:$B$201)-COUNT('Бланк OLD 0.8 04'!$B$18:$B$200),'Бланк OLD 2.0 04 '!$B$16:$K$200,4,0)&gt;0,2,IF(VLOOKUP($A47-COUNT('Шаг2.Бланк заказа NEW'!$B$19:$B$201)-COUNT('Бланк OLD 0.8 04'!$B$18:$B$200),'Бланк OLD 2.0 04 '!$B$16:$K$200,5,0)&gt;0,0.4,"")))</f>
        <v/>
      </c>
      <c r="S47" s="147" t="str">
        <f ca="1">IFERROR(IFERROR(IF(VLOOKUP($A47,'Шаг2.Бланк заказа NEW'!$B$17:$N$201,5,0)="","",VLOOKUP($A47,'Шаг2.Бланк заказа NEW'!$B$17:$N$201,5,0)),
IF(VLOOKUP($A47-COUNT('Шаг2.Бланк заказа NEW'!$B$19:$B$201),'Бланк OLD 0.8 04'!$B$12:$K$200,4,0)&gt;1,0.8,
IF(VLOOKUP($A47-COUNT('Шаг2.Бланк заказа NEW'!$B$19:$B$201),'Бланк OLD 0.8 04'!$B$12:$K$200,5,0)&gt;1,0.4,
IF(AND(VLOOKUP($A47-COUNT('Шаг2.Бланк заказа NEW'!$B$19:$B$201),'Бланк OLD 0.8 04'!$B$12:$K$200,4,0)&gt;0,VLOOKUP($A47-COUNT('Шаг2.Бланк заказа NEW'!$B$19:$B$201),'Бланк OLD 0.8 04'!$B$12:$K$200,5,0)&gt;0),0.4,"")))),
IF(VLOOKUP($A47-COUNT('Шаг2.Бланк заказа NEW'!$B$19:$B$201)-COUNT('Бланк OLD 0.8 04'!$B$18:$B$200),'Бланк OLD 2.0 04 '!$B$16:$K$200,4,0)&gt;1,2,
IF(VLOOKUP($A47-COUNT('Шаг2.Бланк заказа NEW'!$B$19:$B$201)-COUNT('Бланк OLD 0.8 04'!$B$18:$B$200),'Бланк OLD 2.0 04 '!$B$16:$K$200,5,0)&gt;1,0.4,IF(AND(VLOOKUP($A47-COUNT('Шаг2.Бланк заказа NEW'!$B$19:$B$201)-COUNT('Бланк OLD 0.8 04'!$B$18:$B$200),'Бланк OLD 2.0 04 '!$B$16:$K$200,4,0)&gt;0,VLOOKUP($A47-COUNT('Шаг2.Бланк заказа NEW'!$B$19:$B$201)-COUNT('Бланк OLD 0.8 04'!$B$18:$B$200),'Бланк OLD 2.0 04 '!$B$16:$K$200,5,0)&gt;0),0.4,""))))</f>
        <v/>
      </c>
      <c r="T47" s="147" t="str">
        <f ca="1">IFERROR(IFERROR(IF(VLOOKUP($A47,'Шаг2.Бланк заказа NEW'!$B$17:$N$201,7,0)="","",VLOOKUP($A47,'Шаг2.Бланк заказа NEW'!$B$17:$N$201,7,0)),
IF(VLOOKUP($A47-COUNT('Шаг2.Бланк заказа NEW'!$B$19:$B$201),'Бланк OLD 0.8 04'!$B$12:$K$200,7,0)&gt;0,0.8,
IF(VLOOKUP($A47-COUNT('Шаг2.Бланк заказа NEW'!$B$19:$B$201),'Бланк OLD 0.8 04'!$B$12:$K$200,8,0)&gt;0,0.4,""))),
IF(VLOOKUP($A47-COUNT('Шаг2.Бланк заказа NEW'!$B$19:$B$201)-COUNT('Бланк OLD 0.8 04'!$B$18:$B$200),'Бланк OLD 2.0 04 '!$B$16:$K$200,7,0)&gt;0,2,IF(VLOOKUP($A47-COUNT('Шаг2.Бланк заказа NEW'!$B$19:$B$201)-COUNT('Бланк OLD 0.8 04'!$B$18:$B$200),'Бланк OLD 2.0 04 '!$B$16:$K$200,8,0)&gt;0,0.4,"")))</f>
        <v/>
      </c>
      <c r="U47" s="147" t="str">
        <f ca="1">IFERROR(IFERROR(IF(VLOOKUP($A47,'Шаг2.Бланк заказа NEW'!$B$17:$N$201,8,0)="","",VLOOKUP($A47,'Шаг2.Бланк заказа NEW'!$B$17:$N$201,8,0)),
IF(VLOOKUP($A47-COUNT('Шаг2.Бланк заказа NEW'!$B$19:$B$201),'Бланк OLD 0.8 04'!$B$12:$K$200,7,0)&gt;1,0.8,
IF(VLOOKUP($A47-COUNT('Шаг2.Бланк заказа NEW'!$B$19:$B$201),'Бланк OLD 0.8 04'!$B$12:$K$200,8,0)&gt;1,0.4,
IF(AND(VLOOKUP($A47-COUNT('Шаг2.Бланк заказа NEW'!$B$19:$B$201),'Бланк OLD 0.8 04'!$B$12:$K$200,7,0)&gt;0,VLOOKUP($A47-COUNT('Шаг2.Бланк заказа NEW'!$B$19:$B$201),'Бланк OLD 0.8 04'!$B$12:$K$200,8,0)&gt;0),0.4,"")))),
IF(VLOOKUP($A47-COUNT('Шаг2.Бланк заказа NEW'!$B$19:$B$201)-COUNT('Бланк OLD 0.8 04'!$B$18:$B$200),'Бланк OLD 2.0 04 '!$B$16:$K$200,7,0)&gt;1,2,
IF(VLOOKUP($A47-COUNT('Шаг2.Бланк заказа NEW'!$B$19:$B$201)-COUNT('Бланк OLD 0.8 04'!$B$18:$B$200),'Бланк OLD 2.0 04 '!$B$16:$K$200,8,0)&gt;1,0.4,
IF(AND(VLOOKUP($A47-COUNT('Шаг2.Бланк заказа NEW'!$B$19:$B$201)-COUNT('Бланк OLD 0.8 04'!$B$18:$B$200),'Бланк OLD 2.0 04 '!$B$16:$K$200,7,0)&gt;0,VLOOKUP($A47-COUNT('Шаг2.Бланк заказа NEW'!$B$19:$B$201)-COUNT('Бланк OLD 0.8 04'!$B$18:$B$200),'Бланк OLD 2.0 04 '!$B$16:$K$200,8,0)&gt;0),0.4,""))))</f>
        <v/>
      </c>
      <c r="V47" s="146" t="str">
        <f ca="1">IFERROR(VLOOKUP(C47,'Шаг1.Выбор плиты'!C:S,12,0),"")</f>
        <v/>
      </c>
      <c r="W47" s="146" t="str">
        <f ca="1">IFERROR(VLOOKUP(C47,'Шаг1.Выбор плиты'!C:S,8,0),"")</f>
        <v/>
      </c>
      <c r="X47" s="146" t="str">
        <f ca="1">IFERROR(VLOOKUP(C47,'Шаг1.Выбор плиты'!C:S,10,0),"")</f>
        <v/>
      </c>
      <c r="Y47" s="147" t="str">
        <f t="shared" ca="1" si="1"/>
        <v/>
      </c>
      <c r="AD47" s="147" t="str">
        <f t="shared" ca="1" si="6"/>
        <v/>
      </c>
      <c r="AE47" s="147" t="str">
        <f t="shared" ca="1" si="3"/>
        <v/>
      </c>
      <c r="AF47" s="25"/>
      <c r="AH47" s="147" t="str">
        <f ca="1">IF(C47="","",VLOOKUP(C47,'Шаг1.Выбор плиты'!C:Q,7,0))</f>
        <v/>
      </c>
      <c r="AI47" s="147" t="str">
        <f t="shared" ca="1" si="7"/>
        <v/>
      </c>
    </row>
    <row r="48" spans="1:35" x14ac:dyDescent="0.2">
      <c r="A48" s="151" t="str">
        <f ca="1">IF(C48="","",MAX($A$1:OFFSET(C48,-1,0))+1)</f>
        <v/>
      </c>
      <c r="B48" s="151" t="str">
        <f ca="1">IFERROR(IFERROR(IFERROR("Шаг2.Бланк заказа NEW №"&amp;VLOOKUP(A47+1,CHOOSE({1,2},'Шаг2.Бланк заказа NEW'!$B$19:$B$201,'Шаг2.Бланк заказа NEW'!$A$19:$A$201),1,0),
"Бланк OLD 0.8 04 №"&amp;VLOOKUP(A47+1-COUNT('Шаг2.Бланк заказа NEW'!$B$19:$B$201),CHOOSE({1,2},'Бланк OLD 0.8 04'!$B$18:$B$200,'Бланк OLD 0.8 04'!$A$18:$A$200),1,0)),
"Бланк OLD 2.0 04 №"&amp;VLOOKUP(A47+1-COUNT('Шаг2.Бланк заказа NEW'!$B$19:$B$201)-COUNT('Бланк OLD 0.8 04'!$B$18:$B$200),CHOOSE({1,2},'Бланк OLD 2.0 04 '!$B$18:$B$200,'Бланк OLD 2.0 04 '!$A$18:$A$200),1,0)),"")</f>
        <v/>
      </c>
      <c r="C48" s="152" t="str">
        <f ca="1">IFERROR(IFERROR(IFERROR(VLOOKUP(A47+1,CHOOSE({1,2},'Шаг2.Бланк заказа NEW'!$B$19:$B$201,'Шаг2.Бланк заказа NEW'!$A$19:$A$201),2,0),
VLOOKUP(A47+1-COUNT('Шаг2.Бланк заказа NEW'!$B$19:$B$201),CHOOSE({1,2},'Бланк OLD 0.8 04'!$B$18:$B$200,'Бланк OLD 0.8 04'!$A$18:$A$200),2,0)),
VLOOKUP(A47+1-COUNT('Шаг2.Бланк заказа NEW'!$B$19:$B$201)-COUNT('Бланк OLD 0.8 04'!$B$18:$B$200),CHOOSE({1,2},'Бланк OLD 2.0 04 '!$B$18:$B$200,'Бланк OLD 2.0 04 '!$A$18:$A$200),2,0)),"")</f>
        <v/>
      </c>
      <c r="D48" s="150" t="str">
        <f ca="1">IFERROR(VLOOKUP(C48,'Шаг1.Выбор плиты'!C:G,5,0),"")</f>
        <v/>
      </c>
      <c r="E48" s="147" t="str">
        <f ca="1">IFERROR(IFERROR(IF(VLOOKUP($A48,'Шаг2.Бланк заказа NEW'!$B$17:$N$201,2,0)="","",VLOOKUP($A48,'Шаг2.Бланк заказа NEW'!$B$17:$N$201,2,0)),
IF(VLOOKUP($A48-COUNT('Шаг2.Бланк заказа NEW'!$B$19:$B$201),'Бланк OLD 0.8 04'!$B$12:$K$200,2,0)="","",VLOOKUP($A48-COUNT('Шаг2.Бланк заказа NEW'!$B$19:$B$201),'Бланк OLD 0.8 04'!$B$12:$K$200,2,0))),
IF(VLOOKUP($A48-COUNT('Шаг2.Бланк заказа NEW'!$B$19:$B$201)-COUNT('Бланк OLD 0.8 04'!$B$18:$B$200),'Бланк OLD 2.0 04 '!$B$16:$K$200,2,0)="","",VLOOKUP($A48-COUNT('Шаг2.Бланк заказа NEW'!$B$19:$B$201)-COUNT('Бланк OLD 0.8 04'!$B$18:$B$200),'Бланк OLD 2.0 04 '!$B$16:$K$200,2,0)))</f>
        <v/>
      </c>
      <c r="F48" s="147" t="str">
        <f ca="1">IFERROR(IFERROR(IF(VLOOKUP($A48,'Шаг2.Бланк заказа NEW'!$B$17:$N$201,3,0)="","",VLOOKUP($A48,'Шаг2.Бланк заказа NEW'!$B$17:$N$201,3,0)),
IF(VLOOKUP($A48-COUNT('Шаг2.Бланк заказа NEW'!$B$19:$B$201),'Бланк OLD 0.8 04'!$B$12:$K$200,3,0)="","",VLOOKUP($A48-COUNT('Шаг2.Бланк заказа NEW'!$B$19:$B$201),'Бланк OLD 0.8 04'!$B$12:$K$200,3,0))),
IF(VLOOKUP($A48-COUNT('Шаг2.Бланк заказа NEW'!$B$19:$B$201)-COUNT('Бланк OLD 0.8 04'!$B$18:$B$200),'Бланк OLD 2.0 04 '!$B$16:$K$200,3,0)="","",VLOOKUP($A48-COUNT('Шаг2.Бланк заказа NEW'!$B$19:$B$201)-COUNT('Бланк OLD 0.8 04'!$B$18:$B$200),'Бланк OLD 2.0 04 '!$B$16:$K$200,3,0)))</f>
        <v/>
      </c>
      <c r="G48" s="176" t="str">
        <f ca="1">IF(IF(R48="","",IF(R48=1,SUMIFS('Шаг1.Выбор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плиты'!C:Q,12,0)),1))))))=0,
R48,
IF(R48="","",IF(R48=1,SUMIFS('Шаг1.Выбор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плиты'!N:N,R48,'Шаг1.Выбор плиты'!M:M,SMALL(INDIRECT("мм"&amp;VLOOKUP(C48,'Шаг1.Выбор плиты'!C:Q,12,0)),1)))))))</f>
        <v/>
      </c>
      <c r="H48" s="177" t="str">
        <f ca="1">IF(IF(S48="","",IF(S48=1,SUMIFS('Шаг1.Выбор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плиты'!C:Q,12,0)),1))))))=0,
S48,
IF(S48="","",IF(S48=1,SUMIFS('Шаг1.Выбор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плиты'!N:N,S48,'Шаг1.Выбор плиты'!M:M,SMALL(INDIRECT("мм"&amp;VLOOKUP(C48,'Шаг1.Выбор плиты'!C:Q,12,0)),1)))))))</f>
        <v/>
      </c>
      <c r="I48" s="147" t="str">
        <f ca="1">IFERROR(IFERROR(IF(VLOOKUP($A48,'Шаг2.Бланк заказа NEW'!$B$17:$N$201,6,0)="","",VLOOKUP($A48,'Шаг2.Бланк заказа NEW'!$B$17:$N$201,6,0)),
IF(VLOOKUP($A48-COUNT('Шаг2.Бланк заказа NEW'!$B$19:$B$201),'Бланк OLD 0.8 04'!$B$12:$K$200,6,0)="","",VLOOKUP($A48-COUNT('Шаг2.Бланк заказа NEW'!$B$19:$B$201),'Бланк OLD 0.8 04'!$B$12:$K$200,6,0))),
IF(VLOOKUP($A48-COUNT('Шаг2.Бланк заказа NEW'!$B$19:$B$201)-COUNT('Бланк OLD 0.8 04'!$B$18:$B$200),'Бланк OLD 2.0 04 '!$B$16:$K$200,6,0)="","",VLOOKUP($A48-COUNT('Шаг2.Бланк заказа NEW'!$B$19:$B$201)-COUNT('Бланк OLD 0.8 04'!$B$18:$B$200),'Бланк OLD 2.0 04 '!$B$16:$K$200,6,0)))</f>
        <v/>
      </c>
      <c r="J48" s="177" t="str">
        <f ca="1">IF(IF(T48="","",IF(T48=1,SUMIFS('Шаг1.Выбор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плиты'!C:Q,12,0)),1))))))=0,
T48,
IF(T48="","",IF(T48=1,SUMIFS('Шаг1.Выбор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плиты'!N:N,T48,'Шаг1.Выбор плиты'!M:M,SMALL(INDIRECT("мм"&amp;VLOOKUP(C48,'Шаг1.Выбор плиты'!C:Q,12,0)),1)))))))</f>
        <v/>
      </c>
      <c r="K48" s="177" t="str">
        <f ca="1">IF(IF(U48="","",IF(U48=1,SUMIFS('Шаг1.Выбор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плиты'!C:Q,12,0)),1))))))=0,
U48,
IF(U48="","",IF(U48=1,SUMIFS('Шаг1.Выбор плиты'!$G:$G,'Шаг1.Выбор плиты'!J:J,"*"&amp;RIGHT(VLOOKUP(C48,'Шаг1.Выбор плиты'!C:Q,8,0),4),'Шаг1.Выбор плиты'!L:L,IF(MID(C48,1,6)="ЛДСП P","TM"&amp;MID(VLOOKUP(C48,'Шаг1.Выбор плиты'!C:Q,10,0),3,2),MID(VLOOKUP(C48,'Шаг1.Выбор плиты'!C:Q,10,0),1,2)),
'Шаг1.Выбор плиты'!N:N,1),IF(SUMIFS('Шаг1.Выбор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плиты'!C:Q,12,0)),1))=0,
IF(SUMIFS('Шаг1.Выбор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плиты'!C:Q,12,0)),2))=0,
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плиты'!C:Q,12,0)),3)),
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плиты'!C:Q,12,0)),2))),
(SUMIFS('Шаг1.Выбор плиты'!$G:$G,'Шаг1.Выбор плиты'!J:J,"*"&amp;RIGHT(VLOOKUP(C48,'Шаг1.Выбор плиты'!C:Q,8,0),4),'Шаг1.Выбор плиты'!L:L,VLOOKUP(C48,'Шаг1.Выбор плиты'!C:Q,10,0),'Шаг1.Выбор плиты'!N:N,U48,'Шаг1.Выбор плиты'!M:M,SMALL(INDIRECT("мм"&amp;VLOOKUP(C48,'Шаг1.Выбор плиты'!C:Q,12,0)),1)))))))</f>
        <v/>
      </c>
      <c r="L48" s="147" t="str">
        <f ca="1">IFERROR(IFERROR(IF(VLOOKUP($A48,'Шаг2.Бланк заказа NEW'!$B$17:$N$201,9,0)="","",VLOOKUP($A48,'Шаг2.Бланк заказа NEW'!$B$17:$N$201,9,0)),
IF(VLOOKUP($A48-COUNT('Шаг2.Бланк заказа NEW'!$B$19:$B$201),'Бланк OLD 0.8 04'!$B$12:$K$200,9,0)="","",VLOOKUP($A48-COUNT('Шаг2.Бланк заказа NEW'!$B$19:$B$201),'Бланк OLD 0.8 04'!$B$12:$K$200,9,0))),
IF(VLOOKUP($A48-COUNT('Шаг2.Бланк заказа NEW'!$B$19:$B$201)-COUNT('Бланк OLD 0.8 04'!$B$18:$B$200),'Бланк OLD 2.0 04 '!$B$16:$K$200,9,0)="","",VLOOKUP($A48-COUNT('Шаг2.Бланк заказа NEW'!$B$19:$B$201)-COUNT('Бланк OLD 0.8 04'!$B$18:$B$200),'Бланк OLD 2.0 04 '!$B$16:$K$200,9,0)))</f>
        <v/>
      </c>
      <c r="M48" s="154" t="str">
        <f t="shared" ca="1" si="5"/>
        <v/>
      </c>
      <c r="N48" s="153" t="str">
        <f ca="1">IFERROR(IF(VLOOKUP($A48,'Шаг2.Бланк заказа NEW'!$B$17:$N$201,11,0)="","",VLOOKUP($A48,'Шаг2.Бланк заказа NEW'!$B$17:$N$201,11,0)),
"Нет")</f>
        <v/>
      </c>
      <c r="O48" s="147" t="str">
        <f ca="1">IFERROR(IF(VLOOKUP($A48,'Шаг2.Бланк заказа NEW'!$B$17:$N$201,11,0)="","",VLOOKUP($A48,'Шаг2.Бланк заказа NEW'!$B$17:$N$201,12,0)),
"Нет")</f>
        <v/>
      </c>
      <c r="P48" s="153" t="str">
        <f ca="1">IFERROR(IF(VLOOKUP($A48,'Шаг2.Бланк заказа NEW'!$B$17:$N$201,13,0)="","",VLOOKUP($A48,'Шаг2.Бланк заказа NEW'!$B$17:$N$201,13,0)),
"Нет")</f>
        <v/>
      </c>
      <c r="Q48" s="147" t="str">
        <f ca="1">IFERROR(IF(VLOOKUP($A48,'Шаг2.Бланк заказа NEW'!$B$17:$O$201,14,0)="","",VLOOKUP($A48,'Шаг2.Бланк заказа NEW'!$B$17:$O$201,14,0)),"")</f>
        <v/>
      </c>
      <c r="R48" s="147" t="str">
        <f ca="1">IFERROR(IFERROR(IF(VLOOKUP($A48,'Шаг2.Бланк заказа NEW'!$B$17:$N$201,4,0)="","",VLOOKUP($A48,'Шаг2.Бланк заказа NEW'!$B$17:$N$201,4,0)),
IF(VLOOKUP($A48-COUNT('Шаг2.Бланк заказа NEW'!$B$19:$B$201),'Бланк OLD 0.8 04'!$B$12:$K$200,4,0)&gt;0,0.8,
IF(VLOOKUP($A48-COUNT('Шаг2.Бланк заказа NEW'!$B$19:$B$201),'Бланк OLD 0.8 04'!$B$12:$K$200,5,0)&gt;0,0.4,""))),
IF(VLOOKUP($A48-COUNT('Шаг2.Бланк заказа NEW'!$B$19:$B$201)-COUNT('Бланк OLD 0.8 04'!$B$18:$B$200),'Бланк OLD 2.0 04 '!$B$16:$K$200,4,0)&gt;0,2,IF(VLOOKUP($A48-COUNT('Шаг2.Бланк заказа NEW'!$B$19:$B$201)-COUNT('Бланк OLD 0.8 04'!$B$18:$B$200),'Бланк OLD 2.0 04 '!$B$16:$K$200,5,0)&gt;0,0.4,"")))</f>
        <v/>
      </c>
      <c r="S48" s="147" t="str">
        <f ca="1">IFERROR(IFERROR(IF(VLOOKUP($A48,'Шаг2.Бланк заказа NEW'!$B$17:$N$201,5,0)="","",VLOOKUP($A48,'Шаг2.Бланк заказа NEW'!$B$17:$N$201,5,0)),
IF(VLOOKUP($A48-COUNT('Шаг2.Бланк заказа NEW'!$B$19:$B$201),'Бланк OLD 0.8 04'!$B$12:$K$200,4,0)&gt;1,0.8,
IF(VLOOKUP($A48-COUNT('Шаг2.Бланк заказа NEW'!$B$19:$B$201),'Бланк OLD 0.8 04'!$B$12:$K$200,5,0)&gt;1,0.4,
IF(AND(VLOOKUP($A48-COUNT('Шаг2.Бланк заказа NEW'!$B$19:$B$201),'Бланк OLD 0.8 04'!$B$12:$K$200,4,0)&gt;0,VLOOKUP($A48-COUNT('Шаг2.Бланк заказа NEW'!$B$19:$B$201),'Бланк OLD 0.8 04'!$B$12:$K$200,5,0)&gt;0),0.4,"")))),
IF(VLOOKUP($A48-COUNT('Шаг2.Бланк заказа NEW'!$B$19:$B$201)-COUNT('Бланк OLD 0.8 04'!$B$18:$B$200),'Бланк OLD 2.0 04 '!$B$16:$K$200,4,0)&gt;1,2,
IF(VLOOKUP($A48-COUNT('Шаг2.Бланк заказа NEW'!$B$19:$B$201)-COUNT('Бланк OLD 0.8 04'!$B$18:$B$200),'Бланк OLD 2.0 04 '!$B$16:$K$200,5,0)&gt;1,0.4,IF(AND(VLOOKUP($A48-COUNT('Шаг2.Бланк заказа NEW'!$B$19:$B$201)-COUNT('Бланк OLD 0.8 04'!$B$18:$B$200),'Бланк OLD 2.0 04 '!$B$16:$K$200,4,0)&gt;0,VLOOKUP($A48-COUNT('Шаг2.Бланк заказа NEW'!$B$19:$B$201)-COUNT('Бланк OLD 0.8 04'!$B$18:$B$200),'Бланк OLD 2.0 04 '!$B$16:$K$200,5,0)&gt;0),0.4,""))))</f>
        <v/>
      </c>
      <c r="T48" s="147" t="str">
        <f ca="1">IFERROR(IFERROR(IF(VLOOKUP($A48,'Шаг2.Бланк заказа NEW'!$B$17:$N$201,7,0)="","",VLOOKUP($A48,'Шаг2.Бланк заказа NEW'!$B$17:$N$201,7,0)),
IF(VLOOKUP($A48-COUNT('Шаг2.Бланк заказа NEW'!$B$19:$B$201),'Бланк OLD 0.8 04'!$B$12:$K$200,7,0)&gt;0,0.8,
IF(VLOOKUP($A48-COUNT('Шаг2.Бланк заказа NEW'!$B$19:$B$201),'Бланк OLD 0.8 04'!$B$12:$K$200,8,0)&gt;0,0.4,""))),
IF(VLOOKUP($A48-COUNT('Шаг2.Бланк заказа NEW'!$B$19:$B$201)-COUNT('Бланк OLD 0.8 04'!$B$18:$B$200),'Бланк OLD 2.0 04 '!$B$16:$K$200,7,0)&gt;0,2,IF(VLOOKUP($A48-COUNT('Шаг2.Бланк заказа NEW'!$B$19:$B$201)-COUNT('Бланк OLD 0.8 04'!$B$18:$B$200),'Бланк OLD 2.0 04 '!$B$16:$K$200,8,0)&gt;0,0.4,"")))</f>
        <v/>
      </c>
      <c r="U48" s="147" t="str">
        <f ca="1">IFERROR(IFERROR(IF(VLOOKUP($A48,'Шаг2.Бланк заказа NEW'!$B$17:$N$201,8,0)="","",VLOOKUP($A48,'Шаг2.Бланк заказа NEW'!$B$17:$N$201,8,0)),
IF(VLOOKUP($A48-COUNT('Шаг2.Бланк заказа NEW'!$B$19:$B$201),'Бланк OLD 0.8 04'!$B$12:$K$200,7,0)&gt;1,0.8,
IF(VLOOKUP($A48-COUNT('Шаг2.Бланк заказа NEW'!$B$19:$B$201),'Бланк OLD 0.8 04'!$B$12:$K$200,8,0)&gt;1,0.4,
IF(AND(VLOOKUP($A48-COUNT('Шаг2.Бланк заказа NEW'!$B$19:$B$201),'Бланк OLD 0.8 04'!$B$12:$K$200,7,0)&gt;0,VLOOKUP($A48-COUNT('Шаг2.Бланк заказа NEW'!$B$19:$B$201),'Бланк OLD 0.8 04'!$B$12:$K$200,8,0)&gt;0),0.4,"")))),
IF(VLOOKUP($A48-COUNT('Шаг2.Бланк заказа NEW'!$B$19:$B$201)-COUNT('Бланк OLD 0.8 04'!$B$18:$B$200),'Бланк OLD 2.0 04 '!$B$16:$K$200,7,0)&gt;1,2,
IF(VLOOKUP($A48-COUNT('Шаг2.Бланк заказа NEW'!$B$19:$B$201)-COUNT('Бланк OLD 0.8 04'!$B$18:$B$200),'Бланк OLD 2.0 04 '!$B$16:$K$200,8,0)&gt;1,0.4,
IF(AND(VLOOKUP($A48-COUNT('Шаг2.Бланк заказа NEW'!$B$19:$B$201)-COUNT('Бланк OLD 0.8 04'!$B$18:$B$200),'Бланк OLD 2.0 04 '!$B$16:$K$200,7,0)&gt;0,VLOOKUP($A48-COUNT('Шаг2.Бланк заказа NEW'!$B$19:$B$201)-COUNT('Бланк OLD 0.8 04'!$B$18:$B$200),'Бланк OLD 2.0 04 '!$B$16:$K$200,8,0)&gt;0),0.4,""))))</f>
        <v/>
      </c>
      <c r="V48" s="146" t="str">
        <f ca="1">IFERROR(VLOOKUP(C48,'Шаг1.Выбор плиты'!C:S,12,0),"")</f>
        <v/>
      </c>
      <c r="W48" s="146" t="str">
        <f ca="1">IFERROR(VLOOKUP(C48,'Шаг1.Выбор плиты'!C:S,8,0),"")</f>
        <v/>
      </c>
      <c r="X48" s="146" t="str">
        <f ca="1">IFERROR(VLOOKUP(C48,'Шаг1.Выбор плиты'!C:S,10,0),"")</f>
        <v/>
      </c>
      <c r="Y48" s="147" t="str">
        <f t="shared" ca="1" si="1"/>
        <v/>
      </c>
      <c r="AD48" s="147" t="str">
        <f t="shared" ca="1" si="6"/>
        <v/>
      </c>
      <c r="AE48" s="147" t="str">
        <f t="shared" ca="1" si="3"/>
        <v/>
      </c>
      <c r="AF48" s="25"/>
      <c r="AH48" s="147" t="str">
        <f ca="1">IF(C48="","",VLOOKUP(C48,'Шаг1.Выбор плиты'!C:Q,7,0))</f>
        <v/>
      </c>
      <c r="AI48" s="147" t="str">
        <f t="shared" ca="1" si="7"/>
        <v/>
      </c>
    </row>
    <row r="49" spans="1:35" x14ac:dyDescent="0.2">
      <c r="A49" s="151" t="str">
        <f ca="1">IF(C49="","",MAX($A$1:OFFSET(C49,-1,0))+1)</f>
        <v/>
      </c>
      <c r="B49" s="151" t="str">
        <f ca="1">IFERROR(IFERROR(IFERROR("Шаг2.Бланк заказа NEW №"&amp;VLOOKUP(A48+1,CHOOSE({1,2},'Шаг2.Бланк заказа NEW'!$B$19:$B$201,'Шаг2.Бланк заказа NEW'!$A$19:$A$201),1,0),
"Бланк OLD 0.8 04 №"&amp;VLOOKUP(A48+1-COUNT('Шаг2.Бланк заказа NEW'!$B$19:$B$201),CHOOSE({1,2},'Бланк OLD 0.8 04'!$B$18:$B$200,'Бланк OLD 0.8 04'!$A$18:$A$200),1,0)),
"Бланк OLD 2.0 04 №"&amp;VLOOKUP(A48+1-COUNT('Шаг2.Бланк заказа NEW'!$B$19:$B$201)-COUNT('Бланк OLD 0.8 04'!$B$18:$B$200),CHOOSE({1,2},'Бланк OLD 2.0 04 '!$B$18:$B$200,'Бланк OLD 2.0 04 '!$A$18:$A$200),1,0)),"")</f>
        <v/>
      </c>
      <c r="C49" s="152" t="str">
        <f ca="1">IFERROR(IFERROR(IFERROR(VLOOKUP(A48+1,CHOOSE({1,2},'Шаг2.Бланк заказа NEW'!$B$19:$B$201,'Шаг2.Бланк заказа NEW'!$A$19:$A$201),2,0),
VLOOKUP(A48+1-COUNT('Шаг2.Бланк заказа NEW'!$B$19:$B$201),CHOOSE({1,2},'Бланк OLD 0.8 04'!$B$18:$B$200,'Бланк OLD 0.8 04'!$A$18:$A$200),2,0)),
VLOOKUP(A48+1-COUNT('Шаг2.Бланк заказа NEW'!$B$19:$B$201)-COUNT('Бланк OLD 0.8 04'!$B$18:$B$200),CHOOSE({1,2},'Бланк OLD 2.0 04 '!$B$18:$B$200,'Бланк OLD 2.0 04 '!$A$18:$A$200),2,0)),"")</f>
        <v/>
      </c>
      <c r="D49" s="150" t="str">
        <f ca="1">IFERROR(VLOOKUP(C49,'Шаг1.Выбор плиты'!C:G,5,0),"")</f>
        <v/>
      </c>
      <c r="E49" s="147" t="str">
        <f ca="1">IFERROR(IFERROR(IF(VLOOKUP($A49,'Шаг2.Бланк заказа NEW'!$B$17:$N$201,2,0)="","",VLOOKUP($A49,'Шаг2.Бланк заказа NEW'!$B$17:$N$201,2,0)),
IF(VLOOKUP($A49-COUNT('Шаг2.Бланк заказа NEW'!$B$19:$B$201),'Бланк OLD 0.8 04'!$B$12:$K$200,2,0)="","",VLOOKUP($A49-COUNT('Шаг2.Бланк заказа NEW'!$B$19:$B$201),'Бланк OLD 0.8 04'!$B$12:$K$200,2,0))),
IF(VLOOKUP($A49-COUNT('Шаг2.Бланк заказа NEW'!$B$19:$B$201)-COUNT('Бланк OLD 0.8 04'!$B$18:$B$200),'Бланк OLD 2.0 04 '!$B$16:$K$200,2,0)="","",VLOOKUP($A49-COUNT('Шаг2.Бланк заказа NEW'!$B$19:$B$201)-COUNT('Бланк OLD 0.8 04'!$B$18:$B$200),'Бланк OLD 2.0 04 '!$B$16:$K$200,2,0)))</f>
        <v/>
      </c>
      <c r="F49" s="147" t="str">
        <f ca="1">IFERROR(IFERROR(IF(VLOOKUP($A49,'Шаг2.Бланк заказа NEW'!$B$17:$N$201,3,0)="","",VLOOKUP($A49,'Шаг2.Бланк заказа NEW'!$B$17:$N$201,3,0)),
IF(VLOOKUP($A49-COUNT('Шаг2.Бланк заказа NEW'!$B$19:$B$201),'Бланк OLD 0.8 04'!$B$12:$K$200,3,0)="","",VLOOKUP($A49-COUNT('Шаг2.Бланк заказа NEW'!$B$19:$B$201),'Бланк OLD 0.8 04'!$B$12:$K$200,3,0))),
IF(VLOOKUP($A49-COUNT('Шаг2.Бланк заказа NEW'!$B$19:$B$201)-COUNT('Бланк OLD 0.8 04'!$B$18:$B$200),'Бланк OLD 2.0 04 '!$B$16:$K$200,3,0)="","",VLOOKUP($A49-COUNT('Шаг2.Бланк заказа NEW'!$B$19:$B$201)-COUNT('Бланк OLD 0.8 04'!$B$18:$B$200),'Бланк OLD 2.0 04 '!$B$16:$K$200,3,0)))</f>
        <v/>
      </c>
      <c r="G49" s="176" t="str">
        <f ca="1">IF(IF(R49="","",IF(R49=1,SUMIFS('Шаг1.Выбор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плиты'!C:Q,12,0)),1))))))=0,
R49,
IF(R49="","",IF(R49=1,SUMIFS('Шаг1.Выбор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плиты'!N:N,R49,'Шаг1.Выбор плиты'!M:M,SMALL(INDIRECT("мм"&amp;VLOOKUP(C49,'Шаг1.Выбор плиты'!C:Q,12,0)),1)))))))</f>
        <v/>
      </c>
      <c r="H49" s="177" t="str">
        <f ca="1">IF(IF(S49="","",IF(S49=1,SUMIFS('Шаг1.Выбор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плиты'!C:Q,12,0)),1))))))=0,
S49,
IF(S49="","",IF(S49=1,SUMIFS('Шаг1.Выбор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плиты'!N:N,S49,'Шаг1.Выбор плиты'!M:M,SMALL(INDIRECT("мм"&amp;VLOOKUP(C49,'Шаг1.Выбор плиты'!C:Q,12,0)),1)))))))</f>
        <v/>
      </c>
      <c r="I49" s="147" t="str">
        <f ca="1">IFERROR(IFERROR(IF(VLOOKUP($A49,'Шаг2.Бланк заказа NEW'!$B$17:$N$201,6,0)="","",VLOOKUP($A49,'Шаг2.Бланк заказа NEW'!$B$17:$N$201,6,0)),
IF(VLOOKUP($A49-COUNT('Шаг2.Бланк заказа NEW'!$B$19:$B$201),'Бланк OLD 0.8 04'!$B$12:$K$200,6,0)="","",VLOOKUP($A49-COUNT('Шаг2.Бланк заказа NEW'!$B$19:$B$201),'Бланк OLD 0.8 04'!$B$12:$K$200,6,0))),
IF(VLOOKUP($A49-COUNT('Шаг2.Бланк заказа NEW'!$B$19:$B$201)-COUNT('Бланк OLD 0.8 04'!$B$18:$B$200),'Бланк OLD 2.0 04 '!$B$16:$K$200,6,0)="","",VLOOKUP($A49-COUNT('Шаг2.Бланк заказа NEW'!$B$19:$B$201)-COUNT('Бланк OLD 0.8 04'!$B$18:$B$200),'Бланк OLD 2.0 04 '!$B$16:$K$200,6,0)))</f>
        <v/>
      </c>
      <c r="J49" s="177" t="str">
        <f ca="1">IF(IF(T49="","",IF(T49=1,SUMIFS('Шаг1.Выбор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плиты'!C:Q,12,0)),1))))))=0,
T49,
IF(T49="","",IF(T49=1,SUMIFS('Шаг1.Выбор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плиты'!N:N,T49,'Шаг1.Выбор плиты'!M:M,SMALL(INDIRECT("мм"&amp;VLOOKUP(C49,'Шаг1.Выбор плиты'!C:Q,12,0)),1)))))))</f>
        <v/>
      </c>
      <c r="K49" s="177" t="str">
        <f ca="1">IF(IF(U49="","",IF(U49=1,SUMIFS('Шаг1.Выбор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плиты'!C:Q,12,0)),1))))))=0,
U49,
IF(U49="","",IF(U49=1,SUMIFS('Шаг1.Выбор плиты'!$G:$G,'Шаг1.Выбор плиты'!J:J,"*"&amp;RIGHT(VLOOKUP(C49,'Шаг1.Выбор плиты'!C:Q,8,0),4),'Шаг1.Выбор плиты'!L:L,IF(MID(C49,1,6)="ЛДСП P","TM"&amp;MID(VLOOKUP(C49,'Шаг1.Выбор плиты'!C:Q,10,0),3,2),MID(VLOOKUP(C49,'Шаг1.Выбор плиты'!C:Q,10,0),1,2)),
'Шаг1.Выбор плиты'!N:N,1),IF(SUMIFS('Шаг1.Выбор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плиты'!C:Q,12,0)),1))=0,
IF(SUMIFS('Шаг1.Выбор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плиты'!C:Q,12,0)),2))=0,
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плиты'!C:Q,12,0)),3)),
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плиты'!C:Q,12,0)),2))),
(SUMIFS('Шаг1.Выбор плиты'!$G:$G,'Шаг1.Выбор плиты'!J:J,"*"&amp;RIGHT(VLOOKUP(C49,'Шаг1.Выбор плиты'!C:Q,8,0),4),'Шаг1.Выбор плиты'!L:L,VLOOKUP(C49,'Шаг1.Выбор плиты'!C:Q,10,0),'Шаг1.Выбор плиты'!N:N,U49,'Шаг1.Выбор плиты'!M:M,SMALL(INDIRECT("мм"&amp;VLOOKUP(C49,'Шаг1.Выбор плиты'!C:Q,12,0)),1)))))))</f>
        <v/>
      </c>
      <c r="L49" s="147" t="str">
        <f ca="1">IFERROR(IFERROR(IF(VLOOKUP($A49,'Шаг2.Бланк заказа NEW'!$B$17:$N$201,9,0)="","",VLOOKUP($A49,'Шаг2.Бланк заказа NEW'!$B$17:$N$201,9,0)),
IF(VLOOKUP($A49-COUNT('Шаг2.Бланк заказа NEW'!$B$19:$B$201),'Бланк OLD 0.8 04'!$B$12:$K$200,9,0)="","",VLOOKUP($A49-COUNT('Шаг2.Бланк заказа NEW'!$B$19:$B$201),'Бланк OLD 0.8 04'!$B$12:$K$200,9,0))),
IF(VLOOKUP($A49-COUNT('Шаг2.Бланк заказа NEW'!$B$19:$B$201)-COUNT('Бланк OLD 0.8 04'!$B$18:$B$200),'Бланк OLD 2.0 04 '!$B$16:$K$200,9,0)="","",VLOOKUP($A49-COUNT('Шаг2.Бланк заказа NEW'!$B$19:$B$201)-COUNT('Бланк OLD 0.8 04'!$B$18:$B$200),'Бланк OLD 2.0 04 '!$B$16:$K$200,9,0)))</f>
        <v/>
      </c>
      <c r="M49" s="154" t="str">
        <f t="shared" ca="1" si="5"/>
        <v/>
      </c>
      <c r="N49" s="153" t="str">
        <f ca="1">IFERROR(IF(VLOOKUP($A49,'Шаг2.Бланк заказа NEW'!$B$17:$N$201,11,0)="","",VLOOKUP($A49,'Шаг2.Бланк заказа NEW'!$B$17:$N$201,11,0)),
"Нет")</f>
        <v/>
      </c>
      <c r="O49" s="147" t="str">
        <f ca="1">IFERROR(IF(VLOOKUP($A49,'Шаг2.Бланк заказа NEW'!$B$17:$N$201,11,0)="","",VLOOKUP($A49,'Шаг2.Бланк заказа NEW'!$B$17:$N$201,12,0)),
"Нет")</f>
        <v/>
      </c>
      <c r="P49" s="153" t="str">
        <f ca="1">IFERROR(IF(VLOOKUP($A49,'Шаг2.Бланк заказа NEW'!$B$17:$N$201,13,0)="","",VLOOKUP($A49,'Шаг2.Бланк заказа NEW'!$B$17:$N$201,13,0)),
"Нет")</f>
        <v/>
      </c>
      <c r="Q49" s="147" t="str">
        <f ca="1">IFERROR(IF(VLOOKUP($A49,'Шаг2.Бланк заказа NEW'!$B$17:$O$201,14,0)="","",VLOOKUP($A49,'Шаг2.Бланк заказа NEW'!$B$17:$O$201,14,0)),"")</f>
        <v/>
      </c>
      <c r="R49" s="147" t="str">
        <f ca="1">IFERROR(IFERROR(IF(VLOOKUP($A49,'Шаг2.Бланк заказа NEW'!$B$17:$N$201,4,0)="","",VLOOKUP($A49,'Шаг2.Бланк заказа NEW'!$B$17:$N$201,4,0)),
IF(VLOOKUP($A49-COUNT('Шаг2.Бланк заказа NEW'!$B$19:$B$201),'Бланк OLD 0.8 04'!$B$12:$K$200,4,0)&gt;0,0.8,
IF(VLOOKUP($A49-COUNT('Шаг2.Бланк заказа NEW'!$B$19:$B$201),'Бланк OLD 0.8 04'!$B$12:$K$200,5,0)&gt;0,0.4,""))),
IF(VLOOKUP($A49-COUNT('Шаг2.Бланк заказа NEW'!$B$19:$B$201)-COUNT('Бланк OLD 0.8 04'!$B$18:$B$200),'Бланк OLD 2.0 04 '!$B$16:$K$200,4,0)&gt;0,2,IF(VLOOKUP($A49-COUNT('Шаг2.Бланк заказа NEW'!$B$19:$B$201)-COUNT('Бланк OLD 0.8 04'!$B$18:$B$200),'Бланк OLD 2.0 04 '!$B$16:$K$200,5,0)&gt;0,0.4,"")))</f>
        <v/>
      </c>
      <c r="S49" s="147" t="str">
        <f ca="1">IFERROR(IFERROR(IF(VLOOKUP($A49,'Шаг2.Бланк заказа NEW'!$B$17:$N$201,5,0)="","",VLOOKUP($A49,'Шаг2.Бланк заказа NEW'!$B$17:$N$201,5,0)),
IF(VLOOKUP($A49-COUNT('Шаг2.Бланк заказа NEW'!$B$19:$B$201),'Бланк OLD 0.8 04'!$B$12:$K$200,4,0)&gt;1,0.8,
IF(VLOOKUP($A49-COUNT('Шаг2.Бланк заказа NEW'!$B$19:$B$201),'Бланк OLD 0.8 04'!$B$12:$K$200,5,0)&gt;1,0.4,
IF(AND(VLOOKUP($A49-COUNT('Шаг2.Бланк заказа NEW'!$B$19:$B$201),'Бланк OLD 0.8 04'!$B$12:$K$200,4,0)&gt;0,VLOOKUP($A49-COUNT('Шаг2.Бланк заказа NEW'!$B$19:$B$201),'Бланк OLD 0.8 04'!$B$12:$K$200,5,0)&gt;0),0.4,"")))),
IF(VLOOKUP($A49-COUNT('Шаг2.Бланк заказа NEW'!$B$19:$B$201)-COUNT('Бланк OLD 0.8 04'!$B$18:$B$200),'Бланк OLD 2.0 04 '!$B$16:$K$200,4,0)&gt;1,2,
IF(VLOOKUP($A49-COUNT('Шаг2.Бланк заказа NEW'!$B$19:$B$201)-COUNT('Бланк OLD 0.8 04'!$B$18:$B$200),'Бланк OLD 2.0 04 '!$B$16:$K$200,5,0)&gt;1,0.4,IF(AND(VLOOKUP($A49-COUNT('Шаг2.Бланк заказа NEW'!$B$19:$B$201)-COUNT('Бланк OLD 0.8 04'!$B$18:$B$200),'Бланк OLD 2.0 04 '!$B$16:$K$200,4,0)&gt;0,VLOOKUP($A49-COUNT('Шаг2.Бланк заказа NEW'!$B$19:$B$201)-COUNT('Бланк OLD 0.8 04'!$B$18:$B$200),'Бланк OLD 2.0 04 '!$B$16:$K$200,5,0)&gt;0),0.4,""))))</f>
        <v/>
      </c>
      <c r="T49" s="147" t="str">
        <f ca="1">IFERROR(IFERROR(IF(VLOOKUP($A49,'Шаг2.Бланк заказа NEW'!$B$17:$N$201,7,0)="","",VLOOKUP($A49,'Шаг2.Бланк заказа NEW'!$B$17:$N$201,7,0)),
IF(VLOOKUP($A49-COUNT('Шаг2.Бланк заказа NEW'!$B$19:$B$201),'Бланк OLD 0.8 04'!$B$12:$K$200,7,0)&gt;0,0.8,
IF(VLOOKUP($A49-COUNT('Шаг2.Бланк заказа NEW'!$B$19:$B$201),'Бланк OLD 0.8 04'!$B$12:$K$200,8,0)&gt;0,0.4,""))),
IF(VLOOKUP($A49-COUNT('Шаг2.Бланк заказа NEW'!$B$19:$B$201)-COUNT('Бланк OLD 0.8 04'!$B$18:$B$200),'Бланк OLD 2.0 04 '!$B$16:$K$200,7,0)&gt;0,2,IF(VLOOKUP($A49-COUNT('Шаг2.Бланк заказа NEW'!$B$19:$B$201)-COUNT('Бланк OLD 0.8 04'!$B$18:$B$200),'Бланк OLD 2.0 04 '!$B$16:$K$200,8,0)&gt;0,0.4,"")))</f>
        <v/>
      </c>
      <c r="U49" s="147" t="str">
        <f ca="1">IFERROR(IFERROR(IF(VLOOKUP($A49,'Шаг2.Бланк заказа NEW'!$B$17:$N$201,8,0)="","",VLOOKUP($A49,'Шаг2.Бланк заказа NEW'!$B$17:$N$201,8,0)),
IF(VLOOKUP($A49-COUNT('Шаг2.Бланк заказа NEW'!$B$19:$B$201),'Бланк OLD 0.8 04'!$B$12:$K$200,7,0)&gt;1,0.8,
IF(VLOOKUP($A49-COUNT('Шаг2.Бланк заказа NEW'!$B$19:$B$201),'Бланк OLD 0.8 04'!$B$12:$K$200,8,0)&gt;1,0.4,
IF(AND(VLOOKUP($A49-COUNT('Шаг2.Бланк заказа NEW'!$B$19:$B$201),'Бланк OLD 0.8 04'!$B$12:$K$200,7,0)&gt;0,VLOOKUP($A49-COUNT('Шаг2.Бланк заказа NEW'!$B$19:$B$201),'Бланк OLD 0.8 04'!$B$12:$K$200,8,0)&gt;0),0.4,"")))),
IF(VLOOKUP($A49-COUNT('Шаг2.Бланк заказа NEW'!$B$19:$B$201)-COUNT('Бланк OLD 0.8 04'!$B$18:$B$200),'Бланк OLD 2.0 04 '!$B$16:$K$200,7,0)&gt;1,2,
IF(VLOOKUP($A49-COUNT('Шаг2.Бланк заказа NEW'!$B$19:$B$201)-COUNT('Бланк OLD 0.8 04'!$B$18:$B$200),'Бланк OLD 2.0 04 '!$B$16:$K$200,8,0)&gt;1,0.4,
IF(AND(VLOOKUP($A49-COUNT('Шаг2.Бланк заказа NEW'!$B$19:$B$201)-COUNT('Бланк OLD 0.8 04'!$B$18:$B$200),'Бланк OLD 2.0 04 '!$B$16:$K$200,7,0)&gt;0,VLOOKUP($A49-COUNT('Шаг2.Бланк заказа NEW'!$B$19:$B$201)-COUNT('Бланк OLD 0.8 04'!$B$18:$B$200),'Бланк OLD 2.0 04 '!$B$16:$K$200,8,0)&gt;0),0.4,""))))</f>
        <v/>
      </c>
      <c r="V49" s="146" t="str">
        <f ca="1">IFERROR(VLOOKUP(C49,'Шаг1.Выбор плиты'!C:S,12,0),"")</f>
        <v/>
      </c>
      <c r="W49" s="146" t="str">
        <f ca="1">IFERROR(VLOOKUP(C49,'Шаг1.Выбор плиты'!C:S,8,0),"")</f>
        <v/>
      </c>
      <c r="X49" s="146" t="str">
        <f ca="1">IFERROR(VLOOKUP(C49,'Шаг1.Выбор плиты'!C:S,10,0),"")</f>
        <v/>
      </c>
      <c r="Y49" s="147" t="str">
        <f t="shared" ca="1" si="1"/>
        <v/>
      </c>
      <c r="AD49" s="147" t="str">
        <f t="shared" ca="1" si="6"/>
        <v/>
      </c>
      <c r="AE49" s="147" t="str">
        <f t="shared" ca="1" si="3"/>
        <v/>
      </c>
      <c r="AF49" s="25"/>
      <c r="AH49" s="147" t="str">
        <f ca="1">IF(C49="","",VLOOKUP(C49,'Шаг1.Выбор плиты'!C:Q,7,0))</f>
        <v/>
      </c>
      <c r="AI49" s="147" t="str">
        <f t="shared" ca="1" si="7"/>
        <v/>
      </c>
    </row>
    <row r="50" spans="1:35" x14ac:dyDescent="0.2">
      <c r="A50" s="151" t="str">
        <f ca="1">IF(C50="","",MAX($A$1:OFFSET(C50,-1,0))+1)</f>
        <v/>
      </c>
      <c r="B50" s="151" t="str">
        <f ca="1">IFERROR(IFERROR(IFERROR("Шаг2.Бланк заказа NEW №"&amp;VLOOKUP(A49+1,CHOOSE({1,2},'Шаг2.Бланк заказа NEW'!$B$19:$B$201,'Шаг2.Бланк заказа NEW'!$A$19:$A$201),1,0),
"Бланк OLD 0.8 04 №"&amp;VLOOKUP(A49+1-COUNT('Шаг2.Бланк заказа NEW'!$B$19:$B$201),CHOOSE({1,2},'Бланк OLD 0.8 04'!$B$18:$B$200,'Бланк OLD 0.8 04'!$A$18:$A$200),1,0)),
"Бланк OLD 2.0 04 №"&amp;VLOOKUP(A49+1-COUNT('Шаг2.Бланк заказа NEW'!$B$19:$B$201)-COUNT('Бланк OLD 0.8 04'!$B$18:$B$200),CHOOSE({1,2},'Бланк OLD 2.0 04 '!$B$18:$B$200,'Бланк OLD 2.0 04 '!$A$18:$A$200),1,0)),"")</f>
        <v/>
      </c>
      <c r="C50" s="152" t="str">
        <f ca="1">IFERROR(IFERROR(IFERROR(VLOOKUP(A49+1,CHOOSE({1,2},'Шаг2.Бланк заказа NEW'!$B$19:$B$201,'Шаг2.Бланк заказа NEW'!$A$19:$A$201),2,0),
VLOOKUP(A49+1-COUNT('Шаг2.Бланк заказа NEW'!$B$19:$B$201),CHOOSE({1,2},'Бланк OLD 0.8 04'!$B$18:$B$200,'Бланк OLD 0.8 04'!$A$18:$A$200),2,0)),
VLOOKUP(A49+1-COUNT('Шаг2.Бланк заказа NEW'!$B$19:$B$201)-COUNT('Бланк OLD 0.8 04'!$B$18:$B$200),CHOOSE({1,2},'Бланк OLD 2.0 04 '!$B$18:$B$200,'Бланк OLD 2.0 04 '!$A$18:$A$200),2,0)),"")</f>
        <v/>
      </c>
      <c r="D50" s="150" t="str">
        <f ca="1">IFERROR(VLOOKUP(C50,'Шаг1.Выбор плиты'!C:G,5,0),"")</f>
        <v/>
      </c>
      <c r="E50" s="147" t="str">
        <f ca="1">IFERROR(IFERROR(IF(VLOOKUP($A50,'Шаг2.Бланк заказа NEW'!$B$17:$N$201,2,0)="","",VLOOKUP($A50,'Шаг2.Бланк заказа NEW'!$B$17:$N$201,2,0)),
IF(VLOOKUP($A50-COUNT('Шаг2.Бланк заказа NEW'!$B$19:$B$201),'Бланк OLD 0.8 04'!$B$12:$K$200,2,0)="","",VLOOKUP($A50-COUNT('Шаг2.Бланк заказа NEW'!$B$19:$B$201),'Бланк OLD 0.8 04'!$B$12:$K$200,2,0))),
IF(VLOOKUP($A50-COUNT('Шаг2.Бланк заказа NEW'!$B$19:$B$201)-COUNT('Бланк OLD 0.8 04'!$B$18:$B$200),'Бланк OLD 2.0 04 '!$B$16:$K$200,2,0)="","",VLOOKUP($A50-COUNT('Шаг2.Бланк заказа NEW'!$B$19:$B$201)-COUNT('Бланк OLD 0.8 04'!$B$18:$B$200),'Бланк OLD 2.0 04 '!$B$16:$K$200,2,0)))</f>
        <v/>
      </c>
      <c r="F50" s="147" t="str">
        <f ca="1">IFERROR(IFERROR(IF(VLOOKUP($A50,'Шаг2.Бланк заказа NEW'!$B$17:$N$201,3,0)="","",VLOOKUP($A50,'Шаг2.Бланк заказа NEW'!$B$17:$N$201,3,0)),
IF(VLOOKUP($A50-COUNT('Шаг2.Бланк заказа NEW'!$B$19:$B$201),'Бланк OLD 0.8 04'!$B$12:$K$200,3,0)="","",VLOOKUP($A50-COUNT('Шаг2.Бланк заказа NEW'!$B$19:$B$201),'Бланк OLD 0.8 04'!$B$12:$K$200,3,0))),
IF(VLOOKUP($A50-COUNT('Шаг2.Бланк заказа NEW'!$B$19:$B$201)-COUNT('Бланк OLD 0.8 04'!$B$18:$B$200),'Бланк OLD 2.0 04 '!$B$16:$K$200,3,0)="","",VLOOKUP($A50-COUNT('Шаг2.Бланк заказа NEW'!$B$19:$B$201)-COUNT('Бланк OLD 0.8 04'!$B$18:$B$200),'Бланк OLD 2.0 04 '!$B$16:$K$200,3,0)))</f>
        <v/>
      </c>
      <c r="G50" s="176" t="str">
        <f ca="1">IF(IF(R50="","",IF(R50=1,SUMIFS('Шаг1.Выбор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плиты'!C:Q,12,0)),1))))))=0,
R50,
IF(R50="","",IF(R50=1,SUMIFS('Шаг1.Выбор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плиты'!N:N,R50,'Шаг1.Выбор плиты'!M:M,SMALL(INDIRECT("мм"&amp;VLOOKUP(C50,'Шаг1.Выбор плиты'!C:Q,12,0)),1)))))))</f>
        <v/>
      </c>
      <c r="H50" s="177" t="str">
        <f ca="1">IF(IF(S50="","",IF(S50=1,SUMIFS('Шаг1.Выбор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плиты'!C:Q,12,0)),1))))))=0,
S50,
IF(S50="","",IF(S50=1,SUMIFS('Шаг1.Выбор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плиты'!N:N,S50,'Шаг1.Выбор плиты'!M:M,SMALL(INDIRECT("мм"&amp;VLOOKUP(C50,'Шаг1.Выбор плиты'!C:Q,12,0)),1)))))))</f>
        <v/>
      </c>
      <c r="I50" s="147" t="str">
        <f ca="1">IFERROR(IFERROR(IF(VLOOKUP($A50,'Шаг2.Бланк заказа NEW'!$B$17:$N$201,6,0)="","",VLOOKUP($A50,'Шаг2.Бланк заказа NEW'!$B$17:$N$201,6,0)),
IF(VLOOKUP($A50-COUNT('Шаг2.Бланк заказа NEW'!$B$19:$B$201),'Бланк OLD 0.8 04'!$B$12:$K$200,6,0)="","",VLOOKUP($A50-COUNT('Шаг2.Бланк заказа NEW'!$B$19:$B$201),'Бланк OLD 0.8 04'!$B$12:$K$200,6,0))),
IF(VLOOKUP($A50-COUNT('Шаг2.Бланк заказа NEW'!$B$19:$B$201)-COUNT('Бланк OLD 0.8 04'!$B$18:$B$200),'Бланк OLD 2.0 04 '!$B$16:$K$200,6,0)="","",VLOOKUP($A50-COUNT('Шаг2.Бланк заказа NEW'!$B$19:$B$201)-COUNT('Бланк OLD 0.8 04'!$B$18:$B$200),'Бланк OLD 2.0 04 '!$B$16:$K$200,6,0)))</f>
        <v/>
      </c>
      <c r="J50" s="177" t="str">
        <f ca="1">IF(IF(T50="","",IF(T50=1,SUMIFS('Шаг1.Выбор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плиты'!C:Q,12,0)),1))))))=0,
T50,
IF(T50="","",IF(T50=1,SUMIFS('Шаг1.Выбор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плиты'!N:N,T50,'Шаг1.Выбор плиты'!M:M,SMALL(INDIRECT("мм"&amp;VLOOKUP(C50,'Шаг1.Выбор плиты'!C:Q,12,0)),1)))))))</f>
        <v/>
      </c>
      <c r="K50" s="177" t="str">
        <f ca="1">IF(IF(U50="","",IF(U50=1,SUMIFS('Шаг1.Выбор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плиты'!C:Q,12,0)),1))))))=0,
U50,
IF(U50="","",IF(U50=1,SUMIFS('Шаг1.Выбор плиты'!$G:$G,'Шаг1.Выбор плиты'!J:J,"*"&amp;RIGHT(VLOOKUP(C50,'Шаг1.Выбор плиты'!C:Q,8,0),4),'Шаг1.Выбор плиты'!L:L,IF(MID(C50,1,6)="ЛДСП P","TM"&amp;MID(VLOOKUP(C50,'Шаг1.Выбор плиты'!C:Q,10,0),3,2),MID(VLOOKUP(C50,'Шаг1.Выбор плиты'!C:Q,10,0),1,2)),
'Шаг1.Выбор плиты'!N:N,1),IF(SUMIFS('Шаг1.Выбор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плиты'!C:Q,12,0)),1))=0,
IF(SUMIFS('Шаг1.Выбор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плиты'!C:Q,12,0)),2))=0,
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плиты'!C:Q,12,0)),3)),
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плиты'!C:Q,12,0)),2))),
(SUMIFS('Шаг1.Выбор плиты'!$G:$G,'Шаг1.Выбор плиты'!J:J,"*"&amp;RIGHT(VLOOKUP(C50,'Шаг1.Выбор плиты'!C:Q,8,0),4),'Шаг1.Выбор плиты'!L:L,VLOOKUP(C50,'Шаг1.Выбор плиты'!C:Q,10,0),'Шаг1.Выбор плиты'!N:N,U50,'Шаг1.Выбор плиты'!M:M,SMALL(INDIRECT("мм"&amp;VLOOKUP(C50,'Шаг1.Выбор плиты'!C:Q,12,0)),1)))))))</f>
        <v/>
      </c>
      <c r="L50" s="147" t="str">
        <f ca="1">IFERROR(IFERROR(IF(VLOOKUP($A50,'Шаг2.Бланк заказа NEW'!$B$17:$N$201,9,0)="","",VLOOKUP($A50,'Шаг2.Бланк заказа NEW'!$B$17:$N$201,9,0)),
IF(VLOOKUP($A50-COUNT('Шаг2.Бланк заказа NEW'!$B$19:$B$201),'Бланк OLD 0.8 04'!$B$12:$K$200,9,0)="","",VLOOKUP($A50-COUNT('Шаг2.Бланк заказа NEW'!$B$19:$B$201),'Бланк OLD 0.8 04'!$B$12:$K$200,9,0))),
IF(VLOOKUP($A50-COUNT('Шаг2.Бланк заказа NEW'!$B$19:$B$201)-COUNT('Бланк OLD 0.8 04'!$B$18:$B$200),'Бланк OLD 2.0 04 '!$B$16:$K$200,9,0)="","",VLOOKUP($A50-COUNT('Шаг2.Бланк заказа NEW'!$B$19:$B$201)-COUNT('Бланк OLD 0.8 04'!$B$18:$B$200),'Бланк OLD 2.0 04 '!$B$16:$K$200,9,0)))</f>
        <v/>
      </c>
      <c r="M50" s="154" t="str">
        <f t="shared" ca="1" si="5"/>
        <v/>
      </c>
      <c r="N50" s="153" t="str">
        <f ca="1">IFERROR(IF(VLOOKUP($A50,'Шаг2.Бланк заказа NEW'!$B$17:$N$201,11,0)="","",VLOOKUP($A50,'Шаг2.Бланк заказа NEW'!$B$17:$N$201,11,0)),
"Нет")</f>
        <v/>
      </c>
      <c r="O50" s="147" t="str">
        <f ca="1">IFERROR(IF(VLOOKUP($A50,'Шаг2.Бланк заказа NEW'!$B$17:$N$201,11,0)="","",VLOOKUP($A50,'Шаг2.Бланк заказа NEW'!$B$17:$N$201,12,0)),
"Нет")</f>
        <v/>
      </c>
      <c r="P50" s="153" t="str">
        <f ca="1">IFERROR(IF(VLOOKUP($A50,'Шаг2.Бланк заказа NEW'!$B$17:$N$201,13,0)="","",VLOOKUP($A50,'Шаг2.Бланк заказа NEW'!$B$17:$N$201,13,0)),
"Нет")</f>
        <v/>
      </c>
      <c r="Q50" s="147" t="str">
        <f ca="1">IFERROR(IF(VLOOKUP($A50,'Шаг2.Бланк заказа NEW'!$B$17:$O$201,14,0)="","",VLOOKUP($A50,'Шаг2.Бланк заказа NEW'!$B$17:$O$201,14,0)),"")</f>
        <v/>
      </c>
      <c r="R50" s="147" t="str">
        <f ca="1">IFERROR(IFERROR(IF(VLOOKUP($A50,'Шаг2.Бланк заказа NEW'!$B$17:$N$201,4,0)="","",VLOOKUP($A50,'Шаг2.Бланк заказа NEW'!$B$17:$N$201,4,0)),
IF(VLOOKUP($A50-COUNT('Шаг2.Бланк заказа NEW'!$B$19:$B$201),'Бланк OLD 0.8 04'!$B$12:$K$200,4,0)&gt;0,0.8,
IF(VLOOKUP($A50-COUNT('Шаг2.Бланк заказа NEW'!$B$19:$B$201),'Бланк OLD 0.8 04'!$B$12:$K$200,5,0)&gt;0,0.4,""))),
IF(VLOOKUP($A50-COUNT('Шаг2.Бланк заказа NEW'!$B$19:$B$201)-COUNT('Бланк OLD 0.8 04'!$B$18:$B$200),'Бланк OLD 2.0 04 '!$B$16:$K$200,4,0)&gt;0,2,IF(VLOOKUP($A50-COUNT('Шаг2.Бланк заказа NEW'!$B$19:$B$201)-COUNT('Бланк OLD 0.8 04'!$B$18:$B$200),'Бланк OLD 2.0 04 '!$B$16:$K$200,5,0)&gt;0,0.4,"")))</f>
        <v/>
      </c>
      <c r="S50" s="147" t="str">
        <f ca="1">IFERROR(IFERROR(IF(VLOOKUP($A50,'Шаг2.Бланк заказа NEW'!$B$17:$N$201,5,0)="","",VLOOKUP($A50,'Шаг2.Бланк заказа NEW'!$B$17:$N$201,5,0)),
IF(VLOOKUP($A50-COUNT('Шаг2.Бланк заказа NEW'!$B$19:$B$201),'Бланк OLD 0.8 04'!$B$12:$K$200,4,0)&gt;1,0.8,
IF(VLOOKUP($A50-COUNT('Шаг2.Бланк заказа NEW'!$B$19:$B$201),'Бланк OLD 0.8 04'!$B$12:$K$200,5,0)&gt;1,0.4,
IF(AND(VLOOKUP($A50-COUNT('Шаг2.Бланк заказа NEW'!$B$19:$B$201),'Бланк OLD 0.8 04'!$B$12:$K$200,4,0)&gt;0,VLOOKUP($A50-COUNT('Шаг2.Бланк заказа NEW'!$B$19:$B$201),'Бланк OLD 0.8 04'!$B$12:$K$200,5,0)&gt;0),0.4,"")))),
IF(VLOOKUP($A50-COUNT('Шаг2.Бланк заказа NEW'!$B$19:$B$201)-COUNT('Бланк OLD 0.8 04'!$B$18:$B$200),'Бланк OLD 2.0 04 '!$B$16:$K$200,4,0)&gt;1,2,
IF(VLOOKUP($A50-COUNT('Шаг2.Бланк заказа NEW'!$B$19:$B$201)-COUNT('Бланк OLD 0.8 04'!$B$18:$B$200),'Бланк OLD 2.0 04 '!$B$16:$K$200,5,0)&gt;1,0.4,IF(AND(VLOOKUP($A50-COUNT('Шаг2.Бланк заказа NEW'!$B$19:$B$201)-COUNT('Бланк OLD 0.8 04'!$B$18:$B$200),'Бланк OLD 2.0 04 '!$B$16:$K$200,4,0)&gt;0,VLOOKUP($A50-COUNT('Шаг2.Бланк заказа NEW'!$B$19:$B$201)-COUNT('Бланк OLD 0.8 04'!$B$18:$B$200),'Бланк OLD 2.0 04 '!$B$16:$K$200,5,0)&gt;0),0.4,""))))</f>
        <v/>
      </c>
      <c r="T50" s="147" t="str">
        <f ca="1">IFERROR(IFERROR(IF(VLOOKUP($A50,'Шаг2.Бланк заказа NEW'!$B$17:$N$201,7,0)="","",VLOOKUP($A50,'Шаг2.Бланк заказа NEW'!$B$17:$N$201,7,0)),
IF(VLOOKUP($A50-COUNT('Шаг2.Бланк заказа NEW'!$B$19:$B$201),'Бланк OLD 0.8 04'!$B$12:$K$200,7,0)&gt;0,0.8,
IF(VLOOKUP($A50-COUNT('Шаг2.Бланк заказа NEW'!$B$19:$B$201),'Бланк OLD 0.8 04'!$B$12:$K$200,8,0)&gt;0,0.4,""))),
IF(VLOOKUP($A50-COUNT('Шаг2.Бланк заказа NEW'!$B$19:$B$201)-COUNT('Бланк OLD 0.8 04'!$B$18:$B$200),'Бланк OLD 2.0 04 '!$B$16:$K$200,7,0)&gt;0,2,IF(VLOOKUP($A50-COUNT('Шаг2.Бланк заказа NEW'!$B$19:$B$201)-COUNT('Бланк OLD 0.8 04'!$B$18:$B$200),'Бланк OLD 2.0 04 '!$B$16:$K$200,8,0)&gt;0,0.4,"")))</f>
        <v/>
      </c>
      <c r="U50" s="147" t="str">
        <f ca="1">IFERROR(IFERROR(IF(VLOOKUP($A50,'Шаг2.Бланк заказа NEW'!$B$17:$N$201,8,0)="","",VLOOKUP($A50,'Шаг2.Бланк заказа NEW'!$B$17:$N$201,8,0)),
IF(VLOOKUP($A50-COUNT('Шаг2.Бланк заказа NEW'!$B$19:$B$201),'Бланк OLD 0.8 04'!$B$12:$K$200,7,0)&gt;1,0.8,
IF(VLOOKUP($A50-COUNT('Шаг2.Бланк заказа NEW'!$B$19:$B$201),'Бланк OLD 0.8 04'!$B$12:$K$200,8,0)&gt;1,0.4,
IF(AND(VLOOKUP($A50-COUNT('Шаг2.Бланк заказа NEW'!$B$19:$B$201),'Бланк OLD 0.8 04'!$B$12:$K$200,7,0)&gt;0,VLOOKUP($A50-COUNT('Шаг2.Бланк заказа NEW'!$B$19:$B$201),'Бланк OLD 0.8 04'!$B$12:$K$200,8,0)&gt;0),0.4,"")))),
IF(VLOOKUP($A50-COUNT('Шаг2.Бланк заказа NEW'!$B$19:$B$201)-COUNT('Бланк OLD 0.8 04'!$B$18:$B$200),'Бланк OLD 2.0 04 '!$B$16:$K$200,7,0)&gt;1,2,
IF(VLOOKUP($A50-COUNT('Шаг2.Бланк заказа NEW'!$B$19:$B$201)-COUNT('Бланк OLD 0.8 04'!$B$18:$B$200),'Бланк OLD 2.0 04 '!$B$16:$K$200,8,0)&gt;1,0.4,
IF(AND(VLOOKUP($A50-COUNT('Шаг2.Бланк заказа NEW'!$B$19:$B$201)-COUNT('Бланк OLD 0.8 04'!$B$18:$B$200),'Бланк OLD 2.0 04 '!$B$16:$K$200,7,0)&gt;0,VLOOKUP($A50-COUNT('Шаг2.Бланк заказа NEW'!$B$19:$B$201)-COUNT('Бланк OLD 0.8 04'!$B$18:$B$200),'Бланк OLD 2.0 04 '!$B$16:$K$200,8,0)&gt;0),0.4,""))))</f>
        <v/>
      </c>
      <c r="V50" s="146" t="str">
        <f ca="1">IFERROR(VLOOKUP(C50,'Шаг1.Выбор плиты'!C:S,12,0),"")</f>
        <v/>
      </c>
      <c r="W50" s="146" t="str">
        <f ca="1">IFERROR(VLOOKUP(C50,'Шаг1.Выбор плиты'!C:S,8,0),"")</f>
        <v/>
      </c>
      <c r="X50" s="146" t="str">
        <f ca="1">IFERROR(VLOOKUP(C50,'Шаг1.Выбор плиты'!C:S,10,0),"")</f>
        <v/>
      </c>
      <c r="Y50" s="147" t="str">
        <f t="shared" ca="1" si="1"/>
        <v/>
      </c>
      <c r="AD50" s="147" t="str">
        <f t="shared" ca="1" si="6"/>
        <v/>
      </c>
      <c r="AE50" s="147" t="str">
        <f t="shared" ca="1" si="3"/>
        <v/>
      </c>
      <c r="AF50" s="25"/>
      <c r="AH50" s="147" t="str">
        <f ca="1">IF(C50="","",VLOOKUP(C50,'Шаг1.Выбор плиты'!C:Q,7,0))</f>
        <v/>
      </c>
      <c r="AI50" s="147" t="str">
        <f t="shared" ca="1" si="7"/>
        <v/>
      </c>
    </row>
    <row r="51" spans="1:35" x14ac:dyDescent="0.2">
      <c r="A51" s="151" t="str">
        <f ca="1">IF(C51="","",MAX($A$1:OFFSET(C51,-1,0))+1)</f>
        <v/>
      </c>
      <c r="B51" s="151" t="str">
        <f ca="1">IFERROR(IFERROR(IFERROR("Шаг2.Бланк заказа NEW №"&amp;VLOOKUP(A50+1,CHOOSE({1,2},'Шаг2.Бланк заказа NEW'!$B$19:$B$201,'Шаг2.Бланк заказа NEW'!$A$19:$A$201),1,0),
"Бланк OLD 0.8 04 №"&amp;VLOOKUP(A50+1-COUNT('Шаг2.Бланк заказа NEW'!$B$19:$B$201),CHOOSE({1,2},'Бланк OLD 0.8 04'!$B$18:$B$200,'Бланк OLD 0.8 04'!$A$18:$A$200),1,0)),
"Бланк OLD 2.0 04 №"&amp;VLOOKUP(A50+1-COUNT('Шаг2.Бланк заказа NEW'!$B$19:$B$201)-COUNT('Бланк OLD 0.8 04'!$B$18:$B$200),CHOOSE({1,2},'Бланк OLD 2.0 04 '!$B$18:$B$200,'Бланк OLD 2.0 04 '!$A$18:$A$200),1,0)),"")</f>
        <v/>
      </c>
      <c r="C51" s="152" t="str">
        <f ca="1">IFERROR(IFERROR(IFERROR(VLOOKUP(A50+1,CHOOSE({1,2},'Шаг2.Бланк заказа NEW'!$B$19:$B$201,'Шаг2.Бланк заказа NEW'!$A$19:$A$201),2,0),
VLOOKUP(A50+1-COUNT('Шаг2.Бланк заказа NEW'!$B$19:$B$201),CHOOSE({1,2},'Бланк OLD 0.8 04'!$B$18:$B$200,'Бланк OLD 0.8 04'!$A$18:$A$200),2,0)),
VLOOKUP(A50+1-COUNT('Шаг2.Бланк заказа NEW'!$B$19:$B$201)-COUNT('Бланк OLD 0.8 04'!$B$18:$B$200),CHOOSE({1,2},'Бланк OLD 2.0 04 '!$B$18:$B$200,'Бланк OLD 2.0 04 '!$A$18:$A$200),2,0)),"")</f>
        <v/>
      </c>
      <c r="D51" s="150" t="str">
        <f ca="1">IFERROR(VLOOKUP(C51,'Шаг1.Выбор плиты'!C:G,5,0),"")</f>
        <v/>
      </c>
      <c r="E51" s="147" t="str">
        <f ca="1">IFERROR(IFERROR(IF(VLOOKUP($A51,'Шаг2.Бланк заказа NEW'!$B$17:$N$201,2,0)="","",VLOOKUP($A51,'Шаг2.Бланк заказа NEW'!$B$17:$N$201,2,0)),
IF(VLOOKUP($A51-COUNT('Шаг2.Бланк заказа NEW'!$B$19:$B$201),'Бланк OLD 0.8 04'!$B$12:$K$200,2,0)="","",VLOOKUP($A51-COUNT('Шаг2.Бланк заказа NEW'!$B$19:$B$201),'Бланк OLD 0.8 04'!$B$12:$K$200,2,0))),
IF(VLOOKUP($A51-COUNT('Шаг2.Бланк заказа NEW'!$B$19:$B$201)-COUNT('Бланк OLD 0.8 04'!$B$18:$B$200),'Бланк OLD 2.0 04 '!$B$16:$K$200,2,0)="","",VLOOKUP($A51-COUNT('Шаг2.Бланк заказа NEW'!$B$19:$B$201)-COUNT('Бланк OLD 0.8 04'!$B$18:$B$200),'Бланк OLD 2.0 04 '!$B$16:$K$200,2,0)))</f>
        <v/>
      </c>
      <c r="F51" s="147" t="str">
        <f ca="1">IFERROR(IFERROR(IF(VLOOKUP($A51,'Шаг2.Бланк заказа NEW'!$B$17:$N$201,3,0)="","",VLOOKUP($A51,'Шаг2.Бланк заказа NEW'!$B$17:$N$201,3,0)),
IF(VLOOKUP($A51-COUNT('Шаг2.Бланк заказа NEW'!$B$19:$B$201),'Бланк OLD 0.8 04'!$B$12:$K$200,3,0)="","",VLOOKUP($A51-COUNT('Шаг2.Бланк заказа NEW'!$B$19:$B$201),'Бланк OLD 0.8 04'!$B$12:$K$200,3,0))),
IF(VLOOKUP($A51-COUNT('Шаг2.Бланк заказа NEW'!$B$19:$B$201)-COUNT('Бланк OLD 0.8 04'!$B$18:$B$200),'Бланк OLD 2.0 04 '!$B$16:$K$200,3,0)="","",VLOOKUP($A51-COUNT('Шаг2.Бланк заказа NEW'!$B$19:$B$201)-COUNT('Бланк OLD 0.8 04'!$B$18:$B$200),'Бланк OLD 2.0 04 '!$B$16:$K$200,3,0)))</f>
        <v/>
      </c>
      <c r="G51" s="176" t="str">
        <f ca="1">IF(IF(R51="","",IF(R51=1,SUMIFS('Шаг1.Выбор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плиты'!C:Q,12,0)),1))))))=0,
R51,
IF(R51="","",IF(R51=1,SUMIFS('Шаг1.Выбор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плиты'!N:N,R51,'Шаг1.Выбор плиты'!M:M,SMALL(INDIRECT("мм"&amp;VLOOKUP(C51,'Шаг1.Выбор плиты'!C:Q,12,0)),1)))))))</f>
        <v/>
      </c>
      <c r="H51" s="177" t="str">
        <f ca="1">IF(IF(S51="","",IF(S51=1,SUMIFS('Шаг1.Выбор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плиты'!C:Q,12,0)),1))))))=0,
S51,
IF(S51="","",IF(S51=1,SUMIFS('Шаг1.Выбор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плиты'!N:N,S51,'Шаг1.Выбор плиты'!M:M,SMALL(INDIRECT("мм"&amp;VLOOKUP(C51,'Шаг1.Выбор плиты'!C:Q,12,0)),1)))))))</f>
        <v/>
      </c>
      <c r="I51" s="147" t="str">
        <f ca="1">IFERROR(IFERROR(IF(VLOOKUP($A51,'Шаг2.Бланк заказа NEW'!$B$17:$N$201,6,0)="","",VLOOKUP($A51,'Шаг2.Бланк заказа NEW'!$B$17:$N$201,6,0)),
IF(VLOOKUP($A51-COUNT('Шаг2.Бланк заказа NEW'!$B$19:$B$201),'Бланк OLD 0.8 04'!$B$12:$K$200,6,0)="","",VLOOKUP($A51-COUNT('Шаг2.Бланк заказа NEW'!$B$19:$B$201),'Бланк OLD 0.8 04'!$B$12:$K$200,6,0))),
IF(VLOOKUP($A51-COUNT('Шаг2.Бланк заказа NEW'!$B$19:$B$201)-COUNT('Бланк OLD 0.8 04'!$B$18:$B$200),'Бланк OLD 2.0 04 '!$B$16:$K$200,6,0)="","",VLOOKUP($A51-COUNT('Шаг2.Бланк заказа NEW'!$B$19:$B$201)-COUNT('Бланк OLD 0.8 04'!$B$18:$B$200),'Бланк OLD 2.0 04 '!$B$16:$K$200,6,0)))</f>
        <v/>
      </c>
      <c r="J51" s="177" t="str">
        <f ca="1">IF(IF(T51="","",IF(T51=1,SUMIFS('Шаг1.Выбор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плиты'!C:Q,12,0)),1))))))=0,
T51,
IF(T51="","",IF(T51=1,SUMIFS('Шаг1.Выбор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плиты'!N:N,T51,'Шаг1.Выбор плиты'!M:M,SMALL(INDIRECT("мм"&amp;VLOOKUP(C51,'Шаг1.Выбор плиты'!C:Q,12,0)),1)))))))</f>
        <v/>
      </c>
      <c r="K51" s="177" t="str">
        <f ca="1">IF(IF(U51="","",IF(U51=1,SUMIFS('Шаг1.Выбор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плиты'!C:Q,12,0)),1))))))=0,
U51,
IF(U51="","",IF(U51=1,SUMIFS('Шаг1.Выбор плиты'!$G:$G,'Шаг1.Выбор плиты'!J:J,"*"&amp;RIGHT(VLOOKUP(C51,'Шаг1.Выбор плиты'!C:Q,8,0),4),'Шаг1.Выбор плиты'!L:L,IF(MID(C51,1,6)="ЛДСП P","TM"&amp;MID(VLOOKUP(C51,'Шаг1.Выбор плиты'!C:Q,10,0),3,2),MID(VLOOKUP(C51,'Шаг1.Выбор плиты'!C:Q,10,0),1,2)),
'Шаг1.Выбор плиты'!N:N,1),IF(SUMIFS('Шаг1.Выбор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плиты'!C:Q,12,0)),1))=0,
IF(SUMIFS('Шаг1.Выбор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плиты'!C:Q,12,0)),2))=0,
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плиты'!C:Q,12,0)),3)),
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плиты'!C:Q,12,0)),2))),
(SUMIFS('Шаг1.Выбор плиты'!$G:$G,'Шаг1.Выбор плиты'!J:J,"*"&amp;RIGHT(VLOOKUP(C51,'Шаг1.Выбор плиты'!C:Q,8,0),4),'Шаг1.Выбор плиты'!L:L,VLOOKUP(C51,'Шаг1.Выбор плиты'!C:Q,10,0),'Шаг1.Выбор плиты'!N:N,U51,'Шаг1.Выбор плиты'!M:M,SMALL(INDIRECT("мм"&amp;VLOOKUP(C51,'Шаг1.Выбор плиты'!C:Q,12,0)),1)))))))</f>
        <v/>
      </c>
      <c r="L51" s="147" t="str">
        <f ca="1">IFERROR(IFERROR(IF(VLOOKUP($A51,'Шаг2.Бланк заказа NEW'!$B$17:$N$201,9,0)="","",VLOOKUP($A51,'Шаг2.Бланк заказа NEW'!$B$17:$N$201,9,0)),
IF(VLOOKUP($A51-COUNT('Шаг2.Бланк заказа NEW'!$B$19:$B$201),'Бланк OLD 0.8 04'!$B$12:$K$200,9,0)="","",VLOOKUP($A51-COUNT('Шаг2.Бланк заказа NEW'!$B$19:$B$201),'Бланк OLD 0.8 04'!$B$12:$K$200,9,0))),
IF(VLOOKUP($A51-COUNT('Шаг2.Бланк заказа NEW'!$B$19:$B$201)-COUNT('Бланк OLD 0.8 04'!$B$18:$B$200),'Бланк OLD 2.0 04 '!$B$16:$K$200,9,0)="","",VLOOKUP($A51-COUNT('Шаг2.Бланк заказа NEW'!$B$19:$B$201)-COUNT('Бланк OLD 0.8 04'!$B$18:$B$200),'Бланк OLD 2.0 04 '!$B$16:$K$200,9,0)))</f>
        <v/>
      </c>
      <c r="M51" s="154" t="str">
        <f t="shared" ca="1" si="5"/>
        <v/>
      </c>
      <c r="N51" s="153" t="str">
        <f ca="1">IFERROR(IF(VLOOKUP($A51,'Шаг2.Бланк заказа NEW'!$B$17:$N$201,11,0)="","",VLOOKUP($A51,'Шаг2.Бланк заказа NEW'!$B$17:$N$201,11,0)),
"Нет")</f>
        <v/>
      </c>
      <c r="O51" s="147" t="str">
        <f ca="1">IFERROR(IF(VLOOKUP($A51,'Шаг2.Бланк заказа NEW'!$B$17:$N$201,11,0)="","",VLOOKUP($A51,'Шаг2.Бланк заказа NEW'!$B$17:$N$201,12,0)),
"Нет")</f>
        <v/>
      </c>
      <c r="P51" s="153" t="str">
        <f ca="1">IFERROR(IF(VLOOKUP($A51,'Шаг2.Бланк заказа NEW'!$B$17:$N$201,13,0)="","",VLOOKUP($A51,'Шаг2.Бланк заказа NEW'!$B$17:$N$201,13,0)),
"Нет")</f>
        <v/>
      </c>
      <c r="Q51" s="147" t="str">
        <f ca="1">IFERROR(IF(VLOOKUP($A51,'Шаг2.Бланк заказа NEW'!$B$17:$O$201,14,0)="","",VLOOKUP($A51,'Шаг2.Бланк заказа NEW'!$B$17:$O$201,14,0)),"")</f>
        <v/>
      </c>
      <c r="R51" s="147" t="str">
        <f ca="1">IFERROR(IFERROR(IF(VLOOKUP($A51,'Шаг2.Бланк заказа NEW'!$B$17:$N$201,4,0)="","",VLOOKUP($A51,'Шаг2.Бланк заказа NEW'!$B$17:$N$201,4,0)),
IF(VLOOKUP($A51-COUNT('Шаг2.Бланк заказа NEW'!$B$19:$B$201),'Бланк OLD 0.8 04'!$B$12:$K$200,4,0)&gt;0,0.8,
IF(VLOOKUP($A51-COUNT('Шаг2.Бланк заказа NEW'!$B$19:$B$201),'Бланк OLD 0.8 04'!$B$12:$K$200,5,0)&gt;0,0.4,""))),
IF(VLOOKUP($A51-COUNT('Шаг2.Бланк заказа NEW'!$B$19:$B$201)-COUNT('Бланк OLD 0.8 04'!$B$18:$B$200),'Бланк OLD 2.0 04 '!$B$16:$K$200,4,0)&gt;0,2,IF(VLOOKUP($A51-COUNT('Шаг2.Бланк заказа NEW'!$B$19:$B$201)-COUNT('Бланк OLD 0.8 04'!$B$18:$B$200),'Бланк OLD 2.0 04 '!$B$16:$K$200,5,0)&gt;0,0.4,"")))</f>
        <v/>
      </c>
      <c r="S51" s="147" t="str">
        <f ca="1">IFERROR(IFERROR(IF(VLOOKUP($A51,'Шаг2.Бланк заказа NEW'!$B$17:$N$201,5,0)="","",VLOOKUP($A51,'Шаг2.Бланк заказа NEW'!$B$17:$N$201,5,0)),
IF(VLOOKUP($A51-COUNT('Шаг2.Бланк заказа NEW'!$B$19:$B$201),'Бланк OLD 0.8 04'!$B$12:$K$200,4,0)&gt;1,0.8,
IF(VLOOKUP($A51-COUNT('Шаг2.Бланк заказа NEW'!$B$19:$B$201),'Бланк OLD 0.8 04'!$B$12:$K$200,5,0)&gt;1,0.4,
IF(AND(VLOOKUP($A51-COUNT('Шаг2.Бланк заказа NEW'!$B$19:$B$201),'Бланк OLD 0.8 04'!$B$12:$K$200,4,0)&gt;0,VLOOKUP($A51-COUNT('Шаг2.Бланк заказа NEW'!$B$19:$B$201),'Бланк OLD 0.8 04'!$B$12:$K$200,5,0)&gt;0),0.4,"")))),
IF(VLOOKUP($A51-COUNT('Шаг2.Бланк заказа NEW'!$B$19:$B$201)-COUNT('Бланк OLD 0.8 04'!$B$18:$B$200),'Бланк OLD 2.0 04 '!$B$16:$K$200,4,0)&gt;1,2,
IF(VLOOKUP($A51-COUNT('Шаг2.Бланк заказа NEW'!$B$19:$B$201)-COUNT('Бланк OLD 0.8 04'!$B$18:$B$200),'Бланк OLD 2.0 04 '!$B$16:$K$200,5,0)&gt;1,0.4,IF(AND(VLOOKUP($A51-COUNT('Шаг2.Бланк заказа NEW'!$B$19:$B$201)-COUNT('Бланк OLD 0.8 04'!$B$18:$B$200),'Бланк OLD 2.0 04 '!$B$16:$K$200,4,0)&gt;0,VLOOKUP($A51-COUNT('Шаг2.Бланк заказа NEW'!$B$19:$B$201)-COUNT('Бланк OLD 0.8 04'!$B$18:$B$200),'Бланк OLD 2.0 04 '!$B$16:$K$200,5,0)&gt;0),0.4,""))))</f>
        <v/>
      </c>
      <c r="T51" s="147" t="str">
        <f ca="1">IFERROR(IFERROR(IF(VLOOKUP($A51,'Шаг2.Бланк заказа NEW'!$B$17:$N$201,7,0)="","",VLOOKUP($A51,'Шаг2.Бланк заказа NEW'!$B$17:$N$201,7,0)),
IF(VLOOKUP($A51-COUNT('Шаг2.Бланк заказа NEW'!$B$19:$B$201),'Бланк OLD 0.8 04'!$B$12:$K$200,7,0)&gt;0,0.8,
IF(VLOOKUP($A51-COUNT('Шаг2.Бланк заказа NEW'!$B$19:$B$201),'Бланк OLD 0.8 04'!$B$12:$K$200,8,0)&gt;0,0.4,""))),
IF(VLOOKUP($A51-COUNT('Шаг2.Бланк заказа NEW'!$B$19:$B$201)-COUNT('Бланк OLD 0.8 04'!$B$18:$B$200),'Бланк OLD 2.0 04 '!$B$16:$K$200,7,0)&gt;0,2,IF(VLOOKUP($A51-COUNT('Шаг2.Бланк заказа NEW'!$B$19:$B$201)-COUNT('Бланк OLD 0.8 04'!$B$18:$B$200),'Бланк OLD 2.0 04 '!$B$16:$K$200,8,0)&gt;0,0.4,"")))</f>
        <v/>
      </c>
      <c r="U51" s="147" t="str">
        <f ca="1">IFERROR(IFERROR(IF(VLOOKUP($A51,'Шаг2.Бланк заказа NEW'!$B$17:$N$201,8,0)="","",VLOOKUP($A51,'Шаг2.Бланк заказа NEW'!$B$17:$N$201,8,0)),
IF(VLOOKUP($A51-COUNT('Шаг2.Бланк заказа NEW'!$B$19:$B$201),'Бланк OLD 0.8 04'!$B$12:$K$200,7,0)&gt;1,0.8,
IF(VLOOKUP($A51-COUNT('Шаг2.Бланк заказа NEW'!$B$19:$B$201),'Бланк OLD 0.8 04'!$B$12:$K$200,8,0)&gt;1,0.4,
IF(AND(VLOOKUP($A51-COUNT('Шаг2.Бланк заказа NEW'!$B$19:$B$201),'Бланк OLD 0.8 04'!$B$12:$K$200,7,0)&gt;0,VLOOKUP($A51-COUNT('Шаг2.Бланк заказа NEW'!$B$19:$B$201),'Бланк OLD 0.8 04'!$B$12:$K$200,8,0)&gt;0),0.4,"")))),
IF(VLOOKUP($A51-COUNT('Шаг2.Бланк заказа NEW'!$B$19:$B$201)-COUNT('Бланк OLD 0.8 04'!$B$18:$B$200),'Бланк OLD 2.0 04 '!$B$16:$K$200,7,0)&gt;1,2,
IF(VLOOKUP($A51-COUNT('Шаг2.Бланк заказа NEW'!$B$19:$B$201)-COUNT('Бланк OLD 0.8 04'!$B$18:$B$200),'Бланк OLD 2.0 04 '!$B$16:$K$200,8,0)&gt;1,0.4,
IF(AND(VLOOKUP($A51-COUNT('Шаг2.Бланк заказа NEW'!$B$19:$B$201)-COUNT('Бланк OLD 0.8 04'!$B$18:$B$200),'Бланк OLD 2.0 04 '!$B$16:$K$200,7,0)&gt;0,VLOOKUP($A51-COUNT('Шаг2.Бланк заказа NEW'!$B$19:$B$201)-COUNT('Бланк OLD 0.8 04'!$B$18:$B$200),'Бланк OLD 2.0 04 '!$B$16:$K$200,8,0)&gt;0),0.4,""))))</f>
        <v/>
      </c>
      <c r="V51" s="146" t="str">
        <f ca="1">IFERROR(VLOOKUP(C51,'Шаг1.Выбор плиты'!C:S,12,0),"")</f>
        <v/>
      </c>
      <c r="W51" s="146" t="str">
        <f ca="1">IFERROR(VLOOKUP(C51,'Шаг1.Выбор плиты'!C:S,8,0),"")</f>
        <v/>
      </c>
      <c r="X51" s="146" t="str">
        <f ca="1">IFERROR(VLOOKUP(C51,'Шаг1.Выбор плиты'!C:S,10,0),"")</f>
        <v/>
      </c>
      <c r="Y51" s="147" t="str">
        <f t="shared" ca="1" si="1"/>
        <v/>
      </c>
      <c r="AD51" s="147" t="str">
        <f t="shared" ca="1" si="6"/>
        <v/>
      </c>
      <c r="AE51" s="147" t="str">
        <f t="shared" ca="1" si="3"/>
        <v/>
      </c>
      <c r="AF51" s="25"/>
      <c r="AH51" s="147" t="str">
        <f ca="1">IF(C51="","",VLOOKUP(C51,'Шаг1.Выбор плиты'!C:Q,7,0))</f>
        <v/>
      </c>
      <c r="AI51" s="147" t="str">
        <f t="shared" ca="1" si="7"/>
        <v/>
      </c>
    </row>
    <row r="52" spans="1:35" x14ac:dyDescent="0.2">
      <c r="A52" s="151" t="str">
        <f ca="1">IF(C52="","",MAX($A$1:OFFSET(C52,-1,0))+1)</f>
        <v/>
      </c>
      <c r="B52" s="151" t="str">
        <f ca="1">IFERROR(IFERROR(IFERROR("Шаг2.Бланк заказа NEW №"&amp;VLOOKUP(A51+1,CHOOSE({1,2},'Шаг2.Бланк заказа NEW'!$B$19:$B$201,'Шаг2.Бланк заказа NEW'!$A$19:$A$201),1,0),
"Бланк OLD 0.8 04 №"&amp;VLOOKUP(A51+1-COUNT('Шаг2.Бланк заказа NEW'!$B$19:$B$201),CHOOSE({1,2},'Бланк OLD 0.8 04'!$B$18:$B$200,'Бланк OLD 0.8 04'!$A$18:$A$200),1,0)),
"Бланк OLD 2.0 04 №"&amp;VLOOKUP(A51+1-COUNT('Шаг2.Бланк заказа NEW'!$B$19:$B$201)-COUNT('Бланк OLD 0.8 04'!$B$18:$B$200),CHOOSE({1,2},'Бланк OLD 2.0 04 '!$B$18:$B$200,'Бланк OLD 2.0 04 '!$A$18:$A$200),1,0)),"")</f>
        <v/>
      </c>
      <c r="C52" s="152" t="str">
        <f ca="1">IFERROR(IFERROR(IFERROR(VLOOKUP(A51+1,CHOOSE({1,2},'Шаг2.Бланк заказа NEW'!$B$19:$B$201,'Шаг2.Бланк заказа NEW'!$A$19:$A$201),2,0),
VLOOKUP(A51+1-COUNT('Шаг2.Бланк заказа NEW'!$B$19:$B$201),CHOOSE({1,2},'Бланк OLD 0.8 04'!$B$18:$B$200,'Бланк OLD 0.8 04'!$A$18:$A$200),2,0)),
VLOOKUP(A51+1-COUNT('Шаг2.Бланк заказа NEW'!$B$19:$B$201)-COUNT('Бланк OLD 0.8 04'!$B$18:$B$200),CHOOSE({1,2},'Бланк OLD 2.0 04 '!$B$18:$B$200,'Бланк OLD 2.0 04 '!$A$18:$A$200),2,0)),"")</f>
        <v/>
      </c>
      <c r="D52" s="150" t="str">
        <f ca="1">IFERROR(VLOOKUP(C52,'Шаг1.Выбор плиты'!C:G,5,0),"")</f>
        <v/>
      </c>
      <c r="E52" s="147" t="str">
        <f ca="1">IFERROR(IFERROR(IF(VLOOKUP($A52,'Шаг2.Бланк заказа NEW'!$B$17:$N$201,2,0)="","",VLOOKUP($A52,'Шаг2.Бланк заказа NEW'!$B$17:$N$201,2,0)),
IF(VLOOKUP($A52-COUNT('Шаг2.Бланк заказа NEW'!$B$19:$B$201),'Бланк OLD 0.8 04'!$B$12:$K$200,2,0)="","",VLOOKUP($A52-COUNT('Шаг2.Бланк заказа NEW'!$B$19:$B$201),'Бланк OLD 0.8 04'!$B$12:$K$200,2,0))),
IF(VLOOKUP($A52-COUNT('Шаг2.Бланк заказа NEW'!$B$19:$B$201)-COUNT('Бланк OLD 0.8 04'!$B$18:$B$200),'Бланк OLD 2.0 04 '!$B$16:$K$200,2,0)="","",VLOOKUP($A52-COUNT('Шаг2.Бланк заказа NEW'!$B$19:$B$201)-COUNT('Бланк OLD 0.8 04'!$B$18:$B$200),'Бланк OLD 2.0 04 '!$B$16:$K$200,2,0)))</f>
        <v/>
      </c>
      <c r="F52" s="147" t="str">
        <f ca="1">IFERROR(IFERROR(IF(VLOOKUP($A52,'Шаг2.Бланк заказа NEW'!$B$17:$N$201,3,0)="","",VLOOKUP($A52,'Шаг2.Бланк заказа NEW'!$B$17:$N$201,3,0)),
IF(VLOOKUP($A52-COUNT('Шаг2.Бланк заказа NEW'!$B$19:$B$201),'Бланк OLD 0.8 04'!$B$12:$K$200,3,0)="","",VLOOKUP($A52-COUNT('Шаг2.Бланк заказа NEW'!$B$19:$B$201),'Бланк OLD 0.8 04'!$B$12:$K$200,3,0))),
IF(VLOOKUP($A52-COUNT('Шаг2.Бланк заказа NEW'!$B$19:$B$201)-COUNT('Бланк OLD 0.8 04'!$B$18:$B$200),'Бланк OLD 2.0 04 '!$B$16:$K$200,3,0)="","",VLOOKUP($A52-COUNT('Шаг2.Бланк заказа NEW'!$B$19:$B$201)-COUNT('Бланк OLD 0.8 04'!$B$18:$B$200),'Бланк OLD 2.0 04 '!$B$16:$K$200,3,0)))</f>
        <v/>
      </c>
      <c r="G52" s="176" t="str">
        <f ca="1">IF(IF(R52="","",IF(R52=1,SUMIFS('Шаг1.Выбор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плиты'!C:Q,12,0)),1))))))=0,
R52,
IF(R52="","",IF(R52=1,SUMIFS('Шаг1.Выбор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плиты'!N:N,R52,'Шаг1.Выбор плиты'!M:M,SMALL(INDIRECT("мм"&amp;VLOOKUP(C52,'Шаг1.Выбор плиты'!C:Q,12,0)),1)))))))</f>
        <v/>
      </c>
      <c r="H52" s="177" t="str">
        <f ca="1">IF(IF(S52="","",IF(S52=1,SUMIFS('Шаг1.Выбор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плиты'!C:Q,12,0)),1))))))=0,
S52,
IF(S52="","",IF(S52=1,SUMIFS('Шаг1.Выбор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плиты'!N:N,S52,'Шаг1.Выбор плиты'!M:M,SMALL(INDIRECT("мм"&amp;VLOOKUP(C52,'Шаг1.Выбор плиты'!C:Q,12,0)),1)))))))</f>
        <v/>
      </c>
      <c r="I52" s="147" t="str">
        <f ca="1">IFERROR(IFERROR(IF(VLOOKUP($A52,'Шаг2.Бланк заказа NEW'!$B$17:$N$201,6,0)="","",VLOOKUP($A52,'Шаг2.Бланк заказа NEW'!$B$17:$N$201,6,0)),
IF(VLOOKUP($A52-COUNT('Шаг2.Бланк заказа NEW'!$B$19:$B$201),'Бланк OLD 0.8 04'!$B$12:$K$200,6,0)="","",VLOOKUP($A52-COUNT('Шаг2.Бланк заказа NEW'!$B$19:$B$201),'Бланк OLD 0.8 04'!$B$12:$K$200,6,0))),
IF(VLOOKUP($A52-COUNT('Шаг2.Бланк заказа NEW'!$B$19:$B$201)-COUNT('Бланк OLD 0.8 04'!$B$18:$B$200),'Бланк OLD 2.0 04 '!$B$16:$K$200,6,0)="","",VLOOKUP($A52-COUNT('Шаг2.Бланк заказа NEW'!$B$19:$B$201)-COUNT('Бланк OLD 0.8 04'!$B$18:$B$200),'Бланк OLD 2.0 04 '!$B$16:$K$200,6,0)))</f>
        <v/>
      </c>
      <c r="J52" s="177" t="str">
        <f ca="1">IF(IF(T52="","",IF(T52=1,SUMIFS('Шаг1.Выбор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плиты'!C:Q,12,0)),1))))))=0,
T52,
IF(T52="","",IF(T52=1,SUMIFS('Шаг1.Выбор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плиты'!N:N,T52,'Шаг1.Выбор плиты'!M:M,SMALL(INDIRECT("мм"&amp;VLOOKUP(C52,'Шаг1.Выбор плиты'!C:Q,12,0)),1)))))))</f>
        <v/>
      </c>
      <c r="K52" s="177" t="str">
        <f ca="1">IF(IF(U52="","",IF(U52=1,SUMIFS('Шаг1.Выбор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плиты'!C:Q,12,0)),1))))))=0,
U52,
IF(U52="","",IF(U52=1,SUMIFS('Шаг1.Выбор плиты'!$G:$G,'Шаг1.Выбор плиты'!J:J,"*"&amp;RIGHT(VLOOKUP(C52,'Шаг1.Выбор плиты'!C:Q,8,0),4),'Шаг1.Выбор плиты'!L:L,IF(MID(C52,1,6)="ЛДСП P","TM"&amp;MID(VLOOKUP(C52,'Шаг1.Выбор плиты'!C:Q,10,0),3,2),MID(VLOOKUP(C52,'Шаг1.Выбор плиты'!C:Q,10,0),1,2)),
'Шаг1.Выбор плиты'!N:N,1),IF(SUMIFS('Шаг1.Выбор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плиты'!C:Q,12,0)),1))=0,
IF(SUMIFS('Шаг1.Выбор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плиты'!C:Q,12,0)),2))=0,
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плиты'!C:Q,12,0)),3)),
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плиты'!C:Q,12,0)),2))),
(SUMIFS('Шаг1.Выбор плиты'!$G:$G,'Шаг1.Выбор плиты'!J:J,"*"&amp;RIGHT(VLOOKUP(C52,'Шаг1.Выбор плиты'!C:Q,8,0),4),'Шаг1.Выбор плиты'!L:L,VLOOKUP(C52,'Шаг1.Выбор плиты'!C:Q,10,0),'Шаг1.Выбор плиты'!N:N,U52,'Шаг1.Выбор плиты'!M:M,SMALL(INDIRECT("мм"&amp;VLOOKUP(C52,'Шаг1.Выбор плиты'!C:Q,12,0)),1)))))))</f>
        <v/>
      </c>
      <c r="L52" s="147" t="str">
        <f ca="1">IFERROR(IFERROR(IF(VLOOKUP($A52,'Шаг2.Бланк заказа NEW'!$B$17:$N$201,9,0)="","",VLOOKUP($A52,'Шаг2.Бланк заказа NEW'!$B$17:$N$201,9,0)),
IF(VLOOKUP($A52-COUNT('Шаг2.Бланк заказа NEW'!$B$19:$B$201),'Бланк OLD 0.8 04'!$B$12:$K$200,9,0)="","",VLOOKUP($A52-COUNT('Шаг2.Бланк заказа NEW'!$B$19:$B$201),'Бланк OLD 0.8 04'!$B$12:$K$200,9,0))),
IF(VLOOKUP($A52-COUNT('Шаг2.Бланк заказа NEW'!$B$19:$B$201)-COUNT('Бланк OLD 0.8 04'!$B$18:$B$200),'Бланк OLD 2.0 04 '!$B$16:$K$200,9,0)="","",VLOOKUP($A52-COUNT('Шаг2.Бланк заказа NEW'!$B$19:$B$201)-COUNT('Бланк OLD 0.8 04'!$B$18:$B$200),'Бланк OLD 2.0 04 '!$B$16:$K$200,9,0)))</f>
        <v/>
      </c>
      <c r="M52" s="154" t="str">
        <f t="shared" ca="1" si="5"/>
        <v/>
      </c>
      <c r="N52" s="153" t="str">
        <f ca="1">IFERROR(IF(VLOOKUP($A52,'Шаг2.Бланк заказа NEW'!$B$17:$N$201,11,0)="","",VLOOKUP($A52,'Шаг2.Бланк заказа NEW'!$B$17:$N$201,11,0)),
"Нет")</f>
        <v/>
      </c>
      <c r="O52" s="147" t="str">
        <f ca="1">IFERROR(IF(VLOOKUP($A52,'Шаг2.Бланк заказа NEW'!$B$17:$N$201,11,0)="","",VLOOKUP($A52,'Шаг2.Бланк заказа NEW'!$B$17:$N$201,12,0)),
"Нет")</f>
        <v/>
      </c>
      <c r="P52" s="153" t="str">
        <f ca="1">IFERROR(IF(VLOOKUP($A52,'Шаг2.Бланк заказа NEW'!$B$17:$N$201,13,0)="","",VLOOKUP($A52,'Шаг2.Бланк заказа NEW'!$B$17:$N$201,13,0)),
"Нет")</f>
        <v/>
      </c>
      <c r="Q52" s="147" t="str">
        <f ca="1">IFERROR(IF(VLOOKUP($A52,'Шаг2.Бланк заказа NEW'!$B$17:$O$201,14,0)="","",VLOOKUP($A52,'Шаг2.Бланк заказа NEW'!$B$17:$O$201,14,0)),"")</f>
        <v/>
      </c>
      <c r="R52" s="147" t="str">
        <f ca="1">IFERROR(IFERROR(IF(VLOOKUP($A52,'Шаг2.Бланк заказа NEW'!$B$17:$N$201,4,0)="","",VLOOKUP($A52,'Шаг2.Бланк заказа NEW'!$B$17:$N$201,4,0)),
IF(VLOOKUP($A52-COUNT('Шаг2.Бланк заказа NEW'!$B$19:$B$201),'Бланк OLD 0.8 04'!$B$12:$K$200,4,0)&gt;0,0.8,
IF(VLOOKUP($A52-COUNT('Шаг2.Бланк заказа NEW'!$B$19:$B$201),'Бланк OLD 0.8 04'!$B$12:$K$200,5,0)&gt;0,0.4,""))),
IF(VLOOKUP($A52-COUNT('Шаг2.Бланк заказа NEW'!$B$19:$B$201)-COUNT('Бланк OLD 0.8 04'!$B$18:$B$200),'Бланк OLD 2.0 04 '!$B$16:$K$200,4,0)&gt;0,2,IF(VLOOKUP($A52-COUNT('Шаг2.Бланк заказа NEW'!$B$19:$B$201)-COUNT('Бланк OLD 0.8 04'!$B$18:$B$200),'Бланк OLD 2.0 04 '!$B$16:$K$200,5,0)&gt;0,0.4,"")))</f>
        <v/>
      </c>
      <c r="S52" s="147" t="str">
        <f ca="1">IFERROR(IFERROR(IF(VLOOKUP($A52,'Шаг2.Бланк заказа NEW'!$B$17:$N$201,5,0)="","",VLOOKUP($A52,'Шаг2.Бланк заказа NEW'!$B$17:$N$201,5,0)),
IF(VLOOKUP($A52-COUNT('Шаг2.Бланк заказа NEW'!$B$19:$B$201),'Бланк OLD 0.8 04'!$B$12:$K$200,4,0)&gt;1,0.8,
IF(VLOOKUP($A52-COUNT('Шаг2.Бланк заказа NEW'!$B$19:$B$201),'Бланк OLD 0.8 04'!$B$12:$K$200,5,0)&gt;1,0.4,
IF(AND(VLOOKUP($A52-COUNT('Шаг2.Бланк заказа NEW'!$B$19:$B$201),'Бланк OLD 0.8 04'!$B$12:$K$200,4,0)&gt;0,VLOOKUP($A52-COUNT('Шаг2.Бланк заказа NEW'!$B$19:$B$201),'Бланк OLD 0.8 04'!$B$12:$K$200,5,0)&gt;0),0.4,"")))),
IF(VLOOKUP($A52-COUNT('Шаг2.Бланк заказа NEW'!$B$19:$B$201)-COUNT('Бланк OLD 0.8 04'!$B$18:$B$200),'Бланк OLD 2.0 04 '!$B$16:$K$200,4,0)&gt;1,2,
IF(VLOOKUP($A52-COUNT('Шаг2.Бланк заказа NEW'!$B$19:$B$201)-COUNT('Бланк OLD 0.8 04'!$B$18:$B$200),'Бланк OLD 2.0 04 '!$B$16:$K$200,5,0)&gt;1,0.4,IF(AND(VLOOKUP($A52-COUNT('Шаг2.Бланк заказа NEW'!$B$19:$B$201)-COUNT('Бланк OLD 0.8 04'!$B$18:$B$200),'Бланк OLD 2.0 04 '!$B$16:$K$200,4,0)&gt;0,VLOOKUP($A52-COUNT('Шаг2.Бланк заказа NEW'!$B$19:$B$201)-COUNT('Бланк OLD 0.8 04'!$B$18:$B$200),'Бланк OLD 2.0 04 '!$B$16:$K$200,5,0)&gt;0),0.4,""))))</f>
        <v/>
      </c>
      <c r="T52" s="147" t="str">
        <f ca="1">IFERROR(IFERROR(IF(VLOOKUP($A52,'Шаг2.Бланк заказа NEW'!$B$17:$N$201,7,0)="","",VLOOKUP($A52,'Шаг2.Бланк заказа NEW'!$B$17:$N$201,7,0)),
IF(VLOOKUP($A52-COUNT('Шаг2.Бланк заказа NEW'!$B$19:$B$201),'Бланк OLD 0.8 04'!$B$12:$K$200,7,0)&gt;0,0.8,
IF(VLOOKUP($A52-COUNT('Шаг2.Бланк заказа NEW'!$B$19:$B$201),'Бланк OLD 0.8 04'!$B$12:$K$200,8,0)&gt;0,0.4,""))),
IF(VLOOKUP($A52-COUNT('Шаг2.Бланк заказа NEW'!$B$19:$B$201)-COUNT('Бланк OLD 0.8 04'!$B$18:$B$200),'Бланк OLD 2.0 04 '!$B$16:$K$200,7,0)&gt;0,2,IF(VLOOKUP($A52-COUNT('Шаг2.Бланк заказа NEW'!$B$19:$B$201)-COUNT('Бланк OLD 0.8 04'!$B$18:$B$200),'Бланк OLD 2.0 04 '!$B$16:$K$200,8,0)&gt;0,0.4,"")))</f>
        <v/>
      </c>
      <c r="U52" s="147" t="str">
        <f ca="1">IFERROR(IFERROR(IF(VLOOKUP($A52,'Шаг2.Бланк заказа NEW'!$B$17:$N$201,8,0)="","",VLOOKUP($A52,'Шаг2.Бланк заказа NEW'!$B$17:$N$201,8,0)),
IF(VLOOKUP($A52-COUNT('Шаг2.Бланк заказа NEW'!$B$19:$B$201),'Бланк OLD 0.8 04'!$B$12:$K$200,7,0)&gt;1,0.8,
IF(VLOOKUP($A52-COUNT('Шаг2.Бланк заказа NEW'!$B$19:$B$201),'Бланк OLD 0.8 04'!$B$12:$K$200,8,0)&gt;1,0.4,
IF(AND(VLOOKUP($A52-COUNT('Шаг2.Бланк заказа NEW'!$B$19:$B$201),'Бланк OLD 0.8 04'!$B$12:$K$200,7,0)&gt;0,VLOOKUP($A52-COUNT('Шаг2.Бланк заказа NEW'!$B$19:$B$201),'Бланк OLD 0.8 04'!$B$12:$K$200,8,0)&gt;0),0.4,"")))),
IF(VLOOKUP($A52-COUNT('Шаг2.Бланк заказа NEW'!$B$19:$B$201)-COUNT('Бланк OLD 0.8 04'!$B$18:$B$200),'Бланк OLD 2.0 04 '!$B$16:$K$200,7,0)&gt;1,2,
IF(VLOOKUP($A52-COUNT('Шаг2.Бланк заказа NEW'!$B$19:$B$201)-COUNT('Бланк OLD 0.8 04'!$B$18:$B$200),'Бланк OLD 2.0 04 '!$B$16:$K$200,8,0)&gt;1,0.4,
IF(AND(VLOOKUP($A52-COUNT('Шаг2.Бланк заказа NEW'!$B$19:$B$201)-COUNT('Бланк OLD 0.8 04'!$B$18:$B$200),'Бланк OLD 2.0 04 '!$B$16:$K$200,7,0)&gt;0,VLOOKUP($A52-COUNT('Шаг2.Бланк заказа NEW'!$B$19:$B$201)-COUNT('Бланк OLD 0.8 04'!$B$18:$B$200),'Бланк OLD 2.0 04 '!$B$16:$K$200,8,0)&gt;0),0.4,""))))</f>
        <v/>
      </c>
      <c r="V52" s="146" t="str">
        <f ca="1">IFERROR(VLOOKUP(C52,'Шаг1.Выбор плиты'!C:S,12,0),"")</f>
        <v/>
      </c>
      <c r="W52" s="146" t="str">
        <f ca="1">IFERROR(VLOOKUP(C52,'Шаг1.Выбор плиты'!C:S,8,0),"")</f>
        <v/>
      </c>
      <c r="X52" s="146" t="str">
        <f ca="1">IFERROR(VLOOKUP(C52,'Шаг1.Выбор плиты'!C:S,10,0),"")</f>
        <v/>
      </c>
      <c r="Y52" s="147" t="str">
        <f t="shared" ca="1" si="1"/>
        <v/>
      </c>
      <c r="AD52" s="147" t="str">
        <f t="shared" ca="1" si="6"/>
        <v/>
      </c>
      <c r="AE52" s="147" t="str">
        <f t="shared" ca="1" si="3"/>
        <v/>
      </c>
      <c r="AF52" s="25"/>
      <c r="AH52" s="147" t="str">
        <f ca="1">IF(C52="","",VLOOKUP(C52,'Шаг1.Выбор плиты'!C:Q,7,0))</f>
        <v/>
      </c>
      <c r="AI52" s="147" t="str">
        <f t="shared" ca="1" si="7"/>
        <v/>
      </c>
    </row>
    <row r="53" spans="1:35" x14ac:dyDescent="0.2">
      <c r="A53" s="151" t="str">
        <f ca="1">IF(C53="","",MAX($A$1:OFFSET(C53,-1,0))+1)</f>
        <v/>
      </c>
      <c r="B53" s="151" t="str">
        <f ca="1">IFERROR(IFERROR(IFERROR("Шаг2.Бланк заказа NEW №"&amp;VLOOKUP(A52+1,CHOOSE({1,2},'Шаг2.Бланк заказа NEW'!$B$19:$B$201,'Шаг2.Бланк заказа NEW'!$A$19:$A$201),1,0),
"Бланк OLD 0.8 04 №"&amp;VLOOKUP(A52+1-COUNT('Шаг2.Бланк заказа NEW'!$B$19:$B$201),CHOOSE({1,2},'Бланк OLD 0.8 04'!$B$18:$B$200,'Бланк OLD 0.8 04'!$A$18:$A$200),1,0)),
"Бланк OLD 2.0 04 №"&amp;VLOOKUP(A52+1-COUNT('Шаг2.Бланк заказа NEW'!$B$19:$B$201)-COUNT('Бланк OLD 0.8 04'!$B$18:$B$200),CHOOSE({1,2},'Бланк OLD 2.0 04 '!$B$18:$B$200,'Бланк OLD 2.0 04 '!$A$18:$A$200),1,0)),"")</f>
        <v/>
      </c>
      <c r="C53" s="152" t="str">
        <f ca="1">IFERROR(IFERROR(IFERROR(VLOOKUP(A52+1,CHOOSE({1,2},'Шаг2.Бланк заказа NEW'!$B$19:$B$201,'Шаг2.Бланк заказа NEW'!$A$19:$A$201),2,0),
VLOOKUP(A52+1-COUNT('Шаг2.Бланк заказа NEW'!$B$19:$B$201),CHOOSE({1,2},'Бланк OLD 0.8 04'!$B$18:$B$200,'Бланк OLD 0.8 04'!$A$18:$A$200),2,0)),
VLOOKUP(A52+1-COUNT('Шаг2.Бланк заказа NEW'!$B$19:$B$201)-COUNT('Бланк OLD 0.8 04'!$B$18:$B$200),CHOOSE({1,2},'Бланк OLD 2.0 04 '!$B$18:$B$200,'Бланк OLD 2.0 04 '!$A$18:$A$200),2,0)),"")</f>
        <v/>
      </c>
      <c r="D53" s="150" t="str">
        <f ca="1">IFERROR(VLOOKUP(C53,'Шаг1.Выбор плиты'!C:G,5,0),"")</f>
        <v/>
      </c>
      <c r="E53" s="147" t="str">
        <f ca="1">IFERROR(IFERROR(IF(VLOOKUP($A53,'Шаг2.Бланк заказа NEW'!$B$17:$N$201,2,0)="","",VLOOKUP($A53,'Шаг2.Бланк заказа NEW'!$B$17:$N$201,2,0)),
IF(VLOOKUP($A53-COUNT('Шаг2.Бланк заказа NEW'!$B$19:$B$201),'Бланк OLD 0.8 04'!$B$12:$K$200,2,0)="","",VLOOKUP($A53-COUNT('Шаг2.Бланк заказа NEW'!$B$19:$B$201),'Бланк OLD 0.8 04'!$B$12:$K$200,2,0))),
IF(VLOOKUP($A53-COUNT('Шаг2.Бланк заказа NEW'!$B$19:$B$201)-COUNT('Бланк OLD 0.8 04'!$B$18:$B$200),'Бланк OLD 2.0 04 '!$B$16:$K$200,2,0)="","",VLOOKUP($A53-COUNT('Шаг2.Бланк заказа NEW'!$B$19:$B$201)-COUNT('Бланк OLD 0.8 04'!$B$18:$B$200),'Бланк OLD 2.0 04 '!$B$16:$K$200,2,0)))</f>
        <v/>
      </c>
      <c r="F53" s="147" t="str">
        <f ca="1">IFERROR(IFERROR(IF(VLOOKUP($A53,'Шаг2.Бланк заказа NEW'!$B$17:$N$201,3,0)="","",VLOOKUP($A53,'Шаг2.Бланк заказа NEW'!$B$17:$N$201,3,0)),
IF(VLOOKUP($A53-COUNT('Шаг2.Бланк заказа NEW'!$B$19:$B$201),'Бланк OLD 0.8 04'!$B$12:$K$200,3,0)="","",VLOOKUP($A53-COUNT('Шаг2.Бланк заказа NEW'!$B$19:$B$201),'Бланк OLD 0.8 04'!$B$12:$K$200,3,0))),
IF(VLOOKUP($A53-COUNT('Шаг2.Бланк заказа NEW'!$B$19:$B$201)-COUNT('Бланк OLD 0.8 04'!$B$18:$B$200),'Бланк OLD 2.0 04 '!$B$16:$K$200,3,0)="","",VLOOKUP($A53-COUNT('Шаг2.Бланк заказа NEW'!$B$19:$B$201)-COUNT('Бланк OLD 0.8 04'!$B$18:$B$200),'Бланк OLD 2.0 04 '!$B$16:$K$200,3,0)))</f>
        <v/>
      </c>
      <c r="G53" s="176" t="str">
        <f ca="1">IF(IF(R53="","",IF(R53=1,SUMIFS('Шаг1.Выбор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плиты'!C:Q,12,0)),1))))))=0,
R53,
IF(R53="","",IF(R53=1,SUMIFS('Шаг1.Выбор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плиты'!N:N,R53,'Шаг1.Выбор плиты'!M:M,SMALL(INDIRECT("мм"&amp;VLOOKUP(C53,'Шаг1.Выбор плиты'!C:Q,12,0)),1)))))))</f>
        <v/>
      </c>
      <c r="H53" s="177" t="str">
        <f ca="1">IF(IF(S53="","",IF(S53=1,SUMIFS('Шаг1.Выбор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плиты'!C:Q,12,0)),1))))))=0,
S53,
IF(S53="","",IF(S53=1,SUMIFS('Шаг1.Выбор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плиты'!N:N,S53,'Шаг1.Выбор плиты'!M:M,SMALL(INDIRECT("мм"&amp;VLOOKUP(C53,'Шаг1.Выбор плиты'!C:Q,12,0)),1)))))))</f>
        <v/>
      </c>
      <c r="I53" s="147" t="str">
        <f ca="1">IFERROR(IFERROR(IF(VLOOKUP($A53,'Шаг2.Бланк заказа NEW'!$B$17:$N$201,6,0)="","",VLOOKUP($A53,'Шаг2.Бланк заказа NEW'!$B$17:$N$201,6,0)),
IF(VLOOKUP($A53-COUNT('Шаг2.Бланк заказа NEW'!$B$19:$B$201),'Бланк OLD 0.8 04'!$B$12:$K$200,6,0)="","",VLOOKUP($A53-COUNT('Шаг2.Бланк заказа NEW'!$B$19:$B$201),'Бланк OLD 0.8 04'!$B$12:$K$200,6,0))),
IF(VLOOKUP($A53-COUNT('Шаг2.Бланк заказа NEW'!$B$19:$B$201)-COUNT('Бланк OLD 0.8 04'!$B$18:$B$200),'Бланк OLD 2.0 04 '!$B$16:$K$200,6,0)="","",VLOOKUP($A53-COUNT('Шаг2.Бланк заказа NEW'!$B$19:$B$201)-COUNT('Бланк OLD 0.8 04'!$B$18:$B$200),'Бланк OLD 2.0 04 '!$B$16:$K$200,6,0)))</f>
        <v/>
      </c>
      <c r="J53" s="177" t="str">
        <f ca="1">IF(IF(T53="","",IF(T53=1,SUMIFS('Шаг1.Выбор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плиты'!C:Q,12,0)),1))))))=0,
T53,
IF(T53="","",IF(T53=1,SUMIFS('Шаг1.Выбор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плиты'!N:N,T53,'Шаг1.Выбор плиты'!M:M,SMALL(INDIRECT("мм"&amp;VLOOKUP(C53,'Шаг1.Выбор плиты'!C:Q,12,0)),1)))))))</f>
        <v/>
      </c>
      <c r="K53" s="177" t="str">
        <f ca="1">IF(IF(U53="","",IF(U53=1,SUMIFS('Шаг1.Выбор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плиты'!C:Q,12,0)),1))))))=0,
U53,
IF(U53="","",IF(U53=1,SUMIFS('Шаг1.Выбор плиты'!$G:$G,'Шаг1.Выбор плиты'!J:J,"*"&amp;RIGHT(VLOOKUP(C53,'Шаг1.Выбор плиты'!C:Q,8,0),4),'Шаг1.Выбор плиты'!L:L,IF(MID(C53,1,6)="ЛДСП P","TM"&amp;MID(VLOOKUP(C53,'Шаг1.Выбор плиты'!C:Q,10,0),3,2),MID(VLOOKUP(C53,'Шаг1.Выбор плиты'!C:Q,10,0),1,2)),
'Шаг1.Выбор плиты'!N:N,1),IF(SUMIFS('Шаг1.Выбор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плиты'!C:Q,12,0)),1))=0,
IF(SUMIFS('Шаг1.Выбор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плиты'!C:Q,12,0)),2))=0,
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плиты'!C:Q,12,0)),3)),
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плиты'!C:Q,12,0)),2))),
(SUMIFS('Шаг1.Выбор плиты'!$G:$G,'Шаг1.Выбор плиты'!J:J,"*"&amp;RIGHT(VLOOKUP(C53,'Шаг1.Выбор плиты'!C:Q,8,0),4),'Шаг1.Выбор плиты'!L:L,VLOOKUP(C53,'Шаг1.Выбор плиты'!C:Q,10,0),'Шаг1.Выбор плиты'!N:N,U53,'Шаг1.Выбор плиты'!M:M,SMALL(INDIRECT("мм"&amp;VLOOKUP(C53,'Шаг1.Выбор плиты'!C:Q,12,0)),1)))))))</f>
        <v/>
      </c>
      <c r="L53" s="147" t="str">
        <f ca="1">IFERROR(IFERROR(IF(VLOOKUP($A53,'Шаг2.Бланк заказа NEW'!$B$17:$N$201,9,0)="","",VLOOKUP($A53,'Шаг2.Бланк заказа NEW'!$B$17:$N$201,9,0)),
IF(VLOOKUP($A53-COUNT('Шаг2.Бланк заказа NEW'!$B$19:$B$201),'Бланк OLD 0.8 04'!$B$12:$K$200,9,0)="","",VLOOKUP($A53-COUNT('Шаг2.Бланк заказа NEW'!$B$19:$B$201),'Бланк OLD 0.8 04'!$B$12:$K$200,9,0))),
IF(VLOOKUP($A53-COUNT('Шаг2.Бланк заказа NEW'!$B$19:$B$201)-COUNT('Бланк OLD 0.8 04'!$B$18:$B$200),'Бланк OLD 2.0 04 '!$B$16:$K$200,9,0)="","",VLOOKUP($A53-COUNT('Шаг2.Бланк заказа NEW'!$B$19:$B$201)-COUNT('Бланк OLD 0.8 04'!$B$18:$B$200),'Бланк OLD 2.0 04 '!$B$16:$K$200,9,0)))</f>
        <v/>
      </c>
      <c r="M53" s="154" t="str">
        <f t="shared" ca="1" si="5"/>
        <v/>
      </c>
      <c r="N53" s="153" t="str">
        <f ca="1">IFERROR(IF(VLOOKUP($A53,'Шаг2.Бланк заказа NEW'!$B$17:$N$201,11,0)="","",VLOOKUP($A53,'Шаг2.Бланк заказа NEW'!$B$17:$N$201,11,0)),
"Нет")</f>
        <v/>
      </c>
      <c r="O53" s="147" t="str">
        <f ca="1">IFERROR(IF(VLOOKUP($A53,'Шаг2.Бланк заказа NEW'!$B$17:$N$201,11,0)="","",VLOOKUP($A53,'Шаг2.Бланк заказа NEW'!$B$17:$N$201,12,0)),
"Нет")</f>
        <v/>
      </c>
      <c r="P53" s="153" t="str">
        <f ca="1">IFERROR(IF(VLOOKUP($A53,'Шаг2.Бланк заказа NEW'!$B$17:$N$201,13,0)="","",VLOOKUP($A53,'Шаг2.Бланк заказа NEW'!$B$17:$N$201,13,0)),
"Нет")</f>
        <v/>
      </c>
      <c r="Q53" s="147" t="str">
        <f ca="1">IFERROR(IF(VLOOKUP($A53,'Шаг2.Бланк заказа NEW'!$B$17:$O$201,14,0)="","",VLOOKUP($A53,'Шаг2.Бланк заказа NEW'!$B$17:$O$201,14,0)),"")</f>
        <v/>
      </c>
      <c r="R53" s="147" t="str">
        <f ca="1">IFERROR(IFERROR(IF(VLOOKUP($A53,'Шаг2.Бланк заказа NEW'!$B$17:$N$201,4,0)="","",VLOOKUP($A53,'Шаг2.Бланк заказа NEW'!$B$17:$N$201,4,0)),
IF(VLOOKUP($A53-COUNT('Шаг2.Бланк заказа NEW'!$B$19:$B$201),'Бланк OLD 0.8 04'!$B$12:$K$200,4,0)&gt;0,0.8,
IF(VLOOKUP($A53-COUNT('Шаг2.Бланк заказа NEW'!$B$19:$B$201),'Бланк OLD 0.8 04'!$B$12:$K$200,5,0)&gt;0,0.4,""))),
IF(VLOOKUP($A53-COUNT('Шаг2.Бланк заказа NEW'!$B$19:$B$201)-COUNT('Бланк OLD 0.8 04'!$B$18:$B$200),'Бланк OLD 2.0 04 '!$B$16:$K$200,4,0)&gt;0,2,IF(VLOOKUP($A53-COUNT('Шаг2.Бланк заказа NEW'!$B$19:$B$201)-COUNT('Бланк OLD 0.8 04'!$B$18:$B$200),'Бланк OLD 2.0 04 '!$B$16:$K$200,5,0)&gt;0,0.4,"")))</f>
        <v/>
      </c>
      <c r="S53" s="147" t="str">
        <f ca="1">IFERROR(IFERROR(IF(VLOOKUP($A53,'Шаг2.Бланк заказа NEW'!$B$17:$N$201,5,0)="","",VLOOKUP($A53,'Шаг2.Бланк заказа NEW'!$B$17:$N$201,5,0)),
IF(VLOOKUP($A53-COUNT('Шаг2.Бланк заказа NEW'!$B$19:$B$201),'Бланк OLD 0.8 04'!$B$12:$K$200,4,0)&gt;1,0.8,
IF(VLOOKUP($A53-COUNT('Шаг2.Бланк заказа NEW'!$B$19:$B$201),'Бланк OLD 0.8 04'!$B$12:$K$200,5,0)&gt;1,0.4,
IF(AND(VLOOKUP($A53-COUNT('Шаг2.Бланк заказа NEW'!$B$19:$B$201),'Бланк OLD 0.8 04'!$B$12:$K$200,4,0)&gt;0,VLOOKUP($A53-COUNT('Шаг2.Бланк заказа NEW'!$B$19:$B$201),'Бланк OLD 0.8 04'!$B$12:$K$200,5,0)&gt;0),0.4,"")))),
IF(VLOOKUP($A53-COUNT('Шаг2.Бланк заказа NEW'!$B$19:$B$201)-COUNT('Бланк OLD 0.8 04'!$B$18:$B$200),'Бланк OLD 2.0 04 '!$B$16:$K$200,4,0)&gt;1,2,
IF(VLOOKUP($A53-COUNT('Шаг2.Бланк заказа NEW'!$B$19:$B$201)-COUNT('Бланк OLD 0.8 04'!$B$18:$B$200),'Бланк OLD 2.0 04 '!$B$16:$K$200,5,0)&gt;1,0.4,IF(AND(VLOOKUP($A53-COUNT('Шаг2.Бланк заказа NEW'!$B$19:$B$201)-COUNT('Бланк OLD 0.8 04'!$B$18:$B$200),'Бланк OLD 2.0 04 '!$B$16:$K$200,4,0)&gt;0,VLOOKUP($A53-COUNT('Шаг2.Бланк заказа NEW'!$B$19:$B$201)-COUNT('Бланк OLD 0.8 04'!$B$18:$B$200),'Бланк OLD 2.0 04 '!$B$16:$K$200,5,0)&gt;0),0.4,""))))</f>
        <v/>
      </c>
      <c r="T53" s="147" t="str">
        <f ca="1">IFERROR(IFERROR(IF(VLOOKUP($A53,'Шаг2.Бланк заказа NEW'!$B$17:$N$201,7,0)="","",VLOOKUP($A53,'Шаг2.Бланк заказа NEW'!$B$17:$N$201,7,0)),
IF(VLOOKUP($A53-COUNT('Шаг2.Бланк заказа NEW'!$B$19:$B$201),'Бланк OLD 0.8 04'!$B$12:$K$200,7,0)&gt;0,0.8,
IF(VLOOKUP($A53-COUNT('Шаг2.Бланк заказа NEW'!$B$19:$B$201),'Бланк OLD 0.8 04'!$B$12:$K$200,8,0)&gt;0,0.4,""))),
IF(VLOOKUP($A53-COUNT('Шаг2.Бланк заказа NEW'!$B$19:$B$201)-COUNT('Бланк OLD 0.8 04'!$B$18:$B$200),'Бланк OLD 2.0 04 '!$B$16:$K$200,7,0)&gt;0,2,IF(VLOOKUP($A53-COUNT('Шаг2.Бланк заказа NEW'!$B$19:$B$201)-COUNT('Бланк OLD 0.8 04'!$B$18:$B$200),'Бланк OLD 2.0 04 '!$B$16:$K$200,8,0)&gt;0,0.4,"")))</f>
        <v/>
      </c>
      <c r="U53" s="147" t="str">
        <f ca="1">IFERROR(IFERROR(IF(VLOOKUP($A53,'Шаг2.Бланк заказа NEW'!$B$17:$N$201,8,0)="","",VLOOKUP($A53,'Шаг2.Бланк заказа NEW'!$B$17:$N$201,8,0)),
IF(VLOOKUP($A53-COUNT('Шаг2.Бланк заказа NEW'!$B$19:$B$201),'Бланк OLD 0.8 04'!$B$12:$K$200,7,0)&gt;1,0.8,
IF(VLOOKUP($A53-COUNT('Шаг2.Бланк заказа NEW'!$B$19:$B$201),'Бланк OLD 0.8 04'!$B$12:$K$200,8,0)&gt;1,0.4,
IF(AND(VLOOKUP($A53-COUNT('Шаг2.Бланк заказа NEW'!$B$19:$B$201),'Бланк OLD 0.8 04'!$B$12:$K$200,7,0)&gt;0,VLOOKUP($A53-COUNT('Шаг2.Бланк заказа NEW'!$B$19:$B$201),'Бланк OLD 0.8 04'!$B$12:$K$200,8,0)&gt;0),0.4,"")))),
IF(VLOOKUP($A53-COUNT('Шаг2.Бланк заказа NEW'!$B$19:$B$201)-COUNT('Бланк OLD 0.8 04'!$B$18:$B$200),'Бланк OLD 2.0 04 '!$B$16:$K$200,7,0)&gt;1,2,
IF(VLOOKUP($A53-COUNT('Шаг2.Бланк заказа NEW'!$B$19:$B$201)-COUNT('Бланк OLD 0.8 04'!$B$18:$B$200),'Бланк OLD 2.0 04 '!$B$16:$K$200,8,0)&gt;1,0.4,
IF(AND(VLOOKUP($A53-COUNT('Шаг2.Бланк заказа NEW'!$B$19:$B$201)-COUNT('Бланк OLD 0.8 04'!$B$18:$B$200),'Бланк OLD 2.0 04 '!$B$16:$K$200,7,0)&gt;0,VLOOKUP($A53-COUNT('Шаг2.Бланк заказа NEW'!$B$19:$B$201)-COUNT('Бланк OLD 0.8 04'!$B$18:$B$200),'Бланк OLD 2.0 04 '!$B$16:$K$200,8,0)&gt;0),0.4,""))))</f>
        <v/>
      </c>
      <c r="V53" s="146" t="str">
        <f ca="1">IFERROR(VLOOKUP(C53,'Шаг1.Выбор плиты'!C:S,12,0),"")</f>
        <v/>
      </c>
      <c r="W53" s="146" t="str">
        <f ca="1">IFERROR(VLOOKUP(C53,'Шаг1.Выбор плиты'!C:S,8,0),"")</f>
        <v/>
      </c>
      <c r="X53" s="146" t="str">
        <f ca="1">IFERROR(VLOOKUP(C53,'Шаг1.Выбор плиты'!C:S,10,0),"")</f>
        <v/>
      </c>
      <c r="Y53" s="147" t="str">
        <f t="shared" ca="1" si="1"/>
        <v/>
      </c>
      <c r="AD53" s="147" t="str">
        <f t="shared" ca="1" si="6"/>
        <v/>
      </c>
      <c r="AE53" s="147" t="str">
        <f t="shared" ca="1" si="3"/>
        <v/>
      </c>
      <c r="AF53" s="25"/>
      <c r="AH53" s="147" t="str">
        <f ca="1">IF(C53="","",VLOOKUP(C53,'Шаг1.Выбор плиты'!C:Q,7,0))</f>
        <v/>
      </c>
      <c r="AI53" s="147" t="str">
        <f t="shared" ca="1" si="7"/>
        <v/>
      </c>
    </row>
    <row r="54" spans="1:35" x14ac:dyDescent="0.2">
      <c r="A54" s="151" t="str">
        <f ca="1">IF(C54="","",MAX($A$1:OFFSET(C54,-1,0))+1)</f>
        <v/>
      </c>
      <c r="B54" s="151" t="str">
        <f ca="1">IFERROR(IFERROR(IFERROR("Шаг2.Бланк заказа NEW №"&amp;VLOOKUP(A53+1,CHOOSE({1,2},'Шаг2.Бланк заказа NEW'!$B$19:$B$201,'Шаг2.Бланк заказа NEW'!$A$19:$A$201),1,0),
"Бланк OLD 0.8 04 №"&amp;VLOOKUP(A53+1-COUNT('Шаг2.Бланк заказа NEW'!$B$19:$B$201),CHOOSE({1,2},'Бланк OLD 0.8 04'!$B$18:$B$200,'Бланк OLD 0.8 04'!$A$18:$A$200),1,0)),
"Бланк OLD 2.0 04 №"&amp;VLOOKUP(A53+1-COUNT('Шаг2.Бланк заказа NEW'!$B$19:$B$201)-COUNT('Бланк OLD 0.8 04'!$B$18:$B$200),CHOOSE({1,2},'Бланк OLD 2.0 04 '!$B$18:$B$200,'Бланк OLD 2.0 04 '!$A$18:$A$200),1,0)),"")</f>
        <v/>
      </c>
      <c r="C54" s="152" t="str">
        <f ca="1">IFERROR(IFERROR(IFERROR(VLOOKUP(A53+1,CHOOSE({1,2},'Шаг2.Бланк заказа NEW'!$B$19:$B$201,'Шаг2.Бланк заказа NEW'!$A$19:$A$201),2,0),
VLOOKUP(A53+1-COUNT('Шаг2.Бланк заказа NEW'!$B$19:$B$201),CHOOSE({1,2},'Бланк OLD 0.8 04'!$B$18:$B$200,'Бланк OLD 0.8 04'!$A$18:$A$200),2,0)),
VLOOKUP(A53+1-COUNT('Шаг2.Бланк заказа NEW'!$B$19:$B$201)-COUNT('Бланк OLD 0.8 04'!$B$18:$B$200),CHOOSE({1,2},'Бланк OLD 2.0 04 '!$B$18:$B$200,'Бланк OLD 2.0 04 '!$A$18:$A$200),2,0)),"")</f>
        <v/>
      </c>
      <c r="D54" s="150" t="str">
        <f ca="1">IFERROR(VLOOKUP(C54,'Шаг1.Выбор плиты'!C:G,5,0),"")</f>
        <v/>
      </c>
      <c r="E54" s="147" t="str">
        <f ca="1">IFERROR(IFERROR(IF(VLOOKUP($A54,'Шаг2.Бланк заказа NEW'!$B$17:$N$201,2,0)="","",VLOOKUP($A54,'Шаг2.Бланк заказа NEW'!$B$17:$N$201,2,0)),
IF(VLOOKUP($A54-COUNT('Шаг2.Бланк заказа NEW'!$B$19:$B$201),'Бланк OLD 0.8 04'!$B$12:$K$200,2,0)="","",VLOOKUP($A54-COUNT('Шаг2.Бланк заказа NEW'!$B$19:$B$201),'Бланк OLD 0.8 04'!$B$12:$K$200,2,0))),
IF(VLOOKUP($A54-COUNT('Шаг2.Бланк заказа NEW'!$B$19:$B$201)-COUNT('Бланк OLD 0.8 04'!$B$18:$B$200),'Бланк OLD 2.0 04 '!$B$16:$K$200,2,0)="","",VLOOKUP($A54-COUNT('Шаг2.Бланк заказа NEW'!$B$19:$B$201)-COUNT('Бланк OLD 0.8 04'!$B$18:$B$200),'Бланк OLD 2.0 04 '!$B$16:$K$200,2,0)))</f>
        <v/>
      </c>
      <c r="F54" s="147" t="str">
        <f ca="1">IFERROR(IFERROR(IF(VLOOKUP($A54,'Шаг2.Бланк заказа NEW'!$B$17:$N$201,3,0)="","",VLOOKUP($A54,'Шаг2.Бланк заказа NEW'!$B$17:$N$201,3,0)),
IF(VLOOKUP($A54-COUNT('Шаг2.Бланк заказа NEW'!$B$19:$B$201),'Бланк OLD 0.8 04'!$B$12:$K$200,3,0)="","",VLOOKUP($A54-COUNT('Шаг2.Бланк заказа NEW'!$B$19:$B$201),'Бланк OLD 0.8 04'!$B$12:$K$200,3,0))),
IF(VLOOKUP($A54-COUNT('Шаг2.Бланк заказа NEW'!$B$19:$B$201)-COUNT('Бланк OLD 0.8 04'!$B$18:$B$200),'Бланк OLD 2.0 04 '!$B$16:$K$200,3,0)="","",VLOOKUP($A54-COUNT('Шаг2.Бланк заказа NEW'!$B$19:$B$201)-COUNT('Бланк OLD 0.8 04'!$B$18:$B$200),'Бланк OLD 2.0 04 '!$B$16:$K$200,3,0)))</f>
        <v/>
      </c>
      <c r="G54" s="176" t="str">
        <f ca="1">IF(IF(R54="","",IF(R54=1,SUMIFS('Шаг1.Выбор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плиты'!C:Q,12,0)),1))))))=0,
R54,
IF(R54="","",IF(R54=1,SUMIFS('Шаг1.Выбор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плиты'!N:N,R54,'Шаг1.Выбор плиты'!M:M,SMALL(INDIRECT("мм"&amp;VLOOKUP(C54,'Шаг1.Выбор плиты'!C:Q,12,0)),1)))))))</f>
        <v/>
      </c>
      <c r="H54" s="177" t="str">
        <f ca="1">IF(IF(S54="","",IF(S54=1,SUMIFS('Шаг1.Выбор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плиты'!C:Q,12,0)),1))))))=0,
S54,
IF(S54="","",IF(S54=1,SUMIFS('Шаг1.Выбор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плиты'!N:N,S54,'Шаг1.Выбор плиты'!M:M,SMALL(INDIRECT("мм"&amp;VLOOKUP(C54,'Шаг1.Выбор плиты'!C:Q,12,0)),1)))))))</f>
        <v/>
      </c>
      <c r="I54" s="147" t="str">
        <f ca="1">IFERROR(IFERROR(IF(VLOOKUP($A54,'Шаг2.Бланк заказа NEW'!$B$17:$N$201,6,0)="","",VLOOKUP($A54,'Шаг2.Бланк заказа NEW'!$B$17:$N$201,6,0)),
IF(VLOOKUP($A54-COUNT('Шаг2.Бланк заказа NEW'!$B$19:$B$201),'Бланк OLD 0.8 04'!$B$12:$K$200,6,0)="","",VLOOKUP($A54-COUNT('Шаг2.Бланк заказа NEW'!$B$19:$B$201),'Бланк OLD 0.8 04'!$B$12:$K$200,6,0))),
IF(VLOOKUP($A54-COUNT('Шаг2.Бланк заказа NEW'!$B$19:$B$201)-COUNT('Бланк OLD 0.8 04'!$B$18:$B$200),'Бланк OLD 2.0 04 '!$B$16:$K$200,6,0)="","",VLOOKUP($A54-COUNT('Шаг2.Бланк заказа NEW'!$B$19:$B$201)-COUNT('Бланк OLD 0.8 04'!$B$18:$B$200),'Бланк OLD 2.0 04 '!$B$16:$K$200,6,0)))</f>
        <v/>
      </c>
      <c r="J54" s="177" t="str">
        <f ca="1">IF(IF(T54="","",IF(T54=1,SUMIFS('Шаг1.Выбор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плиты'!C:Q,12,0)),1))))))=0,
T54,
IF(T54="","",IF(T54=1,SUMIFS('Шаг1.Выбор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плиты'!N:N,T54,'Шаг1.Выбор плиты'!M:M,SMALL(INDIRECT("мм"&amp;VLOOKUP(C54,'Шаг1.Выбор плиты'!C:Q,12,0)),1)))))))</f>
        <v/>
      </c>
      <c r="K54" s="177" t="str">
        <f ca="1">IF(IF(U54="","",IF(U54=1,SUMIFS('Шаг1.Выбор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плиты'!C:Q,12,0)),1))))))=0,
U54,
IF(U54="","",IF(U54=1,SUMIFS('Шаг1.Выбор плиты'!$G:$G,'Шаг1.Выбор плиты'!J:J,"*"&amp;RIGHT(VLOOKUP(C54,'Шаг1.Выбор плиты'!C:Q,8,0),4),'Шаг1.Выбор плиты'!L:L,IF(MID(C54,1,6)="ЛДСП P","TM"&amp;MID(VLOOKUP(C54,'Шаг1.Выбор плиты'!C:Q,10,0),3,2),MID(VLOOKUP(C54,'Шаг1.Выбор плиты'!C:Q,10,0),1,2)),
'Шаг1.Выбор плиты'!N:N,1),IF(SUMIFS('Шаг1.Выбор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плиты'!C:Q,12,0)),1))=0,
IF(SUMIFS('Шаг1.Выбор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плиты'!C:Q,12,0)),2))=0,
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плиты'!C:Q,12,0)),3)),
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плиты'!C:Q,12,0)),2))),
(SUMIFS('Шаг1.Выбор плиты'!$G:$G,'Шаг1.Выбор плиты'!J:J,"*"&amp;RIGHT(VLOOKUP(C54,'Шаг1.Выбор плиты'!C:Q,8,0),4),'Шаг1.Выбор плиты'!L:L,VLOOKUP(C54,'Шаг1.Выбор плиты'!C:Q,10,0),'Шаг1.Выбор плиты'!N:N,U54,'Шаг1.Выбор плиты'!M:M,SMALL(INDIRECT("мм"&amp;VLOOKUP(C54,'Шаг1.Выбор плиты'!C:Q,12,0)),1)))))))</f>
        <v/>
      </c>
      <c r="L54" s="147" t="str">
        <f ca="1">IFERROR(IFERROR(IF(VLOOKUP($A54,'Шаг2.Бланк заказа NEW'!$B$17:$N$201,9,0)="","",VLOOKUP($A54,'Шаг2.Бланк заказа NEW'!$B$17:$N$201,9,0)),
IF(VLOOKUP($A54-COUNT('Шаг2.Бланк заказа NEW'!$B$19:$B$201),'Бланк OLD 0.8 04'!$B$12:$K$200,9,0)="","",VLOOKUP($A54-COUNT('Шаг2.Бланк заказа NEW'!$B$19:$B$201),'Бланк OLD 0.8 04'!$B$12:$K$200,9,0))),
IF(VLOOKUP($A54-COUNT('Шаг2.Бланк заказа NEW'!$B$19:$B$201)-COUNT('Бланк OLD 0.8 04'!$B$18:$B$200),'Бланк OLD 2.0 04 '!$B$16:$K$200,9,0)="","",VLOOKUP($A54-COUNT('Шаг2.Бланк заказа NEW'!$B$19:$B$201)-COUNT('Бланк OLD 0.8 04'!$B$18:$B$200),'Бланк OLD 2.0 04 '!$B$16:$K$200,9,0)))</f>
        <v/>
      </c>
      <c r="M54" s="154" t="str">
        <f t="shared" ca="1" si="5"/>
        <v/>
      </c>
      <c r="N54" s="153" t="str">
        <f ca="1">IFERROR(IF(VLOOKUP($A54,'Шаг2.Бланк заказа NEW'!$B$17:$N$201,11,0)="","",VLOOKUP($A54,'Шаг2.Бланк заказа NEW'!$B$17:$N$201,11,0)),
"Нет")</f>
        <v/>
      </c>
      <c r="O54" s="147" t="str">
        <f ca="1">IFERROR(IF(VLOOKUP($A54,'Шаг2.Бланк заказа NEW'!$B$17:$N$201,11,0)="","",VLOOKUP($A54,'Шаг2.Бланк заказа NEW'!$B$17:$N$201,12,0)),
"Нет")</f>
        <v/>
      </c>
      <c r="P54" s="153" t="str">
        <f ca="1">IFERROR(IF(VLOOKUP($A54,'Шаг2.Бланк заказа NEW'!$B$17:$N$201,13,0)="","",VLOOKUP($A54,'Шаг2.Бланк заказа NEW'!$B$17:$N$201,13,0)),
"Нет")</f>
        <v/>
      </c>
      <c r="Q54" s="147" t="str">
        <f ca="1">IFERROR(IF(VLOOKUP($A54,'Шаг2.Бланк заказа NEW'!$B$17:$O$201,14,0)="","",VLOOKUP($A54,'Шаг2.Бланк заказа NEW'!$B$17:$O$201,14,0)),"")</f>
        <v/>
      </c>
      <c r="R54" s="147" t="str">
        <f ca="1">IFERROR(IFERROR(IF(VLOOKUP($A54,'Шаг2.Бланк заказа NEW'!$B$17:$N$201,4,0)="","",VLOOKUP($A54,'Шаг2.Бланк заказа NEW'!$B$17:$N$201,4,0)),
IF(VLOOKUP($A54-COUNT('Шаг2.Бланк заказа NEW'!$B$19:$B$201),'Бланк OLD 0.8 04'!$B$12:$K$200,4,0)&gt;0,0.8,
IF(VLOOKUP($A54-COUNT('Шаг2.Бланк заказа NEW'!$B$19:$B$201),'Бланк OLD 0.8 04'!$B$12:$K$200,5,0)&gt;0,0.4,""))),
IF(VLOOKUP($A54-COUNT('Шаг2.Бланк заказа NEW'!$B$19:$B$201)-COUNT('Бланк OLD 0.8 04'!$B$18:$B$200),'Бланк OLD 2.0 04 '!$B$16:$K$200,4,0)&gt;0,2,IF(VLOOKUP($A54-COUNT('Шаг2.Бланк заказа NEW'!$B$19:$B$201)-COUNT('Бланк OLD 0.8 04'!$B$18:$B$200),'Бланк OLD 2.0 04 '!$B$16:$K$200,5,0)&gt;0,0.4,"")))</f>
        <v/>
      </c>
      <c r="S54" s="147" t="str">
        <f ca="1">IFERROR(IFERROR(IF(VLOOKUP($A54,'Шаг2.Бланк заказа NEW'!$B$17:$N$201,5,0)="","",VLOOKUP($A54,'Шаг2.Бланк заказа NEW'!$B$17:$N$201,5,0)),
IF(VLOOKUP($A54-COUNT('Шаг2.Бланк заказа NEW'!$B$19:$B$201),'Бланк OLD 0.8 04'!$B$12:$K$200,4,0)&gt;1,0.8,
IF(VLOOKUP($A54-COUNT('Шаг2.Бланк заказа NEW'!$B$19:$B$201),'Бланк OLD 0.8 04'!$B$12:$K$200,5,0)&gt;1,0.4,
IF(AND(VLOOKUP($A54-COUNT('Шаг2.Бланк заказа NEW'!$B$19:$B$201),'Бланк OLD 0.8 04'!$B$12:$K$200,4,0)&gt;0,VLOOKUP($A54-COUNT('Шаг2.Бланк заказа NEW'!$B$19:$B$201),'Бланк OLD 0.8 04'!$B$12:$K$200,5,0)&gt;0),0.4,"")))),
IF(VLOOKUP($A54-COUNT('Шаг2.Бланк заказа NEW'!$B$19:$B$201)-COUNT('Бланк OLD 0.8 04'!$B$18:$B$200),'Бланк OLD 2.0 04 '!$B$16:$K$200,4,0)&gt;1,2,
IF(VLOOKUP($A54-COUNT('Шаг2.Бланк заказа NEW'!$B$19:$B$201)-COUNT('Бланк OLD 0.8 04'!$B$18:$B$200),'Бланк OLD 2.0 04 '!$B$16:$K$200,5,0)&gt;1,0.4,IF(AND(VLOOKUP($A54-COUNT('Шаг2.Бланк заказа NEW'!$B$19:$B$201)-COUNT('Бланк OLD 0.8 04'!$B$18:$B$200),'Бланк OLD 2.0 04 '!$B$16:$K$200,4,0)&gt;0,VLOOKUP($A54-COUNT('Шаг2.Бланк заказа NEW'!$B$19:$B$201)-COUNT('Бланк OLD 0.8 04'!$B$18:$B$200),'Бланк OLD 2.0 04 '!$B$16:$K$200,5,0)&gt;0),0.4,""))))</f>
        <v/>
      </c>
      <c r="T54" s="147" t="str">
        <f ca="1">IFERROR(IFERROR(IF(VLOOKUP($A54,'Шаг2.Бланк заказа NEW'!$B$17:$N$201,7,0)="","",VLOOKUP($A54,'Шаг2.Бланк заказа NEW'!$B$17:$N$201,7,0)),
IF(VLOOKUP($A54-COUNT('Шаг2.Бланк заказа NEW'!$B$19:$B$201),'Бланк OLD 0.8 04'!$B$12:$K$200,7,0)&gt;0,0.8,
IF(VLOOKUP($A54-COUNT('Шаг2.Бланк заказа NEW'!$B$19:$B$201),'Бланк OLD 0.8 04'!$B$12:$K$200,8,0)&gt;0,0.4,""))),
IF(VLOOKUP($A54-COUNT('Шаг2.Бланк заказа NEW'!$B$19:$B$201)-COUNT('Бланк OLD 0.8 04'!$B$18:$B$200),'Бланк OLD 2.0 04 '!$B$16:$K$200,7,0)&gt;0,2,IF(VLOOKUP($A54-COUNT('Шаг2.Бланк заказа NEW'!$B$19:$B$201)-COUNT('Бланк OLD 0.8 04'!$B$18:$B$200),'Бланк OLD 2.0 04 '!$B$16:$K$200,8,0)&gt;0,0.4,"")))</f>
        <v/>
      </c>
      <c r="U54" s="147" t="str">
        <f ca="1">IFERROR(IFERROR(IF(VLOOKUP($A54,'Шаг2.Бланк заказа NEW'!$B$17:$N$201,8,0)="","",VLOOKUP($A54,'Шаг2.Бланк заказа NEW'!$B$17:$N$201,8,0)),
IF(VLOOKUP($A54-COUNT('Шаг2.Бланк заказа NEW'!$B$19:$B$201),'Бланк OLD 0.8 04'!$B$12:$K$200,7,0)&gt;1,0.8,
IF(VLOOKUP($A54-COUNT('Шаг2.Бланк заказа NEW'!$B$19:$B$201),'Бланк OLD 0.8 04'!$B$12:$K$200,8,0)&gt;1,0.4,
IF(AND(VLOOKUP($A54-COUNT('Шаг2.Бланк заказа NEW'!$B$19:$B$201),'Бланк OLD 0.8 04'!$B$12:$K$200,7,0)&gt;0,VLOOKUP($A54-COUNT('Шаг2.Бланк заказа NEW'!$B$19:$B$201),'Бланк OLD 0.8 04'!$B$12:$K$200,8,0)&gt;0),0.4,"")))),
IF(VLOOKUP($A54-COUNT('Шаг2.Бланк заказа NEW'!$B$19:$B$201)-COUNT('Бланк OLD 0.8 04'!$B$18:$B$200),'Бланк OLD 2.0 04 '!$B$16:$K$200,7,0)&gt;1,2,
IF(VLOOKUP($A54-COUNT('Шаг2.Бланк заказа NEW'!$B$19:$B$201)-COUNT('Бланк OLD 0.8 04'!$B$18:$B$200),'Бланк OLD 2.0 04 '!$B$16:$K$200,8,0)&gt;1,0.4,
IF(AND(VLOOKUP($A54-COUNT('Шаг2.Бланк заказа NEW'!$B$19:$B$201)-COUNT('Бланк OLD 0.8 04'!$B$18:$B$200),'Бланк OLD 2.0 04 '!$B$16:$K$200,7,0)&gt;0,VLOOKUP($A54-COUNT('Шаг2.Бланк заказа NEW'!$B$19:$B$201)-COUNT('Бланк OLD 0.8 04'!$B$18:$B$200),'Бланк OLD 2.0 04 '!$B$16:$K$200,8,0)&gt;0),0.4,""))))</f>
        <v/>
      </c>
      <c r="V54" s="146" t="str">
        <f ca="1">IFERROR(VLOOKUP(C54,'Шаг1.Выбор плиты'!C:S,12,0),"")</f>
        <v/>
      </c>
      <c r="W54" s="146" t="str">
        <f ca="1">IFERROR(VLOOKUP(C54,'Шаг1.Выбор плиты'!C:S,8,0),"")</f>
        <v/>
      </c>
      <c r="X54" s="146" t="str">
        <f ca="1">IFERROR(VLOOKUP(C54,'Шаг1.Выбор плиты'!C:S,10,0),"")</f>
        <v/>
      </c>
      <c r="Y54" s="147" t="str">
        <f t="shared" ca="1" si="1"/>
        <v/>
      </c>
      <c r="AD54" s="147" t="str">
        <f t="shared" ca="1" si="6"/>
        <v/>
      </c>
      <c r="AE54" s="147" t="str">
        <f t="shared" ca="1" si="3"/>
        <v/>
      </c>
      <c r="AF54" s="25"/>
      <c r="AH54" s="147" t="str">
        <f ca="1">IF(C54="","",VLOOKUP(C54,'Шаг1.Выбор плиты'!C:Q,7,0))</f>
        <v/>
      </c>
      <c r="AI54" s="147" t="str">
        <f t="shared" ca="1" si="7"/>
        <v/>
      </c>
    </row>
    <row r="55" spans="1:35" x14ac:dyDescent="0.2">
      <c r="A55" s="151" t="str">
        <f ca="1">IF(C55="","",MAX($A$1:OFFSET(C55,-1,0))+1)</f>
        <v/>
      </c>
      <c r="B55" s="151" t="str">
        <f ca="1">IFERROR(IFERROR(IFERROR("Шаг2.Бланк заказа NEW №"&amp;VLOOKUP(A54+1,CHOOSE({1,2},'Шаг2.Бланк заказа NEW'!$B$19:$B$201,'Шаг2.Бланк заказа NEW'!$A$19:$A$201),1,0),
"Бланк OLD 0.8 04 №"&amp;VLOOKUP(A54+1-COUNT('Шаг2.Бланк заказа NEW'!$B$19:$B$201),CHOOSE({1,2},'Бланк OLD 0.8 04'!$B$18:$B$200,'Бланк OLD 0.8 04'!$A$18:$A$200),1,0)),
"Бланк OLD 2.0 04 №"&amp;VLOOKUP(A54+1-COUNT('Шаг2.Бланк заказа NEW'!$B$19:$B$201)-COUNT('Бланк OLD 0.8 04'!$B$18:$B$200),CHOOSE({1,2},'Бланк OLD 2.0 04 '!$B$18:$B$200,'Бланк OLD 2.0 04 '!$A$18:$A$200),1,0)),"")</f>
        <v/>
      </c>
      <c r="C55" s="152" t="str">
        <f ca="1">IFERROR(IFERROR(IFERROR(VLOOKUP(A54+1,CHOOSE({1,2},'Шаг2.Бланк заказа NEW'!$B$19:$B$201,'Шаг2.Бланк заказа NEW'!$A$19:$A$201),2,0),
VLOOKUP(A54+1-COUNT('Шаг2.Бланк заказа NEW'!$B$19:$B$201),CHOOSE({1,2},'Бланк OLD 0.8 04'!$B$18:$B$200,'Бланк OLD 0.8 04'!$A$18:$A$200),2,0)),
VLOOKUP(A54+1-COUNT('Шаг2.Бланк заказа NEW'!$B$19:$B$201)-COUNT('Бланк OLD 0.8 04'!$B$18:$B$200),CHOOSE({1,2},'Бланк OLD 2.0 04 '!$B$18:$B$200,'Бланк OLD 2.0 04 '!$A$18:$A$200),2,0)),"")</f>
        <v/>
      </c>
      <c r="D55" s="150" t="str">
        <f ca="1">IFERROR(VLOOKUP(C55,'Шаг1.Выбор плиты'!C:G,5,0),"")</f>
        <v/>
      </c>
      <c r="E55" s="147" t="str">
        <f ca="1">IFERROR(IFERROR(IF(VLOOKUP($A55,'Шаг2.Бланк заказа NEW'!$B$17:$N$201,2,0)="","",VLOOKUP($A55,'Шаг2.Бланк заказа NEW'!$B$17:$N$201,2,0)),
IF(VLOOKUP($A55-COUNT('Шаг2.Бланк заказа NEW'!$B$19:$B$201),'Бланк OLD 0.8 04'!$B$12:$K$200,2,0)="","",VLOOKUP($A55-COUNT('Шаг2.Бланк заказа NEW'!$B$19:$B$201),'Бланк OLD 0.8 04'!$B$12:$K$200,2,0))),
IF(VLOOKUP($A55-COUNT('Шаг2.Бланк заказа NEW'!$B$19:$B$201)-COUNT('Бланк OLD 0.8 04'!$B$18:$B$200),'Бланк OLD 2.0 04 '!$B$16:$K$200,2,0)="","",VLOOKUP($A55-COUNT('Шаг2.Бланк заказа NEW'!$B$19:$B$201)-COUNT('Бланк OLD 0.8 04'!$B$18:$B$200),'Бланк OLD 2.0 04 '!$B$16:$K$200,2,0)))</f>
        <v/>
      </c>
      <c r="F55" s="147" t="str">
        <f ca="1">IFERROR(IFERROR(IF(VLOOKUP($A55,'Шаг2.Бланк заказа NEW'!$B$17:$N$201,3,0)="","",VLOOKUP($A55,'Шаг2.Бланк заказа NEW'!$B$17:$N$201,3,0)),
IF(VLOOKUP($A55-COUNT('Шаг2.Бланк заказа NEW'!$B$19:$B$201),'Бланк OLD 0.8 04'!$B$12:$K$200,3,0)="","",VLOOKUP($A55-COUNT('Шаг2.Бланк заказа NEW'!$B$19:$B$201),'Бланк OLD 0.8 04'!$B$12:$K$200,3,0))),
IF(VLOOKUP($A55-COUNT('Шаг2.Бланк заказа NEW'!$B$19:$B$201)-COUNT('Бланк OLD 0.8 04'!$B$18:$B$200),'Бланк OLD 2.0 04 '!$B$16:$K$200,3,0)="","",VLOOKUP($A55-COUNT('Шаг2.Бланк заказа NEW'!$B$19:$B$201)-COUNT('Бланк OLD 0.8 04'!$B$18:$B$200),'Бланк OLD 2.0 04 '!$B$16:$K$200,3,0)))</f>
        <v/>
      </c>
      <c r="G55" s="176" t="str">
        <f ca="1">IF(IF(R55="","",IF(R55=1,SUMIFS('Шаг1.Выбор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плиты'!C:Q,12,0)),1))))))=0,
R55,
IF(R55="","",IF(R55=1,SUMIFS('Шаг1.Выбор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плиты'!N:N,R55,'Шаг1.Выбор плиты'!M:M,SMALL(INDIRECT("мм"&amp;VLOOKUP(C55,'Шаг1.Выбор плиты'!C:Q,12,0)),1)))))))</f>
        <v/>
      </c>
      <c r="H55" s="177" t="str">
        <f ca="1">IF(IF(S55="","",IF(S55=1,SUMIFS('Шаг1.Выбор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плиты'!C:Q,12,0)),1))))))=0,
S55,
IF(S55="","",IF(S55=1,SUMIFS('Шаг1.Выбор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плиты'!N:N,S55,'Шаг1.Выбор плиты'!M:M,SMALL(INDIRECT("мм"&amp;VLOOKUP(C55,'Шаг1.Выбор плиты'!C:Q,12,0)),1)))))))</f>
        <v/>
      </c>
      <c r="I55" s="147" t="str">
        <f ca="1">IFERROR(IFERROR(IF(VLOOKUP($A55,'Шаг2.Бланк заказа NEW'!$B$17:$N$201,6,0)="","",VLOOKUP($A55,'Шаг2.Бланк заказа NEW'!$B$17:$N$201,6,0)),
IF(VLOOKUP($A55-COUNT('Шаг2.Бланк заказа NEW'!$B$19:$B$201),'Бланк OLD 0.8 04'!$B$12:$K$200,6,0)="","",VLOOKUP($A55-COUNT('Шаг2.Бланк заказа NEW'!$B$19:$B$201),'Бланк OLD 0.8 04'!$B$12:$K$200,6,0))),
IF(VLOOKUP($A55-COUNT('Шаг2.Бланк заказа NEW'!$B$19:$B$201)-COUNT('Бланк OLD 0.8 04'!$B$18:$B$200),'Бланк OLD 2.0 04 '!$B$16:$K$200,6,0)="","",VLOOKUP($A55-COUNT('Шаг2.Бланк заказа NEW'!$B$19:$B$201)-COUNT('Бланк OLD 0.8 04'!$B$18:$B$200),'Бланк OLD 2.0 04 '!$B$16:$K$200,6,0)))</f>
        <v/>
      </c>
      <c r="J55" s="177" t="str">
        <f ca="1">IF(IF(T55="","",IF(T55=1,SUMIFS('Шаг1.Выбор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плиты'!C:Q,12,0)),1))))))=0,
T55,
IF(T55="","",IF(T55=1,SUMIFS('Шаг1.Выбор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плиты'!N:N,T55,'Шаг1.Выбор плиты'!M:M,SMALL(INDIRECT("мм"&amp;VLOOKUP(C55,'Шаг1.Выбор плиты'!C:Q,12,0)),1)))))))</f>
        <v/>
      </c>
      <c r="K55" s="177" t="str">
        <f ca="1">IF(IF(U55="","",IF(U55=1,SUMIFS('Шаг1.Выбор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плиты'!C:Q,12,0)),1))))))=0,
U55,
IF(U55="","",IF(U55=1,SUMIFS('Шаг1.Выбор плиты'!$G:$G,'Шаг1.Выбор плиты'!J:J,"*"&amp;RIGHT(VLOOKUP(C55,'Шаг1.Выбор плиты'!C:Q,8,0),4),'Шаг1.Выбор плиты'!L:L,IF(MID(C55,1,6)="ЛДСП P","TM"&amp;MID(VLOOKUP(C55,'Шаг1.Выбор плиты'!C:Q,10,0),3,2),MID(VLOOKUP(C55,'Шаг1.Выбор плиты'!C:Q,10,0),1,2)),
'Шаг1.Выбор плиты'!N:N,1),IF(SUMIFS('Шаг1.Выбор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плиты'!C:Q,12,0)),1))=0,
IF(SUMIFS('Шаг1.Выбор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плиты'!C:Q,12,0)),2))=0,
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плиты'!C:Q,12,0)),3)),
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плиты'!C:Q,12,0)),2))),
(SUMIFS('Шаг1.Выбор плиты'!$G:$G,'Шаг1.Выбор плиты'!J:J,"*"&amp;RIGHT(VLOOKUP(C55,'Шаг1.Выбор плиты'!C:Q,8,0),4),'Шаг1.Выбор плиты'!L:L,VLOOKUP(C55,'Шаг1.Выбор плиты'!C:Q,10,0),'Шаг1.Выбор плиты'!N:N,U55,'Шаг1.Выбор плиты'!M:M,SMALL(INDIRECT("мм"&amp;VLOOKUP(C55,'Шаг1.Выбор плиты'!C:Q,12,0)),1)))))))</f>
        <v/>
      </c>
      <c r="L55" s="147" t="str">
        <f ca="1">IFERROR(IFERROR(IF(VLOOKUP($A55,'Шаг2.Бланк заказа NEW'!$B$17:$N$201,9,0)="","",VLOOKUP($A55,'Шаг2.Бланк заказа NEW'!$B$17:$N$201,9,0)),
IF(VLOOKUP($A55-COUNT('Шаг2.Бланк заказа NEW'!$B$19:$B$201),'Бланк OLD 0.8 04'!$B$12:$K$200,9,0)="","",VLOOKUP($A55-COUNT('Шаг2.Бланк заказа NEW'!$B$19:$B$201),'Бланк OLD 0.8 04'!$B$12:$K$200,9,0))),
IF(VLOOKUP($A55-COUNT('Шаг2.Бланк заказа NEW'!$B$19:$B$201)-COUNT('Бланк OLD 0.8 04'!$B$18:$B$200),'Бланк OLD 2.0 04 '!$B$16:$K$200,9,0)="","",VLOOKUP($A55-COUNT('Шаг2.Бланк заказа NEW'!$B$19:$B$201)-COUNT('Бланк OLD 0.8 04'!$B$18:$B$200),'Бланк OLD 2.0 04 '!$B$16:$K$200,9,0)))</f>
        <v/>
      </c>
      <c r="M55" s="154" t="str">
        <f t="shared" ca="1" si="5"/>
        <v/>
      </c>
      <c r="N55" s="153" t="str">
        <f ca="1">IFERROR(IF(VLOOKUP($A55,'Шаг2.Бланк заказа NEW'!$B$17:$N$201,11,0)="","",VLOOKUP($A55,'Шаг2.Бланк заказа NEW'!$B$17:$N$201,11,0)),
"Нет")</f>
        <v/>
      </c>
      <c r="O55" s="147" t="str">
        <f ca="1">IFERROR(IF(VLOOKUP($A55,'Шаг2.Бланк заказа NEW'!$B$17:$N$201,11,0)="","",VLOOKUP($A55,'Шаг2.Бланк заказа NEW'!$B$17:$N$201,12,0)),
"Нет")</f>
        <v/>
      </c>
      <c r="P55" s="153" t="str">
        <f ca="1">IFERROR(IF(VLOOKUP($A55,'Шаг2.Бланк заказа NEW'!$B$17:$N$201,13,0)="","",VLOOKUP($A55,'Шаг2.Бланк заказа NEW'!$B$17:$N$201,13,0)),
"Нет")</f>
        <v/>
      </c>
      <c r="Q55" s="147" t="str">
        <f ca="1">IFERROR(IF(VLOOKUP($A55,'Шаг2.Бланк заказа NEW'!$B$17:$O$201,14,0)="","",VLOOKUP($A55,'Шаг2.Бланк заказа NEW'!$B$17:$O$201,14,0)),"")</f>
        <v/>
      </c>
      <c r="R55" s="147" t="str">
        <f ca="1">IFERROR(IFERROR(IF(VLOOKUP($A55,'Шаг2.Бланк заказа NEW'!$B$17:$N$201,4,0)="","",VLOOKUP($A55,'Шаг2.Бланк заказа NEW'!$B$17:$N$201,4,0)),
IF(VLOOKUP($A55-COUNT('Шаг2.Бланк заказа NEW'!$B$19:$B$201),'Бланк OLD 0.8 04'!$B$12:$K$200,4,0)&gt;0,0.8,
IF(VLOOKUP($A55-COUNT('Шаг2.Бланк заказа NEW'!$B$19:$B$201),'Бланк OLD 0.8 04'!$B$12:$K$200,5,0)&gt;0,0.4,""))),
IF(VLOOKUP($A55-COUNT('Шаг2.Бланк заказа NEW'!$B$19:$B$201)-COUNT('Бланк OLD 0.8 04'!$B$18:$B$200),'Бланк OLD 2.0 04 '!$B$16:$K$200,4,0)&gt;0,2,IF(VLOOKUP($A55-COUNT('Шаг2.Бланк заказа NEW'!$B$19:$B$201)-COUNT('Бланк OLD 0.8 04'!$B$18:$B$200),'Бланк OLD 2.0 04 '!$B$16:$K$200,5,0)&gt;0,0.4,"")))</f>
        <v/>
      </c>
      <c r="S55" s="147" t="str">
        <f ca="1">IFERROR(IFERROR(IF(VLOOKUP($A55,'Шаг2.Бланк заказа NEW'!$B$17:$N$201,5,0)="","",VLOOKUP($A55,'Шаг2.Бланк заказа NEW'!$B$17:$N$201,5,0)),
IF(VLOOKUP($A55-COUNT('Шаг2.Бланк заказа NEW'!$B$19:$B$201),'Бланк OLD 0.8 04'!$B$12:$K$200,4,0)&gt;1,0.8,
IF(VLOOKUP($A55-COUNT('Шаг2.Бланк заказа NEW'!$B$19:$B$201),'Бланк OLD 0.8 04'!$B$12:$K$200,5,0)&gt;1,0.4,
IF(AND(VLOOKUP($A55-COUNT('Шаг2.Бланк заказа NEW'!$B$19:$B$201),'Бланк OLD 0.8 04'!$B$12:$K$200,4,0)&gt;0,VLOOKUP($A55-COUNT('Шаг2.Бланк заказа NEW'!$B$19:$B$201),'Бланк OLD 0.8 04'!$B$12:$K$200,5,0)&gt;0),0.4,"")))),
IF(VLOOKUP($A55-COUNT('Шаг2.Бланк заказа NEW'!$B$19:$B$201)-COUNT('Бланк OLD 0.8 04'!$B$18:$B$200),'Бланк OLD 2.0 04 '!$B$16:$K$200,4,0)&gt;1,2,
IF(VLOOKUP($A55-COUNT('Шаг2.Бланк заказа NEW'!$B$19:$B$201)-COUNT('Бланк OLD 0.8 04'!$B$18:$B$200),'Бланк OLD 2.0 04 '!$B$16:$K$200,5,0)&gt;1,0.4,IF(AND(VLOOKUP($A55-COUNT('Шаг2.Бланк заказа NEW'!$B$19:$B$201)-COUNT('Бланк OLD 0.8 04'!$B$18:$B$200),'Бланк OLD 2.0 04 '!$B$16:$K$200,4,0)&gt;0,VLOOKUP($A55-COUNT('Шаг2.Бланк заказа NEW'!$B$19:$B$201)-COUNT('Бланк OLD 0.8 04'!$B$18:$B$200),'Бланк OLD 2.0 04 '!$B$16:$K$200,5,0)&gt;0),0.4,""))))</f>
        <v/>
      </c>
      <c r="T55" s="147" t="str">
        <f ca="1">IFERROR(IFERROR(IF(VLOOKUP($A55,'Шаг2.Бланк заказа NEW'!$B$17:$N$201,7,0)="","",VLOOKUP($A55,'Шаг2.Бланк заказа NEW'!$B$17:$N$201,7,0)),
IF(VLOOKUP($A55-COUNT('Шаг2.Бланк заказа NEW'!$B$19:$B$201),'Бланк OLD 0.8 04'!$B$12:$K$200,7,0)&gt;0,0.8,
IF(VLOOKUP($A55-COUNT('Шаг2.Бланк заказа NEW'!$B$19:$B$201),'Бланк OLD 0.8 04'!$B$12:$K$200,8,0)&gt;0,0.4,""))),
IF(VLOOKUP($A55-COUNT('Шаг2.Бланк заказа NEW'!$B$19:$B$201)-COUNT('Бланк OLD 0.8 04'!$B$18:$B$200),'Бланк OLD 2.0 04 '!$B$16:$K$200,7,0)&gt;0,2,IF(VLOOKUP($A55-COUNT('Шаг2.Бланк заказа NEW'!$B$19:$B$201)-COUNT('Бланк OLD 0.8 04'!$B$18:$B$200),'Бланк OLD 2.0 04 '!$B$16:$K$200,8,0)&gt;0,0.4,"")))</f>
        <v/>
      </c>
      <c r="U55" s="147" t="str">
        <f ca="1">IFERROR(IFERROR(IF(VLOOKUP($A55,'Шаг2.Бланк заказа NEW'!$B$17:$N$201,8,0)="","",VLOOKUP($A55,'Шаг2.Бланк заказа NEW'!$B$17:$N$201,8,0)),
IF(VLOOKUP($A55-COUNT('Шаг2.Бланк заказа NEW'!$B$19:$B$201),'Бланк OLD 0.8 04'!$B$12:$K$200,7,0)&gt;1,0.8,
IF(VLOOKUP($A55-COUNT('Шаг2.Бланк заказа NEW'!$B$19:$B$201),'Бланк OLD 0.8 04'!$B$12:$K$200,8,0)&gt;1,0.4,
IF(AND(VLOOKUP($A55-COUNT('Шаг2.Бланк заказа NEW'!$B$19:$B$201),'Бланк OLD 0.8 04'!$B$12:$K$200,7,0)&gt;0,VLOOKUP($A55-COUNT('Шаг2.Бланк заказа NEW'!$B$19:$B$201),'Бланк OLD 0.8 04'!$B$12:$K$200,8,0)&gt;0),0.4,"")))),
IF(VLOOKUP($A55-COUNT('Шаг2.Бланк заказа NEW'!$B$19:$B$201)-COUNT('Бланк OLD 0.8 04'!$B$18:$B$200),'Бланк OLD 2.0 04 '!$B$16:$K$200,7,0)&gt;1,2,
IF(VLOOKUP($A55-COUNT('Шаг2.Бланк заказа NEW'!$B$19:$B$201)-COUNT('Бланк OLD 0.8 04'!$B$18:$B$200),'Бланк OLD 2.0 04 '!$B$16:$K$200,8,0)&gt;1,0.4,
IF(AND(VLOOKUP($A55-COUNT('Шаг2.Бланк заказа NEW'!$B$19:$B$201)-COUNT('Бланк OLD 0.8 04'!$B$18:$B$200),'Бланк OLD 2.0 04 '!$B$16:$K$200,7,0)&gt;0,VLOOKUP($A55-COUNT('Шаг2.Бланк заказа NEW'!$B$19:$B$201)-COUNT('Бланк OLD 0.8 04'!$B$18:$B$200),'Бланк OLD 2.0 04 '!$B$16:$K$200,8,0)&gt;0),0.4,""))))</f>
        <v/>
      </c>
      <c r="V55" s="146" t="str">
        <f ca="1">IFERROR(VLOOKUP(C55,'Шаг1.Выбор плиты'!C:S,12,0),"")</f>
        <v/>
      </c>
      <c r="W55" s="146" t="str">
        <f ca="1">IFERROR(VLOOKUP(C55,'Шаг1.Выбор плиты'!C:S,8,0),"")</f>
        <v/>
      </c>
      <c r="X55" s="146" t="str">
        <f ca="1">IFERROR(VLOOKUP(C55,'Шаг1.Выбор плиты'!C:S,10,0),"")</f>
        <v/>
      </c>
      <c r="Y55" s="147" t="str">
        <f t="shared" ca="1" si="1"/>
        <v/>
      </c>
      <c r="AD55" s="147" t="str">
        <f t="shared" ca="1" si="6"/>
        <v/>
      </c>
      <c r="AE55" s="147" t="str">
        <f t="shared" ca="1" si="3"/>
        <v/>
      </c>
      <c r="AF55" s="25"/>
      <c r="AH55" s="147" t="str">
        <f ca="1">IF(C55="","",VLOOKUP(C55,'Шаг1.Выбор плиты'!C:Q,7,0))</f>
        <v/>
      </c>
      <c r="AI55" s="147" t="str">
        <f t="shared" ca="1" si="7"/>
        <v/>
      </c>
    </row>
    <row r="56" spans="1:35" x14ac:dyDescent="0.2">
      <c r="A56" s="151" t="str">
        <f ca="1">IF(C56="","",MAX($A$1:OFFSET(C56,-1,0))+1)</f>
        <v/>
      </c>
      <c r="B56" s="151" t="str">
        <f ca="1">IFERROR(IFERROR(IFERROR("Шаг2.Бланк заказа NEW №"&amp;VLOOKUP(A55+1,CHOOSE({1,2},'Шаг2.Бланк заказа NEW'!$B$19:$B$201,'Шаг2.Бланк заказа NEW'!$A$19:$A$201),1,0),
"Бланк OLD 0.8 04 №"&amp;VLOOKUP(A55+1-COUNT('Шаг2.Бланк заказа NEW'!$B$19:$B$201),CHOOSE({1,2},'Бланк OLD 0.8 04'!$B$18:$B$200,'Бланк OLD 0.8 04'!$A$18:$A$200),1,0)),
"Бланк OLD 2.0 04 №"&amp;VLOOKUP(A55+1-COUNT('Шаг2.Бланк заказа NEW'!$B$19:$B$201)-COUNT('Бланк OLD 0.8 04'!$B$18:$B$200),CHOOSE({1,2},'Бланк OLD 2.0 04 '!$B$18:$B$200,'Бланк OLD 2.0 04 '!$A$18:$A$200),1,0)),"")</f>
        <v/>
      </c>
      <c r="C56" s="152" t="str">
        <f ca="1">IFERROR(IFERROR(IFERROR(VLOOKUP(A55+1,CHOOSE({1,2},'Шаг2.Бланк заказа NEW'!$B$19:$B$201,'Шаг2.Бланк заказа NEW'!$A$19:$A$201),2,0),
VLOOKUP(A55+1-COUNT('Шаг2.Бланк заказа NEW'!$B$19:$B$201),CHOOSE({1,2},'Бланк OLD 0.8 04'!$B$18:$B$200,'Бланк OLD 0.8 04'!$A$18:$A$200),2,0)),
VLOOKUP(A55+1-COUNT('Шаг2.Бланк заказа NEW'!$B$19:$B$201)-COUNT('Бланк OLD 0.8 04'!$B$18:$B$200),CHOOSE({1,2},'Бланк OLD 2.0 04 '!$B$18:$B$200,'Бланк OLD 2.0 04 '!$A$18:$A$200),2,0)),"")</f>
        <v/>
      </c>
      <c r="D56" s="150" t="str">
        <f ca="1">IFERROR(VLOOKUP(C56,'Шаг1.Выбор плиты'!C:G,5,0),"")</f>
        <v/>
      </c>
      <c r="E56" s="147" t="str">
        <f ca="1">IFERROR(IFERROR(IF(VLOOKUP($A56,'Шаг2.Бланк заказа NEW'!$B$17:$N$201,2,0)="","",VLOOKUP($A56,'Шаг2.Бланк заказа NEW'!$B$17:$N$201,2,0)),
IF(VLOOKUP($A56-COUNT('Шаг2.Бланк заказа NEW'!$B$19:$B$201),'Бланк OLD 0.8 04'!$B$12:$K$200,2,0)="","",VLOOKUP($A56-COUNT('Шаг2.Бланк заказа NEW'!$B$19:$B$201),'Бланк OLD 0.8 04'!$B$12:$K$200,2,0))),
IF(VLOOKUP($A56-COUNT('Шаг2.Бланк заказа NEW'!$B$19:$B$201)-COUNT('Бланк OLD 0.8 04'!$B$18:$B$200),'Бланк OLD 2.0 04 '!$B$16:$K$200,2,0)="","",VLOOKUP($A56-COUNT('Шаг2.Бланк заказа NEW'!$B$19:$B$201)-COUNT('Бланк OLD 0.8 04'!$B$18:$B$200),'Бланк OLD 2.0 04 '!$B$16:$K$200,2,0)))</f>
        <v/>
      </c>
      <c r="F56" s="147" t="str">
        <f ca="1">IFERROR(IFERROR(IF(VLOOKUP($A56,'Шаг2.Бланк заказа NEW'!$B$17:$N$201,3,0)="","",VLOOKUP($A56,'Шаг2.Бланк заказа NEW'!$B$17:$N$201,3,0)),
IF(VLOOKUP($A56-COUNT('Шаг2.Бланк заказа NEW'!$B$19:$B$201),'Бланк OLD 0.8 04'!$B$12:$K$200,3,0)="","",VLOOKUP($A56-COUNT('Шаг2.Бланк заказа NEW'!$B$19:$B$201),'Бланк OLD 0.8 04'!$B$12:$K$200,3,0))),
IF(VLOOKUP($A56-COUNT('Шаг2.Бланк заказа NEW'!$B$19:$B$201)-COUNT('Бланк OLD 0.8 04'!$B$18:$B$200),'Бланк OLD 2.0 04 '!$B$16:$K$200,3,0)="","",VLOOKUP($A56-COUNT('Шаг2.Бланк заказа NEW'!$B$19:$B$201)-COUNT('Бланк OLD 0.8 04'!$B$18:$B$200),'Бланк OLD 2.0 04 '!$B$16:$K$200,3,0)))</f>
        <v/>
      </c>
      <c r="G56" s="176" t="str">
        <f ca="1">IF(IF(R56="","",IF(R56=1,SUMIFS('Шаг1.Выбор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плиты'!C:Q,12,0)),1))))))=0,
R56,
IF(R56="","",IF(R56=1,SUMIFS('Шаг1.Выбор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плиты'!N:N,R56,'Шаг1.Выбор плиты'!M:M,SMALL(INDIRECT("мм"&amp;VLOOKUP(C56,'Шаг1.Выбор плиты'!C:Q,12,0)),1)))))))</f>
        <v/>
      </c>
      <c r="H56" s="177" t="str">
        <f ca="1">IF(IF(S56="","",IF(S56=1,SUMIFS('Шаг1.Выбор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плиты'!C:Q,12,0)),1))))))=0,
S56,
IF(S56="","",IF(S56=1,SUMIFS('Шаг1.Выбор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плиты'!N:N,S56,'Шаг1.Выбор плиты'!M:M,SMALL(INDIRECT("мм"&amp;VLOOKUP(C56,'Шаг1.Выбор плиты'!C:Q,12,0)),1)))))))</f>
        <v/>
      </c>
      <c r="I56" s="147" t="str">
        <f ca="1">IFERROR(IFERROR(IF(VLOOKUP($A56,'Шаг2.Бланк заказа NEW'!$B$17:$N$201,6,0)="","",VLOOKUP($A56,'Шаг2.Бланк заказа NEW'!$B$17:$N$201,6,0)),
IF(VLOOKUP($A56-COUNT('Шаг2.Бланк заказа NEW'!$B$19:$B$201),'Бланк OLD 0.8 04'!$B$12:$K$200,6,0)="","",VLOOKUP($A56-COUNT('Шаг2.Бланк заказа NEW'!$B$19:$B$201),'Бланк OLD 0.8 04'!$B$12:$K$200,6,0))),
IF(VLOOKUP($A56-COUNT('Шаг2.Бланк заказа NEW'!$B$19:$B$201)-COUNT('Бланк OLD 0.8 04'!$B$18:$B$200),'Бланк OLD 2.0 04 '!$B$16:$K$200,6,0)="","",VLOOKUP($A56-COUNT('Шаг2.Бланк заказа NEW'!$B$19:$B$201)-COUNT('Бланк OLD 0.8 04'!$B$18:$B$200),'Бланк OLD 2.0 04 '!$B$16:$K$200,6,0)))</f>
        <v/>
      </c>
      <c r="J56" s="177" t="str">
        <f ca="1">IF(IF(T56="","",IF(T56=1,SUMIFS('Шаг1.Выбор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плиты'!C:Q,12,0)),1))))))=0,
T56,
IF(T56="","",IF(T56=1,SUMIFS('Шаг1.Выбор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плиты'!N:N,T56,'Шаг1.Выбор плиты'!M:M,SMALL(INDIRECT("мм"&amp;VLOOKUP(C56,'Шаг1.Выбор плиты'!C:Q,12,0)),1)))))))</f>
        <v/>
      </c>
      <c r="K56" s="177" t="str">
        <f ca="1">IF(IF(U56="","",IF(U56=1,SUMIFS('Шаг1.Выбор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плиты'!C:Q,12,0)),1))))))=0,
U56,
IF(U56="","",IF(U56=1,SUMIFS('Шаг1.Выбор плиты'!$G:$G,'Шаг1.Выбор плиты'!J:J,"*"&amp;RIGHT(VLOOKUP(C56,'Шаг1.Выбор плиты'!C:Q,8,0),4),'Шаг1.Выбор плиты'!L:L,IF(MID(C56,1,6)="ЛДСП P","TM"&amp;MID(VLOOKUP(C56,'Шаг1.Выбор плиты'!C:Q,10,0),3,2),MID(VLOOKUP(C56,'Шаг1.Выбор плиты'!C:Q,10,0),1,2)),
'Шаг1.Выбор плиты'!N:N,1),IF(SUMIFS('Шаг1.Выбор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плиты'!C:Q,12,0)),1))=0,
IF(SUMIFS('Шаг1.Выбор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плиты'!C:Q,12,0)),2))=0,
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плиты'!C:Q,12,0)),3)),
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плиты'!C:Q,12,0)),2))),
(SUMIFS('Шаг1.Выбор плиты'!$G:$G,'Шаг1.Выбор плиты'!J:J,"*"&amp;RIGHT(VLOOKUP(C56,'Шаг1.Выбор плиты'!C:Q,8,0),4),'Шаг1.Выбор плиты'!L:L,VLOOKUP(C56,'Шаг1.Выбор плиты'!C:Q,10,0),'Шаг1.Выбор плиты'!N:N,U56,'Шаг1.Выбор плиты'!M:M,SMALL(INDIRECT("мм"&amp;VLOOKUP(C56,'Шаг1.Выбор плиты'!C:Q,12,0)),1)))))))</f>
        <v/>
      </c>
      <c r="L56" s="147" t="str">
        <f ca="1">IFERROR(IFERROR(IF(VLOOKUP($A56,'Шаг2.Бланк заказа NEW'!$B$17:$N$201,9,0)="","",VLOOKUP($A56,'Шаг2.Бланк заказа NEW'!$B$17:$N$201,9,0)),
IF(VLOOKUP($A56-COUNT('Шаг2.Бланк заказа NEW'!$B$19:$B$201),'Бланк OLD 0.8 04'!$B$12:$K$200,9,0)="","",VLOOKUP($A56-COUNT('Шаг2.Бланк заказа NEW'!$B$19:$B$201),'Бланк OLD 0.8 04'!$B$12:$K$200,9,0))),
IF(VLOOKUP($A56-COUNT('Шаг2.Бланк заказа NEW'!$B$19:$B$201)-COUNT('Бланк OLD 0.8 04'!$B$18:$B$200),'Бланк OLD 2.0 04 '!$B$16:$K$200,9,0)="","",VLOOKUP($A56-COUNT('Шаг2.Бланк заказа NEW'!$B$19:$B$201)-COUNT('Бланк OLD 0.8 04'!$B$18:$B$200),'Бланк OLD 2.0 04 '!$B$16:$K$200,9,0)))</f>
        <v/>
      </c>
      <c r="M56" s="154" t="str">
        <f t="shared" ca="1" si="5"/>
        <v/>
      </c>
      <c r="N56" s="153" t="str">
        <f ca="1">IFERROR(IF(VLOOKUP($A56,'Шаг2.Бланк заказа NEW'!$B$17:$N$201,11,0)="","",VLOOKUP($A56,'Шаг2.Бланк заказа NEW'!$B$17:$N$201,11,0)),
"Нет")</f>
        <v/>
      </c>
      <c r="O56" s="147" t="str">
        <f ca="1">IFERROR(IF(VLOOKUP($A56,'Шаг2.Бланк заказа NEW'!$B$17:$N$201,11,0)="","",VLOOKUP($A56,'Шаг2.Бланк заказа NEW'!$B$17:$N$201,12,0)),
"Нет")</f>
        <v/>
      </c>
      <c r="P56" s="153" t="str">
        <f ca="1">IFERROR(IF(VLOOKUP($A56,'Шаг2.Бланк заказа NEW'!$B$17:$N$201,13,0)="","",VLOOKUP($A56,'Шаг2.Бланк заказа NEW'!$B$17:$N$201,13,0)),
"Нет")</f>
        <v/>
      </c>
      <c r="Q56" s="147" t="str">
        <f ca="1">IFERROR(IF(VLOOKUP($A56,'Шаг2.Бланк заказа NEW'!$B$17:$O$201,14,0)="","",VLOOKUP($A56,'Шаг2.Бланк заказа NEW'!$B$17:$O$201,14,0)),"")</f>
        <v/>
      </c>
      <c r="R56" s="147" t="str">
        <f ca="1">IFERROR(IFERROR(IF(VLOOKUP($A56,'Шаг2.Бланк заказа NEW'!$B$17:$N$201,4,0)="","",VLOOKUP($A56,'Шаг2.Бланк заказа NEW'!$B$17:$N$201,4,0)),
IF(VLOOKUP($A56-COUNT('Шаг2.Бланк заказа NEW'!$B$19:$B$201),'Бланк OLD 0.8 04'!$B$12:$K$200,4,0)&gt;0,0.8,
IF(VLOOKUP($A56-COUNT('Шаг2.Бланк заказа NEW'!$B$19:$B$201),'Бланк OLD 0.8 04'!$B$12:$K$200,5,0)&gt;0,0.4,""))),
IF(VLOOKUP($A56-COUNT('Шаг2.Бланк заказа NEW'!$B$19:$B$201)-COUNT('Бланк OLD 0.8 04'!$B$18:$B$200),'Бланк OLD 2.0 04 '!$B$16:$K$200,4,0)&gt;0,2,IF(VLOOKUP($A56-COUNT('Шаг2.Бланк заказа NEW'!$B$19:$B$201)-COUNT('Бланк OLD 0.8 04'!$B$18:$B$200),'Бланк OLD 2.0 04 '!$B$16:$K$200,5,0)&gt;0,0.4,"")))</f>
        <v/>
      </c>
      <c r="S56" s="147" t="str">
        <f ca="1">IFERROR(IFERROR(IF(VLOOKUP($A56,'Шаг2.Бланк заказа NEW'!$B$17:$N$201,5,0)="","",VLOOKUP($A56,'Шаг2.Бланк заказа NEW'!$B$17:$N$201,5,0)),
IF(VLOOKUP($A56-COUNT('Шаг2.Бланк заказа NEW'!$B$19:$B$201),'Бланк OLD 0.8 04'!$B$12:$K$200,4,0)&gt;1,0.8,
IF(VLOOKUP($A56-COUNT('Шаг2.Бланк заказа NEW'!$B$19:$B$201),'Бланк OLD 0.8 04'!$B$12:$K$200,5,0)&gt;1,0.4,
IF(AND(VLOOKUP($A56-COUNT('Шаг2.Бланк заказа NEW'!$B$19:$B$201),'Бланк OLD 0.8 04'!$B$12:$K$200,4,0)&gt;0,VLOOKUP($A56-COUNT('Шаг2.Бланк заказа NEW'!$B$19:$B$201),'Бланк OLD 0.8 04'!$B$12:$K$200,5,0)&gt;0),0.4,"")))),
IF(VLOOKUP($A56-COUNT('Шаг2.Бланк заказа NEW'!$B$19:$B$201)-COUNT('Бланк OLD 0.8 04'!$B$18:$B$200),'Бланк OLD 2.0 04 '!$B$16:$K$200,4,0)&gt;1,2,
IF(VLOOKUP($A56-COUNT('Шаг2.Бланк заказа NEW'!$B$19:$B$201)-COUNT('Бланк OLD 0.8 04'!$B$18:$B$200),'Бланк OLD 2.0 04 '!$B$16:$K$200,5,0)&gt;1,0.4,IF(AND(VLOOKUP($A56-COUNT('Шаг2.Бланк заказа NEW'!$B$19:$B$201)-COUNT('Бланк OLD 0.8 04'!$B$18:$B$200),'Бланк OLD 2.0 04 '!$B$16:$K$200,4,0)&gt;0,VLOOKUP($A56-COUNT('Шаг2.Бланк заказа NEW'!$B$19:$B$201)-COUNT('Бланк OLD 0.8 04'!$B$18:$B$200),'Бланк OLD 2.0 04 '!$B$16:$K$200,5,0)&gt;0),0.4,""))))</f>
        <v/>
      </c>
      <c r="T56" s="147" t="str">
        <f ca="1">IFERROR(IFERROR(IF(VLOOKUP($A56,'Шаг2.Бланк заказа NEW'!$B$17:$N$201,7,0)="","",VLOOKUP($A56,'Шаг2.Бланк заказа NEW'!$B$17:$N$201,7,0)),
IF(VLOOKUP($A56-COUNT('Шаг2.Бланк заказа NEW'!$B$19:$B$201),'Бланк OLD 0.8 04'!$B$12:$K$200,7,0)&gt;0,0.8,
IF(VLOOKUP($A56-COUNT('Шаг2.Бланк заказа NEW'!$B$19:$B$201),'Бланк OLD 0.8 04'!$B$12:$K$200,8,0)&gt;0,0.4,""))),
IF(VLOOKUP($A56-COUNT('Шаг2.Бланк заказа NEW'!$B$19:$B$201)-COUNT('Бланк OLD 0.8 04'!$B$18:$B$200),'Бланк OLD 2.0 04 '!$B$16:$K$200,7,0)&gt;0,2,IF(VLOOKUP($A56-COUNT('Шаг2.Бланк заказа NEW'!$B$19:$B$201)-COUNT('Бланк OLD 0.8 04'!$B$18:$B$200),'Бланк OLD 2.0 04 '!$B$16:$K$200,8,0)&gt;0,0.4,"")))</f>
        <v/>
      </c>
      <c r="U56" s="147" t="str">
        <f ca="1">IFERROR(IFERROR(IF(VLOOKUP($A56,'Шаг2.Бланк заказа NEW'!$B$17:$N$201,8,0)="","",VLOOKUP($A56,'Шаг2.Бланк заказа NEW'!$B$17:$N$201,8,0)),
IF(VLOOKUP($A56-COUNT('Шаг2.Бланк заказа NEW'!$B$19:$B$201),'Бланк OLD 0.8 04'!$B$12:$K$200,7,0)&gt;1,0.8,
IF(VLOOKUP($A56-COUNT('Шаг2.Бланк заказа NEW'!$B$19:$B$201),'Бланк OLD 0.8 04'!$B$12:$K$200,8,0)&gt;1,0.4,
IF(AND(VLOOKUP($A56-COUNT('Шаг2.Бланк заказа NEW'!$B$19:$B$201),'Бланк OLD 0.8 04'!$B$12:$K$200,7,0)&gt;0,VLOOKUP($A56-COUNT('Шаг2.Бланк заказа NEW'!$B$19:$B$201),'Бланк OLD 0.8 04'!$B$12:$K$200,8,0)&gt;0),0.4,"")))),
IF(VLOOKUP($A56-COUNT('Шаг2.Бланк заказа NEW'!$B$19:$B$201)-COUNT('Бланк OLD 0.8 04'!$B$18:$B$200),'Бланк OLD 2.0 04 '!$B$16:$K$200,7,0)&gt;1,2,
IF(VLOOKUP($A56-COUNT('Шаг2.Бланк заказа NEW'!$B$19:$B$201)-COUNT('Бланк OLD 0.8 04'!$B$18:$B$200),'Бланк OLD 2.0 04 '!$B$16:$K$200,8,0)&gt;1,0.4,
IF(AND(VLOOKUP($A56-COUNT('Шаг2.Бланк заказа NEW'!$B$19:$B$201)-COUNT('Бланк OLD 0.8 04'!$B$18:$B$200),'Бланк OLD 2.0 04 '!$B$16:$K$200,7,0)&gt;0,VLOOKUP($A56-COUNT('Шаг2.Бланк заказа NEW'!$B$19:$B$201)-COUNT('Бланк OLD 0.8 04'!$B$18:$B$200),'Бланк OLD 2.0 04 '!$B$16:$K$200,8,0)&gt;0),0.4,""))))</f>
        <v/>
      </c>
      <c r="V56" s="146" t="str">
        <f ca="1">IFERROR(VLOOKUP(C56,'Шаг1.Выбор плиты'!C:S,12,0),"")</f>
        <v/>
      </c>
      <c r="W56" s="146" t="str">
        <f ca="1">IFERROR(VLOOKUP(C56,'Шаг1.Выбор плиты'!C:S,8,0),"")</f>
        <v/>
      </c>
      <c r="X56" s="146" t="str">
        <f ca="1">IFERROR(VLOOKUP(C56,'Шаг1.Выбор плиты'!C:S,10,0),"")</f>
        <v/>
      </c>
      <c r="Y56" s="147" t="str">
        <f t="shared" ca="1" si="1"/>
        <v/>
      </c>
      <c r="AD56" s="147" t="str">
        <f t="shared" ca="1" si="6"/>
        <v/>
      </c>
      <c r="AE56" s="147" t="str">
        <f t="shared" ca="1" si="3"/>
        <v/>
      </c>
      <c r="AF56" s="25"/>
      <c r="AH56" s="147" t="str">
        <f ca="1">IF(C56="","",VLOOKUP(C56,'Шаг1.Выбор плиты'!C:Q,7,0))</f>
        <v/>
      </c>
      <c r="AI56" s="147" t="str">
        <f t="shared" ca="1" si="7"/>
        <v/>
      </c>
    </row>
    <row r="57" spans="1:35" x14ac:dyDescent="0.2">
      <c r="A57" s="151" t="str">
        <f ca="1">IF(C57="","",MAX($A$1:OFFSET(C57,-1,0))+1)</f>
        <v/>
      </c>
      <c r="B57" s="151" t="str">
        <f ca="1">IFERROR(IFERROR(IFERROR("Шаг2.Бланк заказа NEW №"&amp;VLOOKUP(A56+1,CHOOSE({1,2},'Шаг2.Бланк заказа NEW'!$B$19:$B$201,'Шаг2.Бланк заказа NEW'!$A$19:$A$201),1,0),
"Бланк OLD 0.8 04 №"&amp;VLOOKUP(A56+1-COUNT('Шаг2.Бланк заказа NEW'!$B$19:$B$201),CHOOSE({1,2},'Бланк OLD 0.8 04'!$B$18:$B$200,'Бланк OLD 0.8 04'!$A$18:$A$200),1,0)),
"Бланк OLD 2.0 04 №"&amp;VLOOKUP(A56+1-COUNT('Шаг2.Бланк заказа NEW'!$B$19:$B$201)-COUNT('Бланк OLD 0.8 04'!$B$18:$B$200),CHOOSE({1,2},'Бланк OLD 2.0 04 '!$B$18:$B$200,'Бланк OLD 2.0 04 '!$A$18:$A$200),1,0)),"")</f>
        <v/>
      </c>
      <c r="C57" s="152" t="str">
        <f ca="1">IFERROR(IFERROR(IFERROR(VLOOKUP(A56+1,CHOOSE({1,2},'Шаг2.Бланк заказа NEW'!$B$19:$B$201,'Шаг2.Бланк заказа NEW'!$A$19:$A$201),2,0),
VLOOKUP(A56+1-COUNT('Шаг2.Бланк заказа NEW'!$B$19:$B$201),CHOOSE({1,2},'Бланк OLD 0.8 04'!$B$18:$B$200,'Бланк OLD 0.8 04'!$A$18:$A$200),2,0)),
VLOOKUP(A56+1-COUNT('Шаг2.Бланк заказа NEW'!$B$19:$B$201)-COUNT('Бланк OLD 0.8 04'!$B$18:$B$200),CHOOSE({1,2},'Бланк OLD 2.0 04 '!$B$18:$B$200,'Бланк OLD 2.0 04 '!$A$18:$A$200),2,0)),"")</f>
        <v/>
      </c>
      <c r="D57" s="150" t="str">
        <f ca="1">IFERROR(VLOOKUP(C57,'Шаг1.Выбор плиты'!C:G,5,0),"")</f>
        <v/>
      </c>
      <c r="E57" s="147" t="str">
        <f ca="1">IFERROR(IFERROR(IF(VLOOKUP($A57,'Шаг2.Бланк заказа NEW'!$B$17:$N$201,2,0)="","",VLOOKUP($A57,'Шаг2.Бланк заказа NEW'!$B$17:$N$201,2,0)),
IF(VLOOKUP($A57-COUNT('Шаг2.Бланк заказа NEW'!$B$19:$B$201),'Бланк OLD 0.8 04'!$B$12:$K$200,2,0)="","",VLOOKUP($A57-COUNT('Шаг2.Бланк заказа NEW'!$B$19:$B$201),'Бланк OLD 0.8 04'!$B$12:$K$200,2,0))),
IF(VLOOKUP($A57-COUNT('Шаг2.Бланк заказа NEW'!$B$19:$B$201)-COUNT('Бланк OLD 0.8 04'!$B$18:$B$200),'Бланк OLD 2.0 04 '!$B$16:$K$200,2,0)="","",VLOOKUP($A57-COUNT('Шаг2.Бланк заказа NEW'!$B$19:$B$201)-COUNT('Бланк OLD 0.8 04'!$B$18:$B$200),'Бланк OLD 2.0 04 '!$B$16:$K$200,2,0)))</f>
        <v/>
      </c>
      <c r="F57" s="147" t="str">
        <f ca="1">IFERROR(IFERROR(IF(VLOOKUP($A57,'Шаг2.Бланк заказа NEW'!$B$17:$N$201,3,0)="","",VLOOKUP($A57,'Шаг2.Бланк заказа NEW'!$B$17:$N$201,3,0)),
IF(VLOOKUP($A57-COUNT('Шаг2.Бланк заказа NEW'!$B$19:$B$201),'Бланк OLD 0.8 04'!$B$12:$K$200,3,0)="","",VLOOKUP($A57-COUNT('Шаг2.Бланк заказа NEW'!$B$19:$B$201),'Бланк OLD 0.8 04'!$B$12:$K$200,3,0))),
IF(VLOOKUP($A57-COUNT('Шаг2.Бланк заказа NEW'!$B$19:$B$201)-COUNT('Бланк OLD 0.8 04'!$B$18:$B$200),'Бланк OLD 2.0 04 '!$B$16:$K$200,3,0)="","",VLOOKUP($A57-COUNT('Шаг2.Бланк заказа NEW'!$B$19:$B$201)-COUNT('Бланк OLD 0.8 04'!$B$18:$B$200),'Бланк OLD 2.0 04 '!$B$16:$K$200,3,0)))</f>
        <v/>
      </c>
      <c r="G57" s="176" t="str">
        <f ca="1">IF(IF(R57="","",IF(R57=1,SUMIFS('Шаг1.Выбор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плиты'!C:Q,12,0)),1))))))=0,
R57,
IF(R57="","",IF(R57=1,SUMIFS('Шаг1.Выбор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плиты'!N:N,R57,'Шаг1.Выбор плиты'!M:M,SMALL(INDIRECT("мм"&amp;VLOOKUP(C57,'Шаг1.Выбор плиты'!C:Q,12,0)),1)))))))</f>
        <v/>
      </c>
      <c r="H57" s="177" t="str">
        <f ca="1">IF(IF(S57="","",IF(S57=1,SUMIFS('Шаг1.Выбор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плиты'!C:Q,12,0)),1))))))=0,
S57,
IF(S57="","",IF(S57=1,SUMIFS('Шаг1.Выбор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плиты'!N:N,S57,'Шаг1.Выбор плиты'!M:M,SMALL(INDIRECT("мм"&amp;VLOOKUP(C57,'Шаг1.Выбор плиты'!C:Q,12,0)),1)))))))</f>
        <v/>
      </c>
      <c r="I57" s="147" t="str">
        <f ca="1">IFERROR(IFERROR(IF(VLOOKUP($A57,'Шаг2.Бланк заказа NEW'!$B$17:$N$201,6,0)="","",VLOOKUP($A57,'Шаг2.Бланк заказа NEW'!$B$17:$N$201,6,0)),
IF(VLOOKUP($A57-COUNT('Шаг2.Бланк заказа NEW'!$B$19:$B$201),'Бланк OLD 0.8 04'!$B$12:$K$200,6,0)="","",VLOOKUP($A57-COUNT('Шаг2.Бланк заказа NEW'!$B$19:$B$201),'Бланк OLD 0.8 04'!$B$12:$K$200,6,0))),
IF(VLOOKUP($A57-COUNT('Шаг2.Бланк заказа NEW'!$B$19:$B$201)-COUNT('Бланк OLD 0.8 04'!$B$18:$B$200),'Бланк OLD 2.0 04 '!$B$16:$K$200,6,0)="","",VLOOKUP($A57-COUNT('Шаг2.Бланк заказа NEW'!$B$19:$B$201)-COUNT('Бланк OLD 0.8 04'!$B$18:$B$200),'Бланк OLD 2.0 04 '!$B$16:$K$200,6,0)))</f>
        <v/>
      </c>
      <c r="J57" s="177" t="str">
        <f ca="1">IF(IF(T57="","",IF(T57=1,SUMIFS('Шаг1.Выбор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плиты'!C:Q,12,0)),1))))))=0,
T57,
IF(T57="","",IF(T57=1,SUMIFS('Шаг1.Выбор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плиты'!N:N,T57,'Шаг1.Выбор плиты'!M:M,SMALL(INDIRECT("мм"&amp;VLOOKUP(C57,'Шаг1.Выбор плиты'!C:Q,12,0)),1)))))))</f>
        <v/>
      </c>
      <c r="K57" s="177" t="str">
        <f ca="1">IF(IF(U57="","",IF(U57=1,SUMIFS('Шаг1.Выбор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плиты'!C:Q,12,0)),1))))))=0,
U57,
IF(U57="","",IF(U57=1,SUMIFS('Шаг1.Выбор плиты'!$G:$G,'Шаг1.Выбор плиты'!J:J,"*"&amp;RIGHT(VLOOKUP(C57,'Шаг1.Выбор плиты'!C:Q,8,0),4),'Шаг1.Выбор плиты'!L:L,IF(MID(C57,1,6)="ЛДСП P","TM"&amp;MID(VLOOKUP(C57,'Шаг1.Выбор плиты'!C:Q,10,0),3,2),MID(VLOOKUP(C57,'Шаг1.Выбор плиты'!C:Q,10,0),1,2)),
'Шаг1.Выбор плиты'!N:N,1),IF(SUMIFS('Шаг1.Выбор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плиты'!C:Q,12,0)),1))=0,
IF(SUMIFS('Шаг1.Выбор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плиты'!C:Q,12,0)),2))=0,
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плиты'!C:Q,12,0)),3)),
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плиты'!C:Q,12,0)),2))),
(SUMIFS('Шаг1.Выбор плиты'!$G:$G,'Шаг1.Выбор плиты'!J:J,"*"&amp;RIGHT(VLOOKUP(C57,'Шаг1.Выбор плиты'!C:Q,8,0),4),'Шаг1.Выбор плиты'!L:L,VLOOKUP(C57,'Шаг1.Выбор плиты'!C:Q,10,0),'Шаг1.Выбор плиты'!N:N,U57,'Шаг1.Выбор плиты'!M:M,SMALL(INDIRECT("мм"&amp;VLOOKUP(C57,'Шаг1.Выбор плиты'!C:Q,12,0)),1)))))))</f>
        <v/>
      </c>
      <c r="L57" s="147" t="str">
        <f ca="1">IFERROR(IFERROR(IF(VLOOKUP($A57,'Шаг2.Бланк заказа NEW'!$B$17:$N$201,9,0)="","",VLOOKUP($A57,'Шаг2.Бланк заказа NEW'!$B$17:$N$201,9,0)),
IF(VLOOKUP($A57-COUNT('Шаг2.Бланк заказа NEW'!$B$19:$B$201),'Бланк OLD 0.8 04'!$B$12:$K$200,9,0)="","",VLOOKUP($A57-COUNT('Шаг2.Бланк заказа NEW'!$B$19:$B$201),'Бланк OLD 0.8 04'!$B$12:$K$200,9,0))),
IF(VLOOKUP($A57-COUNT('Шаг2.Бланк заказа NEW'!$B$19:$B$201)-COUNT('Бланк OLD 0.8 04'!$B$18:$B$200),'Бланк OLD 2.0 04 '!$B$16:$K$200,9,0)="","",VLOOKUP($A57-COUNT('Шаг2.Бланк заказа NEW'!$B$19:$B$201)-COUNT('Бланк OLD 0.8 04'!$B$18:$B$200),'Бланк OLD 2.0 04 '!$B$16:$K$200,9,0)))</f>
        <v/>
      </c>
      <c r="M57" s="154" t="str">
        <f t="shared" ca="1" si="5"/>
        <v/>
      </c>
      <c r="N57" s="153" t="str">
        <f ca="1">IFERROR(IF(VLOOKUP($A57,'Шаг2.Бланк заказа NEW'!$B$17:$N$201,11,0)="","",VLOOKUP($A57,'Шаг2.Бланк заказа NEW'!$B$17:$N$201,11,0)),
"Нет")</f>
        <v/>
      </c>
      <c r="O57" s="147" t="str">
        <f ca="1">IFERROR(IF(VLOOKUP($A57,'Шаг2.Бланк заказа NEW'!$B$17:$N$201,11,0)="","",VLOOKUP($A57,'Шаг2.Бланк заказа NEW'!$B$17:$N$201,12,0)),
"Нет")</f>
        <v/>
      </c>
      <c r="P57" s="153" t="str">
        <f ca="1">IFERROR(IF(VLOOKUP($A57,'Шаг2.Бланк заказа NEW'!$B$17:$N$201,13,0)="","",VLOOKUP($A57,'Шаг2.Бланк заказа NEW'!$B$17:$N$201,13,0)),
"Нет")</f>
        <v/>
      </c>
      <c r="Q57" s="147" t="str">
        <f ca="1">IFERROR(IF(VLOOKUP($A57,'Шаг2.Бланк заказа NEW'!$B$17:$O$201,14,0)="","",VLOOKUP($A57,'Шаг2.Бланк заказа NEW'!$B$17:$O$201,14,0)),"")</f>
        <v/>
      </c>
      <c r="R57" s="147" t="str">
        <f ca="1">IFERROR(IFERROR(IF(VLOOKUP($A57,'Шаг2.Бланк заказа NEW'!$B$17:$N$201,4,0)="","",VLOOKUP($A57,'Шаг2.Бланк заказа NEW'!$B$17:$N$201,4,0)),
IF(VLOOKUP($A57-COUNT('Шаг2.Бланк заказа NEW'!$B$19:$B$201),'Бланк OLD 0.8 04'!$B$12:$K$200,4,0)&gt;0,0.8,
IF(VLOOKUP($A57-COUNT('Шаг2.Бланк заказа NEW'!$B$19:$B$201),'Бланк OLD 0.8 04'!$B$12:$K$200,5,0)&gt;0,0.4,""))),
IF(VLOOKUP($A57-COUNT('Шаг2.Бланк заказа NEW'!$B$19:$B$201)-COUNT('Бланк OLD 0.8 04'!$B$18:$B$200),'Бланк OLD 2.0 04 '!$B$16:$K$200,4,0)&gt;0,2,IF(VLOOKUP($A57-COUNT('Шаг2.Бланк заказа NEW'!$B$19:$B$201)-COUNT('Бланк OLD 0.8 04'!$B$18:$B$200),'Бланк OLD 2.0 04 '!$B$16:$K$200,5,0)&gt;0,0.4,"")))</f>
        <v/>
      </c>
      <c r="S57" s="147" t="str">
        <f ca="1">IFERROR(IFERROR(IF(VLOOKUP($A57,'Шаг2.Бланк заказа NEW'!$B$17:$N$201,5,0)="","",VLOOKUP($A57,'Шаг2.Бланк заказа NEW'!$B$17:$N$201,5,0)),
IF(VLOOKUP($A57-COUNT('Шаг2.Бланк заказа NEW'!$B$19:$B$201),'Бланк OLD 0.8 04'!$B$12:$K$200,4,0)&gt;1,0.8,
IF(VLOOKUP($A57-COUNT('Шаг2.Бланк заказа NEW'!$B$19:$B$201),'Бланк OLD 0.8 04'!$B$12:$K$200,5,0)&gt;1,0.4,
IF(AND(VLOOKUP($A57-COUNT('Шаг2.Бланк заказа NEW'!$B$19:$B$201),'Бланк OLD 0.8 04'!$B$12:$K$200,4,0)&gt;0,VLOOKUP($A57-COUNT('Шаг2.Бланк заказа NEW'!$B$19:$B$201),'Бланк OLD 0.8 04'!$B$12:$K$200,5,0)&gt;0),0.4,"")))),
IF(VLOOKUP($A57-COUNT('Шаг2.Бланк заказа NEW'!$B$19:$B$201)-COUNT('Бланк OLD 0.8 04'!$B$18:$B$200),'Бланк OLD 2.0 04 '!$B$16:$K$200,4,0)&gt;1,2,
IF(VLOOKUP($A57-COUNT('Шаг2.Бланк заказа NEW'!$B$19:$B$201)-COUNT('Бланк OLD 0.8 04'!$B$18:$B$200),'Бланк OLD 2.0 04 '!$B$16:$K$200,5,0)&gt;1,0.4,IF(AND(VLOOKUP($A57-COUNT('Шаг2.Бланк заказа NEW'!$B$19:$B$201)-COUNT('Бланк OLD 0.8 04'!$B$18:$B$200),'Бланк OLD 2.0 04 '!$B$16:$K$200,4,0)&gt;0,VLOOKUP($A57-COUNT('Шаг2.Бланк заказа NEW'!$B$19:$B$201)-COUNT('Бланк OLD 0.8 04'!$B$18:$B$200),'Бланк OLD 2.0 04 '!$B$16:$K$200,5,0)&gt;0),0.4,""))))</f>
        <v/>
      </c>
      <c r="T57" s="147" t="str">
        <f ca="1">IFERROR(IFERROR(IF(VLOOKUP($A57,'Шаг2.Бланк заказа NEW'!$B$17:$N$201,7,0)="","",VLOOKUP($A57,'Шаг2.Бланк заказа NEW'!$B$17:$N$201,7,0)),
IF(VLOOKUP($A57-COUNT('Шаг2.Бланк заказа NEW'!$B$19:$B$201),'Бланк OLD 0.8 04'!$B$12:$K$200,7,0)&gt;0,0.8,
IF(VLOOKUP($A57-COUNT('Шаг2.Бланк заказа NEW'!$B$19:$B$201),'Бланк OLD 0.8 04'!$B$12:$K$200,8,0)&gt;0,0.4,""))),
IF(VLOOKUP($A57-COUNT('Шаг2.Бланк заказа NEW'!$B$19:$B$201)-COUNT('Бланк OLD 0.8 04'!$B$18:$B$200),'Бланк OLD 2.0 04 '!$B$16:$K$200,7,0)&gt;0,2,IF(VLOOKUP($A57-COUNT('Шаг2.Бланк заказа NEW'!$B$19:$B$201)-COUNT('Бланк OLD 0.8 04'!$B$18:$B$200),'Бланк OLD 2.0 04 '!$B$16:$K$200,8,0)&gt;0,0.4,"")))</f>
        <v/>
      </c>
      <c r="U57" s="147" t="str">
        <f ca="1">IFERROR(IFERROR(IF(VLOOKUP($A57,'Шаг2.Бланк заказа NEW'!$B$17:$N$201,8,0)="","",VLOOKUP($A57,'Шаг2.Бланк заказа NEW'!$B$17:$N$201,8,0)),
IF(VLOOKUP($A57-COUNT('Шаг2.Бланк заказа NEW'!$B$19:$B$201),'Бланк OLD 0.8 04'!$B$12:$K$200,7,0)&gt;1,0.8,
IF(VLOOKUP($A57-COUNT('Шаг2.Бланк заказа NEW'!$B$19:$B$201),'Бланк OLD 0.8 04'!$B$12:$K$200,8,0)&gt;1,0.4,
IF(AND(VLOOKUP($A57-COUNT('Шаг2.Бланк заказа NEW'!$B$19:$B$201),'Бланк OLD 0.8 04'!$B$12:$K$200,7,0)&gt;0,VLOOKUP($A57-COUNT('Шаг2.Бланк заказа NEW'!$B$19:$B$201),'Бланк OLD 0.8 04'!$B$12:$K$200,8,0)&gt;0),0.4,"")))),
IF(VLOOKUP($A57-COUNT('Шаг2.Бланк заказа NEW'!$B$19:$B$201)-COUNT('Бланк OLD 0.8 04'!$B$18:$B$200),'Бланк OLD 2.0 04 '!$B$16:$K$200,7,0)&gt;1,2,
IF(VLOOKUP($A57-COUNT('Шаг2.Бланк заказа NEW'!$B$19:$B$201)-COUNT('Бланк OLD 0.8 04'!$B$18:$B$200),'Бланк OLD 2.0 04 '!$B$16:$K$200,8,0)&gt;1,0.4,
IF(AND(VLOOKUP($A57-COUNT('Шаг2.Бланк заказа NEW'!$B$19:$B$201)-COUNT('Бланк OLD 0.8 04'!$B$18:$B$200),'Бланк OLD 2.0 04 '!$B$16:$K$200,7,0)&gt;0,VLOOKUP($A57-COUNT('Шаг2.Бланк заказа NEW'!$B$19:$B$201)-COUNT('Бланк OLD 0.8 04'!$B$18:$B$200),'Бланк OLD 2.0 04 '!$B$16:$K$200,8,0)&gt;0),0.4,""))))</f>
        <v/>
      </c>
      <c r="V57" s="146" t="str">
        <f ca="1">IFERROR(VLOOKUP(C57,'Шаг1.Выбор плиты'!C:S,12,0),"")</f>
        <v/>
      </c>
      <c r="W57" s="146" t="str">
        <f ca="1">IFERROR(VLOOKUP(C57,'Шаг1.Выбор плиты'!C:S,8,0),"")</f>
        <v/>
      </c>
      <c r="X57" s="146" t="str">
        <f ca="1">IFERROR(VLOOKUP(C57,'Шаг1.Выбор плиты'!C:S,10,0),"")</f>
        <v/>
      </c>
      <c r="Y57" s="147" t="str">
        <f t="shared" ca="1" si="1"/>
        <v/>
      </c>
      <c r="AD57" s="147" t="str">
        <f t="shared" ca="1" si="6"/>
        <v/>
      </c>
      <c r="AE57" s="147" t="str">
        <f t="shared" ca="1" si="3"/>
        <v/>
      </c>
      <c r="AF57" s="25"/>
      <c r="AH57" s="147" t="str">
        <f ca="1">IF(C57="","",VLOOKUP(C57,'Шаг1.Выбор плиты'!C:Q,7,0))</f>
        <v/>
      </c>
      <c r="AI57" s="147" t="str">
        <f t="shared" ca="1" si="7"/>
        <v/>
      </c>
    </row>
    <row r="58" spans="1:35" x14ac:dyDescent="0.2">
      <c r="A58" s="151" t="str">
        <f ca="1">IF(C58="","",MAX($A$1:OFFSET(C58,-1,0))+1)</f>
        <v/>
      </c>
      <c r="B58" s="151" t="str">
        <f ca="1">IFERROR(IFERROR(IFERROR("Шаг2.Бланк заказа NEW №"&amp;VLOOKUP(A57+1,CHOOSE({1,2},'Шаг2.Бланк заказа NEW'!$B$19:$B$201,'Шаг2.Бланк заказа NEW'!$A$19:$A$201),1,0),
"Бланк OLD 0.8 04 №"&amp;VLOOKUP(A57+1-COUNT('Шаг2.Бланк заказа NEW'!$B$19:$B$201),CHOOSE({1,2},'Бланк OLD 0.8 04'!$B$18:$B$200,'Бланк OLD 0.8 04'!$A$18:$A$200),1,0)),
"Бланк OLD 2.0 04 №"&amp;VLOOKUP(A57+1-COUNT('Шаг2.Бланк заказа NEW'!$B$19:$B$201)-COUNT('Бланк OLD 0.8 04'!$B$18:$B$200),CHOOSE({1,2},'Бланк OLD 2.0 04 '!$B$18:$B$200,'Бланк OLD 2.0 04 '!$A$18:$A$200),1,0)),"")</f>
        <v/>
      </c>
      <c r="C58" s="152" t="str">
        <f ca="1">IFERROR(IFERROR(IFERROR(VLOOKUP(A57+1,CHOOSE({1,2},'Шаг2.Бланк заказа NEW'!$B$19:$B$201,'Шаг2.Бланк заказа NEW'!$A$19:$A$201),2,0),
VLOOKUP(A57+1-COUNT('Шаг2.Бланк заказа NEW'!$B$19:$B$201),CHOOSE({1,2},'Бланк OLD 0.8 04'!$B$18:$B$200,'Бланк OLD 0.8 04'!$A$18:$A$200),2,0)),
VLOOKUP(A57+1-COUNT('Шаг2.Бланк заказа NEW'!$B$19:$B$201)-COUNT('Бланк OLD 0.8 04'!$B$18:$B$200),CHOOSE({1,2},'Бланк OLD 2.0 04 '!$B$18:$B$200,'Бланк OLD 2.0 04 '!$A$18:$A$200),2,0)),"")</f>
        <v/>
      </c>
      <c r="D58" s="150" t="str">
        <f ca="1">IFERROR(VLOOKUP(C58,'Шаг1.Выбор плиты'!C:G,5,0),"")</f>
        <v/>
      </c>
      <c r="E58" s="147" t="str">
        <f ca="1">IFERROR(IFERROR(IF(VLOOKUP($A58,'Шаг2.Бланк заказа NEW'!$B$17:$N$201,2,0)="","",VLOOKUP($A58,'Шаг2.Бланк заказа NEW'!$B$17:$N$201,2,0)),
IF(VLOOKUP($A58-COUNT('Шаг2.Бланк заказа NEW'!$B$19:$B$201),'Бланк OLD 0.8 04'!$B$12:$K$200,2,0)="","",VLOOKUP($A58-COUNT('Шаг2.Бланк заказа NEW'!$B$19:$B$201),'Бланк OLD 0.8 04'!$B$12:$K$200,2,0))),
IF(VLOOKUP($A58-COUNT('Шаг2.Бланк заказа NEW'!$B$19:$B$201)-COUNT('Бланк OLD 0.8 04'!$B$18:$B$200),'Бланк OLD 2.0 04 '!$B$16:$K$200,2,0)="","",VLOOKUP($A58-COUNT('Шаг2.Бланк заказа NEW'!$B$19:$B$201)-COUNT('Бланк OLD 0.8 04'!$B$18:$B$200),'Бланк OLD 2.0 04 '!$B$16:$K$200,2,0)))</f>
        <v/>
      </c>
      <c r="F58" s="147" t="str">
        <f ca="1">IFERROR(IFERROR(IF(VLOOKUP($A58,'Шаг2.Бланк заказа NEW'!$B$17:$N$201,3,0)="","",VLOOKUP($A58,'Шаг2.Бланк заказа NEW'!$B$17:$N$201,3,0)),
IF(VLOOKUP($A58-COUNT('Шаг2.Бланк заказа NEW'!$B$19:$B$201),'Бланк OLD 0.8 04'!$B$12:$K$200,3,0)="","",VLOOKUP($A58-COUNT('Шаг2.Бланк заказа NEW'!$B$19:$B$201),'Бланк OLD 0.8 04'!$B$12:$K$200,3,0))),
IF(VLOOKUP($A58-COUNT('Шаг2.Бланк заказа NEW'!$B$19:$B$201)-COUNT('Бланк OLD 0.8 04'!$B$18:$B$200),'Бланк OLD 2.0 04 '!$B$16:$K$200,3,0)="","",VLOOKUP($A58-COUNT('Шаг2.Бланк заказа NEW'!$B$19:$B$201)-COUNT('Бланк OLD 0.8 04'!$B$18:$B$200),'Бланк OLD 2.0 04 '!$B$16:$K$200,3,0)))</f>
        <v/>
      </c>
      <c r="G58" s="176" t="str">
        <f ca="1">IF(IF(R58="","",IF(R58=1,SUMIFS('Шаг1.Выбор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плиты'!C:Q,12,0)),1))))))=0,
R58,
IF(R58="","",IF(R58=1,SUMIFS('Шаг1.Выбор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плиты'!N:N,R58,'Шаг1.Выбор плиты'!M:M,SMALL(INDIRECT("мм"&amp;VLOOKUP(C58,'Шаг1.Выбор плиты'!C:Q,12,0)),1)))))))</f>
        <v/>
      </c>
      <c r="H58" s="177" t="str">
        <f ca="1">IF(IF(S58="","",IF(S58=1,SUMIFS('Шаг1.Выбор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плиты'!C:Q,12,0)),1))))))=0,
S58,
IF(S58="","",IF(S58=1,SUMIFS('Шаг1.Выбор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плиты'!N:N,S58,'Шаг1.Выбор плиты'!M:M,SMALL(INDIRECT("мм"&amp;VLOOKUP(C58,'Шаг1.Выбор плиты'!C:Q,12,0)),1)))))))</f>
        <v/>
      </c>
      <c r="I58" s="147" t="str">
        <f ca="1">IFERROR(IFERROR(IF(VLOOKUP($A58,'Шаг2.Бланк заказа NEW'!$B$17:$N$201,6,0)="","",VLOOKUP($A58,'Шаг2.Бланк заказа NEW'!$B$17:$N$201,6,0)),
IF(VLOOKUP($A58-COUNT('Шаг2.Бланк заказа NEW'!$B$19:$B$201),'Бланк OLD 0.8 04'!$B$12:$K$200,6,0)="","",VLOOKUP($A58-COUNT('Шаг2.Бланк заказа NEW'!$B$19:$B$201),'Бланк OLD 0.8 04'!$B$12:$K$200,6,0))),
IF(VLOOKUP($A58-COUNT('Шаг2.Бланк заказа NEW'!$B$19:$B$201)-COUNT('Бланк OLD 0.8 04'!$B$18:$B$200),'Бланк OLD 2.0 04 '!$B$16:$K$200,6,0)="","",VLOOKUP($A58-COUNT('Шаг2.Бланк заказа NEW'!$B$19:$B$201)-COUNT('Бланк OLD 0.8 04'!$B$18:$B$200),'Бланк OLD 2.0 04 '!$B$16:$K$200,6,0)))</f>
        <v/>
      </c>
      <c r="J58" s="177" t="str">
        <f ca="1">IF(IF(T58="","",IF(T58=1,SUMIFS('Шаг1.Выбор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плиты'!C:Q,12,0)),1))))))=0,
T58,
IF(T58="","",IF(T58=1,SUMIFS('Шаг1.Выбор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плиты'!N:N,T58,'Шаг1.Выбор плиты'!M:M,SMALL(INDIRECT("мм"&amp;VLOOKUP(C58,'Шаг1.Выбор плиты'!C:Q,12,0)),1)))))))</f>
        <v/>
      </c>
      <c r="K58" s="177" t="str">
        <f ca="1">IF(IF(U58="","",IF(U58=1,SUMIFS('Шаг1.Выбор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плиты'!C:Q,12,0)),1))))))=0,
U58,
IF(U58="","",IF(U58=1,SUMIFS('Шаг1.Выбор плиты'!$G:$G,'Шаг1.Выбор плиты'!J:J,"*"&amp;RIGHT(VLOOKUP(C58,'Шаг1.Выбор плиты'!C:Q,8,0),4),'Шаг1.Выбор плиты'!L:L,IF(MID(C58,1,6)="ЛДСП P","TM"&amp;MID(VLOOKUP(C58,'Шаг1.Выбор плиты'!C:Q,10,0),3,2),MID(VLOOKUP(C58,'Шаг1.Выбор плиты'!C:Q,10,0),1,2)),
'Шаг1.Выбор плиты'!N:N,1),IF(SUMIFS('Шаг1.Выбор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плиты'!C:Q,12,0)),1))=0,
IF(SUMIFS('Шаг1.Выбор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плиты'!C:Q,12,0)),2))=0,
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плиты'!C:Q,12,0)),3)),
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плиты'!C:Q,12,0)),2))),
(SUMIFS('Шаг1.Выбор плиты'!$G:$G,'Шаг1.Выбор плиты'!J:J,"*"&amp;RIGHT(VLOOKUP(C58,'Шаг1.Выбор плиты'!C:Q,8,0),4),'Шаг1.Выбор плиты'!L:L,VLOOKUP(C58,'Шаг1.Выбор плиты'!C:Q,10,0),'Шаг1.Выбор плиты'!N:N,U58,'Шаг1.Выбор плиты'!M:M,SMALL(INDIRECT("мм"&amp;VLOOKUP(C58,'Шаг1.Выбор плиты'!C:Q,12,0)),1)))))))</f>
        <v/>
      </c>
      <c r="L58" s="147" t="str">
        <f ca="1">IFERROR(IFERROR(IF(VLOOKUP($A58,'Шаг2.Бланк заказа NEW'!$B$17:$N$201,9,0)="","",VLOOKUP($A58,'Шаг2.Бланк заказа NEW'!$B$17:$N$201,9,0)),
IF(VLOOKUP($A58-COUNT('Шаг2.Бланк заказа NEW'!$B$19:$B$201),'Бланк OLD 0.8 04'!$B$12:$K$200,9,0)="","",VLOOKUP($A58-COUNT('Шаг2.Бланк заказа NEW'!$B$19:$B$201),'Бланк OLD 0.8 04'!$B$12:$K$200,9,0))),
IF(VLOOKUP($A58-COUNT('Шаг2.Бланк заказа NEW'!$B$19:$B$201)-COUNT('Бланк OLD 0.8 04'!$B$18:$B$200),'Бланк OLD 2.0 04 '!$B$16:$K$200,9,0)="","",VLOOKUP($A58-COUNT('Шаг2.Бланк заказа NEW'!$B$19:$B$201)-COUNT('Бланк OLD 0.8 04'!$B$18:$B$200),'Бланк OLD 2.0 04 '!$B$16:$K$200,9,0)))</f>
        <v/>
      </c>
      <c r="M58" s="154" t="str">
        <f t="shared" ca="1" si="5"/>
        <v/>
      </c>
      <c r="N58" s="153" t="str">
        <f ca="1">IFERROR(IF(VLOOKUP($A58,'Шаг2.Бланк заказа NEW'!$B$17:$N$201,11,0)="","",VLOOKUP($A58,'Шаг2.Бланк заказа NEW'!$B$17:$N$201,11,0)),
"Нет")</f>
        <v/>
      </c>
      <c r="O58" s="147" t="str">
        <f ca="1">IFERROR(IF(VLOOKUP($A58,'Шаг2.Бланк заказа NEW'!$B$17:$N$201,11,0)="","",VLOOKUP($A58,'Шаг2.Бланк заказа NEW'!$B$17:$N$201,12,0)),
"Нет")</f>
        <v/>
      </c>
      <c r="P58" s="153" t="str">
        <f ca="1">IFERROR(IF(VLOOKUP($A58,'Шаг2.Бланк заказа NEW'!$B$17:$N$201,13,0)="","",VLOOKUP($A58,'Шаг2.Бланк заказа NEW'!$B$17:$N$201,13,0)),
"Нет")</f>
        <v/>
      </c>
      <c r="Q58" s="147" t="str">
        <f ca="1">IFERROR(IF(VLOOKUP($A58,'Шаг2.Бланк заказа NEW'!$B$17:$O$201,14,0)="","",VLOOKUP($A58,'Шаг2.Бланк заказа NEW'!$B$17:$O$201,14,0)),"")</f>
        <v/>
      </c>
      <c r="R58" s="147" t="str">
        <f ca="1">IFERROR(IFERROR(IF(VLOOKUP($A58,'Шаг2.Бланк заказа NEW'!$B$17:$N$201,4,0)="","",VLOOKUP($A58,'Шаг2.Бланк заказа NEW'!$B$17:$N$201,4,0)),
IF(VLOOKUP($A58-COUNT('Шаг2.Бланк заказа NEW'!$B$19:$B$201),'Бланк OLD 0.8 04'!$B$12:$K$200,4,0)&gt;0,0.8,
IF(VLOOKUP($A58-COUNT('Шаг2.Бланк заказа NEW'!$B$19:$B$201),'Бланк OLD 0.8 04'!$B$12:$K$200,5,0)&gt;0,0.4,""))),
IF(VLOOKUP($A58-COUNT('Шаг2.Бланк заказа NEW'!$B$19:$B$201)-COUNT('Бланк OLD 0.8 04'!$B$18:$B$200),'Бланк OLD 2.0 04 '!$B$16:$K$200,4,0)&gt;0,2,IF(VLOOKUP($A58-COUNT('Шаг2.Бланк заказа NEW'!$B$19:$B$201)-COUNT('Бланк OLD 0.8 04'!$B$18:$B$200),'Бланк OLD 2.0 04 '!$B$16:$K$200,5,0)&gt;0,0.4,"")))</f>
        <v/>
      </c>
      <c r="S58" s="147" t="str">
        <f ca="1">IFERROR(IFERROR(IF(VLOOKUP($A58,'Шаг2.Бланк заказа NEW'!$B$17:$N$201,5,0)="","",VLOOKUP($A58,'Шаг2.Бланк заказа NEW'!$B$17:$N$201,5,0)),
IF(VLOOKUP($A58-COUNT('Шаг2.Бланк заказа NEW'!$B$19:$B$201),'Бланк OLD 0.8 04'!$B$12:$K$200,4,0)&gt;1,0.8,
IF(VLOOKUP($A58-COUNT('Шаг2.Бланк заказа NEW'!$B$19:$B$201),'Бланк OLD 0.8 04'!$B$12:$K$200,5,0)&gt;1,0.4,
IF(AND(VLOOKUP($A58-COUNT('Шаг2.Бланк заказа NEW'!$B$19:$B$201),'Бланк OLD 0.8 04'!$B$12:$K$200,4,0)&gt;0,VLOOKUP($A58-COUNT('Шаг2.Бланк заказа NEW'!$B$19:$B$201),'Бланк OLD 0.8 04'!$B$12:$K$200,5,0)&gt;0),0.4,"")))),
IF(VLOOKUP($A58-COUNT('Шаг2.Бланк заказа NEW'!$B$19:$B$201)-COUNT('Бланк OLD 0.8 04'!$B$18:$B$200),'Бланк OLD 2.0 04 '!$B$16:$K$200,4,0)&gt;1,2,
IF(VLOOKUP($A58-COUNT('Шаг2.Бланк заказа NEW'!$B$19:$B$201)-COUNT('Бланк OLD 0.8 04'!$B$18:$B$200),'Бланк OLD 2.0 04 '!$B$16:$K$200,5,0)&gt;1,0.4,IF(AND(VLOOKUP($A58-COUNT('Шаг2.Бланк заказа NEW'!$B$19:$B$201)-COUNT('Бланк OLD 0.8 04'!$B$18:$B$200),'Бланк OLD 2.0 04 '!$B$16:$K$200,4,0)&gt;0,VLOOKUP($A58-COUNT('Шаг2.Бланк заказа NEW'!$B$19:$B$201)-COUNT('Бланк OLD 0.8 04'!$B$18:$B$200),'Бланк OLD 2.0 04 '!$B$16:$K$200,5,0)&gt;0),0.4,""))))</f>
        <v/>
      </c>
      <c r="T58" s="147" t="str">
        <f ca="1">IFERROR(IFERROR(IF(VLOOKUP($A58,'Шаг2.Бланк заказа NEW'!$B$17:$N$201,7,0)="","",VLOOKUP($A58,'Шаг2.Бланк заказа NEW'!$B$17:$N$201,7,0)),
IF(VLOOKUP($A58-COUNT('Шаг2.Бланк заказа NEW'!$B$19:$B$201),'Бланк OLD 0.8 04'!$B$12:$K$200,7,0)&gt;0,0.8,
IF(VLOOKUP($A58-COUNT('Шаг2.Бланк заказа NEW'!$B$19:$B$201),'Бланк OLD 0.8 04'!$B$12:$K$200,8,0)&gt;0,0.4,""))),
IF(VLOOKUP($A58-COUNT('Шаг2.Бланк заказа NEW'!$B$19:$B$201)-COUNT('Бланк OLD 0.8 04'!$B$18:$B$200),'Бланк OLD 2.0 04 '!$B$16:$K$200,7,0)&gt;0,2,IF(VLOOKUP($A58-COUNT('Шаг2.Бланк заказа NEW'!$B$19:$B$201)-COUNT('Бланк OLD 0.8 04'!$B$18:$B$200),'Бланк OLD 2.0 04 '!$B$16:$K$200,8,0)&gt;0,0.4,"")))</f>
        <v/>
      </c>
      <c r="U58" s="147" t="str">
        <f ca="1">IFERROR(IFERROR(IF(VLOOKUP($A58,'Шаг2.Бланк заказа NEW'!$B$17:$N$201,8,0)="","",VLOOKUP($A58,'Шаг2.Бланк заказа NEW'!$B$17:$N$201,8,0)),
IF(VLOOKUP($A58-COUNT('Шаг2.Бланк заказа NEW'!$B$19:$B$201),'Бланк OLD 0.8 04'!$B$12:$K$200,7,0)&gt;1,0.8,
IF(VLOOKUP($A58-COUNT('Шаг2.Бланк заказа NEW'!$B$19:$B$201),'Бланк OLD 0.8 04'!$B$12:$K$200,8,0)&gt;1,0.4,
IF(AND(VLOOKUP($A58-COUNT('Шаг2.Бланк заказа NEW'!$B$19:$B$201),'Бланк OLD 0.8 04'!$B$12:$K$200,7,0)&gt;0,VLOOKUP($A58-COUNT('Шаг2.Бланк заказа NEW'!$B$19:$B$201),'Бланк OLD 0.8 04'!$B$12:$K$200,8,0)&gt;0),0.4,"")))),
IF(VLOOKUP($A58-COUNT('Шаг2.Бланк заказа NEW'!$B$19:$B$201)-COUNT('Бланк OLD 0.8 04'!$B$18:$B$200),'Бланк OLD 2.0 04 '!$B$16:$K$200,7,0)&gt;1,2,
IF(VLOOKUP($A58-COUNT('Шаг2.Бланк заказа NEW'!$B$19:$B$201)-COUNT('Бланк OLD 0.8 04'!$B$18:$B$200),'Бланк OLD 2.0 04 '!$B$16:$K$200,8,0)&gt;1,0.4,
IF(AND(VLOOKUP($A58-COUNT('Шаг2.Бланк заказа NEW'!$B$19:$B$201)-COUNT('Бланк OLD 0.8 04'!$B$18:$B$200),'Бланк OLD 2.0 04 '!$B$16:$K$200,7,0)&gt;0,VLOOKUP($A58-COUNT('Шаг2.Бланк заказа NEW'!$B$19:$B$201)-COUNT('Бланк OLD 0.8 04'!$B$18:$B$200),'Бланк OLD 2.0 04 '!$B$16:$K$200,8,0)&gt;0),0.4,""))))</f>
        <v/>
      </c>
      <c r="V58" s="146" t="str">
        <f ca="1">IFERROR(VLOOKUP(C58,'Шаг1.Выбор плиты'!C:S,12,0),"")</f>
        <v/>
      </c>
      <c r="W58" s="146" t="str">
        <f ca="1">IFERROR(VLOOKUP(C58,'Шаг1.Выбор плиты'!C:S,8,0),"")</f>
        <v/>
      </c>
      <c r="X58" s="146" t="str">
        <f ca="1">IFERROR(VLOOKUP(C58,'Шаг1.Выбор плиты'!C:S,10,0),"")</f>
        <v/>
      </c>
      <c r="Y58" s="147" t="str">
        <f t="shared" ca="1" si="1"/>
        <v/>
      </c>
      <c r="AD58" s="147" t="str">
        <f t="shared" ca="1" si="6"/>
        <v/>
      </c>
      <c r="AE58" s="147" t="str">
        <f t="shared" ca="1" si="3"/>
        <v/>
      </c>
      <c r="AF58" s="25"/>
      <c r="AH58" s="147" t="str">
        <f ca="1">IF(C58="","",VLOOKUP(C58,'Шаг1.Выбор плиты'!C:Q,7,0))</f>
        <v/>
      </c>
      <c r="AI58" s="147" t="str">
        <f t="shared" ca="1" si="7"/>
        <v/>
      </c>
    </row>
    <row r="59" spans="1:35" x14ac:dyDescent="0.2">
      <c r="A59" s="151" t="str">
        <f ca="1">IF(C59="","",MAX($A$1:OFFSET(C59,-1,0))+1)</f>
        <v/>
      </c>
      <c r="B59" s="151" t="str">
        <f ca="1">IFERROR(IFERROR(IFERROR("Шаг2.Бланк заказа NEW №"&amp;VLOOKUP(A58+1,CHOOSE({1,2},'Шаг2.Бланк заказа NEW'!$B$19:$B$201,'Шаг2.Бланк заказа NEW'!$A$19:$A$201),1,0),
"Бланк OLD 0.8 04 №"&amp;VLOOKUP(A58+1-COUNT('Шаг2.Бланк заказа NEW'!$B$19:$B$201),CHOOSE({1,2},'Бланк OLD 0.8 04'!$B$18:$B$200,'Бланк OLD 0.8 04'!$A$18:$A$200),1,0)),
"Бланк OLD 2.0 04 №"&amp;VLOOKUP(A58+1-COUNT('Шаг2.Бланк заказа NEW'!$B$19:$B$201)-COUNT('Бланк OLD 0.8 04'!$B$18:$B$200),CHOOSE({1,2},'Бланк OLD 2.0 04 '!$B$18:$B$200,'Бланк OLD 2.0 04 '!$A$18:$A$200),1,0)),"")</f>
        <v/>
      </c>
      <c r="C59" s="152" t="str">
        <f ca="1">IFERROR(IFERROR(IFERROR(VLOOKUP(A58+1,CHOOSE({1,2},'Шаг2.Бланк заказа NEW'!$B$19:$B$201,'Шаг2.Бланк заказа NEW'!$A$19:$A$201),2,0),
VLOOKUP(A58+1-COUNT('Шаг2.Бланк заказа NEW'!$B$19:$B$201),CHOOSE({1,2},'Бланк OLD 0.8 04'!$B$18:$B$200,'Бланк OLD 0.8 04'!$A$18:$A$200),2,0)),
VLOOKUP(A58+1-COUNT('Шаг2.Бланк заказа NEW'!$B$19:$B$201)-COUNT('Бланк OLD 0.8 04'!$B$18:$B$200),CHOOSE({1,2},'Бланк OLD 2.0 04 '!$B$18:$B$200,'Бланк OLD 2.0 04 '!$A$18:$A$200),2,0)),"")</f>
        <v/>
      </c>
      <c r="D59" s="150" t="str">
        <f ca="1">IFERROR(VLOOKUP(C59,'Шаг1.Выбор плиты'!C:G,5,0),"")</f>
        <v/>
      </c>
      <c r="E59" s="147" t="str">
        <f ca="1">IFERROR(IFERROR(IF(VLOOKUP($A59,'Шаг2.Бланк заказа NEW'!$B$17:$N$201,2,0)="","",VLOOKUP($A59,'Шаг2.Бланк заказа NEW'!$B$17:$N$201,2,0)),
IF(VLOOKUP($A59-COUNT('Шаг2.Бланк заказа NEW'!$B$19:$B$201),'Бланк OLD 0.8 04'!$B$12:$K$200,2,0)="","",VLOOKUP($A59-COUNT('Шаг2.Бланк заказа NEW'!$B$19:$B$201),'Бланк OLD 0.8 04'!$B$12:$K$200,2,0))),
IF(VLOOKUP($A59-COUNT('Шаг2.Бланк заказа NEW'!$B$19:$B$201)-COUNT('Бланк OLD 0.8 04'!$B$18:$B$200),'Бланк OLD 2.0 04 '!$B$16:$K$200,2,0)="","",VLOOKUP($A59-COUNT('Шаг2.Бланк заказа NEW'!$B$19:$B$201)-COUNT('Бланк OLD 0.8 04'!$B$18:$B$200),'Бланк OLD 2.0 04 '!$B$16:$K$200,2,0)))</f>
        <v/>
      </c>
      <c r="F59" s="147" t="str">
        <f ca="1">IFERROR(IFERROR(IF(VLOOKUP($A59,'Шаг2.Бланк заказа NEW'!$B$17:$N$201,3,0)="","",VLOOKUP($A59,'Шаг2.Бланк заказа NEW'!$B$17:$N$201,3,0)),
IF(VLOOKUP($A59-COUNT('Шаг2.Бланк заказа NEW'!$B$19:$B$201),'Бланк OLD 0.8 04'!$B$12:$K$200,3,0)="","",VLOOKUP($A59-COUNT('Шаг2.Бланк заказа NEW'!$B$19:$B$201),'Бланк OLD 0.8 04'!$B$12:$K$200,3,0))),
IF(VLOOKUP($A59-COUNT('Шаг2.Бланк заказа NEW'!$B$19:$B$201)-COUNT('Бланк OLD 0.8 04'!$B$18:$B$200),'Бланк OLD 2.0 04 '!$B$16:$K$200,3,0)="","",VLOOKUP($A59-COUNT('Шаг2.Бланк заказа NEW'!$B$19:$B$201)-COUNT('Бланк OLD 0.8 04'!$B$18:$B$200),'Бланк OLD 2.0 04 '!$B$16:$K$200,3,0)))</f>
        <v/>
      </c>
      <c r="G59" s="176" t="str">
        <f ca="1">IF(IF(R59="","",IF(R59=1,SUMIFS('Шаг1.Выбор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плиты'!C:Q,12,0)),1))))))=0,
R59,
IF(R59="","",IF(R59=1,SUMIFS('Шаг1.Выбор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плиты'!N:N,R59,'Шаг1.Выбор плиты'!M:M,SMALL(INDIRECT("мм"&amp;VLOOKUP(C59,'Шаг1.Выбор плиты'!C:Q,12,0)),1)))))))</f>
        <v/>
      </c>
      <c r="H59" s="177" t="str">
        <f ca="1">IF(IF(S59="","",IF(S59=1,SUMIFS('Шаг1.Выбор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плиты'!C:Q,12,0)),1))))))=0,
S59,
IF(S59="","",IF(S59=1,SUMIFS('Шаг1.Выбор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плиты'!N:N,S59,'Шаг1.Выбор плиты'!M:M,SMALL(INDIRECT("мм"&amp;VLOOKUP(C59,'Шаг1.Выбор плиты'!C:Q,12,0)),1)))))))</f>
        <v/>
      </c>
      <c r="I59" s="147" t="str">
        <f ca="1">IFERROR(IFERROR(IF(VLOOKUP($A59,'Шаг2.Бланк заказа NEW'!$B$17:$N$201,6,0)="","",VLOOKUP($A59,'Шаг2.Бланк заказа NEW'!$B$17:$N$201,6,0)),
IF(VLOOKUP($A59-COUNT('Шаг2.Бланк заказа NEW'!$B$19:$B$201),'Бланк OLD 0.8 04'!$B$12:$K$200,6,0)="","",VLOOKUP($A59-COUNT('Шаг2.Бланк заказа NEW'!$B$19:$B$201),'Бланк OLD 0.8 04'!$B$12:$K$200,6,0))),
IF(VLOOKUP($A59-COUNT('Шаг2.Бланк заказа NEW'!$B$19:$B$201)-COUNT('Бланк OLD 0.8 04'!$B$18:$B$200),'Бланк OLD 2.0 04 '!$B$16:$K$200,6,0)="","",VLOOKUP($A59-COUNT('Шаг2.Бланк заказа NEW'!$B$19:$B$201)-COUNT('Бланк OLD 0.8 04'!$B$18:$B$200),'Бланк OLD 2.0 04 '!$B$16:$K$200,6,0)))</f>
        <v/>
      </c>
      <c r="J59" s="177" t="str">
        <f ca="1">IF(IF(T59="","",IF(T59=1,SUMIFS('Шаг1.Выбор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плиты'!C:Q,12,0)),1))))))=0,
T59,
IF(T59="","",IF(T59=1,SUMIFS('Шаг1.Выбор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плиты'!N:N,T59,'Шаг1.Выбор плиты'!M:M,SMALL(INDIRECT("мм"&amp;VLOOKUP(C59,'Шаг1.Выбор плиты'!C:Q,12,0)),1)))))))</f>
        <v/>
      </c>
      <c r="K59" s="177" t="str">
        <f ca="1">IF(IF(U59="","",IF(U59=1,SUMIFS('Шаг1.Выбор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плиты'!C:Q,12,0)),1))))))=0,
U59,
IF(U59="","",IF(U59=1,SUMIFS('Шаг1.Выбор плиты'!$G:$G,'Шаг1.Выбор плиты'!J:J,"*"&amp;RIGHT(VLOOKUP(C59,'Шаг1.Выбор плиты'!C:Q,8,0),4),'Шаг1.Выбор плиты'!L:L,IF(MID(C59,1,6)="ЛДСП P","TM"&amp;MID(VLOOKUP(C59,'Шаг1.Выбор плиты'!C:Q,10,0),3,2),MID(VLOOKUP(C59,'Шаг1.Выбор плиты'!C:Q,10,0),1,2)),
'Шаг1.Выбор плиты'!N:N,1),IF(SUMIFS('Шаг1.Выбор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плиты'!C:Q,12,0)),1))=0,
IF(SUMIFS('Шаг1.Выбор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плиты'!C:Q,12,0)),2))=0,
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плиты'!C:Q,12,0)),3)),
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плиты'!C:Q,12,0)),2))),
(SUMIFS('Шаг1.Выбор плиты'!$G:$G,'Шаг1.Выбор плиты'!J:J,"*"&amp;RIGHT(VLOOKUP(C59,'Шаг1.Выбор плиты'!C:Q,8,0),4),'Шаг1.Выбор плиты'!L:L,VLOOKUP(C59,'Шаг1.Выбор плиты'!C:Q,10,0),'Шаг1.Выбор плиты'!N:N,U59,'Шаг1.Выбор плиты'!M:M,SMALL(INDIRECT("мм"&amp;VLOOKUP(C59,'Шаг1.Выбор плиты'!C:Q,12,0)),1)))))))</f>
        <v/>
      </c>
      <c r="L59" s="147" t="str">
        <f ca="1">IFERROR(IFERROR(IF(VLOOKUP($A59,'Шаг2.Бланк заказа NEW'!$B$17:$N$201,9,0)="","",VLOOKUP($A59,'Шаг2.Бланк заказа NEW'!$B$17:$N$201,9,0)),
IF(VLOOKUP($A59-COUNT('Шаг2.Бланк заказа NEW'!$B$19:$B$201),'Бланк OLD 0.8 04'!$B$12:$K$200,9,0)="","",VLOOKUP($A59-COUNT('Шаг2.Бланк заказа NEW'!$B$19:$B$201),'Бланк OLD 0.8 04'!$B$12:$K$200,9,0))),
IF(VLOOKUP($A59-COUNT('Шаг2.Бланк заказа NEW'!$B$19:$B$201)-COUNT('Бланк OLD 0.8 04'!$B$18:$B$200),'Бланк OLD 2.0 04 '!$B$16:$K$200,9,0)="","",VLOOKUP($A59-COUNT('Шаг2.Бланк заказа NEW'!$B$19:$B$201)-COUNT('Бланк OLD 0.8 04'!$B$18:$B$200),'Бланк OLD 2.0 04 '!$B$16:$K$200,9,0)))</f>
        <v/>
      </c>
      <c r="M59" s="154" t="str">
        <f t="shared" ca="1" si="5"/>
        <v/>
      </c>
      <c r="N59" s="153" t="str">
        <f ca="1">IFERROR(IF(VLOOKUP($A59,'Шаг2.Бланк заказа NEW'!$B$17:$N$201,11,0)="","",VLOOKUP($A59,'Шаг2.Бланк заказа NEW'!$B$17:$N$201,11,0)),
"Нет")</f>
        <v/>
      </c>
      <c r="O59" s="147" t="str">
        <f ca="1">IFERROR(IF(VLOOKUP($A59,'Шаг2.Бланк заказа NEW'!$B$17:$N$201,11,0)="","",VLOOKUP($A59,'Шаг2.Бланк заказа NEW'!$B$17:$N$201,12,0)),
"Нет")</f>
        <v/>
      </c>
      <c r="P59" s="153" t="str">
        <f ca="1">IFERROR(IF(VLOOKUP($A59,'Шаг2.Бланк заказа NEW'!$B$17:$N$201,13,0)="","",VLOOKUP($A59,'Шаг2.Бланк заказа NEW'!$B$17:$N$201,13,0)),
"Нет")</f>
        <v/>
      </c>
      <c r="Q59" s="147" t="str">
        <f ca="1">IFERROR(IF(VLOOKUP($A59,'Шаг2.Бланк заказа NEW'!$B$17:$O$201,14,0)="","",VLOOKUP($A59,'Шаг2.Бланк заказа NEW'!$B$17:$O$201,14,0)),"")</f>
        <v/>
      </c>
      <c r="R59" s="147" t="str">
        <f ca="1">IFERROR(IFERROR(IF(VLOOKUP($A59,'Шаг2.Бланк заказа NEW'!$B$17:$N$201,4,0)="","",VLOOKUP($A59,'Шаг2.Бланк заказа NEW'!$B$17:$N$201,4,0)),
IF(VLOOKUP($A59-COUNT('Шаг2.Бланк заказа NEW'!$B$19:$B$201),'Бланк OLD 0.8 04'!$B$12:$K$200,4,0)&gt;0,0.8,
IF(VLOOKUP($A59-COUNT('Шаг2.Бланк заказа NEW'!$B$19:$B$201),'Бланк OLD 0.8 04'!$B$12:$K$200,5,0)&gt;0,0.4,""))),
IF(VLOOKUP($A59-COUNT('Шаг2.Бланк заказа NEW'!$B$19:$B$201)-COUNT('Бланк OLD 0.8 04'!$B$18:$B$200),'Бланк OLD 2.0 04 '!$B$16:$K$200,4,0)&gt;0,2,IF(VLOOKUP($A59-COUNT('Шаг2.Бланк заказа NEW'!$B$19:$B$201)-COUNT('Бланк OLD 0.8 04'!$B$18:$B$200),'Бланк OLD 2.0 04 '!$B$16:$K$200,5,0)&gt;0,0.4,"")))</f>
        <v/>
      </c>
      <c r="S59" s="147" t="str">
        <f ca="1">IFERROR(IFERROR(IF(VLOOKUP($A59,'Шаг2.Бланк заказа NEW'!$B$17:$N$201,5,0)="","",VLOOKUP($A59,'Шаг2.Бланк заказа NEW'!$B$17:$N$201,5,0)),
IF(VLOOKUP($A59-COUNT('Шаг2.Бланк заказа NEW'!$B$19:$B$201),'Бланк OLD 0.8 04'!$B$12:$K$200,4,0)&gt;1,0.8,
IF(VLOOKUP($A59-COUNT('Шаг2.Бланк заказа NEW'!$B$19:$B$201),'Бланк OLD 0.8 04'!$B$12:$K$200,5,0)&gt;1,0.4,
IF(AND(VLOOKUP($A59-COUNT('Шаг2.Бланк заказа NEW'!$B$19:$B$201),'Бланк OLD 0.8 04'!$B$12:$K$200,4,0)&gt;0,VLOOKUP($A59-COUNT('Шаг2.Бланк заказа NEW'!$B$19:$B$201),'Бланк OLD 0.8 04'!$B$12:$K$200,5,0)&gt;0),0.4,"")))),
IF(VLOOKUP($A59-COUNT('Шаг2.Бланк заказа NEW'!$B$19:$B$201)-COUNT('Бланк OLD 0.8 04'!$B$18:$B$200),'Бланк OLD 2.0 04 '!$B$16:$K$200,4,0)&gt;1,2,
IF(VLOOKUP($A59-COUNT('Шаг2.Бланк заказа NEW'!$B$19:$B$201)-COUNT('Бланк OLD 0.8 04'!$B$18:$B$200),'Бланк OLD 2.0 04 '!$B$16:$K$200,5,0)&gt;1,0.4,IF(AND(VLOOKUP($A59-COUNT('Шаг2.Бланк заказа NEW'!$B$19:$B$201)-COUNT('Бланк OLD 0.8 04'!$B$18:$B$200),'Бланк OLD 2.0 04 '!$B$16:$K$200,4,0)&gt;0,VLOOKUP($A59-COUNT('Шаг2.Бланк заказа NEW'!$B$19:$B$201)-COUNT('Бланк OLD 0.8 04'!$B$18:$B$200),'Бланк OLD 2.0 04 '!$B$16:$K$200,5,0)&gt;0),0.4,""))))</f>
        <v/>
      </c>
      <c r="T59" s="147" t="str">
        <f ca="1">IFERROR(IFERROR(IF(VLOOKUP($A59,'Шаг2.Бланк заказа NEW'!$B$17:$N$201,7,0)="","",VLOOKUP($A59,'Шаг2.Бланк заказа NEW'!$B$17:$N$201,7,0)),
IF(VLOOKUP($A59-COUNT('Шаг2.Бланк заказа NEW'!$B$19:$B$201),'Бланк OLD 0.8 04'!$B$12:$K$200,7,0)&gt;0,0.8,
IF(VLOOKUP($A59-COUNT('Шаг2.Бланк заказа NEW'!$B$19:$B$201),'Бланк OLD 0.8 04'!$B$12:$K$200,8,0)&gt;0,0.4,""))),
IF(VLOOKUP($A59-COUNT('Шаг2.Бланк заказа NEW'!$B$19:$B$201)-COUNT('Бланк OLD 0.8 04'!$B$18:$B$200),'Бланк OLD 2.0 04 '!$B$16:$K$200,7,0)&gt;0,2,IF(VLOOKUP($A59-COUNT('Шаг2.Бланк заказа NEW'!$B$19:$B$201)-COUNT('Бланк OLD 0.8 04'!$B$18:$B$200),'Бланк OLD 2.0 04 '!$B$16:$K$200,8,0)&gt;0,0.4,"")))</f>
        <v/>
      </c>
      <c r="U59" s="147" t="str">
        <f ca="1">IFERROR(IFERROR(IF(VLOOKUP($A59,'Шаг2.Бланк заказа NEW'!$B$17:$N$201,8,0)="","",VLOOKUP($A59,'Шаг2.Бланк заказа NEW'!$B$17:$N$201,8,0)),
IF(VLOOKUP($A59-COUNT('Шаг2.Бланк заказа NEW'!$B$19:$B$201),'Бланк OLD 0.8 04'!$B$12:$K$200,7,0)&gt;1,0.8,
IF(VLOOKUP($A59-COUNT('Шаг2.Бланк заказа NEW'!$B$19:$B$201),'Бланк OLD 0.8 04'!$B$12:$K$200,8,0)&gt;1,0.4,
IF(AND(VLOOKUP($A59-COUNT('Шаг2.Бланк заказа NEW'!$B$19:$B$201),'Бланк OLD 0.8 04'!$B$12:$K$200,7,0)&gt;0,VLOOKUP($A59-COUNT('Шаг2.Бланк заказа NEW'!$B$19:$B$201),'Бланк OLD 0.8 04'!$B$12:$K$200,8,0)&gt;0),0.4,"")))),
IF(VLOOKUP($A59-COUNT('Шаг2.Бланк заказа NEW'!$B$19:$B$201)-COUNT('Бланк OLD 0.8 04'!$B$18:$B$200),'Бланк OLD 2.0 04 '!$B$16:$K$200,7,0)&gt;1,2,
IF(VLOOKUP($A59-COUNT('Шаг2.Бланк заказа NEW'!$B$19:$B$201)-COUNT('Бланк OLD 0.8 04'!$B$18:$B$200),'Бланк OLD 2.0 04 '!$B$16:$K$200,8,0)&gt;1,0.4,
IF(AND(VLOOKUP($A59-COUNT('Шаг2.Бланк заказа NEW'!$B$19:$B$201)-COUNT('Бланк OLD 0.8 04'!$B$18:$B$200),'Бланк OLD 2.0 04 '!$B$16:$K$200,7,0)&gt;0,VLOOKUP($A59-COUNT('Шаг2.Бланк заказа NEW'!$B$19:$B$201)-COUNT('Бланк OLD 0.8 04'!$B$18:$B$200),'Бланк OLD 2.0 04 '!$B$16:$K$200,8,0)&gt;0),0.4,""))))</f>
        <v/>
      </c>
      <c r="V59" s="146" t="str">
        <f ca="1">IFERROR(VLOOKUP(C59,'Шаг1.Выбор плиты'!C:S,12,0),"")</f>
        <v/>
      </c>
      <c r="W59" s="146" t="str">
        <f ca="1">IFERROR(VLOOKUP(C59,'Шаг1.Выбор плиты'!C:S,8,0),"")</f>
        <v/>
      </c>
      <c r="X59" s="146" t="str">
        <f ca="1">IFERROR(VLOOKUP(C59,'Шаг1.Выбор плиты'!C:S,10,0),"")</f>
        <v/>
      </c>
      <c r="Y59" s="147" t="str">
        <f t="shared" ca="1" si="1"/>
        <v/>
      </c>
      <c r="AD59" s="147" t="str">
        <f t="shared" ca="1" si="6"/>
        <v/>
      </c>
      <c r="AE59" s="147" t="str">
        <f t="shared" ca="1" si="3"/>
        <v/>
      </c>
      <c r="AF59" s="25"/>
      <c r="AH59" s="147" t="str">
        <f ca="1">IF(C59="","",VLOOKUP(C59,'Шаг1.Выбор плиты'!C:Q,7,0))</f>
        <v/>
      </c>
      <c r="AI59" s="147" t="str">
        <f t="shared" ca="1" si="7"/>
        <v/>
      </c>
    </row>
    <row r="60" spans="1:35" x14ac:dyDescent="0.2">
      <c r="A60" s="151" t="str">
        <f ca="1">IF(C60="","",MAX($A$1:OFFSET(C60,-1,0))+1)</f>
        <v/>
      </c>
      <c r="B60" s="151" t="str">
        <f ca="1">IFERROR(IFERROR(IFERROR("Шаг2.Бланк заказа NEW №"&amp;VLOOKUP(A59+1,CHOOSE({1,2},'Шаг2.Бланк заказа NEW'!$B$19:$B$201,'Шаг2.Бланк заказа NEW'!$A$19:$A$201),1,0),
"Бланк OLD 0.8 04 №"&amp;VLOOKUP(A59+1-COUNT('Шаг2.Бланк заказа NEW'!$B$19:$B$201),CHOOSE({1,2},'Бланк OLD 0.8 04'!$B$18:$B$200,'Бланк OLD 0.8 04'!$A$18:$A$200),1,0)),
"Бланк OLD 2.0 04 №"&amp;VLOOKUP(A59+1-COUNT('Шаг2.Бланк заказа NEW'!$B$19:$B$201)-COUNT('Бланк OLD 0.8 04'!$B$18:$B$200),CHOOSE({1,2},'Бланк OLD 2.0 04 '!$B$18:$B$200,'Бланк OLD 2.0 04 '!$A$18:$A$200),1,0)),"")</f>
        <v/>
      </c>
      <c r="C60" s="152" t="str">
        <f ca="1">IFERROR(IFERROR(IFERROR(VLOOKUP(A59+1,CHOOSE({1,2},'Шаг2.Бланк заказа NEW'!$B$19:$B$201,'Шаг2.Бланк заказа NEW'!$A$19:$A$201),2,0),
VLOOKUP(A59+1-COUNT('Шаг2.Бланк заказа NEW'!$B$19:$B$201),CHOOSE({1,2},'Бланк OLD 0.8 04'!$B$18:$B$200,'Бланк OLD 0.8 04'!$A$18:$A$200),2,0)),
VLOOKUP(A59+1-COUNT('Шаг2.Бланк заказа NEW'!$B$19:$B$201)-COUNT('Бланк OLD 0.8 04'!$B$18:$B$200),CHOOSE({1,2},'Бланк OLD 2.0 04 '!$B$18:$B$200,'Бланк OLD 2.0 04 '!$A$18:$A$200),2,0)),"")</f>
        <v/>
      </c>
      <c r="D60" s="150" t="str">
        <f ca="1">IFERROR(VLOOKUP(C60,'Шаг1.Выбор плиты'!C:G,5,0),"")</f>
        <v/>
      </c>
      <c r="E60" s="147" t="str">
        <f ca="1">IFERROR(IFERROR(IF(VLOOKUP($A60,'Шаг2.Бланк заказа NEW'!$B$17:$N$201,2,0)="","",VLOOKUP($A60,'Шаг2.Бланк заказа NEW'!$B$17:$N$201,2,0)),
IF(VLOOKUP($A60-COUNT('Шаг2.Бланк заказа NEW'!$B$19:$B$201),'Бланк OLD 0.8 04'!$B$12:$K$200,2,0)="","",VLOOKUP($A60-COUNT('Шаг2.Бланк заказа NEW'!$B$19:$B$201),'Бланк OLD 0.8 04'!$B$12:$K$200,2,0))),
IF(VLOOKUP($A60-COUNT('Шаг2.Бланк заказа NEW'!$B$19:$B$201)-COUNT('Бланк OLD 0.8 04'!$B$18:$B$200),'Бланк OLD 2.0 04 '!$B$16:$K$200,2,0)="","",VLOOKUP($A60-COUNT('Шаг2.Бланк заказа NEW'!$B$19:$B$201)-COUNT('Бланк OLD 0.8 04'!$B$18:$B$200),'Бланк OLD 2.0 04 '!$B$16:$K$200,2,0)))</f>
        <v/>
      </c>
      <c r="F60" s="147" t="str">
        <f ca="1">IFERROR(IFERROR(IF(VLOOKUP($A60,'Шаг2.Бланк заказа NEW'!$B$17:$N$201,3,0)="","",VLOOKUP($A60,'Шаг2.Бланк заказа NEW'!$B$17:$N$201,3,0)),
IF(VLOOKUP($A60-COUNT('Шаг2.Бланк заказа NEW'!$B$19:$B$201),'Бланк OLD 0.8 04'!$B$12:$K$200,3,0)="","",VLOOKUP($A60-COUNT('Шаг2.Бланк заказа NEW'!$B$19:$B$201),'Бланк OLD 0.8 04'!$B$12:$K$200,3,0))),
IF(VLOOKUP($A60-COUNT('Шаг2.Бланк заказа NEW'!$B$19:$B$201)-COUNT('Бланк OLD 0.8 04'!$B$18:$B$200),'Бланк OLD 2.0 04 '!$B$16:$K$200,3,0)="","",VLOOKUP($A60-COUNT('Шаг2.Бланк заказа NEW'!$B$19:$B$201)-COUNT('Бланк OLD 0.8 04'!$B$18:$B$200),'Бланк OLD 2.0 04 '!$B$16:$K$200,3,0)))</f>
        <v/>
      </c>
      <c r="G60" s="176" t="str">
        <f ca="1">IF(IF(R60="","",IF(R60=1,SUMIFS('Шаг1.Выбор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плиты'!C:Q,12,0)),1))))))=0,
R60,
IF(R60="","",IF(R60=1,SUMIFS('Шаг1.Выбор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плиты'!N:N,R60,'Шаг1.Выбор плиты'!M:M,SMALL(INDIRECT("мм"&amp;VLOOKUP(C60,'Шаг1.Выбор плиты'!C:Q,12,0)),1)))))))</f>
        <v/>
      </c>
      <c r="H60" s="177" t="str">
        <f ca="1">IF(IF(S60="","",IF(S60=1,SUMIFS('Шаг1.Выбор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плиты'!C:Q,12,0)),1))))))=0,
S60,
IF(S60="","",IF(S60=1,SUMIFS('Шаг1.Выбор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плиты'!N:N,S60,'Шаг1.Выбор плиты'!M:M,SMALL(INDIRECT("мм"&amp;VLOOKUP(C60,'Шаг1.Выбор плиты'!C:Q,12,0)),1)))))))</f>
        <v/>
      </c>
      <c r="I60" s="147" t="str">
        <f ca="1">IFERROR(IFERROR(IF(VLOOKUP($A60,'Шаг2.Бланк заказа NEW'!$B$17:$N$201,6,0)="","",VLOOKUP($A60,'Шаг2.Бланк заказа NEW'!$B$17:$N$201,6,0)),
IF(VLOOKUP($A60-COUNT('Шаг2.Бланк заказа NEW'!$B$19:$B$201),'Бланк OLD 0.8 04'!$B$12:$K$200,6,0)="","",VLOOKUP($A60-COUNT('Шаг2.Бланк заказа NEW'!$B$19:$B$201),'Бланк OLD 0.8 04'!$B$12:$K$200,6,0))),
IF(VLOOKUP($A60-COUNT('Шаг2.Бланк заказа NEW'!$B$19:$B$201)-COUNT('Бланк OLD 0.8 04'!$B$18:$B$200),'Бланк OLD 2.0 04 '!$B$16:$K$200,6,0)="","",VLOOKUP($A60-COUNT('Шаг2.Бланк заказа NEW'!$B$19:$B$201)-COUNT('Бланк OLD 0.8 04'!$B$18:$B$200),'Бланк OLD 2.0 04 '!$B$16:$K$200,6,0)))</f>
        <v/>
      </c>
      <c r="J60" s="177" t="str">
        <f ca="1">IF(IF(T60="","",IF(T60=1,SUMIFS('Шаг1.Выбор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плиты'!C:Q,12,0)),1))))))=0,
T60,
IF(T60="","",IF(T60=1,SUMIFS('Шаг1.Выбор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плиты'!N:N,T60,'Шаг1.Выбор плиты'!M:M,SMALL(INDIRECT("мм"&amp;VLOOKUP(C60,'Шаг1.Выбор плиты'!C:Q,12,0)),1)))))))</f>
        <v/>
      </c>
      <c r="K60" s="177" t="str">
        <f ca="1">IF(IF(U60="","",IF(U60=1,SUMIFS('Шаг1.Выбор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плиты'!C:Q,12,0)),1))))))=0,
U60,
IF(U60="","",IF(U60=1,SUMIFS('Шаг1.Выбор плиты'!$G:$G,'Шаг1.Выбор плиты'!J:J,"*"&amp;RIGHT(VLOOKUP(C60,'Шаг1.Выбор плиты'!C:Q,8,0),4),'Шаг1.Выбор плиты'!L:L,IF(MID(C60,1,6)="ЛДСП P","TM"&amp;MID(VLOOKUP(C60,'Шаг1.Выбор плиты'!C:Q,10,0),3,2),MID(VLOOKUP(C60,'Шаг1.Выбор плиты'!C:Q,10,0),1,2)),
'Шаг1.Выбор плиты'!N:N,1),IF(SUMIFS('Шаг1.Выбор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плиты'!C:Q,12,0)),1))=0,
IF(SUMIFS('Шаг1.Выбор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плиты'!C:Q,12,0)),2))=0,
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плиты'!C:Q,12,0)),3)),
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плиты'!C:Q,12,0)),2))),
(SUMIFS('Шаг1.Выбор плиты'!$G:$G,'Шаг1.Выбор плиты'!J:J,"*"&amp;RIGHT(VLOOKUP(C60,'Шаг1.Выбор плиты'!C:Q,8,0),4),'Шаг1.Выбор плиты'!L:L,VLOOKUP(C60,'Шаг1.Выбор плиты'!C:Q,10,0),'Шаг1.Выбор плиты'!N:N,U60,'Шаг1.Выбор плиты'!M:M,SMALL(INDIRECT("мм"&amp;VLOOKUP(C60,'Шаг1.Выбор плиты'!C:Q,12,0)),1)))))))</f>
        <v/>
      </c>
      <c r="L60" s="147" t="str">
        <f ca="1">IFERROR(IFERROR(IF(VLOOKUP($A60,'Шаг2.Бланк заказа NEW'!$B$17:$N$201,9,0)="","",VLOOKUP($A60,'Шаг2.Бланк заказа NEW'!$B$17:$N$201,9,0)),
IF(VLOOKUP($A60-COUNT('Шаг2.Бланк заказа NEW'!$B$19:$B$201),'Бланк OLD 0.8 04'!$B$12:$K$200,9,0)="","",VLOOKUP($A60-COUNT('Шаг2.Бланк заказа NEW'!$B$19:$B$201),'Бланк OLD 0.8 04'!$B$12:$K$200,9,0))),
IF(VLOOKUP($A60-COUNT('Шаг2.Бланк заказа NEW'!$B$19:$B$201)-COUNT('Бланк OLD 0.8 04'!$B$18:$B$200),'Бланк OLD 2.0 04 '!$B$16:$K$200,9,0)="","",VLOOKUP($A60-COUNT('Шаг2.Бланк заказа NEW'!$B$19:$B$201)-COUNT('Бланк OLD 0.8 04'!$B$18:$B$200),'Бланк OLD 2.0 04 '!$B$16:$K$200,9,0)))</f>
        <v/>
      </c>
      <c r="M60" s="154" t="str">
        <f t="shared" ca="1" si="5"/>
        <v/>
      </c>
      <c r="N60" s="153" t="str">
        <f ca="1">IFERROR(IF(VLOOKUP($A60,'Шаг2.Бланк заказа NEW'!$B$17:$N$201,11,0)="","",VLOOKUP($A60,'Шаг2.Бланк заказа NEW'!$B$17:$N$201,11,0)),
"Нет")</f>
        <v/>
      </c>
      <c r="O60" s="147" t="str">
        <f ca="1">IFERROR(IF(VLOOKUP($A60,'Шаг2.Бланк заказа NEW'!$B$17:$N$201,11,0)="","",VLOOKUP($A60,'Шаг2.Бланк заказа NEW'!$B$17:$N$201,12,0)),
"Нет")</f>
        <v/>
      </c>
      <c r="P60" s="153" t="str">
        <f ca="1">IFERROR(IF(VLOOKUP($A60,'Шаг2.Бланк заказа NEW'!$B$17:$N$201,13,0)="","",VLOOKUP($A60,'Шаг2.Бланк заказа NEW'!$B$17:$N$201,13,0)),
"Нет")</f>
        <v/>
      </c>
      <c r="Q60" s="147" t="str">
        <f ca="1">IFERROR(IF(VLOOKUP($A60,'Шаг2.Бланк заказа NEW'!$B$17:$O$201,14,0)="","",VLOOKUP($A60,'Шаг2.Бланк заказа NEW'!$B$17:$O$201,14,0)),"")</f>
        <v/>
      </c>
      <c r="R60" s="147" t="str">
        <f ca="1">IFERROR(IFERROR(IF(VLOOKUP($A60,'Шаг2.Бланк заказа NEW'!$B$17:$N$201,4,0)="","",VLOOKUP($A60,'Шаг2.Бланк заказа NEW'!$B$17:$N$201,4,0)),
IF(VLOOKUP($A60-COUNT('Шаг2.Бланк заказа NEW'!$B$19:$B$201),'Бланк OLD 0.8 04'!$B$12:$K$200,4,0)&gt;0,0.8,
IF(VLOOKUP($A60-COUNT('Шаг2.Бланк заказа NEW'!$B$19:$B$201),'Бланк OLD 0.8 04'!$B$12:$K$200,5,0)&gt;0,0.4,""))),
IF(VLOOKUP($A60-COUNT('Шаг2.Бланк заказа NEW'!$B$19:$B$201)-COUNT('Бланк OLD 0.8 04'!$B$18:$B$200),'Бланк OLD 2.0 04 '!$B$16:$K$200,4,0)&gt;0,2,IF(VLOOKUP($A60-COUNT('Шаг2.Бланк заказа NEW'!$B$19:$B$201)-COUNT('Бланк OLD 0.8 04'!$B$18:$B$200),'Бланк OLD 2.0 04 '!$B$16:$K$200,5,0)&gt;0,0.4,"")))</f>
        <v/>
      </c>
      <c r="S60" s="147" t="str">
        <f ca="1">IFERROR(IFERROR(IF(VLOOKUP($A60,'Шаг2.Бланк заказа NEW'!$B$17:$N$201,5,0)="","",VLOOKUP($A60,'Шаг2.Бланк заказа NEW'!$B$17:$N$201,5,0)),
IF(VLOOKUP($A60-COUNT('Шаг2.Бланк заказа NEW'!$B$19:$B$201),'Бланк OLD 0.8 04'!$B$12:$K$200,4,0)&gt;1,0.8,
IF(VLOOKUP($A60-COUNT('Шаг2.Бланк заказа NEW'!$B$19:$B$201),'Бланк OLD 0.8 04'!$B$12:$K$200,5,0)&gt;1,0.4,
IF(AND(VLOOKUP($A60-COUNT('Шаг2.Бланк заказа NEW'!$B$19:$B$201),'Бланк OLD 0.8 04'!$B$12:$K$200,4,0)&gt;0,VLOOKUP($A60-COUNT('Шаг2.Бланк заказа NEW'!$B$19:$B$201),'Бланк OLD 0.8 04'!$B$12:$K$200,5,0)&gt;0),0.4,"")))),
IF(VLOOKUP($A60-COUNT('Шаг2.Бланк заказа NEW'!$B$19:$B$201)-COUNT('Бланк OLD 0.8 04'!$B$18:$B$200),'Бланк OLD 2.0 04 '!$B$16:$K$200,4,0)&gt;1,2,
IF(VLOOKUP($A60-COUNT('Шаг2.Бланк заказа NEW'!$B$19:$B$201)-COUNT('Бланк OLD 0.8 04'!$B$18:$B$200),'Бланк OLD 2.0 04 '!$B$16:$K$200,5,0)&gt;1,0.4,IF(AND(VLOOKUP($A60-COUNT('Шаг2.Бланк заказа NEW'!$B$19:$B$201)-COUNT('Бланк OLD 0.8 04'!$B$18:$B$200),'Бланк OLD 2.0 04 '!$B$16:$K$200,4,0)&gt;0,VLOOKUP($A60-COUNT('Шаг2.Бланк заказа NEW'!$B$19:$B$201)-COUNT('Бланк OLD 0.8 04'!$B$18:$B$200),'Бланк OLD 2.0 04 '!$B$16:$K$200,5,0)&gt;0),0.4,""))))</f>
        <v/>
      </c>
      <c r="T60" s="147" t="str">
        <f ca="1">IFERROR(IFERROR(IF(VLOOKUP($A60,'Шаг2.Бланк заказа NEW'!$B$17:$N$201,7,0)="","",VLOOKUP($A60,'Шаг2.Бланк заказа NEW'!$B$17:$N$201,7,0)),
IF(VLOOKUP($A60-COUNT('Шаг2.Бланк заказа NEW'!$B$19:$B$201),'Бланк OLD 0.8 04'!$B$12:$K$200,7,0)&gt;0,0.8,
IF(VLOOKUP($A60-COUNT('Шаг2.Бланк заказа NEW'!$B$19:$B$201),'Бланк OLD 0.8 04'!$B$12:$K$200,8,0)&gt;0,0.4,""))),
IF(VLOOKUP($A60-COUNT('Шаг2.Бланк заказа NEW'!$B$19:$B$201)-COUNT('Бланк OLD 0.8 04'!$B$18:$B$200),'Бланк OLD 2.0 04 '!$B$16:$K$200,7,0)&gt;0,2,IF(VLOOKUP($A60-COUNT('Шаг2.Бланк заказа NEW'!$B$19:$B$201)-COUNT('Бланк OLD 0.8 04'!$B$18:$B$200),'Бланк OLD 2.0 04 '!$B$16:$K$200,8,0)&gt;0,0.4,"")))</f>
        <v/>
      </c>
      <c r="U60" s="147" t="str">
        <f ca="1">IFERROR(IFERROR(IF(VLOOKUP($A60,'Шаг2.Бланк заказа NEW'!$B$17:$N$201,8,0)="","",VLOOKUP($A60,'Шаг2.Бланк заказа NEW'!$B$17:$N$201,8,0)),
IF(VLOOKUP($A60-COUNT('Шаг2.Бланк заказа NEW'!$B$19:$B$201),'Бланк OLD 0.8 04'!$B$12:$K$200,7,0)&gt;1,0.8,
IF(VLOOKUP($A60-COUNT('Шаг2.Бланк заказа NEW'!$B$19:$B$201),'Бланк OLD 0.8 04'!$B$12:$K$200,8,0)&gt;1,0.4,
IF(AND(VLOOKUP($A60-COUNT('Шаг2.Бланк заказа NEW'!$B$19:$B$201),'Бланк OLD 0.8 04'!$B$12:$K$200,7,0)&gt;0,VLOOKUP($A60-COUNT('Шаг2.Бланк заказа NEW'!$B$19:$B$201),'Бланк OLD 0.8 04'!$B$12:$K$200,8,0)&gt;0),0.4,"")))),
IF(VLOOKUP($A60-COUNT('Шаг2.Бланк заказа NEW'!$B$19:$B$201)-COUNT('Бланк OLD 0.8 04'!$B$18:$B$200),'Бланк OLD 2.0 04 '!$B$16:$K$200,7,0)&gt;1,2,
IF(VLOOKUP($A60-COUNT('Шаг2.Бланк заказа NEW'!$B$19:$B$201)-COUNT('Бланк OLD 0.8 04'!$B$18:$B$200),'Бланк OLD 2.0 04 '!$B$16:$K$200,8,0)&gt;1,0.4,
IF(AND(VLOOKUP($A60-COUNT('Шаг2.Бланк заказа NEW'!$B$19:$B$201)-COUNT('Бланк OLD 0.8 04'!$B$18:$B$200),'Бланк OLD 2.0 04 '!$B$16:$K$200,7,0)&gt;0,VLOOKUP($A60-COUNT('Шаг2.Бланк заказа NEW'!$B$19:$B$201)-COUNT('Бланк OLD 0.8 04'!$B$18:$B$200),'Бланк OLD 2.0 04 '!$B$16:$K$200,8,0)&gt;0),0.4,""))))</f>
        <v/>
      </c>
      <c r="V60" s="146" t="str">
        <f ca="1">IFERROR(VLOOKUP(C60,'Шаг1.Выбор плиты'!C:S,12,0),"")</f>
        <v/>
      </c>
      <c r="W60" s="146" t="str">
        <f ca="1">IFERROR(VLOOKUP(C60,'Шаг1.Выбор плиты'!C:S,8,0),"")</f>
        <v/>
      </c>
      <c r="X60" s="146" t="str">
        <f ca="1">IFERROR(VLOOKUP(C60,'Шаг1.Выбор плиты'!C:S,10,0),"")</f>
        <v/>
      </c>
      <c r="Y60" s="147" t="str">
        <f t="shared" ca="1" si="1"/>
        <v/>
      </c>
      <c r="AD60" s="147" t="str">
        <f t="shared" ca="1" si="6"/>
        <v/>
      </c>
      <c r="AE60" s="147" t="str">
        <f t="shared" ca="1" si="3"/>
        <v/>
      </c>
      <c r="AF60" s="25"/>
      <c r="AH60" s="147" t="str">
        <f ca="1">IF(C60="","",VLOOKUP(C60,'Шаг1.Выбор плиты'!C:Q,7,0))</f>
        <v/>
      </c>
      <c r="AI60" s="147" t="str">
        <f t="shared" ca="1" si="7"/>
        <v/>
      </c>
    </row>
    <row r="61" spans="1:35" x14ac:dyDescent="0.2">
      <c r="A61" s="151" t="str">
        <f ca="1">IF(C61="","",MAX($A$1:OFFSET(C61,-1,0))+1)</f>
        <v/>
      </c>
      <c r="B61" s="151" t="str">
        <f ca="1">IFERROR(IFERROR(IFERROR("Шаг2.Бланк заказа NEW №"&amp;VLOOKUP(A60+1,CHOOSE({1,2},'Шаг2.Бланк заказа NEW'!$B$19:$B$201,'Шаг2.Бланк заказа NEW'!$A$19:$A$201),1,0),
"Бланк OLD 0.8 04 №"&amp;VLOOKUP(A60+1-COUNT('Шаг2.Бланк заказа NEW'!$B$19:$B$201),CHOOSE({1,2},'Бланк OLD 0.8 04'!$B$18:$B$200,'Бланк OLD 0.8 04'!$A$18:$A$200),1,0)),
"Бланк OLD 2.0 04 №"&amp;VLOOKUP(A60+1-COUNT('Шаг2.Бланк заказа NEW'!$B$19:$B$201)-COUNT('Бланк OLD 0.8 04'!$B$18:$B$200),CHOOSE({1,2},'Бланк OLD 2.0 04 '!$B$18:$B$200,'Бланк OLD 2.0 04 '!$A$18:$A$200),1,0)),"")</f>
        <v/>
      </c>
      <c r="C61" s="152" t="str">
        <f ca="1">IFERROR(IFERROR(IFERROR(VLOOKUP(A60+1,CHOOSE({1,2},'Шаг2.Бланк заказа NEW'!$B$19:$B$201,'Шаг2.Бланк заказа NEW'!$A$19:$A$201),2,0),
VLOOKUP(A60+1-COUNT('Шаг2.Бланк заказа NEW'!$B$19:$B$201),CHOOSE({1,2},'Бланк OLD 0.8 04'!$B$18:$B$200,'Бланк OLD 0.8 04'!$A$18:$A$200),2,0)),
VLOOKUP(A60+1-COUNT('Шаг2.Бланк заказа NEW'!$B$19:$B$201)-COUNT('Бланк OLD 0.8 04'!$B$18:$B$200),CHOOSE({1,2},'Бланк OLD 2.0 04 '!$B$18:$B$200,'Бланк OLD 2.0 04 '!$A$18:$A$200),2,0)),"")</f>
        <v/>
      </c>
      <c r="D61" s="150" t="str">
        <f ca="1">IFERROR(VLOOKUP(C61,'Шаг1.Выбор плиты'!C:G,5,0),"")</f>
        <v/>
      </c>
      <c r="E61" s="147" t="str">
        <f ca="1">IFERROR(IFERROR(IF(VLOOKUP($A61,'Шаг2.Бланк заказа NEW'!$B$17:$N$201,2,0)="","",VLOOKUP($A61,'Шаг2.Бланк заказа NEW'!$B$17:$N$201,2,0)),
IF(VLOOKUP($A61-COUNT('Шаг2.Бланк заказа NEW'!$B$19:$B$201),'Бланк OLD 0.8 04'!$B$12:$K$200,2,0)="","",VLOOKUP($A61-COUNT('Шаг2.Бланк заказа NEW'!$B$19:$B$201),'Бланк OLD 0.8 04'!$B$12:$K$200,2,0))),
IF(VLOOKUP($A61-COUNT('Шаг2.Бланк заказа NEW'!$B$19:$B$201)-COUNT('Бланк OLD 0.8 04'!$B$18:$B$200),'Бланк OLD 2.0 04 '!$B$16:$K$200,2,0)="","",VLOOKUP($A61-COUNT('Шаг2.Бланк заказа NEW'!$B$19:$B$201)-COUNT('Бланк OLD 0.8 04'!$B$18:$B$200),'Бланк OLD 2.0 04 '!$B$16:$K$200,2,0)))</f>
        <v/>
      </c>
      <c r="F61" s="147" t="str">
        <f ca="1">IFERROR(IFERROR(IF(VLOOKUP($A61,'Шаг2.Бланк заказа NEW'!$B$17:$N$201,3,0)="","",VLOOKUP($A61,'Шаг2.Бланк заказа NEW'!$B$17:$N$201,3,0)),
IF(VLOOKUP($A61-COUNT('Шаг2.Бланк заказа NEW'!$B$19:$B$201),'Бланк OLD 0.8 04'!$B$12:$K$200,3,0)="","",VLOOKUP($A61-COUNT('Шаг2.Бланк заказа NEW'!$B$19:$B$201),'Бланк OLD 0.8 04'!$B$12:$K$200,3,0))),
IF(VLOOKUP($A61-COUNT('Шаг2.Бланк заказа NEW'!$B$19:$B$201)-COUNT('Бланк OLD 0.8 04'!$B$18:$B$200),'Бланк OLD 2.0 04 '!$B$16:$K$200,3,0)="","",VLOOKUP($A61-COUNT('Шаг2.Бланк заказа NEW'!$B$19:$B$201)-COUNT('Бланк OLD 0.8 04'!$B$18:$B$200),'Бланк OLD 2.0 04 '!$B$16:$K$200,3,0)))</f>
        <v/>
      </c>
      <c r="G61" s="176" t="str">
        <f ca="1">IF(IF(R61="","",IF(R61=1,SUMIFS('Шаг1.Выбор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плиты'!C:Q,12,0)),1))))))=0,
R61,
IF(R61="","",IF(R61=1,SUMIFS('Шаг1.Выбор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плиты'!N:N,R61,'Шаг1.Выбор плиты'!M:M,SMALL(INDIRECT("мм"&amp;VLOOKUP(C61,'Шаг1.Выбор плиты'!C:Q,12,0)),1)))))))</f>
        <v/>
      </c>
      <c r="H61" s="177" t="str">
        <f ca="1">IF(IF(S61="","",IF(S61=1,SUMIFS('Шаг1.Выбор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плиты'!C:Q,12,0)),1))))))=0,
S61,
IF(S61="","",IF(S61=1,SUMIFS('Шаг1.Выбор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плиты'!N:N,S61,'Шаг1.Выбор плиты'!M:M,SMALL(INDIRECT("мм"&amp;VLOOKUP(C61,'Шаг1.Выбор плиты'!C:Q,12,0)),1)))))))</f>
        <v/>
      </c>
      <c r="I61" s="147" t="str">
        <f ca="1">IFERROR(IFERROR(IF(VLOOKUP($A61,'Шаг2.Бланк заказа NEW'!$B$17:$N$201,6,0)="","",VLOOKUP($A61,'Шаг2.Бланк заказа NEW'!$B$17:$N$201,6,0)),
IF(VLOOKUP($A61-COUNT('Шаг2.Бланк заказа NEW'!$B$19:$B$201),'Бланк OLD 0.8 04'!$B$12:$K$200,6,0)="","",VLOOKUP($A61-COUNT('Шаг2.Бланк заказа NEW'!$B$19:$B$201),'Бланк OLD 0.8 04'!$B$12:$K$200,6,0))),
IF(VLOOKUP($A61-COUNT('Шаг2.Бланк заказа NEW'!$B$19:$B$201)-COUNT('Бланк OLD 0.8 04'!$B$18:$B$200),'Бланк OLD 2.0 04 '!$B$16:$K$200,6,0)="","",VLOOKUP($A61-COUNT('Шаг2.Бланк заказа NEW'!$B$19:$B$201)-COUNT('Бланк OLD 0.8 04'!$B$18:$B$200),'Бланк OLD 2.0 04 '!$B$16:$K$200,6,0)))</f>
        <v/>
      </c>
      <c r="J61" s="177" t="str">
        <f ca="1">IF(IF(T61="","",IF(T61=1,SUMIFS('Шаг1.Выбор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плиты'!C:Q,12,0)),1))))))=0,
T61,
IF(T61="","",IF(T61=1,SUMIFS('Шаг1.Выбор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плиты'!N:N,T61,'Шаг1.Выбор плиты'!M:M,SMALL(INDIRECT("мм"&amp;VLOOKUP(C61,'Шаг1.Выбор плиты'!C:Q,12,0)),1)))))))</f>
        <v/>
      </c>
      <c r="K61" s="177" t="str">
        <f ca="1">IF(IF(U61="","",IF(U61=1,SUMIFS('Шаг1.Выбор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плиты'!C:Q,12,0)),1))))))=0,
U61,
IF(U61="","",IF(U61=1,SUMIFS('Шаг1.Выбор плиты'!$G:$G,'Шаг1.Выбор плиты'!J:J,"*"&amp;RIGHT(VLOOKUP(C61,'Шаг1.Выбор плиты'!C:Q,8,0),4),'Шаг1.Выбор плиты'!L:L,IF(MID(C61,1,6)="ЛДСП P","TM"&amp;MID(VLOOKUP(C61,'Шаг1.Выбор плиты'!C:Q,10,0),3,2),MID(VLOOKUP(C61,'Шаг1.Выбор плиты'!C:Q,10,0),1,2)),
'Шаг1.Выбор плиты'!N:N,1),IF(SUMIFS('Шаг1.Выбор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плиты'!C:Q,12,0)),1))=0,
IF(SUMIFS('Шаг1.Выбор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плиты'!C:Q,12,0)),2))=0,
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плиты'!C:Q,12,0)),3)),
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плиты'!C:Q,12,0)),2))),
(SUMIFS('Шаг1.Выбор плиты'!$G:$G,'Шаг1.Выбор плиты'!J:J,"*"&amp;RIGHT(VLOOKUP(C61,'Шаг1.Выбор плиты'!C:Q,8,0),4),'Шаг1.Выбор плиты'!L:L,VLOOKUP(C61,'Шаг1.Выбор плиты'!C:Q,10,0),'Шаг1.Выбор плиты'!N:N,U61,'Шаг1.Выбор плиты'!M:M,SMALL(INDIRECT("мм"&amp;VLOOKUP(C61,'Шаг1.Выбор плиты'!C:Q,12,0)),1)))))))</f>
        <v/>
      </c>
      <c r="L61" s="147" t="str">
        <f ca="1">IFERROR(IFERROR(IF(VLOOKUP($A61,'Шаг2.Бланк заказа NEW'!$B$17:$N$201,9,0)="","",VLOOKUP($A61,'Шаг2.Бланк заказа NEW'!$B$17:$N$201,9,0)),
IF(VLOOKUP($A61-COUNT('Шаг2.Бланк заказа NEW'!$B$19:$B$201),'Бланк OLD 0.8 04'!$B$12:$K$200,9,0)="","",VLOOKUP($A61-COUNT('Шаг2.Бланк заказа NEW'!$B$19:$B$201),'Бланк OLD 0.8 04'!$B$12:$K$200,9,0))),
IF(VLOOKUP($A61-COUNT('Шаг2.Бланк заказа NEW'!$B$19:$B$201)-COUNT('Бланк OLD 0.8 04'!$B$18:$B$200),'Бланк OLD 2.0 04 '!$B$16:$K$200,9,0)="","",VLOOKUP($A61-COUNT('Шаг2.Бланк заказа NEW'!$B$19:$B$201)-COUNT('Бланк OLD 0.8 04'!$B$18:$B$200),'Бланк OLD 2.0 04 '!$B$16:$K$200,9,0)))</f>
        <v/>
      </c>
      <c r="M61" s="154" t="str">
        <f t="shared" ca="1" si="5"/>
        <v/>
      </c>
      <c r="N61" s="153" t="str">
        <f ca="1">IFERROR(IF(VLOOKUP($A61,'Шаг2.Бланк заказа NEW'!$B$17:$N$201,11,0)="","",VLOOKUP($A61,'Шаг2.Бланк заказа NEW'!$B$17:$N$201,11,0)),
"Нет")</f>
        <v/>
      </c>
      <c r="O61" s="147" t="str">
        <f ca="1">IFERROR(IF(VLOOKUP($A61,'Шаг2.Бланк заказа NEW'!$B$17:$N$201,11,0)="","",VLOOKUP($A61,'Шаг2.Бланк заказа NEW'!$B$17:$N$201,12,0)),
"Нет")</f>
        <v/>
      </c>
      <c r="P61" s="153" t="str">
        <f ca="1">IFERROR(IF(VLOOKUP($A61,'Шаг2.Бланк заказа NEW'!$B$17:$N$201,13,0)="","",VLOOKUP($A61,'Шаг2.Бланк заказа NEW'!$B$17:$N$201,13,0)),
"Нет")</f>
        <v/>
      </c>
      <c r="Q61" s="147" t="str">
        <f ca="1">IFERROR(IF(VLOOKUP($A61,'Шаг2.Бланк заказа NEW'!$B$17:$O$201,14,0)="","",VLOOKUP($A61,'Шаг2.Бланк заказа NEW'!$B$17:$O$201,14,0)),"")</f>
        <v/>
      </c>
      <c r="R61" s="147" t="str">
        <f ca="1">IFERROR(IFERROR(IF(VLOOKUP($A61,'Шаг2.Бланк заказа NEW'!$B$17:$N$201,4,0)="","",VLOOKUP($A61,'Шаг2.Бланк заказа NEW'!$B$17:$N$201,4,0)),
IF(VLOOKUP($A61-COUNT('Шаг2.Бланк заказа NEW'!$B$19:$B$201),'Бланк OLD 0.8 04'!$B$12:$K$200,4,0)&gt;0,0.8,
IF(VLOOKUP($A61-COUNT('Шаг2.Бланк заказа NEW'!$B$19:$B$201),'Бланк OLD 0.8 04'!$B$12:$K$200,5,0)&gt;0,0.4,""))),
IF(VLOOKUP($A61-COUNT('Шаг2.Бланк заказа NEW'!$B$19:$B$201)-COUNT('Бланк OLD 0.8 04'!$B$18:$B$200),'Бланк OLD 2.0 04 '!$B$16:$K$200,4,0)&gt;0,2,IF(VLOOKUP($A61-COUNT('Шаг2.Бланк заказа NEW'!$B$19:$B$201)-COUNT('Бланк OLD 0.8 04'!$B$18:$B$200),'Бланк OLD 2.0 04 '!$B$16:$K$200,5,0)&gt;0,0.4,"")))</f>
        <v/>
      </c>
      <c r="S61" s="147" t="str">
        <f ca="1">IFERROR(IFERROR(IF(VLOOKUP($A61,'Шаг2.Бланк заказа NEW'!$B$17:$N$201,5,0)="","",VLOOKUP($A61,'Шаг2.Бланк заказа NEW'!$B$17:$N$201,5,0)),
IF(VLOOKUP($A61-COUNT('Шаг2.Бланк заказа NEW'!$B$19:$B$201),'Бланк OLD 0.8 04'!$B$12:$K$200,4,0)&gt;1,0.8,
IF(VLOOKUP($A61-COUNT('Шаг2.Бланк заказа NEW'!$B$19:$B$201),'Бланк OLD 0.8 04'!$B$12:$K$200,5,0)&gt;1,0.4,
IF(AND(VLOOKUP($A61-COUNT('Шаг2.Бланк заказа NEW'!$B$19:$B$201),'Бланк OLD 0.8 04'!$B$12:$K$200,4,0)&gt;0,VLOOKUP($A61-COUNT('Шаг2.Бланк заказа NEW'!$B$19:$B$201),'Бланк OLD 0.8 04'!$B$12:$K$200,5,0)&gt;0),0.4,"")))),
IF(VLOOKUP($A61-COUNT('Шаг2.Бланк заказа NEW'!$B$19:$B$201)-COUNT('Бланк OLD 0.8 04'!$B$18:$B$200),'Бланк OLD 2.0 04 '!$B$16:$K$200,4,0)&gt;1,2,
IF(VLOOKUP($A61-COUNT('Шаг2.Бланк заказа NEW'!$B$19:$B$201)-COUNT('Бланк OLD 0.8 04'!$B$18:$B$200),'Бланк OLD 2.0 04 '!$B$16:$K$200,5,0)&gt;1,0.4,IF(AND(VLOOKUP($A61-COUNT('Шаг2.Бланк заказа NEW'!$B$19:$B$201)-COUNT('Бланк OLD 0.8 04'!$B$18:$B$200),'Бланк OLD 2.0 04 '!$B$16:$K$200,4,0)&gt;0,VLOOKUP($A61-COUNT('Шаг2.Бланк заказа NEW'!$B$19:$B$201)-COUNT('Бланк OLD 0.8 04'!$B$18:$B$200),'Бланк OLD 2.0 04 '!$B$16:$K$200,5,0)&gt;0),0.4,""))))</f>
        <v/>
      </c>
      <c r="T61" s="147" t="str">
        <f ca="1">IFERROR(IFERROR(IF(VLOOKUP($A61,'Шаг2.Бланк заказа NEW'!$B$17:$N$201,7,0)="","",VLOOKUP($A61,'Шаг2.Бланк заказа NEW'!$B$17:$N$201,7,0)),
IF(VLOOKUP($A61-COUNT('Шаг2.Бланк заказа NEW'!$B$19:$B$201),'Бланк OLD 0.8 04'!$B$12:$K$200,7,0)&gt;0,0.8,
IF(VLOOKUP($A61-COUNT('Шаг2.Бланк заказа NEW'!$B$19:$B$201),'Бланк OLD 0.8 04'!$B$12:$K$200,8,0)&gt;0,0.4,""))),
IF(VLOOKUP($A61-COUNT('Шаг2.Бланк заказа NEW'!$B$19:$B$201)-COUNT('Бланк OLD 0.8 04'!$B$18:$B$200),'Бланк OLD 2.0 04 '!$B$16:$K$200,7,0)&gt;0,2,IF(VLOOKUP($A61-COUNT('Шаг2.Бланк заказа NEW'!$B$19:$B$201)-COUNT('Бланк OLD 0.8 04'!$B$18:$B$200),'Бланк OLD 2.0 04 '!$B$16:$K$200,8,0)&gt;0,0.4,"")))</f>
        <v/>
      </c>
      <c r="U61" s="147" t="str">
        <f ca="1">IFERROR(IFERROR(IF(VLOOKUP($A61,'Шаг2.Бланк заказа NEW'!$B$17:$N$201,8,0)="","",VLOOKUP($A61,'Шаг2.Бланк заказа NEW'!$B$17:$N$201,8,0)),
IF(VLOOKUP($A61-COUNT('Шаг2.Бланк заказа NEW'!$B$19:$B$201),'Бланк OLD 0.8 04'!$B$12:$K$200,7,0)&gt;1,0.8,
IF(VLOOKUP($A61-COUNT('Шаг2.Бланк заказа NEW'!$B$19:$B$201),'Бланк OLD 0.8 04'!$B$12:$K$200,8,0)&gt;1,0.4,
IF(AND(VLOOKUP($A61-COUNT('Шаг2.Бланк заказа NEW'!$B$19:$B$201),'Бланк OLD 0.8 04'!$B$12:$K$200,7,0)&gt;0,VLOOKUP($A61-COUNT('Шаг2.Бланк заказа NEW'!$B$19:$B$201),'Бланк OLD 0.8 04'!$B$12:$K$200,8,0)&gt;0),0.4,"")))),
IF(VLOOKUP($A61-COUNT('Шаг2.Бланк заказа NEW'!$B$19:$B$201)-COUNT('Бланк OLD 0.8 04'!$B$18:$B$200),'Бланк OLD 2.0 04 '!$B$16:$K$200,7,0)&gt;1,2,
IF(VLOOKUP($A61-COUNT('Шаг2.Бланк заказа NEW'!$B$19:$B$201)-COUNT('Бланк OLD 0.8 04'!$B$18:$B$200),'Бланк OLD 2.0 04 '!$B$16:$K$200,8,0)&gt;1,0.4,
IF(AND(VLOOKUP($A61-COUNT('Шаг2.Бланк заказа NEW'!$B$19:$B$201)-COUNT('Бланк OLD 0.8 04'!$B$18:$B$200),'Бланк OLD 2.0 04 '!$B$16:$K$200,7,0)&gt;0,VLOOKUP($A61-COUNT('Шаг2.Бланк заказа NEW'!$B$19:$B$201)-COUNT('Бланк OLD 0.8 04'!$B$18:$B$200),'Бланк OLD 2.0 04 '!$B$16:$K$200,8,0)&gt;0),0.4,""))))</f>
        <v/>
      </c>
      <c r="V61" s="146" t="str">
        <f ca="1">IFERROR(VLOOKUP(C61,'Шаг1.Выбор плиты'!C:S,12,0),"")</f>
        <v/>
      </c>
      <c r="W61" s="146" t="str">
        <f ca="1">IFERROR(VLOOKUP(C61,'Шаг1.Выбор плиты'!C:S,8,0),"")</f>
        <v/>
      </c>
      <c r="X61" s="146" t="str">
        <f ca="1">IFERROR(VLOOKUP(C61,'Шаг1.Выбор плиты'!C:S,10,0),"")</f>
        <v/>
      </c>
      <c r="Y61" s="147" t="str">
        <f t="shared" ca="1" si="1"/>
        <v/>
      </c>
      <c r="AD61" s="147" t="str">
        <f t="shared" ca="1" si="6"/>
        <v/>
      </c>
      <c r="AE61" s="147" t="str">
        <f t="shared" ca="1" si="3"/>
        <v/>
      </c>
      <c r="AF61" s="25"/>
      <c r="AH61" s="147" t="str">
        <f ca="1">IF(C61="","",VLOOKUP(C61,'Шаг1.Выбор плиты'!C:Q,7,0))</f>
        <v/>
      </c>
      <c r="AI61" s="147" t="str">
        <f t="shared" ca="1" si="7"/>
        <v/>
      </c>
    </row>
    <row r="62" spans="1:35" x14ac:dyDescent="0.2">
      <c r="A62" s="151" t="str">
        <f ca="1">IF(C62="","",MAX($A$1:OFFSET(C62,-1,0))+1)</f>
        <v/>
      </c>
      <c r="B62" s="151" t="str">
        <f ca="1">IFERROR(IFERROR(IFERROR("Шаг2.Бланк заказа NEW №"&amp;VLOOKUP(A61+1,CHOOSE({1,2},'Шаг2.Бланк заказа NEW'!$B$19:$B$201,'Шаг2.Бланк заказа NEW'!$A$19:$A$201),1,0),
"Бланк OLD 0.8 04 №"&amp;VLOOKUP(A61+1-COUNT('Шаг2.Бланк заказа NEW'!$B$19:$B$201),CHOOSE({1,2},'Бланк OLD 0.8 04'!$B$18:$B$200,'Бланк OLD 0.8 04'!$A$18:$A$200),1,0)),
"Бланк OLD 2.0 04 №"&amp;VLOOKUP(A61+1-COUNT('Шаг2.Бланк заказа NEW'!$B$19:$B$201)-COUNT('Бланк OLD 0.8 04'!$B$18:$B$200),CHOOSE({1,2},'Бланк OLD 2.0 04 '!$B$18:$B$200,'Бланк OLD 2.0 04 '!$A$18:$A$200),1,0)),"")</f>
        <v/>
      </c>
      <c r="C62" s="152" t="str">
        <f ca="1">IFERROR(IFERROR(IFERROR(VLOOKUP(A61+1,CHOOSE({1,2},'Шаг2.Бланк заказа NEW'!$B$19:$B$201,'Шаг2.Бланк заказа NEW'!$A$19:$A$201),2,0),
VLOOKUP(A61+1-COUNT('Шаг2.Бланк заказа NEW'!$B$19:$B$201),CHOOSE({1,2},'Бланк OLD 0.8 04'!$B$18:$B$200,'Бланк OLD 0.8 04'!$A$18:$A$200),2,0)),
VLOOKUP(A61+1-COUNT('Шаг2.Бланк заказа NEW'!$B$19:$B$201)-COUNT('Бланк OLD 0.8 04'!$B$18:$B$200),CHOOSE({1,2},'Бланк OLD 2.0 04 '!$B$18:$B$200,'Бланк OLD 2.0 04 '!$A$18:$A$200),2,0)),"")</f>
        <v/>
      </c>
      <c r="D62" s="150" t="str">
        <f ca="1">IFERROR(VLOOKUP(C62,'Шаг1.Выбор плиты'!C:G,5,0),"")</f>
        <v/>
      </c>
      <c r="E62" s="147" t="str">
        <f ca="1">IFERROR(IFERROR(IF(VLOOKUP($A62,'Шаг2.Бланк заказа NEW'!$B$17:$N$201,2,0)="","",VLOOKUP($A62,'Шаг2.Бланк заказа NEW'!$B$17:$N$201,2,0)),
IF(VLOOKUP($A62-COUNT('Шаг2.Бланк заказа NEW'!$B$19:$B$201),'Бланк OLD 0.8 04'!$B$12:$K$200,2,0)="","",VLOOKUP($A62-COUNT('Шаг2.Бланк заказа NEW'!$B$19:$B$201),'Бланк OLD 0.8 04'!$B$12:$K$200,2,0))),
IF(VLOOKUP($A62-COUNT('Шаг2.Бланк заказа NEW'!$B$19:$B$201)-COUNT('Бланк OLD 0.8 04'!$B$18:$B$200),'Бланк OLD 2.0 04 '!$B$16:$K$200,2,0)="","",VLOOKUP($A62-COUNT('Шаг2.Бланк заказа NEW'!$B$19:$B$201)-COUNT('Бланк OLD 0.8 04'!$B$18:$B$200),'Бланк OLD 2.0 04 '!$B$16:$K$200,2,0)))</f>
        <v/>
      </c>
      <c r="F62" s="147" t="str">
        <f ca="1">IFERROR(IFERROR(IF(VLOOKUP($A62,'Шаг2.Бланк заказа NEW'!$B$17:$N$201,3,0)="","",VLOOKUP($A62,'Шаг2.Бланк заказа NEW'!$B$17:$N$201,3,0)),
IF(VLOOKUP($A62-COUNT('Шаг2.Бланк заказа NEW'!$B$19:$B$201),'Бланк OLD 0.8 04'!$B$12:$K$200,3,0)="","",VLOOKUP($A62-COUNT('Шаг2.Бланк заказа NEW'!$B$19:$B$201),'Бланк OLD 0.8 04'!$B$12:$K$200,3,0))),
IF(VLOOKUP($A62-COUNT('Шаг2.Бланк заказа NEW'!$B$19:$B$201)-COUNT('Бланк OLD 0.8 04'!$B$18:$B$200),'Бланк OLD 2.0 04 '!$B$16:$K$200,3,0)="","",VLOOKUP($A62-COUNT('Шаг2.Бланк заказа NEW'!$B$19:$B$201)-COUNT('Бланк OLD 0.8 04'!$B$18:$B$200),'Бланк OLD 2.0 04 '!$B$16:$K$200,3,0)))</f>
        <v/>
      </c>
      <c r="G62" s="176" t="str">
        <f ca="1">IF(IF(R62="","",IF(R62=1,SUMIFS('Шаг1.Выбор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плиты'!C:Q,12,0)),1))))))=0,
R62,
IF(R62="","",IF(R62=1,SUMIFS('Шаг1.Выбор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плиты'!N:N,R62,'Шаг1.Выбор плиты'!M:M,SMALL(INDIRECT("мм"&amp;VLOOKUP(C62,'Шаг1.Выбор плиты'!C:Q,12,0)),1)))))))</f>
        <v/>
      </c>
      <c r="H62" s="177" t="str">
        <f ca="1">IF(IF(S62="","",IF(S62=1,SUMIFS('Шаг1.Выбор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плиты'!C:Q,12,0)),1))))))=0,
S62,
IF(S62="","",IF(S62=1,SUMIFS('Шаг1.Выбор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плиты'!N:N,S62,'Шаг1.Выбор плиты'!M:M,SMALL(INDIRECT("мм"&amp;VLOOKUP(C62,'Шаг1.Выбор плиты'!C:Q,12,0)),1)))))))</f>
        <v/>
      </c>
      <c r="I62" s="147" t="str">
        <f ca="1">IFERROR(IFERROR(IF(VLOOKUP($A62,'Шаг2.Бланк заказа NEW'!$B$17:$N$201,6,0)="","",VLOOKUP($A62,'Шаг2.Бланк заказа NEW'!$B$17:$N$201,6,0)),
IF(VLOOKUP($A62-COUNT('Шаг2.Бланк заказа NEW'!$B$19:$B$201),'Бланк OLD 0.8 04'!$B$12:$K$200,6,0)="","",VLOOKUP($A62-COUNT('Шаг2.Бланк заказа NEW'!$B$19:$B$201),'Бланк OLD 0.8 04'!$B$12:$K$200,6,0))),
IF(VLOOKUP($A62-COUNT('Шаг2.Бланк заказа NEW'!$B$19:$B$201)-COUNT('Бланк OLD 0.8 04'!$B$18:$B$200),'Бланк OLD 2.0 04 '!$B$16:$K$200,6,0)="","",VLOOKUP($A62-COUNT('Шаг2.Бланк заказа NEW'!$B$19:$B$201)-COUNT('Бланк OLD 0.8 04'!$B$18:$B$200),'Бланк OLD 2.0 04 '!$B$16:$K$200,6,0)))</f>
        <v/>
      </c>
      <c r="J62" s="177" t="str">
        <f ca="1">IF(IF(T62="","",IF(T62=1,SUMIFS('Шаг1.Выбор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плиты'!C:Q,12,0)),1))))))=0,
T62,
IF(T62="","",IF(T62=1,SUMIFS('Шаг1.Выбор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плиты'!N:N,T62,'Шаг1.Выбор плиты'!M:M,SMALL(INDIRECT("мм"&amp;VLOOKUP(C62,'Шаг1.Выбор плиты'!C:Q,12,0)),1)))))))</f>
        <v/>
      </c>
      <c r="K62" s="177" t="str">
        <f ca="1">IF(IF(U62="","",IF(U62=1,SUMIFS('Шаг1.Выбор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плиты'!C:Q,12,0)),1))))))=0,
U62,
IF(U62="","",IF(U62=1,SUMIFS('Шаг1.Выбор плиты'!$G:$G,'Шаг1.Выбор плиты'!J:J,"*"&amp;RIGHT(VLOOKUP(C62,'Шаг1.Выбор плиты'!C:Q,8,0),4),'Шаг1.Выбор плиты'!L:L,IF(MID(C62,1,6)="ЛДСП P","TM"&amp;MID(VLOOKUP(C62,'Шаг1.Выбор плиты'!C:Q,10,0),3,2),MID(VLOOKUP(C62,'Шаг1.Выбор плиты'!C:Q,10,0),1,2)),
'Шаг1.Выбор плиты'!N:N,1),IF(SUMIFS('Шаг1.Выбор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плиты'!C:Q,12,0)),1))=0,
IF(SUMIFS('Шаг1.Выбор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плиты'!C:Q,12,0)),2))=0,
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плиты'!C:Q,12,0)),3)),
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плиты'!C:Q,12,0)),2))),
(SUMIFS('Шаг1.Выбор плиты'!$G:$G,'Шаг1.Выбор плиты'!J:J,"*"&amp;RIGHT(VLOOKUP(C62,'Шаг1.Выбор плиты'!C:Q,8,0),4),'Шаг1.Выбор плиты'!L:L,VLOOKUP(C62,'Шаг1.Выбор плиты'!C:Q,10,0),'Шаг1.Выбор плиты'!N:N,U62,'Шаг1.Выбор плиты'!M:M,SMALL(INDIRECT("мм"&amp;VLOOKUP(C62,'Шаг1.Выбор плиты'!C:Q,12,0)),1)))))))</f>
        <v/>
      </c>
      <c r="L62" s="147" t="str">
        <f ca="1">IFERROR(IFERROR(IF(VLOOKUP($A62,'Шаг2.Бланк заказа NEW'!$B$17:$N$201,9,0)="","",VLOOKUP($A62,'Шаг2.Бланк заказа NEW'!$B$17:$N$201,9,0)),
IF(VLOOKUP($A62-COUNT('Шаг2.Бланк заказа NEW'!$B$19:$B$201),'Бланк OLD 0.8 04'!$B$12:$K$200,9,0)="","",VLOOKUP($A62-COUNT('Шаг2.Бланк заказа NEW'!$B$19:$B$201),'Бланк OLD 0.8 04'!$B$12:$K$200,9,0))),
IF(VLOOKUP($A62-COUNT('Шаг2.Бланк заказа NEW'!$B$19:$B$201)-COUNT('Бланк OLD 0.8 04'!$B$18:$B$200),'Бланк OLD 2.0 04 '!$B$16:$K$200,9,0)="","",VLOOKUP($A62-COUNT('Шаг2.Бланк заказа NEW'!$B$19:$B$201)-COUNT('Бланк OLD 0.8 04'!$B$18:$B$200),'Бланк OLD 2.0 04 '!$B$16:$K$200,9,0)))</f>
        <v/>
      </c>
      <c r="M62" s="154" t="str">
        <f t="shared" ca="1" si="5"/>
        <v/>
      </c>
      <c r="N62" s="153" t="str">
        <f ca="1">IFERROR(IF(VLOOKUP($A62,'Шаг2.Бланк заказа NEW'!$B$17:$N$201,11,0)="","",VLOOKUP($A62,'Шаг2.Бланк заказа NEW'!$B$17:$N$201,11,0)),
"Нет")</f>
        <v/>
      </c>
      <c r="O62" s="147" t="str">
        <f ca="1">IFERROR(IF(VLOOKUP($A62,'Шаг2.Бланк заказа NEW'!$B$17:$N$201,11,0)="","",VLOOKUP($A62,'Шаг2.Бланк заказа NEW'!$B$17:$N$201,12,0)),
"Нет")</f>
        <v/>
      </c>
      <c r="P62" s="153" t="str">
        <f ca="1">IFERROR(IF(VLOOKUP($A62,'Шаг2.Бланк заказа NEW'!$B$17:$N$201,13,0)="","",VLOOKUP($A62,'Шаг2.Бланк заказа NEW'!$B$17:$N$201,13,0)),
"Нет")</f>
        <v/>
      </c>
      <c r="Q62" s="147" t="str">
        <f ca="1">IFERROR(IF(VLOOKUP($A62,'Шаг2.Бланк заказа NEW'!$B$17:$O$201,14,0)="","",VLOOKUP($A62,'Шаг2.Бланк заказа NEW'!$B$17:$O$201,14,0)),"")</f>
        <v/>
      </c>
      <c r="R62" s="147" t="str">
        <f ca="1">IFERROR(IFERROR(IF(VLOOKUP($A62,'Шаг2.Бланк заказа NEW'!$B$17:$N$201,4,0)="","",VLOOKUP($A62,'Шаг2.Бланк заказа NEW'!$B$17:$N$201,4,0)),
IF(VLOOKUP($A62-COUNT('Шаг2.Бланк заказа NEW'!$B$19:$B$201),'Бланк OLD 0.8 04'!$B$12:$K$200,4,0)&gt;0,0.8,
IF(VLOOKUP($A62-COUNT('Шаг2.Бланк заказа NEW'!$B$19:$B$201),'Бланк OLD 0.8 04'!$B$12:$K$200,5,0)&gt;0,0.4,""))),
IF(VLOOKUP($A62-COUNT('Шаг2.Бланк заказа NEW'!$B$19:$B$201)-COUNT('Бланк OLD 0.8 04'!$B$18:$B$200),'Бланк OLD 2.0 04 '!$B$16:$K$200,4,0)&gt;0,2,IF(VLOOKUP($A62-COUNT('Шаг2.Бланк заказа NEW'!$B$19:$B$201)-COUNT('Бланк OLD 0.8 04'!$B$18:$B$200),'Бланк OLD 2.0 04 '!$B$16:$K$200,5,0)&gt;0,0.4,"")))</f>
        <v/>
      </c>
      <c r="S62" s="147" t="str">
        <f ca="1">IFERROR(IFERROR(IF(VLOOKUP($A62,'Шаг2.Бланк заказа NEW'!$B$17:$N$201,5,0)="","",VLOOKUP($A62,'Шаг2.Бланк заказа NEW'!$B$17:$N$201,5,0)),
IF(VLOOKUP($A62-COUNT('Шаг2.Бланк заказа NEW'!$B$19:$B$201),'Бланк OLD 0.8 04'!$B$12:$K$200,4,0)&gt;1,0.8,
IF(VLOOKUP($A62-COUNT('Шаг2.Бланк заказа NEW'!$B$19:$B$201),'Бланк OLD 0.8 04'!$B$12:$K$200,5,0)&gt;1,0.4,
IF(AND(VLOOKUP($A62-COUNT('Шаг2.Бланк заказа NEW'!$B$19:$B$201),'Бланк OLD 0.8 04'!$B$12:$K$200,4,0)&gt;0,VLOOKUP($A62-COUNT('Шаг2.Бланк заказа NEW'!$B$19:$B$201),'Бланк OLD 0.8 04'!$B$12:$K$200,5,0)&gt;0),0.4,"")))),
IF(VLOOKUP($A62-COUNT('Шаг2.Бланк заказа NEW'!$B$19:$B$201)-COUNT('Бланк OLD 0.8 04'!$B$18:$B$200),'Бланк OLD 2.0 04 '!$B$16:$K$200,4,0)&gt;1,2,
IF(VLOOKUP($A62-COUNT('Шаг2.Бланк заказа NEW'!$B$19:$B$201)-COUNT('Бланк OLD 0.8 04'!$B$18:$B$200),'Бланк OLD 2.0 04 '!$B$16:$K$200,5,0)&gt;1,0.4,IF(AND(VLOOKUP($A62-COUNT('Шаг2.Бланк заказа NEW'!$B$19:$B$201)-COUNT('Бланк OLD 0.8 04'!$B$18:$B$200),'Бланк OLD 2.0 04 '!$B$16:$K$200,4,0)&gt;0,VLOOKUP($A62-COUNT('Шаг2.Бланк заказа NEW'!$B$19:$B$201)-COUNT('Бланк OLD 0.8 04'!$B$18:$B$200),'Бланк OLD 2.0 04 '!$B$16:$K$200,5,0)&gt;0),0.4,""))))</f>
        <v/>
      </c>
      <c r="T62" s="147" t="str">
        <f ca="1">IFERROR(IFERROR(IF(VLOOKUP($A62,'Шаг2.Бланк заказа NEW'!$B$17:$N$201,7,0)="","",VLOOKUP($A62,'Шаг2.Бланк заказа NEW'!$B$17:$N$201,7,0)),
IF(VLOOKUP($A62-COUNT('Шаг2.Бланк заказа NEW'!$B$19:$B$201),'Бланк OLD 0.8 04'!$B$12:$K$200,7,0)&gt;0,0.8,
IF(VLOOKUP($A62-COUNT('Шаг2.Бланк заказа NEW'!$B$19:$B$201),'Бланк OLD 0.8 04'!$B$12:$K$200,8,0)&gt;0,0.4,""))),
IF(VLOOKUP($A62-COUNT('Шаг2.Бланк заказа NEW'!$B$19:$B$201)-COUNT('Бланк OLD 0.8 04'!$B$18:$B$200),'Бланк OLD 2.0 04 '!$B$16:$K$200,7,0)&gt;0,2,IF(VLOOKUP($A62-COUNT('Шаг2.Бланк заказа NEW'!$B$19:$B$201)-COUNT('Бланк OLD 0.8 04'!$B$18:$B$200),'Бланк OLD 2.0 04 '!$B$16:$K$200,8,0)&gt;0,0.4,"")))</f>
        <v/>
      </c>
      <c r="U62" s="147" t="str">
        <f ca="1">IFERROR(IFERROR(IF(VLOOKUP($A62,'Шаг2.Бланк заказа NEW'!$B$17:$N$201,8,0)="","",VLOOKUP($A62,'Шаг2.Бланк заказа NEW'!$B$17:$N$201,8,0)),
IF(VLOOKUP($A62-COUNT('Шаг2.Бланк заказа NEW'!$B$19:$B$201),'Бланк OLD 0.8 04'!$B$12:$K$200,7,0)&gt;1,0.8,
IF(VLOOKUP($A62-COUNT('Шаг2.Бланк заказа NEW'!$B$19:$B$201),'Бланк OLD 0.8 04'!$B$12:$K$200,8,0)&gt;1,0.4,
IF(AND(VLOOKUP($A62-COUNT('Шаг2.Бланк заказа NEW'!$B$19:$B$201),'Бланк OLD 0.8 04'!$B$12:$K$200,7,0)&gt;0,VLOOKUP($A62-COUNT('Шаг2.Бланк заказа NEW'!$B$19:$B$201),'Бланк OLD 0.8 04'!$B$12:$K$200,8,0)&gt;0),0.4,"")))),
IF(VLOOKUP($A62-COUNT('Шаг2.Бланк заказа NEW'!$B$19:$B$201)-COUNT('Бланк OLD 0.8 04'!$B$18:$B$200),'Бланк OLD 2.0 04 '!$B$16:$K$200,7,0)&gt;1,2,
IF(VLOOKUP($A62-COUNT('Шаг2.Бланк заказа NEW'!$B$19:$B$201)-COUNT('Бланк OLD 0.8 04'!$B$18:$B$200),'Бланк OLD 2.0 04 '!$B$16:$K$200,8,0)&gt;1,0.4,
IF(AND(VLOOKUP($A62-COUNT('Шаг2.Бланк заказа NEW'!$B$19:$B$201)-COUNT('Бланк OLD 0.8 04'!$B$18:$B$200),'Бланк OLD 2.0 04 '!$B$16:$K$200,7,0)&gt;0,VLOOKUP($A62-COUNT('Шаг2.Бланк заказа NEW'!$B$19:$B$201)-COUNT('Бланк OLD 0.8 04'!$B$18:$B$200),'Бланк OLD 2.0 04 '!$B$16:$K$200,8,0)&gt;0),0.4,""))))</f>
        <v/>
      </c>
      <c r="V62" s="146" t="str">
        <f ca="1">IFERROR(VLOOKUP(C62,'Шаг1.Выбор плиты'!C:S,12,0),"")</f>
        <v/>
      </c>
      <c r="W62" s="146" t="str">
        <f ca="1">IFERROR(VLOOKUP(C62,'Шаг1.Выбор плиты'!C:S,8,0),"")</f>
        <v/>
      </c>
      <c r="X62" s="146" t="str">
        <f ca="1">IFERROR(VLOOKUP(C62,'Шаг1.Выбор плиты'!C:S,10,0),"")</f>
        <v/>
      </c>
      <c r="Y62" s="147" t="str">
        <f t="shared" ca="1" si="1"/>
        <v/>
      </c>
      <c r="AD62" s="147" t="str">
        <f t="shared" ca="1" si="6"/>
        <v/>
      </c>
      <c r="AE62" s="147" t="str">
        <f t="shared" ca="1" si="3"/>
        <v/>
      </c>
      <c r="AF62" s="25"/>
      <c r="AH62" s="147" t="str">
        <f ca="1">IF(C62="","",VLOOKUP(C62,'Шаг1.Выбор плиты'!C:Q,7,0))</f>
        <v/>
      </c>
      <c r="AI62" s="147" t="str">
        <f t="shared" ca="1" si="7"/>
        <v/>
      </c>
    </row>
    <row r="63" spans="1:35" x14ac:dyDescent="0.2">
      <c r="A63" s="151" t="str">
        <f ca="1">IF(C63="","",MAX($A$1:OFFSET(C63,-1,0))+1)</f>
        <v/>
      </c>
      <c r="B63" s="151" t="str">
        <f ca="1">IFERROR(IFERROR(IFERROR("Шаг2.Бланк заказа NEW №"&amp;VLOOKUP(A62+1,CHOOSE({1,2},'Шаг2.Бланк заказа NEW'!$B$19:$B$201,'Шаг2.Бланк заказа NEW'!$A$19:$A$201),1,0),
"Бланк OLD 0.8 04 №"&amp;VLOOKUP(A62+1-COUNT('Шаг2.Бланк заказа NEW'!$B$19:$B$201),CHOOSE({1,2},'Бланк OLD 0.8 04'!$B$18:$B$200,'Бланк OLD 0.8 04'!$A$18:$A$200),1,0)),
"Бланк OLD 2.0 04 №"&amp;VLOOKUP(A62+1-COUNT('Шаг2.Бланк заказа NEW'!$B$19:$B$201)-COUNT('Бланк OLD 0.8 04'!$B$18:$B$200),CHOOSE({1,2},'Бланк OLD 2.0 04 '!$B$18:$B$200,'Бланк OLD 2.0 04 '!$A$18:$A$200),1,0)),"")</f>
        <v/>
      </c>
      <c r="C63" s="152" t="str">
        <f ca="1">IFERROR(IFERROR(IFERROR(VLOOKUP(A62+1,CHOOSE({1,2},'Шаг2.Бланк заказа NEW'!$B$19:$B$201,'Шаг2.Бланк заказа NEW'!$A$19:$A$201),2,0),
VLOOKUP(A62+1-COUNT('Шаг2.Бланк заказа NEW'!$B$19:$B$201),CHOOSE({1,2},'Бланк OLD 0.8 04'!$B$18:$B$200,'Бланк OLD 0.8 04'!$A$18:$A$200),2,0)),
VLOOKUP(A62+1-COUNT('Шаг2.Бланк заказа NEW'!$B$19:$B$201)-COUNT('Бланк OLD 0.8 04'!$B$18:$B$200),CHOOSE({1,2},'Бланк OLD 2.0 04 '!$B$18:$B$200,'Бланк OLD 2.0 04 '!$A$18:$A$200),2,0)),"")</f>
        <v/>
      </c>
      <c r="D63" s="150" t="str">
        <f ca="1">IFERROR(VLOOKUP(C63,'Шаг1.Выбор плиты'!C:G,5,0),"")</f>
        <v/>
      </c>
      <c r="E63" s="147" t="str">
        <f ca="1">IFERROR(IFERROR(IF(VLOOKUP($A63,'Шаг2.Бланк заказа NEW'!$B$17:$N$201,2,0)="","",VLOOKUP($A63,'Шаг2.Бланк заказа NEW'!$B$17:$N$201,2,0)),
IF(VLOOKUP($A63-COUNT('Шаг2.Бланк заказа NEW'!$B$19:$B$201),'Бланк OLD 0.8 04'!$B$12:$K$200,2,0)="","",VLOOKUP($A63-COUNT('Шаг2.Бланк заказа NEW'!$B$19:$B$201),'Бланк OLD 0.8 04'!$B$12:$K$200,2,0))),
IF(VLOOKUP($A63-COUNT('Шаг2.Бланк заказа NEW'!$B$19:$B$201)-COUNT('Бланк OLD 0.8 04'!$B$18:$B$200),'Бланк OLD 2.0 04 '!$B$16:$K$200,2,0)="","",VLOOKUP($A63-COUNT('Шаг2.Бланк заказа NEW'!$B$19:$B$201)-COUNT('Бланк OLD 0.8 04'!$B$18:$B$200),'Бланк OLD 2.0 04 '!$B$16:$K$200,2,0)))</f>
        <v/>
      </c>
      <c r="F63" s="147" t="str">
        <f ca="1">IFERROR(IFERROR(IF(VLOOKUP($A63,'Шаг2.Бланк заказа NEW'!$B$17:$N$201,3,0)="","",VLOOKUP($A63,'Шаг2.Бланк заказа NEW'!$B$17:$N$201,3,0)),
IF(VLOOKUP($A63-COUNT('Шаг2.Бланк заказа NEW'!$B$19:$B$201),'Бланк OLD 0.8 04'!$B$12:$K$200,3,0)="","",VLOOKUP($A63-COUNT('Шаг2.Бланк заказа NEW'!$B$19:$B$201),'Бланк OLD 0.8 04'!$B$12:$K$200,3,0))),
IF(VLOOKUP($A63-COUNT('Шаг2.Бланк заказа NEW'!$B$19:$B$201)-COUNT('Бланк OLD 0.8 04'!$B$18:$B$200),'Бланк OLD 2.0 04 '!$B$16:$K$200,3,0)="","",VLOOKUP($A63-COUNT('Шаг2.Бланк заказа NEW'!$B$19:$B$201)-COUNT('Бланк OLD 0.8 04'!$B$18:$B$200),'Бланк OLD 2.0 04 '!$B$16:$K$200,3,0)))</f>
        <v/>
      </c>
      <c r="G63" s="176" t="str">
        <f ca="1">IF(IF(R63="","",IF(R63=1,SUMIFS('Шаг1.Выбор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плиты'!C:Q,12,0)),1))))))=0,
R63,
IF(R63="","",IF(R63=1,SUMIFS('Шаг1.Выбор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плиты'!N:N,R63,'Шаг1.Выбор плиты'!M:M,SMALL(INDIRECT("мм"&amp;VLOOKUP(C63,'Шаг1.Выбор плиты'!C:Q,12,0)),1)))))))</f>
        <v/>
      </c>
      <c r="H63" s="177" t="str">
        <f ca="1">IF(IF(S63="","",IF(S63=1,SUMIFS('Шаг1.Выбор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плиты'!C:Q,12,0)),1))))))=0,
S63,
IF(S63="","",IF(S63=1,SUMIFS('Шаг1.Выбор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плиты'!N:N,S63,'Шаг1.Выбор плиты'!M:M,SMALL(INDIRECT("мм"&amp;VLOOKUP(C63,'Шаг1.Выбор плиты'!C:Q,12,0)),1)))))))</f>
        <v/>
      </c>
      <c r="I63" s="147" t="str">
        <f ca="1">IFERROR(IFERROR(IF(VLOOKUP($A63,'Шаг2.Бланк заказа NEW'!$B$17:$N$201,6,0)="","",VLOOKUP($A63,'Шаг2.Бланк заказа NEW'!$B$17:$N$201,6,0)),
IF(VLOOKUP($A63-COUNT('Шаг2.Бланк заказа NEW'!$B$19:$B$201),'Бланк OLD 0.8 04'!$B$12:$K$200,6,0)="","",VLOOKUP($A63-COUNT('Шаг2.Бланк заказа NEW'!$B$19:$B$201),'Бланк OLD 0.8 04'!$B$12:$K$200,6,0))),
IF(VLOOKUP($A63-COUNT('Шаг2.Бланк заказа NEW'!$B$19:$B$201)-COUNT('Бланк OLD 0.8 04'!$B$18:$B$200),'Бланк OLD 2.0 04 '!$B$16:$K$200,6,0)="","",VLOOKUP($A63-COUNT('Шаг2.Бланк заказа NEW'!$B$19:$B$201)-COUNT('Бланк OLD 0.8 04'!$B$18:$B$200),'Бланк OLD 2.0 04 '!$B$16:$K$200,6,0)))</f>
        <v/>
      </c>
      <c r="J63" s="177" t="str">
        <f ca="1">IF(IF(T63="","",IF(T63=1,SUMIFS('Шаг1.Выбор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плиты'!C:Q,12,0)),1))))))=0,
T63,
IF(T63="","",IF(T63=1,SUMIFS('Шаг1.Выбор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плиты'!N:N,T63,'Шаг1.Выбор плиты'!M:M,SMALL(INDIRECT("мм"&amp;VLOOKUP(C63,'Шаг1.Выбор плиты'!C:Q,12,0)),1)))))))</f>
        <v/>
      </c>
      <c r="K63" s="177" t="str">
        <f ca="1">IF(IF(U63="","",IF(U63=1,SUMIFS('Шаг1.Выбор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плиты'!C:Q,12,0)),1))))))=0,
U63,
IF(U63="","",IF(U63=1,SUMIFS('Шаг1.Выбор плиты'!$G:$G,'Шаг1.Выбор плиты'!J:J,"*"&amp;RIGHT(VLOOKUP(C63,'Шаг1.Выбор плиты'!C:Q,8,0),4),'Шаг1.Выбор плиты'!L:L,IF(MID(C63,1,6)="ЛДСП P","TM"&amp;MID(VLOOKUP(C63,'Шаг1.Выбор плиты'!C:Q,10,0),3,2),MID(VLOOKUP(C63,'Шаг1.Выбор плиты'!C:Q,10,0),1,2)),
'Шаг1.Выбор плиты'!N:N,1),IF(SUMIFS('Шаг1.Выбор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плиты'!C:Q,12,0)),1))=0,
IF(SUMIFS('Шаг1.Выбор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плиты'!C:Q,12,0)),2))=0,
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плиты'!C:Q,12,0)),3)),
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плиты'!C:Q,12,0)),2))),
(SUMIFS('Шаг1.Выбор плиты'!$G:$G,'Шаг1.Выбор плиты'!J:J,"*"&amp;RIGHT(VLOOKUP(C63,'Шаг1.Выбор плиты'!C:Q,8,0),4),'Шаг1.Выбор плиты'!L:L,VLOOKUP(C63,'Шаг1.Выбор плиты'!C:Q,10,0),'Шаг1.Выбор плиты'!N:N,U63,'Шаг1.Выбор плиты'!M:M,SMALL(INDIRECT("мм"&amp;VLOOKUP(C63,'Шаг1.Выбор плиты'!C:Q,12,0)),1)))))))</f>
        <v/>
      </c>
      <c r="L63" s="147" t="str">
        <f ca="1">IFERROR(IFERROR(IF(VLOOKUP($A63,'Шаг2.Бланк заказа NEW'!$B$17:$N$201,9,0)="","",VLOOKUP($A63,'Шаг2.Бланк заказа NEW'!$B$17:$N$201,9,0)),
IF(VLOOKUP($A63-COUNT('Шаг2.Бланк заказа NEW'!$B$19:$B$201),'Бланк OLD 0.8 04'!$B$12:$K$200,9,0)="","",VLOOKUP($A63-COUNT('Шаг2.Бланк заказа NEW'!$B$19:$B$201),'Бланк OLD 0.8 04'!$B$12:$K$200,9,0))),
IF(VLOOKUP($A63-COUNT('Шаг2.Бланк заказа NEW'!$B$19:$B$201)-COUNT('Бланк OLD 0.8 04'!$B$18:$B$200),'Бланк OLD 2.0 04 '!$B$16:$K$200,9,0)="","",VLOOKUP($A63-COUNT('Шаг2.Бланк заказа NEW'!$B$19:$B$201)-COUNT('Бланк OLD 0.8 04'!$B$18:$B$200),'Бланк OLD 2.0 04 '!$B$16:$K$200,9,0)))</f>
        <v/>
      </c>
      <c r="M63" s="154" t="str">
        <f t="shared" ca="1" si="5"/>
        <v/>
      </c>
      <c r="N63" s="153" t="str">
        <f ca="1">IFERROR(IF(VLOOKUP($A63,'Шаг2.Бланк заказа NEW'!$B$17:$N$201,11,0)="","",VLOOKUP($A63,'Шаг2.Бланк заказа NEW'!$B$17:$N$201,11,0)),
"Нет")</f>
        <v/>
      </c>
      <c r="O63" s="147" t="str">
        <f ca="1">IFERROR(IF(VLOOKUP($A63,'Шаг2.Бланк заказа NEW'!$B$17:$N$201,11,0)="","",VLOOKUP($A63,'Шаг2.Бланк заказа NEW'!$B$17:$N$201,12,0)),
"Нет")</f>
        <v/>
      </c>
      <c r="P63" s="153" t="str">
        <f ca="1">IFERROR(IF(VLOOKUP($A63,'Шаг2.Бланк заказа NEW'!$B$17:$N$201,13,0)="","",VLOOKUP($A63,'Шаг2.Бланк заказа NEW'!$B$17:$N$201,13,0)),
"Нет")</f>
        <v/>
      </c>
      <c r="Q63" s="147" t="str">
        <f ca="1">IFERROR(IF(VLOOKUP($A63,'Шаг2.Бланк заказа NEW'!$B$17:$O$201,14,0)="","",VLOOKUP($A63,'Шаг2.Бланк заказа NEW'!$B$17:$O$201,14,0)),"")</f>
        <v/>
      </c>
      <c r="R63" s="147" t="str">
        <f ca="1">IFERROR(IFERROR(IF(VLOOKUP($A63,'Шаг2.Бланк заказа NEW'!$B$17:$N$201,4,0)="","",VLOOKUP($A63,'Шаг2.Бланк заказа NEW'!$B$17:$N$201,4,0)),
IF(VLOOKUP($A63-COUNT('Шаг2.Бланк заказа NEW'!$B$19:$B$201),'Бланк OLD 0.8 04'!$B$12:$K$200,4,0)&gt;0,0.8,
IF(VLOOKUP($A63-COUNT('Шаг2.Бланк заказа NEW'!$B$19:$B$201),'Бланк OLD 0.8 04'!$B$12:$K$200,5,0)&gt;0,0.4,""))),
IF(VLOOKUP($A63-COUNT('Шаг2.Бланк заказа NEW'!$B$19:$B$201)-COUNT('Бланк OLD 0.8 04'!$B$18:$B$200),'Бланк OLD 2.0 04 '!$B$16:$K$200,4,0)&gt;0,2,IF(VLOOKUP($A63-COUNT('Шаг2.Бланк заказа NEW'!$B$19:$B$201)-COUNT('Бланк OLD 0.8 04'!$B$18:$B$200),'Бланк OLD 2.0 04 '!$B$16:$K$200,5,0)&gt;0,0.4,"")))</f>
        <v/>
      </c>
      <c r="S63" s="147" t="str">
        <f ca="1">IFERROR(IFERROR(IF(VLOOKUP($A63,'Шаг2.Бланк заказа NEW'!$B$17:$N$201,5,0)="","",VLOOKUP($A63,'Шаг2.Бланк заказа NEW'!$B$17:$N$201,5,0)),
IF(VLOOKUP($A63-COUNT('Шаг2.Бланк заказа NEW'!$B$19:$B$201),'Бланк OLD 0.8 04'!$B$12:$K$200,4,0)&gt;1,0.8,
IF(VLOOKUP($A63-COUNT('Шаг2.Бланк заказа NEW'!$B$19:$B$201),'Бланк OLD 0.8 04'!$B$12:$K$200,5,0)&gt;1,0.4,
IF(AND(VLOOKUP($A63-COUNT('Шаг2.Бланк заказа NEW'!$B$19:$B$201),'Бланк OLD 0.8 04'!$B$12:$K$200,4,0)&gt;0,VLOOKUP($A63-COUNT('Шаг2.Бланк заказа NEW'!$B$19:$B$201),'Бланк OLD 0.8 04'!$B$12:$K$200,5,0)&gt;0),0.4,"")))),
IF(VLOOKUP($A63-COUNT('Шаг2.Бланк заказа NEW'!$B$19:$B$201)-COUNT('Бланк OLD 0.8 04'!$B$18:$B$200),'Бланк OLD 2.0 04 '!$B$16:$K$200,4,0)&gt;1,2,
IF(VLOOKUP($A63-COUNT('Шаг2.Бланк заказа NEW'!$B$19:$B$201)-COUNT('Бланк OLD 0.8 04'!$B$18:$B$200),'Бланк OLD 2.0 04 '!$B$16:$K$200,5,0)&gt;1,0.4,IF(AND(VLOOKUP($A63-COUNT('Шаг2.Бланк заказа NEW'!$B$19:$B$201)-COUNT('Бланк OLD 0.8 04'!$B$18:$B$200),'Бланк OLD 2.0 04 '!$B$16:$K$200,4,0)&gt;0,VLOOKUP($A63-COUNT('Шаг2.Бланк заказа NEW'!$B$19:$B$201)-COUNT('Бланк OLD 0.8 04'!$B$18:$B$200),'Бланк OLD 2.0 04 '!$B$16:$K$200,5,0)&gt;0),0.4,""))))</f>
        <v/>
      </c>
      <c r="T63" s="147" t="str">
        <f ca="1">IFERROR(IFERROR(IF(VLOOKUP($A63,'Шаг2.Бланк заказа NEW'!$B$17:$N$201,7,0)="","",VLOOKUP($A63,'Шаг2.Бланк заказа NEW'!$B$17:$N$201,7,0)),
IF(VLOOKUP($A63-COUNT('Шаг2.Бланк заказа NEW'!$B$19:$B$201),'Бланк OLD 0.8 04'!$B$12:$K$200,7,0)&gt;0,0.8,
IF(VLOOKUP($A63-COUNT('Шаг2.Бланк заказа NEW'!$B$19:$B$201),'Бланк OLD 0.8 04'!$B$12:$K$200,8,0)&gt;0,0.4,""))),
IF(VLOOKUP($A63-COUNT('Шаг2.Бланк заказа NEW'!$B$19:$B$201)-COUNT('Бланк OLD 0.8 04'!$B$18:$B$200),'Бланк OLD 2.0 04 '!$B$16:$K$200,7,0)&gt;0,2,IF(VLOOKUP($A63-COUNT('Шаг2.Бланк заказа NEW'!$B$19:$B$201)-COUNT('Бланк OLD 0.8 04'!$B$18:$B$200),'Бланк OLD 2.0 04 '!$B$16:$K$200,8,0)&gt;0,0.4,"")))</f>
        <v/>
      </c>
      <c r="U63" s="147" t="str">
        <f ca="1">IFERROR(IFERROR(IF(VLOOKUP($A63,'Шаг2.Бланк заказа NEW'!$B$17:$N$201,8,0)="","",VLOOKUP($A63,'Шаг2.Бланк заказа NEW'!$B$17:$N$201,8,0)),
IF(VLOOKUP($A63-COUNT('Шаг2.Бланк заказа NEW'!$B$19:$B$201),'Бланк OLD 0.8 04'!$B$12:$K$200,7,0)&gt;1,0.8,
IF(VLOOKUP($A63-COUNT('Шаг2.Бланк заказа NEW'!$B$19:$B$201),'Бланк OLD 0.8 04'!$B$12:$K$200,8,0)&gt;1,0.4,
IF(AND(VLOOKUP($A63-COUNT('Шаг2.Бланк заказа NEW'!$B$19:$B$201),'Бланк OLD 0.8 04'!$B$12:$K$200,7,0)&gt;0,VLOOKUP($A63-COUNT('Шаг2.Бланк заказа NEW'!$B$19:$B$201),'Бланк OLD 0.8 04'!$B$12:$K$200,8,0)&gt;0),0.4,"")))),
IF(VLOOKUP($A63-COUNT('Шаг2.Бланк заказа NEW'!$B$19:$B$201)-COUNT('Бланк OLD 0.8 04'!$B$18:$B$200),'Бланк OLD 2.0 04 '!$B$16:$K$200,7,0)&gt;1,2,
IF(VLOOKUP($A63-COUNT('Шаг2.Бланк заказа NEW'!$B$19:$B$201)-COUNT('Бланк OLD 0.8 04'!$B$18:$B$200),'Бланк OLD 2.0 04 '!$B$16:$K$200,8,0)&gt;1,0.4,
IF(AND(VLOOKUP($A63-COUNT('Шаг2.Бланк заказа NEW'!$B$19:$B$201)-COUNT('Бланк OLD 0.8 04'!$B$18:$B$200),'Бланк OLD 2.0 04 '!$B$16:$K$200,7,0)&gt;0,VLOOKUP($A63-COUNT('Шаг2.Бланк заказа NEW'!$B$19:$B$201)-COUNT('Бланк OLD 0.8 04'!$B$18:$B$200),'Бланк OLD 2.0 04 '!$B$16:$K$200,8,0)&gt;0),0.4,""))))</f>
        <v/>
      </c>
      <c r="V63" s="146" t="str">
        <f ca="1">IFERROR(VLOOKUP(C63,'Шаг1.Выбор плиты'!C:S,12,0),"")</f>
        <v/>
      </c>
      <c r="W63" s="146" t="str">
        <f ca="1">IFERROR(VLOOKUP(C63,'Шаг1.Выбор плиты'!C:S,8,0),"")</f>
        <v/>
      </c>
      <c r="X63" s="146" t="str">
        <f ca="1">IFERROR(VLOOKUP(C63,'Шаг1.Выбор плиты'!C:S,10,0),"")</f>
        <v/>
      </c>
      <c r="Y63" s="147" t="str">
        <f t="shared" ca="1" si="1"/>
        <v/>
      </c>
      <c r="AD63" s="147" t="str">
        <f t="shared" ca="1" si="6"/>
        <v/>
      </c>
      <c r="AE63" s="147" t="str">
        <f t="shared" ca="1" si="3"/>
        <v/>
      </c>
      <c r="AF63" s="25"/>
      <c r="AH63" s="147" t="str">
        <f ca="1">IF(C63="","",VLOOKUP(C63,'Шаг1.Выбор плиты'!C:Q,7,0))</f>
        <v/>
      </c>
      <c r="AI63" s="147" t="str">
        <f t="shared" ca="1" si="7"/>
        <v/>
      </c>
    </row>
    <row r="64" spans="1:35" x14ac:dyDescent="0.2">
      <c r="A64" s="151" t="str">
        <f ca="1">IF(C64="","",MAX($A$1:OFFSET(C64,-1,0))+1)</f>
        <v/>
      </c>
      <c r="B64" s="151" t="str">
        <f ca="1">IFERROR(IFERROR(IFERROR("Шаг2.Бланк заказа NEW №"&amp;VLOOKUP(A63+1,CHOOSE({1,2},'Шаг2.Бланк заказа NEW'!$B$19:$B$201,'Шаг2.Бланк заказа NEW'!$A$19:$A$201),1,0),
"Бланк OLD 0.8 04 №"&amp;VLOOKUP(A63+1-COUNT('Шаг2.Бланк заказа NEW'!$B$19:$B$201),CHOOSE({1,2},'Бланк OLD 0.8 04'!$B$18:$B$200,'Бланк OLD 0.8 04'!$A$18:$A$200),1,0)),
"Бланк OLD 2.0 04 №"&amp;VLOOKUP(A63+1-COUNT('Шаг2.Бланк заказа NEW'!$B$19:$B$201)-COUNT('Бланк OLD 0.8 04'!$B$18:$B$200),CHOOSE({1,2},'Бланк OLD 2.0 04 '!$B$18:$B$200,'Бланк OLD 2.0 04 '!$A$18:$A$200),1,0)),"")</f>
        <v/>
      </c>
      <c r="C64" s="152" t="str">
        <f ca="1">IFERROR(IFERROR(IFERROR(VLOOKUP(A63+1,CHOOSE({1,2},'Шаг2.Бланк заказа NEW'!$B$19:$B$201,'Шаг2.Бланк заказа NEW'!$A$19:$A$201),2,0),
VLOOKUP(A63+1-COUNT('Шаг2.Бланк заказа NEW'!$B$19:$B$201),CHOOSE({1,2},'Бланк OLD 0.8 04'!$B$18:$B$200,'Бланк OLD 0.8 04'!$A$18:$A$200),2,0)),
VLOOKUP(A63+1-COUNT('Шаг2.Бланк заказа NEW'!$B$19:$B$201)-COUNT('Бланк OLD 0.8 04'!$B$18:$B$200),CHOOSE({1,2},'Бланк OLD 2.0 04 '!$B$18:$B$200,'Бланк OLD 2.0 04 '!$A$18:$A$200),2,0)),"")</f>
        <v/>
      </c>
      <c r="D64" s="150" t="str">
        <f ca="1">IFERROR(VLOOKUP(C64,'Шаг1.Выбор плиты'!C:G,5,0),"")</f>
        <v/>
      </c>
      <c r="E64" s="147" t="str">
        <f ca="1">IFERROR(IFERROR(IF(VLOOKUP($A64,'Шаг2.Бланк заказа NEW'!$B$17:$N$201,2,0)="","",VLOOKUP($A64,'Шаг2.Бланк заказа NEW'!$B$17:$N$201,2,0)),
IF(VLOOKUP($A64-COUNT('Шаг2.Бланк заказа NEW'!$B$19:$B$201),'Бланк OLD 0.8 04'!$B$12:$K$200,2,0)="","",VLOOKUP($A64-COUNT('Шаг2.Бланк заказа NEW'!$B$19:$B$201),'Бланк OLD 0.8 04'!$B$12:$K$200,2,0))),
IF(VLOOKUP($A64-COUNT('Шаг2.Бланк заказа NEW'!$B$19:$B$201)-COUNT('Бланк OLD 0.8 04'!$B$18:$B$200),'Бланк OLD 2.0 04 '!$B$16:$K$200,2,0)="","",VLOOKUP($A64-COUNT('Шаг2.Бланк заказа NEW'!$B$19:$B$201)-COUNT('Бланк OLD 0.8 04'!$B$18:$B$200),'Бланк OLD 2.0 04 '!$B$16:$K$200,2,0)))</f>
        <v/>
      </c>
      <c r="F64" s="147" t="str">
        <f ca="1">IFERROR(IFERROR(IF(VLOOKUP($A64,'Шаг2.Бланк заказа NEW'!$B$17:$N$201,3,0)="","",VLOOKUP($A64,'Шаг2.Бланк заказа NEW'!$B$17:$N$201,3,0)),
IF(VLOOKUP($A64-COUNT('Шаг2.Бланк заказа NEW'!$B$19:$B$201),'Бланк OLD 0.8 04'!$B$12:$K$200,3,0)="","",VLOOKUP($A64-COUNT('Шаг2.Бланк заказа NEW'!$B$19:$B$201),'Бланк OLD 0.8 04'!$B$12:$K$200,3,0))),
IF(VLOOKUP($A64-COUNT('Шаг2.Бланк заказа NEW'!$B$19:$B$201)-COUNT('Бланк OLD 0.8 04'!$B$18:$B$200),'Бланк OLD 2.0 04 '!$B$16:$K$200,3,0)="","",VLOOKUP($A64-COUNT('Шаг2.Бланк заказа NEW'!$B$19:$B$201)-COUNT('Бланк OLD 0.8 04'!$B$18:$B$200),'Бланк OLD 2.0 04 '!$B$16:$K$200,3,0)))</f>
        <v/>
      </c>
      <c r="G64" s="176" t="str">
        <f ca="1">IF(IF(R64="","",IF(R64=1,SUMIFS('Шаг1.Выбор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плиты'!C:Q,12,0)),1))))))=0,
R64,
IF(R64="","",IF(R64=1,SUMIFS('Шаг1.Выбор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плиты'!N:N,R64,'Шаг1.Выбор плиты'!M:M,SMALL(INDIRECT("мм"&amp;VLOOKUP(C64,'Шаг1.Выбор плиты'!C:Q,12,0)),1)))))))</f>
        <v/>
      </c>
      <c r="H64" s="177" t="str">
        <f ca="1">IF(IF(S64="","",IF(S64=1,SUMIFS('Шаг1.Выбор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плиты'!C:Q,12,0)),1))))))=0,
S64,
IF(S64="","",IF(S64=1,SUMIFS('Шаг1.Выбор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плиты'!N:N,S64,'Шаг1.Выбор плиты'!M:M,SMALL(INDIRECT("мм"&amp;VLOOKUP(C64,'Шаг1.Выбор плиты'!C:Q,12,0)),1)))))))</f>
        <v/>
      </c>
      <c r="I64" s="147" t="str">
        <f ca="1">IFERROR(IFERROR(IF(VLOOKUP($A64,'Шаг2.Бланк заказа NEW'!$B$17:$N$201,6,0)="","",VLOOKUP($A64,'Шаг2.Бланк заказа NEW'!$B$17:$N$201,6,0)),
IF(VLOOKUP($A64-COUNT('Шаг2.Бланк заказа NEW'!$B$19:$B$201),'Бланк OLD 0.8 04'!$B$12:$K$200,6,0)="","",VLOOKUP($A64-COUNT('Шаг2.Бланк заказа NEW'!$B$19:$B$201),'Бланк OLD 0.8 04'!$B$12:$K$200,6,0))),
IF(VLOOKUP($A64-COUNT('Шаг2.Бланк заказа NEW'!$B$19:$B$201)-COUNT('Бланк OLD 0.8 04'!$B$18:$B$200),'Бланк OLD 2.0 04 '!$B$16:$K$200,6,0)="","",VLOOKUP($A64-COUNT('Шаг2.Бланк заказа NEW'!$B$19:$B$201)-COUNT('Бланк OLD 0.8 04'!$B$18:$B$200),'Бланк OLD 2.0 04 '!$B$16:$K$200,6,0)))</f>
        <v/>
      </c>
      <c r="J64" s="177" t="str">
        <f ca="1">IF(IF(T64="","",IF(T64=1,SUMIFS('Шаг1.Выбор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плиты'!C:Q,12,0)),1))))))=0,
T64,
IF(T64="","",IF(T64=1,SUMIFS('Шаг1.Выбор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плиты'!N:N,T64,'Шаг1.Выбор плиты'!M:M,SMALL(INDIRECT("мм"&amp;VLOOKUP(C64,'Шаг1.Выбор плиты'!C:Q,12,0)),1)))))))</f>
        <v/>
      </c>
      <c r="K64" s="177" t="str">
        <f ca="1">IF(IF(U64="","",IF(U64=1,SUMIFS('Шаг1.Выбор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плиты'!C:Q,12,0)),1))))))=0,
U64,
IF(U64="","",IF(U64=1,SUMIFS('Шаг1.Выбор плиты'!$G:$G,'Шаг1.Выбор плиты'!J:J,"*"&amp;RIGHT(VLOOKUP(C64,'Шаг1.Выбор плиты'!C:Q,8,0),4),'Шаг1.Выбор плиты'!L:L,IF(MID(C64,1,6)="ЛДСП P","TM"&amp;MID(VLOOKUP(C64,'Шаг1.Выбор плиты'!C:Q,10,0),3,2),MID(VLOOKUP(C64,'Шаг1.Выбор плиты'!C:Q,10,0),1,2)),
'Шаг1.Выбор плиты'!N:N,1),IF(SUMIFS('Шаг1.Выбор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плиты'!C:Q,12,0)),1))=0,
IF(SUMIFS('Шаг1.Выбор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плиты'!C:Q,12,0)),2))=0,
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плиты'!C:Q,12,0)),3)),
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плиты'!C:Q,12,0)),2))),
(SUMIFS('Шаг1.Выбор плиты'!$G:$G,'Шаг1.Выбор плиты'!J:J,"*"&amp;RIGHT(VLOOKUP(C64,'Шаг1.Выбор плиты'!C:Q,8,0),4),'Шаг1.Выбор плиты'!L:L,VLOOKUP(C64,'Шаг1.Выбор плиты'!C:Q,10,0),'Шаг1.Выбор плиты'!N:N,U64,'Шаг1.Выбор плиты'!M:M,SMALL(INDIRECT("мм"&amp;VLOOKUP(C64,'Шаг1.Выбор плиты'!C:Q,12,0)),1)))))))</f>
        <v/>
      </c>
      <c r="L64" s="147" t="str">
        <f ca="1">IFERROR(IFERROR(IF(VLOOKUP($A64,'Шаг2.Бланк заказа NEW'!$B$17:$N$201,9,0)="","",VLOOKUP($A64,'Шаг2.Бланк заказа NEW'!$B$17:$N$201,9,0)),
IF(VLOOKUP($A64-COUNT('Шаг2.Бланк заказа NEW'!$B$19:$B$201),'Бланк OLD 0.8 04'!$B$12:$K$200,9,0)="","",VLOOKUP($A64-COUNT('Шаг2.Бланк заказа NEW'!$B$19:$B$201),'Бланк OLD 0.8 04'!$B$12:$K$200,9,0))),
IF(VLOOKUP($A64-COUNT('Шаг2.Бланк заказа NEW'!$B$19:$B$201)-COUNT('Бланк OLD 0.8 04'!$B$18:$B$200),'Бланк OLD 2.0 04 '!$B$16:$K$200,9,0)="","",VLOOKUP($A64-COUNT('Шаг2.Бланк заказа NEW'!$B$19:$B$201)-COUNT('Бланк OLD 0.8 04'!$B$18:$B$200),'Бланк OLD 2.0 04 '!$B$16:$K$200,9,0)))</f>
        <v/>
      </c>
      <c r="M64" s="154" t="str">
        <f t="shared" ca="1" si="5"/>
        <v/>
      </c>
      <c r="N64" s="153" t="str">
        <f ca="1">IFERROR(IF(VLOOKUP($A64,'Шаг2.Бланк заказа NEW'!$B$17:$N$201,11,0)="","",VLOOKUP($A64,'Шаг2.Бланк заказа NEW'!$B$17:$N$201,11,0)),
"Нет")</f>
        <v/>
      </c>
      <c r="O64" s="147" t="str">
        <f ca="1">IFERROR(IF(VLOOKUP($A64,'Шаг2.Бланк заказа NEW'!$B$17:$N$201,11,0)="","",VLOOKUP($A64,'Шаг2.Бланк заказа NEW'!$B$17:$N$201,12,0)),
"Нет")</f>
        <v/>
      </c>
      <c r="P64" s="153" t="str">
        <f ca="1">IFERROR(IF(VLOOKUP($A64,'Шаг2.Бланк заказа NEW'!$B$17:$N$201,13,0)="","",VLOOKUP($A64,'Шаг2.Бланк заказа NEW'!$B$17:$N$201,13,0)),
"Нет")</f>
        <v/>
      </c>
      <c r="Q64" s="147" t="str">
        <f ca="1">IFERROR(IF(VLOOKUP($A64,'Шаг2.Бланк заказа NEW'!$B$17:$O$201,14,0)="","",VLOOKUP($A64,'Шаг2.Бланк заказа NEW'!$B$17:$O$201,14,0)),"")</f>
        <v/>
      </c>
      <c r="R64" s="147" t="str">
        <f ca="1">IFERROR(IFERROR(IF(VLOOKUP($A64,'Шаг2.Бланк заказа NEW'!$B$17:$N$201,4,0)="","",VLOOKUP($A64,'Шаг2.Бланк заказа NEW'!$B$17:$N$201,4,0)),
IF(VLOOKUP($A64-COUNT('Шаг2.Бланк заказа NEW'!$B$19:$B$201),'Бланк OLD 0.8 04'!$B$12:$K$200,4,0)&gt;0,0.8,
IF(VLOOKUP($A64-COUNT('Шаг2.Бланк заказа NEW'!$B$19:$B$201),'Бланк OLD 0.8 04'!$B$12:$K$200,5,0)&gt;0,0.4,""))),
IF(VLOOKUP($A64-COUNT('Шаг2.Бланк заказа NEW'!$B$19:$B$201)-COUNT('Бланк OLD 0.8 04'!$B$18:$B$200),'Бланк OLD 2.0 04 '!$B$16:$K$200,4,0)&gt;0,2,IF(VLOOKUP($A64-COUNT('Шаг2.Бланк заказа NEW'!$B$19:$B$201)-COUNT('Бланк OLD 0.8 04'!$B$18:$B$200),'Бланк OLD 2.0 04 '!$B$16:$K$200,5,0)&gt;0,0.4,"")))</f>
        <v/>
      </c>
      <c r="S64" s="147" t="str">
        <f ca="1">IFERROR(IFERROR(IF(VLOOKUP($A64,'Шаг2.Бланк заказа NEW'!$B$17:$N$201,5,0)="","",VLOOKUP($A64,'Шаг2.Бланк заказа NEW'!$B$17:$N$201,5,0)),
IF(VLOOKUP($A64-COUNT('Шаг2.Бланк заказа NEW'!$B$19:$B$201),'Бланк OLD 0.8 04'!$B$12:$K$200,4,0)&gt;1,0.8,
IF(VLOOKUP($A64-COUNT('Шаг2.Бланк заказа NEW'!$B$19:$B$201),'Бланк OLD 0.8 04'!$B$12:$K$200,5,0)&gt;1,0.4,
IF(AND(VLOOKUP($A64-COUNT('Шаг2.Бланк заказа NEW'!$B$19:$B$201),'Бланк OLD 0.8 04'!$B$12:$K$200,4,0)&gt;0,VLOOKUP($A64-COUNT('Шаг2.Бланк заказа NEW'!$B$19:$B$201),'Бланк OLD 0.8 04'!$B$12:$K$200,5,0)&gt;0),0.4,"")))),
IF(VLOOKUP($A64-COUNT('Шаг2.Бланк заказа NEW'!$B$19:$B$201)-COUNT('Бланк OLD 0.8 04'!$B$18:$B$200),'Бланк OLD 2.0 04 '!$B$16:$K$200,4,0)&gt;1,2,
IF(VLOOKUP($A64-COUNT('Шаг2.Бланк заказа NEW'!$B$19:$B$201)-COUNT('Бланк OLD 0.8 04'!$B$18:$B$200),'Бланк OLD 2.0 04 '!$B$16:$K$200,5,0)&gt;1,0.4,IF(AND(VLOOKUP($A64-COUNT('Шаг2.Бланк заказа NEW'!$B$19:$B$201)-COUNT('Бланк OLD 0.8 04'!$B$18:$B$200),'Бланк OLD 2.0 04 '!$B$16:$K$200,4,0)&gt;0,VLOOKUP($A64-COUNT('Шаг2.Бланк заказа NEW'!$B$19:$B$201)-COUNT('Бланк OLD 0.8 04'!$B$18:$B$200),'Бланк OLD 2.0 04 '!$B$16:$K$200,5,0)&gt;0),0.4,""))))</f>
        <v/>
      </c>
      <c r="T64" s="147" t="str">
        <f ca="1">IFERROR(IFERROR(IF(VLOOKUP($A64,'Шаг2.Бланк заказа NEW'!$B$17:$N$201,7,0)="","",VLOOKUP($A64,'Шаг2.Бланк заказа NEW'!$B$17:$N$201,7,0)),
IF(VLOOKUP($A64-COUNT('Шаг2.Бланк заказа NEW'!$B$19:$B$201),'Бланк OLD 0.8 04'!$B$12:$K$200,7,0)&gt;0,0.8,
IF(VLOOKUP($A64-COUNT('Шаг2.Бланк заказа NEW'!$B$19:$B$201),'Бланк OLD 0.8 04'!$B$12:$K$200,8,0)&gt;0,0.4,""))),
IF(VLOOKUP($A64-COUNT('Шаг2.Бланк заказа NEW'!$B$19:$B$201)-COUNT('Бланк OLD 0.8 04'!$B$18:$B$200),'Бланк OLD 2.0 04 '!$B$16:$K$200,7,0)&gt;0,2,IF(VLOOKUP($A64-COUNT('Шаг2.Бланк заказа NEW'!$B$19:$B$201)-COUNT('Бланк OLD 0.8 04'!$B$18:$B$200),'Бланк OLD 2.0 04 '!$B$16:$K$200,8,0)&gt;0,0.4,"")))</f>
        <v/>
      </c>
      <c r="U64" s="147" t="str">
        <f ca="1">IFERROR(IFERROR(IF(VLOOKUP($A64,'Шаг2.Бланк заказа NEW'!$B$17:$N$201,8,0)="","",VLOOKUP($A64,'Шаг2.Бланк заказа NEW'!$B$17:$N$201,8,0)),
IF(VLOOKUP($A64-COUNT('Шаг2.Бланк заказа NEW'!$B$19:$B$201),'Бланк OLD 0.8 04'!$B$12:$K$200,7,0)&gt;1,0.8,
IF(VLOOKUP($A64-COUNT('Шаг2.Бланк заказа NEW'!$B$19:$B$201),'Бланк OLD 0.8 04'!$B$12:$K$200,8,0)&gt;1,0.4,
IF(AND(VLOOKUP($A64-COUNT('Шаг2.Бланк заказа NEW'!$B$19:$B$201),'Бланк OLD 0.8 04'!$B$12:$K$200,7,0)&gt;0,VLOOKUP($A64-COUNT('Шаг2.Бланк заказа NEW'!$B$19:$B$201),'Бланк OLD 0.8 04'!$B$12:$K$200,8,0)&gt;0),0.4,"")))),
IF(VLOOKUP($A64-COUNT('Шаг2.Бланк заказа NEW'!$B$19:$B$201)-COUNT('Бланк OLD 0.8 04'!$B$18:$B$200),'Бланк OLD 2.0 04 '!$B$16:$K$200,7,0)&gt;1,2,
IF(VLOOKUP($A64-COUNT('Шаг2.Бланк заказа NEW'!$B$19:$B$201)-COUNT('Бланк OLD 0.8 04'!$B$18:$B$200),'Бланк OLD 2.0 04 '!$B$16:$K$200,8,0)&gt;1,0.4,
IF(AND(VLOOKUP($A64-COUNT('Шаг2.Бланк заказа NEW'!$B$19:$B$201)-COUNT('Бланк OLD 0.8 04'!$B$18:$B$200),'Бланк OLD 2.0 04 '!$B$16:$K$200,7,0)&gt;0,VLOOKUP($A64-COUNT('Шаг2.Бланк заказа NEW'!$B$19:$B$201)-COUNT('Бланк OLD 0.8 04'!$B$18:$B$200),'Бланк OLD 2.0 04 '!$B$16:$K$200,8,0)&gt;0),0.4,""))))</f>
        <v/>
      </c>
      <c r="V64" s="146" t="str">
        <f ca="1">IFERROR(VLOOKUP(C64,'Шаг1.Выбор плиты'!C:S,12,0),"")</f>
        <v/>
      </c>
      <c r="W64" s="146" t="str">
        <f ca="1">IFERROR(VLOOKUP(C64,'Шаг1.Выбор плиты'!C:S,8,0),"")</f>
        <v/>
      </c>
      <c r="X64" s="146" t="str">
        <f ca="1">IFERROR(VLOOKUP(C64,'Шаг1.Выбор плиты'!C:S,10,0),"")</f>
        <v/>
      </c>
      <c r="Y64" s="147" t="str">
        <f t="shared" ca="1" si="1"/>
        <v/>
      </c>
      <c r="AD64" s="147" t="str">
        <f t="shared" ca="1" si="6"/>
        <v/>
      </c>
      <c r="AE64" s="147" t="str">
        <f t="shared" ca="1" si="3"/>
        <v/>
      </c>
      <c r="AF64" s="25"/>
      <c r="AH64" s="147" t="str">
        <f ca="1">IF(C64="","",VLOOKUP(C64,'Шаг1.Выбор плиты'!C:Q,7,0))</f>
        <v/>
      </c>
      <c r="AI64" s="147" t="str">
        <f t="shared" ca="1" si="7"/>
        <v/>
      </c>
    </row>
    <row r="65" spans="1:35" x14ac:dyDescent="0.2">
      <c r="A65" s="151" t="str">
        <f ca="1">IF(C65="","",MAX($A$1:OFFSET(C65,-1,0))+1)</f>
        <v/>
      </c>
      <c r="B65" s="151" t="str">
        <f ca="1">IFERROR(IFERROR(IFERROR("Шаг2.Бланк заказа NEW №"&amp;VLOOKUP(A64+1,CHOOSE({1,2},'Шаг2.Бланк заказа NEW'!$B$19:$B$201,'Шаг2.Бланк заказа NEW'!$A$19:$A$201),1,0),
"Бланк OLD 0.8 04 №"&amp;VLOOKUP(A64+1-COUNT('Шаг2.Бланк заказа NEW'!$B$19:$B$201),CHOOSE({1,2},'Бланк OLD 0.8 04'!$B$18:$B$200,'Бланк OLD 0.8 04'!$A$18:$A$200),1,0)),
"Бланк OLD 2.0 04 №"&amp;VLOOKUP(A64+1-COUNT('Шаг2.Бланк заказа NEW'!$B$19:$B$201)-COUNT('Бланк OLD 0.8 04'!$B$18:$B$200),CHOOSE({1,2},'Бланк OLD 2.0 04 '!$B$18:$B$200,'Бланк OLD 2.0 04 '!$A$18:$A$200),1,0)),"")</f>
        <v/>
      </c>
      <c r="C65" s="152" t="str">
        <f ca="1">IFERROR(IFERROR(IFERROR(VLOOKUP(A64+1,CHOOSE({1,2},'Шаг2.Бланк заказа NEW'!$B$19:$B$201,'Шаг2.Бланк заказа NEW'!$A$19:$A$201),2,0),
VLOOKUP(A64+1-COUNT('Шаг2.Бланк заказа NEW'!$B$19:$B$201),CHOOSE({1,2},'Бланк OLD 0.8 04'!$B$18:$B$200,'Бланк OLD 0.8 04'!$A$18:$A$200),2,0)),
VLOOKUP(A64+1-COUNT('Шаг2.Бланк заказа NEW'!$B$19:$B$201)-COUNT('Бланк OLD 0.8 04'!$B$18:$B$200),CHOOSE({1,2},'Бланк OLD 2.0 04 '!$B$18:$B$200,'Бланк OLD 2.0 04 '!$A$18:$A$200),2,0)),"")</f>
        <v/>
      </c>
      <c r="D65" s="150" t="str">
        <f ca="1">IFERROR(VLOOKUP(C65,'Шаг1.Выбор плиты'!C:G,5,0),"")</f>
        <v/>
      </c>
      <c r="E65" s="147" t="str">
        <f ca="1">IFERROR(IFERROR(IF(VLOOKUP($A65,'Шаг2.Бланк заказа NEW'!$B$17:$N$201,2,0)="","",VLOOKUP($A65,'Шаг2.Бланк заказа NEW'!$B$17:$N$201,2,0)),
IF(VLOOKUP($A65-COUNT('Шаг2.Бланк заказа NEW'!$B$19:$B$201),'Бланк OLD 0.8 04'!$B$12:$K$200,2,0)="","",VLOOKUP($A65-COUNT('Шаг2.Бланк заказа NEW'!$B$19:$B$201),'Бланк OLD 0.8 04'!$B$12:$K$200,2,0))),
IF(VLOOKUP($A65-COUNT('Шаг2.Бланк заказа NEW'!$B$19:$B$201)-COUNT('Бланк OLD 0.8 04'!$B$18:$B$200),'Бланк OLD 2.0 04 '!$B$16:$K$200,2,0)="","",VLOOKUP($A65-COUNT('Шаг2.Бланк заказа NEW'!$B$19:$B$201)-COUNT('Бланк OLD 0.8 04'!$B$18:$B$200),'Бланк OLD 2.0 04 '!$B$16:$K$200,2,0)))</f>
        <v/>
      </c>
      <c r="F65" s="147" t="str">
        <f ca="1">IFERROR(IFERROR(IF(VLOOKUP($A65,'Шаг2.Бланк заказа NEW'!$B$17:$N$201,3,0)="","",VLOOKUP($A65,'Шаг2.Бланк заказа NEW'!$B$17:$N$201,3,0)),
IF(VLOOKUP($A65-COUNT('Шаг2.Бланк заказа NEW'!$B$19:$B$201),'Бланк OLD 0.8 04'!$B$12:$K$200,3,0)="","",VLOOKUP($A65-COUNT('Шаг2.Бланк заказа NEW'!$B$19:$B$201),'Бланк OLD 0.8 04'!$B$12:$K$200,3,0))),
IF(VLOOKUP($A65-COUNT('Шаг2.Бланк заказа NEW'!$B$19:$B$201)-COUNT('Бланк OLD 0.8 04'!$B$18:$B$200),'Бланк OLD 2.0 04 '!$B$16:$K$200,3,0)="","",VLOOKUP($A65-COUNT('Шаг2.Бланк заказа NEW'!$B$19:$B$201)-COUNT('Бланк OLD 0.8 04'!$B$18:$B$200),'Бланк OLD 2.0 04 '!$B$16:$K$200,3,0)))</f>
        <v/>
      </c>
      <c r="G65" s="176" t="str">
        <f ca="1">IF(IF(R65="","",IF(R65=1,SUMIFS('Шаг1.Выбор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плиты'!C:Q,12,0)),1))))))=0,
R65,
IF(R65="","",IF(R65=1,SUMIFS('Шаг1.Выбор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плиты'!N:N,R65,'Шаг1.Выбор плиты'!M:M,SMALL(INDIRECT("мм"&amp;VLOOKUP(C65,'Шаг1.Выбор плиты'!C:Q,12,0)),1)))))))</f>
        <v/>
      </c>
      <c r="H65" s="177" t="str">
        <f ca="1">IF(IF(S65="","",IF(S65=1,SUMIFS('Шаг1.Выбор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плиты'!C:Q,12,0)),1))))))=0,
S65,
IF(S65="","",IF(S65=1,SUMIFS('Шаг1.Выбор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плиты'!N:N,S65,'Шаг1.Выбор плиты'!M:M,SMALL(INDIRECT("мм"&amp;VLOOKUP(C65,'Шаг1.Выбор плиты'!C:Q,12,0)),1)))))))</f>
        <v/>
      </c>
      <c r="I65" s="147" t="str">
        <f ca="1">IFERROR(IFERROR(IF(VLOOKUP($A65,'Шаг2.Бланк заказа NEW'!$B$17:$N$201,6,0)="","",VLOOKUP($A65,'Шаг2.Бланк заказа NEW'!$B$17:$N$201,6,0)),
IF(VLOOKUP($A65-COUNT('Шаг2.Бланк заказа NEW'!$B$19:$B$201),'Бланк OLD 0.8 04'!$B$12:$K$200,6,0)="","",VLOOKUP($A65-COUNT('Шаг2.Бланк заказа NEW'!$B$19:$B$201),'Бланк OLD 0.8 04'!$B$12:$K$200,6,0))),
IF(VLOOKUP($A65-COUNT('Шаг2.Бланк заказа NEW'!$B$19:$B$201)-COUNT('Бланк OLD 0.8 04'!$B$18:$B$200),'Бланк OLD 2.0 04 '!$B$16:$K$200,6,0)="","",VLOOKUP($A65-COUNT('Шаг2.Бланк заказа NEW'!$B$19:$B$201)-COUNT('Бланк OLD 0.8 04'!$B$18:$B$200),'Бланк OLD 2.0 04 '!$B$16:$K$200,6,0)))</f>
        <v/>
      </c>
      <c r="J65" s="177" t="str">
        <f ca="1">IF(IF(T65="","",IF(T65=1,SUMIFS('Шаг1.Выбор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плиты'!C:Q,12,0)),1))))))=0,
T65,
IF(T65="","",IF(T65=1,SUMIFS('Шаг1.Выбор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плиты'!N:N,T65,'Шаг1.Выбор плиты'!M:M,SMALL(INDIRECT("мм"&amp;VLOOKUP(C65,'Шаг1.Выбор плиты'!C:Q,12,0)),1)))))))</f>
        <v/>
      </c>
      <c r="K65" s="177" t="str">
        <f ca="1">IF(IF(U65="","",IF(U65=1,SUMIFS('Шаг1.Выбор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плиты'!C:Q,12,0)),1))))))=0,
U65,
IF(U65="","",IF(U65=1,SUMIFS('Шаг1.Выбор плиты'!$G:$G,'Шаг1.Выбор плиты'!J:J,"*"&amp;RIGHT(VLOOKUP(C65,'Шаг1.Выбор плиты'!C:Q,8,0),4),'Шаг1.Выбор плиты'!L:L,IF(MID(C65,1,6)="ЛДСП P","TM"&amp;MID(VLOOKUP(C65,'Шаг1.Выбор плиты'!C:Q,10,0),3,2),MID(VLOOKUP(C65,'Шаг1.Выбор плиты'!C:Q,10,0),1,2)),
'Шаг1.Выбор плиты'!N:N,1),IF(SUMIFS('Шаг1.Выбор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плиты'!C:Q,12,0)),1))=0,
IF(SUMIFS('Шаг1.Выбор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плиты'!C:Q,12,0)),2))=0,
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плиты'!C:Q,12,0)),3)),
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плиты'!C:Q,12,0)),2))),
(SUMIFS('Шаг1.Выбор плиты'!$G:$G,'Шаг1.Выбор плиты'!J:J,"*"&amp;RIGHT(VLOOKUP(C65,'Шаг1.Выбор плиты'!C:Q,8,0),4),'Шаг1.Выбор плиты'!L:L,VLOOKUP(C65,'Шаг1.Выбор плиты'!C:Q,10,0),'Шаг1.Выбор плиты'!N:N,U65,'Шаг1.Выбор плиты'!M:M,SMALL(INDIRECT("мм"&amp;VLOOKUP(C65,'Шаг1.Выбор плиты'!C:Q,12,0)),1)))))))</f>
        <v/>
      </c>
      <c r="L65" s="147" t="str">
        <f ca="1">IFERROR(IFERROR(IF(VLOOKUP($A65,'Шаг2.Бланк заказа NEW'!$B$17:$N$201,9,0)="","",VLOOKUP($A65,'Шаг2.Бланк заказа NEW'!$B$17:$N$201,9,0)),
IF(VLOOKUP($A65-COUNT('Шаг2.Бланк заказа NEW'!$B$19:$B$201),'Бланк OLD 0.8 04'!$B$12:$K$200,9,0)="","",VLOOKUP($A65-COUNT('Шаг2.Бланк заказа NEW'!$B$19:$B$201),'Бланк OLD 0.8 04'!$B$12:$K$200,9,0))),
IF(VLOOKUP($A65-COUNT('Шаг2.Бланк заказа NEW'!$B$19:$B$201)-COUNT('Бланк OLD 0.8 04'!$B$18:$B$200),'Бланк OLD 2.0 04 '!$B$16:$K$200,9,0)="","",VLOOKUP($A65-COUNT('Шаг2.Бланк заказа NEW'!$B$19:$B$201)-COUNT('Бланк OLD 0.8 04'!$B$18:$B$200),'Бланк OLD 2.0 04 '!$B$16:$K$200,9,0)))</f>
        <v/>
      </c>
      <c r="M65" s="154" t="str">
        <f t="shared" ca="1" si="5"/>
        <v/>
      </c>
      <c r="N65" s="153" t="str">
        <f ca="1">IFERROR(IF(VLOOKUP($A65,'Шаг2.Бланк заказа NEW'!$B$17:$N$201,11,0)="","",VLOOKUP($A65,'Шаг2.Бланк заказа NEW'!$B$17:$N$201,11,0)),
"Нет")</f>
        <v/>
      </c>
      <c r="O65" s="147" t="str">
        <f ca="1">IFERROR(IF(VLOOKUP($A65,'Шаг2.Бланк заказа NEW'!$B$17:$N$201,11,0)="","",VLOOKUP($A65,'Шаг2.Бланк заказа NEW'!$B$17:$N$201,12,0)),
"Нет")</f>
        <v/>
      </c>
      <c r="P65" s="153" t="str">
        <f ca="1">IFERROR(IF(VLOOKUP($A65,'Шаг2.Бланк заказа NEW'!$B$17:$N$201,13,0)="","",VLOOKUP($A65,'Шаг2.Бланк заказа NEW'!$B$17:$N$201,13,0)),
"Нет")</f>
        <v/>
      </c>
      <c r="Q65" s="147" t="str">
        <f ca="1">IFERROR(IF(VLOOKUP($A65,'Шаг2.Бланк заказа NEW'!$B$17:$O$201,14,0)="","",VLOOKUP($A65,'Шаг2.Бланк заказа NEW'!$B$17:$O$201,14,0)),"")</f>
        <v/>
      </c>
      <c r="R65" s="147" t="str">
        <f ca="1">IFERROR(IFERROR(IF(VLOOKUP($A65,'Шаг2.Бланк заказа NEW'!$B$17:$N$201,4,0)="","",VLOOKUP($A65,'Шаг2.Бланк заказа NEW'!$B$17:$N$201,4,0)),
IF(VLOOKUP($A65-COUNT('Шаг2.Бланк заказа NEW'!$B$19:$B$201),'Бланк OLD 0.8 04'!$B$12:$K$200,4,0)&gt;0,0.8,
IF(VLOOKUP($A65-COUNT('Шаг2.Бланк заказа NEW'!$B$19:$B$201),'Бланк OLD 0.8 04'!$B$12:$K$200,5,0)&gt;0,0.4,""))),
IF(VLOOKUP($A65-COUNT('Шаг2.Бланк заказа NEW'!$B$19:$B$201)-COUNT('Бланк OLD 0.8 04'!$B$18:$B$200),'Бланк OLD 2.0 04 '!$B$16:$K$200,4,0)&gt;0,2,IF(VLOOKUP($A65-COUNT('Шаг2.Бланк заказа NEW'!$B$19:$B$201)-COUNT('Бланк OLD 0.8 04'!$B$18:$B$200),'Бланк OLD 2.0 04 '!$B$16:$K$200,5,0)&gt;0,0.4,"")))</f>
        <v/>
      </c>
      <c r="S65" s="147" t="str">
        <f ca="1">IFERROR(IFERROR(IF(VLOOKUP($A65,'Шаг2.Бланк заказа NEW'!$B$17:$N$201,5,0)="","",VLOOKUP($A65,'Шаг2.Бланк заказа NEW'!$B$17:$N$201,5,0)),
IF(VLOOKUP($A65-COUNT('Шаг2.Бланк заказа NEW'!$B$19:$B$201),'Бланк OLD 0.8 04'!$B$12:$K$200,4,0)&gt;1,0.8,
IF(VLOOKUP($A65-COUNT('Шаг2.Бланк заказа NEW'!$B$19:$B$201),'Бланк OLD 0.8 04'!$B$12:$K$200,5,0)&gt;1,0.4,
IF(AND(VLOOKUP($A65-COUNT('Шаг2.Бланк заказа NEW'!$B$19:$B$201),'Бланк OLD 0.8 04'!$B$12:$K$200,4,0)&gt;0,VLOOKUP($A65-COUNT('Шаг2.Бланк заказа NEW'!$B$19:$B$201),'Бланк OLD 0.8 04'!$B$12:$K$200,5,0)&gt;0),0.4,"")))),
IF(VLOOKUP($A65-COUNT('Шаг2.Бланк заказа NEW'!$B$19:$B$201)-COUNT('Бланк OLD 0.8 04'!$B$18:$B$200),'Бланк OLD 2.0 04 '!$B$16:$K$200,4,0)&gt;1,2,
IF(VLOOKUP($A65-COUNT('Шаг2.Бланк заказа NEW'!$B$19:$B$201)-COUNT('Бланк OLD 0.8 04'!$B$18:$B$200),'Бланк OLD 2.0 04 '!$B$16:$K$200,5,0)&gt;1,0.4,IF(AND(VLOOKUP($A65-COUNT('Шаг2.Бланк заказа NEW'!$B$19:$B$201)-COUNT('Бланк OLD 0.8 04'!$B$18:$B$200),'Бланк OLD 2.0 04 '!$B$16:$K$200,4,0)&gt;0,VLOOKUP($A65-COUNT('Шаг2.Бланк заказа NEW'!$B$19:$B$201)-COUNT('Бланк OLD 0.8 04'!$B$18:$B$200),'Бланк OLD 2.0 04 '!$B$16:$K$200,5,0)&gt;0),0.4,""))))</f>
        <v/>
      </c>
      <c r="T65" s="147" t="str">
        <f ca="1">IFERROR(IFERROR(IF(VLOOKUP($A65,'Шаг2.Бланк заказа NEW'!$B$17:$N$201,7,0)="","",VLOOKUP($A65,'Шаг2.Бланк заказа NEW'!$B$17:$N$201,7,0)),
IF(VLOOKUP($A65-COUNT('Шаг2.Бланк заказа NEW'!$B$19:$B$201),'Бланк OLD 0.8 04'!$B$12:$K$200,7,0)&gt;0,0.8,
IF(VLOOKUP($A65-COUNT('Шаг2.Бланк заказа NEW'!$B$19:$B$201),'Бланк OLD 0.8 04'!$B$12:$K$200,8,0)&gt;0,0.4,""))),
IF(VLOOKUP($A65-COUNT('Шаг2.Бланк заказа NEW'!$B$19:$B$201)-COUNT('Бланк OLD 0.8 04'!$B$18:$B$200),'Бланк OLD 2.0 04 '!$B$16:$K$200,7,0)&gt;0,2,IF(VLOOKUP($A65-COUNT('Шаг2.Бланк заказа NEW'!$B$19:$B$201)-COUNT('Бланк OLD 0.8 04'!$B$18:$B$200),'Бланк OLD 2.0 04 '!$B$16:$K$200,8,0)&gt;0,0.4,"")))</f>
        <v/>
      </c>
      <c r="U65" s="147" t="str">
        <f ca="1">IFERROR(IFERROR(IF(VLOOKUP($A65,'Шаг2.Бланк заказа NEW'!$B$17:$N$201,8,0)="","",VLOOKUP($A65,'Шаг2.Бланк заказа NEW'!$B$17:$N$201,8,0)),
IF(VLOOKUP($A65-COUNT('Шаг2.Бланк заказа NEW'!$B$19:$B$201),'Бланк OLD 0.8 04'!$B$12:$K$200,7,0)&gt;1,0.8,
IF(VLOOKUP($A65-COUNT('Шаг2.Бланк заказа NEW'!$B$19:$B$201),'Бланк OLD 0.8 04'!$B$12:$K$200,8,0)&gt;1,0.4,
IF(AND(VLOOKUP($A65-COUNT('Шаг2.Бланк заказа NEW'!$B$19:$B$201),'Бланк OLD 0.8 04'!$B$12:$K$200,7,0)&gt;0,VLOOKUP($A65-COUNT('Шаг2.Бланк заказа NEW'!$B$19:$B$201),'Бланк OLD 0.8 04'!$B$12:$K$200,8,0)&gt;0),0.4,"")))),
IF(VLOOKUP($A65-COUNT('Шаг2.Бланк заказа NEW'!$B$19:$B$201)-COUNT('Бланк OLD 0.8 04'!$B$18:$B$200),'Бланк OLD 2.0 04 '!$B$16:$K$200,7,0)&gt;1,2,
IF(VLOOKUP($A65-COUNT('Шаг2.Бланк заказа NEW'!$B$19:$B$201)-COUNT('Бланк OLD 0.8 04'!$B$18:$B$200),'Бланк OLD 2.0 04 '!$B$16:$K$200,8,0)&gt;1,0.4,
IF(AND(VLOOKUP($A65-COUNT('Шаг2.Бланк заказа NEW'!$B$19:$B$201)-COUNT('Бланк OLD 0.8 04'!$B$18:$B$200),'Бланк OLD 2.0 04 '!$B$16:$K$200,7,0)&gt;0,VLOOKUP($A65-COUNT('Шаг2.Бланк заказа NEW'!$B$19:$B$201)-COUNT('Бланк OLD 0.8 04'!$B$18:$B$200),'Бланк OLD 2.0 04 '!$B$16:$K$200,8,0)&gt;0),0.4,""))))</f>
        <v/>
      </c>
      <c r="V65" s="146" t="str">
        <f ca="1">IFERROR(VLOOKUP(C65,'Шаг1.Выбор плиты'!C:S,12,0),"")</f>
        <v/>
      </c>
      <c r="W65" s="146" t="str">
        <f ca="1">IFERROR(VLOOKUP(C65,'Шаг1.Выбор плиты'!C:S,8,0),"")</f>
        <v/>
      </c>
      <c r="X65" s="146" t="str">
        <f ca="1">IFERROR(VLOOKUP(C65,'Шаг1.Выбор плиты'!C:S,10,0),"")</f>
        <v/>
      </c>
      <c r="Y65" s="147" t="str">
        <f t="shared" ca="1" si="1"/>
        <v/>
      </c>
      <c r="AD65" s="147" t="str">
        <f t="shared" ca="1" si="6"/>
        <v/>
      </c>
      <c r="AE65" s="147" t="str">
        <f t="shared" ca="1" si="3"/>
        <v/>
      </c>
      <c r="AF65" s="25"/>
      <c r="AH65" s="147" t="str">
        <f ca="1">IF(C65="","",VLOOKUP(C65,'Шаг1.Выбор плиты'!C:Q,7,0))</f>
        <v/>
      </c>
      <c r="AI65" s="147" t="str">
        <f t="shared" ca="1" si="7"/>
        <v/>
      </c>
    </row>
    <row r="66" spans="1:35" x14ac:dyDescent="0.2">
      <c r="A66" s="151" t="str">
        <f ca="1">IF(C66="","",MAX($A$1:OFFSET(C66,-1,0))+1)</f>
        <v/>
      </c>
      <c r="B66" s="151" t="str">
        <f ca="1">IFERROR(IFERROR(IFERROR("Шаг2.Бланк заказа NEW №"&amp;VLOOKUP(A65+1,CHOOSE({1,2},'Шаг2.Бланк заказа NEW'!$B$19:$B$201,'Шаг2.Бланк заказа NEW'!$A$19:$A$201),1,0),
"Бланк OLD 0.8 04 №"&amp;VLOOKUP(A65+1-COUNT('Шаг2.Бланк заказа NEW'!$B$19:$B$201),CHOOSE({1,2},'Бланк OLD 0.8 04'!$B$18:$B$200,'Бланк OLD 0.8 04'!$A$18:$A$200),1,0)),
"Бланк OLD 2.0 04 №"&amp;VLOOKUP(A65+1-COUNT('Шаг2.Бланк заказа NEW'!$B$19:$B$201)-COUNT('Бланк OLD 0.8 04'!$B$18:$B$200),CHOOSE({1,2},'Бланк OLD 2.0 04 '!$B$18:$B$200,'Бланк OLD 2.0 04 '!$A$18:$A$200),1,0)),"")</f>
        <v/>
      </c>
      <c r="C66" s="152" t="str">
        <f ca="1">IFERROR(IFERROR(IFERROR(VLOOKUP(A65+1,CHOOSE({1,2},'Шаг2.Бланк заказа NEW'!$B$19:$B$201,'Шаг2.Бланк заказа NEW'!$A$19:$A$201),2,0),
VLOOKUP(A65+1-COUNT('Шаг2.Бланк заказа NEW'!$B$19:$B$201),CHOOSE({1,2},'Бланк OLD 0.8 04'!$B$18:$B$200,'Бланк OLD 0.8 04'!$A$18:$A$200),2,0)),
VLOOKUP(A65+1-COUNT('Шаг2.Бланк заказа NEW'!$B$19:$B$201)-COUNT('Бланк OLD 0.8 04'!$B$18:$B$200),CHOOSE({1,2},'Бланк OLD 2.0 04 '!$B$18:$B$200,'Бланк OLD 2.0 04 '!$A$18:$A$200),2,0)),"")</f>
        <v/>
      </c>
      <c r="D66" s="150" t="str">
        <f ca="1">IFERROR(VLOOKUP(C66,'Шаг1.Выбор плиты'!C:G,5,0),"")</f>
        <v/>
      </c>
      <c r="E66" s="147" t="str">
        <f ca="1">IFERROR(IFERROR(IF(VLOOKUP($A66,'Шаг2.Бланк заказа NEW'!$B$17:$N$201,2,0)="","",VLOOKUP($A66,'Шаг2.Бланк заказа NEW'!$B$17:$N$201,2,0)),
IF(VLOOKUP($A66-COUNT('Шаг2.Бланк заказа NEW'!$B$19:$B$201),'Бланк OLD 0.8 04'!$B$12:$K$200,2,0)="","",VLOOKUP($A66-COUNT('Шаг2.Бланк заказа NEW'!$B$19:$B$201),'Бланк OLD 0.8 04'!$B$12:$K$200,2,0))),
IF(VLOOKUP($A66-COUNT('Шаг2.Бланк заказа NEW'!$B$19:$B$201)-COUNT('Бланк OLD 0.8 04'!$B$18:$B$200),'Бланк OLD 2.0 04 '!$B$16:$K$200,2,0)="","",VLOOKUP($A66-COUNT('Шаг2.Бланк заказа NEW'!$B$19:$B$201)-COUNT('Бланк OLD 0.8 04'!$B$18:$B$200),'Бланк OLD 2.0 04 '!$B$16:$K$200,2,0)))</f>
        <v/>
      </c>
      <c r="F66" s="147" t="str">
        <f ca="1">IFERROR(IFERROR(IF(VLOOKUP($A66,'Шаг2.Бланк заказа NEW'!$B$17:$N$201,3,0)="","",VLOOKUP($A66,'Шаг2.Бланк заказа NEW'!$B$17:$N$201,3,0)),
IF(VLOOKUP($A66-COUNT('Шаг2.Бланк заказа NEW'!$B$19:$B$201),'Бланк OLD 0.8 04'!$B$12:$K$200,3,0)="","",VLOOKUP($A66-COUNT('Шаг2.Бланк заказа NEW'!$B$19:$B$201),'Бланк OLD 0.8 04'!$B$12:$K$200,3,0))),
IF(VLOOKUP($A66-COUNT('Шаг2.Бланк заказа NEW'!$B$19:$B$201)-COUNT('Бланк OLD 0.8 04'!$B$18:$B$200),'Бланк OLD 2.0 04 '!$B$16:$K$200,3,0)="","",VLOOKUP($A66-COUNT('Шаг2.Бланк заказа NEW'!$B$19:$B$201)-COUNT('Бланк OLD 0.8 04'!$B$18:$B$200),'Бланк OLD 2.0 04 '!$B$16:$K$200,3,0)))</f>
        <v/>
      </c>
      <c r="G66" s="176" t="str">
        <f ca="1">IF(IF(R66="","",IF(R66=1,SUMIFS('Шаг1.Выбор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плиты'!C:Q,12,0)),1))))))=0,
R66,
IF(R66="","",IF(R66=1,SUMIFS('Шаг1.Выбор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плиты'!N:N,R66,'Шаг1.Выбор плиты'!M:M,SMALL(INDIRECT("мм"&amp;VLOOKUP(C66,'Шаг1.Выбор плиты'!C:Q,12,0)),1)))))))</f>
        <v/>
      </c>
      <c r="H66" s="177" t="str">
        <f ca="1">IF(IF(S66="","",IF(S66=1,SUMIFS('Шаг1.Выбор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плиты'!C:Q,12,0)),1))))))=0,
S66,
IF(S66="","",IF(S66=1,SUMIFS('Шаг1.Выбор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плиты'!N:N,S66,'Шаг1.Выбор плиты'!M:M,SMALL(INDIRECT("мм"&amp;VLOOKUP(C66,'Шаг1.Выбор плиты'!C:Q,12,0)),1)))))))</f>
        <v/>
      </c>
      <c r="I66" s="147" t="str">
        <f ca="1">IFERROR(IFERROR(IF(VLOOKUP($A66,'Шаг2.Бланк заказа NEW'!$B$17:$N$201,6,0)="","",VLOOKUP($A66,'Шаг2.Бланк заказа NEW'!$B$17:$N$201,6,0)),
IF(VLOOKUP($A66-COUNT('Шаг2.Бланк заказа NEW'!$B$19:$B$201),'Бланк OLD 0.8 04'!$B$12:$K$200,6,0)="","",VLOOKUP($A66-COUNT('Шаг2.Бланк заказа NEW'!$B$19:$B$201),'Бланк OLD 0.8 04'!$B$12:$K$200,6,0))),
IF(VLOOKUP($A66-COUNT('Шаг2.Бланк заказа NEW'!$B$19:$B$201)-COUNT('Бланк OLD 0.8 04'!$B$18:$B$200),'Бланк OLD 2.0 04 '!$B$16:$K$200,6,0)="","",VLOOKUP($A66-COUNT('Шаг2.Бланк заказа NEW'!$B$19:$B$201)-COUNT('Бланк OLD 0.8 04'!$B$18:$B$200),'Бланк OLD 2.0 04 '!$B$16:$K$200,6,0)))</f>
        <v/>
      </c>
      <c r="J66" s="177" t="str">
        <f ca="1">IF(IF(T66="","",IF(T66=1,SUMIFS('Шаг1.Выбор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плиты'!C:Q,12,0)),1))))))=0,
T66,
IF(T66="","",IF(T66=1,SUMIFS('Шаг1.Выбор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плиты'!N:N,T66,'Шаг1.Выбор плиты'!M:M,SMALL(INDIRECT("мм"&amp;VLOOKUP(C66,'Шаг1.Выбор плиты'!C:Q,12,0)),1)))))))</f>
        <v/>
      </c>
      <c r="K66" s="177" t="str">
        <f ca="1">IF(IF(U66="","",IF(U66=1,SUMIFS('Шаг1.Выбор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плиты'!C:Q,12,0)),1))))))=0,
U66,
IF(U66="","",IF(U66=1,SUMIFS('Шаг1.Выбор плиты'!$G:$G,'Шаг1.Выбор плиты'!J:J,"*"&amp;RIGHT(VLOOKUP(C66,'Шаг1.Выбор плиты'!C:Q,8,0),4),'Шаг1.Выбор плиты'!L:L,IF(MID(C66,1,6)="ЛДСП P","TM"&amp;MID(VLOOKUP(C66,'Шаг1.Выбор плиты'!C:Q,10,0),3,2),MID(VLOOKUP(C66,'Шаг1.Выбор плиты'!C:Q,10,0),1,2)),
'Шаг1.Выбор плиты'!N:N,1),IF(SUMIFS('Шаг1.Выбор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плиты'!C:Q,12,0)),1))=0,
IF(SUMIFS('Шаг1.Выбор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плиты'!C:Q,12,0)),2))=0,
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плиты'!C:Q,12,0)),3)),
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плиты'!C:Q,12,0)),2))),
(SUMIFS('Шаг1.Выбор плиты'!$G:$G,'Шаг1.Выбор плиты'!J:J,"*"&amp;RIGHT(VLOOKUP(C66,'Шаг1.Выбор плиты'!C:Q,8,0),4),'Шаг1.Выбор плиты'!L:L,VLOOKUP(C66,'Шаг1.Выбор плиты'!C:Q,10,0),'Шаг1.Выбор плиты'!N:N,U66,'Шаг1.Выбор плиты'!M:M,SMALL(INDIRECT("мм"&amp;VLOOKUP(C66,'Шаг1.Выбор плиты'!C:Q,12,0)),1)))))))</f>
        <v/>
      </c>
      <c r="L66" s="147" t="str">
        <f ca="1">IFERROR(IFERROR(IF(VLOOKUP($A66,'Шаг2.Бланк заказа NEW'!$B$17:$N$201,9,0)="","",VLOOKUP($A66,'Шаг2.Бланк заказа NEW'!$B$17:$N$201,9,0)),
IF(VLOOKUP($A66-COUNT('Шаг2.Бланк заказа NEW'!$B$19:$B$201),'Бланк OLD 0.8 04'!$B$12:$K$200,9,0)="","",VLOOKUP($A66-COUNT('Шаг2.Бланк заказа NEW'!$B$19:$B$201),'Бланк OLD 0.8 04'!$B$12:$K$200,9,0))),
IF(VLOOKUP($A66-COUNT('Шаг2.Бланк заказа NEW'!$B$19:$B$201)-COUNT('Бланк OLD 0.8 04'!$B$18:$B$200),'Бланк OLD 2.0 04 '!$B$16:$K$200,9,0)="","",VLOOKUP($A66-COUNT('Шаг2.Бланк заказа NEW'!$B$19:$B$201)-COUNT('Бланк OLD 0.8 04'!$B$18:$B$200),'Бланк OLD 2.0 04 '!$B$16:$K$200,9,0)))</f>
        <v/>
      </c>
      <c r="M66" s="154" t="str">
        <f t="shared" ca="1" si="5"/>
        <v/>
      </c>
      <c r="N66" s="153" t="str">
        <f ca="1">IFERROR(IF(VLOOKUP($A66,'Шаг2.Бланк заказа NEW'!$B$17:$N$201,11,0)="","",VLOOKUP($A66,'Шаг2.Бланк заказа NEW'!$B$17:$N$201,11,0)),
"Нет")</f>
        <v/>
      </c>
      <c r="O66" s="147" t="str">
        <f ca="1">IFERROR(IF(VLOOKUP($A66,'Шаг2.Бланк заказа NEW'!$B$17:$N$201,11,0)="","",VLOOKUP($A66,'Шаг2.Бланк заказа NEW'!$B$17:$N$201,12,0)),
"Нет")</f>
        <v/>
      </c>
      <c r="P66" s="153" t="str">
        <f ca="1">IFERROR(IF(VLOOKUP($A66,'Шаг2.Бланк заказа NEW'!$B$17:$N$201,13,0)="","",VLOOKUP($A66,'Шаг2.Бланк заказа NEW'!$B$17:$N$201,13,0)),
"Нет")</f>
        <v/>
      </c>
      <c r="Q66" s="147" t="str">
        <f ca="1">IFERROR(IF(VLOOKUP($A66,'Шаг2.Бланк заказа NEW'!$B$17:$O$201,14,0)="","",VLOOKUP($A66,'Шаг2.Бланк заказа NEW'!$B$17:$O$201,14,0)),"")</f>
        <v/>
      </c>
      <c r="R66" s="147" t="str">
        <f ca="1">IFERROR(IFERROR(IF(VLOOKUP($A66,'Шаг2.Бланк заказа NEW'!$B$17:$N$201,4,0)="","",VLOOKUP($A66,'Шаг2.Бланк заказа NEW'!$B$17:$N$201,4,0)),
IF(VLOOKUP($A66-COUNT('Шаг2.Бланк заказа NEW'!$B$19:$B$201),'Бланк OLD 0.8 04'!$B$12:$K$200,4,0)&gt;0,0.8,
IF(VLOOKUP($A66-COUNT('Шаг2.Бланк заказа NEW'!$B$19:$B$201),'Бланк OLD 0.8 04'!$B$12:$K$200,5,0)&gt;0,0.4,""))),
IF(VLOOKUP($A66-COUNT('Шаг2.Бланк заказа NEW'!$B$19:$B$201)-COUNT('Бланк OLD 0.8 04'!$B$18:$B$200),'Бланк OLD 2.0 04 '!$B$16:$K$200,4,0)&gt;0,2,IF(VLOOKUP($A66-COUNT('Шаг2.Бланк заказа NEW'!$B$19:$B$201)-COUNT('Бланк OLD 0.8 04'!$B$18:$B$200),'Бланк OLD 2.0 04 '!$B$16:$K$200,5,0)&gt;0,0.4,"")))</f>
        <v/>
      </c>
      <c r="S66" s="147" t="str">
        <f ca="1">IFERROR(IFERROR(IF(VLOOKUP($A66,'Шаг2.Бланк заказа NEW'!$B$17:$N$201,5,0)="","",VLOOKUP($A66,'Шаг2.Бланк заказа NEW'!$B$17:$N$201,5,0)),
IF(VLOOKUP($A66-COUNT('Шаг2.Бланк заказа NEW'!$B$19:$B$201),'Бланк OLD 0.8 04'!$B$12:$K$200,4,0)&gt;1,0.8,
IF(VLOOKUP($A66-COUNT('Шаг2.Бланк заказа NEW'!$B$19:$B$201),'Бланк OLD 0.8 04'!$B$12:$K$200,5,0)&gt;1,0.4,
IF(AND(VLOOKUP($A66-COUNT('Шаг2.Бланк заказа NEW'!$B$19:$B$201),'Бланк OLD 0.8 04'!$B$12:$K$200,4,0)&gt;0,VLOOKUP($A66-COUNT('Шаг2.Бланк заказа NEW'!$B$19:$B$201),'Бланк OLD 0.8 04'!$B$12:$K$200,5,0)&gt;0),0.4,"")))),
IF(VLOOKUP($A66-COUNT('Шаг2.Бланк заказа NEW'!$B$19:$B$201)-COUNT('Бланк OLD 0.8 04'!$B$18:$B$200),'Бланк OLD 2.0 04 '!$B$16:$K$200,4,0)&gt;1,2,
IF(VLOOKUP($A66-COUNT('Шаг2.Бланк заказа NEW'!$B$19:$B$201)-COUNT('Бланк OLD 0.8 04'!$B$18:$B$200),'Бланк OLD 2.0 04 '!$B$16:$K$200,5,0)&gt;1,0.4,IF(AND(VLOOKUP($A66-COUNT('Шаг2.Бланк заказа NEW'!$B$19:$B$201)-COUNT('Бланк OLD 0.8 04'!$B$18:$B$200),'Бланк OLD 2.0 04 '!$B$16:$K$200,4,0)&gt;0,VLOOKUP($A66-COUNT('Шаг2.Бланк заказа NEW'!$B$19:$B$201)-COUNT('Бланк OLD 0.8 04'!$B$18:$B$200),'Бланк OLD 2.0 04 '!$B$16:$K$200,5,0)&gt;0),0.4,""))))</f>
        <v/>
      </c>
      <c r="T66" s="147" t="str">
        <f ca="1">IFERROR(IFERROR(IF(VLOOKUP($A66,'Шаг2.Бланк заказа NEW'!$B$17:$N$201,7,0)="","",VLOOKUP($A66,'Шаг2.Бланк заказа NEW'!$B$17:$N$201,7,0)),
IF(VLOOKUP($A66-COUNT('Шаг2.Бланк заказа NEW'!$B$19:$B$201),'Бланк OLD 0.8 04'!$B$12:$K$200,7,0)&gt;0,0.8,
IF(VLOOKUP($A66-COUNT('Шаг2.Бланк заказа NEW'!$B$19:$B$201),'Бланк OLD 0.8 04'!$B$12:$K$200,8,0)&gt;0,0.4,""))),
IF(VLOOKUP($A66-COUNT('Шаг2.Бланк заказа NEW'!$B$19:$B$201)-COUNT('Бланк OLD 0.8 04'!$B$18:$B$200),'Бланк OLD 2.0 04 '!$B$16:$K$200,7,0)&gt;0,2,IF(VLOOKUP($A66-COUNT('Шаг2.Бланк заказа NEW'!$B$19:$B$201)-COUNT('Бланк OLD 0.8 04'!$B$18:$B$200),'Бланк OLD 2.0 04 '!$B$16:$K$200,8,0)&gt;0,0.4,"")))</f>
        <v/>
      </c>
      <c r="U66" s="147" t="str">
        <f ca="1">IFERROR(IFERROR(IF(VLOOKUP($A66,'Шаг2.Бланк заказа NEW'!$B$17:$N$201,8,0)="","",VLOOKUP($A66,'Шаг2.Бланк заказа NEW'!$B$17:$N$201,8,0)),
IF(VLOOKUP($A66-COUNT('Шаг2.Бланк заказа NEW'!$B$19:$B$201),'Бланк OLD 0.8 04'!$B$12:$K$200,7,0)&gt;1,0.8,
IF(VLOOKUP($A66-COUNT('Шаг2.Бланк заказа NEW'!$B$19:$B$201),'Бланк OLD 0.8 04'!$B$12:$K$200,8,0)&gt;1,0.4,
IF(AND(VLOOKUP($A66-COUNT('Шаг2.Бланк заказа NEW'!$B$19:$B$201),'Бланк OLD 0.8 04'!$B$12:$K$200,7,0)&gt;0,VLOOKUP($A66-COUNT('Шаг2.Бланк заказа NEW'!$B$19:$B$201),'Бланк OLD 0.8 04'!$B$12:$K$200,8,0)&gt;0),0.4,"")))),
IF(VLOOKUP($A66-COUNT('Шаг2.Бланк заказа NEW'!$B$19:$B$201)-COUNT('Бланк OLD 0.8 04'!$B$18:$B$200),'Бланк OLD 2.0 04 '!$B$16:$K$200,7,0)&gt;1,2,
IF(VLOOKUP($A66-COUNT('Шаг2.Бланк заказа NEW'!$B$19:$B$201)-COUNT('Бланк OLD 0.8 04'!$B$18:$B$200),'Бланк OLD 2.0 04 '!$B$16:$K$200,8,0)&gt;1,0.4,
IF(AND(VLOOKUP($A66-COUNT('Шаг2.Бланк заказа NEW'!$B$19:$B$201)-COUNT('Бланк OLD 0.8 04'!$B$18:$B$200),'Бланк OLD 2.0 04 '!$B$16:$K$200,7,0)&gt;0,VLOOKUP($A66-COUNT('Шаг2.Бланк заказа NEW'!$B$19:$B$201)-COUNT('Бланк OLD 0.8 04'!$B$18:$B$200),'Бланк OLD 2.0 04 '!$B$16:$K$200,8,0)&gt;0),0.4,""))))</f>
        <v/>
      </c>
      <c r="V66" s="146" t="str">
        <f ca="1">IFERROR(VLOOKUP(C66,'Шаг1.Выбор плиты'!C:S,12,0),"")</f>
        <v/>
      </c>
      <c r="W66" s="146" t="str">
        <f ca="1">IFERROR(VLOOKUP(C66,'Шаг1.Выбор плиты'!C:S,8,0),"")</f>
        <v/>
      </c>
      <c r="X66" s="146" t="str">
        <f ca="1">IFERROR(VLOOKUP(C66,'Шаг1.Выбор плиты'!C:S,10,0),"")</f>
        <v/>
      </c>
      <c r="Y66" s="147" t="str">
        <f t="shared" ca="1" si="1"/>
        <v/>
      </c>
      <c r="AD66" s="147" t="str">
        <f t="shared" ca="1" si="6"/>
        <v/>
      </c>
      <c r="AE66" s="147" t="str">
        <f t="shared" ca="1" si="3"/>
        <v/>
      </c>
      <c r="AF66" s="25"/>
      <c r="AH66" s="147" t="str">
        <f ca="1">IF(C66="","",VLOOKUP(C66,'Шаг1.Выбор плиты'!C:Q,7,0))</f>
        <v/>
      </c>
      <c r="AI66" s="147" t="str">
        <f t="shared" ca="1" si="7"/>
        <v/>
      </c>
    </row>
    <row r="67" spans="1:35" x14ac:dyDescent="0.2">
      <c r="A67" s="151" t="str">
        <f ca="1">IF(C67="","",MAX($A$1:OFFSET(C67,-1,0))+1)</f>
        <v/>
      </c>
      <c r="B67" s="151" t="str">
        <f ca="1">IFERROR(IFERROR(IFERROR("Шаг2.Бланк заказа NEW №"&amp;VLOOKUP(A66+1,CHOOSE({1,2},'Шаг2.Бланк заказа NEW'!$B$19:$B$201,'Шаг2.Бланк заказа NEW'!$A$19:$A$201),1,0),
"Бланк OLD 0.8 04 №"&amp;VLOOKUP(A66+1-COUNT('Шаг2.Бланк заказа NEW'!$B$19:$B$201),CHOOSE({1,2},'Бланк OLD 0.8 04'!$B$18:$B$200,'Бланк OLD 0.8 04'!$A$18:$A$200),1,0)),
"Бланк OLD 2.0 04 №"&amp;VLOOKUP(A66+1-COUNT('Шаг2.Бланк заказа NEW'!$B$19:$B$201)-COUNT('Бланк OLD 0.8 04'!$B$18:$B$200),CHOOSE({1,2},'Бланк OLD 2.0 04 '!$B$18:$B$200,'Бланк OLD 2.0 04 '!$A$18:$A$200),1,0)),"")</f>
        <v/>
      </c>
      <c r="C67" s="152" t="str">
        <f ca="1">IFERROR(IFERROR(IFERROR(VLOOKUP(A66+1,CHOOSE({1,2},'Шаг2.Бланк заказа NEW'!$B$19:$B$201,'Шаг2.Бланк заказа NEW'!$A$19:$A$201),2,0),
VLOOKUP(A66+1-COUNT('Шаг2.Бланк заказа NEW'!$B$19:$B$201),CHOOSE({1,2},'Бланк OLD 0.8 04'!$B$18:$B$200,'Бланк OLD 0.8 04'!$A$18:$A$200),2,0)),
VLOOKUP(A66+1-COUNT('Шаг2.Бланк заказа NEW'!$B$19:$B$201)-COUNT('Бланк OLD 0.8 04'!$B$18:$B$200),CHOOSE({1,2},'Бланк OLD 2.0 04 '!$B$18:$B$200,'Бланк OLD 2.0 04 '!$A$18:$A$200),2,0)),"")</f>
        <v/>
      </c>
      <c r="D67" s="150" t="str">
        <f ca="1">IFERROR(VLOOKUP(C67,'Шаг1.Выбор плиты'!C:G,5,0),"")</f>
        <v/>
      </c>
      <c r="E67" s="147" t="str">
        <f ca="1">IFERROR(IFERROR(IF(VLOOKUP($A67,'Шаг2.Бланк заказа NEW'!$B$17:$N$201,2,0)="","",VLOOKUP($A67,'Шаг2.Бланк заказа NEW'!$B$17:$N$201,2,0)),
IF(VLOOKUP($A67-COUNT('Шаг2.Бланк заказа NEW'!$B$19:$B$201),'Бланк OLD 0.8 04'!$B$12:$K$200,2,0)="","",VLOOKUP($A67-COUNT('Шаг2.Бланк заказа NEW'!$B$19:$B$201),'Бланк OLD 0.8 04'!$B$12:$K$200,2,0))),
IF(VLOOKUP($A67-COUNT('Шаг2.Бланк заказа NEW'!$B$19:$B$201)-COUNT('Бланк OLD 0.8 04'!$B$18:$B$200),'Бланк OLD 2.0 04 '!$B$16:$K$200,2,0)="","",VLOOKUP($A67-COUNT('Шаг2.Бланк заказа NEW'!$B$19:$B$201)-COUNT('Бланк OLD 0.8 04'!$B$18:$B$200),'Бланк OLD 2.0 04 '!$B$16:$K$200,2,0)))</f>
        <v/>
      </c>
      <c r="F67" s="147" t="str">
        <f ca="1">IFERROR(IFERROR(IF(VLOOKUP($A67,'Шаг2.Бланк заказа NEW'!$B$17:$N$201,3,0)="","",VLOOKUP($A67,'Шаг2.Бланк заказа NEW'!$B$17:$N$201,3,0)),
IF(VLOOKUP($A67-COUNT('Шаг2.Бланк заказа NEW'!$B$19:$B$201),'Бланк OLD 0.8 04'!$B$12:$K$200,3,0)="","",VLOOKUP($A67-COUNT('Шаг2.Бланк заказа NEW'!$B$19:$B$201),'Бланк OLD 0.8 04'!$B$12:$K$200,3,0))),
IF(VLOOKUP($A67-COUNT('Шаг2.Бланк заказа NEW'!$B$19:$B$201)-COUNT('Бланк OLD 0.8 04'!$B$18:$B$200),'Бланк OLD 2.0 04 '!$B$16:$K$200,3,0)="","",VLOOKUP($A67-COUNT('Шаг2.Бланк заказа NEW'!$B$19:$B$201)-COUNT('Бланк OLD 0.8 04'!$B$18:$B$200),'Бланк OLD 2.0 04 '!$B$16:$K$200,3,0)))</f>
        <v/>
      </c>
      <c r="G67" s="176" t="str">
        <f ca="1">IF(IF(R67="","",IF(R67=1,SUMIFS('Шаг1.Выбор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плиты'!C:Q,12,0)),1))))))=0,
R67,
IF(R67="","",IF(R67=1,SUMIFS('Шаг1.Выбор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плиты'!N:N,R67,'Шаг1.Выбор плиты'!M:M,SMALL(INDIRECT("мм"&amp;VLOOKUP(C67,'Шаг1.Выбор плиты'!C:Q,12,0)),1)))))))</f>
        <v/>
      </c>
      <c r="H67" s="177" t="str">
        <f ca="1">IF(IF(S67="","",IF(S67=1,SUMIFS('Шаг1.Выбор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плиты'!C:Q,12,0)),1))))))=0,
S67,
IF(S67="","",IF(S67=1,SUMIFS('Шаг1.Выбор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плиты'!N:N,S67,'Шаг1.Выбор плиты'!M:M,SMALL(INDIRECT("мм"&amp;VLOOKUP(C67,'Шаг1.Выбор плиты'!C:Q,12,0)),1)))))))</f>
        <v/>
      </c>
      <c r="I67" s="147" t="str">
        <f ca="1">IFERROR(IFERROR(IF(VLOOKUP($A67,'Шаг2.Бланк заказа NEW'!$B$17:$N$201,6,0)="","",VLOOKUP($A67,'Шаг2.Бланк заказа NEW'!$B$17:$N$201,6,0)),
IF(VLOOKUP($A67-COUNT('Шаг2.Бланк заказа NEW'!$B$19:$B$201),'Бланк OLD 0.8 04'!$B$12:$K$200,6,0)="","",VLOOKUP($A67-COUNT('Шаг2.Бланк заказа NEW'!$B$19:$B$201),'Бланк OLD 0.8 04'!$B$12:$K$200,6,0))),
IF(VLOOKUP($A67-COUNT('Шаг2.Бланк заказа NEW'!$B$19:$B$201)-COUNT('Бланк OLD 0.8 04'!$B$18:$B$200),'Бланк OLD 2.0 04 '!$B$16:$K$200,6,0)="","",VLOOKUP($A67-COUNT('Шаг2.Бланк заказа NEW'!$B$19:$B$201)-COUNT('Бланк OLD 0.8 04'!$B$18:$B$200),'Бланк OLD 2.0 04 '!$B$16:$K$200,6,0)))</f>
        <v/>
      </c>
      <c r="J67" s="177" t="str">
        <f ca="1">IF(IF(T67="","",IF(T67=1,SUMIFS('Шаг1.Выбор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плиты'!C:Q,12,0)),1))))))=0,
T67,
IF(T67="","",IF(T67=1,SUMIFS('Шаг1.Выбор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плиты'!N:N,T67,'Шаг1.Выбор плиты'!M:M,SMALL(INDIRECT("мм"&amp;VLOOKUP(C67,'Шаг1.Выбор плиты'!C:Q,12,0)),1)))))))</f>
        <v/>
      </c>
      <c r="K67" s="177" t="str">
        <f ca="1">IF(IF(U67="","",IF(U67=1,SUMIFS('Шаг1.Выбор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плиты'!C:Q,12,0)),1))))))=0,
U67,
IF(U67="","",IF(U67=1,SUMIFS('Шаг1.Выбор плиты'!$G:$G,'Шаг1.Выбор плиты'!J:J,"*"&amp;RIGHT(VLOOKUP(C67,'Шаг1.Выбор плиты'!C:Q,8,0),4),'Шаг1.Выбор плиты'!L:L,IF(MID(C67,1,6)="ЛДСП P","TM"&amp;MID(VLOOKUP(C67,'Шаг1.Выбор плиты'!C:Q,10,0),3,2),MID(VLOOKUP(C67,'Шаг1.Выбор плиты'!C:Q,10,0),1,2)),
'Шаг1.Выбор плиты'!N:N,1),IF(SUMIFS('Шаг1.Выбор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плиты'!C:Q,12,0)),1))=0,
IF(SUMIFS('Шаг1.Выбор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плиты'!C:Q,12,0)),2))=0,
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плиты'!C:Q,12,0)),3)),
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плиты'!C:Q,12,0)),2))),
(SUMIFS('Шаг1.Выбор плиты'!$G:$G,'Шаг1.Выбор плиты'!J:J,"*"&amp;RIGHT(VLOOKUP(C67,'Шаг1.Выбор плиты'!C:Q,8,0),4),'Шаг1.Выбор плиты'!L:L,VLOOKUP(C67,'Шаг1.Выбор плиты'!C:Q,10,0),'Шаг1.Выбор плиты'!N:N,U67,'Шаг1.Выбор плиты'!M:M,SMALL(INDIRECT("мм"&amp;VLOOKUP(C67,'Шаг1.Выбор плиты'!C:Q,12,0)),1)))))))</f>
        <v/>
      </c>
      <c r="L67" s="147" t="str">
        <f ca="1">IFERROR(IFERROR(IF(VLOOKUP($A67,'Шаг2.Бланк заказа NEW'!$B$17:$N$201,9,0)="","",VLOOKUP($A67,'Шаг2.Бланк заказа NEW'!$B$17:$N$201,9,0)),
IF(VLOOKUP($A67-COUNT('Шаг2.Бланк заказа NEW'!$B$19:$B$201),'Бланк OLD 0.8 04'!$B$12:$K$200,9,0)="","",VLOOKUP($A67-COUNT('Шаг2.Бланк заказа NEW'!$B$19:$B$201),'Бланк OLD 0.8 04'!$B$12:$K$200,9,0))),
IF(VLOOKUP($A67-COUNT('Шаг2.Бланк заказа NEW'!$B$19:$B$201)-COUNT('Бланк OLD 0.8 04'!$B$18:$B$200),'Бланк OLD 2.0 04 '!$B$16:$K$200,9,0)="","",VLOOKUP($A67-COUNT('Шаг2.Бланк заказа NEW'!$B$19:$B$201)-COUNT('Бланк OLD 0.8 04'!$B$18:$B$200),'Бланк OLD 2.0 04 '!$B$16:$K$200,9,0)))</f>
        <v/>
      </c>
      <c r="M67" s="154" t="str">
        <f t="shared" ca="1" si="5"/>
        <v/>
      </c>
      <c r="N67" s="153" t="str">
        <f ca="1">IFERROR(IF(VLOOKUP($A67,'Шаг2.Бланк заказа NEW'!$B$17:$N$201,11,0)="","",VLOOKUP($A67,'Шаг2.Бланк заказа NEW'!$B$17:$N$201,11,0)),
"Нет")</f>
        <v/>
      </c>
      <c r="O67" s="147" t="str">
        <f ca="1">IFERROR(IF(VLOOKUP($A67,'Шаг2.Бланк заказа NEW'!$B$17:$N$201,11,0)="","",VLOOKUP($A67,'Шаг2.Бланк заказа NEW'!$B$17:$N$201,12,0)),
"Нет")</f>
        <v/>
      </c>
      <c r="P67" s="153" t="str">
        <f ca="1">IFERROR(IF(VLOOKUP($A67,'Шаг2.Бланк заказа NEW'!$B$17:$N$201,13,0)="","",VLOOKUP($A67,'Шаг2.Бланк заказа NEW'!$B$17:$N$201,13,0)),
"Нет")</f>
        <v/>
      </c>
      <c r="Q67" s="147" t="str">
        <f ca="1">IFERROR(IF(VLOOKUP($A67,'Шаг2.Бланк заказа NEW'!$B$17:$O$201,14,0)="","",VLOOKUP($A67,'Шаг2.Бланк заказа NEW'!$B$17:$O$201,14,0)),"")</f>
        <v/>
      </c>
      <c r="R67" s="147" t="str">
        <f ca="1">IFERROR(IFERROR(IF(VLOOKUP($A67,'Шаг2.Бланк заказа NEW'!$B$17:$N$201,4,0)="","",VLOOKUP($A67,'Шаг2.Бланк заказа NEW'!$B$17:$N$201,4,0)),
IF(VLOOKUP($A67-COUNT('Шаг2.Бланк заказа NEW'!$B$19:$B$201),'Бланк OLD 0.8 04'!$B$12:$K$200,4,0)&gt;0,0.8,
IF(VLOOKUP($A67-COUNT('Шаг2.Бланк заказа NEW'!$B$19:$B$201),'Бланк OLD 0.8 04'!$B$12:$K$200,5,0)&gt;0,0.4,""))),
IF(VLOOKUP($A67-COUNT('Шаг2.Бланк заказа NEW'!$B$19:$B$201)-COUNT('Бланк OLD 0.8 04'!$B$18:$B$200),'Бланк OLD 2.0 04 '!$B$16:$K$200,4,0)&gt;0,2,IF(VLOOKUP($A67-COUNT('Шаг2.Бланк заказа NEW'!$B$19:$B$201)-COUNT('Бланк OLD 0.8 04'!$B$18:$B$200),'Бланк OLD 2.0 04 '!$B$16:$K$200,5,0)&gt;0,0.4,"")))</f>
        <v/>
      </c>
      <c r="S67" s="147" t="str">
        <f ca="1">IFERROR(IFERROR(IF(VLOOKUP($A67,'Шаг2.Бланк заказа NEW'!$B$17:$N$201,5,0)="","",VLOOKUP($A67,'Шаг2.Бланк заказа NEW'!$B$17:$N$201,5,0)),
IF(VLOOKUP($A67-COUNT('Шаг2.Бланк заказа NEW'!$B$19:$B$201),'Бланк OLD 0.8 04'!$B$12:$K$200,4,0)&gt;1,0.8,
IF(VLOOKUP($A67-COUNT('Шаг2.Бланк заказа NEW'!$B$19:$B$201),'Бланк OLD 0.8 04'!$B$12:$K$200,5,0)&gt;1,0.4,
IF(AND(VLOOKUP($A67-COUNT('Шаг2.Бланк заказа NEW'!$B$19:$B$201),'Бланк OLD 0.8 04'!$B$12:$K$200,4,0)&gt;0,VLOOKUP($A67-COUNT('Шаг2.Бланк заказа NEW'!$B$19:$B$201),'Бланк OLD 0.8 04'!$B$12:$K$200,5,0)&gt;0),0.4,"")))),
IF(VLOOKUP($A67-COUNT('Шаг2.Бланк заказа NEW'!$B$19:$B$201)-COUNT('Бланк OLD 0.8 04'!$B$18:$B$200),'Бланк OLD 2.0 04 '!$B$16:$K$200,4,0)&gt;1,2,
IF(VLOOKUP($A67-COUNT('Шаг2.Бланк заказа NEW'!$B$19:$B$201)-COUNT('Бланк OLD 0.8 04'!$B$18:$B$200),'Бланк OLD 2.0 04 '!$B$16:$K$200,5,0)&gt;1,0.4,IF(AND(VLOOKUP($A67-COUNT('Шаг2.Бланк заказа NEW'!$B$19:$B$201)-COUNT('Бланк OLD 0.8 04'!$B$18:$B$200),'Бланк OLD 2.0 04 '!$B$16:$K$200,4,0)&gt;0,VLOOKUP($A67-COUNT('Шаг2.Бланк заказа NEW'!$B$19:$B$201)-COUNT('Бланк OLD 0.8 04'!$B$18:$B$200),'Бланк OLD 2.0 04 '!$B$16:$K$200,5,0)&gt;0),0.4,""))))</f>
        <v/>
      </c>
      <c r="T67" s="147" t="str">
        <f ca="1">IFERROR(IFERROR(IF(VLOOKUP($A67,'Шаг2.Бланк заказа NEW'!$B$17:$N$201,7,0)="","",VLOOKUP($A67,'Шаг2.Бланк заказа NEW'!$B$17:$N$201,7,0)),
IF(VLOOKUP($A67-COUNT('Шаг2.Бланк заказа NEW'!$B$19:$B$201),'Бланк OLD 0.8 04'!$B$12:$K$200,7,0)&gt;0,0.8,
IF(VLOOKUP($A67-COUNT('Шаг2.Бланк заказа NEW'!$B$19:$B$201),'Бланк OLD 0.8 04'!$B$12:$K$200,8,0)&gt;0,0.4,""))),
IF(VLOOKUP($A67-COUNT('Шаг2.Бланк заказа NEW'!$B$19:$B$201)-COUNT('Бланк OLD 0.8 04'!$B$18:$B$200),'Бланк OLD 2.0 04 '!$B$16:$K$200,7,0)&gt;0,2,IF(VLOOKUP($A67-COUNT('Шаг2.Бланк заказа NEW'!$B$19:$B$201)-COUNT('Бланк OLD 0.8 04'!$B$18:$B$200),'Бланк OLD 2.0 04 '!$B$16:$K$200,8,0)&gt;0,0.4,"")))</f>
        <v/>
      </c>
      <c r="U67" s="147" t="str">
        <f ca="1">IFERROR(IFERROR(IF(VLOOKUP($A67,'Шаг2.Бланк заказа NEW'!$B$17:$N$201,8,0)="","",VLOOKUP($A67,'Шаг2.Бланк заказа NEW'!$B$17:$N$201,8,0)),
IF(VLOOKUP($A67-COUNT('Шаг2.Бланк заказа NEW'!$B$19:$B$201),'Бланк OLD 0.8 04'!$B$12:$K$200,7,0)&gt;1,0.8,
IF(VLOOKUP($A67-COUNT('Шаг2.Бланк заказа NEW'!$B$19:$B$201),'Бланк OLD 0.8 04'!$B$12:$K$200,8,0)&gt;1,0.4,
IF(AND(VLOOKUP($A67-COUNT('Шаг2.Бланк заказа NEW'!$B$19:$B$201),'Бланк OLD 0.8 04'!$B$12:$K$200,7,0)&gt;0,VLOOKUP($A67-COUNT('Шаг2.Бланк заказа NEW'!$B$19:$B$201),'Бланк OLD 0.8 04'!$B$12:$K$200,8,0)&gt;0),0.4,"")))),
IF(VLOOKUP($A67-COUNT('Шаг2.Бланк заказа NEW'!$B$19:$B$201)-COUNT('Бланк OLD 0.8 04'!$B$18:$B$200),'Бланк OLD 2.0 04 '!$B$16:$K$200,7,0)&gt;1,2,
IF(VLOOKUP($A67-COUNT('Шаг2.Бланк заказа NEW'!$B$19:$B$201)-COUNT('Бланк OLD 0.8 04'!$B$18:$B$200),'Бланк OLD 2.0 04 '!$B$16:$K$200,8,0)&gt;1,0.4,
IF(AND(VLOOKUP($A67-COUNT('Шаг2.Бланк заказа NEW'!$B$19:$B$201)-COUNT('Бланк OLD 0.8 04'!$B$18:$B$200),'Бланк OLD 2.0 04 '!$B$16:$K$200,7,0)&gt;0,VLOOKUP($A67-COUNT('Шаг2.Бланк заказа NEW'!$B$19:$B$201)-COUNT('Бланк OLD 0.8 04'!$B$18:$B$200),'Бланк OLD 2.0 04 '!$B$16:$K$200,8,0)&gt;0),0.4,""))))</f>
        <v/>
      </c>
      <c r="V67" s="146" t="str">
        <f ca="1">IFERROR(VLOOKUP(C67,'Шаг1.Выбор плиты'!C:S,12,0),"")</f>
        <v/>
      </c>
      <c r="W67" s="146" t="str">
        <f ca="1">IFERROR(VLOOKUP(C67,'Шаг1.Выбор плиты'!C:S,8,0),"")</f>
        <v/>
      </c>
      <c r="X67" s="146" t="str">
        <f ca="1">IFERROR(VLOOKUP(C67,'Шаг1.Выбор плиты'!C:S,10,0),"")</f>
        <v/>
      </c>
      <c r="Y67" s="147" t="str">
        <f t="shared" ref="Y67:Y130" ca="1" si="8">IF(C67="","",$Z$7)</f>
        <v/>
      </c>
      <c r="AD67" s="147" t="str">
        <f t="shared" ca="1" si="6"/>
        <v/>
      </c>
      <c r="AE67" s="147" t="str">
        <f t="shared" ref="AE67:AE130" ca="1" si="9">IF(B67="","","kwadrat"&amp;(V67*1))</f>
        <v/>
      </c>
      <c r="AF67" s="25"/>
      <c r="AH67" s="147" t="str">
        <f ca="1">IF(C67="","",VLOOKUP(C67,'Шаг1.Выбор плиты'!C:Q,7,0))</f>
        <v/>
      </c>
      <c r="AI67" s="147" t="str">
        <f t="shared" ca="1" si="7"/>
        <v/>
      </c>
    </row>
    <row r="68" spans="1:35" x14ac:dyDescent="0.2">
      <c r="A68" s="151" t="str">
        <f ca="1">IF(C68="","",MAX($A$1:OFFSET(C68,-1,0))+1)</f>
        <v/>
      </c>
      <c r="B68" s="151" t="str">
        <f ca="1">IFERROR(IFERROR(IFERROR("Шаг2.Бланк заказа NEW №"&amp;VLOOKUP(A67+1,CHOOSE({1,2},'Шаг2.Бланк заказа NEW'!$B$19:$B$201,'Шаг2.Бланк заказа NEW'!$A$19:$A$201),1,0),
"Бланк OLD 0.8 04 №"&amp;VLOOKUP(A67+1-COUNT('Шаг2.Бланк заказа NEW'!$B$19:$B$201),CHOOSE({1,2},'Бланк OLD 0.8 04'!$B$18:$B$200,'Бланк OLD 0.8 04'!$A$18:$A$200),1,0)),
"Бланк OLD 2.0 04 №"&amp;VLOOKUP(A67+1-COUNT('Шаг2.Бланк заказа NEW'!$B$19:$B$201)-COUNT('Бланк OLD 0.8 04'!$B$18:$B$200),CHOOSE({1,2},'Бланк OLD 2.0 04 '!$B$18:$B$200,'Бланк OLD 2.0 04 '!$A$18:$A$200),1,0)),"")</f>
        <v/>
      </c>
      <c r="C68" s="152" t="str">
        <f ca="1">IFERROR(IFERROR(IFERROR(VLOOKUP(A67+1,CHOOSE({1,2},'Шаг2.Бланк заказа NEW'!$B$19:$B$201,'Шаг2.Бланк заказа NEW'!$A$19:$A$201),2,0),
VLOOKUP(A67+1-COUNT('Шаг2.Бланк заказа NEW'!$B$19:$B$201),CHOOSE({1,2},'Бланк OLD 0.8 04'!$B$18:$B$200,'Бланк OLD 0.8 04'!$A$18:$A$200),2,0)),
VLOOKUP(A67+1-COUNT('Шаг2.Бланк заказа NEW'!$B$19:$B$201)-COUNT('Бланк OLD 0.8 04'!$B$18:$B$200),CHOOSE({1,2},'Бланк OLD 2.0 04 '!$B$18:$B$200,'Бланк OLD 2.0 04 '!$A$18:$A$200),2,0)),"")</f>
        <v/>
      </c>
      <c r="D68" s="150" t="str">
        <f ca="1">IFERROR(VLOOKUP(C68,'Шаг1.Выбор плиты'!C:G,5,0),"")</f>
        <v/>
      </c>
      <c r="E68" s="147" t="str">
        <f ca="1">IFERROR(IFERROR(IF(VLOOKUP($A68,'Шаг2.Бланк заказа NEW'!$B$17:$N$201,2,0)="","",VLOOKUP($A68,'Шаг2.Бланк заказа NEW'!$B$17:$N$201,2,0)),
IF(VLOOKUP($A68-COUNT('Шаг2.Бланк заказа NEW'!$B$19:$B$201),'Бланк OLD 0.8 04'!$B$12:$K$200,2,0)="","",VLOOKUP($A68-COUNT('Шаг2.Бланк заказа NEW'!$B$19:$B$201),'Бланк OLD 0.8 04'!$B$12:$K$200,2,0))),
IF(VLOOKUP($A68-COUNT('Шаг2.Бланк заказа NEW'!$B$19:$B$201)-COUNT('Бланк OLD 0.8 04'!$B$18:$B$200),'Бланк OLD 2.0 04 '!$B$16:$K$200,2,0)="","",VLOOKUP($A68-COUNT('Шаг2.Бланк заказа NEW'!$B$19:$B$201)-COUNT('Бланк OLD 0.8 04'!$B$18:$B$200),'Бланк OLD 2.0 04 '!$B$16:$K$200,2,0)))</f>
        <v/>
      </c>
      <c r="F68" s="147" t="str">
        <f ca="1">IFERROR(IFERROR(IF(VLOOKUP($A68,'Шаг2.Бланк заказа NEW'!$B$17:$N$201,3,0)="","",VLOOKUP($A68,'Шаг2.Бланк заказа NEW'!$B$17:$N$201,3,0)),
IF(VLOOKUP($A68-COUNT('Шаг2.Бланк заказа NEW'!$B$19:$B$201),'Бланк OLD 0.8 04'!$B$12:$K$200,3,0)="","",VLOOKUP($A68-COUNT('Шаг2.Бланк заказа NEW'!$B$19:$B$201),'Бланк OLD 0.8 04'!$B$12:$K$200,3,0))),
IF(VLOOKUP($A68-COUNT('Шаг2.Бланк заказа NEW'!$B$19:$B$201)-COUNT('Бланк OLD 0.8 04'!$B$18:$B$200),'Бланк OLD 2.0 04 '!$B$16:$K$200,3,0)="","",VLOOKUP($A68-COUNT('Шаг2.Бланк заказа NEW'!$B$19:$B$201)-COUNT('Бланк OLD 0.8 04'!$B$18:$B$200),'Бланк OLD 2.0 04 '!$B$16:$K$200,3,0)))</f>
        <v/>
      </c>
      <c r="G68" s="176" t="str">
        <f ca="1">IF(IF(R68="","",IF(R68=1,SUMIFS('Шаг1.Выбор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плиты'!C:Q,12,0)),1))))))=0,
R68,
IF(R68="","",IF(R68=1,SUMIFS('Шаг1.Выбор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плиты'!N:N,R68,'Шаг1.Выбор плиты'!M:M,SMALL(INDIRECT("мм"&amp;VLOOKUP(C68,'Шаг1.Выбор плиты'!C:Q,12,0)),1)))))))</f>
        <v/>
      </c>
      <c r="H68" s="177" t="str">
        <f ca="1">IF(IF(S68="","",IF(S68=1,SUMIFS('Шаг1.Выбор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плиты'!C:Q,12,0)),1))))))=0,
S68,
IF(S68="","",IF(S68=1,SUMIFS('Шаг1.Выбор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плиты'!N:N,S68,'Шаг1.Выбор плиты'!M:M,SMALL(INDIRECT("мм"&amp;VLOOKUP(C68,'Шаг1.Выбор плиты'!C:Q,12,0)),1)))))))</f>
        <v/>
      </c>
      <c r="I68" s="147" t="str">
        <f ca="1">IFERROR(IFERROR(IF(VLOOKUP($A68,'Шаг2.Бланк заказа NEW'!$B$17:$N$201,6,0)="","",VLOOKUP($A68,'Шаг2.Бланк заказа NEW'!$B$17:$N$201,6,0)),
IF(VLOOKUP($A68-COUNT('Шаг2.Бланк заказа NEW'!$B$19:$B$201),'Бланк OLD 0.8 04'!$B$12:$K$200,6,0)="","",VLOOKUP($A68-COUNT('Шаг2.Бланк заказа NEW'!$B$19:$B$201),'Бланк OLD 0.8 04'!$B$12:$K$200,6,0))),
IF(VLOOKUP($A68-COUNT('Шаг2.Бланк заказа NEW'!$B$19:$B$201)-COUNT('Бланк OLD 0.8 04'!$B$18:$B$200),'Бланк OLD 2.0 04 '!$B$16:$K$200,6,0)="","",VLOOKUP($A68-COUNT('Шаг2.Бланк заказа NEW'!$B$19:$B$201)-COUNT('Бланк OLD 0.8 04'!$B$18:$B$200),'Бланк OLD 2.0 04 '!$B$16:$K$200,6,0)))</f>
        <v/>
      </c>
      <c r="J68" s="177" t="str">
        <f ca="1">IF(IF(T68="","",IF(T68=1,SUMIFS('Шаг1.Выбор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плиты'!C:Q,12,0)),1))))))=0,
T68,
IF(T68="","",IF(T68=1,SUMIFS('Шаг1.Выбор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плиты'!N:N,T68,'Шаг1.Выбор плиты'!M:M,SMALL(INDIRECT("мм"&amp;VLOOKUP(C68,'Шаг1.Выбор плиты'!C:Q,12,0)),1)))))))</f>
        <v/>
      </c>
      <c r="K68" s="177" t="str">
        <f ca="1">IF(IF(U68="","",IF(U68=1,SUMIFS('Шаг1.Выбор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плиты'!C:Q,12,0)),1))))))=0,
U68,
IF(U68="","",IF(U68=1,SUMIFS('Шаг1.Выбор плиты'!$G:$G,'Шаг1.Выбор плиты'!J:J,"*"&amp;RIGHT(VLOOKUP(C68,'Шаг1.Выбор плиты'!C:Q,8,0),4),'Шаг1.Выбор плиты'!L:L,IF(MID(C68,1,6)="ЛДСП P","TM"&amp;MID(VLOOKUP(C68,'Шаг1.Выбор плиты'!C:Q,10,0),3,2),MID(VLOOKUP(C68,'Шаг1.Выбор плиты'!C:Q,10,0),1,2)),
'Шаг1.Выбор плиты'!N:N,1),IF(SUMIFS('Шаг1.Выбор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плиты'!C:Q,12,0)),1))=0,
IF(SUMIFS('Шаг1.Выбор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плиты'!C:Q,12,0)),2))=0,
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плиты'!C:Q,12,0)),3)),
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плиты'!C:Q,12,0)),2))),
(SUMIFS('Шаг1.Выбор плиты'!$G:$G,'Шаг1.Выбор плиты'!J:J,"*"&amp;RIGHT(VLOOKUP(C68,'Шаг1.Выбор плиты'!C:Q,8,0),4),'Шаг1.Выбор плиты'!L:L,VLOOKUP(C68,'Шаг1.Выбор плиты'!C:Q,10,0),'Шаг1.Выбор плиты'!N:N,U68,'Шаг1.Выбор плиты'!M:M,SMALL(INDIRECT("мм"&amp;VLOOKUP(C68,'Шаг1.Выбор плиты'!C:Q,12,0)),1)))))))</f>
        <v/>
      </c>
      <c r="L68" s="147" t="str">
        <f ca="1">IFERROR(IFERROR(IF(VLOOKUP($A68,'Шаг2.Бланк заказа NEW'!$B$17:$N$201,9,0)="","",VLOOKUP($A68,'Шаг2.Бланк заказа NEW'!$B$17:$N$201,9,0)),
IF(VLOOKUP($A68-COUNT('Шаг2.Бланк заказа NEW'!$B$19:$B$201),'Бланк OLD 0.8 04'!$B$12:$K$200,9,0)="","",VLOOKUP($A68-COUNT('Шаг2.Бланк заказа NEW'!$B$19:$B$201),'Бланк OLD 0.8 04'!$B$12:$K$200,9,0))),
IF(VLOOKUP($A68-COUNT('Шаг2.Бланк заказа NEW'!$B$19:$B$201)-COUNT('Бланк OLD 0.8 04'!$B$18:$B$200),'Бланк OLD 2.0 04 '!$B$16:$K$200,9,0)="","",VLOOKUP($A68-COUNT('Шаг2.Бланк заказа NEW'!$B$19:$B$201)-COUNT('Бланк OLD 0.8 04'!$B$18:$B$200),'Бланк OLD 2.0 04 '!$B$16:$K$200,9,0)))</f>
        <v/>
      </c>
      <c r="M68" s="154" t="str">
        <f t="shared" ca="1" si="5"/>
        <v/>
      </c>
      <c r="N68" s="153" t="str">
        <f ca="1">IFERROR(IF(VLOOKUP($A68,'Шаг2.Бланк заказа NEW'!$B$17:$N$201,11,0)="","",VLOOKUP($A68,'Шаг2.Бланк заказа NEW'!$B$17:$N$201,11,0)),
"Нет")</f>
        <v/>
      </c>
      <c r="O68" s="147" t="str">
        <f ca="1">IFERROR(IF(VLOOKUP($A68,'Шаг2.Бланк заказа NEW'!$B$17:$N$201,11,0)="","",VLOOKUP($A68,'Шаг2.Бланк заказа NEW'!$B$17:$N$201,12,0)),
"Нет")</f>
        <v/>
      </c>
      <c r="P68" s="153" t="str">
        <f ca="1">IFERROR(IF(VLOOKUP($A68,'Шаг2.Бланк заказа NEW'!$B$17:$N$201,13,0)="","",VLOOKUP($A68,'Шаг2.Бланк заказа NEW'!$B$17:$N$201,13,0)),
"Нет")</f>
        <v/>
      </c>
      <c r="Q68" s="147" t="str">
        <f ca="1">IFERROR(IF(VLOOKUP($A68,'Шаг2.Бланк заказа NEW'!$B$17:$O$201,14,0)="","",VLOOKUP($A68,'Шаг2.Бланк заказа NEW'!$B$17:$O$201,14,0)),"")</f>
        <v/>
      </c>
      <c r="R68" s="147" t="str">
        <f ca="1">IFERROR(IFERROR(IF(VLOOKUP($A68,'Шаг2.Бланк заказа NEW'!$B$17:$N$201,4,0)="","",VLOOKUP($A68,'Шаг2.Бланк заказа NEW'!$B$17:$N$201,4,0)),
IF(VLOOKUP($A68-COUNT('Шаг2.Бланк заказа NEW'!$B$19:$B$201),'Бланк OLD 0.8 04'!$B$12:$K$200,4,0)&gt;0,0.8,
IF(VLOOKUP($A68-COUNT('Шаг2.Бланк заказа NEW'!$B$19:$B$201),'Бланк OLD 0.8 04'!$B$12:$K$200,5,0)&gt;0,0.4,""))),
IF(VLOOKUP($A68-COUNT('Шаг2.Бланк заказа NEW'!$B$19:$B$201)-COUNT('Бланк OLD 0.8 04'!$B$18:$B$200),'Бланк OLD 2.0 04 '!$B$16:$K$200,4,0)&gt;0,2,IF(VLOOKUP($A68-COUNT('Шаг2.Бланк заказа NEW'!$B$19:$B$201)-COUNT('Бланк OLD 0.8 04'!$B$18:$B$200),'Бланк OLD 2.0 04 '!$B$16:$K$200,5,0)&gt;0,0.4,"")))</f>
        <v/>
      </c>
      <c r="S68" s="147" t="str">
        <f ca="1">IFERROR(IFERROR(IF(VLOOKUP($A68,'Шаг2.Бланк заказа NEW'!$B$17:$N$201,5,0)="","",VLOOKUP($A68,'Шаг2.Бланк заказа NEW'!$B$17:$N$201,5,0)),
IF(VLOOKUP($A68-COUNT('Шаг2.Бланк заказа NEW'!$B$19:$B$201),'Бланк OLD 0.8 04'!$B$12:$K$200,4,0)&gt;1,0.8,
IF(VLOOKUP($A68-COUNT('Шаг2.Бланк заказа NEW'!$B$19:$B$201),'Бланк OLD 0.8 04'!$B$12:$K$200,5,0)&gt;1,0.4,
IF(AND(VLOOKUP($A68-COUNT('Шаг2.Бланк заказа NEW'!$B$19:$B$201),'Бланк OLD 0.8 04'!$B$12:$K$200,4,0)&gt;0,VLOOKUP($A68-COUNT('Шаг2.Бланк заказа NEW'!$B$19:$B$201),'Бланк OLD 0.8 04'!$B$12:$K$200,5,0)&gt;0),0.4,"")))),
IF(VLOOKUP($A68-COUNT('Шаг2.Бланк заказа NEW'!$B$19:$B$201)-COUNT('Бланк OLD 0.8 04'!$B$18:$B$200),'Бланк OLD 2.0 04 '!$B$16:$K$200,4,0)&gt;1,2,
IF(VLOOKUP($A68-COUNT('Шаг2.Бланк заказа NEW'!$B$19:$B$201)-COUNT('Бланк OLD 0.8 04'!$B$18:$B$200),'Бланк OLD 2.0 04 '!$B$16:$K$200,5,0)&gt;1,0.4,IF(AND(VLOOKUP($A68-COUNT('Шаг2.Бланк заказа NEW'!$B$19:$B$201)-COUNT('Бланк OLD 0.8 04'!$B$18:$B$200),'Бланк OLD 2.0 04 '!$B$16:$K$200,4,0)&gt;0,VLOOKUP($A68-COUNT('Шаг2.Бланк заказа NEW'!$B$19:$B$201)-COUNT('Бланк OLD 0.8 04'!$B$18:$B$200),'Бланк OLD 2.0 04 '!$B$16:$K$200,5,0)&gt;0),0.4,""))))</f>
        <v/>
      </c>
      <c r="T68" s="147" t="str">
        <f ca="1">IFERROR(IFERROR(IF(VLOOKUP($A68,'Шаг2.Бланк заказа NEW'!$B$17:$N$201,7,0)="","",VLOOKUP($A68,'Шаг2.Бланк заказа NEW'!$B$17:$N$201,7,0)),
IF(VLOOKUP($A68-COUNT('Шаг2.Бланк заказа NEW'!$B$19:$B$201),'Бланк OLD 0.8 04'!$B$12:$K$200,7,0)&gt;0,0.8,
IF(VLOOKUP($A68-COUNT('Шаг2.Бланк заказа NEW'!$B$19:$B$201),'Бланк OLD 0.8 04'!$B$12:$K$200,8,0)&gt;0,0.4,""))),
IF(VLOOKUP($A68-COUNT('Шаг2.Бланк заказа NEW'!$B$19:$B$201)-COUNT('Бланк OLD 0.8 04'!$B$18:$B$200),'Бланк OLD 2.0 04 '!$B$16:$K$200,7,0)&gt;0,2,IF(VLOOKUP($A68-COUNT('Шаг2.Бланк заказа NEW'!$B$19:$B$201)-COUNT('Бланк OLD 0.8 04'!$B$18:$B$200),'Бланк OLD 2.0 04 '!$B$16:$K$200,8,0)&gt;0,0.4,"")))</f>
        <v/>
      </c>
      <c r="U68" s="147" t="str">
        <f ca="1">IFERROR(IFERROR(IF(VLOOKUP($A68,'Шаг2.Бланк заказа NEW'!$B$17:$N$201,8,0)="","",VLOOKUP($A68,'Шаг2.Бланк заказа NEW'!$B$17:$N$201,8,0)),
IF(VLOOKUP($A68-COUNT('Шаг2.Бланк заказа NEW'!$B$19:$B$201),'Бланк OLD 0.8 04'!$B$12:$K$200,7,0)&gt;1,0.8,
IF(VLOOKUP($A68-COUNT('Шаг2.Бланк заказа NEW'!$B$19:$B$201),'Бланк OLD 0.8 04'!$B$12:$K$200,8,0)&gt;1,0.4,
IF(AND(VLOOKUP($A68-COUNT('Шаг2.Бланк заказа NEW'!$B$19:$B$201),'Бланк OLD 0.8 04'!$B$12:$K$200,7,0)&gt;0,VLOOKUP($A68-COUNT('Шаг2.Бланк заказа NEW'!$B$19:$B$201),'Бланк OLD 0.8 04'!$B$12:$K$200,8,0)&gt;0),0.4,"")))),
IF(VLOOKUP($A68-COUNT('Шаг2.Бланк заказа NEW'!$B$19:$B$201)-COUNT('Бланк OLD 0.8 04'!$B$18:$B$200),'Бланк OLD 2.0 04 '!$B$16:$K$200,7,0)&gt;1,2,
IF(VLOOKUP($A68-COUNT('Шаг2.Бланк заказа NEW'!$B$19:$B$201)-COUNT('Бланк OLD 0.8 04'!$B$18:$B$200),'Бланк OLD 2.0 04 '!$B$16:$K$200,8,0)&gt;1,0.4,
IF(AND(VLOOKUP($A68-COUNT('Шаг2.Бланк заказа NEW'!$B$19:$B$201)-COUNT('Бланк OLD 0.8 04'!$B$18:$B$200),'Бланк OLD 2.0 04 '!$B$16:$K$200,7,0)&gt;0,VLOOKUP($A68-COUNT('Шаг2.Бланк заказа NEW'!$B$19:$B$201)-COUNT('Бланк OLD 0.8 04'!$B$18:$B$200),'Бланк OLD 2.0 04 '!$B$16:$K$200,8,0)&gt;0),0.4,""))))</f>
        <v/>
      </c>
      <c r="V68" s="146" t="str">
        <f ca="1">IFERROR(VLOOKUP(C68,'Шаг1.Выбор плиты'!C:S,12,0),"")</f>
        <v/>
      </c>
      <c r="W68" s="146" t="str">
        <f ca="1">IFERROR(VLOOKUP(C68,'Шаг1.Выбор плиты'!C:S,8,0),"")</f>
        <v/>
      </c>
      <c r="X68" s="146" t="str">
        <f ca="1">IFERROR(VLOOKUP(C68,'Шаг1.Выбор плиты'!C:S,10,0),"")</f>
        <v/>
      </c>
      <c r="Y68" s="147" t="str">
        <f t="shared" ca="1" si="8"/>
        <v/>
      </c>
      <c r="AD68" s="147" t="str">
        <f t="shared" ca="1" si="6"/>
        <v/>
      </c>
      <c r="AE68" s="147" t="str">
        <f t="shared" ca="1" si="9"/>
        <v/>
      </c>
      <c r="AF68" s="25"/>
      <c r="AH68" s="147" t="str">
        <f ca="1">IF(C68="","",VLOOKUP(C68,'Шаг1.Выбор плиты'!C:Q,7,0))</f>
        <v/>
      </c>
      <c r="AI68" s="147" t="str">
        <f t="shared" ca="1" si="7"/>
        <v/>
      </c>
    </row>
    <row r="69" spans="1:35" x14ac:dyDescent="0.2">
      <c r="A69" s="151" t="str">
        <f ca="1">IF(C69="","",MAX($A$1:OFFSET(C69,-1,0))+1)</f>
        <v/>
      </c>
      <c r="B69" s="151" t="str">
        <f ca="1">IFERROR(IFERROR(IFERROR("Шаг2.Бланк заказа NEW №"&amp;VLOOKUP(A68+1,CHOOSE({1,2},'Шаг2.Бланк заказа NEW'!$B$19:$B$201,'Шаг2.Бланк заказа NEW'!$A$19:$A$201),1,0),
"Бланк OLD 0.8 04 №"&amp;VLOOKUP(A68+1-COUNT('Шаг2.Бланк заказа NEW'!$B$19:$B$201),CHOOSE({1,2},'Бланк OLD 0.8 04'!$B$18:$B$200,'Бланк OLD 0.8 04'!$A$18:$A$200),1,0)),
"Бланк OLD 2.0 04 №"&amp;VLOOKUP(A68+1-COUNT('Шаг2.Бланк заказа NEW'!$B$19:$B$201)-COUNT('Бланк OLD 0.8 04'!$B$18:$B$200),CHOOSE({1,2},'Бланк OLD 2.0 04 '!$B$18:$B$200,'Бланк OLD 2.0 04 '!$A$18:$A$200),1,0)),"")</f>
        <v/>
      </c>
      <c r="C69" s="152" t="str">
        <f ca="1">IFERROR(IFERROR(IFERROR(VLOOKUP(A68+1,CHOOSE({1,2},'Шаг2.Бланк заказа NEW'!$B$19:$B$201,'Шаг2.Бланк заказа NEW'!$A$19:$A$201),2,0),
VLOOKUP(A68+1-COUNT('Шаг2.Бланк заказа NEW'!$B$19:$B$201),CHOOSE({1,2},'Бланк OLD 0.8 04'!$B$18:$B$200,'Бланк OLD 0.8 04'!$A$18:$A$200),2,0)),
VLOOKUP(A68+1-COUNT('Шаг2.Бланк заказа NEW'!$B$19:$B$201)-COUNT('Бланк OLD 0.8 04'!$B$18:$B$200),CHOOSE({1,2},'Бланк OLD 2.0 04 '!$B$18:$B$200,'Бланк OLD 2.0 04 '!$A$18:$A$200),2,0)),"")</f>
        <v/>
      </c>
      <c r="D69" s="150" t="str">
        <f ca="1">IFERROR(VLOOKUP(C69,'Шаг1.Выбор плиты'!C:G,5,0),"")</f>
        <v/>
      </c>
      <c r="E69" s="147" t="str">
        <f ca="1">IFERROR(IFERROR(IF(VLOOKUP($A69,'Шаг2.Бланк заказа NEW'!$B$17:$N$201,2,0)="","",VLOOKUP($A69,'Шаг2.Бланк заказа NEW'!$B$17:$N$201,2,0)),
IF(VLOOKUP($A69-COUNT('Шаг2.Бланк заказа NEW'!$B$19:$B$201),'Бланк OLD 0.8 04'!$B$12:$K$200,2,0)="","",VLOOKUP($A69-COUNT('Шаг2.Бланк заказа NEW'!$B$19:$B$201),'Бланк OLD 0.8 04'!$B$12:$K$200,2,0))),
IF(VLOOKUP($A69-COUNT('Шаг2.Бланк заказа NEW'!$B$19:$B$201)-COUNT('Бланк OLD 0.8 04'!$B$18:$B$200),'Бланк OLD 2.0 04 '!$B$16:$K$200,2,0)="","",VLOOKUP($A69-COUNT('Шаг2.Бланк заказа NEW'!$B$19:$B$201)-COUNT('Бланк OLD 0.8 04'!$B$18:$B$200),'Бланк OLD 2.0 04 '!$B$16:$K$200,2,0)))</f>
        <v/>
      </c>
      <c r="F69" s="147" t="str">
        <f ca="1">IFERROR(IFERROR(IF(VLOOKUP($A69,'Шаг2.Бланк заказа NEW'!$B$17:$N$201,3,0)="","",VLOOKUP($A69,'Шаг2.Бланк заказа NEW'!$B$17:$N$201,3,0)),
IF(VLOOKUP($A69-COUNT('Шаг2.Бланк заказа NEW'!$B$19:$B$201),'Бланк OLD 0.8 04'!$B$12:$K$200,3,0)="","",VLOOKUP($A69-COUNT('Шаг2.Бланк заказа NEW'!$B$19:$B$201),'Бланк OLD 0.8 04'!$B$12:$K$200,3,0))),
IF(VLOOKUP($A69-COUNT('Шаг2.Бланк заказа NEW'!$B$19:$B$201)-COUNT('Бланк OLD 0.8 04'!$B$18:$B$200),'Бланк OLD 2.0 04 '!$B$16:$K$200,3,0)="","",VLOOKUP($A69-COUNT('Шаг2.Бланк заказа NEW'!$B$19:$B$201)-COUNT('Бланк OLD 0.8 04'!$B$18:$B$200),'Бланк OLD 2.0 04 '!$B$16:$K$200,3,0)))</f>
        <v/>
      </c>
      <c r="G69" s="176" t="str">
        <f ca="1">IF(IF(R69="","",IF(R69=1,SUMIFS('Шаг1.Выбор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плиты'!C:Q,12,0)),1))))))=0,
R69,
IF(R69="","",IF(R69=1,SUMIFS('Шаг1.Выбор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плиты'!N:N,R69,'Шаг1.Выбор плиты'!M:M,SMALL(INDIRECT("мм"&amp;VLOOKUP(C69,'Шаг1.Выбор плиты'!C:Q,12,0)),1)))))))</f>
        <v/>
      </c>
      <c r="H69" s="177" t="str">
        <f ca="1">IF(IF(S69="","",IF(S69=1,SUMIFS('Шаг1.Выбор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плиты'!C:Q,12,0)),1))))))=0,
S69,
IF(S69="","",IF(S69=1,SUMIFS('Шаг1.Выбор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плиты'!N:N,S69,'Шаг1.Выбор плиты'!M:M,SMALL(INDIRECT("мм"&amp;VLOOKUP(C69,'Шаг1.Выбор плиты'!C:Q,12,0)),1)))))))</f>
        <v/>
      </c>
      <c r="I69" s="147" t="str">
        <f ca="1">IFERROR(IFERROR(IF(VLOOKUP($A69,'Шаг2.Бланк заказа NEW'!$B$17:$N$201,6,0)="","",VLOOKUP($A69,'Шаг2.Бланк заказа NEW'!$B$17:$N$201,6,0)),
IF(VLOOKUP($A69-COUNT('Шаг2.Бланк заказа NEW'!$B$19:$B$201),'Бланк OLD 0.8 04'!$B$12:$K$200,6,0)="","",VLOOKUP($A69-COUNT('Шаг2.Бланк заказа NEW'!$B$19:$B$201),'Бланк OLD 0.8 04'!$B$12:$K$200,6,0))),
IF(VLOOKUP($A69-COUNT('Шаг2.Бланк заказа NEW'!$B$19:$B$201)-COUNT('Бланк OLD 0.8 04'!$B$18:$B$200),'Бланк OLD 2.0 04 '!$B$16:$K$200,6,0)="","",VLOOKUP($A69-COUNT('Шаг2.Бланк заказа NEW'!$B$19:$B$201)-COUNT('Бланк OLD 0.8 04'!$B$18:$B$200),'Бланк OLD 2.0 04 '!$B$16:$K$200,6,0)))</f>
        <v/>
      </c>
      <c r="J69" s="177" t="str">
        <f ca="1">IF(IF(T69="","",IF(T69=1,SUMIFS('Шаг1.Выбор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плиты'!C:Q,12,0)),1))))))=0,
T69,
IF(T69="","",IF(T69=1,SUMIFS('Шаг1.Выбор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плиты'!N:N,T69,'Шаг1.Выбор плиты'!M:M,SMALL(INDIRECT("мм"&amp;VLOOKUP(C69,'Шаг1.Выбор плиты'!C:Q,12,0)),1)))))))</f>
        <v/>
      </c>
      <c r="K69" s="177" t="str">
        <f ca="1">IF(IF(U69="","",IF(U69=1,SUMIFS('Шаг1.Выбор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плиты'!C:Q,12,0)),1))))))=0,
U69,
IF(U69="","",IF(U69=1,SUMIFS('Шаг1.Выбор плиты'!$G:$G,'Шаг1.Выбор плиты'!J:J,"*"&amp;RIGHT(VLOOKUP(C69,'Шаг1.Выбор плиты'!C:Q,8,0),4),'Шаг1.Выбор плиты'!L:L,IF(MID(C69,1,6)="ЛДСП P","TM"&amp;MID(VLOOKUP(C69,'Шаг1.Выбор плиты'!C:Q,10,0),3,2),MID(VLOOKUP(C69,'Шаг1.Выбор плиты'!C:Q,10,0),1,2)),
'Шаг1.Выбор плиты'!N:N,1),IF(SUMIFS('Шаг1.Выбор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плиты'!C:Q,12,0)),1))=0,
IF(SUMIFS('Шаг1.Выбор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плиты'!C:Q,12,0)),2))=0,
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плиты'!C:Q,12,0)),3)),
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плиты'!C:Q,12,0)),2))),
(SUMIFS('Шаг1.Выбор плиты'!$G:$G,'Шаг1.Выбор плиты'!J:J,"*"&amp;RIGHT(VLOOKUP(C69,'Шаг1.Выбор плиты'!C:Q,8,0),4),'Шаг1.Выбор плиты'!L:L,VLOOKUP(C69,'Шаг1.Выбор плиты'!C:Q,10,0),'Шаг1.Выбор плиты'!N:N,U69,'Шаг1.Выбор плиты'!M:M,SMALL(INDIRECT("мм"&amp;VLOOKUP(C69,'Шаг1.Выбор плиты'!C:Q,12,0)),1)))))))</f>
        <v/>
      </c>
      <c r="L69" s="147" t="str">
        <f ca="1">IFERROR(IFERROR(IF(VLOOKUP($A69,'Шаг2.Бланк заказа NEW'!$B$17:$N$201,9,0)="","",VLOOKUP($A69,'Шаг2.Бланк заказа NEW'!$B$17:$N$201,9,0)),
IF(VLOOKUP($A69-COUNT('Шаг2.Бланк заказа NEW'!$B$19:$B$201),'Бланк OLD 0.8 04'!$B$12:$K$200,9,0)="","",VLOOKUP($A69-COUNT('Шаг2.Бланк заказа NEW'!$B$19:$B$201),'Бланк OLD 0.8 04'!$B$12:$K$200,9,0))),
IF(VLOOKUP($A69-COUNT('Шаг2.Бланк заказа NEW'!$B$19:$B$201)-COUNT('Бланк OLD 0.8 04'!$B$18:$B$200),'Бланк OLD 2.0 04 '!$B$16:$K$200,9,0)="","",VLOOKUP($A69-COUNT('Шаг2.Бланк заказа NEW'!$B$19:$B$201)-COUNT('Бланк OLD 0.8 04'!$B$18:$B$200),'Бланк OLD 2.0 04 '!$B$16:$K$200,9,0)))</f>
        <v/>
      </c>
      <c r="M69" s="154" t="str">
        <f t="shared" ca="1" si="5"/>
        <v/>
      </c>
      <c r="N69" s="153" t="str">
        <f ca="1">IFERROR(IF(VLOOKUP($A69,'Шаг2.Бланк заказа NEW'!$B$17:$N$201,11,0)="","",VLOOKUP($A69,'Шаг2.Бланк заказа NEW'!$B$17:$N$201,11,0)),
"Нет")</f>
        <v/>
      </c>
      <c r="O69" s="147" t="str">
        <f ca="1">IFERROR(IF(VLOOKUP($A69,'Шаг2.Бланк заказа NEW'!$B$17:$N$201,11,0)="","",VLOOKUP($A69,'Шаг2.Бланк заказа NEW'!$B$17:$N$201,12,0)),
"Нет")</f>
        <v/>
      </c>
      <c r="P69" s="153" t="str">
        <f ca="1">IFERROR(IF(VLOOKUP($A69,'Шаг2.Бланк заказа NEW'!$B$17:$N$201,13,0)="","",VLOOKUP($A69,'Шаг2.Бланк заказа NEW'!$B$17:$N$201,13,0)),
"Нет")</f>
        <v/>
      </c>
      <c r="Q69" s="147" t="str">
        <f ca="1">IFERROR(IF(VLOOKUP($A69,'Шаг2.Бланк заказа NEW'!$B$17:$O$201,14,0)="","",VLOOKUP($A69,'Шаг2.Бланк заказа NEW'!$B$17:$O$201,14,0)),"")</f>
        <v/>
      </c>
      <c r="R69" s="147" t="str">
        <f ca="1">IFERROR(IFERROR(IF(VLOOKUP($A69,'Шаг2.Бланк заказа NEW'!$B$17:$N$201,4,0)="","",VLOOKUP($A69,'Шаг2.Бланк заказа NEW'!$B$17:$N$201,4,0)),
IF(VLOOKUP($A69-COUNT('Шаг2.Бланк заказа NEW'!$B$19:$B$201),'Бланк OLD 0.8 04'!$B$12:$K$200,4,0)&gt;0,0.8,
IF(VLOOKUP($A69-COUNT('Шаг2.Бланк заказа NEW'!$B$19:$B$201),'Бланк OLD 0.8 04'!$B$12:$K$200,5,0)&gt;0,0.4,""))),
IF(VLOOKUP($A69-COUNT('Шаг2.Бланк заказа NEW'!$B$19:$B$201)-COUNT('Бланк OLD 0.8 04'!$B$18:$B$200),'Бланк OLD 2.0 04 '!$B$16:$K$200,4,0)&gt;0,2,IF(VLOOKUP($A69-COUNT('Шаг2.Бланк заказа NEW'!$B$19:$B$201)-COUNT('Бланк OLD 0.8 04'!$B$18:$B$200),'Бланк OLD 2.0 04 '!$B$16:$K$200,5,0)&gt;0,0.4,"")))</f>
        <v/>
      </c>
      <c r="S69" s="147" t="str">
        <f ca="1">IFERROR(IFERROR(IF(VLOOKUP($A69,'Шаг2.Бланк заказа NEW'!$B$17:$N$201,5,0)="","",VLOOKUP($A69,'Шаг2.Бланк заказа NEW'!$B$17:$N$201,5,0)),
IF(VLOOKUP($A69-COUNT('Шаг2.Бланк заказа NEW'!$B$19:$B$201),'Бланк OLD 0.8 04'!$B$12:$K$200,4,0)&gt;1,0.8,
IF(VLOOKUP($A69-COUNT('Шаг2.Бланк заказа NEW'!$B$19:$B$201),'Бланк OLD 0.8 04'!$B$12:$K$200,5,0)&gt;1,0.4,
IF(AND(VLOOKUP($A69-COUNT('Шаг2.Бланк заказа NEW'!$B$19:$B$201),'Бланк OLD 0.8 04'!$B$12:$K$200,4,0)&gt;0,VLOOKUP($A69-COUNT('Шаг2.Бланк заказа NEW'!$B$19:$B$201),'Бланк OLD 0.8 04'!$B$12:$K$200,5,0)&gt;0),0.4,"")))),
IF(VLOOKUP($A69-COUNT('Шаг2.Бланк заказа NEW'!$B$19:$B$201)-COUNT('Бланк OLD 0.8 04'!$B$18:$B$200),'Бланк OLD 2.0 04 '!$B$16:$K$200,4,0)&gt;1,2,
IF(VLOOKUP($A69-COUNT('Шаг2.Бланк заказа NEW'!$B$19:$B$201)-COUNT('Бланк OLD 0.8 04'!$B$18:$B$200),'Бланк OLD 2.0 04 '!$B$16:$K$200,5,0)&gt;1,0.4,IF(AND(VLOOKUP($A69-COUNT('Шаг2.Бланк заказа NEW'!$B$19:$B$201)-COUNT('Бланк OLD 0.8 04'!$B$18:$B$200),'Бланк OLD 2.0 04 '!$B$16:$K$200,4,0)&gt;0,VLOOKUP($A69-COUNT('Шаг2.Бланк заказа NEW'!$B$19:$B$201)-COUNT('Бланк OLD 0.8 04'!$B$18:$B$200),'Бланк OLD 2.0 04 '!$B$16:$K$200,5,0)&gt;0),0.4,""))))</f>
        <v/>
      </c>
      <c r="T69" s="147" t="str">
        <f ca="1">IFERROR(IFERROR(IF(VLOOKUP($A69,'Шаг2.Бланк заказа NEW'!$B$17:$N$201,7,0)="","",VLOOKUP($A69,'Шаг2.Бланк заказа NEW'!$B$17:$N$201,7,0)),
IF(VLOOKUP($A69-COUNT('Шаг2.Бланк заказа NEW'!$B$19:$B$201),'Бланк OLD 0.8 04'!$B$12:$K$200,7,0)&gt;0,0.8,
IF(VLOOKUP($A69-COUNT('Шаг2.Бланк заказа NEW'!$B$19:$B$201),'Бланк OLD 0.8 04'!$B$12:$K$200,8,0)&gt;0,0.4,""))),
IF(VLOOKUP($A69-COUNT('Шаг2.Бланк заказа NEW'!$B$19:$B$201)-COUNT('Бланк OLD 0.8 04'!$B$18:$B$200),'Бланк OLD 2.0 04 '!$B$16:$K$200,7,0)&gt;0,2,IF(VLOOKUP($A69-COUNT('Шаг2.Бланк заказа NEW'!$B$19:$B$201)-COUNT('Бланк OLD 0.8 04'!$B$18:$B$200),'Бланк OLD 2.0 04 '!$B$16:$K$200,8,0)&gt;0,0.4,"")))</f>
        <v/>
      </c>
      <c r="U69" s="147" t="str">
        <f ca="1">IFERROR(IFERROR(IF(VLOOKUP($A69,'Шаг2.Бланк заказа NEW'!$B$17:$N$201,8,0)="","",VLOOKUP($A69,'Шаг2.Бланк заказа NEW'!$B$17:$N$201,8,0)),
IF(VLOOKUP($A69-COUNT('Шаг2.Бланк заказа NEW'!$B$19:$B$201),'Бланк OLD 0.8 04'!$B$12:$K$200,7,0)&gt;1,0.8,
IF(VLOOKUP($A69-COUNT('Шаг2.Бланк заказа NEW'!$B$19:$B$201),'Бланк OLD 0.8 04'!$B$12:$K$200,8,0)&gt;1,0.4,
IF(AND(VLOOKUP($A69-COUNT('Шаг2.Бланк заказа NEW'!$B$19:$B$201),'Бланк OLD 0.8 04'!$B$12:$K$200,7,0)&gt;0,VLOOKUP($A69-COUNT('Шаг2.Бланк заказа NEW'!$B$19:$B$201),'Бланк OLD 0.8 04'!$B$12:$K$200,8,0)&gt;0),0.4,"")))),
IF(VLOOKUP($A69-COUNT('Шаг2.Бланк заказа NEW'!$B$19:$B$201)-COUNT('Бланк OLD 0.8 04'!$B$18:$B$200),'Бланк OLD 2.0 04 '!$B$16:$K$200,7,0)&gt;1,2,
IF(VLOOKUP($A69-COUNT('Шаг2.Бланк заказа NEW'!$B$19:$B$201)-COUNT('Бланк OLD 0.8 04'!$B$18:$B$200),'Бланк OLD 2.0 04 '!$B$16:$K$200,8,0)&gt;1,0.4,
IF(AND(VLOOKUP($A69-COUNT('Шаг2.Бланк заказа NEW'!$B$19:$B$201)-COUNT('Бланк OLD 0.8 04'!$B$18:$B$200),'Бланк OLD 2.0 04 '!$B$16:$K$200,7,0)&gt;0,VLOOKUP($A69-COUNT('Шаг2.Бланк заказа NEW'!$B$19:$B$201)-COUNT('Бланк OLD 0.8 04'!$B$18:$B$200),'Бланк OLD 2.0 04 '!$B$16:$K$200,8,0)&gt;0),0.4,""))))</f>
        <v/>
      </c>
      <c r="V69" s="146" t="str">
        <f ca="1">IFERROR(VLOOKUP(C69,'Шаг1.Выбор плиты'!C:S,12,0),"")</f>
        <v/>
      </c>
      <c r="W69" s="146" t="str">
        <f ca="1">IFERROR(VLOOKUP(C69,'Шаг1.Выбор плиты'!C:S,8,0),"")</f>
        <v/>
      </c>
      <c r="X69" s="146" t="str">
        <f ca="1">IFERROR(VLOOKUP(C69,'Шаг1.Выбор плиты'!C:S,10,0),"")</f>
        <v/>
      </c>
      <c r="Y69" s="147" t="str">
        <f t="shared" ca="1" si="8"/>
        <v/>
      </c>
      <c r="AD69" s="147" t="str">
        <f t="shared" ca="1" si="6"/>
        <v/>
      </c>
      <c r="AE69" s="147" t="str">
        <f t="shared" ca="1" si="9"/>
        <v/>
      </c>
      <c r="AF69" s="25"/>
      <c r="AH69" s="147" t="str">
        <f ca="1">IF(C69="","",VLOOKUP(C69,'Шаг1.Выбор плиты'!C:Q,7,0))</f>
        <v/>
      </c>
      <c r="AI69" s="147" t="str">
        <f t="shared" ca="1" si="7"/>
        <v/>
      </c>
    </row>
    <row r="70" spans="1:35" x14ac:dyDescent="0.2">
      <c r="A70" s="151" t="str">
        <f ca="1">IF(C70="","",MAX($A$1:OFFSET(C70,-1,0))+1)</f>
        <v/>
      </c>
      <c r="B70" s="151" t="str">
        <f ca="1">IFERROR(IFERROR(IFERROR("Шаг2.Бланк заказа NEW №"&amp;VLOOKUP(A69+1,CHOOSE({1,2},'Шаг2.Бланк заказа NEW'!$B$19:$B$201,'Шаг2.Бланк заказа NEW'!$A$19:$A$201),1,0),
"Бланк OLD 0.8 04 №"&amp;VLOOKUP(A69+1-COUNT('Шаг2.Бланк заказа NEW'!$B$19:$B$201),CHOOSE({1,2},'Бланк OLD 0.8 04'!$B$18:$B$200,'Бланк OLD 0.8 04'!$A$18:$A$200),1,0)),
"Бланк OLD 2.0 04 №"&amp;VLOOKUP(A69+1-COUNT('Шаг2.Бланк заказа NEW'!$B$19:$B$201)-COUNT('Бланк OLD 0.8 04'!$B$18:$B$200),CHOOSE({1,2},'Бланк OLD 2.0 04 '!$B$18:$B$200,'Бланк OLD 2.0 04 '!$A$18:$A$200),1,0)),"")</f>
        <v/>
      </c>
      <c r="C70" s="152" t="str">
        <f ca="1">IFERROR(IFERROR(IFERROR(VLOOKUP(A69+1,CHOOSE({1,2},'Шаг2.Бланк заказа NEW'!$B$19:$B$201,'Шаг2.Бланк заказа NEW'!$A$19:$A$201),2,0),
VLOOKUP(A69+1-COUNT('Шаг2.Бланк заказа NEW'!$B$19:$B$201),CHOOSE({1,2},'Бланк OLD 0.8 04'!$B$18:$B$200,'Бланк OLD 0.8 04'!$A$18:$A$200),2,0)),
VLOOKUP(A69+1-COUNT('Шаг2.Бланк заказа NEW'!$B$19:$B$201)-COUNT('Бланк OLD 0.8 04'!$B$18:$B$200),CHOOSE({1,2},'Бланк OLD 2.0 04 '!$B$18:$B$200,'Бланк OLD 2.0 04 '!$A$18:$A$200),2,0)),"")</f>
        <v/>
      </c>
      <c r="D70" s="150" t="str">
        <f ca="1">IFERROR(VLOOKUP(C70,'Шаг1.Выбор плиты'!C:G,5,0),"")</f>
        <v/>
      </c>
      <c r="E70" s="147" t="str">
        <f ca="1">IFERROR(IFERROR(IF(VLOOKUP($A70,'Шаг2.Бланк заказа NEW'!$B$17:$N$201,2,0)="","",VLOOKUP($A70,'Шаг2.Бланк заказа NEW'!$B$17:$N$201,2,0)),
IF(VLOOKUP($A70-COUNT('Шаг2.Бланк заказа NEW'!$B$19:$B$201),'Бланк OLD 0.8 04'!$B$12:$K$200,2,0)="","",VLOOKUP($A70-COUNT('Шаг2.Бланк заказа NEW'!$B$19:$B$201),'Бланк OLD 0.8 04'!$B$12:$K$200,2,0))),
IF(VLOOKUP($A70-COUNT('Шаг2.Бланк заказа NEW'!$B$19:$B$201)-COUNT('Бланк OLD 0.8 04'!$B$18:$B$200),'Бланк OLD 2.0 04 '!$B$16:$K$200,2,0)="","",VLOOKUP($A70-COUNT('Шаг2.Бланк заказа NEW'!$B$19:$B$201)-COUNT('Бланк OLD 0.8 04'!$B$18:$B$200),'Бланк OLD 2.0 04 '!$B$16:$K$200,2,0)))</f>
        <v/>
      </c>
      <c r="F70" s="147" t="str">
        <f ca="1">IFERROR(IFERROR(IF(VLOOKUP($A70,'Шаг2.Бланк заказа NEW'!$B$17:$N$201,3,0)="","",VLOOKUP($A70,'Шаг2.Бланк заказа NEW'!$B$17:$N$201,3,0)),
IF(VLOOKUP($A70-COUNT('Шаг2.Бланк заказа NEW'!$B$19:$B$201),'Бланк OLD 0.8 04'!$B$12:$K$200,3,0)="","",VLOOKUP($A70-COUNT('Шаг2.Бланк заказа NEW'!$B$19:$B$201),'Бланк OLD 0.8 04'!$B$12:$K$200,3,0))),
IF(VLOOKUP($A70-COUNT('Шаг2.Бланк заказа NEW'!$B$19:$B$201)-COUNT('Бланк OLD 0.8 04'!$B$18:$B$200),'Бланк OLD 2.0 04 '!$B$16:$K$200,3,0)="","",VLOOKUP($A70-COUNT('Шаг2.Бланк заказа NEW'!$B$19:$B$201)-COUNT('Бланк OLD 0.8 04'!$B$18:$B$200),'Бланк OLD 2.0 04 '!$B$16:$K$200,3,0)))</f>
        <v/>
      </c>
      <c r="G70" s="176" t="str">
        <f ca="1">IF(IF(R70="","",IF(R70=1,SUMIFS('Шаг1.Выбор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плиты'!C:Q,12,0)),1))))))=0,
R70,
IF(R70="","",IF(R70=1,SUMIFS('Шаг1.Выбор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плиты'!N:N,R70,'Шаг1.Выбор плиты'!M:M,SMALL(INDIRECT("мм"&amp;VLOOKUP(C70,'Шаг1.Выбор плиты'!C:Q,12,0)),1)))))))</f>
        <v/>
      </c>
      <c r="H70" s="177" t="str">
        <f ca="1">IF(IF(S70="","",IF(S70=1,SUMIFS('Шаг1.Выбор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плиты'!C:Q,12,0)),1))))))=0,
S70,
IF(S70="","",IF(S70=1,SUMIFS('Шаг1.Выбор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плиты'!N:N,S70,'Шаг1.Выбор плиты'!M:M,SMALL(INDIRECT("мм"&amp;VLOOKUP(C70,'Шаг1.Выбор плиты'!C:Q,12,0)),1)))))))</f>
        <v/>
      </c>
      <c r="I70" s="147" t="str">
        <f ca="1">IFERROR(IFERROR(IF(VLOOKUP($A70,'Шаг2.Бланк заказа NEW'!$B$17:$N$201,6,0)="","",VLOOKUP($A70,'Шаг2.Бланк заказа NEW'!$B$17:$N$201,6,0)),
IF(VLOOKUP($A70-COUNT('Шаг2.Бланк заказа NEW'!$B$19:$B$201),'Бланк OLD 0.8 04'!$B$12:$K$200,6,0)="","",VLOOKUP($A70-COUNT('Шаг2.Бланк заказа NEW'!$B$19:$B$201),'Бланк OLD 0.8 04'!$B$12:$K$200,6,0))),
IF(VLOOKUP($A70-COUNT('Шаг2.Бланк заказа NEW'!$B$19:$B$201)-COUNT('Бланк OLD 0.8 04'!$B$18:$B$200),'Бланк OLD 2.0 04 '!$B$16:$K$200,6,0)="","",VLOOKUP($A70-COUNT('Шаг2.Бланк заказа NEW'!$B$19:$B$201)-COUNT('Бланк OLD 0.8 04'!$B$18:$B$200),'Бланк OLD 2.0 04 '!$B$16:$K$200,6,0)))</f>
        <v/>
      </c>
      <c r="J70" s="177" t="str">
        <f ca="1">IF(IF(T70="","",IF(T70=1,SUMIFS('Шаг1.Выбор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плиты'!C:Q,12,0)),1))))))=0,
T70,
IF(T70="","",IF(T70=1,SUMIFS('Шаг1.Выбор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плиты'!N:N,T70,'Шаг1.Выбор плиты'!M:M,SMALL(INDIRECT("мм"&amp;VLOOKUP(C70,'Шаг1.Выбор плиты'!C:Q,12,0)),1)))))))</f>
        <v/>
      </c>
      <c r="K70" s="177" t="str">
        <f ca="1">IF(IF(U70="","",IF(U70=1,SUMIFS('Шаг1.Выбор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плиты'!C:Q,12,0)),1))))))=0,
U70,
IF(U70="","",IF(U70=1,SUMIFS('Шаг1.Выбор плиты'!$G:$G,'Шаг1.Выбор плиты'!J:J,"*"&amp;RIGHT(VLOOKUP(C70,'Шаг1.Выбор плиты'!C:Q,8,0),4),'Шаг1.Выбор плиты'!L:L,IF(MID(C70,1,6)="ЛДСП P","TM"&amp;MID(VLOOKUP(C70,'Шаг1.Выбор плиты'!C:Q,10,0),3,2),MID(VLOOKUP(C70,'Шаг1.Выбор плиты'!C:Q,10,0),1,2)),
'Шаг1.Выбор плиты'!N:N,1),IF(SUMIFS('Шаг1.Выбор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плиты'!C:Q,12,0)),1))=0,
IF(SUMIFS('Шаг1.Выбор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плиты'!C:Q,12,0)),2))=0,
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плиты'!C:Q,12,0)),3)),
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плиты'!C:Q,12,0)),2))),
(SUMIFS('Шаг1.Выбор плиты'!$G:$G,'Шаг1.Выбор плиты'!J:J,"*"&amp;RIGHT(VLOOKUP(C70,'Шаг1.Выбор плиты'!C:Q,8,0),4),'Шаг1.Выбор плиты'!L:L,VLOOKUP(C70,'Шаг1.Выбор плиты'!C:Q,10,0),'Шаг1.Выбор плиты'!N:N,U70,'Шаг1.Выбор плиты'!M:M,SMALL(INDIRECT("мм"&amp;VLOOKUP(C70,'Шаг1.Выбор плиты'!C:Q,12,0)),1)))))))</f>
        <v/>
      </c>
      <c r="L70" s="147" t="str">
        <f ca="1">IFERROR(IFERROR(IF(VLOOKUP($A70,'Шаг2.Бланк заказа NEW'!$B$17:$N$201,9,0)="","",VLOOKUP($A70,'Шаг2.Бланк заказа NEW'!$B$17:$N$201,9,0)),
IF(VLOOKUP($A70-COUNT('Шаг2.Бланк заказа NEW'!$B$19:$B$201),'Бланк OLD 0.8 04'!$B$12:$K$200,9,0)="","",VLOOKUP($A70-COUNT('Шаг2.Бланк заказа NEW'!$B$19:$B$201),'Бланк OLD 0.8 04'!$B$12:$K$200,9,0))),
IF(VLOOKUP($A70-COUNT('Шаг2.Бланк заказа NEW'!$B$19:$B$201)-COUNT('Бланк OLD 0.8 04'!$B$18:$B$200),'Бланк OLD 2.0 04 '!$B$16:$K$200,9,0)="","",VLOOKUP($A70-COUNT('Шаг2.Бланк заказа NEW'!$B$19:$B$201)-COUNT('Бланк OLD 0.8 04'!$B$18:$B$200),'Бланк OLD 2.0 04 '!$B$16:$K$200,9,0)))</f>
        <v/>
      </c>
      <c r="M70" s="154" t="str">
        <f t="shared" ca="1" si="5"/>
        <v/>
      </c>
      <c r="N70" s="153" t="str">
        <f ca="1">IFERROR(IF(VLOOKUP($A70,'Шаг2.Бланк заказа NEW'!$B$17:$N$201,11,0)="","",VLOOKUP($A70,'Шаг2.Бланк заказа NEW'!$B$17:$N$201,11,0)),
"Нет")</f>
        <v/>
      </c>
      <c r="O70" s="147" t="str">
        <f ca="1">IFERROR(IF(VLOOKUP($A70,'Шаг2.Бланк заказа NEW'!$B$17:$N$201,11,0)="","",VLOOKUP($A70,'Шаг2.Бланк заказа NEW'!$B$17:$N$201,12,0)),
"Нет")</f>
        <v/>
      </c>
      <c r="P70" s="153" t="str">
        <f ca="1">IFERROR(IF(VLOOKUP($A70,'Шаг2.Бланк заказа NEW'!$B$17:$N$201,13,0)="","",VLOOKUP($A70,'Шаг2.Бланк заказа NEW'!$B$17:$N$201,13,0)),
"Нет")</f>
        <v/>
      </c>
      <c r="Q70" s="147" t="str">
        <f ca="1">IFERROR(IF(VLOOKUP($A70,'Шаг2.Бланк заказа NEW'!$B$17:$O$201,14,0)="","",VLOOKUP($A70,'Шаг2.Бланк заказа NEW'!$B$17:$O$201,14,0)),"")</f>
        <v/>
      </c>
      <c r="R70" s="147" t="str">
        <f ca="1">IFERROR(IFERROR(IF(VLOOKUP($A70,'Шаг2.Бланк заказа NEW'!$B$17:$N$201,4,0)="","",VLOOKUP($A70,'Шаг2.Бланк заказа NEW'!$B$17:$N$201,4,0)),
IF(VLOOKUP($A70-COUNT('Шаг2.Бланк заказа NEW'!$B$19:$B$201),'Бланк OLD 0.8 04'!$B$12:$K$200,4,0)&gt;0,0.8,
IF(VLOOKUP($A70-COUNT('Шаг2.Бланк заказа NEW'!$B$19:$B$201),'Бланк OLD 0.8 04'!$B$12:$K$200,5,0)&gt;0,0.4,""))),
IF(VLOOKUP($A70-COUNT('Шаг2.Бланк заказа NEW'!$B$19:$B$201)-COUNT('Бланк OLD 0.8 04'!$B$18:$B$200),'Бланк OLD 2.0 04 '!$B$16:$K$200,4,0)&gt;0,2,IF(VLOOKUP($A70-COUNT('Шаг2.Бланк заказа NEW'!$B$19:$B$201)-COUNT('Бланк OLD 0.8 04'!$B$18:$B$200),'Бланк OLD 2.0 04 '!$B$16:$K$200,5,0)&gt;0,0.4,"")))</f>
        <v/>
      </c>
      <c r="S70" s="147" t="str">
        <f ca="1">IFERROR(IFERROR(IF(VLOOKUP($A70,'Шаг2.Бланк заказа NEW'!$B$17:$N$201,5,0)="","",VLOOKUP($A70,'Шаг2.Бланк заказа NEW'!$B$17:$N$201,5,0)),
IF(VLOOKUP($A70-COUNT('Шаг2.Бланк заказа NEW'!$B$19:$B$201),'Бланк OLD 0.8 04'!$B$12:$K$200,4,0)&gt;1,0.8,
IF(VLOOKUP($A70-COUNT('Шаг2.Бланк заказа NEW'!$B$19:$B$201),'Бланк OLD 0.8 04'!$B$12:$K$200,5,0)&gt;1,0.4,
IF(AND(VLOOKUP($A70-COUNT('Шаг2.Бланк заказа NEW'!$B$19:$B$201),'Бланк OLD 0.8 04'!$B$12:$K$200,4,0)&gt;0,VLOOKUP($A70-COUNT('Шаг2.Бланк заказа NEW'!$B$19:$B$201),'Бланк OLD 0.8 04'!$B$12:$K$200,5,0)&gt;0),0.4,"")))),
IF(VLOOKUP($A70-COUNT('Шаг2.Бланк заказа NEW'!$B$19:$B$201)-COUNT('Бланк OLD 0.8 04'!$B$18:$B$200),'Бланк OLD 2.0 04 '!$B$16:$K$200,4,0)&gt;1,2,
IF(VLOOKUP($A70-COUNT('Шаг2.Бланк заказа NEW'!$B$19:$B$201)-COUNT('Бланк OLD 0.8 04'!$B$18:$B$200),'Бланк OLD 2.0 04 '!$B$16:$K$200,5,0)&gt;1,0.4,IF(AND(VLOOKUP($A70-COUNT('Шаг2.Бланк заказа NEW'!$B$19:$B$201)-COUNT('Бланк OLD 0.8 04'!$B$18:$B$200),'Бланк OLD 2.0 04 '!$B$16:$K$200,4,0)&gt;0,VLOOKUP($A70-COUNT('Шаг2.Бланк заказа NEW'!$B$19:$B$201)-COUNT('Бланк OLD 0.8 04'!$B$18:$B$200),'Бланк OLD 2.0 04 '!$B$16:$K$200,5,0)&gt;0),0.4,""))))</f>
        <v/>
      </c>
      <c r="T70" s="147" t="str">
        <f ca="1">IFERROR(IFERROR(IF(VLOOKUP($A70,'Шаг2.Бланк заказа NEW'!$B$17:$N$201,7,0)="","",VLOOKUP($A70,'Шаг2.Бланк заказа NEW'!$B$17:$N$201,7,0)),
IF(VLOOKUP($A70-COUNT('Шаг2.Бланк заказа NEW'!$B$19:$B$201),'Бланк OLD 0.8 04'!$B$12:$K$200,7,0)&gt;0,0.8,
IF(VLOOKUP($A70-COUNT('Шаг2.Бланк заказа NEW'!$B$19:$B$201),'Бланк OLD 0.8 04'!$B$12:$K$200,8,0)&gt;0,0.4,""))),
IF(VLOOKUP($A70-COUNT('Шаг2.Бланк заказа NEW'!$B$19:$B$201)-COUNT('Бланк OLD 0.8 04'!$B$18:$B$200),'Бланк OLD 2.0 04 '!$B$16:$K$200,7,0)&gt;0,2,IF(VLOOKUP($A70-COUNT('Шаг2.Бланк заказа NEW'!$B$19:$B$201)-COUNT('Бланк OLD 0.8 04'!$B$18:$B$200),'Бланк OLD 2.0 04 '!$B$16:$K$200,8,0)&gt;0,0.4,"")))</f>
        <v/>
      </c>
      <c r="U70" s="147" t="str">
        <f ca="1">IFERROR(IFERROR(IF(VLOOKUP($A70,'Шаг2.Бланк заказа NEW'!$B$17:$N$201,8,0)="","",VLOOKUP($A70,'Шаг2.Бланк заказа NEW'!$B$17:$N$201,8,0)),
IF(VLOOKUP($A70-COUNT('Шаг2.Бланк заказа NEW'!$B$19:$B$201),'Бланк OLD 0.8 04'!$B$12:$K$200,7,0)&gt;1,0.8,
IF(VLOOKUP($A70-COUNT('Шаг2.Бланк заказа NEW'!$B$19:$B$201),'Бланк OLD 0.8 04'!$B$12:$K$200,8,0)&gt;1,0.4,
IF(AND(VLOOKUP($A70-COUNT('Шаг2.Бланк заказа NEW'!$B$19:$B$201),'Бланк OLD 0.8 04'!$B$12:$K$200,7,0)&gt;0,VLOOKUP($A70-COUNT('Шаг2.Бланк заказа NEW'!$B$19:$B$201),'Бланк OLD 0.8 04'!$B$12:$K$200,8,0)&gt;0),0.4,"")))),
IF(VLOOKUP($A70-COUNT('Шаг2.Бланк заказа NEW'!$B$19:$B$201)-COUNT('Бланк OLD 0.8 04'!$B$18:$B$200),'Бланк OLD 2.0 04 '!$B$16:$K$200,7,0)&gt;1,2,
IF(VLOOKUP($A70-COUNT('Шаг2.Бланк заказа NEW'!$B$19:$B$201)-COUNT('Бланк OLD 0.8 04'!$B$18:$B$200),'Бланк OLD 2.0 04 '!$B$16:$K$200,8,0)&gt;1,0.4,
IF(AND(VLOOKUP($A70-COUNT('Шаг2.Бланк заказа NEW'!$B$19:$B$201)-COUNT('Бланк OLD 0.8 04'!$B$18:$B$200),'Бланк OLD 2.0 04 '!$B$16:$K$200,7,0)&gt;0,VLOOKUP($A70-COUNT('Шаг2.Бланк заказа NEW'!$B$19:$B$201)-COUNT('Бланк OLD 0.8 04'!$B$18:$B$200),'Бланк OLD 2.0 04 '!$B$16:$K$200,8,0)&gt;0),0.4,""))))</f>
        <v/>
      </c>
      <c r="V70" s="146" t="str">
        <f ca="1">IFERROR(VLOOKUP(C70,'Шаг1.Выбор плиты'!C:S,12,0),"")</f>
        <v/>
      </c>
      <c r="W70" s="146" t="str">
        <f ca="1">IFERROR(VLOOKUP(C70,'Шаг1.Выбор плиты'!C:S,8,0),"")</f>
        <v/>
      </c>
      <c r="X70" s="146" t="str">
        <f ca="1">IFERROR(VLOOKUP(C70,'Шаг1.Выбор плиты'!C:S,10,0),"")</f>
        <v/>
      </c>
      <c r="Y70" s="147" t="str">
        <f t="shared" ca="1" si="8"/>
        <v/>
      </c>
      <c r="AD70" s="147" t="str">
        <f t="shared" ca="1" si="6"/>
        <v/>
      </c>
      <c r="AE70" s="147" t="str">
        <f t="shared" ca="1" si="9"/>
        <v/>
      </c>
      <c r="AF70" s="25"/>
      <c r="AH70" s="147" t="str">
        <f ca="1">IF(C70="","",VLOOKUP(C70,'Шаг1.Выбор плиты'!C:Q,7,0))</f>
        <v/>
      </c>
      <c r="AI70" s="147" t="str">
        <f t="shared" ca="1" si="7"/>
        <v/>
      </c>
    </row>
    <row r="71" spans="1:35" x14ac:dyDescent="0.2">
      <c r="A71" s="151" t="str">
        <f ca="1">IF(C71="","",MAX($A$1:OFFSET(C71,-1,0))+1)</f>
        <v/>
      </c>
      <c r="B71" s="151" t="str">
        <f ca="1">IFERROR(IFERROR(IFERROR("Шаг2.Бланк заказа NEW №"&amp;VLOOKUP(A70+1,CHOOSE({1,2},'Шаг2.Бланк заказа NEW'!$B$19:$B$201,'Шаг2.Бланк заказа NEW'!$A$19:$A$201),1,0),
"Бланк OLD 0.8 04 №"&amp;VLOOKUP(A70+1-COUNT('Шаг2.Бланк заказа NEW'!$B$19:$B$201),CHOOSE({1,2},'Бланк OLD 0.8 04'!$B$18:$B$200,'Бланк OLD 0.8 04'!$A$18:$A$200),1,0)),
"Бланк OLD 2.0 04 №"&amp;VLOOKUP(A70+1-COUNT('Шаг2.Бланк заказа NEW'!$B$19:$B$201)-COUNT('Бланк OLD 0.8 04'!$B$18:$B$200),CHOOSE({1,2},'Бланк OLD 2.0 04 '!$B$18:$B$200,'Бланк OLD 2.0 04 '!$A$18:$A$200),1,0)),"")</f>
        <v/>
      </c>
      <c r="C71" s="152" t="str">
        <f ca="1">IFERROR(IFERROR(IFERROR(VLOOKUP(A70+1,CHOOSE({1,2},'Шаг2.Бланк заказа NEW'!$B$19:$B$201,'Шаг2.Бланк заказа NEW'!$A$19:$A$201),2,0),
VLOOKUP(A70+1-COUNT('Шаг2.Бланк заказа NEW'!$B$19:$B$201),CHOOSE({1,2},'Бланк OLD 0.8 04'!$B$18:$B$200,'Бланк OLD 0.8 04'!$A$18:$A$200),2,0)),
VLOOKUP(A70+1-COUNT('Шаг2.Бланк заказа NEW'!$B$19:$B$201)-COUNT('Бланк OLD 0.8 04'!$B$18:$B$200),CHOOSE({1,2},'Бланк OLD 2.0 04 '!$B$18:$B$200,'Бланк OLD 2.0 04 '!$A$18:$A$200),2,0)),"")</f>
        <v/>
      </c>
      <c r="D71" s="150" t="str">
        <f ca="1">IFERROR(VLOOKUP(C71,'Шаг1.Выбор плиты'!C:G,5,0),"")</f>
        <v/>
      </c>
      <c r="E71" s="147" t="str">
        <f ca="1">IFERROR(IFERROR(IF(VLOOKUP($A71,'Шаг2.Бланк заказа NEW'!$B$17:$N$201,2,0)="","",VLOOKUP($A71,'Шаг2.Бланк заказа NEW'!$B$17:$N$201,2,0)),
IF(VLOOKUP($A71-COUNT('Шаг2.Бланк заказа NEW'!$B$19:$B$201),'Бланк OLD 0.8 04'!$B$12:$K$200,2,0)="","",VLOOKUP($A71-COUNT('Шаг2.Бланк заказа NEW'!$B$19:$B$201),'Бланк OLD 0.8 04'!$B$12:$K$200,2,0))),
IF(VLOOKUP($A71-COUNT('Шаг2.Бланк заказа NEW'!$B$19:$B$201)-COUNT('Бланк OLD 0.8 04'!$B$18:$B$200),'Бланк OLD 2.0 04 '!$B$16:$K$200,2,0)="","",VLOOKUP($A71-COUNT('Шаг2.Бланк заказа NEW'!$B$19:$B$201)-COUNT('Бланк OLD 0.8 04'!$B$18:$B$200),'Бланк OLD 2.0 04 '!$B$16:$K$200,2,0)))</f>
        <v/>
      </c>
      <c r="F71" s="147" t="str">
        <f ca="1">IFERROR(IFERROR(IF(VLOOKUP($A71,'Шаг2.Бланк заказа NEW'!$B$17:$N$201,3,0)="","",VLOOKUP($A71,'Шаг2.Бланк заказа NEW'!$B$17:$N$201,3,0)),
IF(VLOOKUP($A71-COUNT('Шаг2.Бланк заказа NEW'!$B$19:$B$201),'Бланк OLD 0.8 04'!$B$12:$K$200,3,0)="","",VLOOKUP($A71-COUNT('Шаг2.Бланк заказа NEW'!$B$19:$B$201),'Бланк OLD 0.8 04'!$B$12:$K$200,3,0))),
IF(VLOOKUP($A71-COUNT('Шаг2.Бланк заказа NEW'!$B$19:$B$201)-COUNT('Бланк OLD 0.8 04'!$B$18:$B$200),'Бланк OLD 2.0 04 '!$B$16:$K$200,3,0)="","",VLOOKUP($A71-COUNT('Шаг2.Бланк заказа NEW'!$B$19:$B$201)-COUNT('Бланк OLD 0.8 04'!$B$18:$B$200),'Бланк OLD 2.0 04 '!$B$16:$K$200,3,0)))</f>
        <v/>
      </c>
      <c r="G71" s="176" t="str">
        <f ca="1">IF(IF(R71="","",IF(R71=1,SUMIFS('Шаг1.Выбор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плиты'!C:Q,12,0)),1))))))=0,
R71,
IF(R71="","",IF(R71=1,SUMIFS('Шаг1.Выбор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плиты'!N:N,R71,'Шаг1.Выбор плиты'!M:M,SMALL(INDIRECT("мм"&amp;VLOOKUP(C71,'Шаг1.Выбор плиты'!C:Q,12,0)),1)))))))</f>
        <v/>
      </c>
      <c r="H71" s="177" t="str">
        <f ca="1">IF(IF(S71="","",IF(S71=1,SUMIFS('Шаг1.Выбор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плиты'!C:Q,12,0)),1))))))=0,
S71,
IF(S71="","",IF(S71=1,SUMIFS('Шаг1.Выбор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плиты'!N:N,S71,'Шаг1.Выбор плиты'!M:M,SMALL(INDIRECT("мм"&amp;VLOOKUP(C71,'Шаг1.Выбор плиты'!C:Q,12,0)),1)))))))</f>
        <v/>
      </c>
      <c r="I71" s="147" t="str">
        <f ca="1">IFERROR(IFERROR(IF(VLOOKUP($A71,'Шаг2.Бланк заказа NEW'!$B$17:$N$201,6,0)="","",VLOOKUP($A71,'Шаг2.Бланк заказа NEW'!$B$17:$N$201,6,0)),
IF(VLOOKUP($A71-COUNT('Шаг2.Бланк заказа NEW'!$B$19:$B$201),'Бланк OLD 0.8 04'!$B$12:$K$200,6,0)="","",VLOOKUP($A71-COUNT('Шаг2.Бланк заказа NEW'!$B$19:$B$201),'Бланк OLD 0.8 04'!$B$12:$K$200,6,0))),
IF(VLOOKUP($A71-COUNT('Шаг2.Бланк заказа NEW'!$B$19:$B$201)-COUNT('Бланк OLD 0.8 04'!$B$18:$B$200),'Бланк OLD 2.0 04 '!$B$16:$K$200,6,0)="","",VLOOKUP($A71-COUNT('Шаг2.Бланк заказа NEW'!$B$19:$B$201)-COUNT('Бланк OLD 0.8 04'!$B$18:$B$200),'Бланк OLD 2.0 04 '!$B$16:$K$200,6,0)))</f>
        <v/>
      </c>
      <c r="J71" s="177" t="str">
        <f ca="1">IF(IF(T71="","",IF(T71=1,SUMIFS('Шаг1.Выбор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плиты'!C:Q,12,0)),1))))))=0,
T71,
IF(T71="","",IF(T71=1,SUMIFS('Шаг1.Выбор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плиты'!N:N,T71,'Шаг1.Выбор плиты'!M:M,SMALL(INDIRECT("мм"&amp;VLOOKUP(C71,'Шаг1.Выбор плиты'!C:Q,12,0)),1)))))))</f>
        <v/>
      </c>
      <c r="K71" s="177" t="str">
        <f ca="1">IF(IF(U71="","",IF(U71=1,SUMIFS('Шаг1.Выбор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плиты'!C:Q,12,0)),1))))))=0,
U71,
IF(U71="","",IF(U71=1,SUMIFS('Шаг1.Выбор плиты'!$G:$G,'Шаг1.Выбор плиты'!J:J,"*"&amp;RIGHT(VLOOKUP(C71,'Шаг1.Выбор плиты'!C:Q,8,0),4),'Шаг1.Выбор плиты'!L:L,IF(MID(C71,1,6)="ЛДСП P","TM"&amp;MID(VLOOKUP(C71,'Шаг1.Выбор плиты'!C:Q,10,0),3,2),MID(VLOOKUP(C71,'Шаг1.Выбор плиты'!C:Q,10,0),1,2)),
'Шаг1.Выбор плиты'!N:N,1),IF(SUMIFS('Шаг1.Выбор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плиты'!C:Q,12,0)),1))=0,
IF(SUMIFS('Шаг1.Выбор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плиты'!C:Q,12,0)),2))=0,
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плиты'!C:Q,12,0)),3)),
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плиты'!C:Q,12,0)),2))),
(SUMIFS('Шаг1.Выбор плиты'!$G:$G,'Шаг1.Выбор плиты'!J:J,"*"&amp;RIGHT(VLOOKUP(C71,'Шаг1.Выбор плиты'!C:Q,8,0),4),'Шаг1.Выбор плиты'!L:L,VLOOKUP(C71,'Шаг1.Выбор плиты'!C:Q,10,0),'Шаг1.Выбор плиты'!N:N,U71,'Шаг1.Выбор плиты'!M:M,SMALL(INDIRECT("мм"&amp;VLOOKUP(C71,'Шаг1.Выбор плиты'!C:Q,12,0)),1)))))))</f>
        <v/>
      </c>
      <c r="L71" s="147" t="str">
        <f ca="1">IFERROR(IFERROR(IF(VLOOKUP($A71,'Шаг2.Бланк заказа NEW'!$B$17:$N$201,9,0)="","",VLOOKUP($A71,'Шаг2.Бланк заказа NEW'!$B$17:$N$201,9,0)),
IF(VLOOKUP($A71-COUNT('Шаг2.Бланк заказа NEW'!$B$19:$B$201),'Бланк OLD 0.8 04'!$B$12:$K$200,9,0)="","",VLOOKUP($A71-COUNT('Шаг2.Бланк заказа NEW'!$B$19:$B$201),'Бланк OLD 0.8 04'!$B$12:$K$200,9,0))),
IF(VLOOKUP($A71-COUNT('Шаг2.Бланк заказа NEW'!$B$19:$B$201)-COUNT('Бланк OLD 0.8 04'!$B$18:$B$200),'Бланк OLD 2.0 04 '!$B$16:$K$200,9,0)="","",VLOOKUP($A71-COUNT('Шаг2.Бланк заказа NEW'!$B$19:$B$201)-COUNT('Бланк OLD 0.8 04'!$B$18:$B$200),'Бланк OLD 2.0 04 '!$B$16:$K$200,9,0)))</f>
        <v/>
      </c>
      <c r="M71" s="154" t="str">
        <f t="shared" ca="1" si="5"/>
        <v/>
      </c>
      <c r="N71" s="153" t="str">
        <f ca="1">IFERROR(IF(VLOOKUP($A71,'Шаг2.Бланк заказа NEW'!$B$17:$N$201,11,0)="","",VLOOKUP($A71,'Шаг2.Бланк заказа NEW'!$B$17:$N$201,11,0)),
"Нет")</f>
        <v/>
      </c>
      <c r="O71" s="147" t="str">
        <f ca="1">IFERROR(IF(VLOOKUP($A71,'Шаг2.Бланк заказа NEW'!$B$17:$N$201,11,0)="","",VLOOKUP($A71,'Шаг2.Бланк заказа NEW'!$B$17:$N$201,12,0)),
"Нет")</f>
        <v/>
      </c>
      <c r="P71" s="153" t="str">
        <f ca="1">IFERROR(IF(VLOOKUP($A71,'Шаг2.Бланк заказа NEW'!$B$17:$N$201,13,0)="","",VLOOKUP($A71,'Шаг2.Бланк заказа NEW'!$B$17:$N$201,13,0)),
"Нет")</f>
        <v/>
      </c>
      <c r="Q71" s="147" t="str">
        <f ca="1">IFERROR(IF(VLOOKUP($A71,'Шаг2.Бланк заказа NEW'!$B$17:$O$201,14,0)="","",VLOOKUP($A71,'Шаг2.Бланк заказа NEW'!$B$17:$O$201,14,0)),"")</f>
        <v/>
      </c>
      <c r="R71" s="147" t="str">
        <f ca="1">IFERROR(IFERROR(IF(VLOOKUP($A71,'Шаг2.Бланк заказа NEW'!$B$17:$N$201,4,0)="","",VLOOKUP($A71,'Шаг2.Бланк заказа NEW'!$B$17:$N$201,4,0)),
IF(VLOOKUP($A71-COUNT('Шаг2.Бланк заказа NEW'!$B$19:$B$201),'Бланк OLD 0.8 04'!$B$12:$K$200,4,0)&gt;0,0.8,
IF(VLOOKUP($A71-COUNT('Шаг2.Бланк заказа NEW'!$B$19:$B$201),'Бланк OLD 0.8 04'!$B$12:$K$200,5,0)&gt;0,0.4,""))),
IF(VLOOKUP($A71-COUNT('Шаг2.Бланк заказа NEW'!$B$19:$B$201)-COUNT('Бланк OLD 0.8 04'!$B$18:$B$200),'Бланк OLD 2.0 04 '!$B$16:$K$200,4,0)&gt;0,2,IF(VLOOKUP($A71-COUNT('Шаг2.Бланк заказа NEW'!$B$19:$B$201)-COUNT('Бланк OLD 0.8 04'!$B$18:$B$200),'Бланк OLD 2.0 04 '!$B$16:$K$200,5,0)&gt;0,0.4,"")))</f>
        <v/>
      </c>
      <c r="S71" s="147" t="str">
        <f ca="1">IFERROR(IFERROR(IF(VLOOKUP($A71,'Шаг2.Бланк заказа NEW'!$B$17:$N$201,5,0)="","",VLOOKUP($A71,'Шаг2.Бланк заказа NEW'!$B$17:$N$201,5,0)),
IF(VLOOKUP($A71-COUNT('Шаг2.Бланк заказа NEW'!$B$19:$B$201),'Бланк OLD 0.8 04'!$B$12:$K$200,4,0)&gt;1,0.8,
IF(VLOOKUP($A71-COUNT('Шаг2.Бланк заказа NEW'!$B$19:$B$201),'Бланк OLD 0.8 04'!$B$12:$K$200,5,0)&gt;1,0.4,
IF(AND(VLOOKUP($A71-COUNT('Шаг2.Бланк заказа NEW'!$B$19:$B$201),'Бланк OLD 0.8 04'!$B$12:$K$200,4,0)&gt;0,VLOOKUP($A71-COUNT('Шаг2.Бланк заказа NEW'!$B$19:$B$201),'Бланк OLD 0.8 04'!$B$12:$K$200,5,0)&gt;0),0.4,"")))),
IF(VLOOKUP($A71-COUNT('Шаг2.Бланк заказа NEW'!$B$19:$B$201)-COUNT('Бланк OLD 0.8 04'!$B$18:$B$200),'Бланк OLD 2.0 04 '!$B$16:$K$200,4,0)&gt;1,2,
IF(VLOOKUP($A71-COUNT('Шаг2.Бланк заказа NEW'!$B$19:$B$201)-COUNT('Бланк OLD 0.8 04'!$B$18:$B$200),'Бланк OLD 2.0 04 '!$B$16:$K$200,5,0)&gt;1,0.4,IF(AND(VLOOKUP($A71-COUNT('Шаг2.Бланк заказа NEW'!$B$19:$B$201)-COUNT('Бланк OLD 0.8 04'!$B$18:$B$200),'Бланк OLD 2.0 04 '!$B$16:$K$200,4,0)&gt;0,VLOOKUP($A71-COUNT('Шаг2.Бланк заказа NEW'!$B$19:$B$201)-COUNT('Бланк OLD 0.8 04'!$B$18:$B$200),'Бланк OLD 2.0 04 '!$B$16:$K$200,5,0)&gt;0),0.4,""))))</f>
        <v/>
      </c>
      <c r="T71" s="147" t="str">
        <f ca="1">IFERROR(IFERROR(IF(VLOOKUP($A71,'Шаг2.Бланк заказа NEW'!$B$17:$N$201,7,0)="","",VLOOKUP($A71,'Шаг2.Бланк заказа NEW'!$B$17:$N$201,7,0)),
IF(VLOOKUP($A71-COUNT('Шаг2.Бланк заказа NEW'!$B$19:$B$201),'Бланк OLD 0.8 04'!$B$12:$K$200,7,0)&gt;0,0.8,
IF(VLOOKUP($A71-COUNT('Шаг2.Бланк заказа NEW'!$B$19:$B$201),'Бланк OLD 0.8 04'!$B$12:$K$200,8,0)&gt;0,0.4,""))),
IF(VLOOKUP($A71-COUNT('Шаг2.Бланк заказа NEW'!$B$19:$B$201)-COUNT('Бланк OLD 0.8 04'!$B$18:$B$200),'Бланк OLD 2.0 04 '!$B$16:$K$200,7,0)&gt;0,2,IF(VLOOKUP($A71-COUNT('Шаг2.Бланк заказа NEW'!$B$19:$B$201)-COUNT('Бланк OLD 0.8 04'!$B$18:$B$200),'Бланк OLD 2.0 04 '!$B$16:$K$200,8,0)&gt;0,0.4,"")))</f>
        <v/>
      </c>
      <c r="U71" s="147" t="str">
        <f ca="1">IFERROR(IFERROR(IF(VLOOKUP($A71,'Шаг2.Бланк заказа NEW'!$B$17:$N$201,8,0)="","",VLOOKUP($A71,'Шаг2.Бланк заказа NEW'!$B$17:$N$201,8,0)),
IF(VLOOKUP($A71-COUNT('Шаг2.Бланк заказа NEW'!$B$19:$B$201),'Бланк OLD 0.8 04'!$B$12:$K$200,7,0)&gt;1,0.8,
IF(VLOOKUP($A71-COUNT('Шаг2.Бланк заказа NEW'!$B$19:$B$201),'Бланк OLD 0.8 04'!$B$12:$K$200,8,0)&gt;1,0.4,
IF(AND(VLOOKUP($A71-COUNT('Шаг2.Бланк заказа NEW'!$B$19:$B$201),'Бланк OLD 0.8 04'!$B$12:$K$200,7,0)&gt;0,VLOOKUP($A71-COUNT('Шаг2.Бланк заказа NEW'!$B$19:$B$201),'Бланк OLD 0.8 04'!$B$12:$K$200,8,0)&gt;0),0.4,"")))),
IF(VLOOKUP($A71-COUNT('Шаг2.Бланк заказа NEW'!$B$19:$B$201)-COUNT('Бланк OLD 0.8 04'!$B$18:$B$200),'Бланк OLD 2.0 04 '!$B$16:$K$200,7,0)&gt;1,2,
IF(VLOOKUP($A71-COUNT('Шаг2.Бланк заказа NEW'!$B$19:$B$201)-COUNT('Бланк OLD 0.8 04'!$B$18:$B$200),'Бланк OLD 2.0 04 '!$B$16:$K$200,8,0)&gt;1,0.4,
IF(AND(VLOOKUP($A71-COUNT('Шаг2.Бланк заказа NEW'!$B$19:$B$201)-COUNT('Бланк OLD 0.8 04'!$B$18:$B$200),'Бланк OLD 2.0 04 '!$B$16:$K$200,7,0)&gt;0,VLOOKUP($A71-COUNT('Шаг2.Бланк заказа NEW'!$B$19:$B$201)-COUNT('Бланк OLD 0.8 04'!$B$18:$B$200),'Бланк OLD 2.0 04 '!$B$16:$K$200,8,0)&gt;0),0.4,""))))</f>
        <v/>
      </c>
      <c r="V71" s="146" t="str">
        <f ca="1">IFERROR(VLOOKUP(C71,'Шаг1.Выбор плиты'!C:S,12,0),"")</f>
        <v/>
      </c>
      <c r="W71" s="146" t="str">
        <f ca="1">IFERROR(VLOOKUP(C71,'Шаг1.Выбор плиты'!C:S,8,0),"")</f>
        <v/>
      </c>
      <c r="X71" s="146" t="str">
        <f ca="1">IFERROR(VLOOKUP(C71,'Шаг1.Выбор плиты'!C:S,10,0),"")</f>
        <v/>
      </c>
      <c r="Y71" s="147" t="str">
        <f t="shared" ca="1" si="8"/>
        <v/>
      </c>
      <c r="AD71" s="147" t="str">
        <f t="shared" ca="1" si="6"/>
        <v/>
      </c>
      <c r="AE71" s="147" t="str">
        <f t="shared" ca="1" si="9"/>
        <v/>
      </c>
      <c r="AF71" s="25"/>
      <c r="AH71" s="147" t="str">
        <f ca="1">IF(C71="","",VLOOKUP(C71,'Шаг1.Выбор плиты'!C:Q,7,0))</f>
        <v/>
      </c>
      <c r="AI71" s="147" t="str">
        <f t="shared" ca="1" si="7"/>
        <v/>
      </c>
    </row>
    <row r="72" spans="1:35" x14ac:dyDescent="0.2">
      <c r="A72" s="151" t="str">
        <f ca="1">IF(C72="","",MAX($A$1:OFFSET(C72,-1,0))+1)</f>
        <v/>
      </c>
      <c r="B72" s="151" t="str">
        <f ca="1">IFERROR(IFERROR(IFERROR("Шаг2.Бланк заказа NEW №"&amp;VLOOKUP(A71+1,CHOOSE({1,2},'Шаг2.Бланк заказа NEW'!$B$19:$B$201,'Шаг2.Бланк заказа NEW'!$A$19:$A$201),1,0),
"Бланк OLD 0.8 04 №"&amp;VLOOKUP(A71+1-COUNT('Шаг2.Бланк заказа NEW'!$B$19:$B$201),CHOOSE({1,2},'Бланк OLD 0.8 04'!$B$18:$B$200,'Бланк OLD 0.8 04'!$A$18:$A$200),1,0)),
"Бланк OLD 2.0 04 №"&amp;VLOOKUP(A71+1-COUNT('Шаг2.Бланк заказа NEW'!$B$19:$B$201)-COUNT('Бланк OLD 0.8 04'!$B$18:$B$200),CHOOSE({1,2},'Бланк OLD 2.0 04 '!$B$18:$B$200,'Бланк OLD 2.0 04 '!$A$18:$A$200),1,0)),"")</f>
        <v/>
      </c>
      <c r="C72" s="152" t="str">
        <f ca="1">IFERROR(IFERROR(IFERROR(VLOOKUP(A71+1,CHOOSE({1,2},'Шаг2.Бланк заказа NEW'!$B$19:$B$201,'Шаг2.Бланк заказа NEW'!$A$19:$A$201),2,0),
VLOOKUP(A71+1-COUNT('Шаг2.Бланк заказа NEW'!$B$19:$B$201),CHOOSE({1,2},'Бланк OLD 0.8 04'!$B$18:$B$200,'Бланк OLD 0.8 04'!$A$18:$A$200),2,0)),
VLOOKUP(A71+1-COUNT('Шаг2.Бланк заказа NEW'!$B$19:$B$201)-COUNT('Бланк OLD 0.8 04'!$B$18:$B$200),CHOOSE({1,2},'Бланк OLD 2.0 04 '!$B$18:$B$200,'Бланк OLD 2.0 04 '!$A$18:$A$200),2,0)),"")</f>
        <v/>
      </c>
      <c r="D72" s="150" t="str">
        <f ca="1">IFERROR(VLOOKUP(C72,'Шаг1.Выбор плиты'!C:G,5,0),"")</f>
        <v/>
      </c>
      <c r="E72" s="147" t="str">
        <f ca="1">IFERROR(IFERROR(IF(VLOOKUP($A72,'Шаг2.Бланк заказа NEW'!$B$17:$N$201,2,0)="","",VLOOKUP($A72,'Шаг2.Бланк заказа NEW'!$B$17:$N$201,2,0)),
IF(VLOOKUP($A72-COUNT('Шаг2.Бланк заказа NEW'!$B$19:$B$201),'Бланк OLD 0.8 04'!$B$12:$K$200,2,0)="","",VLOOKUP($A72-COUNT('Шаг2.Бланк заказа NEW'!$B$19:$B$201),'Бланк OLD 0.8 04'!$B$12:$K$200,2,0))),
IF(VLOOKUP($A72-COUNT('Шаг2.Бланк заказа NEW'!$B$19:$B$201)-COUNT('Бланк OLD 0.8 04'!$B$18:$B$200),'Бланк OLD 2.0 04 '!$B$16:$K$200,2,0)="","",VLOOKUP($A72-COUNT('Шаг2.Бланк заказа NEW'!$B$19:$B$201)-COUNT('Бланк OLD 0.8 04'!$B$18:$B$200),'Бланк OLD 2.0 04 '!$B$16:$K$200,2,0)))</f>
        <v/>
      </c>
      <c r="F72" s="147" t="str">
        <f ca="1">IFERROR(IFERROR(IF(VLOOKUP($A72,'Шаг2.Бланк заказа NEW'!$B$17:$N$201,3,0)="","",VLOOKUP($A72,'Шаг2.Бланк заказа NEW'!$B$17:$N$201,3,0)),
IF(VLOOKUP($A72-COUNT('Шаг2.Бланк заказа NEW'!$B$19:$B$201),'Бланк OLD 0.8 04'!$B$12:$K$200,3,0)="","",VLOOKUP($A72-COUNT('Шаг2.Бланк заказа NEW'!$B$19:$B$201),'Бланк OLD 0.8 04'!$B$12:$K$200,3,0))),
IF(VLOOKUP($A72-COUNT('Шаг2.Бланк заказа NEW'!$B$19:$B$201)-COUNT('Бланк OLD 0.8 04'!$B$18:$B$200),'Бланк OLD 2.0 04 '!$B$16:$K$200,3,0)="","",VLOOKUP($A72-COUNT('Шаг2.Бланк заказа NEW'!$B$19:$B$201)-COUNT('Бланк OLD 0.8 04'!$B$18:$B$200),'Бланк OLD 2.0 04 '!$B$16:$K$200,3,0)))</f>
        <v/>
      </c>
      <c r="G72" s="176" t="str">
        <f ca="1">IF(IF(R72="","",IF(R72=1,SUMIFS('Шаг1.Выбор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плиты'!C:Q,12,0)),1))))))=0,
R72,
IF(R72="","",IF(R72=1,SUMIFS('Шаг1.Выбор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плиты'!N:N,R72,'Шаг1.Выбор плиты'!M:M,SMALL(INDIRECT("мм"&amp;VLOOKUP(C72,'Шаг1.Выбор плиты'!C:Q,12,0)),1)))))))</f>
        <v/>
      </c>
      <c r="H72" s="177" t="str">
        <f ca="1">IF(IF(S72="","",IF(S72=1,SUMIFS('Шаг1.Выбор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плиты'!C:Q,12,0)),1))))))=0,
S72,
IF(S72="","",IF(S72=1,SUMIFS('Шаг1.Выбор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плиты'!N:N,S72,'Шаг1.Выбор плиты'!M:M,SMALL(INDIRECT("мм"&amp;VLOOKUP(C72,'Шаг1.Выбор плиты'!C:Q,12,0)),1)))))))</f>
        <v/>
      </c>
      <c r="I72" s="147" t="str">
        <f ca="1">IFERROR(IFERROR(IF(VLOOKUP($A72,'Шаг2.Бланк заказа NEW'!$B$17:$N$201,6,0)="","",VLOOKUP($A72,'Шаг2.Бланк заказа NEW'!$B$17:$N$201,6,0)),
IF(VLOOKUP($A72-COUNT('Шаг2.Бланк заказа NEW'!$B$19:$B$201),'Бланк OLD 0.8 04'!$B$12:$K$200,6,0)="","",VLOOKUP($A72-COUNT('Шаг2.Бланк заказа NEW'!$B$19:$B$201),'Бланк OLD 0.8 04'!$B$12:$K$200,6,0))),
IF(VLOOKUP($A72-COUNT('Шаг2.Бланк заказа NEW'!$B$19:$B$201)-COUNT('Бланк OLD 0.8 04'!$B$18:$B$200),'Бланк OLD 2.0 04 '!$B$16:$K$200,6,0)="","",VLOOKUP($A72-COUNT('Шаг2.Бланк заказа NEW'!$B$19:$B$201)-COUNT('Бланк OLD 0.8 04'!$B$18:$B$200),'Бланк OLD 2.0 04 '!$B$16:$K$200,6,0)))</f>
        <v/>
      </c>
      <c r="J72" s="177" t="str">
        <f ca="1">IF(IF(T72="","",IF(T72=1,SUMIFS('Шаг1.Выбор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плиты'!C:Q,12,0)),1))))))=0,
T72,
IF(T72="","",IF(T72=1,SUMIFS('Шаг1.Выбор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плиты'!N:N,T72,'Шаг1.Выбор плиты'!M:M,SMALL(INDIRECT("мм"&amp;VLOOKUP(C72,'Шаг1.Выбор плиты'!C:Q,12,0)),1)))))))</f>
        <v/>
      </c>
      <c r="K72" s="177" t="str">
        <f ca="1">IF(IF(U72="","",IF(U72=1,SUMIFS('Шаг1.Выбор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плиты'!C:Q,12,0)),1))))))=0,
U72,
IF(U72="","",IF(U72=1,SUMIFS('Шаг1.Выбор плиты'!$G:$G,'Шаг1.Выбор плиты'!J:J,"*"&amp;RIGHT(VLOOKUP(C72,'Шаг1.Выбор плиты'!C:Q,8,0),4),'Шаг1.Выбор плиты'!L:L,IF(MID(C72,1,6)="ЛДСП P","TM"&amp;MID(VLOOKUP(C72,'Шаг1.Выбор плиты'!C:Q,10,0),3,2),MID(VLOOKUP(C72,'Шаг1.Выбор плиты'!C:Q,10,0),1,2)),
'Шаг1.Выбор плиты'!N:N,1),IF(SUMIFS('Шаг1.Выбор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плиты'!C:Q,12,0)),1))=0,
IF(SUMIFS('Шаг1.Выбор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плиты'!C:Q,12,0)),2))=0,
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плиты'!C:Q,12,0)),3)),
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плиты'!C:Q,12,0)),2))),
(SUMIFS('Шаг1.Выбор плиты'!$G:$G,'Шаг1.Выбор плиты'!J:J,"*"&amp;RIGHT(VLOOKUP(C72,'Шаг1.Выбор плиты'!C:Q,8,0),4),'Шаг1.Выбор плиты'!L:L,VLOOKUP(C72,'Шаг1.Выбор плиты'!C:Q,10,0),'Шаг1.Выбор плиты'!N:N,U72,'Шаг1.Выбор плиты'!M:M,SMALL(INDIRECT("мм"&amp;VLOOKUP(C72,'Шаг1.Выбор плиты'!C:Q,12,0)),1)))))))</f>
        <v/>
      </c>
      <c r="L72" s="147" t="str">
        <f ca="1">IFERROR(IFERROR(IF(VLOOKUP($A72,'Шаг2.Бланк заказа NEW'!$B$17:$N$201,9,0)="","",VLOOKUP($A72,'Шаг2.Бланк заказа NEW'!$B$17:$N$201,9,0)),
IF(VLOOKUP($A72-COUNT('Шаг2.Бланк заказа NEW'!$B$19:$B$201),'Бланк OLD 0.8 04'!$B$12:$K$200,9,0)="","",VLOOKUP($A72-COUNT('Шаг2.Бланк заказа NEW'!$B$19:$B$201),'Бланк OLD 0.8 04'!$B$12:$K$200,9,0))),
IF(VLOOKUP($A72-COUNT('Шаг2.Бланк заказа NEW'!$B$19:$B$201)-COUNT('Бланк OLD 0.8 04'!$B$18:$B$200),'Бланк OLD 2.0 04 '!$B$16:$K$200,9,0)="","",VLOOKUP($A72-COUNT('Шаг2.Бланк заказа NEW'!$B$19:$B$201)-COUNT('Бланк OLD 0.8 04'!$B$18:$B$200),'Бланк OLD 2.0 04 '!$B$16:$K$200,9,0)))</f>
        <v/>
      </c>
      <c r="M72" s="154" t="str">
        <f t="shared" ca="1" si="5"/>
        <v/>
      </c>
      <c r="N72" s="153" t="str">
        <f ca="1">IFERROR(IF(VLOOKUP($A72,'Шаг2.Бланк заказа NEW'!$B$17:$N$201,11,0)="","",VLOOKUP($A72,'Шаг2.Бланк заказа NEW'!$B$17:$N$201,11,0)),
"Нет")</f>
        <v/>
      </c>
      <c r="O72" s="147" t="str">
        <f ca="1">IFERROR(IF(VLOOKUP($A72,'Шаг2.Бланк заказа NEW'!$B$17:$N$201,11,0)="","",VLOOKUP($A72,'Шаг2.Бланк заказа NEW'!$B$17:$N$201,12,0)),
"Нет")</f>
        <v/>
      </c>
      <c r="P72" s="153" t="str">
        <f ca="1">IFERROR(IF(VLOOKUP($A72,'Шаг2.Бланк заказа NEW'!$B$17:$N$201,13,0)="","",VLOOKUP($A72,'Шаг2.Бланк заказа NEW'!$B$17:$N$201,13,0)),
"Нет")</f>
        <v/>
      </c>
      <c r="Q72" s="147" t="str">
        <f ca="1">IFERROR(IF(VLOOKUP($A72,'Шаг2.Бланк заказа NEW'!$B$17:$O$201,14,0)="","",VLOOKUP($A72,'Шаг2.Бланк заказа NEW'!$B$17:$O$201,14,0)),"")</f>
        <v/>
      </c>
      <c r="R72" s="147" t="str">
        <f ca="1">IFERROR(IFERROR(IF(VLOOKUP($A72,'Шаг2.Бланк заказа NEW'!$B$17:$N$201,4,0)="","",VLOOKUP($A72,'Шаг2.Бланк заказа NEW'!$B$17:$N$201,4,0)),
IF(VLOOKUP($A72-COUNT('Шаг2.Бланк заказа NEW'!$B$19:$B$201),'Бланк OLD 0.8 04'!$B$12:$K$200,4,0)&gt;0,0.8,
IF(VLOOKUP($A72-COUNT('Шаг2.Бланк заказа NEW'!$B$19:$B$201),'Бланк OLD 0.8 04'!$B$12:$K$200,5,0)&gt;0,0.4,""))),
IF(VLOOKUP($A72-COUNT('Шаг2.Бланк заказа NEW'!$B$19:$B$201)-COUNT('Бланк OLD 0.8 04'!$B$18:$B$200),'Бланк OLD 2.0 04 '!$B$16:$K$200,4,0)&gt;0,2,IF(VLOOKUP($A72-COUNT('Шаг2.Бланк заказа NEW'!$B$19:$B$201)-COUNT('Бланк OLD 0.8 04'!$B$18:$B$200),'Бланк OLD 2.0 04 '!$B$16:$K$200,5,0)&gt;0,0.4,"")))</f>
        <v/>
      </c>
      <c r="S72" s="147" t="str">
        <f ca="1">IFERROR(IFERROR(IF(VLOOKUP($A72,'Шаг2.Бланк заказа NEW'!$B$17:$N$201,5,0)="","",VLOOKUP($A72,'Шаг2.Бланк заказа NEW'!$B$17:$N$201,5,0)),
IF(VLOOKUP($A72-COUNT('Шаг2.Бланк заказа NEW'!$B$19:$B$201),'Бланк OLD 0.8 04'!$B$12:$K$200,4,0)&gt;1,0.8,
IF(VLOOKUP($A72-COUNT('Шаг2.Бланк заказа NEW'!$B$19:$B$201),'Бланк OLD 0.8 04'!$B$12:$K$200,5,0)&gt;1,0.4,
IF(AND(VLOOKUP($A72-COUNT('Шаг2.Бланк заказа NEW'!$B$19:$B$201),'Бланк OLD 0.8 04'!$B$12:$K$200,4,0)&gt;0,VLOOKUP($A72-COUNT('Шаг2.Бланк заказа NEW'!$B$19:$B$201),'Бланк OLD 0.8 04'!$B$12:$K$200,5,0)&gt;0),0.4,"")))),
IF(VLOOKUP($A72-COUNT('Шаг2.Бланк заказа NEW'!$B$19:$B$201)-COUNT('Бланк OLD 0.8 04'!$B$18:$B$200),'Бланк OLD 2.0 04 '!$B$16:$K$200,4,0)&gt;1,2,
IF(VLOOKUP($A72-COUNT('Шаг2.Бланк заказа NEW'!$B$19:$B$201)-COUNT('Бланк OLD 0.8 04'!$B$18:$B$200),'Бланк OLD 2.0 04 '!$B$16:$K$200,5,0)&gt;1,0.4,IF(AND(VLOOKUP($A72-COUNT('Шаг2.Бланк заказа NEW'!$B$19:$B$201)-COUNT('Бланк OLD 0.8 04'!$B$18:$B$200),'Бланк OLD 2.0 04 '!$B$16:$K$200,4,0)&gt;0,VLOOKUP($A72-COUNT('Шаг2.Бланк заказа NEW'!$B$19:$B$201)-COUNT('Бланк OLD 0.8 04'!$B$18:$B$200),'Бланк OLD 2.0 04 '!$B$16:$K$200,5,0)&gt;0),0.4,""))))</f>
        <v/>
      </c>
      <c r="T72" s="147" t="str">
        <f ca="1">IFERROR(IFERROR(IF(VLOOKUP($A72,'Шаг2.Бланк заказа NEW'!$B$17:$N$201,7,0)="","",VLOOKUP($A72,'Шаг2.Бланк заказа NEW'!$B$17:$N$201,7,0)),
IF(VLOOKUP($A72-COUNT('Шаг2.Бланк заказа NEW'!$B$19:$B$201),'Бланк OLD 0.8 04'!$B$12:$K$200,7,0)&gt;0,0.8,
IF(VLOOKUP($A72-COUNT('Шаг2.Бланк заказа NEW'!$B$19:$B$201),'Бланк OLD 0.8 04'!$B$12:$K$200,8,0)&gt;0,0.4,""))),
IF(VLOOKUP($A72-COUNT('Шаг2.Бланк заказа NEW'!$B$19:$B$201)-COUNT('Бланк OLD 0.8 04'!$B$18:$B$200),'Бланк OLD 2.0 04 '!$B$16:$K$200,7,0)&gt;0,2,IF(VLOOKUP($A72-COUNT('Шаг2.Бланк заказа NEW'!$B$19:$B$201)-COUNT('Бланк OLD 0.8 04'!$B$18:$B$200),'Бланк OLD 2.0 04 '!$B$16:$K$200,8,0)&gt;0,0.4,"")))</f>
        <v/>
      </c>
      <c r="U72" s="147" t="str">
        <f ca="1">IFERROR(IFERROR(IF(VLOOKUP($A72,'Шаг2.Бланк заказа NEW'!$B$17:$N$201,8,0)="","",VLOOKUP($A72,'Шаг2.Бланк заказа NEW'!$B$17:$N$201,8,0)),
IF(VLOOKUP($A72-COUNT('Шаг2.Бланк заказа NEW'!$B$19:$B$201),'Бланк OLD 0.8 04'!$B$12:$K$200,7,0)&gt;1,0.8,
IF(VLOOKUP($A72-COUNT('Шаг2.Бланк заказа NEW'!$B$19:$B$201),'Бланк OLD 0.8 04'!$B$12:$K$200,8,0)&gt;1,0.4,
IF(AND(VLOOKUP($A72-COUNT('Шаг2.Бланк заказа NEW'!$B$19:$B$201),'Бланк OLD 0.8 04'!$B$12:$K$200,7,0)&gt;0,VLOOKUP($A72-COUNT('Шаг2.Бланк заказа NEW'!$B$19:$B$201),'Бланк OLD 0.8 04'!$B$12:$K$200,8,0)&gt;0),0.4,"")))),
IF(VLOOKUP($A72-COUNT('Шаг2.Бланк заказа NEW'!$B$19:$B$201)-COUNT('Бланк OLD 0.8 04'!$B$18:$B$200),'Бланк OLD 2.0 04 '!$B$16:$K$200,7,0)&gt;1,2,
IF(VLOOKUP($A72-COUNT('Шаг2.Бланк заказа NEW'!$B$19:$B$201)-COUNT('Бланк OLD 0.8 04'!$B$18:$B$200),'Бланк OLD 2.0 04 '!$B$16:$K$200,8,0)&gt;1,0.4,
IF(AND(VLOOKUP($A72-COUNT('Шаг2.Бланк заказа NEW'!$B$19:$B$201)-COUNT('Бланк OLD 0.8 04'!$B$18:$B$200),'Бланк OLD 2.0 04 '!$B$16:$K$200,7,0)&gt;0,VLOOKUP($A72-COUNT('Шаг2.Бланк заказа NEW'!$B$19:$B$201)-COUNT('Бланк OLD 0.8 04'!$B$18:$B$200),'Бланк OLD 2.0 04 '!$B$16:$K$200,8,0)&gt;0),0.4,""))))</f>
        <v/>
      </c>
      <c r="V72" s="146" t="str">
        <f ca="1">IFERROR(VLOOKUP(C72,'Шаг1.Выбор плиты'!C:S,12,0),"")</f>
        <v/>
      </c>
      <c r="W72" s="146" t="str">
        <f ca="1">IFERROR(VLOOKUP(C72,'Шаг1.Выбор плиты'!C:S,8,0),"")</f>
        <v/>
      </c>
      <c r="X72" s="146" t="str">
        <f ca="1">IFERROR(VLOOKUP(C72,'Шаг1.Выбор плиты'!C:S,10,0),"")</f>
        <v/>
      </c>
      <c r="Y72" s="147" t="str">
        <f t="shared" ca="1" si="8"/>
        <v/>
      </c>
      <c r="AD72" s="147" t="str">
        <f t="shared" ca="1" si="6"/>
        <v/>
      </c>
      <c r="AE72" s="147" t="str">
        <f t="shared" ca="1" si="9"/>
        <v/>
      </c>
      <c r="AF72" s="25"/>
      <c r="AH72" s="147" t="str">
        <f ca="1">IF(C72="","",VLOOKUP(C72,'Шаг1.Выбор плиты'!C:Q,7,0))</f>
        <v/>
      </c>
      <c r="AI72" s="147" t="str">
        <f t="shared" ca="1" si="7"/>
        <v/>
      </c>
    </row>
    <row r="73" spans="1:35" x14ac:dyDescent="0.2">
      <c r="A73" s="151" t="str">
        <f ca="1">IF(C73="","",MAX($A$1:OFFSET(C73,-1,0))+1)</f>
        <v/>
      </c>
      <c r="B73" s="151" t="str">
        <f ca="1">IFERROR(IFERROR(IFERROR("Шаг2.Бланк заказа NEW №"&amp;VLOOKUP(A72+1,CHOOSE({1,2},'Шаг2.Бланк заказа NEW'!$B$19:$B$201,'Шаг2.Бланк заказа NEW'!$A$19:$A$201),1,0),
"Бланк OLD 0.8 04 №"&amp;VLOOKUP(A72+1-COUNT('Шаг2.Бланк заказа NEW'!$B$19:$B$201),CHOOSE({1,2},'Бланк OLD 0.8 04'!$B$18:$B$200,'Бланк OLD 0.8 04'!$A$18:$A$200),1,0)),
"Бланк OLD 2.0 04 №"&amp;VLOOKUP(A72+1-COUNT('Шаг2.Бланк заказа NEW'!$B$19:$B$201)-COUNT('Бланк OLD 0.8 04'!$B$18:$B$200),CHOOSE({1,2},'Бланк OLD 2.0 04 '!$B$18:$B$200,'Бланк OLD 2.0 04 '!$A$18:$A$200),1,0)),"")</f>
        <v/>
      </c>
      <c r="C73" s="152" t="str">
        <f ca="1">IFERROR(IFERROR(IFERROR(VLOOKUP(A72+1,CHOOSE({1,2},'Шаг2.Бланк заказа NEW'!$B$19:$B$201,'Шаг2.Бланк заказа NEW'!$A$19:$A$201),2,0),
VLOOKUP(A72+1-COUNT('Шаг2.Бланк заказа NEW'!$B$19:$B$201),CHOOSE({1,2},'Бланк OLD 0.8 04'!$B$18:$B$200,'Бланк OLD 0.8 04'!$A$18:$A$200),2,0)),
VLOOKUP(A72+1-COUNT('Шаг2.Бланк заказа NEW'!$B$19:$B$201)-COUNT('Бланк OLD 0.8 04'!$B$18:$B$200),CHOOSE({1,2},'Бланк OLD 2.0 04 '!$B$18:$B$200,'Бланк OLD 2.0 04 '!$A$18:$A$200),2,0)),"")</f>
        <v/>
      </c>
      <c r="D73" s="150" t="str">
        <f ca="1">IFERROR(VLOOKUP(C73,'Шаг1.Выбор плиты'!C:G,5,0),"")</f>
        <v/>
      </c>
      <c r="E73" s="147" t="str">
        <f ca="1">IFERROR(IFERROR(IF(VLOOKUP($A73,'Шаг2.Бланк заказа NEW'!$B$17:$N$201,2,0)="","",VLOOKUP($A73,'Шаг2.Бланк заказа NEW'!$B$17:$N$201,2,0)),
IF(VLOOKUP($A73-COUNT('Шаг2.Бланк заказа NEW'!$B$19:$B$201),'Бланк OLD 0.8 04'!$B$12:$K$200,2,0)="","",VLOOKUP($A73-COUNT('Шаг2.Бланк заказа NEW'!$B$19:$B$201),'Бланк OLD 0.8 04'!$B$12:$K$200,2,0))),
IF(VLOOKUP($A73-COUNT('Шаг2.Бланк заказа NEW'!$B$19:$B$201)-COUNT('Бланк OLD 0.8 04'!$B$18:$B$200),'Бланк OLD 2.0 04 '!$B$16:$K$200,2,0)="","",VLOOKUP($A73-COUNT('Шаг2.Бланк заказа NEW'!$B$19:$B$201)-COUNT('Бланк OLD 0.8 04'!$B$18:$B$200),'Бланк OLD 2.0 04 '!$B$16:$K$200,2,0)))</f>
        <v/>
      </c>
      <c r="F73" s="147" t="str">
        <f ca="1">IFERROR(IFERROR(IF(VLOOKUP($A73,'Шаг2.Бланк заказа NEW'!$B$17:$N$201,3,0)="","",VLOOKUP($A73,'Шаг2.Бланк заказа NEW'!$B$17:$N$201,3,0)),
IF(VLOOKUP($A73-COUNT('Шаг2.Бланк заказа NEW'!$B$19:$B$201),'Бланк OLD 0.8 04'!$B$12:$K$200,3,0)="","",VLOOKUP($A73-COUNT('Шаг2.Бланк заказа NEW'!$B$19:$B$201),'Бланк OLD 0.8 04'!$B$12:$K$200,3,0))),
IF(VLOOKUP($A73-COUNT('Шаг2.Бланк заказа NEW'!$B$19:$B$201)-COUNT('Бланк OLD 0.8 04'!$B$18:$B$200),'Бланк OLD 2.0 04 '!$B$16:$K$200,3,0)="","",VLOOKUP($A73-COUNT('Шаг2.Бланк заказа NEW'!$B$19:$B$201)-COUNT('Бланк OLD 0.8 04'!$B$18:$B$200),'Бланк OLD 2.0 04 '!$B$16:$K$200,3,0)))</f>
        <v/>
      </c>
      <c r="G73" s="176" t="str">
        <f ca="1">IF(IF(R73="","",IF(R73=1,SUMIFS('Шаг1.Выбор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плиты'!C:Q,12,0)),1))))))=0,
R73,
IF(R73="","",IF(R73=1,SUMIFS('Шаг1.Выбор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плиты'!N:N,R73,'Шаг1.Выбор плиты'!M:M,SMALL(INDIRECT("мм"&amp;VLOOKUP(C73,'Шаг1.Выбор плиты'!C:Q,12,0)),1)))))))</f>
        <v/>
      </c>
      <c r="H73" s="177" t="str">
        <f ca="1">IF(IF(S73="","",IF(S73=1,SUMIFS('Шаг1.Выбор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плиты'!C:Q,12,0)),1))))))=0,
S73,
IF(S73="","",IF(S73=1,SUMIFS('Шаг1.Выбор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плиты'!N:N,S73,'Шаг1.Выбор плиты'!M:M,SMALL(INDIRECT("мм"&amp;VLOOKUP(C73,'Шаг1.Выбор плиты'!C:Q,12,0)),1)))))))</f>
        <v/>
      </c>
      <c r="I73" s="147" t="str">
        <f ca="1">IFERROR(IFERROR(IF(VLOOKUP($A73,'Шаг2.Бланк заказа NEW'!$B$17:$N$201,6,0)="","",VLOOKUP($A73,'Шаг2.Бланк заказа NEW'!$B$17:$N$201,6,0)),
IF(VLOOKUP($A73-COUNT('Шаг2.Бланк заказа NEW'!$B$19:$B$201),'Бланк OLD 0.8 04'!$B$12:$K$200,6,0)="","",VLOOKUP($A73-COUNT('Шаг2.Бланк заказа NEW'!$B$19:$B$201),'Бланк OLD 0.8 04'!$B$12:$K$200,6,0))),
IF(VLOOKUP($A73-COUNT('Шаг2.Бланк заказа NEW'!$B$19:$B$201)-COUNT('Бланк OLD 0.8 04'!$B$18:$B$200),'Бланк OLD 2.0 04 '!$B$16:$K$200,6,0)="","",VLOOKUP($A73-COUNT('Шаг2.Бланк заказа NEW'!$B$19:$B$201)-COUNT('Бланк OLD 0.8 04'!$B$18:$B$200),'Бланк OLD 2.0 04 '!$B$16:$K$200,6,0)))</f>
        <v/>
      </c>
      <c r="J73" s="177" t="str">
        <f ca="1">IF(IF(T73="","",IF(T73=1,SUMIFS('Шаг1.Выбор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плиты'!C:Q,12,0)),1))))))=0,
T73,
IF(T73="","",IF(T73=1,SUMIFS('Шаг1.Выбор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плиты'!N:N,T73,'Шаг1.Выбор плиты'!M:M,SMALL(INDIRECT("мм"&amp;VLOOKUP(C73,'Шаг1.Выбор плиты'!C:Q,12,0)),1)))))))</f>
        <v/>
      </c>
      <c r="K73" s="177" t="str">
        <f ca="1">IF(IF(U73="","",IF(U73=1,SUMIFS('Шаг1.Выбор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плиты'!C:Q,12,0)),1))))))=0,
U73,
IF(U73="","",IF(U73=1,SUMIFS('Шаг1.Выбор плиты'!$G:$G,'Шаг1.Выбор плиты'!J:J,"*"&amp;RIGHT(VLOOKUP(C73,'Шаг1.Выбор плиты'!C:Q,8,0),4),'Шаг1.Выбор плиты'!L:L,IF(MID(C73,1,6)="ЛДСП P","TM"&amp;MID(VLOOKUP(C73,'Шаг1.Выбор плиты'!C:Q,10,0),3,2),MID(VLOOKUP(C73,'Шаг1.Выбор плиты'!C:Q,10,0),1,2)),
'Шаг1.Выбор плиты'!N:N,1),IF(SUMIFS('Шаг1.Выбор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плиты'!C:Q,12,0)),1))=0,
IF(SUMIFS('Шаг1.Выбор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плиты'!C:Q,12,0)),2))=0,
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плиты'!C:Q,12,0)),3)),
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плиты'!C:Q,12,0)),2))),
(SUMIFS('Шаг1.Выбор плиты'!$G:$G,'Шаг1.Выбор плиты'!J:J,"*"&amp;RIGHT(VLOOKUP(C73,'Шаг1.Выбор плиты'!C:Q,8,0),4),'Шаг1.Выбор плиты'!L:L,VLOOKUP(C73,'Шаг1.Выбор плиты'!C:Q,10,0),'Шаг1.Выбор плиты'!N:N,U73,'Шаг1.Выбор плиты'!M:M,SMALL(INDIRECT("мм"&amp;VLOOKUP(C73,'Шаг1.Выбор плиты'!C:Q,12,0)),1)))))))</f>
        <v/>
      </c>
      <c r="L73" s="147" t="str">
        <f ca="1">IFERROR(IFERROR(IF(VLOOKUP($A73,'Шаг2.Бланк заказа NEW'!$B$17:$N$201,9,0)="","",VLOOKUP($A73,'Шаг2.Бланк заказа NEW'!$B$17:$N$201,9,0)),
IF(VLOOKUP($A73-COUNT('Шаг2.Бланк заказа NEW'!$B$19:$B$201),'Бланк OLD 0.8 04'!$B$12:$K$200,9,0)="","",VLOOKUP($A73-COUNT('Шаг2.Бланк заказа NEW'!$B$19:$B$201),'Бланк OLD 0.8 04'!$B$12:$K$200,9,0))),
IF(VLOOKUP($A73-COUNT('Шаг2.Бланк заказа NEW'!$B$19:$B$201)-COUNT('Бланк OLD 0.8 04'!$B$18:$B$200),'Бланк OLD 2.0 04 '!$B$16:$K$200,9,0)="","",VLOOKUP($A73-COUNT('Шаг2.Бланк заказа NEW'!$B$19:$B$201)-COUNT('Бланк OLD 0.8 04'!$B$18:$B$200),'Бланк OLD 2.0 04 '!$B$16:$K$200,9,0)))</f>
        <v/>
      </c>
      <c r="M73" s="154" t="str">
        <f t="shared" ca="1" si="5"/>
        <v/>
      </c>
      <c r="N73" s="153" t="str">
        <f ca="1">IFERROR(IF(VLOOKUP($A73,'Шаг2.Бланк заказа NEW'!$B$17:$N$201,11,0)="","",VLOOKUP($A73,'Шаг2.Бланк заказа NEW'!$B$17:$N$201,11,0)),
"Нет")</f>
        <v/>
      </c>
      <c r="O73" s="147" t="str">
        <f ca="1">IFERROR(IF(VLOOKUP($A73,'Шаг2.Бланк заказа NEW'!$B$17:$N$201,11,0)="","",VLOOKUP($A73,'Шаг2.Бланк заказа NEW'!$B$17:$N$201,12,0)),
"Нет")</f>
        <v/>
      </c>
      <c r="P73" s="153" t="str">
        <f ca="1">IFERROR(IF(VLOOKUP($A73,'Шаг2.Бланк заказа NEW'!$B$17:$N$201,13,0)="","",VLOOKUP($A73,'Шаг2.Бланк заказа NEW'!$B$17:$N$201,13,0)),
"Нет")</f>
        <v/>
      </c>
      <c r="Q73" s="147" t="str">
        <f ca="1">IFERROR(IF(VLOOKUP($A73,'Шаг2.Бланк заказа NEW'!$B$17:$O$201,14,0)="","",VLOOKUP($A73,'Шаг2.Бланк заказа NEW'!$B$17:$O$201,14,0)),"")</f>
        <v/>
      </c>
      <c r="R73" s="147" t="str">
        <f ca="1">IFERROR(IFERROR(IF(VLOOKUP($A73,'Шаг2.Бланк заказа NEW'!$B$17:$N$201,4,0)="","",VLOOKUP($A73,'Шаг2.Бланк заказа NEW'!$B$17:$N$201,4,0)),
IF(VLOOKUP($A73-COUNT('Шаг2.Бланк заказа NEW'!$B$19:$B$201),'Бланк OLD 0.8 04'!$B$12:$K$200,4,0)&gt;0,0.8,
IF(VLOOKUP($A73-COUNT('Шаг2.Бланк заказа NEW'!$B$19:$B$201),'Бланк OLD 0.8 04'!$B$12:$K$200,5,0)&gt;0,0.4,""))),
IF(VLOOKUP($A73-COUNT('Шаг2.Бланк заказа NEW'!$B$19:$B$201)-COUNT('Бланк OLD 0.8 04'!$B$18:$B$200),'Бланк OLD 2.0 04 '!$B$16:$K$200,4,0)&gt;0,2,IF(VLOOKUP($A73-COUNT('Шаг2.Бланк заказа NEW'!$B$19:$B$201)-COUNT('Бланк OLD 0.8 04'!$B$18:$B$200),'Бланк OLD 2.0 04 '!$B$16:$K$200,5,0)&gt;0,0.4,"")))</f>
        <v/>
      </c>
      <c r="S73" s="147" t="str">
        <f ca="1">IFERROR(IFERROR(IF(VLOOKUP($A73,'Шаг2.Бланк заказа NEW'!$B$17:$N$201,5,0)="","",VLOOKUP($A73,'Шаг2.Бланк заказа NEW'!$B$17:$N$201,5,0)),
IF(VLOOKUP($A73-COUNT('Шаг2.Бланк заказа NEW'!$B$19:$B$201),'Бланк OLD 0.8 04'!$B$12:$K$200,4,0)&gt;1,0.8,
IF(VLOOKUP($A73-COUNT('Шаг2.Бланк заказа NEW'!$B$19:$B$201),'Бланк OLD 0.8 04'!$B$12:$K$200,5,0)&gt;1,0.4,
IF(AND(VLOOKUP($A73-COUNT('Шаг2.Бланк заказа NEW'!$B$19:$B$201),'Бланк OLD 0.8 04'!$B$12:$K$200,4,0)&gt;0,VLOOKUP($A73-COUNT('Шаг2.Бланк заказа NEW'!$B$19:$B$201),'Бланк OLD 0.8 04'!$B$12:$K$200,5,0)&gt;0),0.4,"")))),
IF(VLOOKUP($A73-COUNT('Шаг2.Бланк заказа NEW'!$B$19:$B$201)-COUNT('Бланк OLD 0.8 04'!$B$18:$B$200),'Бланк OLD 2.0 04 '!$B$16:$K$200,4,0)&gt;1,2,
IF(VLOOKUP($A73-COUNT('Шаг2.Бланк заказа NEW'!$B$19:$B$201)-COUNT('Бланк OLD 0.8 04'!$B$18:$B$200),'Бланк OLD 2.0 04 '!$B$16:$K$200,5,0)&gt;1,0.4,IF(AND(VLOOKUP($A73-COUNT('Шаг2.Бланк заказа NEW'!$B$19:$B$201)-COUNT('Бланк OLD 0.8 04'!$B$18:$B$200),'Бланк OLD 2.0 04 '!$B$16:$K$200,4,0)&gt;0,VLOOKUP($A73-COUNT('Шаг2.Бланк заказа NEW'!$B$19:$B$201)-COUNT('Бланк OLD 0.8 04'!$B$18:$B$200),'Бланк OLD 2.0 04 '!$B$16:$K$200,5,0)&gt;0),0.4,""))))</f>
        <v/>
      </c>
      <c r="T73" s="147" t="str">
        <f ca="1">IFERROR(IFERROR(IF(VLOOKUP($A73,'Шаг2.Бланк заказа NEW'!$B$17:$N$201,7,0)="","",VLOOKUP($A73,'Шаг2.Бланк заказа NEW'!$B$17:$N$201,7,0)),
IF(VLOOKUP($A73-COUNT('Шаг2.Бланк заказа NEW'!$B$19:$B$201),'Бланк OLD 0.8 04'!$B$12:$K$200,7,0)&gt;0,0.8,
IF(VLOOKUP($A73-COUNT('Шаг2.Бланк заказа NEW'!$B$19:$B$201),'Бланк OLD 0.8 04'!$B$12:$K$200,8,0)&gt;0,0.4,""))),
IF(VLOOKUP($A73-COUNT('Шаг2.Бланк заказа NEW'!$B$19:$B$201)-COUNT('Бланк OLD 0.8 04'!$B$18:$B$200),'Бланк OLD 2.0 04 '!$B$16:$K$200,7,0)&gt;0,2,IF(VLOOKUP($A73-COUNT('Шаг2.Бланк заказа NEW'!$B$19:$B$201)-COUNT('Бланк OLD 0.8 04'!$B$18:$B$200),'Бланк OLD 2.0 04 '!$B$16:$K$200,8,0)&gt;0,0.4,"")))</f>
        <v/>
      </c>
      <c r="U73" s="147" t="str">
        <f ca="1">IFERROR(IFERROR(IF(VLOOKUP($A73,'Шаг2.Бланк заказа NEW'!$B$17:$N$201,8,0)="","",VLOOKUP($A73,'Шаг2.Бланк заказа NEW'!$B$17:$N$201,8,0)),
IF(VLOOKUP($A73-COUNT('Шаг2.Бланк заказа NEW'!$B$19:$B$201),'Бланк OLD 0.8 04'!$B$12:$K$200,7,0)&gt;1,0.8,
IF(VLOOKUP($A73-COUNT('Шаг2.Бланк заказа NEW'!$B$19:$B$201),'Бланк OLD 0.8 04'!$B$12:$K$200,8,0)&gt;1,0.4,
IF(AND(VLOOKUP($A73-COUNT('Шаг2.Бланк заказа NEW'!$B$19:$B$201),'Бланк OLD 0.8 04'!$B$12:$K$200,7,0)&gt;0,VLOOKUP($A73-COUNT('Шаг2.Бланк заказа NEW'!$B$19:$B$201),'Бланк OLD 0.8 04'!$B$12:$K$200,8,0)&gt;0),0.4,"")))),
IF(VLOOKUP($A73-COUNT('Шаг2.Бланк заказа NEW'!$B$19:$B$201)-COUNT('Бланк OLD 0.8 04'!$B$18:$B$200),'Бланк OLD 2.0 04 '!$B$16:$K$200,7,0)&gt;1,2,
IF(VLOOKUP($A73-COUNT('Шаг2.Бланк заказа NEW'!$B$19:$B$201)-COUNT('Бланк OLD 0.8 04'!$B$18:$B$200),'Бланк OLD 2.0 04 '!$B$16:$K$200,8,0)&gt;1,0.4,
IF(AND(VLOOKUP($A73-COUNT('Шаг2.Бланк заказа NEW'!$B$19:$B$201)-COUNT('Бланк OLD 0.8 04'!$B$18:$B$200),'Бланк OLD 2.0 04 '!$B$16:$K$200,7,0)&gt;0,VLOOKUP($A73-COUNT('Шаг2.Бланк заказа NEW'!$B$19:$B$201)-COUNT('Бланк OLD 0.8 04'!$B$18:$B$200),'Бланк OLD 2.0 04 '!$B$16:$K$200,8,0)&gt;0),0.4,""))))</f>
        <v/>
      </c>
      <c r="V73" s="146" t="str">
        <f ca="1">IFERROR(VLOOKUP(C73,'Шаг1.Выбор плиты'!C:S,12,0),"")</f>
        <v/>
      </c>
      <c r="W73" s="146" t="str">
        <f ca="1">IFERROR(VLOOKUP(C73,'Шаг1.Выбор плиты'!C:S,8,0),"")</f>
        <v/>
      </c>
      <c r="X73" s="146" t="str">
        <f ca="1">IFERROR(VLOOKUP(C73,'Шаг1.Выбор плиты'!C:S,10,0),"")</f>
        <v/>
      </c>
      <c r="Y73" s="147" t="str">
        <f t="shared" ca="1" si="8"/>
        <v/>
      </c>
      <c r="AD73" s="147" t="str">
        <f t="shared" ca="1" si="6"/>
        <v/>
      </c>
      <c r="AE73" s="147" t="str">
        <f t="shared" ca="1" si="9"/>
        <v/>
      </c>
      <c r="AF73" s="25"/>
      <c r="AH73" s="147" t="str">
        <f ca="1">IF(C73="","",VLOOKUP(C73,'Шаг1.Выбор плиты'!C:Q,7,0))</f>
        <v/>
      </c>
      <c r="AI73" s="147" t="str">
        <f t="shared" ca="1" si="7"/>
        <v/>
      </c>
    </row>
    <row r="74" spans="1:35" x14ac:dyDescent="0.2">
      <c r="A74" s="151" t="str">
        <f ca="1">IF(C74="","",MAX($A$1:OFFSET(C74,-1,0))+1)</f>
        <v/>
      </c>
      <c r="B74" s="151" t="str">
        <f ca="1">IFERROR(IFERROR(IFERROR("Шаг2.Бланк заказа NEW №"&amp;VLOOKUP(A73+1,CHOOSE({1,2},'Шаг2.Бланк заказа NEW'!$B$19:$B$201,'Шаг2.Бланк заказа NEW'!$A$19:$A$201),1,0),
"Бланк OLD 0.8 04 №"&amp;VLOOKUP(A73+1-COUNT('Шаг2.Бланк заказа NEW'!$B$19:$B$201),CHOOSE({1,2},'Бланк OLD 0.8 04'!$B$18:$B$200,'Бланк OLD 0.8 04'!$A$18:$A$200),1,0)),
"Бланк OLD 2.0 04 №"&amp;VLOOKUP(A73+1-COUNT('Шаг2.Бланк заказа NEW'!$B$19:$B$201)-COUNT('Бланк OLD 0.8 04'!$B$18:$B$200),CHOOSE({1,2},'Бланк OLD 2.0 04 '!$B$18:$B$200,'Бланк OLD 2.0 04 '!$A$18:$A$200),1,0)),"")</f>
        <v/>
      </c>
      <c r="C74" s="152" t="str">
        <f ca="1">IFERROR(IFERROR(IFERROR(VLOOKUP(A73+1,CHOOSE({1,2},'Шаг2.Бланк заказа NEW'!$B$19:$B$201,'Шаг2.Бланк заказа NEW'!$A$19:$A$201),2,0),
VLOOKUP(A73+1-COUNT('Шаг2.Бланк заказа NEW'!$B$19:$B$201),CHOOSE({1,2},'Бланк OLD 0.8 04'!$B$18:$B$200,'Бланк OLD 0.8 04'!$A$18:$A$200),2,0)),
VLOOKUP(A73+1-COUNT('Шаг2.Бланк заказа NEW'!$B$19:$B$201)-COUNT('Бланк OLD 0.8 04'!$B$18:$B$200),CHOOSE({1,2},'Бланк OLD 2.0 04 '!$B$18:$B$200,'Бланк OLD 2.0 04 '!$A$18:$A$200),2,0)),"")</f>
        <v/>
      </c>
      <c r="D74" s="150" t="str">
        <f ca="1">IFERROR(VLOOKUP(C74,'Шаг1.Выбор плиты'!C:G,5,0),"")</f>
        <v/>
      </c>
      <c r="E74" s="147" t="str">
        <f ca="1">IFERROR(IFERROR(IF(VLOOKUP($A74,'Шаг2.Бланк заказа NEW'!$B$17:$N$201,2,0)="","",VLOOKUP($A74,'Шаг2.Бланк заказа NEW'!$B$17:$N$201,2,0)),
IF(VLOOKUP($A74-COUNT('Шаг2.Бланк заказа NEW'!$B$19:$B$201),'Бланк OLD 0.8 04'!$B$12:$K$200,2,0)="","",VLOOKUP($A74-COUNT('Шаг2.Бланк заказа NEW'!$B$19:$B$201),'Бланк OLD 0.8 04'!$B$12:$K$200,2,0))),
IF(VLOOKUP($A74-COUNT('Шаг2.Бланк заказа NEW'!$B$19:$B$201)-COUNT('Бланк OLD 0.8 04'!$B$18:$B$200),'Бланк OLD 2.0 04 '!$B$16:$K$200,2,0)="","",VLOOKUP($A74-COUNT('Шаг2.Бланк заказа NEW'!$B$19:$B$201)-COUNT('Бланк OLD 0.8 04'!$B$18:$B$200),'Бланк OLD 2.0 04 '!$B$16:$K$200,2,0)))</f>
        <v/>
      </c>
      <c r="F74" s="147" t="str">
        <f ca="1">IFERROR(IFERROR(IF(VLOOKUP($A74,'Шаг2.Бланк заказа NEW'!$B$17:$N$201,3,0)="","",VLOOKUP($A74,'Шаг2.Бланк заказа NEW'!$B$17:$N$201,3,0)),
IF(VLOOKUP($A74-COUNT('Шаг2.Бланк заказа NEW'!$B$19:$B$201),'Бланк OLD 0.8 04'!$B$12:$K$200,3,0)="","",VLOOKUP($A74-COUNT('Шаг2.Бланк заказа NEW'!$B$19:$B$201),'Бланк OLD 0.8 04'!$B$12:$K$200,3,0))),
IF(VLOOKUP($A74-COUNT('Шаг2.Бланк заказа NEW'!$B$19:$B$201)-COUNT('Бланк OLD 0.8 04'!$B$18:$B$200),'Бланк OLD 2.0 04 '!$B$16:$K$200,3,0)="","",VLOOKUP($A74-COUNT('Шаг2.Бланк заказа NEW'!$B$19:$B$201)-COUNT('Бланк OLD 0.8 04'!$B$18:$B$200),'Бланк OLD 2.0 04 '!$B$16:$K$200,3,0)))</f>
        <v/>
      </c>
      <c r="G74" s="176" t="str">
        <f ca="1">IF(IF(R74="","",IF(R74=1,SUMIFS('Шаг1.Выбор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плиты'!C:Q,12,0)),1))))))=0,
R74,
IF(R74="","",IF(R74=1,SUMIFS('Шаг1.Выбор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плиты'!N:N,R74,'Шаг1.Выбор плиты'!M:M,SMALL(INDIRECT("мм"&amp;VLOOKUP(C74,'Шаг1.Выбор плиты'!C:Q,12,0)),1)))))))</f>
        <v/>
      </c>
      <c r="H74" s="177" t="str">
        <f ca="1">IF(IF(S74="","",IF(S74=1,SUMIFS('Шаг1.Выбор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плиты'!C:Q,12,0)),1))))))=0,
S74,
IF(S74="","",IF(S74=1,SUMIFS('Шаг1.Выбор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плиты'!N:N,S74,'Шаг1.Выбор плиты'!M:M,SMALL(INDIRECT("мм"&amp;VLOOKUP(C74,'Шаг1.Выбор плиты'!C:Q,12,0)),1)))))))</f>
        <v/>
      </c>
      <c r="I74" s="147" t="str">
        <f ca="1">IFERROR(IFERROR(IF(VLOOKUP($A74,'Шаг2.Бланк заказа NEW'!$B$17:$N$201,6,0)="","",VLOOKUP($A74,'Шаг2.Бланк заказа NEW'!$B$17:$N$201,6,0)),
IF(VLOOKUP($A74-COUNT('Шаг2.Бланк заказа NEW'!$B$19:$B$201),'Бланк OLD 0.8 04'!$B$12:$K$200,6,0)="","",VLOOKUP($A74-COUNT('Шаг2.Бланк заказа NEW'!$B$19:$B$201),'Бланк OLD 0.8 04'!$B$12:$K$200,6,0))),
IF(VLOOKUP($A74-COUNT('Шаг2.Бланк заказа NEW'!$B$19:$B$201)-COUNT('Бланк OLD 0.8 04'!$B$18:$B$200),'Бланк OLD 2.0 04 '!$B$16:$K$200,6,0)="","",VLOOKUP($A74-COUNT('Шаг2.Бланк заказа NEW'!$B$19:$B$201)-COUNT('Бланк OLD 0.8 04'!$B$18:$B$200),'Бланк OLD 2.0 04 '!$B$16:$K$200,6,0)))</f>
        <v/>
      </c>
      <c r="J74" s="177" t="str">
        <f ca="1">IF(IF(T74="","",IF(T74=1,SUMIFS('Шаг1.Выбор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плиты'!C:Q,12,0)),1))))))=0,
T74,
IF(T74="","",IF(T74=1,SUMIFS('Шаг1.Выбор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плиты'!N:N,T74,'Шаг1.Выбор плиты'!M:M,SMALL(INDIRECT("мм"&amp;VLOOKUP(C74,'Шаг1.Выбор плиты'!C:Q,12,0)),1)))))))</f>
        <v/>
      </c>
      <c r="K74" s="177" t="str">
        <f ca="1">IF(IF(U74="","",IF(U74=1,SUMIFS('Шаг1.Выбор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плиты'!C:Q,12,0)),1))))))=0,
U74,
IF(U74="","",IF(U74=1,SUMIFS('Шаг1.Выбор плиты'!$G:$G,'Шаг1.Выбор плиты'!J:J,"*"&amp;RIGHT(VLOOKUP(C74,'Шаг1.Выбор плиты'!C:Q,8,0),4),'Шаг1.Выбор плиты'!L:L,IF(MID(C74,1,6)="ЛДСП P","TM"&amp;MID(VLOOKUP(C74,'Шаг1.Выбор плиты'!C:Q,10,0),3,2),MID(VLOOKUP(C74,'Шаг1.Выбор плиты'!C:Q,10,0),1,2)),
'Шаг1.Выбор плиты'!N:N,1),IF(SUMIFS('Шаг1.Выбор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плиты'!C:Q,12,0)),1))=0,
IF(SUMIFS('Шаг1.Выбор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плиты'!C:Q,12,0)),2))=0,
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плиты'!C:Q,12,0)),3)),
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плиты'!C:Q,12,0)),2))),
(SUMIFS('Шаг1.Выбор плиты'!$G:$G,'Шаг1.Выбор плиты'!J:J,"*"&amp;RIGHT(VLOOKUP(C74,'Шаг1.Выбор плиты'!C:Q,8,0),4),'Шаг1.Выбор плиты'!L:L,VLOOKUP(C74,'Шаг1.Выбор плиты'!C:Q,10,0),'Шаг1.Выбор плиты'!N:N,U74,'Шаг1.Выбор плиты'!M:M,SMALL(INDIRECT("мм"&amp;VLOOKUP(C74,'Шаг1.Выбор плиты'!C:Q,12,0)),1)))))))</f>
        <v/>
      </c>
      <c r="L74" s="147" t="str">
        <f ca="1">IFERROR(IFERROR(IF(VLOOKUP($A74,'Шаг2.Бланк заказа NEW'!$B$17:$N$201,9,0)="","",VLOOKUP($A74,'Шаг2.Бланк заказа NEW'!$B$17:$N$201,9,0)),
IF(VLOOKUP($A74-COUNT('Шаг2.Бланк заказа NEW'!$B$19:$B$201),'Бланк OLD 0.8 04'!$B$12:$K$200,9,0)="","",VLOOKUP($A74-COUNT('Шаг2.Бланк заказа NEW'!$B$19:$B$201),'Бланк OLD 0.8 04'!$B$12:$K$200,9,0))),
IF(VLOOKUP($A74-COUNT('Шаг2.Бланк заказа NEW'!$B$19:$B$201)-COUNT('Бланк OLD 0.8 04'!$B$18:$B$200),'Бланк OLD 2.0 04 '!$B$16:$K$200,9,0)="","",VLOOKUP($A74-COUNT('Шаг2.Бланк заказа NEW'!$B$19:$B$201)-COUNT('Бланк OLD 0.8 04'!$B$18:$B$200),'Бланк OLD 2.0 04 '!$B$16:$K$200,9,0)))</f>
        <v/>
      </c>
      <c r="M74" s="154" t="str">
        <f t="shared" ca="1" si="5"/>
        <v/>
      </c>
      <c r="N74" s="153" t="str">
        <f ca="1">IFERROR(IF(VLOOKUP($A74,'Шаг2.Бланк заказа NEW'!$B$17:$N$201,11,0)="","",VLOOKUP($A74,'Шаг2.Бланк заказа NEW'!$B$17:$N$201,11,0)),
"Нет")</f>
        <v/>
      </c>
      <c r="O74" s="147" t="str">
        <f ca="1">IFERROR(IF(VLOOKUP($A74,'Шаг2.Бланк заказа NEW'!$B$17:$N$201,11,0)="","",VLOOKUP($A74,'Шаг2.Бланк заказа NEW'!$B$17:$N$201,12,0)),
"Нет")</f>
        <v/>
      </c>
      <c r="P74" s="153" t="str">
        <f ca="1">IFERROR(IF(VLOOKUP($A74,'Шаг2.Бланк заказа NEW'!$B$17:$N$201,13,0)="","",VLOOKUP($A74,'Шаг2.Бланк заказа NEW'!$B$17:$N$201,13,0)),
"Нет")</f>
        <v/>
      </c>
      <c r="Q74" s="147" t="str">
        <f ca="1">IFERROR(IF(VLOOKUP($A74,'Шаг2.Бланк заказа NEW'!$B$17:$O$201,14,0)="","",VLOOKUP($A74,'Шаг2.Бланк заказа NEW'!$B$17:$O$201,14,0)),"")</f>
        <v/>
      </c>
      <c r="R74" s="147" t="str">
        <f ca="1">IFERROR(IFERROR(IF(VLOOKUP($A74,'Шаг2.Бланк заказа NEW'!$B$17:$N$201,4,0)="","",VLOOKUP($A74,'Шаг2.Бланк заказа NEW'!$B$17:$N$201,4,0)),
IF(VLOOKUP($A74-COUNT('Шаг2.Бланк заказа NEW'!$B$19:$B$201),'Бланк OLD 0.8 04'!$B$12:$K$200,4,0)&gt;0,0.8,
IF(VLOOKUP($A74-COUNT('Шаг2.Бланк заказа NEW'!$B$19:$B$201),'Бланк OLD 0.8 04'!$B$12:$K$200,5,0)&gt;0,0.4,""))),
IF(VLOOKUP($A74-COUNT('Шаг2.Бланк заказа NEW'!$B$19:$B$201)-COUNT('Бланк OLD 0.8 04'!$B$18:$B$200),'Бланк OLD 2.0 04 '!$B$16:$K$200,4,0)&gt;0,2,IF(VLOOKUP($A74-COUNT('Шаг2.Бланк заказа NEW'!$B$19:$B$201)-COUNT('Бланк OLD 0.8 04'!$B$18:$B$200),'Бланк OLD 2.0 04 '!$B$16:$K$200,5,0)&gt;0,0.4,"")))</f>
        <v/>
      </c>
      <c r="S74" s="147" t="str">
        <f ca="1">IFERROR(IFERROR(IF(VLOOKUP($A74,'Шаг2.Бланк заказа NEW'!$B$17:$N$201,5,0)="","",VLOOKUP($A74,'Шаг2.Бланк заказа NEW'!$B$17:$N$201,5,0)),
IF(VLOOKUP($A74-COUNT('Шаг2.Бланк заказа NEW'!$B$19:$B$201),'Бланк OLD 0.8 04'!$B$12:$K$200,4,0)&gt;1,0.8,
IF(VLOOKUP($A74-COUNT('Шаг2.Бланк заказа NEW'!$B$19:$B$201),'Бланк OLD 0.8 04'!$B$12:$K$200,5,0)&gt;1,0.4,
IF(AND(VLOOKUP($A74-COUNT('Шаг2.Бланк заказа NEW'!$B$19:$B$201),'Бланк OLD 0.8 04'!$B$12:$K$200,4,0)&gt;0,VLOOKUP($A74-COUNT('Шаг2.Бланк заказа NEW'!$B$19:$B$201),'Бланк OLD 0.8 04'!$B$12:$K$200,5,0)&gt;0),0.4,"")))),
IF(VLOOKUP($A74-COUNT('Шаг2.Бланк заказа NEW'!$B$19:$B$201)-COUNT('Бланк OLD 0.8 04'!$B$18:$B$200),'Бланк OLD 2.0 04 '!$B$16:$K$200,4,0)&gt;1,2,
IF(VLOOKUP($A74-COUNT('Шаг2.Бланк заказа NEW'!$B$19:$B$201)-COUNT('Бланк OLD 0.8 04'!$B$18:$B$200),'Бланк OLD 2.0 04 '!$B$16:$K$200,5,0)&gt;1,0.4,IF(AND(VLOOKUP($A74-COUNT('Шаг2.Бланк заказа NEW'!$B$19:$B$201)-COUNT('Бланк OLD 0.8 04'!$B$18:$B$200),'Бланк OLD 2.0 04 '!$B$16:$K$200,4,0)&gt;0,VLOOKUP($A74-COUNT('Шаг2.Бланк заказа NEW'!$B$19:$B$201)-COUNT('Бланк OLD 0.8 04'!$B$18:$B$200),'Бланк OLD 2.0 04 '!$B$16:$K$200,5,0)&gt;0),0.4,""))))</f>
        <v/>
      </c>
      <c r="T74" s="147" t="str">
        <f ca="1">IFERROR(IFERROR(IF(VLOOKUP($A74,'Шаг2.Бланк заказа NEW'!$B$17:$N$201,7,0)="","",VLOOKUP($A74,'Шаг2.Бланк заказа NEW'!$B$17:$N$201,7,0)),
IF(VLOOKUP($A74-COUNT('Шаг2.Бланк заказа NEW'!$B$19:$B$201),'Бланк OLD 0.8 04'!$B$12:$K$200,7,0)&gt;0,0.8,
IF(VLOOKUP($A74-COUNT('Шаг2.Бланк заказа NEW'!$B$19:$B$201),'Бланк OLD 0.8 04'!$B$12:$K$200,8,0)&gt;0,0.4,""))),
IF(VLOOKUP($A74-COUNT('Шаг2.Бланк заказа NEW'!$B$19:$B$201)-COUNT('Бланк OLD 0.8 04'!$B$18:$B$200),'Бланк OLD 2.0 04 '!$B$16:$K$200,7,0)&gt;0,2,IF(VLOOKUP($A74-COUNT('Шаг2.Бланк заказа NEW'!$B$19:$B$201)-COUNT('Бланк OLD 0.8 04'!$B$18:$B$200),'Бланк OLD 2.0 04 '!$B$16:$K$200,8,0)&gt;0,0.4,"")))</f>
        <v/>
      </c>
      <c r="U74" s="147" t="str">
        <f ca="1">IFERROR(IFERROR(IF(VLOOKUP($A74,'Шаг2.Бланк заказа NEW'!$B$17:$N$201,8,0)="","",VLOOKUP($A74,'Шаг2.Бланк заказа NEW'!$B$17:$N$201,8,0)),
IF(VLOOKUP($A74-COUNT('Шаг2.Бланк заказа NEW'!$B$19:$B$201),'Бланк OLD 0.8 04'!$B$12:$K$200,7,0)&gt;1,0.8,
IF(VLOOKUP($A74-COUNT('Шаг2.Бланк заказа NEW'!$B$19:$B$201),'Бланк OLD 0.8 04'!$B$12:$K$200,8,0)&gt;1,0.4,
IF(AND(VLOOKUP($A74-COUNT('Шаг2.Бланк заказа NEW'!$B$19:$B$201),'Бланк OLD 0.8 04'!$B$12:$K$200,7,0)&gt;0,VLOOKUP($A74-COUNT('Шаг2.Бланк заказа NEW'!$B$19:$B$201),'Бланк OLD 0.8 04'!$B$12:$K$200,8,0)&gt;0),0.4,"")))),
IF(VLOOKUP($A74-COUNT('Шаг2.Бланк заказа NEW'!$B$19:$B$201)-COUNT('Бланк OLD 0.8 04'!$B$18:$B$200),'Бланк OLD 2.0 04 '!$B$16:$K$200,7,0)&gt;1,2,
IF(VLOOKUP($A74-COUNT('Шаг2.Бланк заказа NEW'!$B$19:$B$201)-COUNT('Бланк OLD 0.8 04'!$B$18:$B$200),'Бланк OLD 2.0 04 '!$B$16:$K$200,8,0)&gt;1,0.4,
IF(AND(VLOOKUP($A74-COUNT('Шаг2.Бланк заказа NEW'!$B$19:$B$201)-COUNT('Бланк OLD 0.8 04'!$B$18:$B$200),'Бланк OLD 2.0 04 '!$B$16:$K$200,7,0)&gt;0,VLOOKUP($A74-COUNT('Шаг2.Бланк заказа NEW'!$B$19:$B$201)-COUNT('Бланк OLD 0.8 04'!$B$18:$B$200),'Бланк OLD 2.0 04 '!$B$16:$K$200,8,0)&gt;0),0.4,""))))</f>
        <v/>
      </c>
      <c r="V74" s="146" t="str">
        <f ca="1">IFERROR(VLOOKUP(C74,'Шаг1.Выбор плиты'!C:S,12,0),"")</f>
        <v/>
      </c>
      <c r="W74" s="146" t="str">
        <f ca="1">IFERROR(VLOOKUP(C74,'Шаг1.Выбор плиты'!C:S,8,0),"")</f>
        <v/>
      </c>
      <c r="X74" s="146" t="str">
        <f ca="1">IFERROR(VLOOKUP(C74,'Шаг1.Выбор плиты'!C:S,10,0),"")</f>
        <v/>
      </c>
      <c r="Y74" s="147" t="str">
        <f t="shared" ca="1" si="8"/>
        <v/>
      </c>
      <c r="AD74" s="147" t="str">
        <f t="shared" ca="1" si="6"/>
        <v/>
      </c>
      <c r="AE74" s="147" t="str">
        <f t="shared" ca="1" si="9"/>
        <v/>
      </c>
      <c r="AF74" s="25"/>
      <c r="AH74" s="147" t="str">
        <f ca="1">IF(C74="","",VLOOKUP(C74,'Шаг1.Выбор плиты'!C:Q,7,0))</f>
        <v/>
      </c>
      <c r="AI74" s="147" t="str">
        <f t="shared" ca="1" si="7"/>
        <v/>
      </c>
    </row>
    <row r="75" spans="1:35" x14ac:dyDescent="0.2">
      <c r="A75" s="151" t="str">
        <f ca="1">IF(C75="","",MAX($A$1:OFFSET(C75,-1,0))+1)</f>
        <v/>
      </c>
      <c r="B75" s="151" t="str">
        <f ca="1">IFERROR(IFERROR(IFERROR("Шаг2.Бланк заказа NEW №"&amp;VLOOKUP(A74+1,CHOOSE({1,2},'Шаг2.Бланк заказа NEW'!$B$19:$B$201,'Шаг2.Бланк заказа NEW'!$A$19:$A$201),1,0),
"Бланк OLD 0.8 04 №"&amp;VLOOKUP(A74+1-COUNT('Шаг2.Бланк заказа NEW'!$B$19:$B$201),CHOOSE({1,2},'Бланк OLD 0.8 04'!$B$18:$B$200,'Бланк OLD 0.8 04'!$A$18:$A$200),1,0)),
"Бланк OLD 2.0 04 №"&amp;VLOOKUP(A74+1-COUNT('Шаг2.Бланк заказа NEW'!$B$19:$B$201)-COUNT('Бланк OLD 0.8 04'!$B$18:$B$200),CHOOSE({1,2},'Бланк OLD 2.0 04 '!$B$18:$B$200,'Бланк OLD 2.0 04 '!$A$18:$A$200),1,0)),"")</f>
        <v/>
      </c>
      <c r="C75" s="152" t="str">
        <f ca="1">IFERROR(IFERROR(IFERROR(VLOOKUP(A74+1,CHOOSE({1,2},'Шаг2.Бланк заказа NEW'!$B$19:$B$201,'Шаг2.Бланк заказа NEW'!$A$19:$A$201),2,0),
VLOOKUP(A74+1-COUNT('Шаг2.Бланк заказа NEW'!$B$19:$B$201),CHOOSE({1,2},'Бланк OLD 0.8 04'!$B$18:$B$200,'Бланк OLD 0.8 04'!$A$18:$A$200),2,0)),
VLOOKUP(A74+1-COUNT('Шаг2.Бланк заказа NEW'!$B$19:$B$201)-COUNT('Бланк OLD 0.8 04'!$B$18:$B$200),CHOOSE({1,2},'Бланк OLD 2.0 04 '!$B$18:$B$200,'Бланк OLD 2.0 04 '!$A$18:$A$200),2,0)),"")</f>
        <v/>
      </c>
      <c r="D75" s="150" t="str">
        <f ca="1">IFERROR(VLOOKUP(C75,'Шаг1.Выбор плиты'!C:G,5,0),"")</f>
        <v/>
      </c>
      <c r="E75" s="147" t="str">
        <f ca="1">IFERROR(IFERROR(IF(VLOOKUP($A75,'Шаг2.Бланк заказа NEW'!$B$17:$N$201,2,0)="","",VLOOKUP($A75,'Шаг2.Бланк заказа NEW'!$B$17:$N$201,2,0)),
IF(VLOOKUP($A75-COUNT('Шаг2.Бланк заказа NEW'!$B$19:$B$201),'Бланк OLD 0.8 04'!$B$12:$K$200,2,0)="","",VLOOKUP($A75-COUNT('Шаг2.Бланк заказа NEW'!$B$19:$B$201),'Бланк OLD 0.8 04'!$B$12:$K$200,2,0))),
IF(VLOOKUP($A75-COUNT('Шаг2.Бланк заказа NEW'!$B$19:$B$201)-COUNT('Бланк OLD 0.8 04'!$B$18:$B$200),'Бланк OLD 2.0 04 '!$B$16:$K$200,2,0)="","",VLOOKUP($A75-COUNT('Шаг2.Бланк заказа NEW'!$B$19:$B$201)-COUNT('Бланк OLD 0.8 04'!$B$18:$B$200),'Бланк OLD 2.0 04 '!$B$16:$K$200,2,0)))</f>
        <v/>
      </c>
      <c r="F75" s="147" t="str">
        <f ca="1">IFERROR(IFERROR(IF(VLOOKUP($A75,'Шаг2.Бланк заказа NEW'!$B$17:$N$201,3,0)="","",VLOOKUP($A75,'Шаг2.Бланк заказа NEW'!$B$17:$N$201,3,0)),
IF(VLOOKUP($A75-COUNT('Шаг2.Бланк заказа NEW'!$B$19:$B$201),'Бланк OLD 0.8 04'!$B$12:$K$200,3,0)="","",VLOOKUP($A75-COUNT('Шаг2.Бланк заказа NEW'!$B$19:$B$201),'Бланк OLD 0.8 04'!$B$12:$K$200,3,0))),
IF(VLOOKUP($A75-COUNT('Шаг2.Бланк заказа NEW'!$B$19:$B$201)-COUNT('Бланк OLD 0.8 04'!$B$18:$B$200),'Бланк OLD 2.0 04 '!$B$16:$K$200,3,0)="","",VLOOKUP($A75-COUNT('Шаг2.Бланк заказа NEW'!$B$19:$B$201)-COUNT('Бланк OLD 0.8 04'!$B$18:$B$200),'Бланк OLD 2.0 04 '!$B$16:$K$200,3,0)))</f>
        <v/>
      </c>
      <c r="G75" s="176" t="str">
        <f ca="1">IF(IF(R75="","",IF(R75=1,SUMIFS('Шаг1.Выбор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плиты'!C:Q,12,0)),1))))))=0,
R75,
IF(R75="","",IF(R75=1,SUMIFS('Шаг1.Выбор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плиты'!N:N,R75,'Шаг1.Выбор плиты'!M:M,SMALL(INDIRECT("мм"&amp;VLOOKUP(C75,'Шаг1.Выбор плиты'!C:Q,12,0)),1)))))))</f>
        <v/>
      </c>
      <c r="H75" s="177" t="str">
        <f ca="1">IF(IF(S75="","",IF(S75=1,SUMIFS('Шаг1.Выбор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плиты'!C:Q,12,0)),1))))))=0,
S75,
IF(S75="","",IF(S75=1,SUMIFS('Шаг1.Выбор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плиты'!N:N,S75,'Шаг1.Выбор плиты'!M:M,SMALL(INDIRECT("мм"&amp;VLOOKUP(C75,'Шаг1.Выбор плиты'!C:Q,12,0)),1)))))))</f>
        <v/>
      </c>
      <c r="I75" s="147" t="str">
        <f ca="1">IFERROR(IFERROR(IF(VLOOKUP($A75,'Шаг2.Бланк заказа NEW'!$B$17:$N$201,6,0)="","",VLOOKUP($A75,'Шаг2.Бланк заказа NEW'!$B$17:$N$201,6,0)),
IF(VLOOKUP($A75-COUNT('Шаг2.Бланк заказа NEW'!$B$19:$B$201),'Бланк OLD 0.8 04'!$B$12:$K$200,6,0)="","",VLOOKUP($A75-COUNT('Шаг2.Бланк заказа NEW'!$B$19:$B$201),'Бланк OLD 0.8 04'!$B$12:$K$200,6,0))),
IF(VLOOKUP($A75-COUNT('Шаг2.Бланк заказа NEW'!$B$19:$B$201)-COUNT('Бланк OLD 0.8 04'!$B$18:$B$200),'Бланк OLD 2.0 04 '!$B$16:$K$200,6,0)="","",VLOOKUP($A75-COUNT('Шаг2.Бланк заказа NEW'!$B$19:$B$201)-COUNT('Бланк OLD 0.8 04'!$B$18:$B$200),'Бланк OLD 2.0 04 '!$B$16:$K$200,6,0)))</f>
        <v/>
      </c>
      <c r="J75" s="177" t="str">
        <f ca="1">IF(IF(T75="","",IF(T75=1,SUMIFS('Шаг1.Выбор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плиты'!C:Q,12,0)),1))))))=0,
T75,
IF(T75="","",IF(T75=1,SUMIFS('Шаг1.Выбор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плиты'!N:N,T75,'Шаг1.Выбор плиты'!M:M,SMALL(INDIRECT("мм"&amp;VLOOKUP(C75,'Шаг1.Выбор плиты'!C:Q,12,0)),1)))))))</f>
        <v/>
      </c>
      <c r="K75" s="177" t="str">
        <f ca="1">IF(IF(U75="","",IF(U75=1,SUMIFS('Шаг1.Выбор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плиты'!C:Q,12,0)),1))))))=0,
U75,
IF(U75="","",IF(U75=1,SUMIFS('Шаг1.Выбор плиты'!$G:$G,'Шаг1.Выбор плиты'!J:J,"*"&amp;RIGHT(VLOOKUP(C75,'Шаг1.Выбор плиты'!C:Q,8,0),4),'Шаг1.Выбор плиты'!L:L,IF(MID(C75,1,6)="ЛДСП P","TM"&amp;MID(VLOOKUP(C75,'Шаг1.Выбор плиты'!C:Q,10,0),3,2),MID(VLOOKUP(C75,'Шаг1.Выбор плиты'!C:Q,10,0),1,2)),
'Шаг1.Выбор плиты'!N:N,1),IF(SUMIFS('Шаг1.Выбор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плиты'!C:Q,12,0)),1))=0,
IF(SUMIFS('Шаг1.Выбор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плиты'!C:Q,12,0)),2))=0,
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плиты'!C:Q,12,0)),3)),
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плиты'!C:Q,12,0)),2))),
(SUMIFS('Шаг1.Выбор плиты'!$G:$G,'Шаг1.Выбор плиты'!J:J,"*"&amp;RIGHT(VLOOKUP(C75,'Шаг1.Выбор плиты'!C:Q,8,0),4),'Шаг1.Выбор плиты'!L:L,VLOOKUP(C75,'Шаг1.Выбор плиты'!C:Q,10,0),'Шаг1.Выбор плиты'!N:N,U75,'Шаг1.Выбор плиты'!M:M,SMALL(INDIRECT("мм"&amp;VLOOKUP(C75,'Шаг1.Выбор плиты'!C:Q,12,0)),1)))))))</f>
        <v/>
      </c>
      <c r="L75" s="147" t="str">
        <f ca="1">IFERROR(IFERROR(IF(VLOOKUP($A75,'Шаг2.Бланк заказа NEW'!$B$17:$N$201,9,0)="","",VLOOKUP($A75,'Шаг2.Бланк заказа NEW'!$B$17:$N$201,9,0)),
IF(VLOOKUP($A75-COUNT('Шаг2.Бланк заказа NEW'!$B$19:$B$201),'Бланк OLD 0.8 04'!$B$12:$K$200,9,0)="","",VLOOKUP($A75-COUNT('Шаг2.Бланк заказа NEW'!$B$19:$B$201),'Бланк OLD 0.8 04'!$B$12:$K$200,9,0))),
IF(VLOOKUP($A75-COUNT('Шаг2.Бланк заказа NEW'!$B$19:$B$201)-COUNT('Бланк OLD 0.8 04'!$B$18:$B$200),'Бланк OLD 2.0 04 '!$B$16:$K$200,9,0)="","",VLOOKUP($A75-COUNT('Шаг2.Бланк заказа NEW'!$B$19:$B$201)-COUNT('Бланк OLD 0.8 04'!$B$18:$B$200),'Бланк OLD 2.0 04 '!$B$16:$K$200,9,0)))</f>
        <v/>
      </c>
      <c r="M75" s="154" t="str">
        <f t="shared" ca="1" si="5"/>
        <v/>
      </c>
      <c r="N75" s="153" t="str">
        <f ca="1">IFERROR(IF(VLOOKUP($A75,'Шаг2.Бланк заказа NEW'!$B$17:$N$201,11,0)="","",VLOOKUP($A75,'Шаг2.Бланк заказа NEW'!$B$17:$N$201,11,0)),
"Нет")</f>
        <v/>
      </c>
      <c r="O75" s="147" t="str">
        <f ca="1">IFERROR(IF(VLOOKUP($A75,'Шаг2.Бланк заказа NEW'!$B$17:$N$201,11,0)="","",VLOOKUP($A75,'Шаг2.Бланк заказа NEW'!$B$17:$N$201,12,0)),
"Нет")</f>
        <v/>
      </c>
      <c r="P75" s="153" t="str">
        <f ca="1">IFERROR(IF(VLOOKUP($A75,'Шаг2.Бланк заказа NEW'!$B$17:$N$201,13,0)="","",VLOOKUP($A75,'Шаг2.Бланк заказа NEW'!$B$17:$N$201,13,0)),
"Нет")</f>
        <v/>
      </c>
      <c r="Q75" s="147" t="str">
        <f ca="1">IFERROR(IF(VLOOKUP($A75,'Шаг2.Бланк заказа NEW'!$B$17:$O$201,14,0)="","",VLOOKUP($A75,'Шаг2.Бланк заказа NEW'!$B$17:$O$201,14,0)),"")</f>
        <v/>
      </c>
      <c r="R75" s="147" t="str">
        <f ca="1">IFERROR(IFERROR(IF(VLOOKUP($A75,'Шаг2.Бланк заказа NEW'!$B$17:$N$201,4,0)="","",VLOOKUP($A75,'Шаг2.Бланк заказа NEW'!$B$17:$N$201,4,0)),
IF(VLOOKUP($A75-COUNT('Шаг2.Бланк заказа NEW'!$B$19:$B$201),'Бланк OLD 0.8 04'!$B$12:$K$200,4,0)&gt;0,0.8,
IF(VLOOKUP($A75-COUNT('Шаг2.Бланк заказа NEW'!$B$19:$B$201),'Бланк OLD 0.8 04'!$B$12:$K$200,5,0)&gt;0,0.4,""))),
IF(VLOOKUP($A75-COUNT('Шаг2.Бланк заказа NEW'!$B$19:$B$201)-COUNT('Бланк OLD 0.8 04'!$B$18:$B$200),'Бланк OLD 2.0 04 '!$B$16:$K$200,4,0)&gt;0,2,IF(VLOOKUP($A75-COUNT('Шаг2.Бланк заказа NEW'!$B$19:$B$201)-COUNT('Бланк OLD 0.8 04'!$B$18:$B$200),'Бланк OLD 2.0 04 '!$B$16:$K$200,5,0)&gt;0,0.4,"")))</f>
        <v/>
      </c>
      <c r="S75" s="147" t="str">
        <f ca="1">IFERROR(IFERROR(IF(VLOOKUP($A75,'Шаг2.Бланк заказа NEW'!$B$17:$N$201,5,0)="","",VLOOKUP($A75,'Шаг2.Бланк заказа NEW'!$B$17:$N$201,5,0)),
IF(VLOOKUP($A75-COUNT('Шаг2.Бланк заказа NEW'!$B$19:$B$201),'Бланк OLD 0.8 04'!$B$12:$K$200,4,0)&gt;1,0.8,
IF(VLOOKUP($A75-COUNT('Шаг2.Бланк заказа NEW'!$B$19:$B$201),'Бланк OLD 0.8 04'!$B$12:$K$200,5,0)&gt;1,0.4,
IF(AND(VLOOKUP($A75-COUNT('Шаг2.Бланк заказа NEW'!$B$19:$B$201),'Бланк OLD 0.8 04'!$B$12:$K$200,4,0)&gt;0,VLOOKUP($A75-COUNT('Шаг2.Бланк заказа NEW'!$B$19:$B$201),'Бланк OLD 0.8 04'!$B$12:$K$200,5,0)&gt;0),0.4,"")))),
IF(VLOOKUP($A75-COUNT('Шаг2.Бланк заказа NEW'!$B$19:$B$201)-COUNT('Бланк OLD 0.8 04'!$B$18:$B$200),'Бланк OLD 2.0 04 '!$B$16:$K$200,4,0)&gt;1,2,
IF(VLOOKUP($A75-COUNT('Шаг2.Бланк заказа NEW'!$B$19:$B$201)-COUNT('Бланк OLD 0.8 04'!$B$18:$B$200),'Бланк OLD 2.0 04 '!$B$16:$K$200,5,0)&gt;1,0.4,IF(AND(VLOOKUP($A75-COUNT('Шаг2.Бланк заказа NEW'!$B$19:$B$201)-COUNT('Бланк OLD 0.8 04'!$B$18:$B$200),'Бланк OLD 2.0 04 '!$B$16:$K$200,4,0)&gt;0,VLOOKUP($A75-COUNT('Шаг2.Бланк заказа NEW'!$B$19:$B$201)-COUNT('Бланк OLD 0.8 04'!$B$18:$B$200),'Бланк OLD 2.0 04 '!$B$16:$K$200,5,0)&gt;0),0.4,""))))</f>
        <v/>
      </c>
      <c r="T75" s="147" t="str">
        <f ca="1">IFERROR(IFERROR(IF(VLOOKUP($A75,'Шаг2.Бланк заказа NEW'!$B$17:$N$201,7,0)="","",VLOOKUP($A75,'Шаг2.Бланк заказа NEW'!$B$17:$N$201,7,0)),
IF(VLOOKUP($A75-COUNT('Шаг2.Бланк заказа NEW'!$B$19:$B$201),'Бланк OLD 0.8 04'!$B$12:$K$200,7,0)&gt;0,0.8,
IF(VLOOKUP($A75-COUNT('Шаг2.Бланк заказа NEW'!$B$19:$B$201),'Бланк OLD 0.8 04'!$B$12:$K$200,8,0)&gt;0,0.4,""))),
IF(VLOOKUP($A75-COUNT('Шаг2.Бланк заказа NEW'!$B$19:$B$201)-COUNT('Бланк OLD 0.8 04'!$B$18:$B$200),'Бланк OLD 2.0 04 '!$B$16:$K$200,7,0)&gt;0,2,IF(VLOOKUP($A75-COUNT('Шаг2.Бланк заказа NEW'!$B$19:$B$201)-COUNT('Бланк OLD 0.8 04'!$B$18:$B$200),'Бланк OLD 2.0 04 '!$B$16:$K$200,8,0)&gt;0,0.4,"")))</f>
        <v/>
      </c>
      <c r="U75" s="147" t="str">
        <f ca="1">IFERROR(IFERROR(IF(VLOOKUP($A75,'Шаг2.Бланк заказа NEW'!$B$17:$N$201,8,0)="","",VLOOKUP($A75,'Шаг2.Бланк заказа NEW'!$B$17:$N$201,8,0)),
IF(VLOOKUP($A75-COUNT('Шаг2.Бланк заказа NEW'!$B$19:$B$201),'Бланк OLD 0.8 04'!$B$12:$K$200,7,0)&gt;1,0.8,
IF(VLOOKUP($A75-COUNT('Шаг2.Бланк заказа NEW'!$B$19:$B$201),'Бланк OLD 0.8 04'!$B$12:$K$200,8,0)&gt;1,0.4,
IF(AND(VLOOKUP($A75-COUNT('Шаг2.Бланк заказа NEW'!$B$19:$B$201),'Бланк OLD 0.8 04'!$B$12:$K$200,7,0)&gt;0,VLOOKUP($A75-COUNT('Шаг2.Бланк заказа NEW'!$B$19:$B$201),'Бланк OLD 0.8 04'!$B$12:$K$200,8,0)&gt;0),0.4,"")))),
IF(VLOOKUP($A75-COUNT('Шаг2.Бланк заказа NEW'!$B$19:$B$201)-COUNT('Бланк OLD 0.8 04'!$B$18:$B$200),'Бланк OLD 2.0 04 '!$B$16:$K$200,7,0)&gt;1,2,
IF(VLOOKUP($A75-COUNT('Шаг2.Бланк заказа NEW'!$B$19:$B$201)-COUNT('Бланк OLD 0.8 04'!$B$18:$B$200),'Бланк OLD 2.0 04 '!$B$16:$K$200,8,0)&gt;1,0.4,
IF(AND(VLOOKUP($A75-COUNT('Шаг2.Бланк заказа NEW'!$B$19:$B$201)-COUNT('Бланк OLD 0.8 04'!$B$18:$B$200),'Бланк OLD 2.0 04 '!$B$16:$K$200,7,0)&gt;0,VLOOKUP($A75-COUNT('Шаг2.Бланк заказа NEW'!$B$19:$B$201)-COUNT('Бланк OLD 0.8 04'!$B$18:$B$200),'Бланк OLD 2.0 04 '!$B$16:$K$200,8,0)&gt;0),0.4,""))))</f>
        <v/>
      </c>
      <c r="V75" s="146" t="str">
        <f ca="1">IFERROR(VLOOKUP(C75,'Шаг1.Выбор плиты'!C:S,12,0),"")</f>
        <v/>
      </c>
      <c r="W75" s="146" t="str">
        <f ca="1">IFERROR(VLOOKUP(C75,'Шаг1.Выбор плиты'!C:S,8,0),"")</f>
        <v/>
      </c>
      <c r="X75" s="146" t="str">
        <f ca="1">IFERROR(VLOOKUP(C75,'Шаг1.Выбор плиты'!C:S,10,0),"")</f>
        <v/>
      </c>
      <c r="Y75" s="147" t="str">
        <f t="shared" ca="1" si="8"/>
        <v/>
      </c>
      <c r="AD75" s="147" t="str">
        <f t="shared" ca="1" si="6"/>
        <v/>
      </c>
      <c r="AE75" s="147" t="str">
        <f t="shared" ca="1" si="9"/>
        <v/>
      </c>
      <c r="AF75" s="25"/>
      <c r="AH75" s="147" t="str">
        <f ca="1">IF(C75="","",VLOOKUP(C75,'Шаг1.Выбор плиты'!C:Q,7,0))</f>
        <v/>
      </c>
      <c r="AI75" s="147" t="str">
        <f t="shared" ca="1" si="7"/>
        <v/>
      </c>
    </row>
    <row r="76" spans="1:35" x14ac:dyDescent="0.2">
      <c r="A76" s="151" t="str">
        <f ca="1">IF(C76="","",MAX($A$1:OFFSET(C76,-1,0))+1)</f>
        <v/>
      </c>
      <c r="B76" s="151" t="str">
        <f ca="1">IFERROR(IFERROR(IFERROR("Шаг2.Бланк заказа NEW №"&amp;VLOOKUP(A75+1,CHOOSE({1,2},'Шаг2.Бланк заказа NEW'!$B$19:$B$201,'Шаг2.Бланк заказа NEW'!$A$19:$A$201),1,0),
"Бланк OLD 0.8 04 №"&amp;VLOOKUP(A75+1-COUNT('Шаг2.Бланк заказа NEW'!$B$19:$B$201),CHOOSE({1,2},'Бланк OLD 0.8 04'!$B$18:$B$200,'Бланк OLD 0.8 04'!$A$18:$A$200),1,0)),
"Бланк OLD 2.0 04 №"&amp;VLOOKUP(A75+1-COUNT('Шаг2.Бланк заказа NEW'!$B$19:$B$201)-COUNT('Бланк OLD 0.8 04'!$B$18:$B$200),CHOOSE({1,2},'Бланк OLD 2.0 04 '!$B$18:$B$200,'Бланк OLD 2.0 04 '!$A$18:$A$200),1,0)),"")</f>
        <v/>
      </c>
      <c r="C76" s="152" t="str">
        <f ca="1">IFERROR(IFERROR(IFERROR(VLOOKUP(A75+1,CHOOSE({1,2},'Шаг2.Бланк заказа NEW'!$B$19:$B$201,'Шаг2.Бланк заказа NEW'!$A$19:$A$201),2,0),
VLOOKUP(A75+1-COUNT('Шаг2.Бланк заказа NEW'!$B$19:$B$201),CHOOSE({1,2},'Бланк OLD 0.8 04'!$B$18:$B$200,'Бланк OLD 0.8 04'!$A$18:$A$200),2,0)),
VLOOKUP(A75+1-COUNT('Шаг2.Бланк заказа NEW'!$B$19:$B$201)-COUNT('Бланк OLD 0.8 04'!$B$18:$B$200),CHOOSE({1,2},'Бланк OLD 2.0 04 '!$B$18:$B$200,'Бланк OLD 2.0 04 '!$A$18:$A$200),2,0)),"")</f>
        <v/>
      </c>
      <c r="D76" s="150" t="str">
        <f ca="1">IFERROR(VLOOKUP(C76,'Шаг1.Выбор плиты'!C:G,5,0),"")</f>
        <v/>
      </c>
      <c r="E76" s="147" t="str">
        <f ca="1">IFERROR(IFERROR(IF(VLOOKUP($A76,'Шаг2.Бланк заказа NEW'!$B$17:$N$201,2,0)="","",VLOOKUP($A76,'Шаг2.Бланк заказа NEW'!$B$17:$N$201,2,0)),
IF(VLOOKUP($A76-COUNT('Шаг2.Бланк заказа NEW'!$B$19:$B$201),'Бланк OLD 0.8 04'!$B$12:$K$200,2,0)="","",VLOOKUP($A76-COUNT('Шаг2.Бланк заказа NEW'!$B$19:$B$201),'Бланк OLD 0.8 04'!$B$12:$K$200,2,0))),
IF(VLOOKUP($A76-COUNT('Шаг2.Бланк заказа NEW'!$B$19:$B$201)-COUNT('Бланк OLD 0.8 04'!$B$18:$B$200),'Бланк OLD 2.0 04 '!$B$16:$K$200,2,0)="","",VLOOKUP($A76-COUNT('Шаг2.Бланк заказа NEW'!$B$19:$B$201)-COUNT('Бланк OLD 0.8 04'!$B$18:$B$200),'Бланк OLD 2.0 04 '!$B$16:$K$200,2,0)))</f>
        <v/>
      </c>
      <c r="F76" s="147" t="str">
        <f ca="1">IFERROR(IFERROR(IF(VLOOKUP($A76,'Шаг2.Бланк заказа NEW'!$B$17:$N$201,3,0)="","",VLOOKUP($A76,'Шаг2.Бланк заказа NEW'!$B$17:$N$201,3,0)),
IF(VLOOKUP($A76-COUNT('Шаг2.Бланк заказа NEW'!$B$19:$B$201),'Бланк OLD 0.8 04'!$B$12:$K$200,3,0)="","",VLOOKUP($A76-COUNT('Шаг2.Бланк заказа NEW'!$B$19:$B$201),'Бланк OLD 0.8 04'!$B$12:$K$200,3,0))),
IF(VLOOKUP($A76-COUNT('Шаг2.Бланк заказа NEW'!$B$19:$B$201)-COUNT('Бланк OLD 0.8 04'!$B$18:$B$200),'Бланк OLD 2.0 04 '!$B$16:$K$200,3,0)="","",VLOOKUP($A76-COUNT('Шаг2.Бланк заказа NEW'!$B$19:$B$201)-COUNT('Бланк OLD 0.8 04'!$B$18:$B$200),'Бланк OLD 2.0 04 '!$B$16:$K$200,3,0)))</f>
        <v/>
      </c>
      <c r="G76" s="176" t="str">
        <f ca="1">IF(IF(R76="","",IF(R76=1,SUMIFS('Шаг1.Выбор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плиты'!C:Q,12,0)),1))))))=0,
R76,
IF(R76="","",IF(R76=1,SUMIFS('Шаг1.Выбор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плиты'!N:N,R76,'Шаг1.Выбор плиты'!M:M,SMALL(INDIRECT("мм"&amp;VLOOKUP(C76,'Шаг1.Выбор плиты'!C:Q,12,0)),1)))))))</f>
        <v/>
      </c>
      <c r="H76" s="177" t="str">
        <f ca="1">IF(IF(S76="","",IF(S76=1,SUMIFS('Шаг1.Выбор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плиты'!C:Q,12,0)),1))))))=0,
S76,
IF(S76="","",IF(S76=1,SUMIFS('Шаг1.Выбор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плиты'!N:N,S76,'Шаг1.Выбор плиты'!M:M,SMALL(INDIRECT("мм"&amp;VLOOKUP(C76,'Шаг1.Выбор плиты'!C:Q,12,0)),1)))))))</f>
        <v/>
      </c>
      <c r="I76" s="147" t="str">
        <f ca="1">IFERROR(IFERROR(IF(VLOOKUP($A76,'Шаг2.Бланк заказа NEW'!$B$17:$N$201,6,0)="","",VLOOKUP($A76,'Шаг2.Бланк заказа NEW'!$B$17:$N$201,6,0)),
IF(VLOOKUP($A76-COUNT('Шаг2.Бланк заказа NEW'!$B$19:$B$201),'Бланк OLD 0.8 04'!$B$12:$K$200,6,0)="","",VLOOKUP($A76-COUNT('Шаг2.Бланк заказа NEW'!$B$19:$B$201),'Бланк OLD 0.8 04'!$B$12:$K$200,6,0))),
IF(VLOOKUP($A76-COUNT('Шаг2.Бланк заказа NEW'!$B$19:$B$201)-COUNT('Бланк OLD 0.8 04'!$B$18:$B$200),'Бланк OLD 2.0 04 '!$B$16:$K$200,6,0)="","",VLOOKUP($A76-COUNT('Шаг2.Бланк заказа NEW'!$B$19:$B$201)-COUNT('Бланк OLD 0.8 04'!$B$18:$B$200),'Бланк OLD 2.0 04 '!$B$16:$K$200,6,0)))</f>
        <v/>
      </c>
      <c r="J76" s="177" t="str">
        <f ca="1">IF(IF(T76="","",IF(T76=1,SUMIFS('Шаг1.Выбор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плиты'!C:Q,12,0)),1))))))=0,
T76,
IF(T76="","",IF(T76=1,SUMIFS('Шаг1.Выбор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плиты'!N:N,T76,'Шаг1.Выбор плиты'!M:M,SMALL(INDIRECT("мм"&amp;VLOOKUP(C76,'Шаг1.Выбор плиты'!C:Q,12,0)),1)))))))</f>
        <v/>
      </c>
      <c r="K76" s="177" t="str">
        <f ca="1">IF(IF(U76="","",IF(U76=1,SUMIFS('Шаг1.Выбор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плиты'!C:Q,12,0)),1))))))=0,
U76,
IF(U76="","",IF(U76=1,SUMIFS('Шаг1.Выбор плиты'!$G:$G,'Шаг1.Выбор плиты'!J:J,"*"&amp;RIGHT(VLOOKUP(C76,'Шаг1.Выбор плиты'!C:Q,8,0),4),'Шаг1.Выбор плиты'!L:L,IF(MID(C76,1,6)="ЛДСП P","TM"&amp;MID(VLOOKUP(C76,'Шаг1.Выбор плиты'!C:Q,10,0),3,2),MID(VLOOKUP(C76,'Шаг1.Выбор плиты'!C:Q,10,0),1,2)),
'Шаг1.Выбор плиты'!N:N,1),IF(SUMIFS('Шаг1.Выбор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плиты'!C:Q,12,0)),1))=0,
IF(SUMIFS('Шаг1.Выбор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плиты'!C:Q,12,0)),2))=0,
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плиты'!C:Q,12,0)),3)),
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плиты'!C:Q,12,0)),2))),
(SUMIFS('Шаг1.Выбор плиты'!$G:$G,'Шаг1.Выбор плиты'!J:J,"*"&amp;RIGHT(VLOOKUP(C76,'Шаг1.Выбор плиты'!C:Q,8,0),4),'Шаг1.Выбор плиты'!L:L,VLOOKUP(C76,'Шаг1.Выбор плиты'!C:Q,10,0),'Шаг1.Выбор плиты'!N:N,U76,'Шаг1.Выбор плиты'!M:M,SMALL(INDIRECT("мм"&amp;VLOOKUP(C76,'Шаг1.Выбор плиты'!C:Q,12,0)),1)))))))</f>
        <v/>
      </c>
      <c r="L76" s="147" t="str">
        <f ca="1">IFERROR(IFERROR(IF(VLOOKUP($A76,'Шаг2.Бланк заказа NEW'!$B$17:$N$201,9,0)="","",VLOOKUP($A76,'Шаг2.Бланк заказа NEW'!$B$17:$N$201,9,0)),
IF(VLOOKUP($A76-COUNT('Шаг2.Бланк заказа NEW'!$B$19:$B$201),'Бланк OLD 0.8 04'!$B$12:$K$200,9,0)="","",VLOOKUP($A76-COUNT('Шаг2.Бланк заказа NEW'!$B$19:$B$201),'Бланк OLD 0.8 04'!$B$12:$K$200,9,0))),
IF(VLOOKUP($A76-COUNT('Шаг2.Бланк заказа NEW'!$B$19:$B$201)-COUNT('Бланк OLD 0.8 04'!$B$18:$B$200),'Бланк OLD 2.0 04 '!$B$16:$K$200,9,0)="","",VLOOKUP($A76-COUNT('Шаг2.Бланк заказа NEW'!$B$19:$B$201)-COUNT('Бланк OLD 0.8 04'!$B$18:$B$200),'Бланк OLD 2.0 04 '!$B$16:$K$200,9,0)))</f>
        <v/>
      </c>
      <c r="M76" s="154" t="str">
        <f t="shared" ca="1" si="5"/>
        <v/>
      </c>
      <c r="N76" s="153" t="str">
        <f ca="1">IFERROR(IF(VLOOKUP($A76,'Шаг2.Бланк заказа NEW'!$B$17:$N$201,11,0)="","",VLOOKUP($A76,'Шаг2.Бланк заказа NEW'!$B$17:$N$201,11,0)),
"Нет")</f>
        <v/>
      </c>
      <c r="O76" s="147" t="str">
        <f ca="1">IFERROR(IF(VLOOKUP($A76,'Шаг2.Бланк заказа NEW'!$B$17:$N$201,11,0)="","",VLOOKUP($A76,'Шаг2.Бланк заказа NEW'!$B$17:$N$201,12,0)),
"Нет")</f>
        <v/>
      </c>
      <c r="P76" s="153" t="str">
        <f ca="1">IFERROR(IF(VLOOKUP($A76,'Шаг2.Бланк заказа NEW'!$B$17:$N$201,13,0)="","",VLOOKUP($A76,'Шаг2.Бланк заказа NEW'!$B$17:$N$201,13,0)),
"Нет")</f>
        <v/>
      </c>
      <c r="Q76" s="147" t="str">
        <f ca="1">IFERROR(IF(VLOOKUP($A76,'Шаг2.Бланк заказа NEW'!$B$17:$O$201,14,0)="","",VLOOKUP($A76,'Шаг2.Бланк заказа NEW'!$B$17:$O$201,14,0)),"")</f>
        <v/>
      </c>
      <c r="R76" s="147" t="str">
        <f ca="1">IFERROR(IFERROR(IF(VLOOKUP($A76,'Шаг2.Бланк заказа NEW'!$B$17:$N$201,4,0)="","",VLOOKUP($A76,'Шаг2.Бланк заказа NEW'!$B$17:$N$201,4,0)),
IF(VLOOKUP($A76-COUNT('Шаг2.Бланк заказа NEW'!$B$19:$B$201),'Бланк OLD 0.8 04'!$B$12:$K$200,4,0)&gt;0,0.8,
IF(VLOOKUP($A76-COUNT('Шаг2.Бланк заказа NEW'!$B$19:$B$201),'Бланк OLD 0.8 04'!$B$12:$K$200,5,0)&gt;0,0.4,""))),
IF(VLOOKUP($A76-COUNT('Шаг2.Бланк заказа NEW'!$B$19:$B$201)-COUNT('Бланк OLD 0.8 04'!$B$18:$B$200),'Бланк OLD 2.0 04 '!$B$16:$K$200,4,0)&gt;0,2,IF(VLOOKUP($A76-COUNT('Шаг2.Бланк заказа NEW'!$B$19:$B$201)-COUNT('Бланк OLD 0.8 04'!$B$18:$B$200),'Бланк OLD 2.0 04 '!$B$16:$K$200,5,0)&gt;0,0.4,"")))</f>
        <v/>
      </c>
      <c r="S76" s="147" t="str">
        <f ca="1">IFERROR(IFERROR(IF(VLOOKUP($A76,'Шаг2.Бланк заказа NEW'!$B$17:$N$201,5,0)="","",VLOOKUP($A76,'Шаг2.Бланк заказа NEW'!$B$17:$N$201,5,0)),
IF(VLOOKUP($A76-COUNT('Шаг2.Бланк заказа NEW'!$B$19:$B$201),'Бланк OLD 0.8 04'!$B$12:$K$200,4,0)&gt;1,0.8,
IF(VLOOKUP($A76-COUNT('Шаг2.Бланк заказа NEW'!$B$19:$B$201),'Бланк OLD 0.8 04'!$B$12:$K$200,5,0)&gt;1,0.4,
IF(AND(VLOOKUP($A76-COUNT('Шаг2.Бланк заказа NEW'!$B$19:$B$201),'Бланк OLD 0.8 04'!$B$12:$K$200,4,0)&gt;0,VLOOKUP($A76-COUNT('Шаг2.Бланк заказа NEW'!$B$19:$B$201),'Бланк OLD 0.8 04'!$B$12:$K$200,5,0)&gt;0),0.4,"")))),
IF(VLOOKUP($A76-COUNT('Шаг2.Бланк заказа NEW'!$B$19:$B$201)-COUNT('Бланк OLD 0.8 04'!$B$18:$B$200),'Бланк OLD 2.0 04 '!$B$16:$K$200,4,0)&gt;1,2,
IF(VLOOKUP($A76-COUNT('Шаг2.Бланк заказа NEW'!$B$19:$B$201)-COUNT('Бланк OLD 0.8 04'!$B$18:$B$200),'Бланк OLD 2.0 04 '!$B$16:$K$200,5,0)&gt;1,0.4,IF(AND(VLOOKUP($A76-COUNT('Шаг2.Бланк заказа NEW'!$B$19:$B$201)-COUNT('Бланк OLD 0.8 04'!$B$18:$B$200),'Бланк OLD 2.0 04 '!$B$16:$K$200,4,0)&gt;0,VLOOKUP($A76-COUNT('Шаг2.Бланк заказа NEW'!$B$19:$B$201)-COUNT('Бланк OLD 0.8 04'!$B$18:$B$200),'Бланк OLD 2.0 04 '!$B$16:$K$200,5,0)&gt;0),0.4,""))))</f>
        <v/>
      </c>
      <c r="T76" s="147" t="str">
        <f ca="1">IFERROR(IFERROR(IF(VLOOKUP($A76,'Шаг2.Бланк заказа NEW'!$B$17:$N$201,7,0)="","",VLOOKUP($A76,'Шаг2.Бланк заказа NEW'!$B$17:$N$201,7,0)),
IF(VLOOKUP($A76-COUNT('Шаг2.Бланк заказа NEW'!$B$19:$B$201),'Бланк OLD 0.8 04'!$B$12:$K$200,7,0)&gt;0,0.8,
IF(VLOOKUP($A76-COUNT('Шаг2.Бланк заказа NEW'!$B$19:$B$201),'Бланк OLD 0.8 04'!$B$12:$K$200,8,0)&gt;0,0.4,""))),
IF(VLOOKUP($A76-COUNT('Шаг2.Бланк заказа NEW'!$B$19:$B$201)-COUNT('Бланк OLD 0.8 04'!$B$18:$B$200),'Бланк OLD 2.0 04 '!$B$16:$K$200,7,0)&gt;0,2,IF(VLOOKUP($A76-COUNT('Шаг2.Бланк заказа NEW'!$B$19:$B$201)-COUNT('Бланк OLD 0.8 04'!$B$18:$B$200),'Бланк OLD 2.0 04 '!$B$16:$K$200,8,0)&gt;0,0.4,"")))</f>
        <v/>
      </c>
      <c r="U76" s="147" t="str">
        <f ca="1">IFERROR(IFERROR(IF(VLOOKUP($A76,'Шаг2.Бланк заказа NEW'!$B$17:$N$201,8,0)="","",VLOOKUP($A76,'Шаг2.Бланк заказа NEW'!$B$17:$N$201,8,0)),
IF(VLOOKUP($A76-COUNT('Шаг2.Бланк заказа NEW'!$B$19:$B$201),'Бланк OLD 0.8 04'!$B$12:$K$200,7,0)&gt;1,0.8,
IF(VLOOKUP($A76-COUNT('Шаг2.Бланк заказа NEW'!$B$19:$B$201),'Бланк OLD 0.8 04'!$B$12:$K$200,8,0)&gt;1,0.4,
IF(AND(VLOOKUP($A76-COUNT('Шаг2.Бланк заказа NEW'!$B$19:$B$201),'Бланк OLD 0.8 04'!$B$12:$K$200,7,0)&gt;0,VLOOKUP($A76-COUNT('Шаг2.Бланк заказа NEW'!$B$19:$B$201),'Бланк OLD 0.8 04'!$B$12:$K$200,8,0)&gt;0),0.4,"")))),
IF(VLOOKUP($A76-COUNT('Шаг2.Бланк заказа NEW'!$B$19:$B$201)-COUNT('Бланк OLD 0.8 04'!$B$18:$B$200),'Бланк OLD 2.0 04 '!$B$16:$K$200,7,0)&gt;1,2,
IF(VLOOKUP($A76-COUNT('Шаг2.Бланк заказа NEW'!$B$19:$B$201)-COUNT('Бланк OLD 0.8 04'!$B$18:$B$200),'Бланк OLD 2.0 04 '!$B$16:$K$200,8,0)&gt;1,0.4,
IF(AND(VLOOKUP($A76-COUNT('Шаг2.Бланк заказа NEW'!$B$19:$B$201)-COUNT('Бланк OLD 0.8 04'!$B$18:$B$200),'Бланк OLD 2.0 04 '!$B$16:$K$200,7,0)&gt;0,VLOOKUP($A76-COUNT('Шаг2.Бланк заказа NEW'!$B$19:$B$201)-COUNT('Бланк OLD 0.8 04'!$B$18:$B$200),'Бланк OLD 2.0 04 '!$B$16:$K$200,8,0)&gt;0),0.4,""))))</f>
        <v/>
      </c>
      <c r="V76" s="146" t="str">
        <f ca="1">IFERROR(VLOOKUP(C76,'Шаг1.Выбор плиты'!C:S,12,0),"")</f>
        <v/>
      </c>
      <c r="W76" s="146" t="str">
        <f ca="1">IFERROR(VLOOKUP(C76,'Шаг1.Выбор плиты'!C:S,8,0),"")</f>
        <v/>
      </c>
      <c r="X76" s="146" t="str">
        <f ca="1">IFERROR(VLOOKUP(C76,'Шаг1.Выбор плиты'!C:S,10,0),"")</f>
        <v/>
      </c>
      <c r="Y76" s="147" t="str">
        <f t="shared" ca="1" si="8"/>
        <v/>
      </c>
      <c r="AD76" s="147" t="str">
        <f t="shared" ca="1" si="6"/>
        <v/>
      </c>
      <c r="AE76" s="147" t="str">
        <f t="shared" ca="1" si="9"/>
        <v/>
      </c>
      <c r="AF76" s="25"/>
      <c r="AH76" s="147" t="str">
        <f ca="1">IF(C76="","",VLOOKUP(C76,'Шаг1.Выбор плиты'!C:Q,7,0))</f>
        <v/>
      </c>
      <c r="AI76" s="147" t="str">
        <f t="shared" ca="1" si="7"/>
        <v/>
      </c>
    </row>
    <row r="77" spans="1:35" x14ac:dyDescent="0.2">
      <c r="A77" s="151" t="str">
        <f ca="1">IF(C77="","",MAX($A$1:OFFSET(C77,-1,0))+1)</f>
        <v/>
      </c>
      <c r="B77" s="151" t="str">
        <f ca="1">IFERROR(IFERROR(IFERROR("Шаг2.Бланк заказа NEW №"&amp;VLOOKUP(A76+1,CHOOSE({1,2},'Шаг2.Бланк заказа NEW'!$B$19:$B$201,'Шаг2.Бланк заказа NEW'!$A$19:$A$201),1,0),
"Бланк OLD 0.8 04 №"&amp;VLOOKUP(A76+1-COUNT('Шаг2.Бланк заказа NEW'!$B$19:$B$201),CHOOSE({1,2},'Бланк OLD 0.8 04'!$B$18:$B$200,'Бланк OLD 0.8 04'!$A$18:$A$200),1,0)),
"Бланк OLD 2.0 04 №"&amp;VLOOKUP(A76+1-COUNT('Шаг2.Бланк заказа NEW'!$B$19:$B$201)-COUNT('Бланк OLD 0.8 04'!$B$18:$B$200),CHOOSE({1,2},'Бланк OLD 2.0 04 '!$B$18:$B$200,'Бланк OLD 2.0 04 '!$A$18:$A$200),1,0)),"")</f>
        <v/>
      </c>
      <c r="C77" s="152" t="str">
        <f ca="1">IFERROR(IFERROR(IFERROR(VLOOKUP(A76+1,CHOOSE({1,2},'Шаг2.Бланк заказа NEW'!$B$19:$B$201,'Шаг2.Бланк заказа NEW'!$A$19:$A$201),2,0),
VLOOKUP(A76+1-COUNT('Шаг2.Бланк заказа NEW'!$B$19:$B$201),CHOOSE({1,2},'Бланк OLD 0.8 04'!$B$18:$B$200,'Бланк OLD 0.8 04'!$A$18:$A$200),2,0)),
VLOOKUP(A76+1-COUNT('Шаг2.Бланк заказа NEW'!$B$19:$B$201)-COUNT('Бланк OLD 0.8 04'!$B$18:$B$200),CHOOSE({1,2},'Бланк OLD 2.0 04 '!$B$18:$B$200,'Бланк OLD 2.0 04 '!$A$18:$A$200),2,0)),"")</f>
        <v/>
      </c>
      <c r="D77" s="150" t="str">
        <f ca="1">IFERROR(VLOOKUP(C77,'Шаг1.Выбор плиты'!C:G,5,0),"")</f>
        <v/>
      </c>
      <c r="E77" s="147" t="str">
        <f ca="1">IFERROR(IFERROR(IF(VLOOKUP($A77,'Шаг2.Бланк заказа NEW'!$B$17:$N$201,2,0)="","",VLOOKUP($A77,'Шаг2.Бланк заказа NEW'!$B$17:$N$201,2,0)),
IF(VLOOKUP($A77-COUNT('Шаг2.Бланк заказа NEW'!$B$19:$B$201),'Бланк OLD 0.8 04'!$B$12:$K$200,2,0)="","",VLOOKUP($A77-COUNT('Шаг2.Бланк заказа NEW'!$B$19:$B$201),'Бланк OLD 0.8 04'!$B$12:$K$200,2,0))),
IF(VLOOKUP($A77-COUNT('Шаг2.Бланк заказа NEW'!$B$19:$B$201)-COUNT('Бланк OLD 0.8 04'!$B$18:$B$200),'Бланк OLD 2.0 04 '!$B$16:$K$200,2,0)="","",VLOOKUP($A77-COUNT('Шаг2.Бланк заказа NEW'!$B$19:$B$201)-COUNT('Бланк OLD 0.8 04'!$B$18:$B$200),'Бланк OLD 2.0 04 '!$B$16:$K$200,2,0)))</f>
        <v/>
      </c>
      <c r="F77" s="147" t="str">
        <f ca="1">IFERROR(IFERROR(IF(VLOOKUP($A77,'Шаг2.Бланк заказа NEW'!$B$17:$N$201,3,0)="","",VLOOKUP($A77,'Шаг2.Бланк заказа NEW'!$B$17:$N$201,3,0)),
IF(VLOOKUP($A77-COUNT('Шаг2.Бланк заказа NEW'!$B$19:$B$201),'Бланк OLD 0.8 04'!$B$12:$K$200,3,0)="","",VLOOKUP($A77-COUNT('Шаг2.Бланк заказа NEW'!$B$19:$B$201),'Бланк OLD 0.8 04'!$B$12:$K$200,3,0))),
IF(VLOOKUP($A77-COUNT('Шаг2.Бланк заказа NEW'!$B$19:$B$201)-COUNT('Бланк OLD 0.8 04'!$B$18:$B$200),'Бланк OLD 2.0 04 '!$B$16:$K$200,3,0)="","",VLOOKUP($A77-COUNT('Шаг2.Бланк заказа NEW'!$B$19:$B$201)-COUNT('Бланк OLD 0.8 04'!$B$18:$B$200),'Бланк OLD 2.0 04 '!$B$16:$K$200,3,0)))</f>
        <v/>
      </c>
      <c r="G77" s="176" t="str">
        <f ca="1">IF(IF(R77="","",IF(R77=1,SUMIFS('Шаг1.Выбор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плиты'!C:Q,12,0)),1))))))=0,
R77,
IF(R77="","",IF(R77=1,SUMIFS('Шаг1.Выбор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плиты'!N:N,R77,'Шаг1.Выбор плиты'!M:M,SMALL(INDIRECT("мм"&amp;VLOOKUP(C77,'Шаг1.Выбор плиты'!C:Q,12,0)),1)))))))</f>
        <v/>
      </c>
      <c r="H77" s="177" t="str">
        <f ca="1">IF(IF(S77="","",IF(S77=1,SUMIFS('Шаг1.Выбор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плиты'!C:Q,12,0)),1))))))=0,
S77,
IF(S77="","",IF(S77=1,SUMIFS('Шаг1.Выбор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плиты'!N:N,S77,'Шаг1.Выбор плиты'!M:M,SMALL(INDIRECT("мм"&amp;VLOOKUP(C77,'Шаг1.Выбор плиты'!C:Q,12,0)),1)))))))</f>
        <v/>
      </c>
      <c r="I77" s="147" t="str">
        <f ca="1">IFERROR(IFERROR(IF(VLOOKUP($A77,'Шаг2.Бланк заказа NEW'!$B$17:$N$201,6,0)="","",VLOOKUP($A77,'Шаг2.Бланк заказа NEW'!$B$17:$N$201,6,0)),
IF(VLOOKUP($A77-COUNT('Шаг2.Бланк заказа NEW'!$B$19:$B$201),'Бланк OLD 0.8 04'!$B$12:$K$200,6,0)="","",VLOOKUP($A77-COUNT('Шаг2.Бланк заказа NEW'!$B$19:$B$201),'Бланк OLD 0.8 04'!$B$12:$K$200,6,0))),
IF(VLOOKUP($A77-COUNT('Шаг2.Бланк заказа NEW'!$B$19:$B$201)-COUNT('Бланк OLD 0.8 04'!$B$18:$B$200),'Бланк OLD 2.0 04 '!$B$16:$K$200,6,0)="","",VLOOKUP($A77-COUNT('Шаг2.Бланк заказа NEW'!$B$19:$B$201)-COUNT('Бланк OLD 0.8 04'!$B$18:$B$200),'Бланк OLD 2.0 04 '!$B$16:$K$200,6,0)))</f>
        <v/>
      </c>
      <c r="J77" s="177" t="str">
        <f ca="1">IF(IF(T77="","",IF(T77=1,SUMIFS('Шаг1.Выбор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плиты'!C:Q,12,0)),1))))))=0,
T77,
IF(T77="","",IF(T77=1,SUMIFS('Шаг1.Выбор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плиты'!N:N,T77,'Шаг1.Выбор плиты'!M:M,SMALL(INDIRECT("мм"&amp;VLOOKUP(C77,'Шаг1.Выбор плиты'!C:Q,12,0)),1)))))))</f>
        <v/>
      </c>
      <c r="K77" s="177" t="str">
        <f ca="1">IF(IF(U77="","",IF(U77=1,SUMIFS('Шаг1.Выбор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плиты'!C:Q,12,0)),1))))))=0,
U77,
IF(U77="","",IF(U77=1,SUMIFS('Шаг1.Выбор плиты'!$G:$G,'Шаг1.Выбор плиты'!J:J,"*"&amp;RIGHT(VLOOKUP(C77,'Шаг1.Выбор плиты'!C:Q,8,0),4),'Шаг1.Выбор плиты'!L:L,IF(MID(C77,1,6)="ЛДСП P","TM"&amp;MID(VLOOKUP(C77,'Шаг1.Выбор плиты'!C:Q,10,0),3,2),MID(VLOOKUP(C77,'Шаг1.Выбор плиты'!C:Q,10,0),1,2)),
'Шаг1.Выбор плиты'!N:N,1),IF(SUMIFS('Шаг1.Выбор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плиты'!C:Q,12,0)),1))=0,
IF(SUMIFS('Шаг1.Выбор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плиты'!C:Q,12,0)),2))=0,
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плиты'!C:Q,12,0)),3)),
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плиты'!C:Q,12,0)),2))),
(SUMIFS('Шаг1.Выбор плиты'!$G:$G,'Шаг1.Выбор плиты'!J:J,"*"&amp;RIGHT(VLOOKUP(C77,'Шаг1.Выбор плиты'!C:Q,8,0),4),'Шаг1.Выбор плиты'!L:L,VLOOKUP(C77,'Шаг1.Выбор плиты'!C:Q,10,0),'Шаг1.Выбор плиты'!N:N,U77,'Шаг1.Выбор плиты'!M:M,SMALL(INDIRECT("мм"&amp;VLOOKUP(C77,'Шаг1.Выбор плиты'!C:Q,12,0)),1)))))))</f>
        <v/>
      </c>
      <c r="L77" s="147" t="str">
        <f ca="1">IFERROR(IFERROR(IF(VLOOKUP($A77,'Шаг2.Бланк заказа NEW'!$B$17:$N$201,9,0)="","",VLOOKUP($A77,'Шаг2.Бланк заказа NEW'!$B$17:$N$201,9,0)),
IF(VLOOKUP($A77-COUNT('Шаг2.Бланк заказа NEW'!$B$19:$B$201),'Бланк OLD 0.8 04'!$B$12:$K$200,9,0)="","",VLOOKUP($A77-COUNT('Шаг2.Бланк заказа NEW'!$B$19:$B$201),'Бланк OLD 0.8 04'!$B$12:$K$200,9,0))),
IF(VLOOKUP($A77-COUNT('Шаг2.Бланк заказа NEW'!$B$19:$B$201)-COUNT('Бланк OLD 0.8 04'!$B$18:$B$200),'Бланк OLD 2.0 04 '!$B$16:$K$200,9,0)="","",VLOOKUP($A77-COUNT('Шаг2.Бланк заказа NEW'!$B$19:$B$201)-COUNT('Бланк OLD 0.8 04'!$B$18:$B$200),'Бланк OLD 2.0 04 '!$B$16:$K$200,9,0)))</f>
        <v/>
      </c>
      <c r="M77" s="154" t="str">
        <f t="shared" ca="1" si="5"/>
        <v/>
      </c>
      <c r="N77" s="153" t="str">
        <f ca="1">IFERROR(IF(VLOOKUP($A77,'Шаг2.Бланк заказа NEW'!$B$17:$N$201,11,0)="","",VLOOKUP($A77,'Шаг2.Бланк заказа NEW'!$B$17:$N$201,11,0)),
"Нет")</f>
        <v/>
      </c>
      <c r="O77" s="147" t="str">
        <f ca="1">IFERROR(IF(VLOOKUP($A77,'Шаг2.Бланк заказа NEW'!$B$17:$N$201,11,0)="","",VLOOKUP($A77,'Шаг2.Бланк заказа NEW'!$B$17:$N$201,12,0)),
"Нет")</f>
        <v/>
      </c>
      <c r="P77" s="153" t="str">
        <f ca="1">IFERROR(IF(VLOOKUP($A77,'Шаг2.Бланк заказа NEW'!$B$17:$N$201,13,0)="","",VLOOKUP($A77,'Шаг2.Бланк заказа NEW'!$B$17:$N$201,13,0)),
"Нет")</f>
        <v/>
      </c>
      <c r="Q77" s="147" t="str">
        <f ca="1">IFERROR(IF(VLOOKUP($A77,'Шаг2.Бланк заказа NEW'!$B$17:$O$201,14,0)="","",VLOOKUP($A77,'Шаг2.Бланк заказа NEW'!$B$17:$O$201,14,0)),"")</f>
        <v/>
      </c>
      <c r="R77" s="147" t="str">
        <f ca="1">IFERROR(IFERROR(IF(VLOOKUP($A77,'Шаг2.Бланк заказа NEW'!$B$17:$N$201,4,0)="","",VLOOKUP($A77,'Шаг2.Бланк заказа NEW'!$B$17:$N$201,4,0)),
IF(VLOOKUP($A77-COUNT('Шаг2.Бланк заказа NEW'!$B$19:$B$201),'Бланк OLD 0.8 04'!$B$12:$K$200,4,0)&gt;0,0.8,
IF(VLOOKUP($A77-COUNT('Шаг2.Бланк заказа NEW'!$B$19:$B$201),'Бланк OLD 0.8 04'!$B$12:$K$200,5,0)&gt;0,0.4,""))),
IF(VLOOKUP($A77-COUNT('Шаг2.Бланк заказа NEW'!$B$19:$B$201)-COUNT('Бланк OLD 0.8 04'!$B$18:$B$200),'Бланк OLD 2.0 04 '!$B$16:$K$200,4,0)&gt;0,2,IF(VLOOKUP($A77-COUNT('Шаг2.Бланк заказа NEW'!$B$19:$B$201)-COUNT('Бланк OLD 0.8 04'!$B$18:$B$200),'Бланк OLD 2.0 04 '!$B$16:$K$200,5,0)&gt;0,0.4,"")))</f>
        <v/>
      </c>
      <c r="S77" s="147" t="str">
        <f ca="1">IFERROR(IFERROR(IF(VLOOKUP($A77,'Шаг2.Бланк заказа NEW'!$B$17:$N$201,5,0)="","",VLOOKUP($A77,'Шаг2.Бланк заказа NEW'!$B$17:$N$201,5,0)),
IF(VLOOKUP($A77-COUNT('Шаг2.Бланк заказа NEW'!$B$19:$B$201),'Бланк OLD 0.8 04'!$B$12:$K$200,4,0)&gt;1,0.8,
IF(VLOOKUP($A77-COUNT('Шаг2.Бланк заказа NEW'!$B$19:$B$201),'Бланк OLD 0.8 04'!$B$12:$K$200,5,0)&gt;1,0.4,
IF(AND(VLOOKUP($A77-COUNT('Шаг2.Бланк заказа NEW'!$B$19:$B$201),'Бланк OLD 0.8 04'!$B$12:$K$200,4,0)&gt;0,VLOOKUP($A77-COUNT('Шаг2.Бланк заказа NEW'!$B$19:$B$201),'Бланк OLD 0.8 04'!$B$12:$K$200,5,0)&gt;0),0.4,"")))),
IF(VLOOKUP($A77-COUNT('Шаг2.Бланк заказа NEW'!$B$19:$B$201)-COUNT('Бланк OLD 0.8 04'!$B$18:$B$200),'Бланк OLD 2.0 04 '!$B$16:$K$200,4,0)&gt;1,2,
IF(VLOOKUP($A77-COUNT('Шаг2.Бланк заказа NEW'!$B$19:$B$201)-COUNT('Бланк OLD 0.8 04'!$B$18:$B$200),'Бланк OLD 2.0 04 '!$B$16:$K$200,5,0)&gt;1,0.4,IF(AND(VLOOKUP($A77-COUNT('Шаг2.Бланк заказа NEW'!$B$19:$B$201)-COUNT('Бланк OLD 0.8 04'!$B$18:$B$200),'Бланк OLD 2.0 04 '!$B$16:$K$200,4,0)&gt;0,VLOOKUP($A77-COUNT('Шаг2.Бланк заказа NEW'!$B$19:$B$201)-COUNT('Бланк OLD 0.8 04'!$B$18:$B$200),'Бланк OLD 2.0 04 '!$B$16:$K$200,5,0)&gt;0),0.4,""))))</f>
        <v/>
      </c>
      <c r="T77" s="147" t="str">
        <f ca="1">IFERROR(IFERROR(IF(VLOOKUP($A77,'Шаг2.Бланк заказа NEW'!$B$17:$N$201,7,0)="","",VLOOKUP($A77,'Шаг2.Бланк заказа NEW'!$B$17:$N$201,7,0)),
IF(VLOOKUP($A77-COUNT('Шаг2.Бланк заказа NEW'!$B$19:$B$201),'Бланк OLD 0.8 04'!$B$12:$K$200,7,0)&gt;0,0.8,
IF(VLOOKUP($A77-COUNT('Шаг2.Бланк заказа NEW'!$B$19:$B$201),'Бланк OLD 0.8 04'!$B$12:$K$200,8,0)&gt;0,0.4,""))),
IF(VLOOKUP($A77-COUNT('Шаг2.Бланк заказа NEW'!$B$19:$B$201)-COUNT('Бланк OLD 0.8 04'!$B$18:$B$200),'Бланк OLD 2.0 04 '!$B$16:$K$200,7,0)&gt;0,2,IF(VLOOKUP($A77-COUNT('Шаг2.Бланк заказа NEW'!$B$19:$B$201)-COUNT('Бланк OLD 0.8 04'!$B$18:$B$200),'Бланк OLD 2.0 04 '!$B$16:$K$200,8,0)&gt;0,0.4,"")))</f>
        <v/>
      </c>
      <c r="U77" s="147" t="str">
        <f ca="1">IFERROR(IFERROR(IF(VLOOKUP($A77,'Шаг2.Бланк заказа NEW'!$B$17:$N$201,8,0)="","",VLOOKUP($A77,'Шаг2.Бланк заказа NEW'!$B$17:$N$201,8,0)),
IF(VLOOKUP($A77-COUNT('Шаг2.Бланк заказа NEW'!$B$19:$B$201),'Бланк OLD 0.8 04'!$B$12:$K$200,7,0)&gt;1,0.8,
IF(VLOOKUP($A77-COUNT('Шаг2.Бланк заказа NEW'!$B$19:$B$201),'Бланк OLD 0.8 04'!$B$12:$K$200,8,0)&gt;1,0.4,
IF(AND(VLOOKUP($A77-COUNT('Шаг2.Бланк заказа NEW'!$B$19:$B$201),'Бланк OLD 0.8 04'!$B$12:$K$200,7,0)&gt;0,VLOOKUP($A77-COUNT('Шаг2.Бланк заказа NEW'!$B$19:$B$201),'Бланк OLD 0.8 04'!$B$12:$K$200,8,0)&gt;0),0.4,"")))),
IF(VLOOKUP($A77-COUNT('Шаг2.Бланк заказа NEW'!$B$19:$B$201)-COUNT('Бланк OLD 0.8 04'!$B$18:$B$200),'Бланк OLD 2.0 04 '!$B$16:$K$200,7,0)&gt;1,2,
IF(VLOOKUP($A77-COUNT('Шаг2.Бланк заказа NEW'!$B$19:$B$201)-COUNT('Бланк OLD 0.8 04'!$B$18:$B$200),'Бланк OLD 2.0 04 '!$B$16:$K$200,8,0)&gt;1,0.4,
IF(AND(VLOOKUP($A77-COUNT('Шаг2.Бланк заказа NEW'!$B$19:$B$201)-COUNT('Бланк OLD 0.8 04'!$B$18:$B$200),'Бланк OLD 2.0 04 '!$B$16:$K$200,7,0)&gt;0,VLOOKUP($A77-COUNT('Шаг2.Бланк заказа NEW'!$B$19:$B$201)-COUNT('Бланк OLD 0.8 04'!$B$18:$B$200),'Бланк OLD 2.0 04 '!$B$16:$K$200,8,0)&gt;0),0.4,""))))</f>
        <v/>
      </c>
      <c r="V77" s="146" t="str">
        <f ca="1">IFERROR(VLOOKUP(C77,'Шаг1.Выбор плиты'!C:S,12,0),"")</f>
        <v/>
      </c>
      <c r="W77" s="146" t="str">
        <f ca="1">IFERROR(VLOOKUP(C77,'Шаг1.Выбор плиты'!C:S,8,0),"")</f>
        <v/>
      </c>
      <c r="X77" s="146" t="str">
        <f ca="1">IFERROR(VLOOKUP(C77,'Шаг1.Выбор плиты'!C:S,10,0),"")</f>
        <v/>
      </c>
      <c r="Y77" s="147" t="str">
        <f t="shared" ca="1" si="8"/>
        <v/>
      </c>
      <c r="AD77" s="147" t="str">
        <f t="shared" ca="1" si="6"/>
        <v/>
      </c>
      <c r="AE77" s="147" t="str">
        <f t="shared" ca="1" si="9"/>
        <v/>
      </c>
      <c r="AF77" s="25"/>
      <c r="AH77" s="147" t="str">
        <f ca="1">IF(C77="","",VLOOKUP(C77,'Шаг1.Выбор плиты'!C:Q,7,0))</f>
        <v/>
      </c>
      <c r="AI77" s="147" t="str">
        <f t="shared" ca="1" si="7"/>
        <v/>
      </c>
    </row>
    <row r="78" spans="1:35" x14ac:dyDescent="0.2">
      <c r="A78" s="151" t="str">
        <f ca="1">IF(C78="","",MAX($A$1:OFFSET(C78,-1,0))+1)</f>
        <v/>
      </c>
      <c r="B78" s="151" t="str">
        <f ca="1">IFERROR(IFERROR(IFERROR("Шаг2.Бланк заказа NEW №"&amp;VLOOKUP(A77+1,CHOOSE({1,2},'Шаг2.Бланк заказа NEW'!$B$19:$B$201,'Шаг2.Бланк заказа NEW'!$A$19:$A$201),1,0),
"Бланк OLD 0.8 04 №"&amp;VLOOKUP(A77+1-COUNT('Шаг2.Бланк заказа NEW'!$B$19:$B$201),CHOOSE({1,2},'Бланк OLD 0.8 04'!$B$18:$B$200,'Бланк OLD 0.8 04'!$A$18:$A$200),1,0)),
"Бланк OLD 2.0 04 №"&amp;VLOOKUP(A77+1-COUNT('Шаг2.Бланк заказа NEW'!$B$19:$B$201)-COUNT('Бланк OLD 0.8 04'!$B$18:$B$200),CHOOSE({1,2},'Бланк OLD 2.0 04 '!$B$18:$B$200,'Бланк OLD 2.0 04 '!$A$18:$A$200),1,0)),"")</f>
        <v/>
      </c>
      <c r="C78" s="152" t="str">
        <f ca="1">IFERROR(IFERROR(IFERROR(VLOOKUP(A77+1,CHOOSE({1,2},'Шаг2.Бланк заказа NEW'!$B$19:$B$201,'Шаг2.Бланк заказа NEW'!$A$19:$A$201),2,0),
VLOOKUP(A77+1-COUNT('Шаг2.Бланк заказа NEW'!$B$19:$B$201),CHOOSE({1,2},'Бланк OLD 0.8 04'!$B$18:$B$200,'Бланк OLD 0.8 04'!$A$18:$A$200),2,0)),
VLOOKUP(A77+1-COUNT('Шаг2.Бланк заказа NEW'!$B$19:$B$201)-COUNT('Бланк OLD 0.8 04'!$B$18:$B$200),CHOOSE({1,2},'Бланк OLD 2.0 04 '!$B$18:$B$200,'Бланк OLD 2.0 04 '!$A$18:$A$200),2,0)),"")</f>
        <v/>
      </c>
      <c r="D78" s="150" t="str">
        <f ca="1">IFERROR(VLOOKUP(C78,'Шаг1.Выбор плиты'!C:G,5,0),"")</f>
        <v/>
      </c>
      <c r="E78" s="147" t="str">
        <f ca="1">IFERROR(IFERROR(IF(VLOOKUP($A78,'Шаг2.Бланк заказа NEW'!$B$17:$N$201,2,0)="","",VLOOKUP($A78,'Шаг2.Бланк заказа NEW'!$B$17:$N$201,2,0)),
IF(VLOOKUP($A78-COUNT('Шаг2.Бланк заказа NEW'!$B$19:$B$201),'Бланк OLD 0.8 04'!$B$12:$K$200,2,0)="","",VLOOKUP($A78-COUNT('Шаг2.Бланк заказа NEW'!$B$19:$B$201),'Бланк OLD 0.8 04'!$B$12:$K$200,2,0))),
IF(VLOOKUP($A78-COUNT('Шаг2.Бланк заказа NEW'!$B$19:$B$201)-COUNT('Бланк OLD 0.8 04'!$B$18:$B$200),'Бланк OLD 2.0 04 '!$B$16:$K$200,2,0)="","",VLOOKUP($A78-COUNT('Шаг2.Бланк заказа NEW'!$B$19:$B$201)-COUNT('Бланк OLD 0.8 04'!$B$18:$B$200),'Бланк OLD 2.0 04 '!$B$16:$K$200,2,0)))</f>
        <v/>
      </c>
      <c r="F78" s="147" t="str">
        <f ca="1">IFERROR(IFERROR(IF(VLOOKUP($A78,'Шаг2.Бланк заказа NEW'!$B$17:$N$201,3,0)="","",VLOOKUP($A78,'Шаг2.Бланк заказа NEW'!$B$17:$N$201,3,0)),
IF(VLOOKUP($A78-COUNT('Шаг2.Бланк заказа NEW'!$B$19:$B$201),'Бланк OLD 0.8 04'!$B$12:$K$200,3,0)="","",VLOOKUP($A78-COUNT('Шаг2.Бланк заказа NEW'!$B$19:$B$201),'Бланк OLD 0.8 04'!$B$12:$K$200,3,0))),
IF(VLOOKUP($A78-COUNT('Шаг2.Бланк заказа NEW'!$B$19:$B$201)-COUNT('Бланк OLD 0.8 04'!$B$18:$B$200),'Бланк OLD 2.0 04 '!$B$16:$K$200,3,0)="","",VLOOKUP($A78-COUNT('Шаг2.Бланк заказа NEW'!$B$19:$B$201)-COUNT('Бланк OLD 0.8 04'!$B$18:$B$200),'Бланк OLD 2.0 04 '!$B$16:$K$200,3,0)))</f>
        <v/>
      </c>
      <c r="G78" s="176" t="str">
        <f ca="1">IF(IF(R78="","",IF(R78=1,SUMIFS('Шаг1.Выбор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плиты'!C:Q,12,0)),1))))))=0,
R78,
IF(R78="","",IF(R78=1,SUMIFS('Шаг1.Выбор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плиты'!N:N,R78,'Шаг1.Выбор плиты'!M:M,SMALL(INDIRECT("мм"&amp;VLOOKUP(C78,'Шаг1.Выбор плиты'!C:Q,12,0)),1)))))))</f>
        <v/>
      </c>
      <c r="H78" s="177" t="str">
        <f ca="1">IF(IF(S78="","",IF(S78=1,SUMIFS('Шаг1.Выбор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плиты'!C:Q,12,0)),1))))))=0,
S78,
IF(S78="","",IF(S78=1,SUMIFS('Шаг1.Выбор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плиты'!N:N,S78,'Шаг1.Выбор плиты'!M:M,SMALL(INDIRECT("мм"&amp;VLOOKUP(C78,'Шаг1.Выбор плиты'!C:Q,12,0)),1)))))))</f>
        <v/>
      </c>
      <c r="I78" s="147" t="str">
        <f ca="1">IFERROR(IFERROR(IF(VLOOKUP($A78,'Шаг2.Бланк заказа NEW'!$B$17:$N$201,6,0)="","",VLOOKUP($A78,'Шаг2.Бланк заказа NEW'!$B$17:$N$201,6,0)),
IF(VLOOKUP($A78-COUNT('Шаг2.Бланк заказа NEW'!$B$19:$B$201),'Бланк OLD 0.8 04'!$B$12:$K$200,6,0)="","",VLOOKUP($A78-COUNT('Шаг2.Бланк заказа NEW'!$B$19:$B$201),'Бланк OLD 0.8 04'!$B$12:$K$200,6,0))),
IF(VLOOKUP($A78-COUNT('Шаг2.Бланк заказа NEW'!$B$19:$B$201)-COUNT('Бланк OLD 0.8 04'!$B$18:$B$200),'Бланк OLD 2.0 04 '!$B$16:$K$200,6,0)="","",VLOOKUP($A78-COUNT('Шаг2.Бланк заказа NEW'!$B$19:$B$201)-COUNT('Бланк OLD 0.8 04'!$B$18:$B$200),'Бланк OLD 2.0 04 '!$B$16:$K$200,6,0)))</f>
        <v/>
      </c>
      <c r="J78" s="177" t="str">
        <f ca="1">IF(IF(T78="","",IF(T78=1,SUMIFS('Шаг1.Выбор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плиты'!C:Q,12,0)),1))))))=0,
T78,
IF(T78="","",IF(T78=1,SUMIFS('Шаг1.Выбор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плиты'!N:N,T78,'Шаг1.Выбор плиты'!M:M,SMALL(INDIRECT("мм"&amp;VLOOKUP(C78,'Шаг1.Выбор плиты'!C:Q,12,0)),1)))))))</f>
        <v/>
      </c>
      <c r="K78" s="177" t="str">
        <f ca="1">IF(IF(U78="","",IF(U78=1,SUMIFS('Шаг1.Выбор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плиты'!C:Q,12,0)),1))))))=0,
U78,
IF(U78="","",IF(U78=1,SUMIFS('Шаг1.Выбор плиты'!$G:$G,'Шаг1.Выбор плиты'!J:J,"*"&amp;RIGHT(VLOOKUP(C78,'Шаг1.Выбор плиты'!C:Q,8,0),4),'Шаг1.Выбор плиты'!L:L,IF(MID(C78,1,6)="ЛДСП P","TM"&amp;MID(VLOOKUP(C78,'Шаг1.Выбор плиты'!C:Q,10,0),3,2),MID(VLOOKUP(C78,'Шаг1.Выбор плиты'!C:Q,10,0),1,2)),
'Шаг1.Выбор плиты'!N:N,1),IF(SUMIFS('Шаг1.Выбор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плиты'!C:Q,12,0)),1))=0,
IF(SUMIFS('Шаг1.Выбор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плиты'!C:Q,12,0)),2))=0,
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плиты'!C:Q,12,0)),3)),
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плиты'!C:Q,12,0)),2))),
(SUMIFS('Шаг1.Выбор плиты'!$G:$G,'Шаг1.Выбор плиты'!J:J,"*"&amp;RIGHT(VLOOKUP(C78,'Шаг1.Выбор плиты'!C:Q,8,0),4),'Шаг1.Выбор плиты'!L:L,VLOOKUP(C78,'Шаг1.Выбор плиты'!C:Q,10,0),'Шаг1.Выбор плиты'!N:N,U78,'Шаг1.Выбор плиты'!M:M,SMALL(INDIRECT("мм"&amp;VLOOKUP(C78,'Шаг1.Выбор плиты'!C:Q,12,0)),1)))))))</f>
        <v/>
      </c>
      <c r="L78" s="147" t="str">
        <f ca="1">IFERROR(IFERROR(IF(VLOOKUP($A78,'Шаг2.Бланк заказа NEW'!$B$17:$N$201,9,0)="","",VLOOKUP($A78,'Шаг2.Бланк заказа NEW'!$B$17:$N$201,9,0)),
IF(VLOOKUP($A78-COUNT('Шаг2.Бланк заказа NEW'!$B$19:$B$201),'Бланк OLD 0.8 04'!$B$12:$K$200,9,0)="","",VLOOKUP($A78-COUNT('Шаг2.Бланк заказа NEW'!$B$19:$B$201),'Бланк OLD 0.8 04'!$B$12:$K$200,9,0))),
IF(VLOOKUP($A78-COUNT('Шаг2.Бланк заказа NEW'!$B$19:$B$201)-COUNT('Бланк OLD 0.8 04'!$B$18:$B$200),'Бланк OLD 2.0 04 '!$B$16:$K$200,9,0)="","",VLOOKUP($A78-COUNT('Шаг2.Бланк заказа NEW'!$B$19:$B$201)-COUNT('Бланк OLD 0.8 04'!$B$18:$B$200),'Бланк OLD 2.0 04 '!$B$16:$K$200,9,0)))</f>
        <v/>
      </c>
      <c r="M78" s="154" t="str">
        <f t="shared" ca="1" si="5"/>
        <v/>
      </c>
      <c r="N78" s="153" t="str">
        <f ca="1">IFERROR(IF(VLOOKUP($A78,'Шаг2.Бланк заказа NEW'!$B$17:$N$201,11,0)="","",VLOOKUP($A78,'Шаг2.Бланк заказа NEW'!$B$17:$N$201,11,0)),
"Нет")</f>
        <v/>
      </c>
      <c r="O78" s="147" t="str">
        <f ca="1">IFERROR(IF(VLOOKUP($A78,'Шаг2.Бланк заказа NEW'!$B$17:$N$201,11,0)="","",VLOOKUP($A78,'Шаг2.Бланк заказа NEW'!$B$17:$N$201,12,0)),
"Нет")</f>
        <v/>
      </c>
      <c r="P78" s="153" t="str">
        <f ca="1">IFERROR(IF(VLOOKUP($A78,'Шаг2.Бланк заказа NEW'!$B$17:$N$201,13,0)="","",VLOOKUP($A78,'Шаг2.Бланк заказа NEW'!$B$17:$N$201,13,0)),
"Нет")</f>
        <v/>
      </c>
      <c r="Q78" s="147" t="str">
        <f ca="1">IFERROR(IF(VLOOKUP($A78,'Шаг2.Бланк заказа NEW'!$B$17:$O$201,14,0)="","",VLOOKUP($A78,'Шаг2.Бланк заказа NEW'!$B$17:$O$201,14,0)),"")</f>
        <v/>
      </c>
      <c r="R78" s="147" t="str">
        <f ca="1">IFERROR(IFERROR(IF(VLOOKUP($A78,'Шаг2.Бланк заказа NEW'!$B$17:$N$201,4,0)="","",VLOOKUP($A78,'Шаг2.Бланк заказа NEW'!$B$17:$N$201,4,0)),
IF(VLOOKUP($A78-COUNT('Шаг2.Бланк заказа NEW'!$B$19:$B$201),'Бланк OLD 0.8 04'!$B$12:$K$200,4,0)&gt;0,0.8,
IF(VLOOKUP($A78-COUNT('Шаг2.Бланк заказа NEW'!$B$19:$B$201),'Бланк OLD 0.8 04'!$B$12:$K$200,5,0)&gt;0,0.4,""))),
IF(VLOOKUP($A78-COUNT('Шаг2.Бланк заказа NEW'!$B$19:$B$201)-COUNT('Бланк OLD 0.8 04'!$B$18:$B$200),'Бланк OLD 2.0 04 '!$B$16:$K$200,4,0)&gt;0,2,IF(VLOOKUP($A78-COUNT('Шаг2.Бланк заказа NEW'!$B$19:$B$201)-COUNT('Бланк OLD 0.8 04'!$B$18:$B$200),'Бланк OLD 2.0 04 '!$B$16:$K$200,5,0)&gt;0,0.4,"")))</f>
        <v/>
      </c>
      <c r="S78" s="147" t="str">
        <f ca="1">IFERROR(IFERROR(IF(VLOOKUP($A78,'Шаг2.Бланк заказа NEW'!$B$17:$N$201,5,0)="","",VLOOKUP($A78,'Шаг2.Бланк заказа NEW'!$B$17:$N$201,5,0)),
IF(VLOOKUP($A78-COUNT('Шаг2.Бланк заказа NEW'!$B$19:$B$201),'Бланк OLD 0.8 04'!$B$12:$K$200,4,0)&gt;1,0.8,
IF(VLOOKUP($A78-COUNT('Шаг2.Бланк заказа NEW'!$B$19:$B$201),'Бланк OLD 0.8 04'!$B$12:$K$200,5,0)&gt;1,0.4,
IF(AND(VLOOKUP($A78-COUNT('Шаг2.Бланк заказа NEW'!$B$19:$B$201),'Бланк OLD 0.8 04'!$B$12:$K$200,4,0)&gt;0,VLOOKUP($A78-COUNT('Шаг2.Бланк заказа NEW'!$B$19:$B$201),'Бланк OLD 0.8 04'!$B$12:$K$200,5,0)&gt;0),0.4,"")))),
IF(VLOOKUP($A78-COUNT('Шаг2.Бланк заказа NEW'!$B$19:$B$201)-COUNT('Бланк OLD 0.8 04'!$B$18:$B$200),'Бланк OLD 2.0 04 '!$B$16:$K$200,4,0)&gt;1,2,
IF(VLOOKUP($A78-COUNT('Шаг2.Бланк заказа NEW'!$B$19:$B$201)-COUNT('Бланк OLD 0.8 04'!$B$18:$B$200),'Бланк OLD 2.0 04 '!$B$16:$K$200,5,0)&gt;1,0.4,IF(AND(VLOOKUP($A78-COUNT('Шаг2.Бланк заказа NEW'!$B$19:$B$201)-COUNT('Бланк OLD 0.8 04'!$B$18:$B$200),'Бланк OLD 2.0 04 '!$B$16:$K$200,4,0)&gt;0,VLOOKUP($A78-COUNT('Шаг2.Бланк заказа NEW'!$B$19:$B$201)-COUNT('Бланк OLD 0.8 04'!$B$18:$B$200),'Бланк OLD 2.0 04 '!$B$16:$K$200,5,0)&gt;0),0.4,""))))</f>
        <v/>
      </c>
      <c r="T78" s="147" t="str">
        <f ca="1">IFERROR(IFERROR(IF(VLOOKUP($A78,'Шаг2.Бланк заказа NEW'!$B$17:$N$201,7,0)="","",VLOOKUP($A78,'Шаг2.Бланк заказа NEW'!$B$17:$N$201,7,0)),
IF(VLOOKUP($A78-COUNT('Шаг2.Бланк заказа NEW'!$B$19:$B$201),'Бланк OLD 0.8 04'!$B$12:$K$200,7,0)&gt;0,0.8,
IF(VLOOKUP($A78-COUNT('Шаг2.Бланк заказа NEW'!$B$19:$B$201),'Бланк OLD 0.8 04'!$B$12:$K$200,8,0)&gt;0,0.4,""))),
IF(VLOOKUP($A78-COUNT('Шаг2.Бланк заказа NEW'!$B$19:$B$201)-COUNT('Бланк OLD 0.8 04'!$B$18:$B$200),'Бланк OLD 2.0 04 '!$B$16:$K$200,7,0)&gt;0,2,IF(VLOOKUP($A78-COUNT('Шаг2.Бланк заказа NEW'!$B$19:$B$201)-COUNT('Бланк OLD 0.8 04'!$B$18:$B$200),'Бланк OLD 2.0 04 '!$B$16:$K$200,8,0)&gt;0,0.4,"")))</f>
        <v/>
      </c>
      <c r="U78" s="147" t="str">
        <f ca="1">IFERROR(IFERROR(IF(VLOOKUP($A78,'Шаг2.Бланк заказа NEW'!$B$17:$N$201,8,0)="","",VLOOKUP($A78,'Шаг2.Бланк заказа NEW'!$B$17:$N$201,8,0)),
IF(VLOOKUP($A78-COUNT('Шаг2.Бланк заказа NEW'!$B$19:$B$201),'Бланк OLD 0.8 04'!$B$12:$K$200,7,0)&gt;1,0.8,
IF(VLOOKUP($A78-COUNT('Шаг2.Бланк заказа NEW'!$B$19:$B$201),'Бланк OLD 0.8 04'!$B$12:$K$200,8,0)&gt;1,0.4,
IF(AND(VLOOKUP($A78-COUNT('Шаг2.Бланк заказа NEW'!$B$19:$B$201),'Бланк OLD 0.8 04'!$B$12:$K$200,7,0)&gt;0,VLOOKUP($A78-COUNT('Шаг2.Бланк заказа NEW'!$B$19:$B$201),'Бланк OLD 0.8 04'!$B$12:$K$200,8,0)&gt;0),0.4,"")))),
IF(VLOOKUP($A78-COUNT('Шаг2.Бланк заказа NEW'!$B$19:$B$201)-COUNT('Бланк OLD 0.8 04'!$B$18:$B$200),'Бланк OLD 2.0 04 '!$B$16:$K$200,7,0)&gt;1,2,
IF(VLOOKUP($A78-COUNT('Шаг2.Бланк заказа NEW'!$B$19:$B$201)-COUNT('Бланк OLD 0.8 04'!$B$18:$B$200),'Бланк OLD 2.0 04 '!$B$16:$K$200,8,0)&gt;1,0.4,
IF(AND(VLOOKUP($A78-COUNT('Шаг2.Бланк заказа NEW'!$B$19:$B$201)-COUNT('Бланк OLD 0.8 04'!$B$18:$B$200),'Бланк OLD 2.0 04 '!$B$16:$K$200,7,0)&gt;0,VLOOKUP($A78-COUNT('Шаг2.Бланк заказа NEW'!$B$19:$B$201)-COUNT('Бланк OLD 0.8 04'!$B$18:$B$200),'Бланк OLD 2.0 04 '!$B$16:$K$200,8,0)&gt;0),0.4,""))))</f>
        <v/>
      </c>
      <c r="V78" s="146" t="str">
        <f ca="1">IFERROR(VLOOKUP(C78,'Шаг1.Выбор плиты'!C:S,12,0),"")</f>
        <v/>
      </c>
      <c r="W78" s="146" t="str">
        <f ca="1">IFERROR(VLOOKUP(C78,'Шаг1.Выбор плиты'!C:S,8,0),"")</f>
        <v/>
      </c>
      <c r="X78" s="146" t="str">
        <f ca="1">IFERROR(VLOOKUP(C78,'Шаг1.Выбор плиты'!C:S,10,0),"")</f>
        <v/>
      </c>
      <c r="Y78" s="147" t="str">
        <f t="shared" ca="1" si="8"/>
        <v/>
      </c>
      <c r="AD78" s="147" t="str">
        <f t="shared" ca="1" si="6"/>
        <v/>
      </c>
      <c r="AE78" s="147" t="str">
        <f t="shared" ca="1" si="9"/>
        <v/>
      </c>
      <c r="AF78" s="25"/>
      <c r="AH78" s="147" t="str">
        <f ca="1">IF(C78="","",VLOOKUP(C78,'Шаг1.Выбор плиты'!C:Q,7,0))</f>
        <v/>
      </c>
      <c r="AI78" s="147" t="str">
        <f t="shared" ca="1" si="7"/>
        <v/>
      </c>
    </row>
    <row r="79" spans="1:35" x14ac:dyDescent="0.2">
      <c r="A79" s="151" t="str">
        <f ca="1">IF(C79="","",MAX($A$1:OFFSET(C79,-1,0))+1)</f>
        <v/>
      </c>
      <c r="B79" s="151" t="str">
        <f ca="1">IFERROR(IFERROR(IFERROR("Шаг2.Бланк заказа NEW №"&amp;VLOOKUP(A78+1,CHOOSE({1,2},'Шаг2.Бланк заказа NEW'!$B$19:$B$201,'Шаг2.Бланк заказа NEW'!$A$19:$A$201),1,0),
"Бланк OLD 0.8 04 №"&amp;VLOOKUP(A78+1-COUNT('Шаг2.Бланк заказа NEW'!$B$19:$B$201),CHOOSE({1,2},'Бланк OLD 0.8 04'!$B$18:$B$200,'Бланк OLD 0.8 04'!$A$18:$A$200),1,0)),
"Бланк OLD 2.0 04 №"&amp;VLOOKUP(A78+1-COUNT('Шаг2.Бланк заказа NEW'!$B$19:$B$201)-COUNT('Бланк OLD 0.8 04'!$B$18:$B$200),CHOOSE({1,2},'Бланк OLD 2.0 04 '!$B$18:$B$200,'Бланк OLD 2.0 04 '!$A$18:$A$200),1,0)),"")</f>
        <v/>
      </c>
      <c r="C79" s="152" t="str">
        <f ca="1">IFERROR(IFERROR(IFERROR(VLOOKUP(A78+1,CHOOSE({1,2},'Шаг2.Бланк заказа NEW'!$B$19:$B$201,'Шаг2.Бланк заказа NEW'!$A$19:$A$201),2,0),
VLOOKUP(A78+1-COUNT('Шаг2.Бланк заказа NEW'!$B$19:$B$201),CHOOSE({1,2},'Бланк OLD 0.8 04'!$B$18:$B$200,'Бланк OLD 0.8 04'!$A$18:$A$200),2,0)),
VLOOKUP(A78+1-COUNT('Шаг2.Бланк заказа NEW'!$B$19:$B$201)-COUNT('Бланк OLD 0.8 04'!$B$18:$B$200),CHOOSE({1,2},'Бланк OLD 2.0 04 '!$B$18:$B$200,'Бланк OLD 2.0 04 '!$A$18:$A$200),2,0)),"")</f>
        <v/>
      </c>
      <c r="D79" s="150" t="str">
        <f ca="1">IFERROR(VLOOKUP(C79,'Шаг1.Выбор плиты'!C:G,5,0),"")</f>
        <v/>
      </c>
      <c r="E79" s="147" t="str">
        <f ca="1">IFERROR(IFERROR(IF(VLOOKUP($A79,'Шаг2.Бланк заказа NEW'!$B$17:$N$201,2,0)="","",VLOOKUP($A79,'Шаг2.Бланк заказа NEW'!$B$17:$N$201,2,0)),
IF(VLOOKUP($A79-COUNT('Шаг2.Бланк заказа NEW'!$B$19:$B$201),'Бланк OLD 0.8 04'!$B$12:$K$200,2,0)="","",VLOOKUP($A79-COUNT('Шаг2.Бланк заказа NEW'!$B$19:$B$201),'Бланк OLD 0.8 04'!$B$12:$K$200,2,0))),
IF(VLOOKUP($A79-COUNT('Шаг2.Бланк заказа NEW'!$B$19:$B$201)-COUNT('Бланк OLD 0.8 04'!$B$18:$B$200),'Бланк OLD 2.0 04 '!$B$16:$K$200,2,0)="","",VLOOKUP($A79-COUNT('Шаг2.Бланк заказа NEW'!$B$19:$B$201)-COUNT('Бланк OLD 0.8 04'!$B$18:$B$200),'Бланк OLD 2.0 04 '!$B$16:$K$200,2,0)))</f>
        <v/>
      </c>
      <c r="F79" s="147" t="str">
        <f ca="1">IFERROR(IFERROR(IF(VLOOKUP($A79,'Шаг2.Бланк заказа NEW'!$B$17:$N$201,3,0)="","",VLOOKUP($A79,'Шаг2.Бланк заказа NEW'!$B$17:$N$201,3,0)),
IF(VLOOKUP($A79-COUNT('Шаг2.Бланк заказа NEW'!$B$19:$B$201),'Бланк OLD 0.8 04'!$B$12:$K$200,3,0)="","",VLOOKUP($A79-COUNT('Шаг2.Бланк заказа NEW'!$B$19:$B$201),'Бланк OLD 0.8 04'!$B$12:$K$200,3,0))),
IF(VLOOKUP($A79-COUNT('Шаг2.Бланк заказа NEW'!$B$19:$B$201)-COUNT('Бланк OLD 0.8 04'!$B$18:$B$200),'Бланк OLD 2.0 04 '!$B$16:$K$200,3,0)="","",VLOOKUP($A79-COUNT('Шаг2.Бланк заказа NEW'!$B$19:$B$201)-COUNT('Бланк OLD 0.8 04'!$B$18:$B$200),'Бланк OLD 2.0 04 '!$B$16:$K$200,3,0)))</f>
        <v/>
      </c>
      <c r="G79" s="176" t="str">
        <f ca="1">IF(IF(R79="","",IF(R79=1,SUMIFS('Шаг1.Выбор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плиты'!C:Q,12,0)),1))))))=0,
R79,
IF(R79="","",IF(R79=1,SUMIFS('Шаг1.Выбор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плиты'!N:N,R79,'Шаг1.Выбор плиты'!M:M,SMALL(INDIRECT("мм"&amp;VLOOKUP(C79,'Шаг1.Выбор плиты'!C:Q,12,0)),1)))))))</f>
        <v/>
      </c>
      <c r="H79" s="177" t="str">
        <f ca="1">IF(IF(S79="","",IF(S79=1,SUMIFS('Шаг1.Выбор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плиты'!C:Q,12,0)),1))))))=0,
S79,
IF(S79="","",IF(S79=1,SUMIFS('Шаг1.Выбор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плиты'!N:N,S79,'Шаг1.Выбор плиты'!M:M,SMALL(INDIRECT("мм"&amp;VLOOKUP(C79,'Шаг1.Выбор плиты'!C:Q,12,0)),1)))))))</f>
        <v/>
      </c>
      <c r="I79" s="147" t="str">
        <f ca="1">IFERROR(IFERROR(IF(VLOOKUP($A79,'Шаг2.Бланк заказа NEW'!$B$17:$N$201,6,0)="","",VLOOKUP($A79,'Шаг2.Бланк заказа NEW'!$B$17:$N$201,6,0)),
IF(VLOOKUP($A79-COUNT('Шаг2.Бланк заказа NEW'!$B$19:$B$201),'Бланк OLD 0.8 04'!$B$12:$K$200,6,0)="","",VLOOKUP($A79-COUNT('Шаг2.Бланк заказа NEW'!$B$19:$B$201),'Бланк OLD 0.8 04'!$B$12:$K$200,6,0))),
IF(VLOOKUP($A79-COUNT('Шаг2.Бланк заказа NEW'!$B$19:$B$201)-COUNT('Бланк OLD 0.8 04'!$B$18:$B$200),'Бланк OLD 2.0 04 '!$B$16:$K$200,6,0)="","",VLOOKUP($A79-COUNT('Шаг2.Бланк заказа NEW'!$B$19:$B$201)-COUNT('Бланк OLD 0.8 04'!$B$18:$B$200),'Бланк OLD 2.0 04 '!$B$16:$K$200,6,0)))</f>
        <v/>
      </c>
      <c r="J79" s="177" t="str">
        <f ca="1">IF(IF(T79="","",IF(T79=1,SUMIFS('Шаг1.Выбор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плиты'!C:Q,12,0)),1))))))=0,
T79,
IF(T79="","",IF(T79=1,SUMIFS('Шаг1.Выбор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плиты'!N:N,T79,'Шаг1.Выбор плиты'!M:M,SMALL(INDIRECT("мм"&amp;VLOOKUP(C79,'Шаг1.Выбор плиты'!C:Q,12,0)),1)))))))</f>
        <v/>
      </c>
      <c r="K79" s="177" t="str">
        <f ca="1">IF(IF(U79="","",IF(U79=1,SUMIFS('Шаг1.Выбор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плиты'!C:Q,12,0)),1))))))=0,
U79,
IF(U79="","",IF(U79=1,SUMIFS('Шаг1.Выбор плиты'!$G:$G,'Шаг1.Выбор плиты'!J:J,"*"&amp;RIGHT(VLOOKUP(C79,'Шаг1.Выбор плиты'!C:Q,8,0),4),'Шаг1.Выбор плиты'!L:L,IF(MID(C79,1,6)="ЛДСП P","TM"&amp;MID(VLOOKUP(C79,'Шаг1.Выбор плиты'!C:Q,10,0),3,2),MID(VLOOKUP(C79,'Шаг1.Выбор плиты'!C:Q,10,0),1,2)),
'Шаг1.Выбор плиты'!N:N,1),IF(SUMIFS('Шаг1.Выбор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плиты'!C:Q,12,0)),1))=0,
IF(SUMIFS('Шаг1.Выбор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плиты'!C:Q,12,0)),2))=0,
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плиты'!C:Q,12,0)),3)),
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плиты'!C:Q,12,0)),2))),
(SUMIFS('Шаг1.Выбор плиты'!$G:$G,'Шаг1.Выбор плиты'!J:J,"*"&amp;RIGHT(VLOOKUP(C79,'Шаг1.Выбор плиты'!C:Q,8,0),4),'Шаг1.Выбор плиты'!L:L,VLOOKUP(C79,'Шаг1.Выбор плиты'!C:Q,10,0),'Шаг1.Выбор плиты'!N:N,U79,'Шаг1.Выбор плиты'!M:M,SMALL(INDIRECT("мм"&amp;VLOOKUP(C79,'Шаг1.Выбор плиты'!C:Q,12,0)),1)))))))</f>
        <v/>
      </c>
      <c r="L79" s="147" t="str">
        <f ca="1">IFERROR(IFERROR(IF(VLOOKUP($A79,'Шаг2.Бланк заказа NEW'!$B$17:$N$201,9,0)="","",VLOOKUP($A79,'Шаг2.Бланк заказа NEW'!$B$17:$N$201,9,0)),
IF(VLOOKUP($A79-COUNT('Шаг2.Бланк заказа NEW'!$B$19:$B$201),'Бланк OLD 0.8 04'!$B$12:$K$200,9,0)="","",VLOOKUP($A79-COUNT('Шаг2.Бланк заказа NEW'!$B$19:$B$201),'Бланк OLD 0.8 04'!$B$12:$K$200,9,0))),
IF(VLOOKUP($A79-COUNT('Шаг2.Бланк заказа NEW'!$B$19:$B$201)-COUNT('Бланк OLD 0.8 04'!$B$18:$B$200),'Бланк OLD 2.0 04 '!$B$16:$K$200,9,0)="","",VLOOKUP($A79-COUNT('Шаг2.Бланк заказа NEW'!$B$19:$B$201)-COUNT('Бланк OLD 0.8 04'!$B$18:$B$200),'Бланк OLD 2.0 04 '!$B$16:$K$200,9,0)))</f>
        <v/>
      </c>
      <c r="M79" s="154" t="str">
        <f t="shared" ca="1" si="5"/>
        <v/>
      </c>
      <c r="N79" s="153" t="str">
        <f ca="1">IFERROR(IF(VLOOKUP($A79,'Шаг2.Бланк заказа NEW'!$B$17:$N$201,11,0)="","",VLOOKUP($A79,'Шаг2.Бланк заказа NEW'!$B$17:$N$201,11,0)),
"Нет")</f>
        <v/>
      </c>
      <c r="O79" s="147" t="str">
        <f ca="1">IFERROR(IF(VLOOKUP($A79,'Шаг2.Бланк заказа NEW'!$B$17:$N$201,11,0)="","",VLOOKUP($A79,'Шаг2.Бланк заказа NEW'!$B$17:$N$201,12,0)),
"Нет")</f>
        <v/>
      </c>
      <c r="P79" s="153" t="str">
        <f ca="1">IFERROR(IF(VLOOKUP($A79,'Шаг2.Бланк заказа NEW'!$B$17:$N$201,13,0)="","",VLOOKUP($A79,'Шаг2.Бланк заказа NEW'!$B$17:$N$201,13,0)),
"Нет")</f>
        <v/>
      </c>
      <c r="Q79" s="147" t="str">
        <f ca="1">IFERROR(IF(VLOOKUP($A79,'Шаг2.Бланк заказа NEW'!$B$17:$O$201,14,0)="","",VLOOKUP($A79,'Шаг2.Бланк заказа NEW'!$B$17:$O$201,14,0)),"")</f>
        <v/>
      </c>
      <c r="R79" s="147" t="str">
        <f ca="1">IFERROR(IFERROR(IF(VLOOKUP($A79,'Шаг2.Бланк заказа NEW'!$B$17:$N$201,4,0)="","",VLOOKUP($A79,'Шаг2.Бланк заказа NEW'!$B$17:$N$201,4,0)),
IF(VLOOKUP($A79-COUNT('Шаг2.Бланк заказа NEW'!$B$19:$B$201),'Бланк OLD 0.8 04'!$B$12:$K$200,4,0)&gt;0,0.8,
IF(VLOOKUP($A79-COUNT('Шаг2.Бланк заказа NEW'!$B$19:$B$201),'Бланк OLD 0.8 04'!$B$12:$K$200,5,0)&gt;0,0.4,""))),
IF(VLOOKUP($A79-COUNT('Шаг2.Бланк заказа NEW'!$B$19:$B$201)-COUNT('Бланк OLD 0.8 04'!$B$18:$B$200),'Бланк OLD 2.0 04 '!$B$16:$K$200,4,0)&gt;0,2,IF(VLOOKUP($A79-COUNT('Шаг2.Бланк заказа NEW'!$B$19:$B$201)-COUNT('Бланк OLD 0.8 04'!$B$18:$B$200),'Бланк OLD 2.0 04 '!$B$16:$K$200,5,0)&gt;0,0.4,"")))</f>
        <v/>
      </c>
      <c r="S79" s="147" t="str">
        <f ca="1">IFERROR(IFERROR(IF(VLOOKUP($A79,'Шаг2.Бланк заказа NEW'!$B$17:$N$201,5,0)="","",VLOOKUP($A79,'Шаг2.Бланк заказа NEW'!$B$17:$N$201,5,0)),
IF(VLOOKUP($A79-COUNT('Шаг2.Бланк заказа NEW'!$B$19:$B$201),'Бланк OLD 0.8 04'!$B$12:$K$200,4,0)&gt;1,0.8,
IF(VLOOKUP($A79-COUNT('Шаг2.Бланк заказа NEW'!$B$19:$B$201),'Бланк OLD 0.8 04'!$B$12:$K$200,5,0)&gt;1,0.4,
IF(AND(VLOOKUP($A79-COUNT('Шаг2.Бланк заказа NEW'!$B$19:$B$201),'Бланк OLD 0.8 04'!$B$12:$K$200,4,0)&gt;0,VLOOKUP($A79-COUNT('Шаг2.Бланк заказа NEW'!$B$19:$B$201),'Бланк OLD 0.8 04'!$B$12:$K$200,5,0)&gt;0),0.4,"")))),
IF(VLOOKUP($A79-COUNT('Шаг2.Бланк заказа NEW'!$B$19:$B$201)-COUNT('Бланк OLD 0.8 04'!$B$18:$B$200),'Бланк OLD 2.0 04 '!$B$16:$K$200,4,0)&gt;1,2,
IF(VLOOKUP($A79-COUNT('Шаг2.Бланк заказа NEW'!$B$19:$B$201)-COUNT('Бланк OLD 0.8 04'!$B$18:$B$200),'Бланк OLD 2.0 04 '!$B$16:$K$200,5,0)&gt;1,0.4,IF(AND(VLOOKUP($A79-COUNT('Шаг2.Бланк заказа NEW'!$B$19:$B$201)-COUNT('Бланк OLD 0.8 04'!$B$18:$B$200),'Бланк OLD 2.0 04 '!$B$16:$K$200,4,0)&gt;0,VLOOKUP($A79-COUNT('Шаг2.Бланк заказа NEW'!$B$19:$B$201)-COUNT('Бланк OLD 0.8 04'!$B$18:$B$200),'Бланк OLD 2.0 04 '!$B$16:$K$200,5,0)&gt;0),0.4,""))))</f>
        <v/>
      </c>
      <c r="T79" s="147" t="str">
        <f ca="1">IFERROR(IFERROR(IF(VLOOKUP($A79,'Шаг2.Бланк заказа NEW'!$B$17:$N$201,7,0)="","",VLOOKUP($A79,'Шаг2.Бланк заказа NEW'!$B$17:$N$201,7,0)),
IF(VLOOKUP($A79-COUNT('Шаг2.Бланк заказа NEW'!$B$19:$B$201),'Бланк OLD 0.8 04'!$B$12:$K$200,7,0)&gt;0,0.8,
IF(VLOOKUP($A79-COUNT('Шаг2.Бланк заказа NEW'!$B$19:$B$201),'Бланк OLD 0.8 04'!$B$12:$K$200,8,0)&gt;0,0.4,""))),
IF(VLOOKUP($A79-COUNT('Шаг2.Бланк заказа NEW'!$B$19:$B$201)-COUNT('Бланк OLD 0.8 04'!$B$18:$B$200),'Бланк OLD 2.0 04 '!$B$16:$K$200,7,0)&gt;0,2,IF(VLOOKUP($A79-COUNT('Шаг2.Бланк заказа NEW'!$B$19:$B$201)-COUNT('Бланк OLD 0.8 04'!$B$18:$B$200),'Бланк OLD 2.0 04 '!$B$16:$K$200,8,0)&gt;0,0.4,"")))</f>
        <v/>
      </c>
      <c r="U79" s="147" t="str">
        <f ca="1">IFERROR(IFERROR(IF(VLOOKUP($A79,'Шаг2.Бланк заказа NEW'!$B$17:$N$201,8,0)="","",VLOOKUP($A79,'Шаг2.Бланк заказа NEW'!$B$17:$N$201,8,0)),
IF(VLOOKUP($A79-COUNT('Шаг2.Бланк заказа NEW'!$B$19:$B$201),'Бланк OLD 0.8 04'!$B$12:$K$200,7,0)&gt;1,0.8,
IF(VLOOKUP($A79-COUNT('Шаг2.Бланк заказа NEW'!$B$19:$B$201),'Бланк OLD 0.8 04'!$B$12:$K$200,8,0)&gt;1,0.4,
IF(AND(VLOOKUP($A79-COUNT('Шаг2.Бланк заказа NEW'!$B$19:$B$201),'Бланк OLD 0.8 04'!$B$12:$K$200,7,0)&gt;0,VLOOKUP($A79-COUNT('Шаг2.Бланк заказа NEW'!$B$19:$B$201),'Бланк OLD 0.8 04'!$B$12:$K$200,8,0)&gt;0),0.4,"")))),
IF(VLOOKUP($A79-COUNT('Шаг2.Бланк заказа NEW'!$B$19:$B$201)-COUNT('Бланк OLD 0.8 04'!$B$18:$B$200),'Бланк OLD 2.0 04 '!$B$16:$K$200,7,0)&gt;1,2,
IF(VLOOKUP($A79-COUNT('Шаг2.Бланк заказа NEW'!$B$19:$B$201)-COUNT('Бланк OLD 0.8 04'!$B$18:$B$200),'Бланк OLD 2.0 04 '!$B$16:$K$200,8,0)&gt;1,0.4,
IF(AND(VLOOKUP($A79-COUNT('Шаг2.Бланк заказа NEW'!$B$19:$B$201)-COUNT('Бланк OLD 0.8 04'!$B$18:$B$200),'Бланк OLD 2.0 04 '!$B$16:$K$200,7,0)&gt;0,VLOOKUP($A79-COUNT('Шаг2.Бланк заказа NEW'!$B$19:$B$201)-COUNT('Бланк OLD 0.8 04'!$B$18:$B$200),'Бланк OLD 2.0 04 '!$B$16:$K$200,8,0)&gt;0),0.4,""))))</f>
        <v/>
      </c>
      <c r="V79" s="146" t="str">
        <f ca="1">IFERROR(VLOOKUP(C79,'Шаг1.Выбор плиты'!C:S,12,0),"")</f>
        <v/>
      </c>
      <c r="W79" s="146" t="str">
        <f ca="1">IFERROR(VLOOKUP(C79,'Шаг1.Выбор плиты'!C:S,8,0),"")</f>
        <v/>
      </c>
      <c r="X79" s="146" t="str">
        <f ca="1">IFERROR(VLOOKUP(C79,'Шаг1.Выбор плиты'!C:S,10,0),"")</f>
        <v/>
      </c>
      <c r="Y79" s="147" t="str">
        <f t="shared" ca="1" si="8"/>
        <v/>
      </c>
      <c r="AD79" s="147" t="str">
        <f t="shared" ca="1" si="6"/>
        <v/>
      </c>
      <c r="AE79" s="147" t="str">
        <f t="shared" ca="1" si="9"/>
        <v/>
      </c>
      <c r="AF79" s="25"/>
      <c r="AH79" s="147" t="str">
        <f ca="1">IF(C79="","",VLOOKUP(C79,'Шаг1.Выбор плиты'!C:Q,7,0))</f>
        <v/>
      </c>
      <c r="AI79" s="147" t="str">
        <f t="shared" ca="1" si="7"/>
        <v/>
      </c>
    </row>
    <row r="80" spans="1:35" x14ac:dyDescent="0.2">
      <c r="A80" s="151" t="str">
        <f ca="1">IF(C80="","",MAX($A$1:OFFSET(C80,-1,0))+1)</f>
        <v/>
      </c>
      <c r="B80" s="151" t="str">
        <f ca="1">IFERROR(IFERROR(IFERROR("Шаг2.Бланк заказа NEW №"&amp;VLOOKUP(A79+1,CHOOSE({1,2},'Шаг2.Бланк заказа NEW'!$B$19:$B$201,'Шаг2.Бланк заказа NEW'!$A$19:$A$201),1,0),
"Бланк OLD 0.8 04 №"&amp;VLOOKUP(A79+1-COUNT('Шаг2.Бланк заказа NEW'!$B$19:$B$201),CHOOSE({1,2},'Бланк OLD 0.8 04'!$B$18:$B$200,'Бланк OLD 0.8 04'!$A$18:$A$200),1,0)),
"Бланк OLD 2.0 04 №"&amp;VLOOKUP(A79+1-COUNT('Шаг2.Бланк заказа NEW'!$B$19:$B$201)-COUNT('Бланк OLD 0.8 04'!$B$18:$B$200),CHOOSE({1,2},'Бланк OLD 2.0 04 '!$B$18:$B$200,'Бланк OLD 2.0 04 '!$A$18:$A$200),1,0)),"")</f>
        <v/>
      </c>
      <c r="C80" s="152" t="str">
        <f ca="1">IFERROR(IFERROR(IFERROR(VLOOKUP(A79+1,CHOOSE({1,2},'Шаг2.Бланк заказа NEW'!$B$19:$B$201,'Шаг2.Бланк заказа NEW'!$A$19:$A$201),2,0),
VLOOKUP(A79+1-COUNT('Шаг2.Бланк заказа NEW'!$B$19:$B$201),CHOOSE({1,2},'Бланк OLD 0.8 04'!$B$18:$B$200,'Бланк OLD 0.8 04'!$A$18:$A$200),2,0)),
VLOOKUP(A79+1-COUNT('Шаг2.Бланк заказа NEW'!$B$19:$B$201)-COUNT('Бланк OLD 0.8 04'!$B$18:$B$200),CHOOSE({1,2},'Бланк OLD 2.0 04 '!$B$18:$B$200,'Бланк OLD 2.0 04 '!$A$18:$A$200),2,0)),"")</f>
        <v/>
      </c>
      <c r="D80" s="150" t="str">
        <f ca="1">IFERROR(VLOOKUP(C80,'Шаг1.Выбор плиты'!C:G,5,0),"")</f>
        <v/>
      </c>
      <c r="E80" s="147" t="str">
        <f ca="1">IFERROR(IFERROR(IF(VLOOKUP($A80,'Шаг2.Бланк заказа NEW'!$B$17:$N$201,2,0)="","",VLOOKUP($A80,'Шаг2.Бланк заказа NEW'!$B$17:$N$201,2,0)),
IF(VLOOKUP($A80-COUNT('Шаг2.Бланк заказа NEW'!$B$19:$B$201),'Бланк OLD 0.8 04'!$B$12:$K$200,2,0)="","",VLOOKUP($A80-COUNT('Шаг2.Бланк заказа NEW'!$B$19:$B$201),'Бланк OLD 0.8 04'!$B$12:$K$200,2,0))),
IF(VLOOKUP($A80-COUNT('Шаг2.Бланк заказа NEW'!$B$19:$B$201)-COUNT('Бланк OLD 0.8 04'!$B$18:$B$200),'Бланк OLD 2.0 04 '!$B$16:$K$200,2,0)="","",VLOOKUP($A80-COUNT('Шаг2.Бланк заказа NEW'!$B$19:$B$201)-COUNT('Бланк OLD 0.8 04'!$B$18:$B$200),'Бланк OLD 2.0 04 '!$B$16:$K$200,2,0)))</f>
        <v/>
      </c>
      <c r="F80" s="147" t="str">
        <f ca="1">IFERROR(IFERROR(IF(VLOOKUP($A80,'Шаг2.Бланк заказа NEW'!$B$17:$N$201,3,0)="","",VLOOKUP($A80,'Шаг2.Бланк заказа NEW'!$B$17:$N$201,3,0)),
IF(VLOOKUP($A80-COUNT('Шаг2.Бланк заказа NEW'!$B$19:$B$201),'Бланк OLD 0.8 04'!$B$12:$K$200,3,0)="","",VLOOKUP($A80-COUNT('Шаг2.Бланк заказа NEW'!$B$19:$B$201),'Бланк OLD 0.8 04'!$B$12:$K$200,3,0))),
IF(VLOOKUP($A80-COUNT('Шаг2.Бланк заказа NEW'!$B$19:$B$201)-COUNT('Бланк OLD 0.8 04'!$B$18:$B$200),'Бланк OLD 2.0 04 '!$B$16:$K$200,3,0)="","",VLOOKUP($A80-COUNT('Шаг2.Бланк заказа NEW'!$B$19:$B$201)-COUNT('Бланк OLD 0.8 04'!$B$18:$B$200),'Бланк OLD 2.0 04 '!$B$16:$K$200,3,0)))</f>
        <v/>
      </c>
      <c r="G80" s="176" t="str">
        <f ca="1">IF(IF(R80="","",IF(R80=1,SUMIFS('Шаг1.Выбор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плиты'!C:Q,12,0)),1))))))=0,
R80,
IF(R80="","",IF(R80=1,SUMIFS('Шаг1.Выбор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плиты'!N:N,R80,'Шаг1.Выбор плиты'!M:M,SMALL(INDIRECT("мм"&amp;VLOOKUP(C80,'Шаг1.Выбор плиты'!C:Q,12,0)),1)))))))</f>
        <v/>
      </c>
      <c r="H80" s="177" t="str">
        <f ca="1">IF(IF(S80="","",IF(S80=1,SUMIFS('Шаг1.Выбор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плиты'!C:Q,12,0)),1))))))=0,
S80,
IF(S80="","",IF(S80=1,SUMIFS('Шаг1.Выбор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плиты'!N:N,S80,'Шаг1.Выбор плиты'!M:M,SMALL(INDIRECT("мм"&amp;VLOOKUP(C80,'Шаг1.Выбор плиты'!C:Q,12,0)),1)))))))</f>
        <v/>
      </c>
      <c r="I80" s="147" t="str">
        <f ca="1">IFERROR(IFERROR(IF(VLOOKUP($A80,'Шаг2.Бланк заказа NEW'!$B$17:$N$201,6,0)="","",VLOOKUP($A80,'Шаг2.Бланк заказа NEW'!$B$17:$N$201,6,0)),
IF(VLOOKUP($A80-COUNT('Шаг2.Бланк заказа NEW'!$B$19:$B$201),'Бланк OLD 0.8 04'!$B$12:$K$200,6,0)="","",VLOOKUP($A80-COUNT('Шаг2.Бланк заказа NEW'!$B$19:$B$201),'Бланк OLD 0.8 04'!$B$12:$K$200,6,0))),
IF(VLOOKUP($A80-COUNT('Шаг2.Бланк заказа NEW'!$B$19:$B$201)-COUNT('Бланк OLD 0.8 04'!$B$18:$B$200),'Бланк OLD 2.0 04 '!$B$16:$K$200,6,0)="","",VLOOKUP($A80-COUNT('Шаг2.Бланк заказа NEW'!$B$19:$B$201)-COUNT('Бланк OLD 0.8 04'!$B$18:$B$200),'Бланк OLD 2.0 04 '!$B$16:$K$200,6,0)))</f>
        <v/>
      </c>
      <c r="J80" s="177" t="str">
        <f ca="1">IF(IF(T80="","",IF(T80=1,SUMIFS('Шаг1.Выбор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плиты'!C:Q,12,0)),1))))))=0,
T80,
IF(T80="","",IF(T80=1,SUMIFS('Шаг1.Выбор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плиты'!N:N,T80,'Шаг1.Выбор плиты'!M:M,SMALL(INDIRECT("мм"&amp;VLOOKUP(C80,'Шаг1.Выбор плиты'!C:Q,12,0)),1)))))))</f>
        <v/>
      </c>
      <c r="K80" s="177" t="str">
        <f ca="1">IF(IF(U80="","",IF(U80=1,SUMIFS('Шаг1.Выбор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плиты'!C:Q,12,0)),1))))))=0,
U80,
IF(U80="","",IF(U80=1,SUMIFS('Шаг1.Выбор плиты'!$G:$G,'Шаг1.Выбор плиты'!J:J,"*"&amp;RIGHT(VLOOKUP(C80,'Шаг1.Выбор плиты'!C:Q,8,0),4),'Шаг1.Выбор плиты'!L:L,IF(MID(C80,1,6)="ЛДСП P","TM"&amp;MID(VLOOKUP(C80,'Шаг1.Выбор плиты'!C:Q,10,0),3,2),MID(VLOOKUP(C80,'Шаг1.Выбор плиты'!C:Q,10,0),1,2)),
'Шаг1.Выбор плиты'!N:N,1),IF(SUMIFS('Шаг1.Выбор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плиты'!C:Q,12,0)),1))=0,
IF(SUMIFS('Шаг1.Выбор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плиты'!C:Q,12,0)),2))=0,
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плиты'!C:Q,12,0)),3)),
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плиты'!C:Q,12,0)),2))),
(SUMIFS('Шаг1.Выбор плиты'!$G:$G,'Шаг1.Выбор плиты'!J:J,"*"&amp;RIGHT(VLOOKUP(C80,'Шаг1.Выбор плиты'!C:Q,8,0),4),'Шаг1.Выбор плиты'!L:L,VLOOKUP(C80,'Шаг1.Выбор плиты'!C:Q,10,0),'Шаг1.Выбор плиты'!N:N,U80,'Шаг1.Выбор плиты'!M:M,SMALL(INDIRECT("мм"&amp;VLOOKUP(C80,'Шаг1.Выбор плиты'!C:Q,12,0)),1)))))))</f>
        <v/>
      </c>
      <c r="L80" s="147" t="str">
        <f ca="1">IFERROR(IFERROR(IF(VLOOKUP($A80,'Шаг2.Бланк заказа NEW'!$B$17:$N$201,9,0)="","",VLOOKUP($A80,'Шаг2.Бланк заказа NEW'!$B$17:$N$201,9,0)),
IF(VLOOKUP($A80-COUNT('Шаг2.Бланк заказа NEW'!$B$19:$B$201),'Бланк OLD 0.8 04'!$B$12:$K$200,9,0)="","",VLOOKUP($A80-COUNT('Шаг2.Бланк заказа NEW'!$B$19:$B$201),'Бланк OLD 0.8 04'!$B$12:$K$200,9,0))),
IF(VLOOKUP($A80-COUNT('Шаг2.Бланк заказа NEW'!$B$19:$B$201)-COUNT('Бланк OLD 0.8 04'!$B$18:$B$200),'Бланк OLD 2.0 04 '!$B$16:$K$200,9,0)="","",VLOOKUP($A80-COUNT('Шаг2.Бланк заказа NEW'!$B$19:$B$201)-COUNT('Бланк OLD 0.8 04'!$B$18:$B$200),'Бланк OLD 2.0 04 '!$B$16:$K$200,9,0)))</f>
        <v/>
      </c>
      <c r="M80" s="154" t="str">
        <f t="shared" ca="1" si="5"/>
        <v/>
      </c>
      <c r="N80" s="153" t="str">
        <f ca="1">IFERROR(IF(VLOOKUP($A80,'Шаг2.Бланк заказа NEW'!$B$17:$N$201,11,0)="","",VLOOKUP($A80,'Шаг2.Бланк заказа NEW'!$B$17:$N$201,11,0)),
"Нет")</f>
        <v/>
      </c>
      <c r="O80" s="147" t="str">
        <f ca="1">IFERROR(IF(VLOOKUP($A80,'Шаг2.Бланк заказа NEW'!$B$17:$N$201,11,0)="","",VLOOKUP($A80,'Шаг2.Бланк заказа NEW'!$B$17:$N$201,12,0)),
"Нет")</f>
        <v/>
      </c>
      <c r="P80" s="153" t="str">
        <f ca="1">IFERROR(IF(VLOOKUP($A80,'Шаг2.Бланк заказа NEW'!$B$17:$N$201,13,0)="","",VLOOKUP($A80,'Шаг2.Бланк заказа NEW'!$B$17:$N$201,13,0)),
"Нет")</f>
        <v/>
      </c>
      <c r="Q80" s="147" t="str">
        <f ca="1">IFERROR(IF(VLOOKUP($A80,'Шаг2.Бланк заказа NEW'!$B$17:$O$201,14,0)="","",VLOOKUP($A80,'Шаг2.Бланк заказа NEW'!$B$17:$O$201,14,0)),"")</f>
        <v/>
      </c>
      <c r="R80" s="147" t="str">
        <f ca="1">IFERROR(IFERROR(IF(VLOOKUP($A80,'Шаг2.Бланк заказа NEW'!$B$17:$N$201,4,0)="","",VLOOKUP($A80,'Шаг2.Бланк заказа NEW'!$B$17:$N$201,4,0)),
IF(VLOOKUP($A80-COUNT('Шаг2.Бланк заказа NEW'!$B$19:$B$201),'Бланк OLD 0.8 04'!$B$12:$K$200,4,0)&gt;0,0.8,
IF(VLOOKUP($A80-COUNT('Шаг2.Бланк заказа NEW'!$B$19:$B$201),'Бланк OLD 0.8 04'!$B$12:$K$200,5,0)&gt;0,0.4,""))),
IF(VLOOKUP($A80-COUNT('Шаг2.Бланк заказа NEW'!$B$19:$B$201)-COUNT('Бланк OLD 0.8 04'!$B$18:$B$200),'Бланк OLD 2.0 04 '!$B$16:$K$200,4,0)&gt;0,2,IF(VLOOKUP($A80-COUNT('Шаг2.Бланк заказа NEW'!$B$19:$B$201)-COUNT('Бланк OLD 0.8 04'!$B$18:$B$200),'Бланк OLD 2.0 04 '!$B$16:$K$200,5,0)&gt;0,0.4,"")))</f>
        <v/>
      </c>
      <c r="S80" s="147" t="str">
        <f ca="1">IFERROR(IFERROR(IF(VLOOKUP($A80,'Шаг2.Бланк заказа NEW'!$B$17:$N$201,5,0)="","",VLOOKUP($A80,'Шаг2.Бланк заказа NEW'!$B$17:$N$201,5,0)),
IF(VLOOKUP($A80-COUNT('Шаг2.Бланк заказа NEW'!$B$19:$B$201),'Бланк OLD 0.8 04'!$B$12:$K$200,4,0)&gt;1,0.8,
IF(VLOOKUP($A80-COUNT('Шаг2.Бланк заказа NEW'!$B$19:$B$201),'Бланк OLD 0.8 04'!$B$12:$K$200,5,0)&gt;1,0.4,
IF(AND(VLOOKUP($A80-COUNT('Шаг2.Бланк заказа NEW'!$B$19:$B$201),'Бланк OLD 0.8 04'!$B$12:$K$200,4,0)&gt;0,VLOOKUP($A80-COUNT('Шаг2.Бланк заказа NEW'!$B$19:$B$201),'Бланк OLD 0.8 04'!$B$12:$K$200,5,0)&gt;0),0.4,"")))),
IF(VLOOKUP($A80-COUNT('Шаг2.Бланк заказа NEW'!$B$19:$B$201)-COUNT('Бланк OLD 0.8 04'!$B$18:$B$200),'Бланк OLD 2.0 04 '!$B$16:$K$200,4,0)&gt;1,2,
IF(VLOOKUP($A80-COUNT('Шаг2.Бланк заказа NEW'!$B$19:$B$201)-COUNT('Бланк OLD 0.8 04'!$B$18:$B$200),'Бланк OLD 2.0 04 '!$B$16:$K$200,5,0)&gt;1,0.4,IF(AND(VLOOKUP($A80-COUNT('Шаг2.Бланк заказа NEW'!$B$19:$B$201)-COUNT('Бланк OLD 0.8 04'!$B$18:$B$200),'Бланк OLD 2.0 04 '!$B$16:$K$200,4,0)&gt;0,VLOOKUP($A80-COUNT('Шаг2.Бланк заказа NEW'!$B$19:$B$201)-COUNT('Бланк OLD 0.8 04'!$B$18:$B$200),'Бланк OLD 2.0 04 '!$B$16:$K$200,5,0)&gt;0),0.4,""))))</f>
        <v/>
      </c>
      <c r="T80" s="147" t="str">
        <f ca="1">IFERROR(IFERROR(IF(VLOOKUP($A80,'Шаг2.Бланк заказа NEW'!$B$17:$N$201,7,0)="","",VLOOKUP($A80,'Шаг2.Бланк заказа NEW'!$B$17:$N$201,7,0)),
IF(VLOOKUP($A80-COUNT('Шаг2.Бланк заказа NEW'!$B$19:$B$201),'Бланк OLD 0.8 04'!$B$12:$K$200,7,0)&gt;0,0.8,
IF(VLOOKUP($A80-COUNT('Шаг2.Бланк заказа NEW'!$B$19:$B$201),'Бланк OLD 0.8 04'!$B$12:$K$200,8,0)&gt;0,0.4,""))),
IF(VLOOKUP($A80-COUNT('Шаг2.Бланк заказа NEW'!$B$19:$B$201)-COUNT('Бланк OLD 0.8 04'!$B$18:$B$200),'Бланк OLD 2.0 04 '!$B$16:$K$200,7,0)&gt;0,2,IF(VLOOKUP($A80-COUNT('Шаг2.Бланк заказа NEW'!$B$19:$B$201)-COUNT('Бланк OLD 0.8 04'!$B$18:$B$200),'Бланк OLD 2.0 04 '!$B$16:$K$200,8,0)&gt;0,0.4,"")))</f>
        <v/>
      </c>
      <c r="U80" s="147" t="str">
        <f ca="1">IFERROR(IFERROR(IF(VLOOKUP($A80,'Шаг2.Бланк заказа NEW'!$B$17:$N$201,8,0)="","",VLOOKUP($A80,'Шаг2.Бланк заказа NEW'!$B$17:$N$201,8,0)),
IF(VLOOKUP($A80-COUNT('Шаг2.Бланк заказа NEW'!$B$19:$B$201),'Бланк OLD 0.8 04'!$B$12:$K$200,7,0)&gt;1,0.8,
IF(VLOOKUP($A80-COUNT('Шаг2.Бланк заказа NEW'!$B$19:$B$201),'Бланк OLD 0.8 04'!$B$12:$K$200,8,0)&gt;1,0.4,
IF(AND(VLOOKUP($A80-COUNT('Шаг2.Бланк заказа NEW'!$B$19:$B$201),'Бланк OLD 0.8 04'!$B$12:$K$200,7,0)&gt;0,VLOOKUP($A80-COUNT('Шаг2.Бланк заказа NEW'!$B$19:$B$201),'Бланк OLD 0.8 04'!$B$12:$K$200,8,0)&gt;0),0.4,"")))),
IF(VLOOKUP($A80-COUNT('Шаг2.Бланк заказа NEW'!$B$19:$B$201)-COUNT('Бланк OLD 0.8 04'!$B$18:$B$200),'Бланк OLD 2.0 04 '!$B$16:$K$200,7,0)&gt;1,2,
IF(VLOOKUP($A80-COUNT('Шаг2.Бланк заказа NEW'!$B$19:$B$201)-COUNT('Бланк OLD 0.8 04'!$B$18:$B$200),'Бланк OLD 2.0 04 '!$B$16:$K$200,8,0)&gt;1,0.4,
IF(AND(VLOOKUP($A80-COUNT('Шаг2.Бланк заказа NEW'!$B$19:$B$201)-COUNT('Бланк OLD 0.8 04'!$B$18:$B$200),'Бланк OLD 2.0 04 '!$B$16:$K$200,7,0)&gt;0,VLOOKUP($A80-COUNT('Шаг2.Бланк заказа NEW'!$B$19:$B$201)-COUNT('Бланк OLD 0.8 04'!$B$18:$B$200),'Бланк OLD 2.0 04 '!$B$16:$K$200,8,0)&gt;0),0.4,""))))</f>
        <v/>
      </c>
      <c r="V80" s="146" t="str">
        <f ca="1">IFERROR(VLOOKUP(C80,'Шаг1.Выбор плиты'!C:S,12,0),"")</f>
        <v/>
      </c>
      <c r="W80" s="146" t="str">
        <f ca="1">IFERROR(VLOOKUP(C80,'Шаг1.Выбор плиты'!C:S,8,0),"")</f>
        <v/>
      </c>
      <c r="X80" s="146" t="str">
        <f ca="1">IFERROR(VLOOKUP(C80,'Шаг1.Выбор плиты'!C:S,10,0),"")</f>
        <v/>
      </c>
      <c r="Y80" s="147" t="str">
        <f t="shared" ca="1" si="8"/>
        <v/>
      </c>
      <c r="AD80" s="147" t="str">
        <f t="shared" ca="1" si="6"/>
        <v/>
      </c>
      <c r="AE80" s="147" t="str">
        <f t="shared" ca="1" si="9"/>
        <v/>
      </c>
      <c r="AF80" s="25"/>
      <c r="AH80" s="147" t="str">
        <f ca="1">IF(C80="","",VLOOKUP(C80,'Шаг1.Выбор плиты'!C:Q,7,0))</f>
        <v/>
      </c>
      <c r="AI80" s="147" t="str">
        <f t="shared" ca="1" si="7"/>
        <v/>
      </c>
    </row>
    <row r="81" spans="1:35" x14ac:dyDescent="0.2">
      <c r="A81" s="151" t="str">
        <f ca="1">IF(C81="","",MAX($A$1:OFFSET(C81,-1,0))+1)</f>
        <v/>
      </c>
      <c r="B81" s="151" t="str">
        <f ca="1">IFERROR(IFERROR(IFERROR("Шаг2.Бланк заказа NEW №"&amp;VLOOKUP(A80+1,CHOOSE({1,2},'Шаг2.Бланк заказа NEW'!$B$19:$B$201,'Шаг2.Бланк заказа NEW'!$A$19:$A$201),1,0),
"Бланк OLD 0.8 04 №"&amp;VLOOKUP(A80+1-COUNT('Шаг2.Бланк заказа NEW'!$B$19:$B$201),CHOOSE({1,2},'Бланк OLD 0.8 04'!$B$18:$B$200,'Бланк OLD 0.8 04'!$A$18:$A$200),1,0)),
"Бланк OLD 2.0 04 №"&amp;VLOOKUP(A80+1-COUNT('Шаг2.Бланк заказа NEW'!$B$19:$B$201)-COUNT('Бланк OLD 0.8 04'!$B$18:$B$200),CHOOSE({1,2},'Бланк OLD 2.0 04 '!$B$18:$B$200,'Бланк OLD 2.0 04 '!$A$18:$A$200),1,0)),"")</f>
        <v/>
      </c>
      <c r="C81" s="152" t="str">
        <f ca="1">IFERROR(IFERROR(IFERROR(VLOOKUP(A80+1,CHOOSE({1,2},'Шаг2.Бланк заказа NEW'!$B$19:$B$201,'Шаг2.Бланк заказа NEW'!$A$19:$A$201),2,0),
VLOOKUP(A80+1-COUNT('Шаг2.Бланк заказа NEW'!$B$19:$B$201),CHOOSE({1,2},'Бланк OLD 0.8 04'!$B$18:$B$200,'Бланк OLD 0.8 04'!$A$18:$A$200),2,0)),
VLOOKUP(A80+1-COUNT('Шаг2.Бланк заказа NEW'!$B$19:$B$201)-COUNT('Бланк OLD 0.8 04'!$B$18:$B$200),CHOOSE({1,2},'Бланк OLD 2.0 04 '!$B$18:$B$200,'Бланк OLD 2.0 04 '!$A$18:$A$200),2,0)),"")</f>
        <v/>
      </c>
      <c r="D81" s="150" t="str">
        <f ca="1">IFERROR(VLOOKUP(C81,'Шаг1.Выбор плиты'!C:G,5,0),"")</f>
        <v/>
      </c>
      <c r="E81" s="147" t="str">
        <f ca="1">IFERROR(IFERROR(IF(VLOOKUP($A81,'Шаг2.Бланк заказа NEW'!$B$17:$N$201,2,0)="","",VLOOKUP($A81,'Шаг2.Бланк заказа NEW'!$B$17:$N$201,2,0)),
IF(VLOOKUP($A81-COUNT('Шаг2.Бланк заказа NEW'!$B$19:$B$201),'Бланк OLD 0.8 04'!$B$12:$K$200,2,0)="","",VLOOKUP($A81-COUNT('Шаг2.Бланк заказа NEW'!$B$19:$B$201),'Бланк OLD 0.8 04'!$B$12:$K$200,2,0))),
IF(VLOOKUP($A81-COUNT('Шаг2.Бланк заказа NEW'!$B$19:$B$201)-COUNT('Бланк OLD 0.8 04'!$B$18:$B$200),'Бланк OLD 2.0 04 '!$B$16:$K$200,2,0)="","",VLOOKUP($A81-COUNT('Шаг2.Бланк заказа NEW'!$B$19:$B$201)-COUNT('Бланк OLD 0.8 04'!$B$18:$B$200),'Бланк OLD 2.0 04 '!$B$16:$K$200,2,0)))</f>
        <v/>
      </c>
      <c r="F81" s="147" t="str">
        <f ca="1">IFERROR(IFERROR(IF(VLOOKUP($A81,'Шаг2.Бланк заказа NEW'!$B$17:$N$201,3,0)="","",VLOOKUP($A81,'Шаг2.Бланк заказа NEW'!$B$17:$N$201,3,0)),
IF(VLOOKUP($A81-COUNT('Шаг2.Бланк заказа NEW'!$B$19:$B$201),'Бланк OLD 0.8 04'!$B$12:$K$200,3,0)="","",VLOOKUP($A81-COUNT('Шаг2.Бланк заказа NEW'!$B$19:$B$201),'Бланк OLD 0.8 04'!$B$12:$K$200,3,0))),
IF(VLOOKUP($A81-COUNT('Шаг2.Бланк заказа NEW'!$B$19:$B$201)-COUNT('Бланк OLD 0.8 04'!$B$18:$B$200),'Бланк OLD 2.0 04 '!$B$16:$K$200,3,0)="","",VLOOKUP($A81-COUNT('Шаг2.Бланк заказа NEW'!$B$19:$B$201)-COUNT('Бланк OLD 0.8 04'!$B$18:$B$200),'Бланк OLD 2.0 04 '!$B$16:$K$200,3,0)))</f>
        <v/>
      </c>
      <c r="G81" s="176" t="str">
        <f ca="1">IF(IF(R81="","",IF(R81=1,SUMIFS('Шаг1.Выбор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плиты'!C:Q,12,0)),1))))))=0,
R81,
IF(R81="","",IF(R81=1,SUMIFS('Шаг1.Выбор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плиты'!N:N,R81,'Шаг1.Выбор плиты'!M:M,SMALL(INDIRECT("мм"&amp;VLOOKUP(C81,'Шаг1.Выбор плиты'!C:Q,12,0)),1)))))))</f>
        <v/>
      </c>
      <c r="H81" s="177" t="str">
        <f ca="1">IF(IF(S81="","",IF(S81=1,SUMIFS('Шаг1.Выбор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плиты'!C:Q,12,0)),1))))))=0,
S81,
IF(S81="","",IF(S81=1,SUMIFS('Шаг1.Выбор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плиты'!N:N,S81,'Шаг1.Выбор плиты'!M:M,SMALL(INDIRECT("мм"&amp;VLOOKUP(C81,'Шаг1.Выбор плиты'!C:Q,12,0)),1)))))))</f>
        <v/>
      </c>
      <c r="I81" s="147" t="str">
        <f ca="1">IFERROR(IFERROR(IF(VLOOKUP($A81,'Шаг2.Бланк заказа NEW'!$B$17:$N$201,6,0)="","",VLOOKUP($A81,'Шаг2.Бланк заказа NEW'!$B$17:$N$201,6,0)),
IF(VLOOKUP($A81-COUNT('Шаг2.Бланк заказа NEW'!$B$19:$B$201),'Бланк OLD 0.8 04'!$B$12:$K$200,6,0)="","",VLOOKUP($A81-COUNT('Шаг2.Бланк заказа NEW'!$B$19:$B$201),'Бланк OLD 0.8 04'!$B$12:$K$200,6,0))),
IF(VLOOKUP($A81-COUNT('Шаг2.Бланк заказа NEW'!$B$19:$B$201)-COUNT('Бланк OLD 0.8 04'!$B$18:$B$200),'Бланк OLD 2.0 04 '!$B$16:$K$200,6,0)="","",VLOOKUP($A81-COUNT('Шаг2.Бланк заказа NEW'!$B$19:$B$201)-COUNT('Бланк OLD 0.8 04'!$B$18:$B$200),'Бланк OLD 2.0 04 '!$B$16:$K$200,6,0)))</f>
        <v/>
      </c>
      <c r="J81" s="177" t="str">
        <f ca="1">IF(IF(T81="","",IF(T81=1,SUMIFS('Шаг1.Выбор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плиты'!C:Q,12,0)),1))))))=0,
T81,
IF(T81="","",IF(T81=1,SUMIFS('Шаг1.Выбор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плиты'!N:N,T81,'Шаг1.Выбор плиты'!M:M,SMALL(INDIRECT("мм"&amp;VLOOKUP(C81,'Шаг1.Выбор плиты'!C:Q,12,0)),1)))))))</f>
        <v/>
      </c>
      <c r="K81" s="177" t="str">
        <f ca="1">IF(IF(U81="","",IF(U81=1,SUMIFS('Шаг1.Выбор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плиты'!C:Q,12,0)),1))))))=0,
U81,
IF(U81="","",IF(U81=1,SUMIFS('Шаг1.Выбор плиты'!$G:$G,'Шаг1.Выбор плиты'!J:J,"*"&amp;RIGHT(VLOOKUP(C81,'Шаг1.Выбор плиты'!C:Q,8,0),4),'Шаг1.Выбор плиты'!L:L,IF(MID(C81,1,6)="ЛДСП P","TM"&amp;MID(VLOOKUP(C81,'Шаг1.Выбор плиты'!C:Q,10,0),3,2),MID(VLOOKUP(C81,'Шаг1.Выбор плиты'!C:Q,10,0),1,2)),
'Шаг1.Выбор плиты'!N:N,1),IF(SUMIFS('Шаг1.Выбор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плиты'!C:Q,12,0)),1))=0,
IF(SUMIFS('Шаг1.Выбор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плиты'!C:Q,12,0)),2))=0,
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плиты'!C:Q,12,0)),3)),
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плиты'!C:Q,12,0)),2))),
(SUMIFS('Шаг1.Выбор плиты'!$G:$G,'Шаг1.Выбор плиты'!J:J,"*"&amp;RIGHT(VLOOKUP(C81,'Шаг1.Выбор плиты'!C:Q,8,0),4),'Шаг1.Выбор плиты'!L:L,VLOOKUP(C81,'Шаг1.Выбор плиты'!C:Q,10,0),'Шаг1.Выбор плиты'!N:N,U81,'Шаг1.Выбор плиты'!M:M,SMALL(INDIRECT("мм"&amp;VLOOKUP(C81,'Шаг1.Выбор плиты'!C:Q,12,0)),1)))))))</f>
        <v/>
      </c>
      <c r="L81" s="147" t="str">
        <f ca="1">IFERROR(IFERROR(IF(VLOOKUP($A81,'Шаг2.Бланк заказа NEW'!$B$17:$N$201,9,0)="","",VLOOKUP($A81,'Шаг2.Бланк заказа NEW'!$B$17:$N$201,9,0)),
IF(VLOOKUP($A81-COUNT('Шаг2.Бланк заказа NEW'!$B$19:$B$201),'Бланк OLD 0.8 04'!$B$12:$K$200,9,0)="","",VLOOKUP($A81-COUNT('Шаг2.Бланк заказа NEW'!$B$19:$B$201),'Бланк OLD 0.8 04'!$B$12:$K$200,9,0))),
IF(VLOOKUP($A81-COUNT('Шаг2.Бланк заказа NEW'!$B$19:$B$201)-COUNT('Бланк OLD 0.8 04'!$B$18:$B$200),'Бланк OLD 2.0 04 '!$B$16:$K$200,9,0)="","",VLOOKUP($A81-COUNT('Шаг2.Бланк заказа NEW'!$B$19:$B$201)-COUNT('Бланк OLD 0.8 04'!$B$18:$B$200),'Бланк OLD 2.0 04 '!$B$16:$K$200,9,0)))</f>
        <v/>
      </c>
      <c r="M81" s="154" t="str">
        <f t="shared" ca="1" si="5"/>
        <v/>
      </c>
      <c r="N81" s="153" t="str">
        <f ca="1">IFERROR(IF(VLOOKUP($A81,'Шаг2.Бланк заказа NEW'!$B$17:$N$201,11,0)="","",VLOOKUP($A81,'Шаг2.Бланк заказа NEW'!$B$17:$N$201,11,0)),
"Нет")</f>
        <v/>
      </c>
      <c r="O81" s="147" t="str">
        <f ca="1">IFERROR(IF(VLOOKUP($A81,'Шаг2.Бланк заказа NEW'!$B$17:$N$201,11,0)="","",VLOOKUP($A81,'Шаг2.Бланк заказа NEW'!$B$17:$N$201,12,0)),
"Нет")</f>
        <v/>
      </c>
      <c r="P81" s="153" t="str">
        <f ca="1">IFERROR(IF(VLOOKUP($A81,'Шаг2.Бланк заказа NEW'!$B$17:$N$201,13,0)="","",VLOOKUP($A81,'Шаг2.Бланк заказа NEW'!$B$17:$N$201,13,0)),
"Нет")</f>
        <v/>
      </c>
      <c r="Q81" s="147" t="str">
        <f ca="1">IFERROR(IF(VLOOKUP($A81,'Шаг2.Бланк заказа NEW'!$B$17:$O$201,14,0)="","",VLOOKUP($A81,'Шаг2.Бланк заказа NEW'!$B$17:$O$201,14,0)),"")</f>
        <v/>
      </c>
      <c r="R81" s="147" t="str">
        <f ca="1">IFERROR(IFERROR(IF(VLOOKUP($A81,'Шаг2.Бланк заказа NEW'!$B$17:$N$201,4,0)="","",VLOOKUP($A81,'Шаг2.Бланк заказа NEW'!$B$17:$N$201,4,0)),
IF(VLOOKUP($A81-COUNT('Шаг2.Бланк заказа NEW'!$B$19:$B$201),'Бланк OLD 0.8 04'!$B$12:$K$200,4,0)&gt;0,0.8,
IF(VLOOKUP($A81-COUNT('Шаг2.Бланк заказа NEW'!$B$19:$B$201),'Бланк OLD 0.8 04'!$B$12:$K$200,5,0)&gt;0,0.4,""))),
IF(VLOOKUP($A81-COUNT('Шаг2.Бланк заказа NEW'!$B$19:$B$201)-COUNT('Бланк OLD 0.8 04'!$B$18:$B$200),'Бланк OLD 2.0 04 '!$B$16:$K$200,4,0)&gt;0,2,IF(VLOOKUP($A81-COUNT('Шаг2.Бланк заказа NEW'!$B$19:$B$201)-COUNT('Бланк OLD 0.8 04'!$B$18:$B$200),'Бланк OLD 2.0 04 '!$B$16:$K$200,5,0)&gt;0,0.4,"")))</f>
        <v/>
      </c>
      <c r="S81" s="147" t="str">
        <f ca="1">IFERROR(IFERROR(IF(VLOOKUP($A81,'Шаг2.Бланк заказа NEW'!$B$17:$N$201,5,0)="","",VLOOKUP($A81,'Шаг2.Бланк заказа NEW'!$B$17:$N$201,5,0)),
IF(VLOOKUP($A81-COUNT('Шаг2.Бланк заказа NEW'!$B$19:$B$201),'Бланк OLD 0.8 04'!$B$12:$K$200,4,0)&gt;1,0.8,
IF(VLOOKUP($A81-COUNT('Шаг2.Бланк заказа NEW'!$B$19:$B$201),'Бланк OLD 0.8 04'!$B$12:$K$200,5,0)&gt;1,0.4,
IF(AND(VLOOKUP($A81-COUNT('Шаг2.Бланк заказа NEW'!$B$19:$B$201),'Бланк OLD 0.8 04'!$B$12:$K$200,4,0)&gt;0,VLOOKUP($A81-COUNT('Шаг2.Бланк заказа NEW'!$B$19:$B$201),'Бланк OLD 0.8 04'!$B$12:$K$200,5,0)&gt;0),0.4,"")))),
IF(VLOOKUP($A81-COUNT('Шаг2.Бланк заказа NEW'!$B$19:$B$201)-COUNT('Бланк OLD 0.8 04'!$B$18:$B$200),'Бланк OLD 2.0 04 '!$B$16:$K$200,4,0)&gt;1,2,
IF(VLOOKUP($A81-COUNT('Шаг2.Бланк заказа NEW'!$B$19:$B$201)-COUNT('Бланк OLD 0.8 04'!$B$18:$B$200),'Бланк OLD 2.0 04 '!$B$16:$K$200,5,0)&gt;1,0.4,IF(AND(VLOOKUP($A81-COUNT('Шаг2.Бланк заказа NEW'!$B$19:$B$201)-COUNT('Бланк OLD 0.8 04'!$B$18:$B$200),'Бланк OLD 2.0 04 '!$B$16:$K$200,4,0)&gt;0,VLOOKUP($A81-COUNT('Шаг2.Бланк заказа NEW'!$B$19:$B$201)-COUNT('Бланк OLD 0.8 04'!$B$18:$B$200),'Бланк OLD 2.0 04 '!$B$16:$K$200,5,0)&gt;0),0.4,""))))</f>
        <v/>
      </c>
      <c r="T81" s="147" t="str">
        <f ca="1">IFERROR(IFERROR(IF(VLOOKUP($A81,'Шаг2.Бланк заказа NEW'!$B$17:$N$201,7,0)="","",VLOOKUP($A81,'Шаг2.Бланк заказа NEW'!$B$17:$N$201,7,0)),
IF(VLOOKUP($A81-COUNT('Шаг2.Бланк заказа NEW'!$B$19:$B$201),'Бланк OLD 0.8 04'!$B$12:$K$200,7,0)&gt;0,0.8,
IF(VLOOKUP($A81-COUNT('Шаг2.Бланк заказа NEW'!$B$19:$B$201),'Бланк OLD 0.8 04'!$B$12:$K$200,8,0)&gt;0,0.4,""))),
IF(VLOOKUP($A81-COUNT('Шаг2.Бланк заказа NEW'!$B$19:$B$201)-COUNT('Бланк OLD 0.8 04'!$B$18:$B$200),'Бланк OLD 2.0 04 '!$B$16:$K$200,7,0)&gt;0,2,IF(VLOOKUP($A81-COUNT('Шаг2.Бланк заказа NEW'!$B$19:$B$201)-COUNT('Бланк OLD 0.8 04'!$B$18:$B$200),'Бланк OLD 2.0 04 '!$B$16:$K$200,8,0)&gt;0,0.4,"")))</f>
        <v/>
      </c>
      <c r="U81" s="147" t="str">
        <f ca="1">IFERROR(IFERROR(IF(VLOOKUP($A81,'Шаг2.Бланк заказа NEW'!$B$17:$N$201,8,0)="","",VLOOKUP($A81,'Шаг2.Бланк заказа NEW'!$B$17:$N$201,8,0)),
IF(VLOOKUP($A81-COUNT('Шаг2.Бланк заказа NEW'!$B$19:$B$201),'Бланк OLD 0.8 04'!$B$12:$K$200,7,0)&gt;1,0.8,
IF(VLOOKUP($A81-COUNT('Шаг2.Бланк заказа NEW'!$B$19:$B$201),'Бланк OLD 0.8 04'!$B$12:$K$200,8,0)&gt;1,0.4,
IF(AND(VLOOKUP($A81-COUNT('Шаг2.Бланк заказа NEW'!$B$19:$B$201),'Бланк OLD 0.8 04'!$B$12:$K$200,7,0)&gt;0,VLOOKUP($A81-COUNT('Шаг2.Бланк заказа NEW'!$B$19:$B$201),'Бланк OLD 0.8 04'!$B$12:$K$200,8,0)&gt;0),0.4,"")))),
IF(VLOOKUP($A81-COUNT('Шаг2.Бланк заказа NEW'!$B$19:$B$201)-COUNT('Бланк OLD 0.8 04'!$B$18:$B$200),'Бланк OLD 2.0 04 '!$B$16:$K$200,7,0)&gt;1,2,
IF(VLOOKUP($A81-COUNT('Шаг2.Бланк заказа NEW'!$B$19:$B$201)-COUNT('Бланк OLD 0.8 04'!$B$18:$B$200),'Бланк OLD 2.0 04 '!$B$16:$K$200,8,0)&gt;1,0.4,
IF(AND(VLOOKUP($A81-COUNT('Шаг2.Бланк заказа NEW'!$B$19:$B$201)-COUNT('Бланк OLD 0.8 04'!$B$18:$B$200),'Бланк OLD 2.0 04 '!$B$16:$K$200,7,0)&gt;0,VLOOKUP($A81-COUNT('Шаг2.Бланк заказа NEW'!$B$19:$B$201)-COUNT('Бланк OLD 0.8 04'!$B$18:$B$200),'Бланк OLD 2.0 04 '!$B$16:$K$200,8,0)&gt;0),0.4,""))))</f>
        <v/>
      </c>
      <c r="V81" s="146" t="str">
        <f ca="1">IFERROR(VLOOKUP(C81,'Шаг1.Выбор плиты'!C:S,12,0),"")</f>
        <v/>
      </c>
      <c r="W81" s="146" t="str">
        <f ca="1">IFERROR(VLOOKUP(C81,'Шаг1.Выбор плиты'!C:S,8,0),"")</f>
        <v/>
      </c>
      <c r="X81" s="146" t="str">
        <f ca="1">IFERROR(VLOOKUP(C81,'Шаг1.Выбор плиты'!C:S,10,0),"")</f>
        <v/>
      </c>
      <c r="Y81" s="147" t="str">
        <f t="shared" ca="1" si="8"/>
        <v/>
      </c>
      <c r="AD81" s="147" t="str">
        <f t="shared" ca="1" si="6"/>
        <v/>
      </c>
      <c r="AE81" s="147" t="str">
        <f t="shared" ca="1" si="9"/>
        <v/>
      </c>
      <c r="AF81" s="25"/>
      <c r="AH81" s="147" t="str">
        <f ca="1">IF(C81="","",VLOOKUP(C81,'Шаг1.Выбор плиты'!C:Q,7,0))</f>
        <v/>
      </c>
      <c r="AI81" s="147" t="str">
        <f t="shared" ca="1" si="7"/>
        <v/>
      </c>
    </row>
    <row r="82" spans="1:35" x14ac:dyDescent="0.2">
      <c r="A82" s="151" t="str">
        <f ca="1">IF(C82="","",MAX($A$1:OFFSET(C82,-1,0))+1)</f>
        <v/>
      </c>
      <c r="B82" s="151" t="str">
        <f ca="1">IFERROR(IFERROR(IFERROR("Шаг2.Бланк заказа NEW №"&amp;VLOOKUP(A81+1,CHOOSE({1,2},'Шаг2.Бланк заказа NEW'!$B$19:$B$201,'Шаг2.Бланк заказа NEW'!$A$19:$A$201),1,0),
"Бланк OLD 0.8 04 №"&amp;VLOOKUP(A81+1-COUNT('Шаг2.Бланк заказа NEW'!$B$19:$B$201),CHOOSE({1,2},'Бланк OLD 0.8 04'!$B$18:$B$200,'Бланк OLD 0.8 04'!$A$18:$A$200),1,0)),
"Бланк OLD 2.0 04 №"&amp;VLOOKUP(A81+1-COUNT('Шаг2.Бланк заказа NEW'!$B$19:$B$201)-COUNT('Бланк OLD 0.8 04'!$B$18:$B$200),CHOOSE({1,2},'Бланк OLD 2.0 04 '!$B$18:$B$200,'Бланк OLD 2.0 04 '!$A$18:$A$200),1,0)),"")</f>
        <v/>
      </c>
      <c r="C82" s="152" t="str">
        <f ca="1">IFERROR(IFERROR(IFERROR(VLOOKUP(A81+1,CHOOSE({1,2},'Шаг2.Бланк заказа NEW'!$B$19:$B$201,'Шаг2.Бланк заказа NEW'!$A$19:$A$201),2,0),
VLOOKUP(A81+1-COUNT('Шаг2.Бланк заказа NEW'!$B$19:$B$201),CHOOSE({1,2},'Бланк OLD 0.8 04'!$B$18:$B$200,'Бланк OLD 0.8 04'!$A$18:$A$200),2,0)),
VLOOKUP(A81+1-COUNT('Шаг2.Бланк заказа NEW'!$B$19:$B$201)-COUNT('Бланк OLD 0.8 04'!$B$18:$B$200),CHOOSE({1,2},'Бланк OLD 2.0 04 '!$B$18:$B$200,'Бланк OLD 2.0 04 '!$A$18:$A$200),2,0)),"")</f>
        <v/>
      </c>
      <c r="D82" s="150" t="str">
        <f ca="1">IFERROR(VLOOKUP(C82,'Шаг1.Выбор плиты'!C:G,5,0),"")</f>
        <v/>
      </c>
      <c r="E82" s="147" t="str">
        <f ca="1">IFERROR(IFERROR(IF(VLOOKUP($A82,'Шаг2.Бланк заказа NEW'!$B$17:$N$201,2,0)="","",VLOOKUP($A82,'Шаг2.Бланк заказа NEW'!$B$17:$N$201,2,0)),
IF(VLOOKUP($A82-COUNT('Шаг2.Бланк заказа NEW'!$B$19:$B$201),'Бланк OLD 0.8 04'!$B$12:$K$200,2,0)="","",VLOOKUP($A82-COUNT('Шаг2.Бланк заказа NEW'!$B$19:$B$201),'Бланк OLD 0.8 04'!$B$12:$K$200,2,0))),
IF(VLOOKUP($A82-COUNT('Шаг2.Бланк заказа NEW'!$B$19:$B$201)-COUNT('Бланк OLD 0.8 04'!$B$18:$B$200),'Бланк OLD 2.0 04 '!$B$16:$K$200,2,0)="","",VLOOKUP($A82-COUNT('Шаг2.Бланк заказа NEW'!$B$19:$B$201)-COUNT('Бланк OLD 0.8 04'!$B$18:$B$200),'Бланк OLD 2.0 04 '!$B$16:$K$200,2,0)))</f>
        <v/>
      </c>
      <c r="F82" s="147" t="str">
        <f ca="1">IFERROR(IFERROR(IF(VLOOKUP($A82,'Шаг2.Бланк заказа NEW'!$B$17:$N$201,3,0)="","",VLOOKUP($A82,'Шаг2.Бланк заказа NEW'!$B$17:$N$201,3,0)),
IF(VLOOKUP($A82-COUNT('Шаг2.Бланк заказа NEW'!$B$19:$B$201),'Бланк OLD 0.8 04'!$B$12:$K$200,3,0)="","",VLOOKUP($A82-COUNT('Шаг2.Бланк заказа NEW'!$B$19:$B$201),'Бланк OLD 0.8 04'!$B$12:$K$200,3,0))),
IF(VLOOKUP($A82-COUNT('Шаг2.Бланк заказа NEW'!$B$19:$B$201)-COUNT('Бланк OLD 0.8 04'!$B$18:$B$200),'Бланк OLD 2.0 04 '!$B$16:$K$200,3,0)="","",VLOOKUP($A82-COUNT('Шаг2.Бланк заказа NEW'!$B$19:$B$201)-COUNT('Бланк OLD 0.8 04'!$B$18:$B$200),'Бланк OLD 2.0 04 '!$B$16:$K$200,3,0)))</f>
        <v/>
      </c>
      <c r="G82" s="176" t="str">
        <f ca="1">IF(IF(R82="","",IF(R82=1,SUMIFS('Шаг1.Выбор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плиты'!C:Q,12,0)),1))))))=0,
R82,
IF(R82="","",IF(R82=1,SUMIFS('Шаг1.Выбор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плиты'!N:N,R82,'Шаг1.Выбор плиты'!M:M,SMALL(INDIRECT("мм"&amp;VLOOKUP(C82,'Шаг1.Выбор плиты'!C:Q,12,0)),1)))))))</f>
        <v/>
      </c>
      <c r="H82" s="177" t="str">
        <f ca="1">IF(IF(S82="","",IF(S82=1,SUMIFS('Шаг1.Выбор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плиты'!C:Q,12,0)),1))))))=0,
S82,
IF(S82="","",IF(S82=1,SUMIFS('Шаг1.Выбор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плиты'!N:N,S82,'Шаг1.Выбор плиты'!M:M,SMALL(INDIRECT("мм"&amp;VLOOKUP(C82,'Шаг1.Выбор плиты'!C:Q,12,0)),1)))))))</f>
        <v/>
      </c>
      <c r="I82" s="147" t="str">
        <f ca="1">IFERROR(IFERROR(IF(VLOOKUP($A82,'Шаг2.Бланк заказа NEW'!$B$17:$N$201,6,0)="","",VLOOKUP($A82,'Шаг2.Бланк заказа NEW'!$B$17:$N$201,6,0)),
IF(VLOOKUP($A82-COUNT('Шаг2.Бланк заказа NEW'!$B$19:$B$201),'Бланк OLD 0.8 04'!$B$12:$K$200,6,0)="","",VLOOKUP($A82-COUNT('Шаг2.Бланк заказа NEW'!$B$19:$B$201),'Бланк OLD 0.8 04'!$B$12:$K$200,6,0))),
IF(VLOOKUP($A82-COUNT('Шаг2.Бланк заказа NEW'!$B$19:$B$201)-COUNT('Бланк OLD 0.8 04'!$B$18:$B$200),'Бланк OLD 2.0 04 '!$B$16:$K$200,6,0)="","",VLOOKUP($A82-COUNT('Шаг2.Бланк заказа NEW'!$B$19:$B$201)-COUNT('Бланк OLD 0.8 04'!$B$18:$B$200),'Бланк OLD 2.0 04 '!$B$16:$K$200,6,0)))</f>
        <v/>
      </c>
      <c r="J82" s="177" t="str">
        <f ca="1">IF(IF(T82="","",IF(T82=1,SUMIFS('Шаг1.Выбор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плиты'!C:Q,12,0)),1))))))=0,
T82,
IF(T82="","",IF(T82=1,SUMIFS('Шаг1.Выбор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плиты'!N:N,T82,'Шаг1.Выбор плиты'!M:M,SMALL(INDIRECT("мм"&amp;VLOOKUP(C82,'Шаг1.Выбор плиты'!C:Q,12,0)),1)))))))</f>
        <v/>
      </c>
      <c r="K82" s="177" t="str">
        <f ca="1">IF(IF(U82="","",IF(U82=1,SUMIFS('Шаг1.Выбор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плиты'!C:Q,12,0)),1))))))=0,
U82,
IF(U82="","",IF(U82=1,SUMIFS('Шаг1.Выбор плиты'!$G:$G,'Шаг1.Выбор плиты'!J:J,"*"&amp;RIGHT(VLOOKUP(C82,'Шаг1.Выбор плиты'!C:Q,8,0),4),'Шаг1.Выбор плиты'!L:L,IF(MID(C82,1,6)="ЛДСП P","TM"&amp;MID(VLOOKUP(C82,'Шаг1.Выбор плиты'!C:Q,10,0),3,2),MID(VLOOKUP(C82,'Шаг1.Выбор плиты'!C:Q,10,0),1,2)),
'Шаг1.Выбор плиты'!N:N,1),IF(SUMIFS('Шаг1.Выбор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плиты'!C:Q,12,0)),1))=0,
IF(SUMIFS('Шаг1.Выбор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плиты'!C:Q,12,0)),2))=0,
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плиты'!C:Q,12,0)),3)),
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плиты'!C:Q,12,0)),2))),
(SUMIFS('Шаг1.Выбор плиты'!$G:$G,'Шаг1.Выбор плиты'!J:J,"*"&amp;RIGHT(VLOOKUP(C82,'Шаг1.Выбор плиты'!C:Q,8,0),4),'Шаг1.Выбор плиты'!L:L,VLOOKUP(C82,'Шаг1.Выбор плиты'!C:Q,10,0),'Шаг1.Выбор плиты'!N:N,U82,'Шаг1.Выбор плиты'!M:M,SMALL(INDIRECT("мм"&amp;VLOOKUP(C82,'Шаг1.Выбор плиты'!C:Q,12,0)),1)))))))</f>
        <v/>
      </c>
      <c r="L82" s="147" t="str">
        <f ca="1">IFERROR(IFERROR(IF(VLOOKUP($A82,'Шаг2.Бланк заказа NEW'!$B$17:$N$201,9,0)="","",VLOOKUP($A82,'Шаг2.Бланк заказа NEW'!$B$17:$N$201,9,0)),
IF(VLOOKUP($A82-COUNT('Шаг2.Бланк заказа NEW'!$B$19:$B$201),'Бланк OLD 0.8 04'!$B$12:$K$200,9,0)="","",VLOOKUP($A82-COUNT('Шаг2.Бланк заказа NEW'!$B$19:$B$201),'Бланк OLD 0.8 04'!$B$12:$K$200,9,0))),
IF(VLOOKUP($A82-COUNT('Шаг2.Бланк заказа NEW'!$B$19:$B$201)-COUNT('Бланк OLD 0.8 04'!$B$18:$B$200),'Бланк OLD 2.0 04 '!$B$16:$K$200,9,0)="","",VLOOKUP($A82-COUNT('Шаг2.Бланк заказа NEW'!$B$19:$B$201)-COUNT('Бланк OLD 0.8 04'!$B$18:$B$200),'Бланк OLD 2.0 04 '!$B$16:$K$200,9,0)))</f>
        <v/>
      </c>
      <c r="M82" s="154" t="str">
        <f t="shared" ca="1" si="5"/>
        <v/>
      </c>
      <c r="N82" s="153" t="str">
        <f ca="1">IFERROR(IF(VLOOKUP($A82,'Шаг2.Бланк заказа NEW'!$B$17:$N$201,11,0)="","",VLOOKUP($A82,'Шаг2.Бланк заказа NEW'!$B$17:$N$201,11,0)),
"Нет")</f>
        <v/>
      </c>
      <c r="O82" s="147" t="str">
        <f ca="1">IFERROR(IF(VLOOKUP($A82,'Шаг2.Бланк заказа NEW'!$B$17:$N$201,11,0)="","",VLOOKUP($A82,'Шаг2.Бланк заказа NEW'!$B$17:$N$201,12,0)),
"Нет")</f>
        <v/>
      </c>
      <c r="P82" s="153" t="str">
        <f ca="1">IFERROR(IF(VLOOKUP($A82,'Шаг2.Бланк заказа NEW'!$B$17:$N$201,13,0)="","",VLOOKUP($A82,'Шаг2.Бланк заказа NEW'!$B$17:$N$201,13,0)),
"Нет")</f>
        <v/>
      </c>
      <c r="Q82" s="147" t="str">
        <f ca="1">IFERROR(IF(VLOOKUP($A82,'Шаг2.Бланк заказа NEW'!$B$17:$O$201,14,0)="","",VLOOKUP($A82,'Шаг2.Бланк заказа NEW'!$B$17:$O$201,14,0)),"")</f>
        <v/>
      </c>
      <c r="R82" s="147" t="str">
        <f ca="1">IFERROR(IFERROR(IF(VLOOKUP($A82,'Шаг2.Бланк заказа NEW'!$B$17:$N$201,4,0)="","",VLOOKUP($A82,'Шаг2.Бланк заказа NEW'!$B$17:$N$201,4,0)),
IF(VLOOKUP($A82-COUNT('Шаг2.Бланк заказа NEW'!$B$19:$B$201),'Бланк OLD 0.8 04'!$B$12:$K$200,4,0)&gt;0,0.8,
IF(VLOOKUP($A82-COUNT('Шаг2.Бланк заказа NEW'!$B$19:$B$201),'Бланк OLD 0.8 04'!$B$12:$K$200,5,0)&gt;0,0.4,""))),
IF(VLOOKUP($A82-COUNT('Шаг2.Бланк заказа NEW'!$B$19:$B$201)-COUNT('Бланк OLD 0.8 04'!$B$18:$B$200),'Бланк OLD 2.0 04 '!$B$16:$K$200,4,0)&gt;0,2,IF(VLOOKUP($A82-COUNT('Шаг2.Бланк заказа NEW'!$B$19:$B$201)-COUNT('Бланк OLD 0.8 04'!$B$18:$B$200),'Бланк OLD 2.0 04 '!$B$16:$K$200,5,0)&gt;0,0.4,"")))</f>
        <v/>
      </c>
      <c r="S82" s="147" t="str">
        <f ca="1">IFERROR(IFERROR(IF(VLOOKUP($A82,'Шаг2.Бланк заказа NEW'!$B$17:$N$201,5,0)="","",VLOOKUP($A82,'Шаг2.Бланк заказа NEW'!$B$17:$N$201,5,0)),
IF(VLOOKUP($A82-COUNT('Шаг2.Бланк заказа NEW'!$B$19:$B$201),'Бланк OLD 0.8 04'!$B$12:$K$200,4,0)&gt;1,0.8,
IF(VLOOKUP($A82-COUNT('Шаг2.Бланк заказа NEW'!$B$19:$B$201),'Бланк OLD 0.8 04'!$B$12:$K$200,5,0)&gt;1,0.4,
IF(AND(VLOOKUP($A82-COUNT('Шаг2.Бланк заказа NEW'!$B$19:$B$201),'Бланк OLD 0.8 04'!$B$12:$K$200,4,0)&gt;0,VLOOKUP($A82-COUNT('Шаг2.Бланк заказа NEW'!$B$19:$B$201),'Бланк OLD 0.8 04'!$B$12:$K$200,5,0)&gt;0),0.4,"")))),
IF(VLOOKUP($A82-COUNT('Шаг2.Бланк заказа NEW'!$B$19:$B$201)-COUNT('Бланк OLD 0.8 04'!$B$18:$B$200),'Бланк OLD 2.0 04 '!$B$16:$K$200,4,0)&gt;1,2,
IF(VLOOKUP($A82-COUNT('Шаг2.Бланк заказа NEW'!$B$19:$B$201)-COUNT('Бланк OLD 0.8 04'!$B$18:$B$200),'Бланк OLD 2.0 04 '!$B$16:$K$200,5,0)&gt;1,0.4,IF(AND(VLOOKUP($A82-COUNT('Шаг2.Бланк заказа NEW'!$B$19:$B$201)-COUNT('Бланк OLD 0.8 04'!$B$18:$B$200),'Бланк OLD 2.0 04 '!$B$16:$K$200,4,0)&gt;0,VLOOKUP($A82-COUNT('Шаг2.Бланк заказа NEW'!$B$19:$B$201)-COUNT('Бланк OLD 0.8 04'!$B$18:$B$200),'Бланк OLD 2.0 04 '!$B$16:$K$200,5,0)&gt;0),0.4,""))))</f>
        <v/>
      </c>
      <c r="T82" s="147" t="str">
        <f ca="1">IFERROR(IFERROR(IF(VLOOKUP($A82,'Шаг2.Бланк заказа NEW'!$B$17:$N$201,7,0)="","",VLOOKUP($A82,'Шаг2.Бланк заказа NEW'!$B$17:$N$201,7,0)),
IF(VLOOKUP($A82-COUNT('Шаг2.Бланк заказа NEW'!$B$19:$B$201),'Бланк OLD 0.8 04'!$B$12:$K$200,7,0)&gt;0,0.8,
IF(VLOOKUP($A82-COUNT('Шаг2.Бланк заказа NEW'!$B$19:$B$201),'Бланк OLD 0.8 04'!$B$12:$K$200,8,0)&gt;0,0.4,""))),
IF(VLOOKUP($A82-COUNT('Шаг2.Бланк заказа NEW'!$B$19:$B$201)-COUNT('Бланк OLD 0.8 04'!$B$18:$B$200),'Бланк OLD 2.0 04 '!$B$16:$K$200,7,0)&gt;0,2,IF(VLOOKUP($A82-COUNT('Шаг2.Бланк заказа NEW'!$B$19:$B$201)-COUNT('Бланк OLD 0.8 04'!$B$18:$B$200),'Бланк OLD 2.0 04 '!$B$16:$K$200,8,0)&gt;0,0.4,"")))</f>
        <v/>
      </c>
      <c r="U82" s="147" t="str">
        <f ca="1">IFERROR(IFERROR(IF(VLOOKUP($A82,'Шаг2.Бланк заказа NEW'!$B$17:$N$201,8,0)="","",VLOOKUP($A82,'Шаг2.Бланк заказа NEW'!$B$17:$N$201,8,0)),
IF(VLOOKUP($A82-COUNT('Шаг2.Бланк заказа NEW'!$B$19:$B$201),'Бланк OLD 0.8 04'!$B$12:$K$200,7,0)&gt;1,0.8,
IF(VLOOKUP($A82-COUNT('Шаг2.Бланк заказа NEW'!$B$19:$B$201),'Бланк OLD 0.8 04'!$B$12:$K$200,8,0)&gt;1,0.4,
IF(AND(VLOOKUP($A82-COUNT('Шаг2.Бланк заказа NEW'!$B$19:$B$201),'Бланк OLD 0.8 04'!$B$12:$K$200,7,0)&gt;0,VLOOKUP($A82-COUNT('Шаг2.Бланк заказа NEW'!$B$19:$B$201),'Бланк OLD 0.8 04'!$B$12:$K$200,8,0)&gt;0),0.4,"")))),
IF(VLOOKUP($A82-COUNT('Шаг2.Бланк заказа NEW'!$B$19:$B$201)-COUNT('Бланк OLD 0.8 04'!$B$18:$B$200),'Бланк OLD 2.0 04 '!$B$16:$K$200,7,0)&gt;1,2,
IF(VLOOKUP($A82-COUNT('Шаг2.Бланк заказа NEW'!$B$19:$B$201)-COUNT('Бланк OLD 0.8 04'!$B$18:$B$200),'Бланк OLD 2.0 04 '!$B$16:$K$200,8,0)&gt;1,0.4,
IF(AND(VLOOKUP($A82-COUNT('Шаг2.Бланк заказа NEW'!$B$19:$B$201)-COUNT('Бланк OLD 0.8 04'!$B$18:$B$200),'Бланк OLD 2.0 04 '!$B$16:$K$200,7,0)&gt;0,VLOOKUP($A82-COUNT('Шаг2.Бланк заказа NEW'!$B$19:$B$201)-COUNT('Бланк OLD 0.8 04'!$B$18:$B$200),'Бланк OLD 2.0 04 '!$B$16:$K$200,8,0)&gt;0),0.4,""))))</f>
        <v/>
      </c>
      <c r="V82" s="146" t="str">
        <f ca="1">IFERROR(VLOOKUP(C82,'Шаг1.Выбор плиты'!C:S,12,0),"")</f>
        <v/>
      </c>
      <c r="W82" s="146" t="str">
        <f ca="1">IFERROR(VLOOKUP(C82,'Шаг1.Выбор плиты'!C:S,8,0),"")</f>
        <v/>
      </c>
      <c r="X82" s="146" t="str">
        <f ca="1">IFERROR(VLOOKUP(C82,'Шаг1.Выбор плиты'!C:S,10,0),"")</f>
        <v/>
      </c>
      <c r="Y82" s="147" t="str">
        <f t="shared" ca="1" si="8"/>
        <v/>
      </c>
      <c r="AD82" s="147" t="str">
        <f t="shared" ca="1" si="6"/>
        <v/>
      </c>
      <c r="AE82" s="147" t="str">
        <f t="shared" ca="1" si="9"/>
        <v/>
      </c>
      <c r="AF82" s="25"/>
      <c r="AH82" s="147" t="str">
        <f ca="1">IF(C82="","",VLOOKUP(C82,'Шаг1.Выбор плиты'!C:Q,7,0))</f>
        <v/>
      </c>
      <c r="AI82" s="147" t="str">
        <f t="shared" ca="1" si="7"/>
        <v/>
      </c>
    </row>
    <row r="83" spans="1:35" x14ac:dyDescent="0.2">
      <c r="A83" s="151" t="str">
        <f ca="1">IF(C83="","",MAX($A$1:OFFSET(C83,-1,0))+1)</f>
        <v/>
      </c>
      <c r="B83" s="151" t="str">
        <f ca="1">IFERROR(IFERROR(IFERROR("Шаг2.Бланк заказа NEW №"&amp;VLOOKUP(A82+1,CHOOSE({1,2},'Шаг2.Бланк заказа NEW'!$B$19:$B$201,'Шаг2.Бланк заказа NEW'!$A$19:$A$201),1,0),
"Бланк OLD 0.8 04 №"&amp;VLOOKUP(A82+1-COUNT('Шаг2.Бланк заказа NEW'!$B$19:$B$201),CHOOSE({1,2},'Бланк OLD 0.8 04'!$B$18:$B$200,'Бланк OLD 0.8 04'!$A$18:$A$200),1,0)),
"Бланк OLD 2.0 04 №"&amp;VLOOKUP(A82+1-COUNT('Шаг2.Бланк заказа NEW'!$B$19:$B$201)-COUNT('Бланк OLD 0.8 04'!$B$18:$B$200),CHOOSE({1,2},'Бланк OLD 2.0 04 '!$B$18:$B$200,'Бланк OLD 2.0 04 '!$A$18:$A$200),1,0)),"")</f>
        <v/>
      </c>
      <c r="C83" s="152" t="str">
        <f ca="1">IFERROR(IFERROR(IFERROR(VLOOKUP(A82+1,CHOOSE({1,2},'Шаг2.Бланк заказа NEW'!$B$19:$B$201,'Шаг2.Бланк заказа NEW'!$A$19:$A$201),2,0),
VLOOKUP(A82+1-COUNT('Шаг2.Бланк заказа NEW'!$B$19:$B$201),CHOOSE({1,2},'Бланк OLD 0.8 04'!$B$18:$B$200,'Бланк OLD 0.8 04'!$A$18:$A$200),2,0)),
VLOOKUP(A82+1-COUNT('Шаг2.Бланк заказа NEW'!$B$19:$B$201)-COUNT('Бланк OLD 0.8 04'!$B$18:$B$200),CHOOSE({1,2},'Бланк OLD 2.0 04 '!$B$18:$B$200,'Бланк OLD 2.0 04 '!$A$18:$A$200),2,0)),"")</f>
        <v/>
      </c>
      <c r="D83" s="150" t="str">
        <f ca="1">IFERROR(VLOOKUP(C83,'Шаг1.Выбор плиты'!C:G,5,0),"")</f>
        <v/>
      </c>
      <c r="E83" s="147" t="str">
        <f ca="1">IFERROR(IFERROR(IF(VLOOKUP($A83,'Шаг2.Бланк заказа NEW'!$B$17:$N$201,2,0)="","",VLOOKUP($A83,'Шаг2.Бланк заказа NEW'!$B$17:$N$201,2,0)),
IF(VLOOKUP($A83-COUNT('Шаг2.Бланк заказа NEW'!$B$19:$B$201),'Бланк OLD 0.8 04'!$B$12:$K$200,2,0)="","",VLOOKUP($A83-COUNT('Шаг2.Бланк заказа NEW'!$B$19:$B$201),'Бланк OLD 0.8 04'!$B$12:$K$200,2,0))),
IF(VLOOKUP($A83-COUNT('Шаг2.Бланк заказа NEW'!$B$19:$B$201)-COUNT('Бланк OLD 0.8 04'!$B$18:$B$200),'Бланк OLD 2.0 04 '!$B$16:$K$200,2,0)="","",VLOOKUP($A83-COUNT('Шаг2.Бланк заказа NEW'!$B$19:$B$201)-COUNT('Бланк OLD 0.8 04'!$B$18:$B$200),'Бланк OLD 2.0 04 '!$B$16:$K$200,2,0)))</f>
        <v/>
      </c>
      <c r="F83" s="147" t="str">
        <f ca="1">IFERROR(IFERROR(IF(VLOOKUP($A83,'Шаг2.Бланк заказа NEW'!$B$17:$N$201,3,0)="","",VLOOKUP($A83,'Шаг2.Бланк заказа NEW'!$B$17:$N$201,3,0)),
IF(VLOOKUP($A83-COUNT('Шаг2.Бланк заказа NEW'!$B$19:$B$201),'Бланк OLD 0.8 04'!$B$12:$K$200,3,0)="","",VLOOKUP($A83-COUNT('Шаг2.Бланк заказа NEW'!$B$19:$B$201),'Бланк OLD 0.8 04'!$B$12:$K$200,3,0))),
IF(VLOOKUP($A83-COUNT('Шаг2.Бланк заказа NEW'!$B$19:$B$201)-COUNT('Бланк OLD 0.8 04'!$B$18:$B$200),'Бланк OLD 2.0 04 '!$B$16:$K$200,3,0)="","",VLOOKUP($A83-COUNT('Шаг2.Бланк заказа NEW'!$B$19:$B$201)-COUNT('Бланк OLD 0.8 04'!$B$18:$B$200),'Бланк OLD 2.0 04 '!$B$16:$K$200,3,0)))</f>
        <v/>
      </c>
      <c r="G83" s="176" t="str">
        <f ca="1">IF(IF(R83="","",IF(R83=1,SUMIFS('Шаг1.Выбор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плиты'!C:Q,12,0)),1))))))=0,
R83,
IF(R83="","",IF(R83=1,SUMIFS('Шаг1.Выбор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плиты'!N:N,R83,'Шаг1.Выбор плиты'!M:M,SMALL(INDIRECT("мм"&amp;VLOOKUP(C83,'Шаг1.Выбор плиты'!C:Q,12,0)),1)))))))</f>
        <v/>
      </c>
      <c r="H83" s="177" t="str">
        <f ca="1">IF(IF(S83="","",IF(S83=1,SUMIFS('Шаг1.Выбор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плиты'!C:Q,12,0)),1))))))=0,
S83,
IF(S83="","",IF(S83=1,SUMIFS('Шаг1.Выбор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плиты'!N:N,S83,'Шаг1.Выбор плиты'!M:M,SMALL(INDIRECT("мм"&amp;VLOOKUP(C83,'Шаг1.Выбор плиты'!C:Q,12,0)),1)))))))</f>
        <v/>
      </c>
      <c r="I83" s="147" t="str">
        <f ca="1">IFERROR(IFERROR(IF(VLOOKUP($A83,'Шаг2.Бланк заказа NEW'!$B$17:$N$201,6,0)="","",VLOOKUP($A83,'Шаг2.Бланк заказа NEW'!$B$17:$N$201,6,0)),
IF(VLOOKUP($A83-COUNT('Шаг2.Бланк заказа NEW'!$B$19:$B$201),'Бланк OLD 0.8 04'!$B$12:$K$200,6,0)="","",VLOOKUP($A83-COUNT('Шаг2.Бланк заказа NEW'!$B$19:$B$201),'Бланк OLD 0.8 04'!$B$12:$K$200,6,0))),
IF(VLOOKUP($A83-COUNT('Шаг2.Бланк заказа NEW'!$B$19:$B$201)-COUNT('Бланк OLD 0.8 04'!$B$18:$B$200),'Бланк OLD 2.0 04 '!$B$16:$K$200,6,0)="","",VLOOKUP($A83-COUNT('Шаг2.Бланк заказа NEW'!$B$19:$B$201)-COUNT('Бланк OLD 0.8 04'!$B$18:$B$200),'Бланк OLD 2.0 04 '!$B$16:$K$200,6,0)))</f>
        <v/>
      </c>
      <c r="J83" s="177" t="str">
        <f ca="1">IF(IF(T83="","",IF(T83=1,SUMIFS('Шаг1.Выбор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плиты'!C:Q,12,0)),1))))))=0,
T83,
IF(T83="","",IF(T83=1,SUMIFS('Шаг1.Выбор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плиты'!N:N,T83,'Шаг1.Выбор плиты'!M:M,SMALL(INDIRECT("мм"&amp;VLOOKUP(C83,'Шаг1.Выбор плиты'!C:Q,12,0)),1)))))))</f>
        <v/>
      </c>
      <c r="K83" s="177" t="str">
        <f ca="1">IF(IF(U83="","",IF(U83=1,SUMIFS('Шаг1.Выбор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плиты'!C:Q,12,0)),1))))))=0,
U83,
IF(U83="","",IF(U83=1,SUMIFS('Шаг1.Выбор плиты'!$G:$G,'Шаг1.Выбор плиты'!J:J,"*"&amp;RIGHT(VLOOKUP(C83,'Шаг1.Выбор плиты'!C:Q,8,0),4),'Шаг1.Выбор плиты'!L:L,IF(MID(C83,1,6)="ЛДСП P","TM"&amp;MID(VLOOKUP(C83,'Шаг1.Выбор плиты'!C:Q,10,0),3,2),MID(VLOOKUP(C83,'Шаг1.Выбор плиты'!C:Q,10,0),1,2)),
'Шаг1.Выбор плиты'!N:N,1),IF(SUMIFS('Шаг1.Выбор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плиты'!C:Q,12,0)),1))=0,
IF(SUMIFS('Шаг1.Выбор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плиты'!C:Q,12,0)),2))=0,
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плиты'!C:Q,12,0)),3)),
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плиты'!C:Q,12,0)),2))),
(SUMIFS('Шаг1.Выбор плиты'!$G:$G,'Шаг1.Выбор плиты'!J:J,"*"&amp;RIGHT(VLOOKUP(C83,'Шаг1.Выбор плиты'!C:Q,8,0),4),'Шаг1.Выбор плиты'!L:L,VLOOKUP(C83,'Шаг1.Выбор плиты'!C:Q,10,0),'Шаг1.Выбор плиты'!N:N,U83,'Шаг1.Выбор плиты'!M:M,SMALL(INDIRECT("мм"&amp;VLOOKUP(C83,'Шаг1.Выбор плиты'!C:Q,12,0)),1)))))))</f>
        <v/>
      </c>
      <c r="L83" s="147" t="str">
        <f ca="1">IFERROR(IFERROR(IF(VLOOKUP($A83,'Шаг2.Бланк заказа NEW'!$B$17:$N$201,9,0)="","",VLOOKUP($A83,'Шаг2.Бланк заказа NEW'!$B$17:$N$201,9,0)),
IF(VLOOKUP($A83-COUNT('Шаг2.Бланк заказа NEW'!$B$19:$B$201),'Бланк OLD 0.8 04'!$B$12:$K$200,9,0)="","",VLOOKUP($A83-COUNT('Шаг2.Бланк заказа NEW'!$B$19:$B$201),'Бланк OLD 0.8 04'!$B$12:$K$200,9,0))),
IF(VLOOKUP($A83-COUNT('Шаг2.Бланк заказа NEW'!$B$19:$B$201)-COUNT('Бланк OLD 0.8 04'!$B$18:$B$200),'Бланк OLD 2.0 04 '!$B$16:$K$200,9,0)="","",VLOOKUP($A83-COUNT('Шаг2.Бланк заказа NEW'!$B$19:$B$201)-COUNT('Бланк OLD 0.8 04'!$B$18:$B$200),'Бланк OLD 2.0 04 '!$B$16:$K$200,9,0)))</f>
        <v/>
      </c>
      <c r="M83" s="154" t="str">
        <f t="shared" ca="1" si="5"/>
        <v/>
      </c>
      <c r="N83" s="153" t="str">
        <f ca="1">IFERROR(IF(VLOOKUP($A83,'Шаг2.Бланк заказа NEW'!$B$17:$N$201,11,0)="","",VLOOKUP($A83,'Шаг2.Бланк заказа NEW'!$B$17:$N$201,11,0)),
"Нет")</f>
        <v/>
      </c>
      <c r="O83" s="147" t="str">
        <f ca="1">IFERROR(IF(VLOOKUP($A83,'Шаг2.Бланк заказа NEW'!$B$17:$N$201,11,0)="","",VLOOKUP($A83,'Шаг2.Бланк заказа NEW'!$B$17:$N$201,12,0)),
"Нет")</f>
        <v/>
      </c>
      <c r="P83" s="153" t="str">
        <f ca="1">IFERROR(IF(VLOOKUP($A83,'Шаг2.Бланк заказа NEW'!$B$17:$N$201,13,0)="","",VLOOKUP($A83,'Шаг2.Бланк заказа NEW'!$B$17:$N$201,13,0)),
"Нет")</f>
        <v/>
      </c>
      <c r="Q83" s="147" t="str">
        <f ca="1">IFERROR(IF(VLOOKUP($A83,'Шаг2.Бланк заказа NEW'!$B$17:$O$201,14,0)="","",VLOOKUP($A83,'Шаг2.Бланк заказа NEW'!$B$17:$O$201,14,0)),"")</f>
        <v/>
      </c>
      <c r="R83" s="147" t="str">
        <f ca="1">IFERROR(IFERROR(IF(VLOOKUP($A83,'Шаг2.Бланк заказа NEW'!$B$17:$N$201,4,0)="","",VLOOKUP($A83,'Шаг2.Бланк заказа NEW'!$B$17:$N$201,4,0)),
IF(VLOOKUP($A83-COUNT('Шаг2.Бланк заказа NEW'!$B$19:$B$201),'Бланк OLD 0.8 04'!$B$12:$K$200,4,0)&gt;0,0.8,
IF(VLOOKUP($A83-COUNT('Шаг2.Бланк заказа NEW'!$B$19:$B$201),'Бланк OLD 0.8 04'!$B$12:$K$200,5,0)&gt;0,0.4,""))),
IF(VLOOKUP($A83-COUNT('Шаг2.Бланк заказа NEW'!$B$19:$B$201)-COUNT('Бланк OLD 0.8 04'!$B$18:$B$200),'Бланк OLD 2.0 04 '!$B$16:$K$200,4,0)&gt;0,2,IF(VLOOKUP($A83-COUNT('Шаг2.Бланк заказа NEW'!$B$19:$B$201)-COUNT('Бланк OLD 0.8 04'!$B$18:$B$200),'Бланк OLD 2.0 04 '!$B$16:$K$200,5,0)&gt;0,0.4,"")))</f>
        <v/>
      </c>
      <c r="S83" s="147" t="str">
        <f ca="1">IFERROR(IFERROR(IF(VLOOKUP($A83,'Шаг2.Бланк заказа NEW'!$B$17:$N$201,5,0)="","",VLOOKUP($A83,'Шаг2.Бланк заказа NEW'!$B$17:$N$201,5,0)),
IF(VLOOKUP($A83-COUNT('Шаг2.Бланк заказа NEW'!$B$19:$B$201),'Бланк OLD 0.8 04'!$B$12:$K$200,4,0)&gt;1,0.8,
IF(VLOOKUP($A83-COUNT('Шаг2.Бланк заказа NEW'!$B$19:$B$201),'Бланк OLD 0.8 04'!$B$12:$K$200,5,0)&gt;1,0.4,
IF(AND(VLOOKUP($A83-COUNT('Шаг2.Бланк заказа NEW'!$B$19:$B$201),'Бланк OLD 0.8 04'!$B$12:$K$200,4,0)&gt;0,VLOOKUP($A83-COUNT('Шаг2.Бланк заказа NEW'!$B$19:$B$201),'Бланк OLD 0.8 04'!$B$12:$K$200,5,0)&gt;0),0.4,"")))),
IF(VLOOKUP($A83-COUNT('Шаг2.Бланк заказа NEW'!$B$19:$B$201)-COUNT('Бланк OLD 0.8 04'!$B$18:$B$200),'Бланк OLD 2.0 04 '!$B$16:$K$200,4,0)&gt;1,2,
IF(VLOOKUP($A83-COUNT('Шаг2.Бланк заказа NEW'!$B$19:$B$201)-COUNT('Бланк OLD 0.8 04'!$B$18:$B$200),'Бланк OLD 2.0 04 '!$B$16:$K$200,5,0)&gt;1,0.4,IF(AND(VLOOKUP($A83-COUNT('Шаг2.Бланк заказа NEW'!$B$19:$B$201)-COUNT('Бланк OLD 0.8 04'!$B$18:$B$200),'Бланк OLD 2.0 04 '!$B$16:$K$200,4,0)&gt;0,VLOOKUP($A83-COUNT('Шаг2.Бланк заказа NEW'!$B$19:$B$201)-COUNT('Бланк OLD 0.8 04'!$B$18:$B$200),'Бланк OLD 2.0 04 '!$B$16:$K$200,5,0)&gt;0),0.4,""))))</f>
        <v/>
      </c>
      <c r="T83" s="147" t="str">
        <f ca="1">IFERROR(IFERROR(IF(VLOOKUP($A83,'Шаг2.Бланк заказа NEW'!$B$17:$N$201,7,0)="","",VLOOKUP($A83,'Шаг2.Бланк заказа NEW'!$B$17:$N$201,7,0)),
IF(VLOOKUP($A83-COUNT('Шаг2.Бланк заказа NEW'!$B$19:$B$201),'Бланк OLD 0.8 04'!$B$12:$K$200,7,0)&gt;0,0.8,
IF(VLOOKUP($A83-COUNT('Шаг2.Бланк заказа NEW'!$B$19:$B$201),'Бланк OLD 0.8 04'!$B$12:$K$200,8,0)&gt;0,0.4,""))),
IF(VLOOKUP($A83-COUNT('Шаг2.Бланк заказа NEW'!$B$19:$B$201)-COUNT('Бланк OLD 0.8 04'!$B$18:$B$200),'Бланк OLD 2.0 04 '!$B$16:$K$200,7,0)&gt;0,2,IF(VLOOKUP($A83-COUNT('Шаг2.Бланк заказа NEW'!$B$19:$B$201)-COUNT('Бланк OLD 0.8 04'!$B$18:$B$200),'Бланк OLD 2.0 04 '!$B$16:$K$200,8,0)&gt;0,0.4,"")))</f>
        <v/>
      </c>
      <c r="U83" s="147" t="str">
        <f ca="1">IFERROR(IFERROR(IF(VLOOKUP($A83,'Шаг2.Бланк заказа NEW'!$B$17:$N$201,8,0)="","",VLOOKUP($A83,'Шаг2.Бланк заказа NEW'!$B$17:$N$201,8,0)),
IF(VLOOKUP($A83-COUNT('Шаг2.Бланк заказа NEW'!$B$19:$B$201),'Бланк OLD 0.8 04'!$B$12:$K$200,7,0)&gt;1,0.8,
IF(VLOOKUP($A83-COUNT('Шаг2.Бланк заказа NEW'!$B$19:$B$201),'Бланк OLD 0.8 04'!$B$12:$K$200,8,0)&gt;1,0.4,
IF(AND(VLOOKUP($A83-COUNT('Шаг2.Бланк заказа NEW'!$B$19:$B$201),'Бланк OLD 0.8 04'!$B$12:$K$200,7,0)&gt;0,VLOOKUP($A83-COUNT('Шаг2.Бланк заказа NEW'!$B$19:$B$201),'Бланк OLD 0.8 04'!$B$12:$K$200,8,0)&gt;0),0.4,"")))),
IF(VLOOKUP($A83-COUNT('Шаг2.Бланк заказа NEW'!$B$19:$B$201)-COUNT('Бланк OLD 0.8 04'!$B$18:$B$200),'Бланк OLD 2.0 04 '!$B$16:$K$200,7,0)&gt;1,2,
IF(VLOOKUP($A83-COUNT('Шаг2.Бланк заказа NEW'!$B$19:$B$201)-COUNT('Бланк OLD 0.8 04'!$B$18:$B$200),'Бланк OLD 2.0 04 '!$B$16:$K$200,8,0)&gt;1,0.4,
IF(AND(VLOOKUP($A83-COUNT('Шаг2.Бланк заказа NEW'!$B$19:$B$201)-COUNT('Бланк OLD 0.8 04'!$B$18:$B$200),'Бланк OLD 2.0 04 '!$B$16:$K$200,7,0)&gt;0,VLOOKUP($A83-COUNT('Шаг2.Бланк заказа NEW'!$B$19:$B$201)-COUNT('Бланк OLD 0.8 04'!$B$18:$B$200),'Бланк OLD 2.0 04 '!$B$16:$K$200,8,0)&gt;0),0.4,""))))</f>
        <v/>
      </c>
      <c r="V83" s="146" t="str">
        <f ca="1">IFERROR(VLOOKUP(C83,'Шаг1.Выбор плиты'!C:S,12,0),"")</f>
        <v/>
      </c>
      <c r="W83" s="146" t="str">
        <f ca="1">IFERROR(VLOOKUP(C83,'Шаг1.Выбор плиты'!C:S,8,0),"")</f>
        <v/>
      </c>
      <c r="X83" s="146" t="str">
        <f ca="1">IFERROR(VLOOKUP(C83,'Шаг1.Выбор плиты'!C:S,10,0),"")</f>
        <v/>
      </c>
      <c r="Y83" s="147" t="str">
        <f t="shared" ca="1" si="8"/>
        <v/>
      </c>
      <c r="AD83" s="147" t="str">
        <f t="shared" ca="1" si="6"/>
        <v/>
      </c>
      <c r="AE83" s="147" t="str">
        <f t="shared" ca="1" si="9"/>
        <v/>
      </c>
      <c r="AF83" s="25"/>
      <c r="AH83" s="147" t="str">
        <f ca="1">IF(C83="","",VLOOKUP(C83,'Шаг1.Выбор плиты'!C:Q,7,0))</f>
        <v/>
      </c>
      <c r="AI83" s="147" t="str">
        <f t="shared" ca="1" si="7"/>
        <v/>
      </c>
    </row>
    <row r="84" spans="1:35" x14ac:dyDescent="0.2">
      <c r="A84" s="151" t="str">
        <f ca="1">IF(C84="","",MAX($A$1:OFFSET(C84,-1,0))+1)</f>
        <v/>
      </c>
      <c r="B84" s="151" t="str">
        <f ca="1">IFERROR(IFERROR(IFERROR("Шаг2.Бланк заказа NEW №"&amp;VLOOKUP(A83+1,CHOOSE({1,2},'Шаг2.Бланк заказа NEW'!$B$19:$B$201,'Шаг2.Бланк заказа NEW'!$A$19:$A$201),1,0),
"Бланк OLD 0.8 04 №"&amp;VLOOKUP(A83+1-COUNT('Шаг2.Бланк заказа NEW'!$B$19:$B$201),CHOOSE({1,2},'Бланк OLD 0.8 04'!$B$18:$B$200,'Бланк OLD 0.8 04'!$A$18:$A$200),1,0)),
"Бланк OLD 2.0 04 №"&amp;VLOOKUP(A83+1-COUNT('Шаг2.Бланк заказа NEW'!$B$19:$B$201)-COUNT('Бланк OLD 0.8 04'!$B$18:$B$200),CHOOSE({1,2},'Бланк OLD 2.0 04 '!$B$18:$B$200,'Бланк OLD 2.0 04 '!$A$18:$A$200),1,0)),"")</f>
        <v/>
      </c>
      <c r="C84" s="152" t="str">
        <f ca="1">IFERROR(IFERROR(IFERROR(VLOOKUP(A83+1,CHOOSE({1,2},'Шаг2.Бланк заказа NEW'!$B$19:$B$201,'Шаг2.Бланк заказа NEW'!$A$19:$A$201),2,0),
VLOOKUP(A83+1-COUNT('Шаг2.Бланк заказа NEW'!$B$19:$B$201),CHOOSE({1,2},'Бланк OLD 0.8 04'!$B$18:$B$200,'Бланк OLD 0.8 04'!$A$18:$A$200),2,0)),
VLOOKUP(A83+1-COUNT('Шаг2.Бланк заказа NEW'!$B$19:$B$201)-COUNT('Бланк OLD 0.8 04'!$B$18:$B$200),CHOOSE({1,2},'Бланк OLD 2.0 04 '!$B$18:$B$200,'Бланк OLD 2.0 04 '!$A$18:$A$200),2,0)),"")</f>
        <v/>
      </c>
      <c r="D84" s="150" t="str">
        <f ca="1">IFERROR(VLOOKUP(C84,'Шаг1.Выбор плиты'!C:G,5,0),"")</f>
        <v/>
      </c>
      <c r="E84" s="147" t="str">
        <f ca="1">IFERROR(IFERROR(IF(VLOOKUP($A84,'Шаг2.Бланк заказа NEW'!$B$17:$N$201,2,0)="","",VLOOKUP($A84,'Шаг2.Бланк заказа NEW'!$B$17:$N$201,2,0)),
IF(VLOOKUP($A84-COUNT('Шаг2.Бланк заказа NEW'!$B$19:$B$201),'Бланк OLD 0.8 04'!$B$12:$K$200,2,0)="","",VLOOKUP($A84-COUNT('Шаг2.Бланк заказа NEW'!$B$19:$B$201),'Бланк OLD 0.8 04'!$B$12:$K$200,2,0))),
IF(VLOOKUP($A84-COUNT('Шаг2.Бланк заказа NEW'!$B$19:$B$201)-COUNT('Бланк OLD 0.8 04'!$B$18:$B$200),'Бланк OLD 2.0 04 '!$B$16:$K$200,2,0)="","",VLOOKUP($A84-COUNT('Шаг2.Бланк заказа NEW'!$B$19:$B$201)-COUNT('Бланк OLD 0.8 04'!$B$18:$B$200),'Бланк OLD 2.0 04 '!$B$16:$K$200,2,0)))</f>
        <v/>
      </c>
      <c r="F84" s="147" t="str">
        <f ca="1">IFERROR(IFERROR(IF(VLOOKUP($A84,'Шаг2.Бланк заказа NEW'!$B$17:$N$201,3,0)="","",VLOOKUP($A84,'Шаг2.Бланк заказа NEW'!$B$17:$N$201,3,0)),
IF(VLOOKUP($A84-COUNT('Шаг2.Бланк заказа NEW'!$B$19:$B$201),'Бланк OLD 0.8 04'!$B$12:$K$200,3,0)="","",VLOOKUP($A84-COUNT('Шаг2.Бланк заказа NEW'!$B$19:$B$201),'Бланк OLD 0.8 04'!$B$12:$K$200,3,0))),
IF(VLOOKUP($A84-COUNT('Шаг2.Бланк заказа NEW'!$B$19:$B$201)-COUNT('Бланк OLD 0.8 04'!$B$18:$B$200),'Бланк OLD 2.0 04 '!$B$16:$K$200,3,0)="","",VLOOKUP($A84-COUNT('Шаг2.Бланк заказа NEW'!$B$19:$B$201)-COUNT('Бланк OLD 0.8 04'!$B$18:$B$200),'Бланк OLD 2.0 04 '!$B$16:$K$200,3,0)))</f>
        <v/>
      </c>
      <c r="G84" s="176" t="str">
        <f ca="1">IF(IF(R84="","",IF(R84=1,SUMIFS('Шаг1.Выбор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плиты'!C:Q,12,0)),1))))))=0,
R84,
IF(R84="","",IF(R84=1,SUMIFS('Шаг1.Выбор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плиты'!N:N,R84,'Шаг1.Выбор плиты'!M:M,SMALL(INDIRECT("мм"&amp;VLOOKUP(C84,'Шаг1.Выбор плиты'!C:Q,12,0)),1)))))))</f>
        <v/>
      </c>
      <c r="H84" s="177" t="str">
        <f ca="1">IF(IF(S84="","",IF(S84=1,SUMIFS('Шаг1.Выбор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плиты'!C:Q,12,0)),1))))))=0,
S84,
IF(S84="","",IF(S84=1,SUMIFS('Шаг1.Выбор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плиты'!N:N,S84,'Шаг1.Выбор плиты'!M:M,SMALL(INDIRECT("мм"&amp;VLOOKUP(C84,'Шаг1.Выбор плиты'!C:Q,12,0)),1)))))))</f>
        <v/>
      </c>
      <c r="I84" s="147" t="str">
        <f ca="1">IFERROR(IFERROR(IF(VLOOKUP($A84,'Шаг2.Бланк заказа NEW'!$B$17:$N$201,6,0)="","",VLOOKUP($A84,'Шаг2.Бланк заказа NEW'!$B$17:$N$201,6,0)),
IF(VLOOKUP($A84-COUNT('Шаг2.Бланк заказа NEW'!$B$19:$B$201),'Бланк OLD 0.8 04'!$B$12:$K$200,6,0)="","",VLOOKUP($A84-COUNT('Шаг2.Бланк заказа NEW'!$B$19:$B$201),'Бланк OLD 0.8 04'!$B$12:$K$200,6,0))),
IF(VLOOKUP($A84-COUNT('Шаг2.Бланк заказа NEW'!$B$19:$B$201)-COUNT('Бланк OLD 0.8 04'!$B$18:$B$200),'Бланк OLD 2.0 04 '!$B$16:$K$200,6,0)="","",VLOOKUP($A84-COUNT('Шаг2.Бланк заказа NEW'!$B$19:$B$201)-COUNT('Бланк OLD 0.8 04'!$B$18:$B$200),'Бланк OLD 2.0 04 '!$B$16:$K$200,6,0)))</f>
        <v/>
      </c>
      <c r="J84" s="177" t="str">
        <f ca="1">IF(IF(T84="","",IF(T84=1,SUMIFS('Шаг1.Выбор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плиты'!C:Q,12,0)),1))))))=0,
T84,
IF(T84="","",IF(T84=1,SUMIFS('Шаг1.Выбор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плиты'!N:N,T84,'Шаг1.Выбор плиты'!M:M,SMALL(INDIRECT("мм"&amp;VLOOKUP(C84,'Шаг1.Выбор плиты'!C:Q,12,0)),1)))))))</f>
        <v/>
      </c>
      <c r="K84" s="177" t="str">
        <f ca="1">IF(IF(U84="","",IF(U84=1,SUMIFS('Шаг1.Выбор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плиты'!C:Q,12,0)),1))))))=0,
U84,
IF(U84="","",IF(U84=1,SUMIFS('Шаг1.Выбор плиты'!$G:$G,'Шаг1.Выбор плиты'!J:J,"*"&amp;RIGHT(VLOOKUP(C84,'Шаг1.Выбор плиты'!C:Q,8,0),4),'Шаг1.Выбор плиты'!L:L,IF(MID(C84,1,6)="ЛДСП P","TM"&amp;MID(VLOOKUP(C84,'Шаг1.Выбор плиты'!C:Q,10,0),3,2),MID(VLOOKUP(C84,'Шаг1.Выбор плиты'!C:Q,10,0),1,2)),
'Шаг1.Выбор плиты'!N:N,1),IF(SUMIFS('Шаг1.Выбор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плиты'!C:Q,12,0)),1))=0,
IF(SUMIFS('Шаг1.Выбор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плиты'!C:Q,12,0)),2))=0,
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плиты'!C:Q,12,0)),3)),
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плиты'!C:Q,12,0)),2))),
(SUMIFS('Шаг1.Выбор плиты'!$G:$G,'Шаг1.Выбор плиты'!J:J,"*"&amp;RIGHT(VLOOKUP(C84,'Шаг1.Выбор плиты'!C:Q,8,0),4),'Шаг1.Выбор плиты'!L:L,VLOOKUP(C84,'Шаг1.Выбор плиты'!C:Q,10,0),'Шаг1.Выбор плиты'!N:N,U84,'Шаг1.Выбор плиты'!M:M,SMALL(INDIRECT("мм"&amp;VLOOKUP(C84,'Шаг1.Выбор плиты'!C:Q,12,0)),1)))))))</f>
        <v/>
      </c>
      <c r="L84" s="147" t="str">
        <f ca="1">IFERROR(IFERROR(IF(VLOOKUP($A84,'Шаг2.Бланк заказа NEW'!$B$17:$N$201,9,0)="","",VLOOKUP($A84,'Шаг2.Бланк заказа NEW'!$B$17:$N$201,9,0)),
IF(VLOOKUP($A84-COUNT('Шаг2.Бланк заказа NEW'!$B$19:$B$201),'Бланк OLD 0.8 04'!$B$12:$K$200,9,0)="","",VLOOKUP($A84-COUNT('Шаг2.Бланк заказа NEW'!$B$19:$B$201),'Бланк OLD 0.8 04'!$B$12:$K$200,9,0))),
IF(VLOOKUP($A84-COUNT('Шаг2.Бланк заказа NEW'!$B$19:$B$201)-COUNT('Бланк OLD 0.8 04'!$B$18:$B$200),'Бланк OLD 2.0 04 '!$B$16:$K$200,9,0)="","",VLOOKUP($A84-COUNT('Шаг2.Бланк заказа NEW'!$B$19:$B$201)-COUNT('Бланк OLD 0.8 04'!$B$18:$B$200),'Бланк OLD 2.0 04 '!$B$16:$K$200,9,0)))</f>
        <v/>
      </c>
      <c r="M84" s="154" t="str">
        <f t="shared" ref="M84:M147" ca="1" si="10">IFERROR((F84/1000)*(I84/1000)*L84,"")</f>
        <v/>
      </c>
      <c r="N84" s="153" t="str">
        <f ca="1">IFERROR(IF(VLOOKUP($A84,'Шаг2.Бланк заказа NEW'!$B$17:$N$201,11,0)="","",VLOOKUP($A84,'Шаг2.Бланк заказа NEW'!$B$17:$N$201,11,0)),
"Нет")</f>
        <v/>
      </c>
      <c r="O84" s="147" t="str">
        <f ca="1">IFERROR(IF(VLOOKUP($A84,'Шаг2.Бланк заказа NEW'!$B$17:$N$201,11,0)="","",VLOOKUP($A84,'Шаг2.Бланк заказа NEW'!$B$17:$N$201,12,0)),
"Нет")</f>
        <v/>
      </c>
      <c r="P84" s="153" t="str">
        <f ca="1">IFERROR(IF(VLOOKUP($A84,'Шаг2.Бланк заказа NEW'!$B$17:$N$201,13,0)="","",VLOOKUP($A84,'Шаг2.Бланк заказа NEW'!$B$17:$N$201,13,0)),
"Нет")</f>
        <v/>
      </c>
      <c r="Q84" s="147" t="str">
        <f ca="1">IFERROR(IF(VLOOKUP($A84,'Шаг2.Бланк заказа NEW'!$B$17:$O$201,14,0)="","",VLOOKUP($A84,'Шаг2.Бланк заказа NEW'!$B$17:$O$201,14,0)),"")</f>
        <v/>
      </c>
      <c r="R84" s="147" t="str">
        <f ca="1">IFERROR(IFERROR(IF(VLOOKUP($A84,'Шаг2.Бланк заказа NEW'!$B$17:$N$201,4,0)="","",VLOOKUP($A84,'Шаг2.Бланк заказа NEW'!$B$17:$N$201,4,0)),
IF(VLOOKUP($A84-COUNT('Шаг2.Бланк заказа NEW'!$B$19:$B$201),'Бланк OLD 0.8 04'!$B$12:$K$200,4,0)&gt;0,0.8,
IF(VLOOKUP($A84-COUNT('Шаг2.Бланк заказа NEW'!$B$19:$B$201),'Бланк OLD 0.8 04'!$B$12:$K$200,5,0)&gt;0,0.4,""))),
IF(VLOOKUP($A84-COUNT('Шаг2.Бланк заказа NEW'!$B$19:$B$201)-COUNT('Бланк OLD 0.8 04'!$B$18:$B$200),'Бланк OLD 2.0 04 '!$B$16:$K$200,4,0)&gt;0,2,IF(VLOOKUP($A84-COUNT('Шаг2.Бланк заказа NEW'!$B$19:$B$201)-COUNT('Бланк OLD 0.8 04'!$B$18:$B$200),'Бланк OLD 2.0 04 '!$B$16:$K$200,5,0)&gt;0,0.4,"")))</f>
        <v/>
      </c>
      <c r="S84" s="147" t="str">
        <f ca="1">IFERROR(IFERROR(IF(VLOOKUP($A84,'Шаг2.Бланк заказа NEW'!$B$17:$N$201,5,0)="","",VLOOKUP($A84,'Шаг2.Бланк заказа NEW'!$B$17:$N$201,5,0)),
IF(VLOOKUP($A84-COUNT('Шаг2.Бланк заказа NEW'!$B$19:$B$201),'Бланк OLD 0.8 04'!$B$12:$K$200,4,0)&gt;1,0.8,
IF(VLOOKUP($A84-COUNT('Шаг2.Бланк заказа NEW'!$B$19:$B$201),'Бланк OLD 0.8 04'!$B$12:$K$200,5,0)&gt;1,0.4,
IF(AND(VLOOKUP($A84-COUNT('Шаг2.Бланк заказа NEW'!$B$19:$B$201),'Бланк OLD 0.8 04'!$B$12:$K$200,4,0)&gt;0,VLOOKUP($A84-COUNT('Шаг2.Бланк заказа NEW'!$B$19:$B$201),'Бланк OLD 0.8 04'!$B$12:$K$200,5,0)&gt;0),0.4,"")))),
IF(VLOOKUP($A84-COUNT('Шаг2.Бланк заказа NEW'!$B$19:$B$201)-COUNT('Бланк OLD 0.8 04'!$B$18:$B$200),'Бланк OLD 2.0 04 '!$B$16:$K$200,4,0)&gt;1,2,
IF(VLOOKUP($A84-COUNT('Шаг2.Бланк заказа NEW'!$B$19:$B$201)-COUNT('Бланк OLD 0.8 04'!$B$18:$B$200),'Бланк OLD 2.0 04 '!$B$16:$K$200,5,0)&gt;1,0.4,IF(AND(VLOOKUP($A84-COUNT('Шаг2.Бланк заказа NEW'!$B$19:$B$201)-COUNT('Бланк OLD 0.8 04'!$B$18:$B$200),'Бланк OLD 2.0 04 '!$B$16:$K$200,4,0)&gt;0,VLOOKUP($A84-COUNT('Шаг2.Бланк заказа NEW'!$B$19:$B$201)-COUNT('Бланк OLD 0.8 04'!$B$18:$B$200),'Бланк OLD 2.0 04 '!$B$16:$K$200,5,0)&gt;0),0.4,""))))</f>
        <v/>
      </c>
      <c r="T84" s="147" t="str">
        <f ca="1">IFERROR(IFERROR(IF(VLOOKUP($A84,'Шаг2.Бланк заказа NEW'!$B$17:$N$201,7,0)="","",VLOOKUP($A84,'Шаг2.Бланк заказа NEW'!$B$17:$N$201,7,0)),
IF(VLOOKUP($A84-COUNT('Шаг2.Бланк заказа NEW'!$B$19:$B$201),'Бланк OLD 0.8 04'!$B$12:$K$200,7,0)&gt;0,0.8,
IF(VLOOKUP($A84-COUNT('Шаг2.Бланк заказа NEW'!$B$19:$B$201),'Бланк OLD 0.8 04'!$B$12:$K$200,8,0)&gt;0,0.4,""))),
IF(VLOOKUP($A84-COUNT('Шаг2.Бланк заказа NEW'!$B$19:$B$201)-COUNT('Бланк OLD 0.8 04'!$B$18:$B$200),'Бланк OLD 2.0 04 '!$B$16:$K$200,7,0)&gt;0,2,IF(VLOOKUP($A84-COUNT('Шаг2.Бланк заказа NEW'!$B$19:$B$201)-COUNT('Бланк OLD 0.8 04'!$B$18:$B$200),'Бланк OLD 2.0 04 '!$B$16:$K$200,8,0)&gt;0,0.4,"")))</f>
        <v/>
      </c>
      <c r="U84" s="147" t="str">
        <f ca="1">IFERROR(IFERROR(IF(VLOOKUP($A84,'Шаг2.Бланк заказа NEW'!$B$17:$N$201,8,0)="","",VLOOKUP($A84,'Шаг2.Бланк заказа NEW'!$B$17:$N$201,8,0)),
IF(VLOOKUP($A84-COUNT('Шаг2.Бланк заказа NEW'!$B$19:$B$201),'Бланк OLD 0.8 04'!$B$12:$K$200,7,0)&gt;1,0.8,
IF(VLOOKUP($A84-COUNT('Шаг2.Бланк заказа NEW'!$B$19:$B$201),'Бланк OLD 0.8 04'!$B$12:$K$200,8,0)&gt;1,0.4,
IF(AND(VLOOKUP($A84-COUNT('Шаг2.Бланк заказа NEW'!$B$19:$B$201),'Бланк OLD 0.8 04'!$B$12:$K$200,7,0)&gt;0,VLOOKUP($A84-COUNT('Шаг2.Бланк заказа NEW'!$B$19:$B$201),'Бланк OLD 0.8 04'!$B$12:$K$200,8,0)&gt;0),0.4,"")))),
IF(VLOOKUP($A84-COUNT('Шаг2.Бланк заказа NEW'!$B$19:$B$201)-COUNT('Бланк OLD 0.8 04'!$B$18:$B$200),'Бланк OLD 2.0 04 '!$B$16:$K$200,7,0)&gt;1,2,
IF(VLOOKUP($A84-COUNT('Шаг2.Бланк заказа NEW'!$B$19:$B$201)-COUNT('Бланк OLD 0.8 04'!$B$18:$B$200),'Бланк OLD 2.0 04 '!$B$16:$K$200,8,0)&gt;1,0.4,
IF(AND(VLOOKUP($A84-COUNT('Шаг2.Бланк заказа NEW'!$B$19:$B$201)-COUNT('Бланк OLD 0.8 04'!$B$18:$B$200),'Бланк OLD 2.0 04 '!$B$16:$K$200,7,0)&gt;0,VLOOKUP($A84-COUNT('Шаг2.Бланк заказа NEW'!$B$19:$B$201)-COUNT('Бланк OLD 0.8 04'!$B$18:$B$200),'Бланк OLD 2.0 04 '!$B$16:$K$200,8,0)&gt;0),0.4,""))))</f>
        <v/>
      </c>
      <c r="V84" s="146" t="str">
        <f ca="1">IFERROR(VLOOKUP(C84,'Шаг1.Выбор плиты'!C:S,12,0),"")</f>
        <v/>
      </c>
      <c r="W84" s="146" t="str">
        <f ca="1">IFERROR(VLOOKUP(C84,'Шаг1.Выбор плиты'!C:S,8,0),"")</f>
        <v/>
      </c>
      <c r="X84" s="146" t="str">
        <f ca="1">IFERROR(VLOOKUP(C84,'Шаг1.Выбор плиты'!C:S,10,0),"")</f>
        <v/>
      </c>
      <c r="Y84" s="147" t="str">
        <f t="shared" ca="1" si="8"/>
        <v/>
      </c>
      <c r="AD84" s="147" t="str">
        <f t="shared" ref="AD84:AD147" ca="1" si="11">IF(C84="","",0)</f>
        <v/>
      </c>
      <c r="AE84" s="147" t="str">
        <f t="shared" ca="1" si="9"/>
        <v/>
      </c>
      <c r="AF84" s="25"/>
      <c r="AH84" s="147" t="str">
        <f ca="1">IF(C84="","",VLOOKUP(C84,'Шаг1.Выбор плиты'!C:Q,7,0))</f>
        <v/>
      </c>
      <c r="AI84" s="147" t="str">
        <f t="shared" ref="AI84:AI147" ca="1" si="12">IF(N84="","",IF(N84="да",1,0))</f>
        <v/>
      </c>
    </row>
    <row r="85" spans="1:35" x14ac:dyDescent="0.2">
      <c r="A85" s="151" t="str">
        <f ca="1">IF(C85="","",MAX($A$1:OFFSET(C85,-1,0))+1)</f>
        <v/>
      </c>
      <c r="B85" s="151" t="str">
        <f ca="1">IFERROR(IFERROR(IFERROR("Шаг2.Бланк заказа NEW №"&amp;VLOOKUP(A84+1,CHOOSE({1,2},'Шаг2.Бланк заказа NEW'!$B$19:$B$201,'Шаг2.Бланк заказа NEW'!$A$19:$A$201),1,0),
"Бланк OLD 0.8 04 №"&amp;VLOOKUP(A84+1-COUNT('Шаг2.Бланк заказа NEW'!$B$19:$B$201),CHOOSE({1,2},'Бланк OLD 0.8 04'!$B$18:$B$200,'Бланк OLD 0.8 04'!$A$18:$A$200),1,0)),
"Бланк OLD 2.0 04 №"&amp;VLOOKUP(A84+1-COUNT('Шаг2.Бланк заказа NEW'!$B$19:$B$201)-COUNT('Бланк OLD 0.8 04'!$B$18:$B$200),CHOOSE({1,2},'Бланк OLD 2.0 04 '!$B$18:$B$200,'Бланк OLD 2.0 04 '!$A$18:$A$200),1,0)),"")</f>
        <v/>
      </c>
      <c r="C85" s="152" t="str">
        <f ca="1">IFERROR(IFERROR(IFERROR(VLOOKUP(A84+1,CHOOSE({1,2},'Шаг2.Бланк заказа NEW'!$B$19:$B$201,'Шаг2.Бланк заказа NEW'!$A$19:$A$201),2,0),
VLOOKUP(A84+1-COUNT('Шаг2.Бланк заказа NEW'!$B$19:$B$201),CHOOSE({1,2},'Бланк OLD 0.8 04'!$B$18:$B$200,'Бланк OLD 0.8 04'!$A$18:$A$200),2,0)),
VLOOKUP(A84+1-COUNT('Шаг2.Бланк заказа NEW'!$B$19:$B$201)-COUNT('Бланк OLD 0.8 04'!$B$18:$B$200),CHOOSE({1,2},'Бланк OLD 2.0 04 '!$B$18:$B$200,'Бланк OLD 2.0 04 '!$A$18:$A$200),2,0)),"")</f>
        <v/>
      </c>
      <c r="D85" s="150" t="str">
        <f ca="1">IFERROR(VLOOKUP(C85,'Шаг1.Выбор плиты'!C:G,5,0),"")</f>
        <v/>
      </c>
      <c r="E85" s="147" t="str">
        <f ca="1">IFERROR(IFERROR(IF(VLOOKUP($A85,'Шаг2.Бланк заказа NEW'!$B$17:$N$201,2,0)="","",VLOOKUP($A85,'Шаг2.Бланк заказа NEW'!$B$17:$N$201,2,0)),
IF(VLOOKUP($A85-COUNT('Шаг2.Бланк заказа NEW'!$B$19:$B$201),'Бланк OLD 0.8 04'!$B$12:$K$200,2,0)="","",VLOOKUP($A85-COUNT('Шаг2.Бланк заказа NEW'!$B$19:$B$201),'Бланк OLD 0.8 04'!$B$12:$K$200,2,0))),
IF(VLOOKUP($A85-COUNT('Шаг2.Бланк заказа NEW'!$B$19:$B$201)-COUNT('Бланк OLD 0.8 04'!$B$18:$B$200),'Бланк OLD 2.0 04 '!$B$16:$K$200,2,0)="","",VLOOKUP($A85-COUNT('Шаг2.Бланк заказа NEW'!$B$19:$B$201)-COUNT('Бланк OLD 0.8 04'!$B$18:$B$200),'Бланк OLD 2.0 04 '!$B$16:$K$200,2,0)))</f>
        <v/>
      </c>
      <c r="F85" s="147" t="str">
        <f ca="1">IFERROR(IFERROR(IF(VLOOKUP($A85,'Шаг2.Бланк заказа NEW'!$B$17:$N$201,3,0)="","",VLOOKUP($A85,'Шаг2.Бланк заказа NEW'!$B$17:$N$201,3,0)),
IF(VLOOKUP($A85-COUNT('Шаг2.Бланк заказа NEW'!$B$19:$B$201),'Бланк OLD 0.8 04'!$B$12:$K$200,3,0)="","",VLOOKUP($A85-COUNT('Шаг2.Бланк заказа NEW'!$B$19:$B$201),'Бланк OLD 0.8 04'!$B$12:$K$200,3,0))),
IF(VLOOKUP($A85-COUNT('Шаг2.Бланк заказа NEW'!$B$19:$B$201)-COUNT('Бланк OLD 0.8 04'!$B$18:$B$200),'Бланк OLD 2.0 04 '!$B$16:$K$200,3,0)="","",VLOOKUP($A85-COUNT('Шаг2.Бланк заказа NEW'!$B$19:$B$201)-COUNT('Бланк OLD 0.8 04'!$B$18:$B$200),'Бланк OLD 2.0 04 '!$B$16:$K$200,3,0)))</f>
        <v/>
      </c>
      <c r="G85" s="176" t="str">
        <f ca="1">IF(IF(R85="","",IF(R85=1,SUMIFS('Шаг1.Выбор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плиты'!C:Q,12,0)),1))))))=0,
R85,
IF(R85="","",IF(R85=1,SUMIFS('Шаг1.Выбор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плиты'!N:N,R85,'Шаг1.Выбор плиты'!M:M,SMALL(INDIRECT("мм"&amp;VLOOKUP(C85,'Шаг1.Выбор плиты'!C:Q,12,0)),1)))))))</f>
        <v/>
      </c>
      <c r="H85" s="177" t="str">
        <f ca="1">IF(IF(S85="","",IF(S85=1,SUMIFS('Шаг1.Выбор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плиты'!C:Q,12,0)),1))))))=0,
S85,
IF(S85="","",IF(S85=1,SUMIFS('Шаг1.Выбор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плиты'!N:N,S85,'Шаг1.Выбор плиты'!M:M,SMALL(INDIRECT("мм"&amp;VLOOKUP(C85,'Шаг1.Выбор плиты'!C:Q,12,0)),1)))))))</f>
        <v/>
      </c>
      <c r="I85" s="147" t="str">
        <f ca="1">IFERROR(IFERROR(IF(VLOOKUP($A85,'Шаг2.Бланк заказа NEW'!$B$17:$N$201,6,0)="","",VLOOKUP($A85,'Шаг2.Бланк заказа NEW'!$B$17:$N$201,6,0)),
IF(VLOOKUP($A85-COUNT('Шаг2.Бланк заказа NEW'!$B$19:$B$201),'Бланк OLD 0.8 04'!$B$12:$K$200,6,0)="","",VLOOKUP($A85-COUNT('Шаг2.Бланк заказа NEW'!$B$19:$B$201),'Бланк OLD 0.8 04'!$B$12:$K$200,6,0))),
IF(VLOOKUP($A85-COUNT('Шаг2.Бланк заказа NEW'!$B$19:$B$201)-COUNT('Бланк OLD 0.8 04'!$B$18:$B$200),'Бланк OLD 2.0 04 '!$B$16:$K$200,6,0)="","",VLOOKUP($A85-COUNT('Шаг2.Бланк заказа NEW'!$B$19:$B$201)-COUNT('Бланк OLD 0.8 04'!$B$18:$B$200),'Бланк OLD 2.0 04 '!$B$16:$K$200,6,0)))</f>
        <v/>
      </c>
      <c r="J85" s="177" t="str">
        <f ca="1">IF(IF(T85="","",IF(T85=1,SUMIFS('Шаг1.Выбор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плиты'!C:Q,12,0)),1))))))=0,
T85,
IF(T85="","",IF(T85=1,SUMIFS('Шаг1.Выбор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плиты'!N:N,T85,'Шаг1.Выбор плиты'!M:M,SMALL(INDIRECT("мм"&amp;VLOOKUP(C85,'Шаг1.Выбор плиты'!C:Q,12,0)),1)))))))</f>
        <v/>
      </c>
      <c r="K85" s="177" t="str">
        <f ca="1">IF(IF(U85="","",IF(U85=1,SUMIFS('Шаг1.Выбор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плиты'!C:Q,12,0)),1))))))=0,
U85,
IF(U85="","",IF(U85=1,SUMIFS('Шаг1.Выбор плиты'!$G:$G,'Шаг1.Выбор плиты'!J:J,"*"&amp;RIGHT(VLOOKUP(C85,'Шаг1.Выбор плиты'!C:Q,8,0),4),'Шаг1.Выбор плиты'!L:L,IF(MID(C85,1,6)="ЛДСП P","TM"&amp;MID(VLOOKUP(C85,'Шаг1.Выбор плиты'!C:Q,10,0),3,2),MID(VLOOKUP(C85,'Шаг1.Выбор плиты'!C:Q,10,0),1,2)),
'Шаг1.Выбор плиты'!N:N,1),IF(SUMIFS('Шаг1.Выбор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плиты'!C:Q,12,0)),1))=0,
IF(SUMIFS('Шаг1.Выбор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плиты'!C:Q,12,0)),2))=0,
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плиты'!C:Q,12,0)),3)),
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плиты'!C:Q,12,0)),2))),
(SUMIFS('Шаг1.Выбор плиты'!$G:$G,'Шаг1.Выбор плиты'!J:J,"*"&amp;RIGHT(VLOOKUP(C85,'Шаг1.Выбор плиты'!C:Q,8,0),4),'Шаг1.Выбор плиты'!L:L,VLOOKUP(C85,'Шаг1.Выбор плиты'!C:Q,10,0),'Шаг1.Выбор плиты'!N:N,U85,'Шаг1.Выбор плиты'!M:M,SMALL(INDIRECT("мм"&amp;VLOOKUP(C85,'Шаг1.Выбор плиты'!C:Q,12,0)),1)))))))</f>
        <v/>
      </c>
      <c r="L85" s="147" t="str">
        <f ca="1">IFERROR(IFERROR(IF(VLOOKUP($A85,'Шаг2.Бланк заказа NEW'!$B$17:$N$201,9,0)="","",VLOOKUP($A85,'Шаг2.Бланк заказа NEW'!$B$17:$N$201,9,0)),
IF(VLOOKUP($A85-COUNT('Шаг2.Бланк заказа NEW'!$B$19:$B$201),'Бланк OLD 0.8 04'!$B$12:$K$200,9,0)="","",VLOOKUP($A85-COUNT('Шаг2.Бланк заказа NEW'!$B$19:$B$201),'Бланк OLD 0.8 04'!$B$12:$K$200,9,0))),
IF(VLOOKUP($A85-COUNT('Шаг2.Бланк заказа NEW'!$B$19:$B$201)-COUNT('Бланк OLD 0.8 04'!$B$18:$B$200),'Бланк OLD 2.0 04 '!$B$16:$K$200,9,0)="","",VLOOKUP($A85-COUNT('Шаг2.Бланк заказа NEW'!$B$19:$B$201)-COUNT('Бланк OLD 0.8 04'!$B$18:$B$200),'Бланк OLD 2.0 04 '!$B$16:$K$200,9,0)))</f>
        <v/>
      </c>
      <c r="M85" s="154" t="str">
        <f t="shared" ca="1" si="10"/>
        <v/>
      </c>
      <c r="N85" s="153" t="str">
        <f ca="1">IFERROR(IF(VLOOKUP($A85,'Шаг2.Бланк заказа NEW'!$B$17:$N$201,11,0)="","",VLOOKUP($A85,'Шаг2.Бланк заказа NEW'!$B$17:$N$201,11,0)),
"Нет")</f>
        <v/>
      </c>
      <c r="O85" s="147" t="str">
        <f ca="1">IFERROR(IF(VLOOKUP($A85,'Шаг2.Бланк заказа NEW'!$B$17:$N$201,11,0)="","",VLOOKUP($A85,'Шаг2.Бланк заказа NEW'!$B$17:$N$201,12,0)),
"Нет")</f>
        <v/>
      </c>
      <c r="P85" s="153" t="str">
        <f ca="1">IFERROR(IF(VLOOKUP($A85,'Шаг2.Бланк заказа NEW'!$B$17:$N$201,13,0)="","",VLOOKUP($A85,'Шаг2.Бланк заказа NEW'!$B$17:$N$201,13,0)),
"Нет")</f>
        <v/>
      </c>
      <c r="Q85" s="147" t="str">
        <f ca="1">IFERROR(IF(VLOOKUP($A85,'Шаг2.Бланк заказа NEW'!$B$17:$O$201,14,0)="","",VLOOKUP($A85,'Шаг2.Бланк заказа NEW'!$B$17:$O$201,14,0)),"")</f>
        <v/>
      </c>
      <c r="R85" s="147" t="str">
        <f ca="1">IFERROR(IFERROR(IF(VLOOKUP($A85,'Шаг2.Бланк заказа NEW'!$B$17:$N$201,4,0)="","",VLOOKUP($A85,'Шаг2.Бланк заказа NEW'!$B$17:$N$201,4,0)),
IF(VLOOKUP($A85-COUNT('Шаг2.Бланк заказа NEW'!$B$19:$B$201),'Бланк OLD 0.8 04'!$B$12:$K$200,4,0)&gt;0,0.8,
IF(VLOOKUP($A85-COUNT('Шаг2.Бланк заказа NEW'!$B$19:$B$201),'Бланк OLD 0.8 04'!$B$12:$K$200,5,0)&gt;0,0.4,""))),
IF(VLOOKUP($A85-COUNT('Шаг2.Бланк заказа NEW'!$B$19:$B$201)-COUNT('Бланк OLD 0.8 04'!$B$18:$B$200),'Бланк OLD 2.0 04 '!$B$16:$K$200,4,0)&gt;0,2,IF(VLOOKUP($A85-COUNT('Шаг2.Бланк заказа NEW'!$B$19:$B$201)-COUNT('Бланк OLD 0.8 04'!$B$18:$B$200),'Бланк OLD 2.0 04 '!$B$16:$K$200,5,0)&gt;0,0.4,"")))</f>
        <v/>
      </c>
      <c r="S85" s="147" t="str">
        <f ca="1">IFERROR(IFERROR(IF(VLOOKUP($A85,'Шаг2.Бланк заказа NEW'!$B$17:$N$201,5,0)="","",VLOOKUP($A85,'Шаг2.Бланк заказа NEW'!$B$17:$N$201,5,0)),
IF(VLOOKUP($A85-COUNT('Шаг2.Бланк заказа NEW'!$B$19:$B$201),'Бланк OLD 0.8 04'!$B$12:$K$200,4,0)&gt;1,0.8,
IF(VLOOKUP($A85-COUNT('Шаг2.Бланк заказа NEW'!$B$19:$B$201),'Бланк OLD 0.8 04'!$B$12:$K$200,5,0)&gt;1,0.4,
IF(AND(VLOOKUP($A85-COUNT('Шаг2.Бланк заказа NEW'!$B$19:$B$201),'Бланк OLD 0.8 04'!$B$12:$K$200,4,0)&gt;0,VLOOKUP($A85-COUNT('Шаг2.Бланк заказа NEW'!$B$19:$B$201),'Бланк OLD 0.8 04'!$B$12:$K$200,5,0)&gt;0),0.4,"")))),
IF(VLOOKUP($A85-COUNT('Шаг2.Бланк заказа NEW'!$B$19:$B$201)-COUNT('Бланк OLD 0.8 04'!$B$18:$B$200),'Бланк OLD 2.0 04 '!$B$16:$K$200,4,0)&gt;1,2,
IF(VLOOKUP($A85-COUNT('Шаг2.Бланк заказа NEW'!$B$19:$B$201)-COUNT('Бланк OLD 0.8 04'!$B$18:$B$200),'Бланк OLD 2.0 04 '!$B$16:$K$200,5,0)&gt;1,0.4,IF(AND(VLOOKUP($A85-COUNT('Шаг2.Бланк заказа NEW'!$B$19:$B$201)-COUNT('Бланк OLD 0.8 04'!$B$18:$B$200),'Бланк OLD 2.0 04 '!$B$16:$K$200,4,0)&gt;0,VLOOKUP($A85-COUNT('Шаг2.Бланк заказа NEW'!$B$19:$B$201)-COUNT('Бланк OLD 0.8 04'!$B$18:$B$200),'Бланк OLD 2.0 04 '!$B$16:$K$200,5,0)&gt;0),0.4,""))))</f>
        <v/>
      </c>
      <c r="T85" s="147" t="str">
        <f ca="1">IFERROR(IFERROR(IF(VLOOKUP($A85,'Шаг2.Бланк заказа NEW'!$B$17:$N$201,7,0)="","",VLOOKUP($A85,'Шаг2.Бланк заказа NEW'!$B$17:$N$201,7,0)),
IF(VLOOKUP($A85-COUNT('Шаг2.Бланк заказа NEW'!$B$19:$B$201),'Бланк OLD 0.8 04'!$B$12:$K$200,7,0)&gt;0,0.8,
IF(VLOOKUP($A85-COUNT('Шаг2.Бланк заказа NEW'!$B$19:$B$201),'Бланк OLD 0.8 04'!$B$12:$K$200,8,0)&gt;0,0.4,""))),
IF(VLOOKUP($A85-COUNT('Шаг2.Бланк заказа NEW'!$B$19:$B$201)-COUNT('Бланк OLD 0.8 04'!$B$18:$B$200),'Бланк OLD 2.0 04 '!$B$16:$K$200,7,0)&gt;0,2,IF(VLOOKUP($A85-COUNT('Шаг2.Бланк заказа NEW'!$B$19:$B$201)-COUNT('Бланк OLD 0.8 04'!$B$18:$B$200),'Бланк OLD 2.0 04 '!$B$16:$K$200,8,0)&gt;0,0.4,"")))</f>
        <v/>
      </c>
      <c r="U85" s="147" t="str">
        <f ca="1">IFERROR(IFERROR(IF(VLOOKUP($A85,'Шаг2.Бланк заказа NEW'!$B$17:$N$201,8,0)="","",VLOOKUP($A85,'Шаг2.Бланк заказа NEW'!$B$17:$N$201,8,0)),
IF(VLOOKUP($A85-COUNT('Шаг2.Бланк заказа NEW'!$B$19:$B$201),'Бланк OLD 0.8 04'!$B$12:$K$200,7,0)&gt;1,0.8,
IF(VLOOKUP($A85-COUNT('Шаг2.Бланк заказа NEW'!$B$19:$B$201),'Бланк OLD 0.8 04'!$B$12:$K$200,8,0)&gt;1,0.4,
IF(AND(VLOOKUP($A85-COUNT('Шаг2.Бланк заказа NEW'!$B$19:$B$201),'Бланк OLD 0.8 04'!$B$12:$K$200,7,0)&gt;0,VLOOKUP($A85-COUNT('Шаг2.Бланк заказа NEW'!$B$19:$B$201),'Бланк OLD 0.8 04'!$B$12:$K$200,8,0)&gt;0),0.4,"")))),
IF(VLOOKUP($A85-COUNT('Шаг2.Бланк заказа NEW'!$B$19:$B$201)-COUNT('Бланк OLD 0.8 04'!$B$18:$B$200),'Бланк OLD 2.0 04 '!$B$16:$K$200,7,0)&gt;1,2,
IF(VLOOKUP($A85-COUNT('Шаг2.Бланк заказа NEW'!$B$19:$B$201)-COUNT('Бланк OLD 0.8 04'!$B$18:$B$200),'Бланк OLD 2.0 04 '!$B$16:$K$200,8,0)&gt;1,0.4,
IF(AND(VLOOKUP($A85-COUNT('Шаг2.Бланк заказа NEW'!$B$19:$B$201)-COUNT('Бланк OLD 0.8 04'!$B$18:$B$200),'Бланк OLD 2.0 04 '!$B$16:$K$200,7,0)&gt;0,VLOOKUP($A85-COUNT('Шаг2.Бланк заказа NEW'!$B$19:$B$201)-COUNT('Бланк OLD 0.8 04'!$B$18:$B$200),'Бланк OLD 2.0 04 '!$B$16:$K$200,8,0)&gt;0),0.4,""))))</f>
        <v/>
      </c>
      <c r="V85" s="146" t="str">
        <f ca="1">IFERROR(VLOOKUP(C85,'Шаг1.Выбор плиты'!C:S,12,0),"")</f>
        <v/>
      </c>
      <c r="W85" s="146" t="str">
        <f ca="1">IFERROR(VLOOKUP(C85,'Шаг1.Выбор плиты'!C:S,8,0),"")</f>
        <v/>
      </c>
      <c r="X85" s="146" t="str">
        <f ca="1">IFERROR(VLOOKUP(C85,'Шаг1.Выбор плиты'!C:S,10,0),"")</f>
        <v/>
      </c>
      <c r="Y85" s="147" t="str">
        <f t="shared" ca="1" si="8"/>
        <v/>
      </c>
      <c r="AD85" s="147" t="str">
        <f t="shared" ca="1" si="11"/>
        <v/>
      </c>
      <c r="AE85" s="147" t="str">
        <f t="shared" ca="1" si="9"/>
        <v/>
      </c>
      <c r="AF85" s="25"/>
      <c r="AH85" s="147" t="str">
        <f ca="1">IF(C85="","",VLOOKUP(C85,'Шаг1.Выбор плиты'!C:Q,7,0))</f>
        <v/>
      </c>
      <c r="AI85" s="147" t="str">
        <f t="shared" ca="1" si="12"/>
        <v/>
      </c>
    </row>
    <row r="86" spans="1:35" x14ac:dyDescent="0.2">
      <c r="A86" s="151" t="str">
        <f ca="1">IF(C86="","",MAX($A$1:OFFSET(C86,-1,0))+1)</f>
        <v/>
      </c>
      <c r="B86" s="151" t="str">
        <f ca="1">IFERROR(IFERROR(IFERROR("Шаг2.Бланк заказа NEW №"&amp;VLOOKUP(A85+1,CHOOSE({1,2},'Шаг2.Бланк заказа NEW'!$B$19:$B$201,'Шаг2.Бланк заказа NEW'!$A$19:$A$201),1,0),
"Бланк OLD 0.8 04 №"&amp;VLOOKUP(A85+1-COUNT('Шаг2.Бланк заказа NEW'!$B$19:$B$201),CHOOSE({1,2},'Бланк OLD 0.8 04'!$B$18:$B$200,'Бланк OLD 0.8 04'!$A$18:$A$200),1,0)),
"Бланк OLD 2.0 04 №"&amp;VLOOKUP(A85+1-COUNT('Шаг2.Бланк заказа NEW'!$B$19:$B$201)-COUNT('Бланк OLD 0.8 04'!$B$18:$B$200),CHOOSE({1,2},'Бланк OLD 2.0 04 '!$B$18:$B$200,'Бланк OLD 2.0 04 '!$A$18:$A$200),1,0)),"")</f>
        <v/>
      </c>
      <c r="C86" s="152" t="str">
        <f ca="1">IFERROR(IFERROR(IFERROR(VLOOKUP(A85+1,CHOOSE({1,2},'Шаг2.Бланк заказа NEW'!$B$19:$B$201,'Шаг2.Бланк заказа NEW'!$A$19:$A$201),2,0),
VLOOKUP(A85+1-COUNT('Шаг2.Бланк заказа NEW'!$B$19:$B$201),CHOOSE({1,2},'Бланк OLD 0.8 04'!$B$18:$B$200,'Бланк OLD 0.8 04'!$A$18:$A$200),2,0)),
VLOOKUP(A85+1-COUNT('Шаг2.Бланк заказа NEW'!$B$19:$B$201)-COUNT('Бланк OLD 0.8 04'!$B$18:$B$200),CHOOSE({1,2},'Бланк OLD 2.0 04 '!$B$18:$B$200,'Бланк OLD 2.0 04 '!$A$18:$A$200),2,0)),"")</f>
        <v/>
      </c>
      <c r="D86" s="150" t="str">
        <f ca="1">IFERROR(VLOOKUP(C86,'Шаг1.Выбор плиты'!C:G,5,0),"")</f>
        <v/>
      </c>
      <c r="E86" s="147" t="str">
        <f ca="1">IFERROR(IFERROR(IF(VLOOKUP($A86,'Шаг2.Бланк заказа NEW'!$B$17:$N$201,2,0)="","",VLOOKUP($A86,'Шаг2.Бланк заказа NEW'!$B$17:$N$201,2,0)),
IF(VLOOKUP($A86-COUNT('Шаг2.Бланк заказа NEW'!$B$19:$B$201),'Бланк OLD 0.8 04'!$B$12:$K$200,2,0)="","",VLOOKUP($A86-COUNT('Шаг2.Бланк заказа NEW'!$B$19:$B$201),'Бланк OLD 0.8 04'!$B$12:$K$200,2,0))),
IF(VLOOKUP($A86-COUNT('Шаг2.Бланк заказа NEW'!$B$19:$B$201)-COUNT('Бланк OLD 0.8 04'!$B$18:$B$200),'Бланк OLD 2.0 04 '!$B$16:$K$200,2,0)="","",VLOOKUP($A86-COUNT('Шаг2.Бланк заказа NEW'!$B$19:$B$201)-COUNT('Бланк OLD 0.8 04'!$B$18:$B$200),'Бланк OLD 2.0 04 '!$B$16:$K$200,2,0)))</f>
        <v/>
      </c>
      <c r="F86" s="147" t="str">
        <f ca="1">IFERROR(IFERROR(IF(VLOOKUP($A86,'Шаг2.Бланк заказа NEW'!$B$17:$N$201,3,0)="","",VLOOKUP($A86,'Шаг2.Бланк заказа NEW'!$B$17:$N$201,3,0)),
IF(VLOOKUP($A86-COUNT('Шаг2.Бланк заказа NEW'!$B$19:$B$201),'Бланк OLD 0.8 04'!$B$12:$K$200,3,0)="","",VLOOKUP($A86-COUNT('Шаг2.Бланк заказа NEW'!$B$19:$B$201),'Бланк OLD 0.8 04'!$B$12:$K$200,3,0))),
IF(VLOOKUP($A86-COUNT('Шаг2.Бланк заказа NEW'!$B$19:$B$201)-COUNT('Бланк OLD 0.8 04'!$B$18:$B$200),'Бланк OLD 2.0 04 '!$B$16:$K$200,3,0)="","",VLOOKUP($A86-COUNT('Шаг2.Бланк заказа NEW'!$B$19:$B$201)-COUNT('Бланк OLD 0.8 04'!$B$18:$B$200),'Бланк OLD 2.0 04 '!$B$16:$K$200,3,0)))</f>
        <v/>
      </c>
      <c r="G86" s="176" t="str">
        <f ca="1">IF(IF(R86="","",IF(R86=1,SUMIFS('Шаг1.Выбор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плиты'!C:Q,12,0)),1))))))=0,
R86,
IF(R86="","",IF(R86=1,SUMIFS('Шаг1.Выбор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плиты'!N:N,R86,'Шаг1.Выбор плиты'!M:M,SMALL(INDIRECT("мм"&amp;VLOOKUP(C86,'Шаг1.Выбор плиты'!C:Q,12,0)),1)))))))</f>
        <v/>
      </c>
      <c r="H86" s="177" t="str">
        <f ca="1">IF(IF(S86="","",IF(S86=1,SUMIFS('Шаг1.Выбор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плиты'!C:Q,12,0)),1))))))=0,
S86,
IF(S86="","",IF(S86=1,SUMIFS('Шаг1.Выбор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плиты'!N:N,S86,'Шаг1.Выбор плиты'!M:M,SMALL(INDIRECT("мм"&amp;VLOOKUP(C86,'Шаг1.Выбор плиты'!C:Q,12,0)),1)))))))</f>
        <v/>
      </c>
      <c r="I86" s="147" t="str">
        <f ca="1">IFERROR(IFERROR(IF(VLOOKUP($A86,'Шаг2.Бланк заказа NEW'!$B$17:$N$201,6,0)="","",VLOOKUP($A86,'Шаг2.Бланк заказа NEW'!$B$17:$N$201,6,0)),
IF(VLOOKUP($A86-COUNT('Шаг2.Бланк заказа NEW'!$B$19:$B$201),'Бланк OLD 0.8 04'!$B$12:$K$200,6,0)="","",VLOOKUP($A86-COUNT('Шаг2.Бланк заказа NEW'!$B$19:$B$201),'Бланк OLD 0.8 04'!$B$12:$K$200,6,0))),
IF(VLOOKUP($A86-COUNT('Шаг2.Бланк заказа NEW'!$B$19:$B$201)-COUNT('Бланк OLD 0.8 04'!$B$18:$B$200),'Бланк OLD 2.0 04 '!$B$16:$K$200,6,0)="","",VLOOKUP($A86-COUNT('Шаг2.Бланк заказа NEW'!$B$19:$B$201)-COUNT('Бланк OLD 0.8 04'!$B$18:$B$200),'Бланк OLD 2.0 04 '!$B$16:$K$200,6,0)))</f>
        <v/>
      </c>
      <c r="J86" s="177" t="str">
        <f ca="1">IF(IF(T86="","",IF(T86=1,SUMIFS('Шаг1.Выбор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плиты'!C:Q,12,0)),1))))))=0,
T86,
IF(T86="","",IF(T86=1,SUMIFS('Шаг1.Выбор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плиты'!N:N,T86,'Шаг1.Выбор плиты'!M:M,SMALL(INDIRECT("мм"&amp;VLOOKUP(C86,'Шаг1.Выбор плиты'!C:Q,12,0)),1)))))))</f>
        <v/>
      </c>
      <c r="K86" s="177" t="str">
        <f ca="1">IF(IF(U86="","",IF(U86=1,SUMIFS('Шаг1.Выбор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плиты'!C:Q,12,0)),1))))))=0,
U86,
IF(U86="","",IF(U86=1,SUMIFS('Шаг1.Выбор плиты'!$G:$G,'Шаг1.Выбор плиты'!J:J,"*"&amp;RIGHT(VLOOKUP(C86,'Шаг1.Выбор плиты'!C:Q,8,0),4),'Шаг1.Выбор плиты'!L:L,IF(MID(C86,1,6)="ЛДСП P","TM"&amp;MID(VLOOKUP(C86,'Шаг1.Выбор плиты'!C:Q,10,0),3,2),MID(VLOOKUP(C86,'Шаг1.Выбор плиты'!C:Q,10,0),1,2)),
'Шаг1.Выбор плиты'!N:N,1),IF(SUMIFS('Шаг1.Выбор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плиты'!C:Q,12,0)),1))=0,
IF(SUMIFS('Шаг1.Выбор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плиты'!C:Q,12,0)),2))=0,
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плиты'!C:Q,12,0)),3)),
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плиты'!C:Q,12,0)),2))),
(SUMIFS('Шаг1.Выбор плиты'!$G:$G,'Шаг1.Выбор плиты'!J:J,"*"&amp;RIGHT(VLOOKUP(C86,'Шаг1.Выбор плиты'!C:Q,8,0),4),'Шаг1.Выбор плиты'!L:L,VLOOKUP(C86,'Шаг1.Выбор плиты'!C:Q,10,0),'Шаг1.Выбор плиты'!N:N,U86,'Шаг1.Выбор плиты'!M:M,SMALL(INDIRECT("мм"&amp;VLOOKUP(C86,'Шаг1.Выбор плиты'!C:Q,12,0)),1)))))))</f>
        <v/>
      </c>
      <c r="L86" s="147" t="str">
        <f ca="1">IFERROR(IFERROR(IF(VLOOKUP($A86,'Шаг2.Бланк заказа NEW'!$B$17:$N$201,9,0)="","",VLOOKUP($A86,'Шаг2.Бланк заказа NEW'!$B$17:$N$201,9,0)),
IF(VLOOKUP($A86-COUNT('Шаг2.Бланк заказа NEW'!$B$19:$B$201),'Бланк OLD 0.8 04'!$B$12:$K$200,9,0)="","",VLOOKUP($A86-COUNT('Шаг2.Бланк заказа NEW'!$B$19:$B$201),'Бланк OLD 0.8 04'!$B$12:$K$200,9,0))),
IF(VLOOKUP($A86-COUNT('Шаг2.Бланк заказа NEW'!$B$19:$B$201)-COUNT('Бланк OLD 0.8 04'!$B$18:$B$200),'Бланк OLD 2.0 04 '!$B$16:$K$200,9,0)="","",VLOOKUP($A86-COUNT('Шаг2.Бланк заказа NEW'!$B$19:$B$201)-COUNT('Бланк OLD 0.8 04'!$B$18:$B$200),'Бланк OLD 2.0 04 '!$B$16:$K$200,9,0)))</f>
        <v/>
      </c>
      <c r="M86" s="154" t="str">
        <f t="shared" ca="1" si="10"/>
        <v/>
      </c>
      <c r="N86" s="153" t="str">
        <f ca="1">IFERROR(IF(VLOOKUP($A86,'Шаг2.Бланк заказа NEW'!$B$17:$N$201,11,0)="","",VLOOKUP($A86,'Шаг2.Бланк заказа NEW'!$B$17:$N$201,11,0)),
"Нет")</f>
        <v/>
      </c>
      <c r="O86" s="147" t="str">
        <f ca="1">IFERROR(IF(VLOOKUP($A86,'Шаг2.Бланк заказа NEW'!$B$17:$N$201,11,0)="","",VLOOKUP($A86,'Шаг2.Бланк заказа NEW'!$B$17:$N$201,12,0)),
"Нет")</f>
        <v/>
      </c>
      <c r="P86" s="153" t="str">
        <f ca="1">IFERROR(IF(VLOOKUP($A86,'Шаг2.Бланк заказа NEW'!$B$17:$N$201,13,0)="","",VLOOKUP($A86,'Шаг2.Бланк заказа NEW'!$B$17:$N$201,13,0)),
"Нет")</f>
        <v/>
      </c>
      <c r="Q86" s="147" t="str">
        <f ca="1">IFERROR(IF(VLOOKUP($A86,'Шаг2.Бланк заказа NEW'!$B$17:$O$201,14,0)="","",VLOOKUP($A86,'Шаг2.Бланк заказа NEW'!$B$17:$O$201,14,0)),"")</f>
        <v/>
      </c>
      <c r="R86" s="147" t="str">
        <f ca="1">IFERROR(IFERROR(IF(VLOOKUP($A86,'Шаг2.Бланк заказа NEW'!$B$17:$N$201,4,0)="","",VLOOKUP($A86,'Шаг2.Бланк заказа NEW'!$B$17:$N$201,4,0)),
IF(VLOOKUP($A86-COUNT('Шаг2.Бланк заказа NEW'!$B$19:$B$201),'Бланк OLD 0.8 04'!$B$12:$K$200,4,0)&gt;0,0.8,
IF(VLOOKUP($A86-COUNT('Шаг2.Бланк заказа NEW'!$B$19:$B$201),'Бланк OLD 0.8 04'!$B$12:$K$200,5,0)&gt;0,0.4,""))),
IF(VLOOKUP($A86-COUNT('Шаг2.Бланк заказа NEW'!$B$19:$B$201)-COUNT('Бланк OLD 0.8 04'!$B$18:$B$200),'Бланк OLD 2.0 04 '!$B$16:$K$200,4,0)&gt;0,2,IF(VLOOKUP($A86-COUNT('Шаг2.Бланк заказа NEW'!$B$19:$B$201)-COUNT('Бланк OLD 0.8 04'!$B$18:$B$200),'Бланк OLD 2.0 04 '!$B$16:$K$200,5,0)&gt;0,0.4,"")))</f>
        <v/>
      </c>
      <c r="S86" s="147" t="str">
        <f ca="1">IFERROR(IFERROR(IF(VLOOKUP($A86,'Шаг2.Бланк заказа NEW'!$B$17:$N$201,5,0)="","",VLOOKUP($A86,'Шаг2.Бланк заказа NEW'!$B$17:$N$201,5,0)),
IF(VLOOKUP($A86-COUNT('Шаг2.Бланк заказа NEW'!$B$19:$B$201),'Бланк OLD 0.8 04'!$B$12:$K$200,4,0)&gt;1,0.8,
IF(VLOOKUP($A86-COUNT('Шаг2.Бланк заказа NEW'!$B$19:$B$201),'Бланк OLD 0.8 04'!$B$12:$K$200,5,0)&gt;1,0.4,
IF(AND(VLOOKUP($A86-COUNT('Шаг2.Бланк заказа NEW'!$B$19:$B$201),'Бланк OLD 0.8 04'!$B$12:$K$200,4,0)&gt;0,VLOOKUP($A86-COUNT('Шаг2.Бланк заказа NEW'!$B$19:$B$201),'Бланк OLD 0.8 04'!$B$12:$K$200,5,0)&gt;0),0.4,"")))),
IF(VLOOKUP($A86-COUNT('Шаг2.Бланк заказа NEW'!$B$19:$B$201)-COUNT('Бланк OLD 0.8 04'!$B$18:$B$200),'Бланк OLD 2.0 04 '!$B$16:$K$200,4,0)&gt;1,2,
IF(VLOOKUP($A86-COUNT('Шаг2.Бланк заказа NEW'!$B$19:$B$201)-COUNT('Бланк OLD 0.8 04'!$B$18:$B$200),'Бланк OLD 2.0 04 '!$B$16:$K$200,5,0)&gt;1,0.4,IF(AND(VLOOKUP($A86-COUNT('Шаг2.Бланк заказа NEW'!$B$19:$B$201)-COUNT('Бланк OLD 0.8 04'!$B$18:$B$200),'Бланк OLD 2.0 04 '!$B$16:$K$200,4,0)&gt;0,VLOOKUP($A86-COUNT('Шаг2.Бланк заказа NEW'!$B$19:$B$201)-COUNT('Бланк OLD 0.8 04'!$B$18:$B$200),'Бланк OLD 2.0 04 '!$B$16:$K$200,5,0)&gt;0),0.4,""))))</f>
        <v/>
      </c>
      <c r="T86" s="147" t="str">
        <f ca="1">IFERROR(IFERROR(IF(VLOOKUP($A86,'Шаг2.Бланк заказа NEW'!$B$17:$N$201,7,0)="","",VLOOKUP($A86,'Шаг2.Бланк заказа NEW'!$B$17:$N$201,7,0)),
IF(VLOOKUP($A86-COUNT('Шаг2.Бланк заказа NEW'!$B$19:$B$201),'Бланк OLD 0.8 04'!$B$12:$K$200,7,0)&gt;0,0.8,
IF(VLOOKUP($A86-COUNT('Шаг2.Бланк заказа NEW'!$B$19:$B$201),'Бланк OLD 0.8 04'!$B$12:$K$200,8,0)&gt;0,0.4,""))),
IF(VLOOKUP($A86-COUNT('Шаг2.Бланк заказа NEW'!$B$19:$B$201)-COUNT('Бланк OLD 0.8 04'!$B$18:$B$200),'Бланк OLD 2.0 04 '!$B$16:$K$200,7,0)&gt;0,2,IF(VLOOKUP($A86-COUNT('Шаг2.Бланк заказа NEW'!$B$19:$B$201)-COUNT('Бланк OLD 0.8 04'!$B$18:$B$200),'Бланк OLD 2.0 04 '!$B$16:$K$200,8,0)&gt;0,0.4,"")))</f>
        <v/>
      </c>
      <c r="U86" s="147" t="str">
        <f ca="1">IFERROR(IFERROR(IF(VLOOKUP($A86,'Шаг2.Бланк заказа NEW'!$B$17:$N$201,8,0)="","",VLOOKUP($A86,'Шаг2.Бланк заказа NEW'!$B$17:$N$201,8,0)),
IF(VLOOKUP($A86-COUNT('Шаг2.Бланк заказа NEW'!$B$19:$B$201),'Бланк OLD 0.8 04'!$B$12:$K$200,7,0)&gt;1,0.8,
IF(VLOOKUP($A86-COUNT('Шаг2.Бланк заказа NEW'!$B$19:$B$201),'Бланк OLD 0.8 04'!$B$12:$K$200,8,0)&gt;1,0.4,
IF(AND(VLOOKUP($A86-COUNT('Шаг2.Бланк заказа NEW'!$B$19:$B$201),'Бланк OLD 0.8 04'!$B$12:$K$200,7,0)&gt;0,VLOOKUP($A86-COUNT('Шаг2.Бланк заказа NEW'!$B$19:$B$201),'Бланк OLD 0.8 04'!$B$12:$K$200,8,0)&gt;0),0.4,"")))),
IF(VLOOKUP($A86-COUNT('Шаг2.Бланк заказа NEW'!$B$19:$B$201)-COUNT('Бланк OLD 0.8 04'!$B$18:$B$200),'Бланк OLD 2.0 04 '!$B$16:$K$200,7,0)&gt;1,2,
IF(VLOOKUP($A86-COUNT('Шаг2.Бланк заказа NEW'!$B$19:$B$201)-COUNT('Бланк OLD 0.8 04'!$B$18:$B$200),'Бланк OLD 2.0 04 '!$B$16:$K$200,8,0)&gt;1,0.4,
IF(AND(VLOOKUP($A86-COUNT('Шаг2.Бланк заказа NEW'!$B$19:$B$201)-COUNT('Бланк OLD 0.8 04'!$B$18:$B$200),'Бланк OLD 2.0 04 '!$B$16:$K$200,7,0)&gt;0,VLOOKUP($A86-COUNT('Шаг2.Бланк заказа NEW'!$B$19:$B$201)-COUNT('Бланк OLD 0.8 04'!$B$18:$B$200),'Бланк OLD 2.0 04 '!$B$16:$K$200,8,0)&gt;0),0.4,""))))</f>
        <v/>
      </c>
      <c r="V86" s="146" t="str">
        <f ca="1">IFERROR(VLOOKUP(C86,'Шаг1.Выбор плиты'!C:S,12,0),"")</f>
        <v/>
      </c>
      <c r="W86" s="146" t="str">
        <f ca="1">IFERROR(VLOOKUP(C86,'Шаг1.Выбор плиты'!C:S,8,0),"")</f>
        <v/>
      </c>
      <c r="X86" s="146" t="str">
        <f ca="1">IFERROR(VLOOKUP(C86,'Шаг1.Выбор плиты'!C:S,10,0),"")</f>
        <v/>
      </c>
      <c r="Y86" s="147" t="str">
        <f t="shared" ca="1" si="8"/>
        <v/>
      </c>
      <c r="AD86" s="147" t="str">
        <f t="shared" ca="1" si="11"/>
        <v/>
      </c>
      <c r="AE86" s="147" t="str">
        <f t="shared" ca="1" si="9"/>
        <v/>
      </c>
      <c r="AF86" s="25"/>
      <c r="AH86" s="147" t="str">
        <f ca="1">IF(C86="","",VLOOKUP(C86,'Шаг1.Выбор плиты'!C:Q,7,0))</f>
        <v/>
      </c>
      <c r="AI86" s="147" t="str">
        <f t="shared" ca="1" si="12"/>
        <v/>
      </c>
    </row>
    <row r="87" spans="1:35" x14ac:dyDescent="0.2">
      <c r="A87" s="151" t="str">
        <f ca="1">IF(C87="","",MAX($A$1:OFFSET(C87,-1,0))+1)</f>
        <v/>
      </c>
      <c r="B87" s="151" t="str">
        <f ca="1">IFERROR(IFERROR(IFERROR("Шаг2.Бланк заказа NEW №"&amp;VLOOKUP(A86+1,CHOOSE({1,2},'Шаг2.Бланк заказа NEW'!$B$19:$B$201,'Шаг2.Бланк заказа NEW'!$A$19:$A$201),1,0),
"Бланк OLD 0.8 04 №"&amp;VLOOKUP(A86+1-COUNT('Шаг2.Бланк заказа NEW'!$B$19:$B$201),CHOOSE({1,2},'Бланк OLD 0.8 04'!$B$18:$B$200,'Бланк OLD 0.8 04'!$A$18:$A$200),1,0)),
"Бланк OLD 2.0 04 №"&amp;VLOOKUP(A86+1-COUNT('Шаг2.Бланк заказа NEW'!$B$19:$B$201)-COUNT('Бланк OLD 0.8 04'!$B$18:$B$200),CHOOSE({1,2},'Бланк OLD 2.0 04 '!$B$18:$B$200,'Бланк OLD 2.0 04 '!$A$18:$A$200),1,0)),"")</f>
        <v/>
      </c>
      <c r="C87" s="152" t="str">
        <f ca="1">IFERROR(IFERROR(IFERROR(VLOOKUP(A86+1,CHOOSE({1,2},'Шаг2.Бланк заказа NEW'!$B$19:$B$201,'Шаг2.Бланк заказа NEW'!$A$19:$A$201),2,0),
VLOOKUP(A86+1-COUNT('Шаг2.Бланк заказа NEW'!$B$19:$B$201),CHOOSE({1,2},'Бланк OLD 0.8 04'!$B$18:$B$200,'Бланк OLD 0.8 04'!$A$18:$A$200),2,0)),
VLOOKUP(A86+1-COUNT('Шаг2.Бланк заказа NEW'!$B$19:$B$201)-COUNT('Бланк OLD 0.8 04'!$B$18:$B$200),CHOOSE({1,2},'Бланк OLD 2.0 04 '!$B$18:$B$200,'Бланк OLD 2.0 04 '!$A$18:$A$200),2,0)),"")</f>
        <v/>
      </c>
      <c r="D87" s="150" t="str">
        <f ca="1">IFERROR(VLOOKUP(C87,'Шаг1.Выбор плиты'!C:G,5,0),"")</f>
        <v/>
      </c>
      <c r="E87" s="147" t="str">
        <f ca="1">IFERROR(IFERROR(IF(VLOOKUP($A87,'Шаг2.Бланк заказа NEW'!$B$17:$N$201,2,0)="","",VLOOKUP($A87,'Шаг2.Бланк заказа NEW'!$B$17:$N$201,2,0)),
IF(VLOOKUP($A87-COUNT('Шаг2.Бланк заказа NEW'!$B$19:$B$201),'Бланк OLD 0.8 04'!$B$12:$K$200,2,0)="","",VLOOKUP($A87-COUNT('Шаг2.Бланк заказа NEW'!$B$19:$B$201),'Бланк OLD 0.8 04'!$B$12:$K$200,2,0))),
IF(VLOOKUP($A87-COUNT('Шаг2.Бланк заказа NEW'!$B$19:$B$201)-COUNT('Бланк OLD 0.8 04'!$B$18:$B$200),'Бланк OLD 2.0 04 '!$B$16:$K$200,2,0)="","",VLOOKUP($A87-COUNT('Шаг2.Бланк заказа NEW'!$B$19:$B$201)-COUNT('Бланк OLD 0.8 04'!$B$18:$B$200),'Бланк OLD 2.0 04 '!$B$16:$K$200,2,0)))</f>
        <v/>
      </c>
      <c r="F87" s="147" t="str">
        <f ca="1">IFERROR(IFERROR(IF(VLOOKUP($A87,'Шаг2.Бланк заказа NEW'!$B$17:$N$201,3,0)="","",VLOOKUP($A87,'Шаг2.Бланк заказа NEW'!$B$17:$N$201,3,0)),
IF(VLOOKUP($A87-COUNT('Шаг2.Бланк заказа NEW'!$B$19:$B$201),'Бланк OLD 0.8 04'!$B$12:$K$200,3,0)="","",VLOOKUP($A87-COUNT('Шаг2.Бланк заказа NEW'!$B$19:$B$201),'Бланк OLD 0.8 04'!$B$12:$K$200,3,0))),
IF(VLOOKUP($A87-COUNT('Шаг2.Бланк заказа NEW'!$B$19:$B$201)-COUNT('Бланк OLD 0.8 04'!$B$18:$B$200),'Бланк OLD 2.0 04 '!$B$16:$K$200,3,0)="","",VLOOKUP($A87-COUNT('Шаг2.Бланк заказа NEW'!$B$19:$B$201)-COUNT('Бланк OLD 0.8 04'!$B$18:$B$200),'Бланк OLD 2.0 04 '!$B$16:$K$200,3,0)))</f>
        <v/>
      </c>
      <c r="G87" s="176" t="str">
        <f ca="1">IF(IF(R87="","",IF(R87=1,SUMIFS('Шаг1.Выбор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плиты'!C:Q,12,0)),1))))))=0,
R87,
IF(R87="","",IF(R87=1,SUMIFS('Шаг1.Выбор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плиты'!N:N,R87,'Шаг1.Выбор плиты'!M:M,SMALL(INDIRECT("мм"&amp;VLOOKUP(C87,'Шаг1.Выбор плиты'!C:Q,12,0)),1)))))))</f>
        <v/>
      </c>
      <c r="H87" s="177" t="str">
        <f ca="1">IF(IF(S87="","",IF(S87=1,SUMIFS('Шаг1.Выбор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плиты'!C:Q,12,0)),1))))))=0,
S87,
IF(S87="","",IF(S87=1,SUMIFS('Шаг1.Выбор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плиты'!N:N,S87,'Шаг1.Выбор плиты'!M:M,SMALL(INDIRECT("мм"&amp;VLOOKUP(C87,'Шаг1.Выбор плиты'!C:Q,12,0)),1)))))))</f>
        <v/>
      </c>
      <c r="I87" s="147" t="str">
        <f ca="1">IFERROR(IFERROR(IF(VLOOKUP($A87,'Шаг2.Бланк заказа NEW'!$B$17:$N$201,6,0)="","",VLOOKUP($A87,'Шаг2.Бланк заказа NEW'!$B$17:$N$201,6,0)),
IF(VLOOKUP($A87-COUNT('Шаг2.Бланк заказа NEW'!$B$19:$B$201),'Бланк OLD 0.8 04'!$B$12:$K$200,6,0)="","",VLOOKUP($A87-COUNT('Шаг2.Бланк заказа NEW'!$B$19:$B$201),'Бланк OLD 0.8 04'!$B$12:$K$200,6,0))),
IF(VLOOKUP($A87-COUNT('Шаг2.Бланк заказа NEW'!$B$19:$B$201)-COUNT('Бланк OLD 0.8 04'!$B$18:$B$200),'Бланк OLD 2.0 04 '!$B$16:$K$200,6,0)="","",VLOOKUP($A87-COUNT('Шаг2.Бланк заказа NEW'!$B$19:$B$201)-COUNT('Бланк OLD 0.8 04'!$B$18:$B$200),'Бланк OLD 2.0 04 '!$B$16:$K$200,6,0)))</f>
        <v/>
      </c>
      <c r="J87" s="177" t="str">
        <f ca="1">IF(IF(T87="","",IF(T87=1,SUMIFS('Шаг1.Выбор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плиты'!C:Q,12,0)),1))))))=0,
T87,
IF(T87="","",IF(T87=1,SUMIFS('Шаг1.Выбор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плиты'!N:N,T87,'Шаг1.Выбор плиты'!M:M,SMALL(INDIRECT("мм"&amp;VLOOKUP(C87,'Шаг1.Выбор плиты'!C:Q,12,0)),1)))))))</f>
        <v/>
      </c>
      <c r="K87" s="177" t="str">
        <f ca="1">IF(IF(U87="","",IF(U87=1,SUMIFS('Шаг1.Выбор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плиты'!C:Q,12,0)),1))))))=0,
U87,
IF(U87="","",IF(U87=1,SUMIFS('Шаг1.Выбор плиты'!$G:$G,'Шаг1.Выбор плиты'!J:J,"*"&amp;RIGHT(VLOOKUP(C87,'Шаг1.Выбор плиты'!C:Q,8,0),4),'Шаг1.Выбор плиты'!L:L,IF(MID(C87,1,6)="ЛДСП P","TM"&amp;MID(VLOOKUP(C87,'Шаг1.Выбор плиты'!C:Q,10,0),3,2),MID(VLOOKUP(C87,'Шаг1.Выбор плиты'!C:Q,10,0),1,2)),
'Шаг1.Выбор плиты'!N:N,1),IF(SUMIFS('Шаг1.Выбор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плиты'!C:Q,12,0)),1))=0,
IF(SUMIFS('Шаг1.Выбор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плиты'!C:Q,12,0)),2))=0,
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плиты'!C:Q,12,0)),3)),
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плиты'!C:Q,12,0)),2))),
(SUMIFS('Шаг1.Выбор плиты'!$G:$G,'Шаг1.Выбор плиты'!J:J,"*"&amp;RIGHT(VLOOKUP(C87,'Шаг1.Выбор плиты'!C:Q,8,0),4),'Шаг1.Выбор плиты'!L:L,VLOOKUP(C87,'Шаг1.Выбор плиты'!C:Q,10,0),'Шаг1.Выбор плиты'!N:N,U87,'Шаг1.Выбор плиты'!M:M,SMALL(INDIRECT("мм"&amp;VLOOKUP(C87,'Шаг1.Выбор плиты'!C:Q,12,0)),1)))))))</f>
        <v/>
      </c>
      <c r="L87" s="147" t="str">
        <f ca="1">IFERROR(IFERROR(IF(VLOOKUP($A87,'Шаг2.Бланк заказа NEW'!$B$17:$N$201,9,0)="","",VLOOKUP($A87,'Шаг2.Бланк заказа NEW'!$B$17:$N$201,9,0)),
IF(VLOOKUP($A87-COUNT('Шаг2.Бланк заказа NEW'!$B$19:$B$201),'Бланк OLD 0.8 04'!$B$12:$K$200,9,0)="","",VLOOKUP($A87-COUNT('Шаг2.Бланк заказа NEW'!$B$19:$B$201),'Бланк OLD 0.8 04'!$B$12:$K$200,9,0))),
IF(VLOOKUP($A87-COUNT('Шаг2.Бланк заказа NEW'!$B$19:$B$201)-COUNT('Бланк OLD 0.8 04'!$B$18:$B$200),'Бланк OLD 2.0 04 '!$B$16:$K$200,9,0)="","",VLOOKUP($A87-COUNT('Шаг2.Бланк заказа NEW'!$B$19:$B$201)-COUNT('Бланк OLD 0.8 04'!$B$18:$B$200),'Бланк OLD 2.0 04 '!$B$16:$K$200,9,0)))</f>
        <v/>
      </c>
      <c r="M87" s="154" t="str">
        <f t="shared" ca="1" si="10"/>
        <v/>
      </c>
      <c r="N87" s="153" t="str">
        <f ca="1">IFERROR(IF(VLOOKUP($A87,'Шаг2.Бланк заказа NEW'!$B$17:$N$201,11,0)="","",VLOOKUP($A87,'Шаг2.Бланк заказа NEW'!$B$17:$N$201,11,0)),
"Нет")</f>
        <v/>
      </c>
      <c r="O87" s="147" t="str">
        <f ca="1">IFERROR(IF(VLOOKUP($A87,'Шаг2.Бланк заказа NEW'!$B$17:$N$201,11,0)="","",VLOOKUP($A87,'Шаг2.Бланк заказа NEW'!$B$17:$N$201,12,0)),
"Нет")</f>
        <v/>
      </c>
      <c r="P87" s="153" t="str">
        <f ca="1">IFERROR(IF(VLOOKUP($A87,'Шаг2.Бланк заказа NEW'!$B$17:$N$201,13,0)="","",VLOOKUP($A87,'Шаг2.Бланк заказа NEW'!$B$17:$N$201,13,0)),
"Нет")</f>
        <v/>
      </c>
      <c r="Q87" s="147" t="str">
        <f ca="1">IFERROR(IF(VLOOKUP($A87,'Шаг2.Бланк заказа NEW'!$B$17:$O$201,14,0)="","",VLOOKUP($A87,'Шаг2.Бланк заказа NEW'!$B$17:$O$201,14,0)),"")</f>
        <v/>
      </c>
      <c r="R87" s="147" t="str">
        <f ca="1">IFERROR(IFERROR(IF(VLOOKUP($A87,'Шаг2.Бланк заказа NEW'!$B$17:$N$201,4,0)="","",VLOOKUP($A87,'Шаг2.Бланк заказа NEW'!$B$17:$N$201,4,0)),
IF(VLOOKUP($A87-COUNT('Шаг2.Бланк заказа NEW'!$B$19:$B$201),'Бланк OLD 0.8 04'!$B$12:$K$200,4,0)&gt;0,0.8,
IF(VLOOKUP($A87-COUNT('Шаг2.Бланк заказа NEW'!$B$19:$B$201),'Бланк OLD 0.8 04'!$B$12:$K$200,5,0)&gt;0,0.4,""))),
IF(VLOOKUP($A87-COUNT('Шаг2.Бланк заказа NEW'!$B$19:$B$201)-COUNT('Бланк OLD 0.8 04'!$B$18:$B$200),'Бланк OLD 2.0 04 '!$B$16:$K$200,4,0)&gt;0,2,IF(VLOOKUP($A87-COUNT('Шаг2.Бланк заказа NEW'!$B$19:$B$201)-COUNT('Бланк OLD 0.8 04'!$B$18:$B$200),'Бланк OLD 2.0 04 '!$B$16:$K$200,5,0)&gt;0,0.4,"")))</f>
        <v/>
      </c>
      <c r="S87" s="147" t="str">
        <f ca="1">IFERROR(IFERROR(IF(VLOOKUP($A87,'Шаг2.Бланк заказа NEW'!$B$17:$N$201,5,0)="","",VLOOKUP($A87,'Шаг2.Бланк заказа NEW'!$B$17:$N$201,5,0)),
IF(VLOOKUP($A87-COUNT('Шаг2.Бланк заказа NEW'!$B$19:$B$201),'Бланк OLD 0.8 04'!$B$12:$K$200,4,0)&gt;1,0.8,
IF(VLOOKUP($A87-COUNT('Шаг2.Бланк заказа NEW'!$B$19:$B$201),'Бланк OLD 0.8 04'!$B$12:$K$200,5,0)&gt;1,0.4,
IF(AND(VLOOKUP($A87-COUNT('Шаг2.Бланк заказа NEW'!$B$19:$B$201),'Бланк OLD 0.8 04'!$B$12:$K$200,4,0)&gt;0,VLOOKUP($A87-COUNT('Шаг2.Бланк заказа NEW'!$B$19:$B$201),'Бланк OLD 0.8 04'!$B$12:$K$200,5,0)&gt;0),0.4,"")))),
IF(VLOOKUP($A87-COUNT('Шаг2.Бланк заказа NEW'!$B$19:$B$201)-COUNT('Бланк OLD 0.8 04'!$B$18:$B$200),'Бланк OLD 2.0 04 '!$B$16:$K$200,4,0)&gt;1,2,
IF(VLOOKUP($A87-COUNT('Шаг2.Бланк заказа NEW'!$B$19:$B$201)-COUNT('Бланк OLD 0.8 04'!$B$18:$B$200),'Бланк OLD 2.0 04 '!$B$16:$K$200,5,0)&gt;1,0.4,IF(AND(VLOOKUP($A87-COUNT('Шаг2.Бланк заказа NEW'!$B$19:$B$201)-COUNT('Бланк OLD 0.8 04'!$B$18:$B$200),'Бланк OLD 2.0 04 '!$B$16:$K$200,4,0)&gt;0,VLOOKUP($A87-COUNT('Шаг2.Бланк заказа NEW'!$B$19:$B$201)-COUNT('Бланк OLD 0.8 04'!$B$18:$B$200),'Бланк OLD 2.0 04 '!$B$16:$K$200,5,0)&gt;0),0.4,""))))</f>
        <v/>
      </c>
      <c r="T87" s="147" t="str">
        <f ca="1">IFERROR(IFERROR(IF(VLOOKUP($A87,'Шаг2.Бланк заказа NEW'!$B$17:$N$201,7,0)="","",VLOOKUP($A87,'Шаг2.Бланк заказа NEW'!$B$17:$N$201,7,0)),
IF(VLOOKUP($A87-COUNT('Шаг2.Бланк заказа NEW'!$B$19:$B$201),'Бланк OLD 0.8 04'!$B$12:$K$200,7,0)&gt;0,0.8,
IF(VLOOKUP($A87-COUNT('Шаг2.Бланк заказа NEW'!$B$19:$B$201),'Бланк OLD 0.8 04'!$B$12:$K$200,8,0)&gt;0,0.4,""))),
IF(VLOOKUP($A87-COUNT('Шаг2.Бланк заказа NEW'!$B$19:$B$201)-COUNT('Бланк OLD 0.8 04'!$B$18:$B$200),'Бланк OLD 2.0 04 '!$B$16:$K$200,7,0)&gt;0,2,IF(VLOOKUP($A87-COUNT('Шаг2.Бланк заказа NEW'!$B$19:$B$201)-COUNT('Бланк OLD 0.8 04'!$B$18:$B$200),'Бланк OLD 2.0 04 '!$B$16:$K$200,8,0)&gt;0,0.4,"")))</f>
        <v/>
      </c>
      <c r="U87" s="147" t="str">
        <f ca="1">IFERROR(IFERROR(IF(VLOOKUP($A87,'Шаг2.Бланк заказа NEW'!$B$17:$N$201,8,0)="","",VLOOKUP($A87,'Шаг2.Бланк заказа NEW'!$B$17:$N$201,8,0)),
IF(VLOOKUP($A87-COUNT('Шаг2.Бланк заказа NEW'!$B$19:$B$201),'Бланк OLD 0.8 04'!$B$12:$K$200,7,0)&gt;1,0.8,
IF(VLOOKUP($A87-COUNT('Шаг2.Бланк заказа NEW'!$B$19:$B$201),'Бланк OLD 0.8 04'!$B$12:$K$200,8,0)&gt;1,0.4,
IF(AND(VLOOKUP($A87-COUNT('Шаг2.Бланк заказа NEW'!$B$19:$B$201),'Бланк OLD 0.8 04'!$B$12:$K$200,7,0)&gt;0,VLOOKUP($A87-COUNT('Шаг2.Бланк заказа NEW'!$B$19:$B$201),'Бланк OLD 0.8 04'!$B$12:$K$200,8,0)&gt;0),0.4,"")))),
IF(VLOOKUP($A87-COUNT('Шаг2.Бланк заказа NEW'!$B$19:$B$201)-COUNT('Бланк OLD 0.8 04'!$B$18:$B$200),'Бланк OLD 2.0 04 '!$B$16:$K$200,7,0)&gt;1,2,
IF(VLOOKUP($A87-COUNT('Шаг2.Бланк заказа NEW'!$B$19:$B$201)-COUNT('Бланк OLD 0.8 04'!$B$18:$B$200),'Бланк OLD 2.0 04 '!$B$16:$K$200,8,0)&gt;1,0.4,
IF(AND(VLOOKUP($A87-COUNT('Шаг2.Бланк заказа NEW'!$B$19:$B$201)-COUNT('Бланк OLD 0.8 04'!$B$18:$B$200),'Бланк OLD 2.0 04 '!$B$16:$K$200,7,0)&gt;0,VLOOKUP($A87-COUNT('Шаг2.Бланк заказа NEW'!$B$19:$B$201)-COUNT('Бланк OLD 0.8 04'!$B$18:$B$200),'Бланк OLD 2.0 04 '!$B$16:$K$200,8,0)&gt;0),0.4,""))))</f>
        <v/>
      </c>
      <c r="V87" s="146" t="str">
        <f ca="1">IFERROR(VLOOKUP(C87,'Шаг1.Выбор плиты'!C:S,12,0),"")</f>
        <v/>
      </c>
      <c r="W87" s="146" t="str">
        <f ca="1">IFERROR(VLOOKUP(C87,'Шаг1.Выбор плиты'!C:S,8,0),"")</f>
        <v/>
      </c>
      <c r="X87" s="146" t="str">
        <f ca="1">IFERROR(VLOOKUP(C87,'Шаг1.Выбор плиты'!C:S,10,0),"")</f>
        <v/>
      </c>
      <c r="Y87" s="147" t="str">
        <f t="shared" ca="1" si="8"/>
        <v/>
      </c>
      <c r="AD87" s="147" t="str">
        <f t="shared" ca="1" si="11"/>
        <v/>
      </c>
      <c r="AE87" s="147" t="str">
        <f t="shared" ca="1" si="9"/>
        <v/>
      </c>
      <c r="AF87" s="25"/>
      <c r="AH87" s="147" t="str">
        <f ca="1">IF(C87="","",VLOOKUP(C87,'Шаг1.Выбор плиты'!C:Q,7,0))</f>
        <v/>
      </c>
      <c r="AI87" s="147" t="str">
        <f t="shared" ca="1" si="12"/>
        <v/>
      </c>
    </row>
    <row r="88" spans="1:35" x14ac:dyDescent="0.2">
      <c r="A88" s="151" t="str">
        <f ca="1">IF(C88="","",MAX($A$1:OFFSET(C88,-1,0))+1)</f>
        <v/>
      </c>
      <c r="B88" s="151" t="str">
        <f ca="1">IFERROR(IFERROR(IFERROR("Шаг2.Бланк заказа NEW №"&amp;VLOOKUP(A87+1,CHOOSE({1,2},'Шаг2.Бланк заказа NEW'!$B$19:$B$201,'Шаг2.Бланк заказа NEW'!$A$19:$A$201),1,0),
"Бланк OLD 0.8 04 №"&amp;VLOOKUP(A87+1-COUNT('Шаг2.Бланк заказа NEW'!$B$19:$B$201),CHOOSE({1,2},'Бланк OLD 0.8 04'!$B$18:$B$200,'Бланк OLD 0.8 04'!$A$18:$A$200),1,0)),
"Бланк OLD 2.0 04 №"&amp;VLOOKUP(A87+1-COUNT('Шаг2.Бланк заказа NEW'!$B$19:$B$201)-COUNT('Бланк OLD 0.8 04'!$B$18:$B$200),CHOOSE({1,2},'Бланк OLD 2.0 04 '!$B$18:$B$200,'Бланк OLD 2.0 04 '!$A$18:$A$200),1,0)),"")</f>
        <v/>
      </c>
      <c r="C88" s="152" t="str">
        <f ca="1">IFERROR(IFERROR(IFERROR(VLOOKUP(A87+1,CHOOSE({1,2},'Шаг2.Бланк заказа NEW'!$B$19:$B$201,'Шаг2.Бланк заказа NEW'!$A$19:$A$201),2,0),
VLOOKUP(A87+1-COUNT('Шаг2.Бланк заказа NEW'!$B$19:$B$201),CHOOSE({1,2},'Бланк OLD 0.8 04'!$B$18:$B$200,'Бланк OLD 0.8 04'!$A$18:$A$200),2,0)),
VLOOKUP(A87+1-COUNT('Шаг2.Бланк заказа NEW'!$B$19:$B$201)-COUNT('Бланк OLD 0.8 04'!$B$18:$B$200),CHOOSE({1,2},'Бланк OLD 2.0 04 '!$B$18:$B$200,'Бланк OLD 2.0 04 '!$A$18:$A$200),2,0)),"")</f>
        <v/>
      </c>
      <c r="D88" s="150" t="str">
        <f ca="1">IFERROR(VLOOKUP(C88,'Шаг1.Выбор плиты'!C:G,5,0),"")</f>
        <v/>
      </c>
      <c r="E88" s="147" t="str">
        <f ca="1">IFERROR(IFERROR(IF(VLOOKUP($A88,'Шаг2.Бланк заказа NEW'!$B$17:$N$201,2,0)="","",VLOOKUP($A88,'Шаг2.Бланк заказа NEW'!$B$17:$N$201,2,0)),
IF(VLOOKUP($A88-COUNT('Шаг2.Бланк заказа NEW'!$B$19:$B$201),'Бланк OLD 0.8 04'!$B$12:$K$200,2,0)="","",VLOOKUP($A88-COUNT('Шаг2.Бланк заказа NEW'!$B$19:$B$201),'Бланк OLD 0.8 04'!$B$12:$K$200,2,0))),
IF(VLOOKUP($A88-COUNT('Шаг2.Бланк заказа NEW'!$B$19:$B$201)-COUNT('Бланк OLD 0.8 04'!$B$18:$B$200),'Бланк OLD 2.0 04 '!$B$16:$K$200,2,0)="","",VLOOKUP($A88-COUNT('Шаг2.Бланк заказа NEW'!$B$19:$B$201)-COUNT('Бланк OLD 0.8 04'!$B$18:$B$200),'Бланк OLD 2.0 04 '!$B$16:$K$200,2,0)))</f>
        <v/>
      </c>
      <c r="F88" s="147" t="str">
        <f ca="1">IFERROR(IFERROR(IF(VLOOKUP($A88,'Шаг2.Бланк заказа NEW'!$B$17:$N$201,3,0)="","",VLOOKUP($A88,'Шаг2.Бланк заказа NEW'!$B$17:$N$201,3,0)),
IF(VLOOKUP($A88-COUNT('Шаг2.Бланк заказа NEW'!$B$19:$B$201),'Бланк OLD 0.8 04'!$B$12:$K$200,3,0)="","",VLOOKUP($A88-COUNT('Шаг2.Бланк заказа NEW'!$B$19:$B$201),'Бланк OLD 0.8 04'!$B$12:$K$200,3,0))),
IF(VLOOKUP($A88-COUNT('Шаг2.Бланк заказа NEW'!$B$19:$B$201)-COUNT('Бланк OLD 0.8 04'!$B$18:$B$200),'Бланк OLD 2.0 04 '!$B$16:$K$200,3,0)="","",VLOOKUP($A88-COUNT('Шаг2.Бланк заказа NEW'!$B$19:$B$201)-COUNT('Бланк OLD 0.8 04'!$B$18:$B$200),'Бланк OLD 2.0 04 '!$B$16:$K$200,3,0)))</f>
        <v/>
      </c>
      <c r="G88" s="176" t="str">
        <f ca="1">IF(IF(R88="","",IF(R88=1,SUMIFS('Шаг1.Выбор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плиты'!C:Q,12,0)),1))))))=0,
R88,
IF(R88="","",IF(R88=1,SUMIFS('Шаг1.Выбор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плиты'!N:N,R88,'Шаг1.Выбор плиты'!M:M,SMALL(INDIRECT("мм"&amp;VLOOKUP(C88,'Шаг1.Выбор плиты'!C:Q,12,0)),1)))))))</f>
        <v/>
      </c>
      <c r="H88" s="177" t="str">
        <f ca="1">IF(IF(S88="","",IF(S88=1,SUMIFS('Шаг1.Выбор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плиты'!C:Q,12,0)),1))))))=0,
S88,
IF(S88="","",IF(S88=1,SUMIFS('Шаг1.Выбор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плиты'!N:N,S88,'Шаг1.Выбор плиты'!M:M,SMALL(INDIRECT("мм"&amp;VLOOKUP(C88,'Шаг1.Выбор плиты'!C:Q,12,0)),1)))))))</f>
        <v/>
      </c>
      <c r="I88" s="147" t="str">
        <f ca="1">IFERROR(IFERROR(IF(VLOOKUP($A88,'Шаг2.Бланк заказа NEW'!$B$17:$N$201,6,0)="","",VLOOKUP($A88,'Шаг2.Бланк заказа NEW'!$B$17:$N$201,6,0)),
IF(VLOOKUP($A88-COUNT('Шаг2.Бланк заказа NEW'!$B$19:$B$201),'Бланк OLD 0.8 04'!$B$12:$K$200,6,0)="","",VLOOKUP($A88-COUNT('Шаг2.Бланк заказа NEW'!$B$19:$B$201),'Бланк OLD 0.8 04'!$B$12:$K$200,6,0))),
IF(VLOOKUP($A88-COUNT('Шаг2.Бланк заказа NEW'!$B$19:$B$201)-COUNT('Бланк OLD 0.8 04'!$B$18:$B$200),'Бланк OLD 2.0 04 '!$B$16:$K$200,6,0)="","",VLOOKUP($A88-COUNT('Шаг2.Бланк заказа NEW'!$B$19:$B$201)-COUNT('Бланк OLD 0.8 04'!$B$18:$B$200),'Бланк OLD 2.0 04 '!$B$16:$K$200,6,0)))</f>
        <v/>
      </c>
      <c r="J88" s="177" t="str">
        <f ca="1">IF(IF(T88="","",IF(T88=1,SUMIFS('Шаг1.Выбор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плиты'!C:Q,12,0)),1))))))=0,
T88,
IF(T88="","",IF(T88=1,SUMIFS('Шаг1.Выбор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плиты'!N:N,T88,'Шаг1.Выбор плиты'!M:M,SMALL(INDIRECT("мм"&amp;VLOOKUP(C88,'Шаг1.Выбор плиты'!C:Q,12,0)),1)))))))</f>
        <v/>
      </c>
      <c r="K88" s="177" t="str">
        <f ca="1">IF(IF(U88="","",IF(U88=1,SUMIFS('Шаг1.Выбор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плиты'!C:Q,12,0)),1))))))=0,
U88,
IF(U88="","",IF(U88=1,SUMIFS('Шаг1.Выбор плиты'!$G:$G,'Шаг1.Выбор плиты'!J:J,"*"&amp;RIGHT(VLOOKUP(C88,'Шаг1.Выбор плиты'!C:Q,8,0),4),'Шаг1.Выбор плиты'!L:L,IF(MID(C88,1,6)="ЛДСП P","TM"&amp;MID(VLOOKUP(C88,'Шаг1.Выбор плиты'!C:Q,10,0),3,2),MID(VLOOKUP(C88,'Шаг1.Выбор плиты'!C:Q,10,0),1,2)),
'Шаг1.Выбор плиты'!N:N,1),IF(SUMIFS('Шаг1.Выбор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плиты'!C:Q,12,0)),1))=0,
IF(SUMIFS('Шаг1.Выбор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плиты'!C:Q,12,0)),2))=0,
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плиты'!C:Q,12,0)),3)),
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плиты'!C:Q,12,0)),2))),
(SUMIFS('Шаг1.Выбор плиты'!$G:$G,'Шаг1.Выбор плиты'!J:J,"*"&amp;RIGHT(VLOOKUP(C88,'Шаг1.Выбор плиты'!C:Q,8,0),4),'Шаг1.Выбор плиты'!L:L,VLOOKUP(C88,'Шаг1.Выбор плиты'!C:Q,10,0),'Шаг1.Выбор плиты'!N:N,U88,'Шаг1.Выбор плиты'!M:M,SMALL(INDIRECT("мм"&amp;VLOOKUP(C88,'Шаг1.Выбор плиты'!C:Q,12,0)),1)))))))</f>
        <v/>
      </c>
      <c r="L88" s="147" t="str">
        <f ca="1">IFERROR(IFERROR(IF(VLOOKUP($A88,'Шаг2.Бланк заказа NEW'!$B$17:$N$201,9,0)="","",VLOOKUP($A88,'Шаг2.Бланк заказа NEW'!$B$17:$N$201,9,0)),
IF(VLOOKUP($A88-COUNT('Шаг2.Бланк заказа NEW'!$B$19:$B$201),'Бланк OLD 0.8 04'!$B$12:$K$200,9,0)="","",VLOOKUP($A88-COUNT('Шаг2.Бланк заказа NEW'!$B$19:$B$201),'Бланк OLD 0.8 04'!$B$12:$K$200,9,0))),
IF(VLOOKUP($A88-COUNT('Шаг2.Бланк заказа NEW'!$B$19:$B$201)-COUNT('Бланк OLD 0.8 04'!$B$18:$B$200),'Бланк OLD 2.0 04 '!$B$16:$K$200,9,0)="","",VLOOKUP($A88-COUNT('Шаг2.Бланк заказа NEW'!$B$19:$B$201)-COUNT('Бланк OLD 0.8 04'!$B$18:$B$200),'Бланк OLD 2.0 04 '!$B$16:$K$200,9,0)))</f>
        <v/>
      </c>
      <c r="M88" s="154" t="str">
        <f t="shared" ca="1" si="10"/>
        <v/>
      </c>
      <c r="N88" s="153" t="str">
        <f ca="1">IFERROR(IF(VLOOKUP($A88,'Шаг2.Бланк заказа NEW'!$B$17:$N$201,11,0)="","",VLOOKUP($A88,'Шаг2.Бланк заказа NEW'!$B$17:$N$201,11,0)),
"Нет")</f>
        <v/>
      </c>
      <c r="O88" s="147" t="str">
        <f ca="1">IFERROR(IF(VLOOKUP($A88,'Шаг2.Бланк заказа NEW'!$B$17:$N$201,11,0)="","",VLOOKUP($A88,'Шаг2.Бланк заказа NEW'!$B$17:$N$201,12,0)),
"Нет")</f>
        <v/>
      </c>
      <c r="P88" s="153" t="str">
        <f ca="1">IFERROR(IF(VLOOKUP($A88,'Шаг2.Бланк заказа NEW'!$B$17:$N$201,13,0)="","",VLOOKUP($A88,'Шаг2.Бланк заказа NEW'!$B$17:$N$201,13,0)),
"Нет")</f>
        <v/>
      </c>
      <c r="Q88" s="147" t="str">
        <f ca="1">IFERROR(IF(VLOOKUP($A88,'Шаг2.Бланк заказа NEW'!$B$17:$O$201,14,0)="","",VLOOKUP($A88,'Шаг2.Бланк заказа NEW'!$B$17:$O$201,14,0)),"")</f>
        <v/>
      </c>
      <c r="R88" s="147" t="str">
        <f ca="1">IFERROR(IFERROR(IF(VLOOKUP($A88,'Шаг2.Бланк заказа NEW'!$B$17:$N$201,4,0)="","",VLOOKUP($A88,'Шаг2.Бланк заказа NEW'!$B$17:$N$201,4,0)),
IF(VLOOKUP($A88-COUNT('Шаг2.Бланк заказа NEW'!$B$19:$B$201),'Бланк OLD 0.8 04'!$B$12:$K$200,4,0)&gt;0,0.8,
IF(VLOOKUP($A88-COUNT('Шаг2.Бланк заказа NEW'!$B$19:$B$201),'Бланк OLD 0.8 04'!$B$12:$K$200,5,0)&gt;0,0.4,""))),
IF(VLOOKUP($A88-COUNT('Шаг2.Бланк заказа NEW'!$B$19:$B$201)-COUNT('Бланк OLD 0.8 04'!$B$18:$B$200),'Бланк OLD 2.0 04 '!$B$16:$K$200,4,0)&gt;0,2,IF(VLOOKUP($A88-COUNT('Шаг2.Бланк заказа NEW'!$B$19:$B$201)-COUNT('Бланк OLD 0.8 04'!$B$18:$B$200),'Бланк OLD 2.0 04 '!$B$16:$K$200,5,0)&gt;0,0.4,"")))</f>
        <v/>
      </c>
      <c r="S88" s="147" t="str">
        <f ca="1">IFERROR(IFERROR(IF(VLOOKUP($A88,'Шаг2.Бланк заказа NEW'!$B$17:$N$201,5,0)="","",VLOOKUP($A88,'Шаг2.Бланк заказа NEW'!$B$17:$N$201,5,0)),
IF(VLOOKUP($A88-COUNT('Шаг2.Бланк заказа NEW'!$B$19:$B$201),'Бланк OLD 0.8 04'!$B$12:$K$200,4,0)&gt;1,0.8,
IF(VLOOKUP($A88-COUNT('Шаг2.Бланк заказа NEW'!$B$19:$B$201),'Бланк OLD 0.8 04'!$B$12:$K$200,5,0)&gt;1,0.4,
IF(AND(VLOOKUP($A88-COUNT('Шаг2.Бланк заказа NEW'!$B$19:$B$201),'Бланк OLD 0.8 04'!$B$12:$K$200,4,0)&gt;0,VLOOKUP($A88-COUNT('Шаг2.Бланк заказа NEW'!$B$19:$B$201),'Бланк OLD 0.8 04'!$B$12:$K$200,5,0)&gt;0),0.4,"")))),
IF(VLOOKUP($A88-COUNT('Шаг2.Бланк заказа NEW'!$B$19:$B$201)-COUNT('Бланк OLD 0.8 04'!$B$18:$B$200),'Бланк OLD 2.0 04 '!$B$16:$K$200,4,0)&gt;1,2,
IF(VLOOKUP($A88-COUNT('Шаг2.Бланк заказа NEW'!$B$19:$B$201)-COUNT('Бланк OLD 0.8 04'!$B$18:$B$200),'Бланк OLD 2.0 04 '!$B$16:$K$200,5,0)&gt;1,0.4,IF(AND(VLOOKUP($A88-COUNT('Шаг2.Бланк заказа NEW'!$B$19:$B$201)-COUNT('Бланк OLD 0.8 04'!$B$18:$B$200),'Бланк OLD 2.0 04 '!$B$16:$K$200,4,0)&gt;0,VLOOKUP($A88-COUNT('Шаг2.Бланк заказа NEW'!$B$19:$B$201)-COUNT('Бланк OLD 0.8 04'!$B$18:$B$200),'Бланк OLD 2.0 04 '!$B$16:$K$200,5,0)&gt;0),0.4,""))))</f>
        <v/>
      </c>
      <c r="T88" s="147" t="str">
        <f ca="1">IFERROR(IFERROR(IF(VLOOKUP($A88,'Шаг2.Бланк заказа NEW'!$B$17:$N$201,7,0)="","",VLOOKUP($A88,'Шаг2.Бланк заказа NEW'!$B$17:$N$201,7,0)),
IF(VLOOKUP($A88-COUNT('Шаг2.Бланк заказа NEW'!$B$19:$B$201),'Бланк OLD 0.8 04'!$B$12:$K$200,7,0)&gt;0,0.8,
IF(VLOOKUP($A88-COUNT('Шаг2.Бланк заказа NEW'!$B$19:$B$201),'Бланк OLD 0.8 04'!$B$12:$K$200,8,0)&gt;0,0.4,""))),
IF(VLOOKUP($A88-COUNT('Шаг2.Бланк заказа NEW'!$B$19:$B$201)-COUNT('Бланк OLD 0.8 04'!$B$18:$B$200),'Бланк OLD 2.0 04 '!$B$16:$K$200,7,0)&gt;0,2,IF(VLOOKUP($A88-COUNT('Шаг2.Бланк заказа NEW'!$B$19:$B$201)-COUNT('Бланк OLD 0.8 04'!$B$18:$B$200),'Бланк OLD 2.0 04 '!$B$16:$K$200,8,0)&gt;0,0.4,"")))</f>
        <v/>
      </c>
      <c r="U88" s="147" t="str">
        <f ca="1">IFERROR(IFERROR(IF(VLOOKUP($A88,'Шаг2.Бланк заказа NEW'!$B$17:$N$201,8,0)="","",VLOOKUP($A88,'Шаг2.Бланк заказа NEW'!$B$17:$N$201,8,0)),
IF(VLOOKUP($A88-COUNT('Шаг2.Бланк заказа NEW'!$B$19:$B$201),'Бланк OLD 0.8 04'!$B$12:$K$200,7,0)&gt;1,0.8,
IF(VLOOKUP($A88-COUNT('Шаг2.Бланк заказа NEW'!$B$19:$B$201),'Бланк OLD 0.8 04'!$B$12:$K$200,8,0)&gt;1,0.4,
IF(AND(VLOOKUP($A88-COUNT('Шаг2.Бланк заказа NEW'!$B$19:$B$201),'Бланк OLD 0.8 04'!$B$12:$K$200,7,0)&gt;0,VLOOKUP($A88-COUNT('Шаг2.Бланк заказа NEW'!$B$19:$B$201),'Бланк OLD 0.8 04'!$B$12:$K$200,8,0)&gt;0),0.4,"")))),
IF(VLOOKUP($A88-COUNT('Шаг2.Бланк заказа NEW'!$B$19:$B$201)-COUNT('Бланк OLD 0.8 04'!$B$18:$B$200),'Бланк OLD 2.0 04 '!$B$16:$K$200,7,0)&gt;1,2,
IF(VLOOKUP($A88-COUNT('Шаг2.Бланк заказа NEW'!$B$19:$B$201)-COUNT('Бланк OLD 0.8 04'!$B$18:$B$200),'Бланк OLD 2.0 04 '!$B$16:$K$200,8,0)&gt;1,0.4,
IF(AND(VLOOKUP($A88-COUNT('Шаг2.Бланк заказа NEW'!$B$19:$B$201)-COUNT('Бланк OLD 0.8 04'!$B$18:$B$200),'Бланк OLD 2.0 04 '!$B$16:$K$200,7,0)&gt;0,VLOOKUP($A88-COUNT('Шаг2.Бланк заказа NEW'!$B$19:$B$201)-COUNT('Бланк OLD 0.8 04'!$B$18:$B$200),'Бланк OLD 2.0 04 '!$B$16:$K$200,8,0)&gt;0),0.4,""))))</f>
        <v/>
      </c>
      <c r="V88" s="146" t="str">
        <f ca="1">IFERROR(VLOOKUP(C88,'Шаг1.Выбор плиты'!C:S,12,0),"")</f>
        <v/>
      </c>
      <c r="W88" s="146" t="str">
        <f ca="1">IFERROR(VLOOKUP(C88,'Шаг1.Выбор плиты'!C:S,8,0),"")</f>
        <v/>
      </c>
      <c r="X88" s="146" t="str">
        <f ca="1">IFERROR(VLOOKUP(C88,'Шаг1.Выбор плиты'!C:S,10,0),"")</f>
        <v/>
      </c>
      <c r="Y88" s="147" t="str">
        <f t="shared" ca="1" si="8"/>
        <v/>
      </c>
      <c r="AD88" s="147" t="str">
        <f t="shared" ca="1" si="11"/>
        <v/>
      </c>
      <c r="AE88" s="147" t="str">
        <f t="shared" ca="1" si="9"/>
        <v/>
      </c>
      <c r="AF88" s="25"/>
      <c r="AH88" s="147" t="str">
        <f ca="1">IF(C88="","",VLOOKUP(C88,'Шаг1.Выбор плиты'!C:Q,7,0))</f>
        <v/>
      </c>
      <c r="AI88" s="147" t="str">
        <f t="shared" ca="1" si="12"/>
        <v/>
      </c>
    </row>
    <row r="89" spans="1:35" x14ac:dyDescent="0.2">
      <c r="A89" s="151" t="str">
        <f ca="1">IF(C89="","",MAX($A$1:OFFSET(C89,-1,0))+1)</f>
        <v/>
      </c>
      <c r="B89" s="151" t="str">
        <f ca="1">IFERROR(IFERROR(IFERROR("Шаг2.Бланк заказа NEW №"&amp;VLOOKUP(A88+1,CHOOSE({1,2},'Шаг2.Бланк заказа NEW'!$B$19:$B$201,'Шаг2.Бланк заказа NEW'!$A$19:$A$201),1,0),
"Бланк OLD 0.8 04 №"&amp;VLOOKUP(A88+1-COUNT('Шаг2.Бланк заказа NEW'!$B$19:$B$201),CHOOSE({1,2},'Бланк OLD 0.8 04'!$B$18:$B$200,'Бланк OLD 0.8 04'!$A$18:$A$200),1,0)),
"Бланк OLD 2.0 04 №"&amp;VLOOKUP(A88+1-COUNT('Шаг2.Бланк заказа NEW'!$B$19:$B$201)-COUNT('Бланк OLD 0.8 04'!$B$18:$B$200),CHOOSE({1,2},'Бланк OLD 2.0 04 '!$B$18:$B$200,'Бланк OLD 2.0 04 '!$A$18:$A$200),1,0)),"")</f>
        <v/>
      </c>
      <c r="C89" s="152" t="str">
        <f ca="1">IFERROR(IFERROR(IFERROR(VLOOKUP(A88+1,CHOOSE({1,2},'Шаг2.Бланк заказа NEW'!$B$19:$B$201,'Шаг2.Бланк заказа NEW'!$A$19:$A$201),2,0),
VLOOKUP(A88+1-COUNT('Шаг2.Бланк заказа NEW'!$B$19:$B$201),CHOOSE({1,2},'Бланк OLD 0.8 04'!$B$18:$B$200,'Бланк OLD 0.8 04'!$A$18:$A$200),2,0)),
VLOOKUP(A88+1-COUNT('Шаг2.Бланк заказа NEW'!$B$19:$B$201)-COUNT('Бланк OLD 0.8 04'!$B$18:$B$200),CHOOSE({1,2},'Бланк OLD 2.0 04 '!$B$18:$B$200,'Бланк OLD 2.0 04 '!$A$18:$A$200),2,0)),"")</f>
        <v/>
      </c>
      <c r="D89" s="150" t="str">
        <f ca="1">IFERROR(VLOOKUP(C89,'Шаг1.Выбор плиты'!C:G,5,0),"")</f>
        <v/>
      </c>
      <c r="E89" s="147" t="str">
        <f ca="1">IFERROR(IFERROR(IF(VLOOKUP($A89,'Шаг2.Бланк заказа NEW'!$B$17:$N$201,2,0)="","",VLOOKUP($A89,'Шаг2.Бланк заказа NEW'!$B$17:$N$201,2,0)),
IF(VLOOKUP($A89-COUNT('Шаг2.Бланк заказа NEW'!$B$19:$B$201),'Бланк OLD 0.8 04'!$B$12:$K$200,2,0)="","",VLOOKUP($A89-COUNT('Шаг2.Бланк заказа NEW'!$B$19:$B$201),'Бланк OLD 0.8 04'!$B$12:$K$200,2,0))),
IF(VLOOKUP($A89-COUNT('Шаг2.Бланк заказа NEW'!$B$19:$B$201)-COUNT('Бланк OLD 0.8 04'!$B$18:$B$200),'Бланк OLD 2.0 04 '!$B$16:$K$200,2,0)="","",VLOOKUP($A89-COUNT('Шаг2.Бланк заказа NEW'!$B$19:$B$201)-COUNT('Бланк OLD 0.8 04'!$B$18:$B$200),'Бланк OLD 2.0 04 '!$B$16:$K$200,2,0)))</f>
        <v/>
      </c>
      <c r="F89" s="147" t="str">
        <f ca="1">IFERROR(IFERROR(IF(VLOOKUP($A89,'Шаг2.Бланк заказа NEW'!$B$17:$N$201,3,0)="","",VLOOKUP($A89,'Шаг2.Бланк заказа NEW'!$B$17:$N$201,3,0)),
IF(VLOOKUP($A89-COUNT('Шаг2.Бланк заказа NEW'!$B$19:$B$201),'Бланк OLD 0.8 04'!$B$12:$K$200,3,0)="","",VLOOKUP($A89-COUNT('Шаг2.Бланк заказа NEW'!$B$19:$B$201),'Бланк OLD 0.8 04'!$B$12:$K$200,3,0))),
IF(VLOOKUP($A89-COUNT('Шаг2.Бланк заказа NEW'!$B$19:$B$201)-COUNT('Бланк OLD 0.8 04'!$B$18:$B$200),'Бланк OLD 2.0 04 '!$B$16:$K$200,3,0)="","",VLOOKUP($A89-COUNT('Шаг2.Бланк заказа NEW'!$B$19:$B$201)-COUNT('Бланк OLD 0.8 04'!$B$18:$B$200),'Бланк OLD 2.0 04 '!$B$16:$K$200,3,0)))</f>
        <v/>
      </c>
      <c r="G89" s="176" t="str">
        <f ca="1">IF(IF(R89="","",IF(R89=1,SUMIFS('Шаг1.Выбор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плиты'!C:Q,12,0)),1))))))=0,
R89,
IF(R89="","",IF(R89=1,SUMIFS('Шаг1.Выбор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плиты'!N:N,R89,'Шаг1.Выбор плиты'!M:M,SMALL(INDIRECT("мм"&amp;VLOOKUP(C89,'Шаг1.Выбор плиты'!C:Q,12,0)),1)))))))</f>
        <v/>
      </c>
      <c r="H89" s="177" t="str">
        <f ca="1">IF(IF(S89="","",IF(S89=1,SUMIFS('Шаг1.Выбор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плиты'!C:Q,12,0)),1))))))=0,
S89,
IF(S89="","",IF(S89=1,SUMIFS('Шаг1.Выбор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плиты'!N:N,S89,'Шаг1.Выбор плиты'!M:M,SMALL(INDIRECT("мм"&amp;VLOOKUP(C89,'Шаг1.Выбор плиты'!C:Q,12,0)),1)))))))</f>
        <v/>
      </c>
      <c r="I89" s="147" t="str">
        <f ca="1">IFERROR(IFERROR(IF(VLOOKUP($A89,'Шаг2.Бланк заказа NEW'!$B$17:$N$201,6,0)="","",VLOOKUP($A89,'Шаг2.Бланк заказа NEW'!$B$17:$N$201,6,0)),
IF(VLOOKUP($A89-COUNT('Шаг2.Бланк заказа NEW'!$B$19:$B$201),'Бланк OLD 0.8 04'!$B$12:$K$200,6,0)="","",VLOOKUP($A89-COUNT('Шаг2.Бланк заказа NEW'!$B$19:$B$201),'Бланк OLD 0.8 04'!$B$12:$K$200,6,0))),
IF(VLOOKUP($A89-COUNT('Шаг2.Бланк заказа NEW'!$B$19:$B$201)-COUNT('Бланк OLD 0.8 04'!$B$18:$B$200),'Бланк OLD 2.0 04 '!$B$16:$K$200,6,0)="","",VLOOKUP($A89-COUNT('Шаг2.Бланк заказа NEW'!$B$19:$B$201)-COUNT('Бланк OLD 0.8 04'!$B$18:$B$200),'Бланк OLD 2.0 04 '!$B$16:$K$200,6,0)))</f>
        <v/>
      </c>
      <c r="J89" s="177" t="str">
        <f ca="1">IF(IF(T89="","",IF(T89=1,SUMIFS('Шаг1.Выбор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плиты'!C:Q,12,0)),1))))))=0,
T89,
IF(T89="","",IF(T89=1,SUMIFS('Шаг1.Выбор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плиты'!N:N,T89,'Шаг1.Выбор плиты'!M:M,SMALL(INDIRECT("мм"&amp;VLOOKUP(C89,'Шаг1.Выбор плиты'!C:Q,12,0)),1)))))))</f>
        <v/>
      </c>
      <c r="K89" s="177" t="str">
        <f ca="1">IF(IF(U89="","",IF(U89=1,SUMIFS('Шаг1.Выбор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плиты'!C:Q,12,0)),1))))))=0,
U89,
IF(U89="","",IF(U89=1,SUMIFS('Шаг1.Выбор плиты'!$G:$G,'Шаг1.Выбор плиты'!J:J,"*"&amp;RIGHT(VLOOKUP(C89,'Шаг1.Выбор плиты'!C:Q,8,0),4),'Шаг1.Выбор плиты'!L:L,IF(MID(C89,1,6)="ЛДСП P","TM"&amp;MID(VLOOKUP(C89,'Шаг1.Выбор плиты'!C:Q,10,0),3,2),MID(VLOOKUP(C89,'Шаг1.Выбор плиты'!C:Q,10,0),1,2)),
'Шаг1.Выбор плиты'!N:N,1),IF(SUMIFS('Шаг1.Выбор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плиты'!C:Q,12,0)),1))=0,
IF(SUMIFS('Шаг1.Выбор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плиты'!C:Q,12,0)),2))=0,
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плиты'!C:Q,12,0)),3)),
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плиты'!C:Q,12,0)),2))),
(SUMIFS('Шаг1.Выбор плиты'!$G:$G,'Шаг1.Выбор плиты'!J:J,"*"&amp;RIGHT(VLOOKUP(C89,'Шаг1.Выбор плиты'!C:Q,8,0),4),'Шаг1.Выбор плиты'!L:L,VLOOKUP(C89,'Шаг1.Выбор плиты'!C:Q,10,0),'Шаг1.Выбор плиты'!N:N,U89,'Шаг1.Выбор плиты'!M:M,SMALL(INDIRECT("мм"&amp;VLOOKUP(C89,'Шаг1.Выбор плиты'!C:Q,12,0)),1)))))))</f>
        <v/>
      </c>
      <c r="L89" s="147" t="str">
        <f ca="1">IFERROR(IFERROR(IF(VLOOKUP($A89,'Шаг2.Бланк заказа NEW'!$B$17:$N$201,9,0)="","",VLOOKUP($A89,'Шаг2.Бланк заказа NEW'!$B$17:$N$201,9,0)),
IF(VLOOKUP($A89-COUNT('Шаг2.Бланк заказа NEW'!$B$19:$B$201),'Бланк OLD 0.8 04'!$B$12:$K$200,9,0)="","",VLOOKUP($A89-COUNT('Шаг2.Бланк заказа NEW'!$B$19:$B$201),'Бланк OLD 0.8 04'!$B$12:$K$200,9,0))),
IF(VLOOKUP($A89-COUNT('Шаг2.Бланк заказа NEW'!$B$19:$B$201)-COUNT('Бланк OLD 0.8 04'!$B$18:$B$200),'Бланк OLD 2.0 04 '!$B$16:$K$200,9,0)="","",VLOOKUP($A89-COUNT('Шаг2.Бланк заказа NEW'!$B$19:$B$201)-COUNT('Бланк OLD 0.8 04'!$B$18:$B$200),'Бланк OLD 2.0 04 '!$B$16:$K$200,9,0)))</f>
        <v/>
      </c>
      <c r="M89" s="154" t="str">
        <f t="shared" ca="1" si="10"/>
        <v/>
      </c>
      <c r="N89" s="153" t="str">
        <f ca="1">IFERROR(IF(VLOOKUP($A89,'Шаг2.Бланк заказа NEW'!$B$17:$N$201,11,0)="","",VLOOKUP($A89,'Шаг2.Бланк заказа NEW'!$B$17:$N$201,11,0)),
"Нет")</f>
        <v/>
      </c>
      <c r="O89" s="147" t="str">
        <f ca="1">IFERROR(IF(VLOOKUP($A89,'Шаг2.Бланк заказа NEW'!$B$17:$N$201,11,0)="","",VLOOKUP($A89,'Шаг2.Бланк заказа NEW'!$B$17:$N$201,12,0)),
"Нет")</f>
        <v/>
      </c>
      <c r="P89" s="153" t="str">
        <f ca="1">IFERROR(IF(VLOOKUP($A89,'Шаг2.Бланк заказа NEW'!$B$17:$N$201,13,0)="","",VLOOKUP($A89,'Шаг2.Бланк заказа NEW'!$B$17:$N$201,13,0)),
"Нет")</f>
        <v/>
      </c>
      <c r="Q89" s="147" t="str">
        <f ca="1">IFERROR(IF(VLOOKUP($A89,'Шаг2.Бланк заказа NEW'!$B$17:$O$201,14,0)="","",VLOOKUP($A89,'Шаг2.Бланк заказа NEW'!$B$17:$O$201,14,0)),"")</f>
        <v/>
      </c>
      <c r="R89" s="147" t="str">
        <f ca="1">IFERROR(IFERROR(IF(VLOOKUP($A89,'Шаг2.Бланк заказа NEW'!$B$17:$N$201,4,0)="","",VLOOKUP($A89,'Шаг2.Бланк заказа NEW'!$B$17:$N$201,4,0)),
IF(VLOOKUP($A89-COUNT('Шаг2.Бланк заказа NEW'!$B$19:$B$201),'Бланк OLD 0.8 04'!$B$12:$K$200,4,0)&gt;0,0.8,
IF(VLOOKUP($A89-COUNT('Шаг2.Бланк заказа NEW'!$B$19:$B$201),'Бланк OLD 0.8 04'!$B$12:$K$200,5,0)&gt;0,0.4,""))),
IF(VLOOKUP($A89-COUNT('Шаг2.Бланк заказа NEW'!$B$19:$B$201)-COUNT('Бланк OLD 0.8 04'!$B$18:$B$200),'Бланк OLD 2.0 04 '!$B$16:$K$200,4,0)&gt;0,2,IF(VLOOKUP($A89-COUNT('Шаг2.Бланк заказа NEW'!$B$19:$B$201)-COUNT('Бланк OLD 0.8 04'!$B$18:$B$200),'Бланк OLD 2.0 04 '!$B$16:$K$200,5,0)&gt;0,0.4,"")))</f>
        <v/>
      </c>
      <c r="S89" s="147" t="str">
        <f ca="1">IFERROR(IFERROR(IF(VLOOKUP($A89,'Шаг2.Бланк заказа NEW'!$B$17:$N$201,5,0)="","",VLOOKUP($A89,'Шаг2.Бланк заказа NEW'!$B$17:$N$201,5,0)),
IF(VLOOKUP($A89-COUNT('Шаг2.Бланк заказа NEW'!$B$19:$B$201),'Бланк OLD 0.8 04'!$B$12:$K$200,4,0)&gt;1,0.8,
IF(VLOOKUP($A89-COUNT('Шаг2.Бланк заказа NEW'!$B$19:$B$201),'Бланк OLD 0.8 04'!$B$12:$K$200,5,0)&gt;1,0.4,
IF(AND(VLOOKUP($A89-COUNT('Шаг2.Бланк заказа NEW'!$B$19:$B$201),'Бланк OLD 0.8 04'!$B$12:$K$200,4,0)&gt;0,VLOOKUP($A89-COUNT('Шаг2.Бланк заказа NEW'!$B$19:$B$201),'Бланк OLD 0.8 04'!$B$12:$K$200,5,0)&gt;0),0.4,"")))),
IF(VLOOKUP($A89-COUNT('Шаг2.Бланк заказа NEW'!$B$19:$B$201)-COUNT('Бланк OLD 0.8 04'!$B$18:$B$200),'Бланк OLD 2.0 04 '!$B$16:$K$200,4,0)&gt;1,2,
IF(VLOOKUP($A89-COUNT('Шаг2.Бланк заказа NEW'!$B$19:$B$201)-COUNT('Бланк OLD 0.8 04'!$B$18:$B$200),'Бланк OLD 2.0 04 '!$B$16:$K$200,5,0)&gt;1,0.4,IF(AND(VLOOKUP($A89-COUNT('Шаг2.Бланк заказа NEW'!$B$19:$B$201)-COUNT('Бланк OLD 0.8 04'!$B$18:$B$200),'Бланк OLD 2.0 04 '!$B$16:$K$200,4,0)&gt;0,VLOOKUP($A89-COUNT('Шаг2.Бланк заказа NEW'!$B$19:$B$201)-COUNT('Бланк OLD 0.8 04'!$B$18:$B$200),'Бланк OLD 2.0 04 '!$B$16:$K$200,5,0)&gt;0),0.4,""))))</f>
        <v/>
      </c>
      <c r="T89" s="147" t="str">
        <f ca="1">IFERROR(IFERROR(IF(VLOOKUP($A89,'Шаг2.Бланк заказа NEW'!$B$17:$N$201,7,0)="","",VLOOKUP($A89,'Шаг2.Бланк заказа NEW'!$B$17:$N$201,7,0)),
IF(VLOOKUP($A89-COUNT('Шаг2.Бланк заказа NEW'!$B$19:$B$201),'Бланк OLD 0.8 04'!$B$12:$K$200,7,0)&gt;0,0.8,
IF(VLOOKUP($A89-COUNT('Шаг2.Бланк заказа NEW'!$B$19:$B$201),'Бланк OLD 0.8 04'!$B$12:$K$200,8,0)&gt;0,0.4,""))),
IF(VLOOKUP($A89-COUNT('Шаг2.Бланк заказа NEW'!$B$19:$B$201)-COUNT('Бланк OLD 0.8 04'!$B$18:$B$200),'Бланк OLD 2.0 04 '!$B$16:$K$200,7,0)&gt;0,2,IF(VLOOKUP($A89-COUNT('Шаг2.Бланк заказа NEW'!$B$19:$B$201)-COUNT('Бланк OLD 0.8 04'!$B$18:$B$200),'Бланк OLD 2.0 04 '!$B$16:$K$200,8,0)&gt;0,0.4,"")))</f>
        <v/>
      </c>
      <c r="U89" s="147" t="str">
        <f ca="1">IFERROR(IFERROR(IF(VLOOKUP($A89,'Шаг2.Бланк заказа NEW'!$B$17:$N$201,8,0)="","",VLOOKUP($A89,'Шаг2.Бланк заказа NEW'!$B$17:$N$201,8,0)),
IF(VLOOKUP($A89-COUNT('Шаг2.Бланк заказа NEW'!$B$19:$B$201),'Бланк OLD 0.8 04'!$B$12:$K$200,7,0)&gt;1,0.8,
IF(VLOOKUP($A89-COUNT('Шаг2.Бланк заказа NEW'!$B$19:$B$201),'Бланк OLD 0.8 04'!$B$12:$K$200,8,0)&gt;1,0.4,
IF(AND(VLOOKUP($A89-COUNT('Шаг2.Бланк заказа NEW'!$B$19:$B$201),'Бланк OLD 0.8 04'!$B$12:$K$200,7,0)&gt;0,VLOOKUP($A89-COUNT('Шаг2.Бланк заказа NEW'!$B$19:$B$201),'Бланк OLD 0.8 04'!$B$12:$K$200,8,0)&gt;0),0.4,"")))),
IF(VLOOKUP($A89-COUNT('Шаг2.Бланк заказа NEW'!$B$19:$B$201)-COUNT('Бланк OLD 0.8 04'!$B$18:$B$200),'Бланк OLD 2.0 04 '!$B$16:$K$200,7,0)&gt;1,2,
IF(VLOOKUP($A89-COUNT('Шаг2.Бланк заказа NEW'!$B$19:$B$201)-COUNT('Бланк OLD 0.8 04'!$B$18:$B$200),'Бланк OLD 2.0 04 '!$B$16:$K$200,8,0)&gt;1,0.4,
IF(AND(VLOOKUP($A89-COUNT('Шаг2.Бланк заказа NEW'!$B$19:$B$201)-COUNT('Бланк OLD 0.8 04'!$B$18:$B$200),'Бланк OLD 2.0 04 '!$B$16:$K$200,7,0)&gt;0,VLOOKUP($A89-COUNT('Шаг2.Бланк заказа NEW'!$B$19:$B$201)-COUNT('Бланк OLD 0.8 04'!$B$18:$B$200),'Бланк OLD 2.0 04 '!$B$16:$K$200,8,0)&gt;0),0.4,""))))</f>
        <v/>
      </c>
      <c r="V89" s="146" t="str">
        <f ca="1">IFERROR(VLOOKUP(C89,'Шаг1.Выбор плиты'!C:S,12,0),"")</f>
        <v/>
      </c>
      <c r="W89" s="146" t="str">
        <f ca="1">IFERROR(VLOOKUP(C89,'Шаг1.Выбор плиты'!C:S,8,0),"")</f>
        <v/>
      </c>
      <c r="X89" s="146" t="str">
        <f ca="1">IFERROR(VLOOKUP(C89,'Шаг1.Выбор плиты'!C:S,10,0),"")</f>
        <v/>
      </c>
      <c r="Y89" s="147" t="str">
        <f t="shared" ca="1" si="8"/>
        <v/>
      </c>
      <c r="AD89" s="147" t="str">
        <f t="shared" ca="1" si="11"/>
        <v/>
      </c>
      <c r="AE89" s="147" t="str">
        <f t="shared" ca="1" si="9"/>
        <v/>
      </c>
      <c r="AF89" s="25"/>
      <c r="AH89" s="147" t="str">
        <f ca="1">IF(C89="","",VLOOKUP(C89,'Шаг1.Выбор плиты'!C:Q,7,0))</f>
        <v/>
      </c>
      <c r="AI89" s="147" t="str">
        <f t="shared" ca="1" si="12"/>
        <v/>
      </c>
    </row>
    <row r="90" spans="1:35" x14ac:dyDescent="0.2">
      <c r="A90" s="151" t="str">
        <f ca="1">IF(C90="","",MAX($A$1:OFFSET(C90,-1,0))+1)</f>
        <v/>
      </c>
      <c r="B90" s="151" t="str">
        <f ca="1">IFERROR(IFERROR(IFERROR("Шаг2.Бланк заказа NEW №"&amp;VLOOKUP(A89+1,CHOOSE({1,2},'Шаг2.Бланк заказа NEW'!$B$19:$B$201,'Шаг2.Бланк заказа NEW'!$A$19:$A$201),1,0),
"Бланк OLD 0.8 04 №"&amp;VLOOKUP(A89+1-COUNT('Шаг2.Бланк заказа NEW'!$B$19:$B$201),CHOOSE({1,2},'Бланк OLD 0.8 04'!$B$18:$B$200,'Бланк OLD 0.8 04'!$A$18:$A$200),1,0)),
"Бланк OLD 2.0 04 №"&amp;VLOOKUP(A89+1-COUNT('Шаг2.Бланк заказа NEW'!$B$19:$B$201)-COUNT('Бланк OLD 0.8 04'!$B$18:$B$200),CHOOSE({1,2},'Бланк OLD 2.0 04 '!$B$18:$B$200,'Бланк OLD 2.0 04 '!$A$18:$A$200),1,0)),"")</f>
        <v/>
      </c>
      <c r="C90" s="152" t="str">
        <f ca="1">IFERROR(IFERROR(IFERROR(VLOOKUP(A89+1,CHOOSE({1,2},'Шаг2.Бланк заказа NEW'!$B$19:$B$201,'Шаг2.Бланк заказа NEW'!$A$19:$A$201),2,0),
VLOOKUP(A89+1-COUNT('Шаг2.Бланк заказа NEW'!$B$19:$B$201),CHOOSE({1,2},'Бланк OLD 0.8 04'!$B$18:$B$200,'Бланк OLD 0.8 04'!$A$18:$A$200),2,0)),
VLOOKUP(A89+1-COUNT('Шаг2.Бланк заказа NEW'!$B$19:$B$201)-COUNT('Бланк OLD 0.8 04'!$B$18:$B$200),CHOOSE({1,2},'Бланк OLD 2.0 04 '!$B$18:$B$200,'Бланк OLD 2.0 04 '!$A$18:$A$200),2,0)),"")</f>
        <v/>
      </c>
      <c r="D90" s="150" t="str">
        <f ca="1">IFERROR(VLOOKUP(C90,'Шаг1.Выбор плиты'!C:G,5,0),"")</f>
        <v/>
      </c>
      <c r="E90" s="147" t="str">
        <f ca="1">IFERROR(IFERROR(IF(VLOOKUP($A90,'Шаг2.Бланк заказа NEW'!$B$17:$N$201,2,0)="","",VLOOKUP($A90,'Шаг2.Бланк заказа NEW'!$B$17:$N$201,2,0)),
IF(VLOOKUP($A90-COUNT('Шаг2.Бланк заказа NEW'!$B$19:$B$201),'Бланк OLD 0.8 04'!$B$12:$K$200,2,0)="","",VLOOKUP($A90-COUNT('Шаг2.Бланк заказа NEW'!$B$19:$B$201),'Бланк OLD 0.8 04'!$B$12:$K$200,2,0))),
IF(VLOOKUP($A90-COUNT('Шаг2.Бланк заказа NEW'!$B$19:$B$201)-COUNT('Бланк OLD 0.8 04'!$B$18:$B$200),'Бланк OLD 2.0 04 '!$B$16:$K$200,2,0)="","",VLOOKUP($A90-COUNT('Шаг2.Бланк заказа NEW'!$B$19:$B$201)-COUNT('Бланк OLD 0.8 04'!$B$18:$B$200),'Бланк OLD 2.0 04 '!$B$16:$K$200,2,0)))</f>
        <v/>
      </c>
      <c r="F90" s="147" t="str">
        <f ca="1">IFERROR(IFERROR(IF(VLOOKUP($A90,'Шаг2.Бланк заказа NEW'!$B$17:$N$201,3,0)="","",VLOOKUP($A90,'Шаг2.Бланк заказа NEW'!$B$17:$N$201,3,0)),
IF(VLOOKUP($A90-COUNT('Шаг2.Бланк заказа NEW'!$B$19:$B$201),'Бланк OLD 0.8 04'!$B$12:$K$200,3,0)="","",VLOOKUP($A90-COUNT('Шаг2.Бланк заказа NEW'!$B$19:$B$201),'Бланк OLD 0.8 04'!$B$12:$K$200,3,0))),
IF(VLOOKUP($A90-COUNT('Шаг2.Бланк заказа NEW'!$B$19:$B$201)-COUNT('Бланк OLD 0.8 04'!$B$18:$B$200),'Бланк OLD 2.0 04 '!$B$16:$K$200,3,0)="","",VLOOKUP($A90-COUNT('Шаг2.Бланк заказа NEW'!$B$19:$B$201)-COUNT('Бланк OLD 0.8 04'!$B$18:$B$200),'Бланк OLD 2.0 04 '!$B$16:$K$200,3,0)))</f>
        <v/>
      </c>
      <c r="G90" s="176" t="str">
        <f ca="1">IF(IF(R90="","",IF(R90=1,SUMIFS('Шаг1.Выбор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плиты'!C:Q,12,0)),1))))))=0,
R90,
IF(R90="","",IF(R90=1,SUMIFS('Шаг1.Выбор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плиты'!N:N,R90,'Шаг1.Выбор плиты'!M:M,SMALL(INDIRECT("мм"&amp;VLOOKUP(C90,'Шаг1.Выбор плиты'!C:Q,12,0)),1)))))))</f>
        <v/>
      </c>
      <c r="H90" s="177" t="str">
        <f ca="1">IF(IF(S90="","",IF(S90=1,SUMIFS('Шаг1.Выбор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плиты'!C:Q,12,0)),1))))))=0,
S90,
IF(S90="","",IF(S90=1,SUMIFS('Шаг1.Выбор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плиты'!N:N,S90,'Шаг1.Выбор плиты'!M:M,SMALL(INDIRECT("мм"&amp;VLOOKUP(C90,'Шаг1.Выбор плиты'!C:Q,12,0)),1)))))))</f>
        <v/>
      </c>
      <c r="I90" s="147" t="str">
        <f ca="1">IFERROR(IFERROR(IF(VLOOKUP($A90,'Шаг2.Бланк заказа NEW'!$B$17:$N$201,6,0)="","",VLOOKUP($A90,'Шаг2.Бланк заказа NEW'!$B$17:$N$201,6,0)),
IF(VLOOKUP($A90-COUNT('Шаг2.Бланк заказа NEW'!$B$19:$B$201),'Бланк OLD 0.8 04'!$B$12:$K$200,6,0)="","",VLOOKUP($A90-COUNT('Шаг2.Бланк заказа NEW'!$B$19:$B$201),'Бланк OLD 0.8 04'!$B$12:$K$200,6,0))),
IF(VLOOKUP($A90-COUNT('Шаг2.Бланк заказа NEW'!$B$19:$B$201)-COUNT('Бланк OLD 0.8 04'!$B$18:$B$200),'Бланк OLD 2.0 04 '!$B$16:$K$200,6,0)="","",VLOOKUP($A90-COUNT('Шаг2.Бланк заказа NEW'!$B$19:$B$201)-COUNT('Бланк OLD 0.8 04'!$B$18:$B$200),'Бланк OLD 2.0 04 '!$B$16:$K$200,6,0)))</f>
        <v/>
      </c>
      <c r="J90" s="177" t="str">
        <f ca="1">IF(IF(T90="","",IF(T90=1,SUMIFS('Шаг1.Выбор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плиты'!C:Q,12,0)),1))))))=0,
T90,
IF(T90="","",IF(T90=1,SUMIFS('Шаг1.Выбор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плиты'!N:N,T90,'Шаг1.Выбор плиты'!M:M,SMALL(INDIRECT("мм"&amp;VLOOKUP(C90,'Шаг1.Выбор плиты'!C:Q,12,0)),1)))))))</f>
        <v/>
      </c>
      <c r="K90" s="177" t="str">
        <f ca="1">IF(IF(U90="","",IF(U90=1,SUMIFS('Шаг1.Выбор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плиты'!C:Q,12,0)),1))))))=0,
U90,
IF(U90="","",IF(U90=1,SUMIFS('Шаг1.Выбор плиты'!$G:$G,'Шаг1.Выбор плиты'!J:J,"*"&amp;RIGHT(VLOOKUP(C90,'Шаг1.Выбор плиты'!C:Q,8,0),4),'Шаг1.Выбор плиты'!L:L,IF(MID(C90,1,6)="ЛДСП P","TM"&amp;MID(VLOOKUP(C90,'Шаг1.Выбор плиты'!C:Q,10,0),3,2),MID(VLOOKUP(C90,'Шаг1.Выбор плиты'!C:Q,10,0),1,2)),
'Шаг1.Выбор плиты'!N:N,1),IF(SUMIFS('Шаг1.Выбор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плиты'!C:Q,12,0)),1))=0,
IF(SUMIFS('Шаг1.Выбор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плиты'!C:Q,12,0)),2))=0,
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плиты'!C:Q,12,0)),3)),
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плиты'!C:Q,12,0)),2))),
(SUMIFS('Шаг1.Выбор плиты'!$G:$G,'Шаг1.Выбор плиты'!J:J,"*"&amp;RIGHT(VLOOKUP(C90,'Шаг1.Выбор плиты'!C:Q,8,0),4),'Шаг1.Выбор плиты'!L:L,VLOOKUP(C90,'Шаг1.Выбор плиты'!C:Q,10,0),'Шаг1.Выбор плиты'!N:N,U90,'Шаг1.Выбор плиты'!M:M,SMALL(INDIRECT("мм"&amp;VLOOKUP(C90,'Шаг1.Выбор плиты'!C:Q,12,0)),1)))))))</f>
        <v/>
      </c>
      <c r="L90" s="147" t="str">
        <f ca="1">IFERROR(IFERROR(IF(VLOOKUP($A90,'Шаг2.Бланк заказа NEW'!$B$17:$N$201,9,0)="","",VLOOKUP($A90,'Шаг2.Бланк заказа NEW'!$B$17:$N$201,9,0)),
IF(VLOOKUP($A90-COUNT('Шаг2.Бланк заказа NEW'!$B$19:$B$201),'Бланк OLD 0.8 04'!$B$12:$K$200,9,0)="","",VLOOKUP($A90-COUNT('Шаг2.Бланк заказа NEW'!$B$19:$B$201),'Бланк OLD 0.8 04'!$B$12:$K$200,9,0))),
IF(VLOOKUP($A90-COUNT('Шаг2.Бланк заказа NEW'!$B$19:$B$201)-COUNT('Бланк OLD 0.8 04'!$B$18:$B$200),'Бланк OLD 2.0 04 '!$B$16:$K$200,9,0)="","",VLOOKUP($A90-COUNT('Шаг2.Бланк заказа NEW'!$B$19:$B$201)-COUNT('Бланк OLD 0.8 04'!$B$18:$B$200),'Бланк OLD 2.0 04 '!$B$16:$K$200,9,0)))</f>
        <v/>
      </c>
      <c r="M90" s="154" t="str">
        <f t="shared" ca="1" si="10"/>
        <v/>
      </c>
      <c r="N90" s="153" t="str">
        <f ca="1">IFERROR(IF(VLOOKUP($A90,'Шаг2.Бланк заказа NEW'!$B$17:$N$201,11,0)="","",VLOOKUP($A90,'Шаг2.Бланк заказа NEW'!$B$17:$N$201,11,0)),
"Нет")</f>
        <v/>
      </c>
      <c r="O90" s="147" t="str">
        <f ca="1">IFERROR(IF(VLOOKUP($A90,'Шаг2.Бланк заказа NEW'!$B$17:$N$201,11,0)="","",VLOOKUP($A90,'Шаг2.Бланк заказа NEW'!$B$17:$N$201,12,0)),
"Нет")</f>
        <v/>
      </c>
      <c r="P90" s="153" t="str">
        <f ca="1">IFERROR(IF(VLOOKUP($A90,'Шаг2.Бланк заказа NEW'!$B$17:$N$201,13,0)="","",VLOOKUP($A90,'Шаг2.Бланк заказа NEW'!$B$17:$N$201,13,0)),
"Нет")</f>
        <v/>
      </c>
      <c r="Q90" s="147" t="str">
        <f ca="1">IFERROR(IF(VLOOKUP($A90,'Шаг2.Бланк заказа NEW'!$B$17:$O$201,14,0)="","",VLOOKUP($A90,'Шаг2.Бланк заказа NEW'!$B$17:$O$201,14,0)),"")</f>
        <v/>
      </c>
      <c r="R90" s="147" t="str">
        <f ca="1">IFERROR(IFERROR(IF(VLOOKUP($A90,'Шаг2.Бланк заказа NEW'!$B$17:$N$201,4,0)="","",VLOOKUP($A90,'Шаг2.Бланк заказа NEW'!$B$17:$N$201,4,0)),
IF(VLOOKUP($A90-COUNT('Шаг2.Бланк заказа NEW'!$B$19:$B$201),'Бланк OLD 0.8 04'!$B$12:$K$200,4,0)&gt;0,0.8,
IF(VLOOKUP($A90-COUNT('Шаг2.Бланк заказа NEW'!$B$19:$B$201),'Бланк OLD 0.8 04'!$B$12:$K$200,5,0)&gt;0,0.4,""))),
IF(VLOOKUP($A90-COUNT('Шаг2.Бланк заказа NEW'!$B$19:$B$201)-COUNT('Бланк OLD 0.8 04'!$B$18:$B$200),'Бланк OLD 2.0 04 '!$B$16:$K$200,4,0)&gt;0,2,IF(VLOOKUP($A90-COUNT('Шаг2.Бланк заказа NEW'!$B$19:$B$201)-COUNT('Бланк OLD 0.8 04'!$B$18:$B$200),'Бланк OLD 2.0 04 '!$B$16:$K$200,5,0)&gt;0,0.4,"")))</f>
        <v/>
      </c>
      <c r="S90" s="147" t="str">
        <f ca="1">IFERROR(IFERROR(IF(VLOOKUP($A90,'Шаг2.Бланк заказа NEW'!$B$17:$N$201,5,0)="","",VLOOKUP($A90,'Шаг2.Бланк заказа NEW'!$B$17:$N$201,5,0)),
IF(VLOOKUP($A90-COUNT('Шаг2.Бланк заказа NEW'!$B$19:$B$201),'Бланк OLD 0.8 04'!$B$12:$K$200,4,0)&gt;1,0.8,
IF(VLOOKUP($A90-COUNT('Шаг2.Бланк заказа NEW'!$B$19:$B$201),'Бланк OLD 0.8 04'!$B$12:$K$200,5,0)&gt;1,0.4,
IF(AND(VLOOKUP($A90-COUNT('Шаг2.Бланк заказа NEW'!$B$19:$B$201),'Бланк OLD 0.8 04'!$B$12:$K$200,4,0)&gt;0,VLOOKUP($A90-COUNT('Шаг2.Бланк заказа NEW'!$B$19:$B$201),'Бланк OLD 0.8 04'!$B$12:$K$200,5,0)&gt;0),0.4,"")))),
IF(VLOOKUP($A90-COUNT('Шаг2.Бланк заказа NEW'!$B$19:$B$201)-COUNT('Бланк OLD 0.8 04'!$B$18:$B$200),'Бланк OLD 2.0 04 '!$B$16:$K$200,4,0)&gt;1,2,
IF(VLOOKUP($A90-COUNT('Шаг2.Бланк заказа NEW'!$B$19:$B$201)-COUNT('Бланк OLD 0.8 04'!$B$18:$B$200),'Бланк OLD 2.0 04 '!$B$16:$K$200,5,0)&gt;1,0.4,IF(AND(VLOOKUP($A90-COUNT('Шаг2.Бланк заказа NEW'!$B$19:$B$201)-COUNT('Бланк OLD 0.8 04'!$B$18:$B$200),'Бланк OLD 2.0 04 '!$B$16:$K$200,4,0)&gt;0,VLOOKUP($A90-COUNT('Шаг2.Бланк заказа NEW'!$B$19:$B$201)-COUNT('Бланк OLD 0.8 04'!$B$18:$B$200),'Бланк OLD 2.0 04 '!$B$16:$K$200,5,0)&gt;0),0.4,""))))</f>
        <v/>
      </c>
      <c r="T90" s="147" t="str">
        <f ca="1">IFERROR(IFERROR(IF(VLOOKUP($A90,'Шаг2.Бланк заказа NEW'!$B$17:$N$201,7,0)="","",VLOOKUP($A90,'Шаг2.Бланк заказа NEW'!$B$17:$N$201,7,0)),
IF(VLOOKUP($A90-COUNT('Шаг2.Бланк заказа NEW'!$B$19:$B$201),'Бланк OLD 0.8 04'!$B$12:$K$200,7,0)&gt;0,0.8,
IF(VLOOKUP($A90-COUNT('Шаг2.Бланк заказа NEW'!$B$19:$B$201),'Бланк OLD 0.8 04'!$B$12:$K$200,8,0)&gt;0,0.4,""))),
IF(VLOOKUP($A90-COUNT('Шаг2.Бланк заказа NEW'!$B$19:$B$201)-COUNT('Бланк OLD 0.8 04'!$B$18:$B$200),'Бланк OLD 2.0 04 '!$B$16:$K$200,7,0)&gt;0,2,IF(VLOOKUP($A90-COUNT('Шаг2.Бланк заказа NEW'!$B$19:$B$201)-COUNT('Бланк OLD 0.8 04'!$B$18:$B$200),'Бланк OLD 2.0 04 '!$B$16:$K$200,8,0)&gt;0,0.4,"")))</f>
        <v/>
      </c>
      <c r="U90" s="147" t="str">
        <f ca="1">IFERROR(IFERROR(IF(VLOOKUP($A90,'Шаг2.Бланк заказа NEW'!$B$17:$N$201,8,0)="","",VLOOKUP($A90,'Шаг2.Бланк заказа NEW'!$B$17:$N$201,8,0)),
IF(VLOOKUP($A90-COUNT('Шаг2.Бланк заказа NEW'!$B$19:$B$201),'Бланк OLD 0.8 04'!$B$12:$K$200,7,0)&gt;1,0.8,
IF(VLOOKUP($A90-COUNT('Шаг2.Бланк заказа NEW'!$B$19:$B$201),'Бланк OLD 0.8 04'!$B$12:$K$200,8,0)&gt;1,0.4,
IF(AND(VLOOKUP($A90-COUNT('Шаг2.Бланк заказа NEW'!$B$19:$B$201),'Бланк OLD 0.8 04'!$B$12:$K$200,7,0)&gt;0,VLOOKUP($A90-COUNT('Шаг2.Бланк заказа NEW'!$B$19:$B$201),'Бланк OLD 0.8 04'!$B$12:$K$200,8,0)&gt;0),0.4,"")))),
IF(VLOOKUP($A90-COUNT('Шаг2.Бланк заказа NEW'!$B$19:$B$201)-COUNT('Бланк OLD 0.8 04'!$B$18:$B$200),'Бланк OLD 2.0 04 '!$B$16:$K$200,7,0)&gt;1,2,
IF(VLOOKUP($A90-COUNT('Шаг2.Бланк заказа NEW'!$B$19:$B$201)-COUNT('Бланк OLD 0.8 04'!$B$18:$B$200),'Бланк OLD 2.0 04 '!$B$16:$K$200,8,0)&gt;1,0.4,
IF(AND(VLOOKUP($A90-COUNT('Шаг2.Бланк заказа NEW'!$B$19:$B$201)-COUNT('Бланк OLD 0.8 04'!$B$18:$B$200),'Бланк OLD 2.0 04 '!$B$16:$K$200,7,0)&gt;0,VLOOKUP($A90-COUNT('Шаг2.Бланк заказа NEW'!$B$19:$B$201)-COUNT('Бланк OLD 0.8 04'!$B$18:$B$200),'Бланк OLD 2.0 04 '!$B$16:$K$200,8,0)&gt;0),0.4,""))))</f>
        <v/>
      </c>
      <c r="V90" s="146" t="str">
        <f ca="1">IFERROR(VLOOKUP(C90,'Шаг1.Выбор плиты'!C:S,12,0),"")</f>
        <v/>
      </c>
      <c r="W90" s="146" t="str">
        <f ca="1">IFERROR(VLOOKUP(C90,'Шаг1.Выбор плиты'!C:S,8,0),"")</f>
        <v/>
      </c>
      <c r="X90" s="146" t="str">
        <f ca="1">IFERROR(VLOOKUP(C90,'Шаг1.Выбор плиты'!C:S,10,0),"")</f>
        <v/>
      </c>
      <c r="Y90" s="147" t="str">
        <f t="shared" ca="1" si="8"/>
        <v/>
      </c>
      <c r="AD90" s="147" t="str">
        <f t="shared" ca="1" si="11"/>
        <v/>
      </c>
      <c r="AE90" s="147" t="str">
        <f t="shared" ca="1" si="9"/>
        <v/>
      </c>
      <c r="AF90" s="25"/>
      <c r="AH90" s="147" t="str">
        <f ca="1">IF(C90="","",VLOOKUP(C90,'Шаг1.Выбор плиты'!C:Q,7,0))</f>
        <v/>
      </c>
      <c r="AI90" s="147" t="str">
        <f t="shared" ca="1" si="12"/>
        <v/>
      </c>
    </row>
    <row r="91" spans="1:35" x14ac:dyDescent="0.2">
      <c r="A91" s="151" t="str">
        <f ca="1">IF(C91="","",MAX($A$1:OFFSET(C91,-1,0))+1)</f>
        <v/>
      </c>
      <c r="B91" s="151" t="str">
        <f ca="1">IFERROR(IFERROR(IFERROR("Шаг2.Бланк заказа NEW №"&amp;VLOOKUP(A90+1,CHOOSE({1,2},'Шаг2.Бланк заказа NEW'!$B$19:$B$201,'Шаг2.Бланк заказа NEW'!$A$19:$A$201),1,0),
"Бланк OLD 0.8 04 №"&amp;VLOOKUP(A90+1-COUNT('Шаг2.Бланк заказа NEW'!$B$19:$B$201),CHOOSE({1,2},'Бланк OLD 0.8 04'!$B$18:$B$200,'Бланк OLD 0.8 04'!$A$18:$A$200),1,0)),
"Бланк OLD 2.0 04 №"&amp;VLOOKUP(A90+1-COUNT('Шаг2.Бланк заказа NEW'!$B$19:$B$201)-COUNT('Бланк OLD 0.8 04'!$B$18:$B$200),CHOOSE({1,2},'Бланк OLD 2.0 04 '!$B$18:$B$200,'Бланк OLD 2.0 04 '!$A$18:$A$200),1,0)),"")</f>
        <v/>
      </c>
      <c r="C91" s="152" t="str">
        <f ca="1">IFERROR(IFERROR(IFERROR(VLOOKUP(A90+1,CHOOSE({1,2},'Шаг2.Бланк заказа NEW'!$B$19:$B$201,'Шаг2.Бланк заказа NEW'!$A$19:$A$201),2,0),
VLOOKUP(A90+1-COUNT('Шаг2.Бланк заказа NEW'!$B$19:$B$201),CHOOSE({1,2},'Бланк OLD 0.8 04'!$B$18:$B$200,'Бланк OLD 0.8 04'!$A$18:$A$200),2,0)),
VLOOKUP(A90+1-COUNT('Шаг2.Бланк заказа NEW'!$B$19:$B$201)-COUNT('Бланк OLD 0.8 04'!$B$18:$B$200),CHOOSE({1,2},'Бланк OLD 2.0 04 '!$B$18:$B$200,'Бланк OLD 2.0 04 '!$A$18:$A$200),2,0)),"")</f>
        <v/>
      </c>
      <c r="D91" s="150" t="str">
        <f ca="1">IFERROR(VLOOKUP(C91,'Шаг1.Выбор плиты'!C:G,5,0),"")</f>
        <v/>
      </c>
      <c r="E91" s="147" t="str">
        <f ca="1">IFERROR(IFERROR(IF(VLOOKUP($A91,'Шаг2.Бланк заказа NEW'!$B$17:$N$201,2,0)="","",VLOOKUP($A91,'Шаг2.Бланк заказа NEW'!$B$17:$N$201,2,0)),
IF(VLOOKUP($A91-COUNT('Шаг2.Бланк заказа NEW'!$B$19:$B$201),'Бланк OLD 0.8 04'!$B$12:$K$200,2,0)="","",VLOOKUP($A91-COUNT('Шаг2.Бланк заказа NEW'!$B$19:$B$201),'Бланк OLD 0.8 04'!$B$12:$K$200,2,0))),
IF(VLOOKUP($A91-COUNT('Шаг2.Бланк заказа NEW'!$B$19:$B$201)-COUNT('Бланк OLD 0.8 04'!$B$18:$B$200),'Бланк OLD 2.0 04 '!$B$16:$K$200,2,0)="","",VLOOKUP($A91-COUNT('Шаг2.Бланк заказа NEW'!$B$19:$B$201)-COUNT('Бланк OLD 0.8 04'!$B$18:$B$200),'Бланк OLD 2.0 04 '!$B$16:$K$200,2,0)))</f>
        <v/>
      </c>
      <c r="F91" s="147" t="str">
        <f ca="1">IFERROR(IFERROR(IF(VLOOKUP($A91,'Шаг2.Бланк заказа NEW'!$B$17:$N$201,3,0)="","",VLOOKUP($A91,'Шаг2.Бланк заказа NEW'!$B$17:$N$201,3,0)),
IF(VLOOKUP($A91-COUNT('Шаг2.Бланк заказа NEW'!$B$19:$B$201),'Бланк OLD 0.8 04'!$B$12:$K$200,3,0)="","",VLOOKUP($A91-COUNT('Шаг2.Бланк заказа NEW'!$B$19:$B$201),'Бланк OLD 0.8 04'!$B$12:$K$200,3,0))),
IF(VLOOKUP($A91-COUNT('Шаг2.Бланк заказа NEW'!$B$19:$B$201)-COUNT('Бланк OLD 0.8 04'!$B$18:$B$200),'Бланк OLD 2.0 04 '!$B$16:$K$200,3,0)="","",VLOOKUP($A91-COUNT('Шаг2.Бланк заказа NEW'!$B$19:$B$201)-COUNT('Бланк OLD 0.8 04'!$B$18:$B$200),'Бланк OLD 2.0 04 '!$B$16:$K$200,3,0)))</f>
        <v/>
      </c>
      <c r="G91" s="176" t="str">
        <f ca="1">IF(IF(R91="","",IF(R91=1,SUMIFS('Шаг1.Выбор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плиты'!C:Q,12,0)),1))))))=0,
R91,
IF(R91="","",IF(R91=1,SUMIFS('Шаг1.Выбор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плиты'!N:N,R91,'Шаг1.Выбор плиты'!M:M,SMALL(INDIRECT("мм"&amp;VLOOKUP(C91,'Шаг1.Выбор плиты'!C:Q,12,0)),1)))))))</f>
        <v/>
      </c>
      <c r="H91" s="177" t="str">
        <f ca="1">IF(IF(S91="","",IF(S91=1,SUMIFS('Шаг1.Выбор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плиты'!C:Q,12,0)),1))))))=0,
S91,
IF(S91="","",IF(S91=1,SUMIFS('Шаг1.Выбор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плиты'!N:N,S91,'Шаг1.Выбор плиты'!M:M,SMALL(INDIRECT("мм"&amp;VLOOKUP(C91,'Шаг1.Выбор плиты'!C:Q,12,0)),1)))))))</f>
        <v/>
      </c>
      <c r="I91" s="147" t="str">
        <f ca="1">IFERROR(IFERROR(IF(VLOOKUP($A91,'Шаг2.Бланк заказа NEW'!$B$17:$N$201,6,0)="","",VLOOKUP($A91,'Шаг2.Бланк заказа NEW'!$B$17:$N$201,6,0)),
IF(VLOOKUP($A91-COUNT('Шаг2.Бланк заказа NEW'!$B$19:$B$201),'Бланк OLD 0.8 04'!$B$12:$K$200,6,0)="","",VLOOKUP($A91-COUNT('Шаг2.Бланк заказа NEW'!$B$19:$B$201),'Бланк OLD 0.8 04'!$B$12:$K$200,6,0))),
IF(VLOOKUP($A91-COUNT('Шаг2.Бланк заказа NEW'!$B$19:$B$201)-COUNT('Бланк OLD 0.8 04'!$B$18:$B$200),'Бланк OLD 2.0 04 '!$B$16:$K$200,6,0)="","",VLOOKUP($A91-COUNT('Шаг2.Бланк заказа NEW'!$B$19:$B$201)-COUNT('Бланк OLD 0.8 04'!$B$18:$B$200),'Бланк OLD 2.0 04 '!$B$16:$K$200,6,0)))</f>
        <v/>
      </c>
      <c r="J91" s="177" t="str">
        <f ca="1">IF(IF(T91="","",IF(T91=1,SUMIFS('Шаг1.Выбор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плиты'!C:Q,12,0)),1))))))=0,
T91,
IF(T91="","",IF(T91=1,SUMIFS('Шаг1.Выбор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плиты'!N:N,T91,'Шаг1.Выбор плиты'!M:M,SMALL(INDIRECT("мм"&amp;VLOOKUP(C91,'Шаг1.Выбор плиты'!C:Q,12,0)),1)))))))</f>
        <v/>
      </c>
      <c r="K91" s="177" t="str">
        <f ca="1">IF(IF(U91="","",IF(U91=1,SUMIFS('Шаг1.Выбор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плиты'!C:Q,12,0)),1))))))=0,
U91,
IF(U91="","",IF(U91=1,SUMIFS('Шаг1.Выбор плиты'!$G:$G,'Шаг1.Выбор плиты'!J:J,"*"&amp;RIGHT(VLOOKUP(C91,'Шаг1.Выбор плиты'!C:Q,8,0),4),'Шаг1.Выбор плиты'!L:L,IF(MID(C91,1,6)="ЛДСП P","TM"&amp;MID(VLOOKUP(C91,'Шаг1.Выбор плиты'!C:Q,10,0),3,2),MID(VLOOKUP(C91,'Шаг1.Выбор плиты'!C:Q,10,0),1,2)),
'Шаг1.Выбор плиты'!N:N,1),IF(SUMIFS('Шаг1.Выбор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плиты'!C:Q,12,0)),1))=0,
IF(SUMIFS('Шаг1.Выбор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плиты'!C:Q,12,0)),2))=0,
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плиты'!C:Q,12,0)),3)),
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плиты'!C:Q,12,0)),2))),
(SUMIFS('Шаг1.Выбор плиты'!$G:$G,'Шаг1.Выбор плиты'!J:J,"*"&amp;RIGHT(VLOOKUP(C91,'Шаг1.Выбор плиты'!C:Q,8,0),4),'Шаг1.Выбор плиты'!L:L,VLOOKUP(C91,'Шаг1.Выбор плиты'!C:Q,10,0),'Шаг1.Выбор плиты'!N:N,U91,'Шаг1.Выбор плиты'!M:M,SMALL(INDIRECT("мм"&amp;VLOOKUP(C91,'Шаг1.Выбор плиты'!C:Q,12,0)),1)))))))</f>
        <v/>
      </c>
      <c r="L91" s="147" t="str">
        <f ca="1">IFERROR(IFERROR(IF(VLOOKUP($A91,'Шаг2.Бланк заказа NEW'!$B$17:$N$201,9,0)="","",VLOOKUP($A91,'Шаг2.Бланк заказа NEW'!$B$17:$N$201,9,0)),
IF(VLOOKUP($A91-COUNT('Шаг2.Бланк заказа NEW'!$B$19:$B$201),'Бланк OLD 0.8 04'!$B$12:$K$200,9,0)="","",VLOOKUP($A91-COUNT('Шаг2.Бланк заказа NEW'!$B$19:$B$201),'Бланк OLD 0.8 04'!$B$12:$K$200,9,0))),
IF(VLOOKUP($A91-COUNT('Шаг2.Бланк заказа NEW'!$B$19:$B$201)-COUNT('Бланк OLD 0.8 04'!$B$18:$B$200),'Бланк OLD 2.0 04 '!$B$16:$K$200,9,0)="","",VLOOKUP($A91-COUNT('Шаг2.Бланк заказа NEW'!$B$19:$B$201)-COUNT('Бланк OLD 0.8 04'!$B$18:$B$200),'Бланк OLD 2.0 04 '!$B$16:$K$200,9,0)))</f>
        <v/>
      </c>
      <c r="M91" s="154" t="str">
        <f t="shared" ca="1" si="10"/>
        <v/>
      </c>
      <c r="N91" s="153" t="str">
        <f ca="1">IFERROR(IF(VLOOKUP($A91,'Шаг2.Бланк заказа NEW'!$B$17:$N$201,11,0)="","",VLOOKUP($A91,'Шаг2.Бланк заказа NEW'!$B$17:$N$201,11,0)),
"Нет")</f>
        <v/>
      </c>
      <c r="O91" s="147" t="str">
        <f ca="1">IFERROR(IF(VLOOKUP($A91,'Шаг2.Бланк заказа NEW'!$B$17:$N$201,11,0)="","",VLOOKUP($A91,'Шаг2.Бланк заказа NEW'!$B$17:$N$201,12,0)),
"Нет")</f>
        <v/>
      </c>
      <c r="P91" s="153" t="str">
        <f ca="1">IFERROR(IF(VLOOKUP($A91,'Шаг2.Бланк заказа NEW'!$B$17:$N$201,13,0)="","",VLOOKUP($A91,'Шаг2.Бланк заказа NEW'!$B$17:$N$201,13,0)),
"Нет")</f>
        <v/>
      </c>
      <c r="Q91" s="147" t="str">
        <f ca="1">IFERROR(IF(VLOOKUP($A91,'Шаг2.Бланк заказа NEW'!$B$17:$O$201,14,0)="","",VLOOKUP($A91,'Шаг2.Бланк заказа NEW'!$B$17:$O$201,14,0)),"")</f>
        <v/>
      </c>
      <c r="R91" s="147" t="str">
        <f ca="1">IFERROR(IFERROR(IF(VLOOKUP($A91,'Шаг2.Бланк заказа NEW'!$B$17:$N$201,4,0)="","",VLOOKUP($A91,'Шаг2.Бланк заказа NEW'!$B$17:$N$201,4,0)),
IF(VLOOKUP($A91-COUNT('Шаг2.Бланк заказа NEW'!$B$19:$B$201),'Бланк OLD 0.8 04'!$B$12:$K$200,4,0)&gt;0,0.8,
IF(VLOOKUP($A91-COUNT('Шаг2.Бланк заказа NEW'!$B$19:$B$201),'Бланк OLD 0.8 04'!$B$12:$K$200,5,0)&gt;0,0.4,""))),
IF(VLOOKUP($A91-COUNT('Шаг2.Бланк заказа NEW'!$B$19:$B$201)-COUNT('Бланк OLD 0.8 04'!$B$18:$B$200),'Бланк OLD 2.0 04 '!$B$16:$K$200,4,0)&gt;0,2,IF(VLOOKUP($A91-COUNT('Шаг2.Бланк заказа NEW'!$B$19:$B$201)-COUNT('Бланк OLD 0.8 04'!$B$18:$B$200),'Бланк OLD 2.0 04 '!$B$16:$K$200,5,0)&gt;0,0.4,"")))</f>
        <v/>
      </c>
      <c r="S91" s="147" t="str">
        <f ca="1">IFERROR(IFERROR(IF(VLOOKUP($A91,'Шаг2.Бланк заказа NEW'!$B$17:$N$201,5,0)="","",VLOOKUP($A91,'Шаг2.Бланк заказа NEW'!$B$17:$N$201,5,0)),
IF(VLOOKUP($A91-COUNT('Шаг2.Бланк заказа NEW'!$B$19:$B$201),'Бланк OLD 0.8 04'!$B$12:$K$200,4,0)&gt;1,0.8,
IF(VLOOKUP($A91-COUNT('Шаг2.Бланк заказа NEW'!$B$19:$B$201),'Бланк OLD 0.8 04'!$B$12:$K$200,5,0)&gt;1,0.4,
IF(AND(VLOOKUP($A91-COUNT('Шаг2.Бланк заказа NEW'!$B$19:$B$201),'Бланк OLD 0.8 04'!$B$12:$K$200,4,0)&gt;0,VLOOKUP($A91-COUNT('Шаг2.Бланк заказа NEW'!$B$19:$B$201),'Бланк OLD 0.8 04'!$B$12:$K$200,5,0)&gt;0),0.4,"")))),
IF(VLOOKUP($A91-COUNT('Шаг2.Бланк заказа NEW'!$B$19:$B$201)-COUNT('Бланк OLD 0.8 04'!$B$18:$B$200),'Бланк OLD 2.0 04 '!$B$16:$K$200,4,0)&gt;1,2,
IF(VLOOKUP($A91-COUNT('Шаг2.Бланк заказа NEW'!$B$19:$B$201)-COUNT('Бланк OLD 0.8 04'!$B$18:$B$200),'Бланк OLD 2.0 04 '!$B$16:$K$200,5,0)&gt;1,0.4,IF(AND(VLOOKUP($A91-COUNT('Шаг2.Бланк заказа NEW'!$B$19:$B$201)-COUNT('Бланк OLD 0.8 04'!$B$18:$B$200),'Бланк OLD 2.0 04 '!$B$16:$K$200,4,0)&gt;0,VLOOKUP($A91-COUNT('Шаг2.Бланк заказа NEW'!$B$19:$B$201)-COUNT('Бланк OLD 0.8 04'!$B$18:$B$200),'Бланк OLD 2.0 04 '!$B$16:$K$200,5,0)&gt;0),0.4,""))))</f>
        <v/>
      </c>
      <c r="T91" s="147" t="str">
        <f ca="1">IFERROR(IFERROR(IF(VLOOKUP($A91,'Шаг2.Бланк заказа NEW'!$B$17:$N$201,7,0)="","",VLOOKUP($A91,'Шаг2.Бланк заказа NEW'!$B$17:$N$201,7,0)),
IF(VLOOKUP($A91-COUNT('Шаг2.Бланк заказа NEW'!$B$19:$B$201),'Бланк OLD 0.8 04'!$B$12:$K$200,7,0)&gt;0,0.8,
IF(VLOOKUP($A91-COUNT('Шаг2.Бланк заказа NEW'!$B$19:$B$201),'Бланк OLD 0.8 04'!$B$12:$K$200,8,0)&gt;0,0.4,""))),
IF(VLOOKUP($A91-COUNT('Шаг2.Бланк заказа NEW'!$B$19:$B$201)-COUNT('Бланк OLD 0.8 04'!$B$18:$B$200),'Бланк OLD 2.0 04 '!$B$16:$K$200,7,0)&gt;0,2,IF(VLOOKUP($A91-COUNT('Шаг2.Бланк заказа NEW'!$B$19:$B$201)-COUNT('Бланк OLD 0.8 04'!$B$18:$B$200),'Бланк OLD 2.0 04 '!$B$16:$K$200,8,0)&gt;0,0.4,"")))</f>
        <v/>
      </c>
      <c r="U91" s="147" t="str">
        <f ca="1">IFERROR(IFERROR(IF(VLOOKUP($A91,'Шаг2.Бланк заказа NEW'!$B$17:$N$201,8,0)="","",VLOOKUP($A91,'Шаг2.Бланк заказа NEW'!$B$17:$N$201,8,0)),
IF(VLOOKUP($A91-COUNT('Шаг2.Бланк заказа NEW'!$B$19:$B$201),'Бланк OLD 0.8 04'!$B$12:$K$200,7,0)&gt;1,0.8,
IF(VLOOKUP($A91-COUNT('Шаг2.Бланк заказа NEW'!$B$19:$B$201),'Бланк OLD 0.8 04'!$B$12:$K$200,8,0)&gt;1,0.4,
IF(AND(VLOOKUP($A91-COUNT('Шаг2.Бланк заказа NEW'!$B$19:$B$201),'Бланк OLD 0.8 04'!$B$12:$K$200,7,0)&gt;0,VLOOKUP($A91-COUNT('Шаг2.Бланк заказа NEW'!$B$19:$B$201),'Бланк OLD 0.8 04'!$B$12:$K$200,8,0)&gt;0),0.4,"")))),
IF(VLOOKUP($A91-COUNT('Шаг2.Бланк заказа NEW'!$B$19:$B$201)-COUNT('Бланк OLD 0.8 04'!$B$18:$B$200),'Бланк OLD 2.0 04 '!$B$16:$K$200,7,0)&gt;1,2,
IF(VLOOKUP($A91-COUNT('Шаг2.Бланк заказа NEW'!$B$19:$B$201)-COUNT('Бланк OLD 0.8 04'!$B$18:$B$200),'Бланк OLD 2.0 04 '!$B$16:$K$200,8,0)&gt;1,0.4,
IF(AND(VLOOKUP($A91-COUNT('Шаг2.Бланк заказа NEW'!$B$19:$B$201)-COUNT('Бланк OLD 0.8 04'!$B$18:$B$200),'Бланк OLD 2.0 04 '!$B$16:$K$200,7,0)&gt;0,VLOOKUP($A91-COUNT('Шаг2.Бланк заказа NEW'!$B$19:$B$201)-COUNT('Бланк OLD 0.8 04'!$B$18:$B$200),'Бланк OLD 2.0 04 '!$B$16:$K$200,8,0)&gt;0),0.4,""))))</f>
        <v/>
      </c>
      <c r="V91" s="146" t="str">
        <f ca="1">IFERROR(VLOOKUP(C91,'Шаг1.Выбор плиты'!C:S,12,0),"")</f>
        <v/>
      </c>
      <c r="W91" s="146" t="str">
        <f ca="1">IFERROR(VLOOKUP(C91,'Шаг1.Выбор плиты'!C:S,8,0),"")</f>
        <v/>
      </c>
      <c r="X91" s="146" t="str">
        <f ca="1">IFERROR(VLOOKUP(C91,'Шаг1.Выбор плиты'!C:S,10,0),"")</f>
        <v/>
      </c>
      <c r="Y91" s="147" t="str">
        <f t="shared" ca="1" si="8"/>
        <v/>
      </c>
      <c r="AD91" s="147" t="str">
        <f t="shared" ca="1" si="11"/>
        <v/>
      </c>
      <c r="AE91" s="147" t="str">
        <f t="shared" ca="1" si="9"/>
        <v/>
      </c>
      <c r="AF91" s="25"/>
      <c r="AH91" s="147" t="str">
        <f ca="1">IF(C91="","",VLOOKUP(C91,'Шаг1.Выбор плиты'!C:Q,7,0))</f>
        <v/>
      </c>
      <c r="AI91" s="147" t="str">
        <f t="shared" ca="1" si="12"/>
        <v/>
      </c>
    </row>
    <row r="92" spans="1:35" x14ac:dyDescent="0.2">
      <c r="A92" s="151" t="str">
        <f ca="1">IF(C92="","",MAX($A$1:OFFSET(C92,-1,0))+1)</f>
        <v/>
      </c>
      <c r="B92" s="151" t="str">
        <f ca="1">IFERROR(IFERROR(IFERROR("Шаг2.Бланк заказа NEW №"&amp;VLOOKUP(A91+1,CHOOSE({1,2},'Шаг2.Бланк заказа NEW'!$B$19:$B$201,'Шаг2.Бланк заказа NEW'!$A$19:$A$201),1,0),
"Бланк OLD 0.8 04 №"&amp;VLOOKUP(A91+1-COUNT('Шаг2.Бланк заказа NEW'!$B$19:$B$201),CHOOSE({1,2},'Бланк OLD 0.8 04'!$B$18:$B$200,'Бланк OLD 0.8 04'!$A$18:$A$200),1,0)),
"Бланк OLD 2.0 04 №"&amp;VLOOKUP(A91+1-COUNT('Шаг2.Бланк заказа NEW'!$B$19:$B$201)-COUNT('Бланк OLD 0.8 04'!$B$18:$B$200),CHOOSE({1,2},'Бланк OLD 2.0 04 '!$B$18:$B$200,'Бланк OLD 2.0 04 '!$A$18:$A$200),1,0)),"")</f>
        <v/>
      </c>
      <c r="C92" s="152" t="str">
        <f ca="1">IFERROR(IFERROR(IFERROR(VLOOKUP(A91+1,CHOOSE({1,2},'Шаг2.Бланк заказа NEW'!$B$19:$B$201,'Шаг2.Бланк заказа NEW'!$A$19:$A$201),2,0),
VLOOKUP(A91+1-COUNT('Шаг2.Бланк заказа NEW'!$B$19:$B$201),CHOOSE({1,2},'Бланк OLD 0.8 04'!$B$18:$B$200,'Бланк OLD 0.8 04'!$A$18:$A$200),2,0)),
VLOOKUP(A91+1-COUNT('Шаг2.Бланк заказа NEW'!$B$19:$B$201)-COUNT('Бланк OLD 0.8 04'!$B$18:$B$200),CHOOSE({1,2},'Бланк OLD 2.0 04 '!$B$18:$B$200,'Бланк OLD 2.0 04 '!$A$18:$A$200),2,0)),"")</f>
        <v/>
      </c>
      <c r="D92" s="150" t="str">
        <f ca="1">IFERROR(VLOOKUP(C92,'Шаг1.Выбор плиты'!C:G,5,0),"")</f>
        <v/>
      </c>
      <c r="E92" s="147" t="str">
        <f ca="1">IFERROR(IFERROR(IF(VLOOKUP($A92,'Шаг2.Бланк заказа NEW'!$B$17:$N$201,2,0)="","",VLOOKUP($A92,'Шаг2.Бланк заказа NEW'!$B$17:$N$201,2,0)),
IF(VLOOKUP($A92-COUNT('Шаг2.Бланк заказа NEW'!$B$19:$B$201),'Бланк OLD 0.8 04'!$B$12:$K$200,2,0)="","",VLOOKUP($A92-COUNT('Шаг2.Бланк заказа NEW'!$B$19:$B$201),'Бланк OLD 0.8 04'!$B$12:$K$200,2,0))),
IF(VLOOKUP($A92-COUNT('Шаг2.Бланк заказа NEW'!$B$19:$B$201)-COUNT('Бланк OLD 0.8 04'!$B$18:$B$200),'Бланк OLD 2.0 04 '!$B$16:$K$200,2,0)="","",VLOOKUP($A92-COUNT('Шаг2.Бланк заказа NEW'!$B$19:$B$201)-COUNT('Бланк OLD 0.8 04'!$B$18:$B$200),'Бланк OLD 2.0 04 '!$B$16:$K$200,2,0)))</f>
        <v/>
      </c>
      <c r="F92" s="147" t="str">
        <f ca="1">IFERROR(IFERROR(IF(VLOOKUP($A92,'Шаг2.Бланк заказа NEW'!$B$17:$N$201,3,0)="","",VLOOKUP($A92,'Шаг2.Бланк заказа NEW'!$B$17:$N$201,3,0)),
IF(VLOOKUP($A92-COUNT('Шаг2.Бланк заказа NEW'!$B$19:$B$201),'Бланк OLD 0.8 04'!$B$12:$K$200,3,0)="","",VLOOKUP($A92-COUNT('Шаг2.Бланк заказа NEW'!$B$19:$B$201),'Бланк OLD 0.8 04'!$B$12:$K$200,3,0))),
IF(VLOOKUP($A92-COUNT('Шаг2.Бланк заказа NEW'!$B$19:$B$201)-COUNT('Бланк OLD 0.8 04'!$B$18:$B$200),'Бланк OLD 2.0 04 '!$B$16:$K$200,3,0)="","",VLOOKUP($A92-COUNT('Шаг2.Бланк заказа NEW'!$B$19:$B$201)-COUNT('Бланк OLD 0.8 04'!$B$18:$B$200),'Бланк OLD 2.0 04 '!$B$16:$K$200,3,0)))</f>
        <v/>
      </c>
      <c r="G92" s="176" t="str">
        <f ca="1">IF(IF(R92="","",IF(R92=1,SUMIFS('Шаг1.Выбор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плиты'!C:Q,12,0)),1))))))=0,
R92,
IF(R92="","",IF(R92=1,SUMIFS('Шаг1.Выбор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плиты'!N:N,R92,'Шаг1.Выбор плиты'!M:M,SMALL(INDIRECT("мм"&amp;VLOOKUP(C92,'Шаг1.Выбор плиты'!C:Q,12,0)),1)))))))</f>
        <v/>
      </c>
      <c r="H92" s="177" t="str">
        <f ca="1">IF(IF(S92="","",IF(S92=1,SUMIFS('Шаг1.Выбор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плиты'!C:Q,12,0)),1))))))=0,
S92,
IF(S92="","",IF(S92=1,SUMIFS('Шаг1.Выбор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плиты'!N:N,S92,'Шаг1.Выбор плиты'!M:M,SMALL(INDIRECT("мм"&amp;VLOOKUP(C92,'Шаг1.Выбор плиты'!C:Q,12,0)),1)))))))</f>
        <v/>
      </c>
      <c r="I92" s="147" t="str">
        <f ca="1">IFERROR(IFERROR(IF(VLOOKUP($A92,'Шаг2.Бланк заказа NEW'!$B$17:$N$201,6,0)="","",VLOOKUP($A92,'Шаг2.Бланк заказа NEW'!$B$17:$N$201,6,0)),
IF(VLOOKUP($A92-COUNT('Шаг2.Бланк заказа NEW'!$B$19:$B$201),'Бланк OLD 0.8 04'!$B$12:$K$200,6,0)="","",VLOOKUP($A92-COUNT('Шаг2.Бланк заказа NEW'!$B$19:$B$201),'Бланк OLD 0.8 04'!$B$12:$K$200,6,0))),
IF(VLOOKUP($A92-COUNT('Шаг2.Бланк заказа NEW'!$B$19:$B$201)-COUNT('Бланк OLD 0.8 04'!$B$18:$B$200),'Бланк OLD 2.0 04 '!$B$16:$K$200,6,0)="","",VLOOKUP($A92-COUNT('Шаг2.Бланк заказа NEW'!$B$19:$B$201)-COUNT('Бланк OLD 0.8 04'!$B$18:$B$200),'Бланк OLD 2.0 04 '!$B$16:$K$200,6,0)))</f>
        <v/>
      </c>
      <c r="J92" s="177" t="str">
        <f ca="1">IF(IF(T92="","",IF(T92=1,SUMIFS('Шаг1.Выбор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плиты'!C:Q,12,0)),1))))))=0,
T92,
IF(T92="","",IF(T92=1,SUMIFS('Шаг1.Выбор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плиты'!N:N,T92,'Шаг1.Выбор плиты'!M:M,SMALL(INDIRECT("мм"&amp;VLOOKUP(C92,'Шаг1.Выбор плиты'!C:Q,12,0)),1)))))))</f>
        <v/>
      </c>
      <c r="K92" s="177" t="str">
        <f ca="1">IF(IF(U92="","",IF(U92=1,SUMIFS('Шаг1.Выбор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плиты'!C:Q,12,0)),1))))))=0,
U92,
IF(U92="","",IF(U92=1,SUMIFS('Шаг1.Выбор плиты'!$G:$G,'Шаг1.Выбор плиты'!J:J,"*"&amp;RIGHT(VLOOKUP(C92,'Шаг1.Выбор плиты'!C:Q,8,0),4),'Шаг1.Выбор плиты'!L:L,IF(MID(C92,1,6)="ЛДСП P","TM"&amp;MID(VLOOKUP(C92,'Шаг1.Выбор плиты'!C:Q,10,0),3,2),MID(VLOOKUP(C92,'Шаг1.Выбор плиты'!C:Q,10,0),1,2)),
'Шаг1.Выбор плиты'!N:N,1),IF(SUMIFS('Шаг1.Выбор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плиты'!C:Q,12,0)),1))=0,
IF(SUMIFS('Шаг1.Выбор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плиты'!C:Q,12,0)),2))=0,
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плиты'!C:Q,12,0)),3)),
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плиты'!C:Q,12,0)),2))),
(SUMIFS('Шаг1.Выбор плиты'!$G:$G,'Шаг1.Выбор плиты'!J:J,"*"&amp;RIGHT(VLOOKUP(C92,'Шаг1.Выбор плиты'!C:Q,8,0),4),'Шаг1.Выбор плиты'!L:L,VLOOKUP(C92,'Шаг1.Выбор плиты'!C:Q,10,0),'Шаг1.Выбор плиты'!N:N,U92,'Шаг1.Выбор плиты'!M:M,SMALL(INDIRECT("мм"&amp;VLOOKUP(C92,'Шаг1.Выбор плиты'!C:Q,12,0)),1)))))))</f>
        <v/>
      </c>
      <c r="L92" s="147" t="str">
        <f ca="1">IFERROR(IFERROR(IF(VLOOKUP($A92,'Шаг2.Бланк заказа NEW'!$B$17:$N$201,9,0)="","",VLOOKUP($A92,'Шаг2.Бланк заказа NEW'!$B$17:$N$201,9,0)),
IF(VLOOKUP($A92-COUNT('Шаг2.Бланк заказа NEW'!$B$19:$B$201),'Бланк OLD 0.8 04'!$B$12:$K$200,9,0)="","",VLOOKUP($A92-COUNT('Шаг2.Бланк заказа NEW'!$B$19:$B$201),'Бланк OLD 0.8 04'!$B$12:$K$200,9,0))),
IF(VLOOKUP($A92-COUNT('Шаг2.Бланк заказа NEW'!$B$19:$B$201)-COUNT('Бланк OLD 0.8 04'!$B$18:$B$200),'Бланк OLD 2.0 04 '!$B$16:$K$200,9,0)="","",VLOOKUP($A92-COUNT('Шаг2.Бланк заказа NEW'!$B$19:$B$201)-COUNT('Бланк OLD 0.8 04'!$B$18:$B$200),'Бланк OLD 2.0 04 '!$B$16:$K$200,9,0)))</f>
        <v/>
      </c>
      <c r="M92" s="154" t="str">
        <f t="shared" ca="1" si="10"/>
        <v/>
      </c>
      <c r="N92" s="153" t="str">
        <f ca="1">IFERROR(IF(VLOOKUP($A92,'Шаг2.Бланк заказа NEW'!$B$17:$N$201,11,0)="","",VLOOKUP($A92,'Шаг2.Бланк заказа NEW'!$B$17:$N$201,11,0)),
"Нет")</f>
        <v/>
      </c>
      <c r="O92" s="147" t="str">
        <f ca="1">IFERROR(IF(VLOOKUP($A92,'Шаг2.Бланк заказа NEW'!$B$17:$N$201,11,0)="","",VLOOKUP($A92,'Шаг2.Бланк заказа NEW'!$B$17:$N$201,12,0)),
"Нет")</f>
        <v/>
      </c>
      <c r="P92" s="153" t="str">
        <f ca="1">IFERROR(IF(VLOOKUP($A92,'Шаг2.Бланк заказа NEW'!$B$17:$N$201,13,0)="","",VLOOKUP($A92,'Шаг2.Бланк заказа NEW'!$B$17:$N$201,13,0)),
"Нет")</f>
        <v/>
      </c>
      <c r="Q92" s="147" t="str">
        <f ca="1">IFERROR(IF(VLOOKUP($A92,'Шаг2.Бланк заказа NEW'!$B$17:$O$201,14,0)="","",VLOOKUP($A92,'Шаг2.Бланк заказа NEW'!$B$17:$O$201,14,0)),"")</f>
        <v/>
      </c>
      <c r="R92" s="147" t="str">
        <f ca="1">IFERROR(IFERROR(IF(VLOOKUP($A92,'Шаг2.Бланк заказа NEW'!$B$17:$N$201,4,0)="","",VLOOKUP($A92,'Шаг2.Бланк заказа NEW'!$B$17:$N$201,4,0)),
IF(VLOOKUP($A92-COUNT('Шаг2.Бланк заказа NEW'!$B$19:$B$201),'Бланк OLD 0.8 04'!$B$12:$K$200,4,0)&gt;0,0.8,
IF(VLOOKUP($A92-COUNT('Шаг2.Бланк заказа NEW'!$B$19:$B$201),'Бланк OLD 0.8 04'!$B$12:$K$200,5,0)&gt;0,0.4,""))),
IF(VLOOKUP($A92-COUNT('Шаг2.Бланк заказа NEW'!$B$19:$B$201)-COUNT('Бланк OLD 0.8 04'!$B$18:$B$200),'Бланк OLD 2.0 04 '!$B$16:$K$200,4,0)&gt;0,2,IF(VLOOKUP($A92-COUNT('Шаг2.Бланк заказа NEW'!$B$19:$B$201)-COUNT('Бланк OLD 0.8 04'!$B$18:$B$200),'Бланк OLD 2.0 04 '!$B$16:$K$200,5,0)&gt;0,0.4,"")))</f>
        <v/>
      </c>
      <c r="S92" s="147" t="str">
        <f ca="1">IFERROR(IFERROR(IF(VLOOKUP($A92,'Шаг2.Бланк заказа NEW'!$B$17:$N$201,5,0)="","",VLOOKUP($A92,'Шаг2.Бланк заказа NEW'!$B$17:$N$201,5,0)),
IF(VLOOKUP($A92-COUNT('Шаг2.Бланк заказа NEW'!$B$19:$B$201),'Бланк OLD 0.8 04'!$B$12:$K$200,4,0)&gt;1,0.8,
IF(VLOOKUP($A92-COUNT('Шаг2.Бланк заказа NEW'!$B$19:$B$201),'Бланк OLD 0.8 04'!$B$12:$K$200,5,0)&gt;1,0.4,
IF(AND(VLOOKUP($A92-COUNT('Шаг2.Бланк заказа NEW'!$B$19:$B$201),'Бланк OLD 0.8 04'!$B$12:$K$200,4,0)&gt;0,VLOOKUP($A92-COUNT('Шаг2.Бланк заказа NEW'!$B$19:$B$201),'Бланк OLD 0.8 04'!$B$12:$K$200,5,0)&gt;0),0.4,"")))),
IF(VLOOKUP($A92-COUNT('Шаг2.Бланк заказа NEW'!$B$19:$B$201)-COUNT('Бланк OLD 0.8 04'!$B$18:$B$200),'Бланк OLD 2.0 04 '!$B$16:$K$200,4,0)&gt;1,2,
IF(VLOOKUP($A92-COUNT('Шаг2.Бланк заказа NEW'!$B$19:$B$201)-COUNT('Бланк OLD 0.8 04'!$B$18:$B$200),'Бланк OLD 2.0 04 '!$B$16:$K$200,5,0)&gt;1,0.4,IF(AND(VLOOKUP($A92-COUNT('Шаг2.Бланк заказа NEW'!$B$19:$B$201)-COUNT('Бланк OLD 0.8 04'!$B$18:$B$200),'Бланк OLD 2.0 04 '!$B$16:$K$200,4,0)&gt;0,VLOOKUP($A92-COUNT('Шаг2.Бланк заказа NEW'!$B$19:$B$201)-COUNT('Бланк OLD 0.8 04'!$B$18:$B$200),'Бланк OLD 2.0 04 '!$B$16:$K$200,5,0)&gt;0),0.4,""))))</f>
        <v/>
      </c>
      <c r="T92" s="147" t="str">
        <f ca="1">IFERROR(IFERROR(IF(VLOOKUP($A92,'Шаг2.Бланк заказа NEW'!$B$17:$N$201,7,0)="","",VLOOKUP($A92,'Шаг2.Бланк заказа NEW'!$B$17:$N$201,7,0)),
IF(VLOOKUP($A92-COUNT('Шаг2.Бланк заказа NEW'!$B$19:$B$201),'Бланк OLD 0.8 04'!$B$12:$K$200,7,0)&gt;0,0.8,
IF(VLOOKUP($A92-COUNT('Шаг2.Бланк заказа NEW'!$B$19:$B$201),'Бланк OLD 0.8 04'!$B$12:$K$200,8,0)&gt;0,0.4,""))),
IF(VLOOKUP($A92-COUNT('Шаг2.Бланк заказа NEW'!$B$19:$B$201)-COUNT('Бланк OLD 0.8 04'!$B$18:$B$200),'Бланк OLD 2.0 04 '!$B$16:$K$200,7,0)&gt;0,2,IF(VLOOKUP($A92-COUNT('Шаг2.Бланк заказа NEW'!$B$19:$B$201)-COUNT('Бланк OLD 0.8 04'!$B$18:$B$200),'Бланк OLD 2.0 04 '!$B$16:$K$200,8,0)&gt;0,0.4,"")))</f>
        <v/>
      </c>
      <c r="U92" s="147" t="str">
        <f ca="1">IFERROR(IFERROR(IF(VLOOKUP($A92,'Шаг2.Бланк заказа NEW'!$B$17:$N$201,8,0)="","",VLOOKUP($A92,'Шаг2.Бланк заказа NEW'!$B$17:$N$201,8,0)),
IF(VLOOKUP($A92-COUNT('Шаг2.Бланк заказа NEW'!$B$19:$B$201),'Бланк OLD 0.8 04'!$B$12:$K$200,7,0)&gt;1,0.8,
IF(VLOOKUP($A92-COUNT('Шаг2.Бланк заказа NEW'!$B$19:$B$201),'Бланк OLD 0.8 04'!$B$12:$K$200,8,0)&gt;1,0.4,
IF(AND(VLOOKUP($A92-COUNT('Шаг2.Бланк заказа NEW'!$B$19:$B$201),'Бланк OLD 0.8 04'!$B$12:$K$200,7,0)&gt;0,VLOOKUP($A92-COUNT('Шаг2.Бланк заказа NEW'!$B$19:$B$201),'Бланк OLD 0.8 04'!$B$12:$K$200,8,0)&gt;0),0.4,"")))),
IF(VLOOKUP($A92-COUNT('Шаг2.Бланк заказа NEW'!$B$19:$B$201)-COUNT('Бланк OLD 0.8 04'!$B$18:$B$200),'Бланк OLD 2.0 04 '!$B$16:$K$200,7,0)&gt;1,2,
IF(VLOOKUP($A92-COUNT('Шаг2.Бланк заказа NEW'!$B$19:$B$201)-COUNT('Бланк OLD 0.8 04'!$B$18:$B$200),'Бланк OLD 2.0 04 '!$B$16:$K$200,8,0)&gt;1,0.4,
IF(AND(VLOOKUP($A92-COUNT('Шаг2.Бланк заказа NEW'!$B$19:$B$201)-COUNT('Бланк OLD 0.8 04'!$B$18:$B$200),'Бланк OLD 2.0 04 '!$B$16:$K$200,7,0)&gt;0,VLOOKUP($A92-COUNT('Шаг2.Бланк заказа NEW'!$B$19:$B$201)-COUNT('Бланк OLD 0.8 04'!$B$18:$B$200),'Бланк OLD 2.0 04 '!$B$16:$K$200,8,0)&gt;0),0.4,""))))</f>
        <v/>
      </c>
      <c r="V92" s="146" t="str">
        <f ca="1">IFERROR(VLOOKUP(C92,'Шаг1.Выбор плиты'!C:S,12,0),"")</f>
        <v/>
      </c>
      <c r="W92" s="146" t="str">
        <f ca="1">IFERROR(VLOOKUP(C92,'Шаг1.Выбор плиты'!C:S,8,0),"")</f>
        <v/>
      </c>
      <c r="X92" s="146" t="str">
        <f ca="1">IFERROR(VLOOKUP(C92,'Шаг1.Выбор плиты'!C:S,10,0),"")</f>
        <v/>
      </c>
      <c r="Y92" s="147" t="str">
        <f t="shared" ca="1" si="8"/>
        <v/>
      </c>
      <c r="AD92" s="147" t="str">
        <f t="shared" ca="1" si="11"/>
        <v/>
      </c>
      <c r="AE92" s="147" t="str">
        <f t="shared" ca="1" si="9"/>
        <v/>
      </c>
      <c r="AF92" s="25"/>
      <c r="AH92" s="147" t="str">
        <f ca="1">IF(C92="","",VLOOKUP(C92,'Шаг1.Выбор плиты'!C:Q,7,0))</f>
        <v/>
      </c>
      <c r="AI92" s="147" t="str">
        <f t="shared" ca="1" si="12"/>
        <v/>
      </c>
    </row>
    <row r="93" spans="1:35" x14ac:dyDescent="0.2">
      <c r="A93" s="151" t="str">
        <f ca="1">IF(C93="","",MAX($A$1:OFFSET(C93,-1,0))+1)</f>
        <v/>
      </c>
      <c r="B93" s="151" t="str">
        <f ca="1">IFERROR(IFERROR(IFERROR("Шаг2.Бланк заказа NEW №"&amp;VLOOKUP(A92+1,CHOOSE({1,2},'Шаг2.Бланк заказа NEW'!$B$19:$B$201,'Шаг2.Бланк заказа NEW'!$A$19:$A$201),1,0),
"Бланк OLD 0.8 04 №"&amp;VLOOKUP(A92+1-COUNT('Шаг2.Бланк заказа NEW'!$B$19:$B$201),CHOOSE({1,2},'Бланк OLD 0.8 04'!$B$18:$B$200,'Бланк OLD 0.8 04'!$A$18:$A$200),1,0)),
"Бланк OLD 2.0 04 №"&amp;VLOOKUP(A92+1-COUNT('Шаг2.Бланк заказа NEW'!$B$19:$B$201)-COUNT('Бланк OLD 0.8 04'!$B$18:$B$200),CHOOSE({1,2},'Бланк OLD 2.0 04 '!$B$18:$B$200,'Бланк OLD 2.0 04 '!$A$18:$A$200),1,0)),"")</f>
        <v/>
      </c>
      <c r="C93" s="152" t="str">
        <f ca="1">IFERROR(IFERROR(IFERROR(VLOOKUP(A92+1,CHOOSE({1,2},'Шаг2.Бланк заказа NEW'!$B$19:$B$201,'Шаг2.Бланк заказа NEW'!$A$19:$A$201),2,0),
VLOOKUP(A92+1-COUNT('Шаг2.Бланк заказа NEW'!$B$19:$B$201),CHOOSE({1,2},'Бланк OLD 0.8 04'!$B$18:$B$200,'Бланк OLD 0.8 04'!$A$18:$A$200),2,0)),
VLOOKUP(A92+1-COUNT('Шаг2.Бланк заказа NEW'!$B$19:$B$201)-COUNT('Бланк OLD 0.8 04'!$B$18:$B$200),CHOOSE({1,2},'Бланк OLD 2.0 04 '!$B$18:$B$200,'Бланк OLD 2.0 04 '!$A$18:$A$200),2,0)),"")</f>
        <v/>
      </c>
      <c r="D93" s="150" t="str">
        <f ca="1">IFERROR(VLOOKUP(C93,'Шаг1.Выбор плиты'!C:G,5,0),"")</f>
        <v/>
      </c>
      <c r="E93" s="147" t="str">
        <f ca="1">IFERROR(IFERROR(IF(VLOOKUP($A93,'Шаг2.Бланк заказа NEW'!$B$17:$N$201,2,0)="","",VLOOKUP($A93,'Шаг2.Бланк заказа NEW'!$B$17:$N$201,2,0)),
IF(VLOOKUP($A93-COUNT('Шаг2.Бланк заказа NEW'!$B$19:$B$201),'Бланк OLD 0.8 04'!$B$12:$K$200,2,0)="","",VLOOKUP($A93-COUNT('Шаг2.Бланк заказа NEW'!$B$19:$B$201),'Бланк OLD 0.8 04'!$B$12:$K$200,2,0))),
IF(VLOOKUP($A93-COUNT('Шаг2.Бланк заказа NEW'!$B$19:$B$201)-COUNT('Бланк OLD 0.8 04'!$B$18:$B$200),'Бланк OLD 2.0 04 '!$B$16:$K$200,2,0)="","",VLOOKUP($A93-COUNT('Шаг2.Бланк заказа NEW'!$B$19:$B$201)-COUNT('Бланк OLD 0.8 04'!$B$18:$B$200),'Бланк OLD 2.0 04 '!$B$16:$K$200,2,0)))</f>
        <v/>
      </c>
      <c r="F93" s="147" t="str">
        <f ca="1">IFERROR(IFERROR(IF(VLOOKUP($A93,'Шаг2.Бланк заказа NEW'!$B$17:$N$201,3,0)="","",VLOOKUP($A93,'Шаг2.Бланк заказа NEW'!$B$17:$N$201,3,0)),
IF(VLOOKUP($A93-COUNT('Шаг2.Бланк заказа NEW'!$B$19:$B$201),'Бланк OLD 0.8 04'!$B$12:$K$200,3,0)="","",VLOOKUP($A93-COUNT('Шаг2.Бланк заказа NEW'!$B$19:$B$201),'Бланк OLD 0.8 04'!$B$12:$K$200,3,0))),
IF(VLOOKUP($A93-COUNT('Шаг2.Бланк заказа NEW'!$B$19:$B$201)-COUNT('Бланк OLD 0.8 04'!$B$18:$B$200),'Бланк OLD 2.0 04 '!$B$16:$K$200,3,0)="","",VLOOKUP($A93-COUNT('Шаг2.Бланк заказа NEW'!$B$19:$B$201)-COUNT('Бланк OLD 0.8 04'!$B$18:$B$200),'Бланк OLD 2.0 04 '!$B$16:$K$200,3,0)))</f>
        <v/>
      </c>
      <c r="G93" s="176" t="str">
        <f ca="1">IF(IF(R93="","",IF(R93=1,SUMIFS('Шаг1.Выбор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плиты'!C:Q,12,0)),1))))))=0,
R93,
IF(R93="","",IF(R93=1,SUMIFS('Шаг1.Выбор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плиты'!N:N,R93,'Шаг1.Выбор плиты'!M:M,SMALL(INDIRECT("мм"&amp;VLOOKUP(C93,'Шаг1.Выбор плиты'!C:Q,12,0)),1)))))))</f>
        <v/>
      </c>
      <c r="H93" s="177" t="str">
        <f ca="1">IF(IF(S93="","",IF(S93=1,SUMIFS('Шаг1.Выбор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плиты'!C:Q,12,0)),1))))))=0,
S93,
IF(S93="","",IF(S93=1,SUMIFS('Шаг1.Выбор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плиты'!N:N,S93,'Шаг1.Выбор плиты'!M:M,SMALL(INDIRECT("мм"&amp;VLOOKUP(C93,'Шаг1.Выбор плиты'!C:Q,12,0)),1)))))))</f>
        <v/>
      </c>
      <c r="I93" s="147" t="str">
        <f ca="1">IFERROR(IFERROR(IF(VLOOKUP($A93,'Шаг2.Бланк заказа NEW'!$B$17:$N$201,6,0)="","",VLOOKUP($A93,'Шаг2.Бланк заказа NEW'!$B$17:$N$201,6,0)),
IF(VLOOKUP($A93-COUNT('Шаг2.Бланк заказа NEW'!$B$19:$B$201),'Бланк OLD 0.8 04'!$B$12:$K$200,6,0)="","",VLOOKUP($A93-COUNT('Шаг2.Бланк заказа NEW'!$B$19:$B$201),'Бланк OLD 0.8 04'!$B$12:$K$200,6,0))),
IF(VLOOKUP($A93-COUNT('Шаг2.Бланк заказа NEW'!$B$19:$B$201)-COUNT('Бланк OLD 0.8 04'!$B$18:$B$200),'Бланк OLD 2.0 04 '!$B$16:$K$200,6,0)="","",VLOOKUP($A93-COUNT('Шаг2.Бланк заказа NEW'!$B$19:$B$201)-COUNT('Бланк OLD 0.8 04'!$B$18:$B$200),'Бланк OLD 2.0 04 '!$B$16:$K$200,6,0)))</f>
        <v/>
      </c>
      <c r="J93" s="177" t="str">
        <f ca="1">IF(IF(T93="","",IF(T93=1,SUMIFS('Шаг1.Выбор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плиты'!C:Q,12,0)),1))))))=0,
T93,
IF(T93="","",IF(T93=1,SUMIFS('Шаг1.Выбор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плиты'!N:N,T93,'Шаг1.Выбор плиты'!M:M,SMALL(INDIRECT("мм"&amp;VLOOKUP(C93,'Шаг1.Выбор плиты'!C:Q,12,0)),1)))))))</f>
        <v/>
      </c>
      <c r="K93" s="177" t="str">
        <f ca="1">IF(IF(U93="","",IF(U93=1,SUMIFS('Шаг1.Выбор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плиты'!C:Q,12,0)),1))))))=0,
U93,
IF(U93="","",IF(U93=1,SUMIFS('Шаг1.Выбор плиты'!$G:$G,'Шаг1.Выбор плиты'!J:J,"*"&amp;RIGHT(VLOOKUP(C93,'Шаг1.Выбор плиты'!C:Q,8,0),4),'Шаг1.Выбор плиты'!L:L,IF(MID(C93,1,6)="ЛДСП P","TM"&amp;MID(VLOOKUP(C93,'Шаг1.Выбор плиты'!C:Q,10,0),3,2),MID(VLOOKUP(C93,'Шаг1.Выбор плиты'!C:Q,10,0),1,2)),
'Шаг1.Выбор плиты'!N:N,1),IF(SUMIFS('Шаг1.Выбор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плиты'!C:Q,12,0)),1))=0,
IF(SUMIFS('Шаг1.Выбор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плиты'!C:Q,12,0)),2))=0,
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плиты'!C:Q,12,0)),3)),
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плиты'!C:Q,12,0)),2))),
(SUMIFS('Шаг1.Выбор плиты'!$G:$G,'Шаг1.Выбор плиты'!J:J,"*"&amp;RIGHT(VLOOKUP(C93,'Шаг1.Выбор плиты'!C:Q,8,0),4),'Шаг1.Выбор плиты'!L:L,VLOOKUP(C93,'Шаг1.Выбор плиты'!C:Q,10,0),'Шаг1.Выбор плиты'!N:N,U93,'Шаг1.Выбор плиты'!M:M,SMALL(INDIRECT("мм"&amp;VLOOKUP(C93,'Шаг1.Выбор плиты'!C:Q,12,0)),1)))))))</f>
        <v/>
      </c>
      <c r="L93" s="147" t="str">
        <f ca="1">IFERROR(IFERROR(IF(VLOOKUP($A93,'Шаг2.Бланк заказа NEW'!$B$17:$N$201,9,0)="","",VLOOKUP($A93,'Шаг2.Бланк заказа NEW'!$B$17:$N$201,9,0)),
IF(VLOOKUP($A93-COUNT('Шаг2.Бланк заказа NEW'!$B$19:$B$201),'Бланк OLD 0.8 04'!$B$12:$K$200,9,0)="","",VLOOKUP($A93-COUNT('Шаг2.Бланк заказа NEW'!$B$19:$B$201),'Бланк OLD 0.8 04'!$B$12:$K$200,9,0))),
IF(VLOOKUP($A93-COUNT('Шаг2.Бланк заказа NEW'!$B$19:$B$201)-COUNT('Бланк OLD 0.8 04'!$B$18:$B$200),'Бланк OLD 2.0 04 '!$B$16:$K$200,9,0)="","",VLOOKUP($A93-COUNT('Шаг2.Бланк заказа NEW'!$B$19:$B$201)-COUNT('Бланк OLD 0.8 04'!$B$18:$B$200),'Бланк OLD 2.0 04 '!$B$16:$K$200,9,0)))</f>
        <v/>
      </c>
      <c r="M93" s="154" t="str">
        <f t="shared" ca="1" si="10"/>
        <v/>
      </c>
      <c r="N93" s="153" t="str">
        <f ca="1">IFERROR(IF(VLOOKUP($A93,'Шаг2.Бланк заказа NEW'!$B$17:$N$201,11,0)="","",VLOOKUP($A93,'Шаг2.Бланк заказа NEW'!$B$17:$N$201,11,0)),
"Нет")</f>
        <v/>
      </c>
      <c r="O93" s="147" t="str">
        <f ca="1">IFERROR(IF(VLOOKUP($A93,'Шаг2.Бланк заказа NEW'!$B$17:$N$201,11,0)="","",VLOOKUP($A93,'Шаг2.Бланк заказа NEW'!$B$17:$N$201,12,0)),
"Нет")</f>
        <v/>
      </c>
      <c r="P93" s="153" t="str">
        <f ca="1">IFERROR(IF(VLOOKUP($A93,'Шаг2.Бланк заказа NEW'!$B$17:$N$201,13,0)="","",VLOOKUP($A93,'Шаг2.Бланк заказа NEW'!$B$17:$N$201,13,0)),
"Нет")</f>
        <v/>
      </c>
      <c r="Q93" s="147" t="str">
        <f ca="1">IFERROR(IF(VLOOKUP($A93,'Шаг2.Бланк заказа NEW'!$B$17:$O$201,14,0)="","",VLOOKUP($A93,'Шаг2.Бланк заказа NEW'!$B$17:$O$201,14,0)),"")</f>
        <v/>
      </c>
      <c r="R93" s="147" t="str">
        <f ca="1">IFERROR(IFERROR(IF(VLOOKUP($A93,'Шаг2.Бланк заказа NEW'!$B$17:$N$201,4,0)="","",VLOOKUP($A93,'Шаг2.Бланк заказа NEW'!$B$17:$N$201,4,0)),
IF(VLOOKUP($A93-COUNT('Шаг2.Бланк заказа NEW'!$B$19:$B$201),'Бланк OLD 0.8 04'!$B$12:$K$200,4,0)&gt;0,0.8,
IF(VLOOKUP($A93-COUNT('Шаг2.Бланк заказа NEW'!$B$19:$B$201),'Бланк OLD 0.8 04'!$B$12:$K$200,5,0)&gt;0,0.4,""))),
IF(VLOOKUP($A93-COUNT('Шаг2.Бланк заказа NEW'!$B$19:$B$201)-COUNT('Бланк OLD 0.8 04'!$B$18:$B$200),'Бланк OLD 2.0 04 '!$B$16:$K$200,4,0)&gt;0,2,IF(VLOOKUP($A93-COUNT('Шаг2.Бланк заказа NEW'!$B$19:$B$201)-COUNT('Бланк OLD 0.8 04'!$B$18:$B$200),'Бланк OLD 2.0 04 '!$B$16:$K$200,5,0)&gt;0,0.4,"")))</f>
        <v/>
      </c>
      <c r="S93" s="147" t="str">
        <f ca="1">IFERROR(IFERROR(IF(VLOOKUP($A93,'Шаг2.Бланк заказа NEW'!$B$17:$N$201,5,0)="","",VLOOKUP($A93,'Шаг2.Бланк заказа NEW'!$B$17:$N$201,5,0)),
IF(VLOOKUP($A93-COUNT('Шаг2.Бланк заказа NEW'!$B$19:$B$201),'Бланк OLD 0.8 04'!$B$12:$K$200,4,0)&gt;1,0.8,
IF(VLOOKUP($A93-COUNT('Шаг2.Бланк заказа NEW'!$B$19:$B$201),'Бланк OLD 0.8 04'!$B$12:$K$200,5,0)&gt;1,0.4,
IF(AND(VLOOKUP($A93-COUNT('Шаг2.Бланк заказа NEW'!$B$19:$B$201),'Бланк OLD 0.8 04'!$B$12:$K$200,4,0)&gt;0,VLOOKUP($A93-COUNT('Шаг2.Бланк заказа NEW'!$B$19:$B$201),'Бланк OLD 0.8 04'!$B$12:$K$200,5,0)&gt;0),0.4,"")))),
IF(VLOOKUP($A93-COUNT('Шаг2.Бланк заказа NEW'!$B$19:$B$201)-COUNT('Бланк OLD 0.8 04'!$B$18:$B$200),'Бланк OLD 2.0 04 '!$B$16:$K$200,4,0)&gt;1,2,
IF(VLOOKUP($A93-COUNT('Шаг2.Бланк заказа NEW'!$B$19:$B$201)-COUNT('Бланк OLD 0.8 04'!$B$18:$B$200),'Бланк OLD 2.0 04 '!$B$16:$K$200,5,0)&gt;1,0.4,IF(AND(VLOOKUP($A93-COUNT('Шаг2.Бланк заказа NEW'!$B$19:$B$201)-COUNT('Бланк OLD 0.8 04'!$B$18:$B$200),'Бланк OLD 2.0 04 '!$B$16:$K$200,4,0)&gt;0,VLOOKUP($A93-COUNT('Шаг2.Бланк заказа NEW'!$B$19:$B$201)-COUNT('Бланк OLD 0.8 04'!$B$18:$B$200),'Бланк OLD 2.0 04 '!$B$16:$K$200,5,0)&gt;0),0.4,""))))</f>
        <v/>
      </c>
      <c r="T93" s="147" t="str">
        <f ca="1">IFERROR(IFERROR(IF(VLOOKUP($A93,'Шаг2.Бланк заказа NEW'!$B$17:$N$201,7,0)="","",VLOOKUP($A93,'Шаг2.Бланк заказа NEW'!$B$17:$N$201,7,0)),
IF(VLOOKUP($A93-COUNT('Шаг2.Бланк заказа NEW'!$B$19:$B$201),'Бланк OLD 0.8 04'!$B$12:$K$200,7,0)&gt;0,0.8,
IF(VLOOKUP($A93-COUNT('Шаг2.Бланк заказа NEW'!$B$19:$B$201),'Бланк OLD 0.8 04'!$B$12:$K$200,8,0)&gt;0,0.4,""))),
IF(VLOOKUP($A93-COUNT('Шаг2.Бланк заказа NEW'!$B$19:$B$201)-COUNT('Бланк OLD 0.8 04'!$B$18:$B$200),'Бланк OLD 2.0 04 '!$B$16:$K$200,7,0)&gt;0,2,IF(VLOOKUP($A93-COUNT('Шаг2.Бланк заказа NEW'!$B$19:$B$201)-COUNT('Бланк OLD 0.8 04'!$B$18:$B$200),'Бланк OLD 2.0 04 '!$B$16:$K$200,8,0)&gt;0,0.4,"")))</f>
        <v/>
      </c>
      <c r="U93" s="147" t="str">
        <f ca="1">IFERROR(IFERROR(IF(VLOOKUP($A93,'Шаг2.Бланк заказа NEW'!$B$17:$N$201,8,0)="","",VLOOKUP($A93,'Шаг2.Бланк заказа NEW'!$B$17:$N$201,8,0)),
IF(VLOOKUP($A93-COUNT('Шаг2.Бланк заказа NEW'!$B$19:$B$201),'Бланк OLD 0.8 04'!$B$12:$K$200,7,0)&gt;1,0.8,
IF(VLOOKUP($A93-COUNT('Шаг2.Бланк заказа NEW'!$B$19:$B$201),'Бланк OLD 0.8 04'!$B$12:$K$200,8,0)&gt;1,0.4,
IF(AND(VLOOKUP($A93-COUNT('Шаг2.Бланк заказа NEW'!$B$19:$B$201),'Бланк OLD 0.8 04'!$B$12:$K$200,7,0)&gt;0,VLOOKUP($A93-COUNT('Шаг2.Бланк заказа NEW'!$B$19:$B$201),'Бланк OLD 0.8 04'!$B$12:$K$200,8,0)&gt;0),0.4,"")))),
IF(VLOOKUP($A93-COUNT('Шаг2.Бланк заказа NEW'!$B$19:$B$201)-COUNT('Бланк OLD 0.8 04'!$B$18:$B$200),'Бланк OLD 2.0 04 '!$B$16:$K$200,7,0)&gt;1,2,
IF(VLOOKUP($A93-COUNT('Шаг2.Бланк заказа NEW'!$B$19:$B$201)-COUNT('Бланк OLD 0.8 04'!$B$18:$B$200),'Бланк OLD 2.0 04 '!$B$16:$K$200,8,0)&gt;1,0.4,
IF(AND(VLOOKUP($A93-COUNT('Шаг2.Бланк заказа NEW'!$B$19:$B$201)-COUNT('Бланк OLD 0.8 04'!$B$18:$B$200),'Бланк OLD 2.0 04 '!$B$16:$K$200,7,0)&gt;0,VLOOKUP($A93-COUNT('Шаг2.Бланк заказа NEW'!$B$19:$B$201)-COUNT('Бланк OLD 0.8 04'!$B$18:$B$200),'Бланк OLD 2.0 04 '!$B$16:$K$200,8,0)&gt;0),0.4,""))))</f>
        <v/>
      </c>
      <c r="V93" s="146" t="str">
        <f ca="1">IFERROR(VLOOKUP(C93,'Шаг1.Выбор плиты'!C:S,12,0),"")</f>
        <v/>
      </c>
      <c r="W93" s="146" t="str">
        <f ca="1">IFERROR(VLOOKUP(C93,'Шаг1.Выбор плиты'!C:S,8,0),"")</f>
        <v/>
      </c>
      <c r="X93" s="146" t="str">
        <f ca="1">IFERROR(VLOOKUP(C93,'Шаг1.Выбор плиты'!C:S,10,0),"")</f>
        <v/>
      </c>
      <c r="Y93" s="147" t="str">
        <f t="shared" ca="1" si="8"/>
        <v/>
      </c>
      <c r="AD93" s="147" t="str">
        <f t="shared" ca="1" si="11"/>
        <v/>
      </c>
      <c r="AE93" s="147" t="str">
        <f t="shared" ca="1" si="9"/>
        <v/>
      </c>
      <c r="AF93" s="25"/>
      <c r="AH93" s="147" t="str">
        <f ca="1">IF(C93="","",VLOOKUP(C93,'Шаг1.Выбор плиты'!C:Q,7,0))</f>
        <v/>
      </c>
      <c r="AI93" s="147" t="str">
        <f t="shared" ca="1" si="12"/>
        <v/>
      </c>
    </row>
    <row r="94" spans="1:35" x14ac:dyDescent="0.2">
      <c r="A94" s="151" t="str">
        <f ca="1">IF(C94="","",MAX($A$1:OFFSET(C94,-1,0))+1)</f>
        <v/>
      </c>
      <c r="B94" s="151" t="str">
        <f ca="1">IFERROR(IFERROR(IFERROR("Шаг2.Бланк заказа NEW №"&amp;VLOOKUP(A93+1,CHOOSE({1,2},'Шаг2.Бланк заказа NEW'!$B$19:$B$201,'Шаг2.Бланк заказа NEW'!$A$19:$A$201),1,0),
"Бланк OLD 0.8 04 №"&amp;VLOOKUP(A93+1-COUNT('Шаг2.Бланк заказа NEW'!$B$19:$B$201),CHOOSE({1,2},'Бланк OLD 0.8 04'!$B$18:$B$200,'Бланк OLD 0.8 04'!$A$18:$A$200),1,0)),
"Бланк OLD 2.0 04 №"&amp;VLOOKUP(A93+1-COUNT('Шаг2.Бланк заказа NEW'!$B$19:$B$201)-COUNT('Бланк OLD 0.8 04'!$B$18:$B$200),CHOOSE({1,2},'Бланк OLD 2.0 04 '!$B$18:$B$200,'Бланк OLD 2.0 04 '!$A$18:$A$200),1,0)),"")</f>
        <v/>
      </c>
      <c r="C94" s="152" t="str">
        <f ca="1">IFERROR(IFERROR(IFERROR(VLOOKUP(A93+1,CHOOSE({1,2},'Шаг2.Бланк заказа NEW'!$B$19:$B$201,'Шаг2.Бланк заказа NEW'!$A$19:$A$201),2,0),
VLOOKUP(A93+1-COUNT('Шаг2.Бланк заказа NEW'!$B$19:$B$201),CHOOSE({1,2},'Бланк OLD 0.8 04'!$B$18:$B$200,'Бланк OLD 0.8 04'!$A$18:$A$200),2,0)),
VLOOKUP(A93+1-COUNT('Шаг2.Бланк заказа NEW'!$B$19:$B$201)-COUNT('Бланк OLD 0.8 04'!$B$18:$B$200),CHOOSE({1,2},'Бланк OLD 2.0 04 '!$B$18:$B$200,'Бланк OLD 2.0 04 '!$A$18:$A$200),2,0)),"")</f>
        <v/>
      </c>
      <c r="D94" s="150" t="str">
        <f ca="1">IFERROR(VLOOKUP(C94,'Шаг1.Выбор плиты'!C:G,5,0),"")</f>
        <v/>
      </c>
      <c r="E94" s="147" t="str">
        <f ca="1">IFERROR(IFERROR(IF(VLOOKUP($A94,'Шаг2.Бланк заказа NEW'!$B$17:$N$201,2,0)="","",VLOOKUP($A94,'Шаг2.Бланк заказа NEW'!$B$17:$N$201,2,0)),
IF(VLOOKUP($A94-COUNT('Шаг2.Бланк заказа NEW'!$B$19:$B$201),'Бланк OLD 0.8 04'!$B$12:$K$200,2,0)="","",VLOOKUP($A94-COUNT('Шаг2.Бланк заказа NEW'!$B$19:$B$201),'Бланк OLD 0.8 04'!$B$12:$K$200,2,0))),
IF(VLOOKUP($A94-COUNT('Шаг2.Бланк заказа NEW'!$B$19:$B$201)-COUNT('Бланк OLD 0.8 04'!$B$18:$B$200),'Бланк OLD 2.0 04 '!$B$16:$K$200,2,0)="","",VLOOKUP($A94-COUNT('Шаг2.Бланк заказа NEW'!$B$19:$B$201)-COUNT('Бланк OLD 0.8 04'!$B$18:$B$200),'Бланк OLD 2.0 04 '!$B$16:$K$200,2,0)))</f>
        <v/>
      </c>
      <c r="F94" s="147" t="str">
        <f ca="1">IFERROR(IFERROR(IF(VLOOKUP($A94,'Шаг2.Бланк заказа NEW'!$B$17:$N$201,3,0)="","",VLOOKUP($A94,'Шаг2.Бланк заказа NEW'!$B$17:$N$201,3,0)),
IF(VLOOKUP($A94-COUNT('Шаг2.Бланк заказа NEW'!$B$19:$B$201),'Бланк OLD 0.8 04'!$B$12:$K$200,3,0)="","",VLOOKUP($A94-COUNT('Шаг2.Бланк заказа NEW'!$B$19:$B$201),'Бланк OLD 0.8 04'!$B$12:$K$200,3,0))),
IF(VLOOKUP($A94-COUNT('Шаг2.Бланк заказа NEW'!$B$19:$B$201)-COUNT('Бланк OLD 0.8 04'!$B$18:$B$200),'Бланк OLD 2.0 04 '!$B$16:$K$200,3,0)="","",VLOOKUP($A94-COUNT('Шаг2.Бланк заказа NEW'!$B$19:$B$201)-COUNT('Бланк OLD 0.8 04'!$B$18:$B$200),'Бланк OLD 2.0 04 '!$B$16:$K$200,3,0)))</f>
        <v/>
      </c>
      <c r="G94" s="176" t="str">
        <f ca="1">IF(IF(R94="","",IF(R94=1,SUMIFS('Шаг1.Выбор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плиты'!C:Q,12,0)),1))))))=0,
R94,
IF(R94="","",IF(R94=1,SUMIFS('Шаг1.Выбор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плиты'!N:N,R94,'Шаг1.Выбор плиты'!M:M,SMALL(INDIRECT("мм"&amp;VLOOKUP(C94,'Шаг1.Выбор плиты'!C:Q,12,0)),1)))))))</f>
        <v/>
      </c>
      <c r="H94" s="177" t="str">
        <f ca="1">IF(IF(S94="","",IF(S94=1,SUMIFS('Шаг1.Выбор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плиты'!C:Q,12,0)),1))))))=0,
S94,
IF(S94="","",IF(S94=1,SUMIFS('Шаг1.Выбор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плиты'!N:N,S94,'Шаг1.Выбор плиты'!M:M,SMALL(INDIRECT("мм"&amp;VLOOKUP(C94,'Шаг1.Выбор плиты'!C:Q,12,0)),1)))))))</f>
        <v/>
      </c>
      <c r="I94" s="147" t="str">
        <f ca="1">IFERROR(IFERROR(IF(VLOOKUP($A94,'Шаг2.Бланк заказа NEW'!$B$17:$N$201,6,0)="","",VLOOKUP($A94,'Шаг2.Бланк заказа NEW'!$B$17:$N$201,6,0)),
IF(VLOOKUP($A94-COUNT('Шаг2.Бланк заказа NEW'!$B$19:$B$201),'Бланк OLD 0.8 04'!$B$12:$K$200,6,0)="","",VLOOKUP($A94-COUNT('Шаг2.Бланк заказа NEW'!$B$19:$B$201),'Бланк OLD 0.8 04'!$B$12:$K$200,6,0))),
IF(VLOOKUP($A94-COUNT('Шаг2.Бланк заказа NEW'!$B$19:$B$201)-COUNT('Бланк OLD 0.8 04'!$B$18:$B$200),'Бланк OLD 2.0 04 '!$B$16:$K$200,6,0)="","",VLOOKUP($A94-COUNT('Шаг2.Бланк заказа NEW'!$B$19:$B$201)-COUNT('Бланк OLD 0.8 04'!$B$18:$B$200),'Бланк OLD 2.0 04 '!$B$16:$K$200,6,0)))</f>
        <v/>
      </c>
      <c r="J94" s="177" t="str">
        <f ca="1">IF(IF(T94="","",IF(T94=1,SUMIFS('Шаг1.Выбор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плиты'!C:Q,12,0)),1))))))=0,
T94,
IF(T94="","",IF(T94=1,SUMIFS('Шаг1.Выбор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плиты'!N:N,T94,'Шаг1.Выбор плиты'!M:M,SMALL(INDIRECT("мм"&amp;VLOOKUP(C94,'Шаг1.Выбор плиты'!C:Q,12,0)),1)))))))</f>
        <v/>
      </c>
      <c r="K94" s="177" t="str">
        <f ca="1">IF(IF(U94="","",IF(U94=1,SUMIFS('Шаг1.Выбор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плиты'!C:Q,12,0)),1))))))=0,
U94,
IF(U94="","",IF(U94=1,SUMIFS('Шаг1.Выбор плиты'!$G:$G,'Шаг1.Выбор плиты'!J:J,"*"&amp;RIGHT(VLOOKUP(C94,'Шаг1.Выбор плиты'!C:Q,8,0),4),'Шаг1.Выбор плиты'!L:L,IF(MID(C94,1,6)="ЛДСП P","TM"&amp;MID(VLOOKUP(C94,'Шаг1.Выбор плиты'!C:Q,10,0),3,2),MID(VLOOKUP(C94,'Шаг1.Выбор плиты'!C:Q,10,0),1,2)),
'Шаг1.Выбор плиты'!N:N,1),IF(SUMIFS('Шаг1.Выбор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плиты'!C:Q,12,0)),1))=0,
IF(SUMIFS('Шаг1.Выбор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плиты'!C:Q,12,0)),2))=0,
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плиты'!C:Q,12,0)),3)),
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плиты'!C:Q,12,0)),2))),
(SUMIFS('Шаг1.Выбор плиты'!$G:$G,'Шаг1.Выбор плиты'!J:J,"*"&amp;RIGHT(VLOOKUP(C94,'Шаг1.Выбор плиты'!C:Q,8,0),4),'Шаг1.Выбор плиты'!L:L,VLOOKUP(C94,'Шаг1.Выбор плиты'!C:Q,10,0),'Шаг1.Выбор плиты'!N:N,U94,'Шаг1.Выбор плиты'!M:M,SMALL(INDIRECT("мм"&amp;VLOOKUP(C94,'Шаг1.Выбор плиты'!C:Q,12,0)),1)))))))</f>
        <v/>
      </c>
      <c r="L94" s="147" t="str">
        <f ca="1">IFERROR(IFERROR(IF(VLOOKUP($A94,'Шаг2.Бланк заказа NEW'!$B$17:$N$201,9,0)="","",VLOOKUP($A94,'Шаг2.Бланк заказа NEW'!$B$17:$N$201,9,0)),
IF(VLOOKUP($A94-COUNT('Шаг2.Бланк заказа NEW'!$B$19:$B$201),'Бланк OLD 0.8 04'!$B$12:$K$200,9,0)="","",VLOOKUP($A94-COUNT('Шаг2.Бланк заказа NEW'!$B$19:$B$201),'Бланк OLD 0.8 04'!$B$12:$K$200,9,0))),
IF(VLOOKUP($A94-COUNT('Шаг2.Бланк заказа NEW'!$B$19:$B$201)-COUNT('Бланк OLD 0.8 04'!$B$18:$B$200),'Бланк OLD 2.0 04 '!$B$16:$K$200,9,0)="","",VLOOKUP($A94-COUNT('Шаг2.Бланк заказа NEW'!$B$19:$B$201)-COUNT('Бланк OLD 0.8 04'!$B$18:$B$200),'Бланк OLD 2.0 04 '!$B$16:$K$200,9,0)))</f>
        <v/>
      </c>
      <c r="M94" s="154" t="str">
        <f t="shared" ca="1" si="10"/>
        <v/>
      </c>
      <c r="N94" s="153" t="str">
        <f ca="1">IFERROR(IF(VLOOKUP($A94,'Шаг2.Бланк заказа NEW'!$B$17:$N$201,11,0)="","",VLOOKUP($A94,'Шаг2.Бланк заказа NEW'!$B$17:$N$201,11,0)),
"Нет")</f>
        <v/>
      </c>
      <c r="O94" s="147" t="str">
        <f ca="1">IFERROR(IF(VLOOKUP($A94,'Шаг2.Бланк заказа NEW'!$B$17:$N$201,11,0)="","",VLOOKUP($A94,'Шаг2.Бланк заказа NEW'!$B$17:$N$201,12,0)),
"Нет")</f>
        <v/>
      </c>
      <c r="P94" s="153" t="str">
        <f ca="1">IFERROR(IF(VLOOKUP($A94,'Шаг2.Бланк заказа NEW'!$B$17:$N$201,13,0)="","",VLOOKUP($A94,'Шаг2.Бланк заказа NEW'!$B$17:$N$201,13,0)),
"Нет")</f>
        <v/>
      </c>
      <c r="Q94" s="147" t="str">
        <f ca="1">IFERROR(IF(VLOOKUP($A94,'Шаг2.Бланк заказа NEW'!$B$17:$O$201,14,0)="","",VLOOKUP($A94,'Шаг2.Бланк заказа NEW'!$B$17:$O$201,14,0)),"")</f>
        <v/>
      </c>
      <c r="R94" s="147" t="str">
        <f ca="1">IFERROR(IFERROR(IF(VLOOKUP($A94,'Шаг2.Бланк заказа NEW'!$B$17:$N$201,4,0)="","",VLOOKUP($A94,'Шаг2.Бланк заказа NEW'!$B$17:$N$201,4,0)),
IF(VLOOKUP($A94-COUNT('Шаг2.Бланк заказа NEW'!$B$19:$B$201),'Бланк OLD 0.8 04'!$B$12:$K$200,4,0)&gt;0,0.8,
IF(VLOOKUP($A94-COUNT('Шаг2.Бланк заказа NEW'!$B$19:$B$201),'Бланк OLD 0.8 04'!$B$12:$K$200,5,0)&gt;0,0.4,""))),
IF(VLOOKUP($A94-COUNT('Шаг2.Бланк заказа NEW'!$B$19:$B$201)-COUNT('Бланк OLD 0.8 04'!$B$18:$B$200),'Бланк OLD 2.0 04 '!$B$16:$K$200,4,0)&gt;0,2,IF(VLOOKUP($A94-COUNT('Шаг2.Бланк заказа NEW'!$B$19:$B$201)-COUNT('Бланк OLD 0.8 04'!$B$18:$B$200),'Бланк OLD 2.0 04 '!$B$16:$K$200,5,0)&gt;0,0.4,"")))</f>
        <v/>
      </c>
      <c r="S94" s="147" t="str">
        <f ca="1">IFERROR(IFERROR(IF(VLOOKUP($A94,'Шаг2.Бланк заказа NEW'!$B$17:$N$201,5,0)="","",VLOOKUP($A94,'Шаг2.Бланк заказа NEW'!$B$17:$N$201,5,0)),
IF(VLOOKUP($A94-COUNT('Шаг2.Бланк заказа NEW'!$B$19:$B$201),'Бланк OLD 0.8 04'!$B$12:$K$200,4,0)&gt;1,0.8,
IF(VLOOKUP($A94-COUNT('Шаг2.Бланк заказа NEW'!$B$19:$B$201),'Бланк OLD 0.8 04'!$B$12:$K$200,5,0)&gt;1,0.4,
IF(AND(VLOOKUP($A94-COUNT('Шаг2.Бланк заказа NEW'!$B$19:$B$201),'Бланк OLD 0.8 04'!$B$12:$K$200,4,0)&gt;0,VLOOKUP($A94-COUNT('Шаг2.Бланк заказа NEW'!$B$19:$B$201),'Бланк OLD 0.8 04'!$B$12:$K$200,5,0)&gt;0),0.4,"")))),
IF(VLOOKUP($A94-COUNT('Шаг2.Бланк заказа NEW'!$B$19:$B$201)-COUNT('Бланк OLD 0.8 04'!$B$18:$B$200),'Бланк OLD 2.0 04 '!$B$16:$K$200,4,0)&gt;1,2,
IF(VLOOKUP($A94-COUNT('Шаг2.Бланк заказа NEW'!$B$19:$B$201)-COUNT('Бланк OLD 0.8 04'!$B$18:$B$200),'Бланк OLD 2.0 04 '!$B$16:$K$200,5,0)&gt;1,0.4,IF(AND(VLOOKUP($A94-COUNT('Шаг2.Бланк заказа NEW'!$B$19:$B$201)-COUNT('Бланк OLD 0.8 04'!$B$18:$B$200),'Бланк OLD 2.0 04 '!$B$16:$K$200,4,0)&gt;0,VLOOKUP($A94-COUNT('Шаг2.Бланк заказа NEW'!$B$19:$B$201)-COUNT('Бланк OLD 0.8 04'!$B$18:$B$200),'Бланк OLD 2.0 04 '!$B$16:$K$200,5,0)&gt;0),0.4,""))))</f>
        <v/>
      </c>
      <c r="T94" s="147" t="str">
        <f ca="1">IFERROR(IFERROR(IF(VLOOKUP($A94,'Шаг2.Бланк заказа NEW'!$B$17:$N$201,7,0)="","",VLOOKUP($A94,'Шаг2.Бланк заказа NEW'!$B$17:$N$201,7,0)),
IF(VLOOKUP($A94-COUNT('Шаг2.Бланк заказа NEW'!$B$19:$B$201),'Бланк OLD 0.8 04'!$B$12:$K$200,7,0)&gt;0,0.8,
IF(VLOOKUP($A94-COUNT('Шаг2.Бланк заказа NEW'!$B$19:$B$201),'Бланк OLD 0.8 04'!$B$12:$K$200,8,0)&gt;0,0.4,""))),
IF(VLOOKUP($A94-COUNT('Шаг2.Бланк заказа NEW'!$B$19:$B$201)-COUNT('Бланк OLD 0.8 04'!$B$18:$B$200),'Бланк OLD 2.0 04 '!$B$16:$K$200,7,0)&gt;0,2,IF(VLOOKUP($A94-COUNT('Шаг2.Бланк заказа NEW'!$B$19:$B$201)-COUNT('Бланк OLD 0.8 04'!$B$18:$B$200),'Бланк OLD 2.0 04 '!$B$16:$K$200,8,0)&gt;0,0.4,"")))</f>
        <v/>
      </c>
      <c r="U94" s="147" t="str">
        <f ca="1">IFERROR(IFERROR(IF(VLOOKUP($A94,'Шаг2.Бланк заказа NEW'!$B$17:$N$201,8,0)="","",VLOOKUP($A94,'Шаг2.Бланк заказа NEW'!$B$17:$N$201,8,0)),
IF(VLOOKUP($A94-COUNT('Шаг2.Бланк заказа NEW'!$B$19:$B$201),'Бланк OLD 0.8 04'!$B$12:$K$200,7,0)&gt;1,0.8,
IF(VLOOKUP($A94-COUNT('Шаг2.Бланк заказа NEW'!$B$19:$B$201),'Бланк OLD 0.8 04'!$B$12:$K$200,8,0)&gt;1,0.4,
IF(AND(VLOOKUP($A94-COUNT('Шаг2.Бланк заказа NEW'!$B$19:$B$201),'Бланк OLD 0.8 04'!$B$12:$K$200,7,0)&gt;0,VLOOKUP($A94-COUNT('Шаг2.Бланк заказа NEW'!$B$19:$B$201),'Бланк OLD 0.8 04'!$B$12:$K$200,8,0)&gt;0),0.4,"")))),
IF(VLOOKUP($A94-COUNT('Шаг2.Бланк заказа NEW'!$B$19:$B$201)-COUNT('Бланк OLD 0.8 04'!$B$18:$B$200),'Бланк OLD 2.0 04 '!$B$16:$K$200,7,0)&gt;1,2,
IF(VLOOKUP($A94-COUNT('Шаг2.Бланк заказа NEW'!$B$19:$B$201)-COUNT('Бланк OLD 0.8 04'!$B$18:$B$200),'Бланк OLD 2.0 04 '!$B$16:$K$200,8,0)&gt;1,0.4,
IF(AND(VLOOKUP($A94-COUNT('Шаг2.Бланк заказа NEW'!$B$19:$B$201)-COUNT('Бланк OLD 0.8 04'!$B$18:$B$200),'Бланк OLD 2.0 04 '!$B$16:$K$200,7,0)&gt;0,VLOOKUP($A94-COUNT('Шаг2.Бланк заказа NEW'!$B$19:$B$201)-COUNT('Бланк OLD 0.8 04'!$B$18:$B$200),'Бланк OLD 2.0 04 '!$B$16:$K$200,8,0)&gt;0),0.4,""))))</f>
        <v/>
      </c>
      <c r="V94" s="146" t="str">
        <f ca="1">IFERROR(VLOOKUP(C94,'Шаг1.Выбор плиты'!C:S,12,0),"")</f>
        <v/>
      </c>
      <c r="W94" s="146" t="str">
        <f ca="1">IFERROR(VLOOKUP(C94,'Шаг1.Выбор плиты'!C:S,8,0),"")</f>
        <v/>
      </c>
      <c r="X94" s="146" t="str">
        <f ca="1">IFERROR(VLOOKUP(C94,'Шаг1.Выбор плиты'!C:S,10,0),"")</f>
        <v/>
      </c>
      <c r="Y94" s="147" t="str">
        <f t="shared" ca="1" si="8"/>
        <v/>
      </c>
      <c r="AD94" s="147" t="str">
        <f t="shared" ca="1" si="11"/>
        <v/>
      </c>
      <c r="AE94" s="147" t="str">
        <f t="shared" ca="1" si="9"/>
        <v/>
      </c>
      <c r="AF94" s="25"/>
      <c r="AH94" s="147" t="str">
        <f ca="1">IF(C94="","",VLOOKUP(C94,'Шаг1.Выбор плиты'!C:Q,7,0))</f>
        <v/>
      </c>
      <c r="AI94" s="147" t="str">
        <f t="shared" ca="1" si="12"/>
        <v/>
      </c>
    </row>
    <row r="95" spans="1:35" x14ac:dyDescent="0.2">
      <c r="A95" s="151" t="str">
        <f ca="1">IF(C95="","",MAX($A$1:OFFSET(C95,-1,0))+1)</f>
        <v/>
      </c>
      <c r="B95" s="151" t="str">
        <f ca="1">IFERROR(IFERROR(IFERROR("Шаг2.Бланк заказа NEW №"&amp;VLOOKUP(A94+1,CHOOSE({1,2},'Шаг2.Бланк заказа NEW'!$B$19:$B$201,'Шаг2.Бланк заказа NEW'!$A$19:$A$201),1,0),
"Бланк OLD 0.8 04 №"&amp;VLOOKUP(A94+1-COUNT('Шаг2.Бланк заказа NEW'!$B$19:$B$201),CHOOSE({1,2},'Бланк OLD 0.8 04'!$B$18:$B$200,'Бланк OLD 0.8 04'!$A$18:$A$200),1,0)),
"Бланк OLD 2.0 04 №"&amp;VLOOKUP(A94+1-COUNT('Шаг2.Бланк заказа NEW'!$B$19:$B$201)-COUNT('Бланк OLD 0.8 04'!$B$18:$B$200),CHOOSE({1,2},'Бланк OLD 2.0 04 '!$B$18:$B$200,'Бланк OLD 2.0 04 '!$A$18:$A$200),1,0)),"")</f>
        <v/>
      </c>
      <c r="C95" s="152" t="str">
        <f ca="1">IFERROR(IFERROR(IFERROR(VLOOKUP(A94+1,CHOOSE({1,2},'Шаг2.Бланк заказа NEW'!$B$19:$B$201,'Шаг2.Бланк заказа NEW'!$A$19:$A$201),2,0),
VLOOKUP(A94+1-COUNT('Шаг2.Бланк заказа NEW'!$B$19:$B$201),CHOOSE({1,2},'Бланк OLD 0.8 04'!$B$18:$B$200,'Бланк OLD 0.8 04'!$A$18:$A$200),2,0)),
VLOOKUP(A94+1-COUNT('Шаг2.Бланк заказа NEW'!$B$19:$B$201)-COUNT('Бланк OLD 0.8 04'!$B$18:$B$200),CHOOSE({1,2},'Бланк OLD 2.0 04 '!$B$18:$B$200,'Бланк OLD 2.0 04 '!$A$18:$A$200),2,0)),"")</f>
        <v/>
      </c>
      <c r="D95" s="150" t="str">
        <f ca="1">IFERROR(VLOOKUP(C95,'Шаг1.Выбор плиты'!C:G,5,0),"")</f>
        <v/>
      </c>
      <c r="E95" s="147" t="str">
        <f ca="1">IFERROR(IFERROR(IF(VLOOKUP($A95,'Шаг2.Бланк заказа NEW'!$B$17:$N$201,2,0)="","",VLOOKUP($A95,'Шаг2.Бланк заказа NEW'!$B$17:$N$201,2,0)),
IF(VLOOKUP($A95-COUNT('Шаг2.Бланк заказа NEW'!$B$19:$B$201),'Бланк OLD 0.8 04'!$B$12:$K$200,2,0)="","",VLOOKUP($A95-COUNT('Шаг2.Бланк заказа NEW'!$B$19:$B$201),'Бланк OLD 0.8 04'!$B$12:$K$200,2,0))),
IF(VLOOKUP($A95-COUNT('Шаг2.Бланк заказа NEW'!$B$19:$B$201)-COUNT('Бланк OLD 0.8 04'!$B$18:$B$200),'Бланк OLD 2.0 04 '!$B$16:$K$200,2,0)="","",VLOOKUP($A95-COUNT('Шаг2.Бланк заказа NEW'!$B$19:$B$201)-COUNT('Бланк OLD 0.8 04'!$B$18:$B$200),'Бланк OLD 2.0 04 '!$B$16:$K$200,2,0)))</f>
        <v/>
      </c>
      <c r="F95" s="147" t="str">
        <f ca="1">IFERROR(IFERROR(IF(VLOOKUP($A95,'Шаг2.Бланк заказа NEW'!$B$17:$N$201,3,0)="","",VLOOKUP($A95,'Шаг2.Бланк заказа NEW'!$B$17:$N$201,3,0)),
IF(VLOOKUP($A95-COUNT('Шаг2.Бланк заказа NEW'!$B$19:$B$201),'Бланк OLD 0.8 04'!$B$12:$K$200,3,0)="","",VLOOKUP($A95-COUNT('Шаг2.Бланк заказа NEW'!$B$19:$B$201),'Бланк OLD 0.8 04'!$B$12:$K$200,3,0))),
IF(VLOOKUP($A95-COUNT('Шаг2.Бланк заказа NEW'!$B$19:$B$201)-COUNT('Бланк OLD 0.8 04'!$B$18:$B$200),'Бланк OLD 2.0 04 '!$B$16:$K$200,3,0)="","",VLOOKUP($A95-COUNT('Шаг2.Бланк заказа NEW'!$B$19:$B$201)-COUNT('Бланк OLD 0.8 04'!$B$18:$B$200),'Бланк OLD 2.0 04 '!$B$16:$K$200,3,0)))</f>
        <v/>
      </c>
      <c r="G95" s="176" t="str">
        <f ca="1">IF(IF(R95="","",IF(R95=1,SUMIFS('Шаг1.Выбор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плиты'!C:Q,12,0)),1))))))=0,
R95,
IF(R95="","",IF(R95=1,SUMIFS('Шаг1.Выбор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плиты'!N:N,R95,'Шаг1.Выбор плиты'!M:M,SMALL(INDIRECT("мм"&amp;VLOOKUP(C95,'Шаг1.Выбор плиты'!C:Q,12,0)),1)))))))</f>
        <v/>
      </c>
      <c r="H95" s="177" t="str">
        <f ca="1">IF(IF(S95="","",IF(S95=1,SUMIFS('Шаг1.Выбор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плиты'!C:Q,12,0)),1))))))=0,
S95,
IF(S95="","",IF(S95=1,SUMIFS('Шаг1.Выбор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плиты'!N:N,S95,'Шаг1.Выбор плиты'!M:M,SMALL(INDIRECT("мм"&amp;VLOOKUP(C95,'Шаг1.Выбор плиты'!C:Q,12,0)),1)))))))</f>
        <v/>
      </c>
      <c r="I95" s="147" t="str">
        <f ca="1">IFERROR(IFERROR(IF(VLOOKUP($A95,'Шаг2.Бланк заказа NEW'!$B$17:$N$201,6,0)="","",VLOOKUP($A95,'Шаг2.Бланк заказа NEW'!$B$17:$N$201,6,0)),
IF(VLOOKUP($A95-COUNT('Шаг2.Бланк заказа NEW'!$B$19:$B$201),'Бланк OLD 0.8 04'!$B$12:$K$200,6,0)="","",VLOOKUP($A95-COUNT('Шаг2.Бланк заказа NEW'!$B$19:$B$201),'Бланк OLD 0.8 04'!$B$12:$K$200,6,0))),
IF(VLOOKUP($A95-COUNT('Шаг2.Бланк заказа NEW'!$B$19:$B$201)-COUNT('Бланк OLD 0.8 04'!$B$18:$B$200),'Бланк OLD 2.0 04 '!$B$16:$K$200,6,0)="","",VLOOKUP($A95-COUNT('Шаг2.Бланк заказа NEW'!$B$19:$B$201)-COUNT('Бланк OLD 0.8 04'!$B$18:$B$200),'Бланк OLD 2.0 04 '!$B$16:$K$200,6,0)))</f>
        <v/>
      </c>
      <c r="J95" s="177" t="str">
        <f ca="1">IF(IF(T95="","",IF(T95=1,SUMIFS('Шаг1.Выбор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плиты'!C:Q,12,0)),1))))))=0,
T95,
IF(T95="","",IF(T95=1,SUMIFS('Шаг1.Выбор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плиты'!N:N,T95,'Шаг1.Выбор плиты'!M:M,SMALL(INDIRECT("мм"&amp;VLOOKUP(C95,'Шаг1.Выбор плиты'!C:Q,12,0)),1)))))))</f>
        <v/>
      </c>
      <c r="K95" s="177" t="str">
        <f ca="1">IF(IF(U95="","",IF(U95=1,SUMIFS('Шаг1.Выбор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плиты'!C:Q,12,0)),1))))))=0,
U95,
IF(U95="","",IF(U95=1,SUMIFS('Шаг1.Выбор плиты'!$G:$G,'Шаг1.Выбор плиты'!J:J,"*"&amp;RIGHT(VLOOKUP(C95,'Шаг1.Выбор плиты'!C:Q,8,0),4),'Шаг1.Выбор плиты'!L:L,IF(MID(C95,1,6)="ЛДСП P","TM"&amp;MID(VLOOKUP(C95,'Шаг1.Выбор плиты'!C:Q,10,0),3,2),MID(VLOOKUP(C95,'Шаг1.Выбор плиты'!C:Q,10,0),1,2)),
'Шаг1.Выбор плиты'!N:N,1),IF(SUMIFS('Шаг1.Выбор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плиты'!C:Q,12,0)),1))=0,
IF(SUMIFS('Шаг1.Выбор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плиты'!C:Q,12,0)),2))=0,
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плиты'!C:Q,12,0)),3)),
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плиты'!C:Q,12,0)),2))),
(SUMIFS('Шаг1.Выбор плиты'!$G:$G,'Шаг1.Выбор плиты'!J:J,"*"&amp;RIGHT(VLOOKUP(C95,'Шаг1.Выбор плиты'!C:Q,8,0),4),'Шаг1.Выбор плиты'!L:L,VLOOKUP(C95,'Шаг1.Выбор плиты'!C:Q,10,0),'Шаг1.Выбор плиты'!N:N,U95,'Шаг1.Выбор плиты'!M:M,SMALL(INDIRECT("мм"&amp;VLOOKUP(C95,'Шаг1.Выбор плиты'!C:Q,12,0)),1)))))))</f>
        <v/>
      </c>
      <c r="L95" s="147" t="str">
        <f ca="1">IFERROR(IFERROR(IF(VLOOKUP($A95,'Шаг2.Бланк заказа NEW'!$B$17:$N$201,9,0)="","",VLOOKUP($A95,'Шаг2.Бланк заказа NEW'!$B$17:$N$201,9,0)),
IF(VLOOKUP($A95-COUNT('Шаг2.Бланк заказа NEW'!$B$19:$B$201),'Бланк OLD 0.8 04'!$B$12:$K$200,9,0)="","",VLOOKUP($A95-COUNT('Шаг2.Бланк заказа NEW'!$B$19:$B$201),'Бланк OLD 0.8 04'!$B$12:$K$200,9,0))),
IF(VLOOKUP($A95-COUNT('Шаг2.Бланк заказа NEW'!$B$19:$B$201)-COUNT('Бланк OLD 0.8 04'!$B$18:$B$200),'Бланк OLD 2.0 04 '!$B$16:$K$200,9,0)="","",VLOOKUP($A95-COUNT('Шаг2.Бланк заказа NEW'!$B$19:$B$201)-COUNT('Бланк OLD 0.8 04'!$B$18:$B$200),'Бланк OLD 2.0 04 '!$B$16:$K$200,9,0)))</f>
        <v/>
      </c>
      <c r="M95" s="154" t="str">
        <f t="shared" ca="1" si="10"/>
        <v/>
      </c>
      <c r="N95" s="153" t="str">
        <f ca="1">IFERROR(IF(VLOOKUP($A95,'Шаг2.Бланк заказа NEW'!$B$17:$N$201,11,0)="","",VLOOKUP($A95,'Шаг2.Бланк заказа NEW'!$B$17:$N$201,11,0)),
"Нет")</f>
        <v/>
      </c>
      <c r="O95" s="147" t="str">
        <f ca="1">IFERROR(IF(VLOOKUP($A95,'Шаг2.Бланк заказа NEW'!$B$17:$N$201,11,0)="","",VLOOKUP($A95,'Шаг2.Бланк заказа NEW'!$B$17:$N$201,12,0)),
"Нет")</f>
        <v/>
      </c>
      <c r="P95" s="153" t="str">
        <f ca="1">IFERROR(IF(VLOOKUP($A95,'Шаг2.Бланк заказа NEW'!$B$17:$N$201,13,0)="","",VLOOKUP($A95,'Шаг2.Бланк заказа NEW'!$B$17:$N$201,13,0)),
"Нет")</f>
        <v/>
      </c>
      <c r="Q95" s="147" t="str">
        <f ca="1">IFERROR(IF(VLOOKUP($A95,'Шаг2.Бланк заказа NEW'!$B$17:$O$201,14,0)="","",VLOOKUP($A95,'Шаг2.Бланк заказа NEW'!$B$17:$O$201,14,0)),"")</f>
        <v/>
      </c>
      <c r="R95" s="147" t="str">
        <f ca="1">IFERROR(IFERROR(IF(VLOOKUP($A95,'Шаг2.Бланк заказа NEW'!$B$17:$N$201,4,0)="","",VLOOKUP($A95,'Шаг2.Бланк заказа NEW'!$B$17:$N$201,4,0)),
IF(VLOOKUP($A95-COUNT('Шаг2.Бланк заказа NEW'!$B$19:$B$201),'Бланк OLD 0.8 04'!$B$12:$K$200,4,0)&gt;0,0.8,
IF(VLOOKUP($A95-COUNT('Шаг2.Бланк заказа NEW'!$B$19:$B$201),'Бланк OLD 0.8 04'!$B$12:$K$200,5,0)&gt;0,0.4,""))),
IF(VLOOKUP($A95-COUNT('Шаг2.Бланк заказа NEW'!$B$19:$B$201)-COUNT('Бланк OLD 0.8 04'!$B$18:$B$200),'Бланк OLD 2.0 04 '!$B$16:$K$200,4,0)&gt;0,2,IF(VLOOKUP($A95-COUNT('Шаг2.Бланк заказа NEW'!$B$19:$B$201)-COUNT('Бланк OLD 0.8 04'!$B$18:$B$200),'Бланк OLD 2.0 04 '!$B$16:$K$200,5,0)&gt;0,0.4,"")))</f>
        <v/>
      </c>
      <c r="S95" s="147" t="str">
        <f ca="1">IFERROR(IFERROR(IF(VLOOKUP($A95,'Шаг2.Бланк заказа NEW'!$B$17:$N$201,5,0)="","",VLOOKUP($A95,'Шаг2.Бланк заказа NEW'!$B$17:$N$201,5,0)),
IF(VLOOKUP($A95-COUNT('Шаг2.Бланк заказа NEW'!$B$19:$B$201),'Бланк OLD 0.8 04'!$B$12:$K$200,4,0)&gt;1,0.8,
IF(VLOOKUP($A95-COUNT('Шаг2.Бланк заказа NEW'!$B$19:$B$201),'Бланк OLD 0.8 04'!$B$12:$K$200,5,0)&gt;1,0.4,
IF(AND(VLOOKUP($A95-COUNT('Шаг2.Бланк заказа NEW'!$B$19:$B$201),'Бланк OLD 0.8 04'!$B$12:$K$200,4,0)&gt;0,VLOOKUP($A95-COUNT('Шаг2.Бланк заказа NEW'!$B$19:$B$201),'Бланк OLD 0.8 04'!$B$12:$K$200,5,0)&gt;0),0.4,"")))),
IF(VLOOKUP($A95-COUNT('Шаг2.Бланк заказа NEW'!$B$19:$B$201)-COUNT('Бланк OLD 0.8 04'!$B$18:$B$200),'Бланк OLD 2.0 04 '!$B$16:$K$200,4,0)&gt;1,2,
IF(VLOOKUP($A95-COUNT('Шаг2.Бланк заказа NEW'!$B$19:$B$201)-COUNT('Бланк OLD 0.8 04'!$B$18:$B$200),'Бланк OLD 2.0 04 '!$B$16:$K$200,5,0)&gt;1,0.4,IF(AND(VLOOKUP($A95-COUNT('Шаг2.Бланк заказа NEW'!$B$19:$B$201)-COUNT('Бланк OLD 0.8 04'!$B$18:$B$200),'Бланк OLD 2.0 04 '!$B$16:$K$200,4,0)&gt;0,VLOOKUP($A95-COUNT('Шаг2.Бланк заказа NEW'!$B$19:$B$201)-COUNT('Бланк OLD 0.8 04'!$B$18:$B$200),'Бланк OLD 2.0 04 '!$B$16:$K$200,5,0)&gt;0),0.4,""))))</f>
        <v/>
      </c>
      <c r="T95" s="147" t="str">
        <f ca="1">IFERROR(IFERROR(IF(VLOOKUP($A95,'Шаг2.Бланк заказа NEW'!$B$17:$N$201,7,0)="","",VLOOKUP($A95,'Шаг2.Бланк заказа NEW'!$B$17:$N$201,7,0)),
IF(VLOOKUP($A95-COUNT('Шаг2.Бланк заказа NEW'!$B$19:$B$201),'Бланк OLD 0.8 04'!$B$12:$K$200,7,0)&gt;0,0.8,
IF(VLOOKUP($A95-COUNT('Шаг2.Бланк заказа NEW'!$B$19:$B$201),'Бланк OLD 0.8 04'!$B$12:$K$200,8,0)&gt;0,0.4,""))),
IF(VLOOKUP($A95-COUNT('Шаг2.Бланк заказа NEW'!$B$19:$B$201)-COUNT('Бланк OLD 0.8 04'!$B$18:$B$200),'Бланк OLD 2.0 04 '!$B$16:$K$200,7,0)&gt;0,2,IF(VLOOKUP($A95-COUNT('Шаг2.Бланк заказа NEW'!$B$19:$B$201)-COUNT('Бланк OLD 0.8 04'!$B$18:$B$200),'Бланк OLD 2.0 04 '!$B$16:$K$200,8,0)&gt;0,0.4,"")))</f>
        <v/>
      </c>
      <c r="U95" s="147" t="str">
        <f ca="1">IFERROR(IFERROR(IF(VLOOKUP($A95,'Шаг2.Бланк заказа NEW'!$B$17:$N$201,8,0)="","",VLOOKUP($A95,'Шаг2.Бланк заказа NEW'!$B$17:$N$201,8,0)),
IF(VLOOKUP($A95-COUNT('Шаг2.Бланк заказа NEW'!$B$19:$B$201),'Бланк OLD 0.8 04'!$B$12:$K$200,7,0)&gt;1,0.8,
IF(VLOOKUP($A95-COUNT('Шаг2.Бланк заказа NEW'!$B$19:$B$201),'Бланк OLD 0.8 04'!$B$12:$K$200,8,0)&gt;1,0.4,
IF(AND(VLOOKUP($A95-COUNT('Шаг2.Бланк заказа NEW'!$B$19:$B$201),'Бланк OLD 0.8 04'!$B$12:$K$200,7,0)&gt;0,VLOOKUP($A95-COUNT('Шаг2.Бланк заказа NEW'!$B$19:$B$201),'Бланк OLD 0.8 04'!$B$12:$K$200,8,0)&gt;0),0.4,"")))),
IF(VLOOKUP($A95-COUNT('Шаг2.Бланк заказа NEW'!$B$19:$B$201)-COUNT('Бланк OLD 0.8 04'!$B$18:$B$200),'Бланк OLD 2.0 04 '!$B$16:$K$200,7,0)&gt;1,2,
IF(VLOOKUP($A95-COUNT('Шаг2.Бланк заказа NEW'!$B$19:$B$201)-COUNT('Бланк OLD 0.8 04'!$B$18:$B$200),'Бланк OLD 2.0 04 '!$B$16:$K$200,8,0)&gt;1,0.4,
IF(AND(VLOOKUP($A95-COUNT('Шаг2.Бланк заказа NEW'!$B$19:$B$201)-COUNT('Бланк OLD 0.8 04'!$B$18:$B$200),'Бланк OLD 2.0 04 '!$B$16:$K$200,7,0)&gt;0,VLOOKUP($A95-COUNT('Шаг2.Бланк заказа NEW'!$B$19:$B$201)-COUNT('Бланк OLD 0.8 04'!$B$18:$B$200),'Бланк OLD 2.0 04 '!$B$16:$K$200,8,0)&gt;0),0.4,""))))</f>
        <v/>
      </c>
      <c r="V95" s="146" t="str">
        <f ca="1">IFERROR(VLOOKUP(C95,'Шаг1.Выбор плиты'!C:S,12,0),"")</f>
        <v/>
      </c>
      <c r="W95" s="146" t="str">
        <f ca="1">IFERROR(VLOOKUP(C95,'Шаг1.Выбор плиты'!C:S,8,0),"")</f>
        <v/>
      </c>
      <c r="X95" s="146" t="str">
        <f ca="1">IFERROR(VLOOKUP(C95,'Шаг1.Выбор плиты'!C:S,10,0),"")</f>
        <v/>
      </c>
      <c r="Y95" s="147" t="str">
        <f t="shared" ca="1" si="8"/>
        <v/>
      </c>
      <c r="AD95" s="147" t="str">
        <f t="shared" ca="1" si="11"/>
        <v/>
      </c>
      <c r="AE95" s="147" t="str">
        <f t="shared" ca="1" si="9"/>
        <v/>
      </c>
      <c r="AF95" s="25"/>
      <c r="AH95" s="147" t="str">
        <f ca="1">IF(C95="","",VLOOKUP(C95,'Шаг1.Выбор плиты'!C:Q,7,0))</f>
        <v/>
      </c>
      <c r="AI95" s="147" t="str">
        <f t="shared" ca="1" si="12"/>
        <v/>
      </c>
    </row>
    <row r="96" spans="1:35" x14ac:dyDescent="0.2">
      <c r="A96" s="151" t="str">
        <f ca="1">IF(C96="","",MAX($A$1:OFFSET(C96,-1,0))+1)</f>
        <v/>
      </c>
      <c r="B96" s="151" t="str">
        <f ca="1">IFERROR(IFERROR(IFERROR("Шаг2.Бланк заказа NEW №"&amp;VLOOKUP(A95+1,CHOOSE({1,2},'Шаг2.Бланк заказа NEW'!$B$19:$B$201,'Шаг2.Бланк заказа NEW'!$A$19:$A$201),1,0),
"Бланк OLD 0.8 04 №"&amp;VLOOKUP(A95+1-COUNT('Шаг2.Бланк заказа NEW'!$B$19:$B$201),CHOOSE({1,2},'Бланк OLD 0.8 04'!$B$18:$B$200,'Бланк OLD 0.8 04'!$A$18:$A$200),1,0)),
"Бланк OLD 2.0 04 №"&amp;VLOOKUP(A95+1-COUNT('Шаг2.Бланк заказа NEW'!$B$19:$B$201)-COUNT('Бланк OLD 0.8 04'!$B$18:$B$200),CHOOSE({1,2},'Бланк OLD 2.0 04 '!$B$18:$B$200,'Бланк OLD 2.0 04 '!$A$18:$A$200),1,0)),"")</f>
        <v/>
      </c>
      <c r="C96" s="152" t="str">
        <f ca="1">IFERROR(IFERROR(IFERROR(VLOOKUP(A95+1,CHOOSE({1,2},'Шаг2.Бланк заказа NEW'!$B$19:$B$201,'Шаг2.Бланк заказа NEW'!$A$19:$A$201),2,0),
VLOOKUP(A95+1-COUNT('Шаг2.Бланк заказа NEW'!$B$19:$B$201),CHOOSE({1,2},'Бланк OLD 0.8 04'!$B$18:$B$200,'Бланк OLD 0.8 04'!$A$18:$A$200),2,0)),
VLOOKUP(A95+1-COUNT('Шаг2.Бланк заказа NEW'!$B$19:$B$201)-COUNT('Бланк OLD 0.8 04'!$B$18:$B$200),CHOOSE({1,2},'Бланк OLD 2.0 04 '!$B$18:$B$200,'Бланк OLD 2.0 04 '!$A$18:$A$200),2,0)),"")</f>
        <v/>
      </c>
      <c r="D96" s="150" t="str">
        <f ca="1">IFERROR(VLOOKUP(C96,'Шаг1.Выбор плиты'!C:G,5,0),"")</f>
        <v/>
      </c>
      <c r="E96" s="147" t="str">
        <f ca="1">IFERROR(IFERROR(IF(VLOOKUP($A96,'Шаг2.Бланк заказа NEW'!$B$17:$N$201,2,0)="","",VLOOKUP($A96,'Шаг2.Бланк заказа NEW'!$B$17:$N$201,2,0)),
IF(VLOOKUP($A96-COUNT('Шаг2.Бланк заказа NEW'!$B$19:$B$201),'Бланк OLD 0.8 04'!$B$12:$K$200,2,0)="","",VLOOKUP($A96-COUNT('Шаг2.Бланк заказа NEW'!$B$19:$B$201),'Бланк OLD 0.8 04'!$B$12:$K$200,2,0))),
IF(VLOOKUP($A96-COUNT('Шаг2.Бланк заказа NEW'!$B$19:$B$201)-COUNT('Бланк OLD 0.8 04'!$B$18:$B$200),'Бланк OLD 2.0 04 '!$B$16:$K$200,2,0)="","",VLOOKUP($A96-COUNT('Шаг2.Бланк заказа NEW'!$B$19:$B$201)-COUNT('Бланк OLD 0.8 04'!$B$18:$B$200),'Бланк OLD 2.0 04 '!$B$16:$K$200,2,0)))</f>
        <v/>
      </c>
      <c r="F96" s="147" t="str">
        <f ca="1">IFERROR(IFERROR(IF(VLOOKUP($A96,'Шаг2.Бланк заказа NEW'!$B$17:$N$201,3,0)="","",VLOOKUP($A96,'Шаг2.Бланк заказа NEW'!$B$17:$N$201,3,0)),
IF(VLOOKUP($A96-COUNT('Шаг2.Бланк заказа NEW'!$B$19:$B$201),'Бланк OLD 0.8 04'!$B$12:$K$200,3,0)="","",VLOOKUP($A96-COUNT('Шаг2.Бланк заказа NEW'!$B$19:$B$201),'Бланк OLD 0.8 04'!$B$12:$K$200,3,0))),
IF(VLOOKUP($A96-COUNT('Шаг2.Бланк заказа NEW'!$B$19:$B$201)-COUNT('Бланк OLD 0.8 04'!$B$18:$B$200),'Бланк OLD 2.0 04 '!$B$16:$K$200,3,0)="","",VLOOKUP($A96-COUNT('Шаг2.Бланк заказа NEW'!$B$19:$B$201)-COUNT('Бланк OLD 0.8 04'!$B$18:$B$200),'Бланк OLD 2.0 04 '!$B$16:$K$200,3,0)))</f>
        <v/>
      </c>
      <c r="G96" s="176" t="str">
        <f ca="1">IF(IF(R96="","",IF(R96=1,SUMIFS('Шаг1.Выбор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плиты'!C:Q,12,0)),1))))))=0,
R96,
IF(R96="","",IF(R96=1,SUMIFS('Шаг1.Выбор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плиты'!N:N,R96,'Шаг1.Выбор плиты'!M:M,SMALL(INDIRECT("мм"&amp;VLOOKUP(C96,'Шаг1.Выбор плиты'!C:Q,12,0)),1)))))))</f>
        <v/>
      </c>
      <c r="H96" s="177" t="str">
        <f ca="1">IF(IF(S96="","",IF(S96=1,SUMIFS('Шаг1.Выбор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плиты'!C:Q,12,0)),1))))))=0,
S96,
IF(S96="","",IF(S96=1,SUMIFS('Шаг1.Выбор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плиты'!N:N,S96,'Шаг1.Выбор плиты'!M:M,SMALL(INDIRECT("мм"&amp;VLOOKUP(C96,'Шаг1.Выбор плиты'!C:Q,12,0)),1)))))))</f>
        <v/>
      </c>
      <c r="I96" s="147" t="str">
        <f ca="1">IFERROR(IFERROR(IF(VLOOKUP($A96,'Шаг2.Бланк заказа NEW'!$B$17:$N$201,6,0)="","",VLOOKUP($A96,'Шаг2.Бланк заказа NEW'!$B$17:$N$201,6,0)),
IF(VLOOKUP($A96-COUNT('Шаг2.Бланк заказа NEW'!$B$19:$B$201),'Бланк OLD 0.8 04'!$B$12:$K$200,6,0)="","",VLOOKUP($A96-COUNT('Шаг2.Бланк заказа NEW'!$B$19:$B$201),'Бланк OLD 0.8 04'!$B$12:$K$200,6,0))),
IF(VLOOKUP($A96-COUNT('Шаг2.Бланк заказа NEW'!$B$19:$B$201)-COUNT('Бланк OLD 0.8 04'!$B$18:$B$200),'Бланк OLD 2.0 04 '!$B$16:$K$200,6,0)="","",VLOOKUP($A96-COUNT('Шаг2.Бланк заказа NEW'!$B$19:$B$201)-COUNT('Бланк OLD 0.8 04'!$B$18:$B$200),'Бланк OLD 2.0 04 '!$B$16:$K$200,6,0)))</f>
        <v/>
      </c>
      <c r="J96" s="177" t="str">
        <f ca="1">IF(IF(T96="","",IF(T96=1,SUMIFS('Шаг1.Выбор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плиты'!C:Q,12,0)),1))))))=0,
T96,
IF(T96="","",IF(T96=1,SUMIFS('Шаг1.Выбор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плиты'!N:N,T96,'Шаг1.Выбор плиты'!M:M,SMALL(INDIRECT("мм"&amp;VLOOKUP(C96,'Шаг1.Выбор плиты'!C:Q,12,0)),1)))))))</f>
        <v/>
      </c>
      <c r="K96" s="177" t="str">
        <f ca="1">IF(IF(U96="","",IF(U96=1,SUMIFS('Шаг1.Выбор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плиты'!C:Q,12,0)),1))))))=0,
U96,
IF(U96="","",IF(U96=1,SUMIFS('Шаг1.Выбор плиты'!$G:$G,'Шаг1.Выбор плиты'!J:J,"*"&amp;RIGHT(VLOOKUP(C96,'Шаг1.Выбор плиты'!C:Q,8,0),4),'Шаг1.Выбор плиты'!L:L,IF(MID(C96,1,6)="ЛДСП P","TM"&amp;MID(VLOOKUP(C96,'Шаг1.Выбор плиты'!C:Q,10,0),3,2),MID(VLOOKUP(C96,'Шаг1.Выбор плиты'!C:Q,10,0),1,2)),
'Шаг1.Выбор плиты'!N:N,1),IF(SUMIFS('Шаг1.Выбор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плиты'!C:Q,12,0)),1))=0,
IF(SUMIFS('Шаг1.Выбор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плиты'!C:Q,12,0)),2))=0,
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плиты'!C:Q,12,0)),3)),
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плиты'!C:Q,12,0)),2))),
(SUMIFS('Шаг1.Выбор плиты'!$G:$G,'Шаг1.Выбор плиты'!J:J,"*"&amp;RIGHT(VLOOKUP(C96,'Шаг1.Выбор плиты'!C:Q,8,0),4),'Шаг1.Выбор плиты'!L:L,VLOOKUP(C96,'Шаг1.Выбор плиты'!C:Q,10,0),'Шаг1.Выбор плиты'!N:N,U96,'Шаг1.Выбор плиты'!M:M,SMALL(INDIRECT("мм"&amp;VLOOKUP(C96,'Шаг1.Выбор плиты'!C:Q,12,0)),1)))))))</f>
        <v/>
      </c>
      <c r="L96" s="147" t="str">
        <f ca="1">IFERROR(IFERROR(IF(VLOOKUP($A96,'Шаг2.Бланк заказа NEW'!$B$17:$N$201,9,0)="","",VLOOKUP($A96,'Шаг2.Бланк заказа NEW'!$B$17:$N$201,9,0)),
IF(VLOOKUP($A96-COUNT('Шаг2.Бланк заказа NEW'!$B$19:$B$201),'Бланк OLD 0.8 04'!$B$12:$K$200,9,0)="","",VLOOKUP($A96-COUNT('Шаг2.Бланк заказа NEW'!$B$19:$B$201),'Бланк OLD 0.8 04'!$B$12:$K$200,9,0))),
IF(VLOOKUP($A96-COUNT('Шаг2.Бланк заказа NEW'!$B$19:$B$201)-COUNT('Бланк OLD 0.8 04'!$B$18:$B$200),'Бланк OLD 2.0 04 '!$B$16:$K$200,9,0)="","",VLOOKUP($A96-COUNT('Шаг2.Бланк заказа NEW'!$B$19:$B$201)-COUNT('Бланк OLD 0.8 04'!$B$18:$B$200),'Бланк OLD 2.0 04 '!$B$16:$K$200,9,0)))</f>
        <v/>
      </c>
      <c r="M96" s="154" t="str">
        <f t="shared" ca="1" si="10"/>
        <v/>
      </c>
      <c r="N96" s="153" t="str">
        <f ca="1">IFERROR(IF(VLOOKUP($A96,'Шаг2.Бланк заказа NEW'!$B$17:$N$201,11,0)="","",VLOOKUP($A96,'Шаг2.Бланк заказа NEW'!$B$17:$N$201,11,0)),
"Нет")</f>
        <v/>
      </c>
      <c r="O96" s="147" t="str">
        <f ca="1">IFERROR(IF(VLOOKUP($A96,'Шаг2.Бланк заказа NEW'!$B$17:$N$201,11,0)="","",VLOOKUP($A96,'Шаг2.Бланк заказа NEW'!$B$17:$N$201,12,0)),
"Нет")</f>
        <v/>
      </c>
      <c r="P96" s="153" t="str">
        <f ca="1">IFERROR(IF(VLOOKUP($A96,'Шаг2.Бланк заказа NEW'!$B$17:$N$201,13,0)="","",VLOOKUP($A96,'Шаг2.Бланк заказа NEW'!$B$17:$N$201,13,0)),
"Нет")</f>
        <v/>
      </c>
      <c r="Q96" s="147" t="str">
        <f ca="1">IFERROR(IF(VLOOKUP($A96,'Шаг2.Бланк заказа NEW'!$B$17:$O$201,14,0)="","",VLOOKUP($A96,'Шаг2.Бланк заказа NEW'!$B$17:$O$201,14,0)),"")</f>
        <v/>
      </c>
      <c r="R96" s="147" t="str">
        <f ca="1">IFERROR(IFERROR(IF(VLOOKUP($A96,'Шаг2.Бланк заказа NEW'!$B$17:$N$201,4,0)="","",VLOOKUP($A96,'Шаг2.Бланк заказа NEW'!$B$17:$N$201,4,0)),
IF(VLOOKUP($A96-COUNT('Шаг2.Бланк заказа NEW'!$B$19:$B$201),'Бланк OLD 0.8 04'!$B$12:$K$200,4,0)&gt;0,0.8,
IF(VLOOKUP($A96-COUNT('Шаг2.Бланк заказа NEW'!$B$19:$B$201),'Бланк OLD 0.8 04'!$B$12:$K$200,5,0)&gt;0,0.4,""))),
IF(VLOOKUP($A96-COUNT('Шаг2.Бланк заказа NEW'!$B$19:$B$201)-COUNT('Бланк OLD 0.8 04'!$B$18:$B$200),'Бланк OLD 2.0 04 '!$B$16:$K$200,4,0)&gt;0,2,IF(VLOOKUP($A96-COUNT('Шаг2.Бланк заказа NEW'!$B$19:$B$201)-COUNT('Бланк OLD 0.8 04'!$B$18:$B$200),'Бланк OLD 2.0 04 '!$B$16:$K$200,5,0)&gt;0,0.4,"")))</f>
        <v/>
      </c>
      <c r="S96" s="147" t="str">
        <f ca="1">IFERROR(IFERROR(IF(VLOOKUP($A96,'Шаг2.Бланк заказа NEW'!$B$17:$N$201,5,0)="","",VLOOKUP($A96,'Шаг2.Бланк заказа NEW'!$B$17:$N$201,5,0)),
IF(VLOOKUP($A96-COUNT('Шаг2.Бланк заказа NEW'!$B$19:$B$201),'Бланк OLD 0.8 04'!$B$12:$K$200,4,0)&gt;1,0.8,
IF(VLOOKUP($A96-COUNT('Шаг2.Бланк заказа NEW'!$B$19:$B$201),'Бланк OLD 0.8 04'!$B$12:$K$200,5,0)&gt;1,0.4,
IF(AND(VLOOKUP($A96-COUNT('Шаг2.Бланк заказа NEW'!$B$19:$B$201),'Бланк OLD 0.8 04'!$B$12:$K$200,4,0)&gt;0,VLOOKUP($A96-COUNT('Шаг2.Бланк заказа NEW'!$B$19:$B$201),'Бланк OLD 0.8 04'!$B$12:$K$200,5,0)&gt;0),0.4,"")))),
IF(VLOOKUP($A96-COUNT('Шаг2.Бланк заказа NEW'!$B$19:$B$201)-COUNT('Бланк OLD 0.8 04'!$B$18:$B$200),'Бланк OLD 2.0 04 '!$B$16:$K$200,4,0)&gt;1,2,
IF(VLOOKUP($A96-COUNT('Шаг2.Бланк заказа NEW'!$B$19:$B$201)-COUNT('Бланк OLD 0.8 04'!$B$18:$B$200),'Бланк OLD 2.0 04 '!$B$16:$K$200,5,0)&gt;1,0.4,IF(AND(VLOOKUP($A96-COUNT('Шаг2.Бланк заказа NEW'!$B$19:$B$201)-COUNT('Бланк OLD 0.8 04'!$B$18:$B$200),'Бланк OLD 2.0 04 '!$B$16:$K$200,4,0)&gt;0,VLOOKUP($A96-COUNT('Шаг2.Бланк заказа NEW'!$B$19:$B$201)-COUNT('Бланк OLD 0.8 04'!$B$18:$B$200),'Бланк OLD 2.0 04 '!$B$16:$K$200,5,0)&gt;0),0.4,""))))</f>
        <v/>
      </c>
      <c r="T96" s="147" t="str">
        <f ca="1">IFERROR(IFERROR(IF(VLOOKUP($A96,'Шаг2.Бланк заказа NEW'!$B$17:$N$201,7,0)="","",VLOOKUP($A96,'Шаг2.Бланк заказа NEW'!$B$17:$N$201,7,0)),
IF(VLOOKUP($A96-COUNT('Шаг2.Бланк заказа NEW'!$B$19:$B$201),'Бланк OLD 0.8 04'!$B$12:$K$200,7,0)&gt;0,0.8,
IF(VLOOKUP($A96-COUNT('Шаг2.Бланк заказа NEW'!$B$19:$B$201),'Бланк OLD 0.8 04'!$B$12:$K$200,8,0)&gt;0,0.4,""))),
IF(VLOOKUP($A96-COUNT('Шаг2.Бланк заказа NEW'!$B$19:$B$201)-COUNT('Бланк OLD 0.8 04'!$B$18:$B$200),'Бланк OLD 2.0 04 '!$B$16:$K$200,7,0)&gt;0,2,IF(VLOOKUP($A96-COUNT('Шаг2.Бланк заказа NEW'!$B$19:$B$201)-COUNT('Бланк OLD 0.8 04'!$B$18:$B$200),'Бланк OLD 2.0 04 '!$B$16:$K$200,8,0)&gt;0,0.4,"")))</f>
        <v/>
      </c>
      <c r="U96" s="147" t="str">
        <f ca="1">IFERROR(IFERROR(IF(VLOOKUP($A96,'Шаг2.Бланк заказа NEW'!$B$17:$N$201,8,0)="","",VLOOKUP($A96,'Шаг2.Бланк заказа NEW'!$B$17:$N$201,8,0)),
IF(VLOOKUP($A96-COUNT('Шаг2.Бланк заказа NEW'!$B$19:$B$201),'Бланк OLD 0.8 04'!$B$12:$K$200,7,0)&gt;1,0.8,
IF(VLOOKUP($A96-COUNT('Шаг2.Бланк заказа NEW'!$B$19:$B$201),'Бланк OLD 0.8 04'!$B$12:$K$200,8,0)&gt;1,0.4,
IF(AND(VLOOKUP($A96-COUNT('Шаг2.Бланк заказа NEW'!$B$19:$B$201),'Бланк OLD 0.8 04'!$B$12:$K$200,7,0)&gt;0,VLOOKUP($A96-COUNT('Шаг2.Бланк заказа NEW'!$B$19:$B$201),'Бланк OLD 0.8 04'!$B$12:$K$200,8,0)&gt;0),0.4,"")))),
IF(VLOOKUP($A96-COUNT('Шаг2.Бланк заказа NEW'!$B$19:$B$201)-COUNT('Бланк OLD 0.8 04'!$B$18:$B$200),'Бланк OLD 2.0 04 '!$B$16:$K$200,7,0)&gt;1,2,
IF(VLOOKUP($A96-COUNT('Шаг2.Бланк заказа NEW'!$B$19:$B$201)-COUNT('Бланк OLD 0.8 04'!$B$18:$B$200),'Бланк OLD 2.0 04 '!$B$16:$K$200,8,0)&gt;1,0.4,
IF(AND(VLOOKUP($A96-COUNT('Шаг2.Бланк заказа NEW'!$B$19:$B$201)-COUNT('Бланк OLD 0.8 04'!$B$18:$B$200),'Бланк OLD 2.0 04 '!$B$16:$K$200,7,0)&gt;0,VLOOKUP($A96-COUNT('Шаг2.Бланк заказа NEW'!$B$19:$B$201)-COUNT('Бланк OLD 0.8 04'!$B$18:$B$200),'Бланк OLD 2.0 04 '!$B$16:$K$200,8,0)&gt;0),0.4,""))))</f>
        <v/>
      </c>
      <c r="V96" s="146" t="str">
        <f ca="1">IFERROR(VLOOKUP(C96,'Шаг1.Выбор плиты'!C:S,12,0),"")</f>
        <v/>
      </c>
      <c r="W96" s="146" t="str">
        <f ca="1">IFERROR(VLOOKUP(C96,'Шаг1.Выбор плиты'!C:S,8,0),"")</f>
        <v/>
      </c>
      <c r="X96" s="146" t="str">
        <f ca="1">IFERROR(VLOOKUP(C96,'Шаг1.Выбор плиты'!C:S,10,0),"")</f>
        <v/>
      </c>
      <c r="Y96" s="147" t="str">
        <f t="shared" ca="1" si="8"/>
        <v/>
      </c>
      <c r="AD96" s="147" t="str">
        <f t="shared" ca="1" si="11"/>
        <v/>
      </c>
      <c r="AE96" s="147" t="str">
        <f t="shared" ca="1" si="9"/>
        <v/>
      </c>
      <c r="AF96" s="25"/>
      <c r="AH96" s="147" t="str">
        <f ca="1">IF(C96="","",VLOOKUP(C96,'Шаг1.Выбор плиты'!C:Q,7,0))</f>
        <v/>
      </c>
      <c r="AI96" s="147" t="str">
        <f t="shared" ca="1" si="12"/>
        <v/>
      </c>
    </row>
    <row r="97" spans="1:35" x14ac:dyDescent="0.2">
      <c r="A97" s="151" t="str">
        <f ca="1">IF(C97="","",MAX($A$1:OFFSET(C97,-1,0))+1)</f>
        <v/>
      </c>
      <c r="B97" s="151" t="str">
        <f ca="1">IFERROR(IFERROR(IFERROR("Шаг2.Бланк заказа NEW №"&amp;VLOOKUP(A96+1,CHOOSE({1,2},'Шаг2.Бланк заказа NEW'!$B$19:$B$201,'Шаг2.Бланк заказа NEW'!$A$19:$A$201),1,0),
"Бланк OLD 0.8 04 №"&amp;VLOOKUP(A96+1-COUNT('Шаг2.Бланк заказа NEW'!$B$19:$B$201),CHOOSE({1,2},'Бланк OLD 0.8 04'!$B$18:$B$200,'Бланк OLD 0.8 04'!$A$18:$A$200),1,0)),
"Бланк OLD 2.0 04 №"&amp;VLOOKUP(A96+1-COUNT('Шаг2.Бланк заказа NEW'!$B$19:$B$201)-COUNT('Бланк OLD 0.8 04'!$B$18:$B$200),CHOOSE({1,2},'Бланк OLD 2.0 04 '!$B$18:$B$200,'Бланк OLD 2.0 04 '!$A$18:$A$200),1,0)),"")</f>
        <v/>
      </c>
      <c r="C97" s="152" t="str">
        <f ca="1">IFERROR(IFERROR(IFERROR(VLOOKUP(A96+1,CHOOSE({1,2},'Шаг2.Бланк заказа NEW'!$B$19:$B$201,'Шаг2.Бланк заказа NEW'!$A$19:$A$201),2,0),
VLOOKUP(A96+1-COUNT('Шаг2.Бланк заказа NEW'!$B$19:$B$201),CHOOSE({1,2},'Бланк OLD 0.8 04'!$B$18:$B$200,'Бланк OLD 0.8 04'!$A$18:$A$200),2,0)),
VLOOKUP(A96+1-COUNT('Шаг2.Бланк заказа NEW'!$B$19:$B$201)-COUNT('Бланк OLD 0.8 04'!$B$18:$B$200),CHOOSE({1,2},'Бланк OLD 2.0 04 '!$B$18:$B$200,'Бланк OLD 2.0 04 '!$A$18:$A$200),2,0)),"")</f>
        <v/>
      </c>
      <c r="D97" s="150" t="str">
        <f ca="1">IFERROR(VLOOKUP(C97,'Шаг1.Выбор плиты'!C:G,5,0),"")</f>
        <v/>
      </c>
      <c r="E97" s="147" t="str">
        <f ca="1">IFERROR(IFERROR(IF(VLOOKUP($A97,'Шаг2.Бланк заказа NEW'!$B$17:$N$201,2,0)="","",VLOOKUP($A97,'Шаг2.Бланк заказа NEW'!$B$17:$N$201,2,0)),
IF(VLOOKUP($A97-COUNT('Шаг2.Бланк заказа NEW'!$B$19:$B$201),'Бланк OLD 0.8 04'!$B$12:$K$200,2,0)="","",VLOOKUP($A97-COUNT('Шаг2.Бланк заказа NEW'!$B$19:$B$201),'Бланк OLD 0.8 04'!$B$12:$K$200,2,0))),
IF(VLOOKUP($A97-COUNT('Шаг2.Бланк заказа NEW'!$B$19:$B$201)-COUNT('Бланк OLD 0.8 04'!$B$18:$B$200),'Бланк OLD 2.0 04 '!$B$16:$K$200,2,0)="","",VLOOKUP($A97-COUNT('Шаг2.Бланк заказа NEW'!$B$19:$B$201)-COUNT('Бланк OLD 0.8 04'!$B$18:$B$200),'Бланк OLD 2.0 04 '!$B$16:$K$200,2,0)))</f>
        <v/>
      </c>
      <c r="F97" s="147" t="str">
        <f ca="1">IFERROR(IFERROR(IF(VLOOKUP($A97,'Шаг2.Бланк заказа NEW'!$B$17:$N$201,3,0)="","",VLOOKUP($A97,'Шаг2.Бланк заказа NEW'!$B$17:$N$201,3,0)),
IF(VLOOKUP($A97-COUNT('Шаг2.Бланк заказа NEW'!$B$19:$B$201),'Бланк OLD 0.8 04'!$B$12:$K$200,3,0)="","",VLOOKUP($A97-COUNT('Шаг2.Бланк заказа NEW'!$B$19:$B$201),'Бланк OLD 0.8 04'!$B$12:$K$200,3,0))),
IF(VLOOKUP($A97-COUNT('Шаг2.Бланк заказа NEW'!$B$19:$B$201)-COUNT('Бланк OLD 0.8 04'!$B$18:$B$200),'Бланк OLD 2.0 04 '!$B$16:$K$200,3,0)="","",VLOOKUP($A97-COUNT('Шаг2.Бланк заказа NEW'!$B$19:$B$201)-COUNT('Бланк OLD 0.8 04'!$B$18:$B$200),'Бланк OLD 2.0 04 '!$B$16:$K$200,3,0)))</f>
        <v/>
      </c>
      <c r="G97" s="176" t="str">
        <f ca="1">IF(IF(R97="","",IF(R97=1,SUMIFS('Шаг1.Выбор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плиты'!C:Q,12,0)),1))))))=0,
R97,
IF(R97="","",IF(R97=1,SUMIFS('Шаг1.Выбор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плиты'!N:N,R97,'Шаг1.Выбор плиты'!M:M,SMALL(INDIRECT("мм"&amp;VLOOKUP(C97,'Шаг1.Выбор плиты'!C:Q,12,0)),1)))))))</f>
        <v/>
      </c>
      <c r="H97" s="177" t="str">
        <f ca="1">IF(IF(S97="","",IF(S97=1,SUMIFS('Шаг1.Выбор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плиты'!C:Q,12,0)),1))))))=0,
S97,
IF(S97="","",IF(S97=1,SUMIFS('Шаг1.Выбор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плиты'!N:N,S97,'Шаг1.Выбор плиты'!M:M,SMALL(INDIRECT("мм"&amp;VLOOKUP(C97,'Шаг1.Выбор плиты'!C:Q,12,0)),1)))))))</f>
        <v/>
      </c>
      <c r="I97" s="147" t="str">
        <f ca="1">IFERROR(IFERROR(IF(VLOOKUP($A97,'Шаг2.Бланк заказа NEW'!$B$17:$N$201,6,0)="","",VLOOKUP($A97,'Шаг2.Бланк заказа NEW'!$B$17:$N$201,6,0)),
IF(VLOOKUP($A97-COUNT('Шаг2.Бланк заказа NEW'!$B$19:$B$201),'Бланк OLD 0.8 04'!$B$12:$K$200,6,0)="","",VLOOKUP($A97-COUNT('Шаг2.Бланк заказа NEW'!$B$19:$B$201),'Бланк OLD 0.8 04'!$B$12:$K$200,6,0))),
IF(VLOOKUP($A97-COUNT('Шаг2.Бланк заказа NEW'!$B$19:$B$201)-COUNT('Бланк OLD 0.8 04'!$B$18:$B$200),'Бланк OLD 2.0 04 '!$B$16:$K$200,6,0)="","",VLOOKUP($A97-COUNT('Шаг2.Бланк заказа NEW'!$B$19:$B$201)-COUNT('Бланк OLD 0.8 04'!$B$18:$B$200),'Бланк OLD 2.0 04 '!$B$16:$K$200,6,0)))</f>
        <v/>
      </c>
      <c r="J97" s="177" t="str">
        <f ca="1">IF(IF(T97="","",IF(T97=1,SUMIFS('Шаг1.Выбор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плиты'!C:Q,12,0)),1))))))=0,
T97,
IF(T97="","",IF(T97=1,SUMIFS('Шаг1.Выбор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плиты'!N:N,T97,'Шаг1.Выбор плиты'!M:M,SMALL(INDIRECT("мм"&amp;VLOOKUP(C97,'Шаг1.Выбор плиты'!C:Q,12,0)),1)))))))</f>
        <v/>
      </c>
      <c r="K97" s="177" t="str">
        <f ca="1">IF(IF(U97="","",IF(U97=1,SUMIFS('Шаг1.Выбор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плиты'!C:Q,12,0)),1))))))=0,
U97,
IF(U97="","",IF(U97=1,SUMIFS('Шаг1.Выбор плиты'!$G:$G,'Шаг1.Выбор плиты'!J:J,"*"&amp;RIGHT(VLOOKUP(C97,'Шаг1.Выбор плиты'!C:Q,8,0),4),'Шаг1.Выбор плиты'!L:L,IF(MID(C97,1,6)="ЛДСП P","TM"&amp;MID(VLOOKUP(C97,'Шаг1.Выбор плиты'!C:Q,10,0),3,2),MID(VLOOKUP(C97,'Шаг1.Выбор плиты'!C:Q,10,0),1,2)),
'Шаг1.Выбор плиты'!N:N,1),IF(SUMIFS('Шаг1.Выбор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плиты'!C:Q,12,0)),1))=0,
IF(SUMIFS('Шаг1.Выбор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плиты'!C:Q,12,0)),2))=0,
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плиты'!C:Q,12,0)),3)),
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плиты'!C:Q,12,0)),2))),
(SUMIFS('Шаг1.Выбор плиты'!$G:$G,'Шаг1.Выбор плиты'!J:J,"*"&amp;RIGHT(VLOOKUP(C97,'Шаг1.Выбор плиты'!C:Q,8,0),4),'Шаг1.Выбор плиты'!L:L,VLOOKUP(C97,'Шаг1.Выбор плиты'!C:Q,10,0),'Шаг1.Выбор плиты'!N:N,U97,'Шаг1.Выбор плиты'!M:M,SMALL(INDIRECT("мм"&amp;VLOOKUP(C97,'Шаг1.Выбор плиты'!C:Q,12,0)),1)))))))</f>
        <v/>
      </c>
      <c r="L97" s="147" t="str">
        <f ca="1">IFERROR(IFERROR(IF(VLOOKUP($A97,'Шаг2.Бланк заказа NEW'!$B$17:$N$201,9,0)="","",VLOOKUP($A97,'Шаг2.Бланк заказа NEW'!$B$17:$N$201,9,0)),
IF(VLOOKUP($A97-COUNT('Шаг2.Бланк заказа NEW'!$B$19:$B$201),'Бланк OLD 0.8 04'!$B$12:$K$200,9,0)="","",VLOOKUP($A97-COUNT('Шаг2.Бланк заказа NEW'!$B$19:$B$201),'Бланк OLD 0.8 04'!$B$12:$K$200,9,0))),
IF(VLOOKUP($A97-COUNT('Шаг2.Бланк заказа NEW'!$B$19:$B$201)-COUNT('Бланк OLD 0.8 04'!$B$18:$B$200),'Бланк OLD 2.0 04 '!$B$16:$K$200,9,0)="","",VLOOKUP($A97-COUNT('Шаг2.Бланк заказа NEW'!$B$19:$B$201)-COUNT('Бланк OLD 0.8 04'!$B$18:$B$200),'Бланк OLD 2.0 04 '!$B$16:$K$200,9,0)))</f>
        <v/>
      </c>
      <c r="M97" s="154" t="str">
        <f t="shared" ca="1" si="10"/>
        <v/>
      </c>
      <c r="N97" s="153" t="str">
        <f ca="1">IFERROR(IF(VLOOKUP($A97,'Шаг2.Бланк заказа NEW'!$B$17:$N$201,11,0)="","",VLOOKUP($A97,'Шаг2.Бланк заказа NEW'!$B$17:$N$201,11,0)),
"Нет")</f>
        <v/>
      </c>
      <c r="O97" s="147" t="str">
        <f ca="1">IFERROR(IF(VLOOKUP($A97,'Шаг2.Бланк заказа NEW'!$B$17:$N$201,11,0)="","",VLOOKUP($A97,'Шаг2.Бланк заказа NEW'!$B$17:$N$201,12,0)),
"Нет")</f>
        <v/>
      </c>
      <c r="P97" s="153" t="str">
        <f ca="1">IFERROR(IF(VLOOKUP($A97,'Шаг2.Бланк заказа NEW'!$B$17:$N$201,13,0)="","",VLOOKUP($A97,'Шаг2.Бланк заказа NEW'!$B$17:$N$201,13,0)),
"Нет")</f>
        <v/>
      </c>
      <c r="Q97" s="147" t="str">
        <f ca="1">IFERROR(IF(VLOOKUP($A97,'Шаг2.Бланк заказа NEW'!$B$17:$O$201,14,0)="","",VLOOKUP($A97,'Шаг2.Бланк заказа NEW'!$B$17:$O$201,14,0)),"")</f>
        <v/>
      </c>
      <c r="R97" s="147" t="str">
        <f ca="1">IFERROR(IFERROR(IF(VLOOKUP($A97,'Шаг2.Бланк заказа NEW'!$B$17:$N$201,4,0)="","",VLOOKUP($A97,'Шаг2.Бланк заказа NEW'!$B$17:$N$201,4,0)),
IF(VLOOKUP($A97-COUNT('Шаг2.Бланк заказа NEW'!$B$19:$B$201),'Бланк OLD 0.8 04'!$B$12:$K$200,4,0)&gt;0,0.8,
IF(VLOOKUP($A97-COUNT('Шаг2.Бланк заказа NEW'!$B$19:$B$201),'Бланк OLD 0.8 04'!$B$12:$K$200,5,0)&gt;0,0.4,""))),
IF(VLOOKUP($A97-COUNT('Шаг2.Бланк заказа NEW'!$B$19:$B$201)-COUNT('Бланк OLD 0.8 04'!$B$18:$B$200),'Бланк OLD 2.0 04 '!$B$16:$K$200,4,0)&gt;0,2,IF(VLOOKUP($A97-COUNT('Шаг2.Бланк заказа NEW'!$B$19:$B$201)-COUNT('Бланк OLD 0.8 04'!$B$18:$B$200),'Бланк OLD 2.0 04 '!$B$16:$K$200,5,0)&gt;0,0.4,"")))</f>
        <v/>
      </c>
      <c r="S97" s="147" t="str">
        <f ca="1">IFERROR(IFERROR(IF(VLOOKUP($A97,'Шаг2.Бланк заказа NEW'!$B$17:$N$201,5,0)="","",VLOOKUP($A97,'Шаг2.Бланк заказа NEW'!$B$17:$N$201,5,0)),
IF(VLOOKUP($A97-COUNT('Шаг2.Бланк заказа NEW'!$B$19:$B$201),'Бланк OLD 0.8 04'!$B$12:$K$200,4,0)&gt;1,0.8,
IF(VLOOKUP($A97-COUNT('Шаг2.Бланк заказа NEW'!$B$19:$B$201),'Бланк OLD 0.8 04'!$B$12:$K$200,5,0)&gt;1,0.4,
IF(AND(VLOOKUP($A97-COUNT('Шаг2.Бланк заказа NEW'!$B$19:$B$201),'Бланк OLD 0.8 04'!$B$12:$K$200,4,0)&gt;0,VLOOKUP($A97-COUNT('Шаг2.Бланк заказа NEW'!$B$19:$B$201),'Бланк OLD 0.8 04'!$B$12:$K$200,5,0)&gt;0),0.4,"")))),
IF(VLOOKUP($A97-COUNT('Шаг2.Бланк заказа NEW'!$B$19:$B$201)-COUNT('Бланк OLD 0.8 04'!$B$18:$B$200),'Бланк OLD 2.0 04 '!$B$16:$K$200,4,0)&gt;1,2,
IF(VLOOKUP($A97-COUNT('Шаг2.Бланк заказа NEW'!$B$19:$B$201)-COUNT('Бланк OLD 0.8 04'!$B$18:$B$200),'Бланк OLD 2.0 04 '!$B$16:$K$200,5,0)&gt;1,0.4,IF(AND(VLOOKUP($A97-COUNT('Шаг2.Бланк заказа NEW'!$B$19:$B$201)-COUNT('Бланк OLD 0.8 04'!$B$18:$B$200),'Бланк OLD 2.0 04 '!$B$16:$K$200,4,0)&gt;0,VLOOKUP($A97-COUNT('Шаг2.Бланк заказа NEW'!$B$19:$B$201)-COUNT('Бланк OLD 0.8 04'!$B$18:$B$200),'Бланк OLD 2.0 04 '!$B$16:$K$200,5,0)&gt;0),0.4,""))))</f>
        <v/>
      </c>
      <c r="T97" s="147" t="str">
        <f ca="1">IFERROR(IFERROR(IF(VLOOKUP($A97,'Шаг2.Бланк заказа NEW'!$B$17:$N$201,7,0)="","",VLOOKUP($A97,'Шаг2.Бланк заказа NEW'!$B$17:$N$201,7,0)),
IF(VLOOKUP($A97-COUNT('Шаг2.Бланк заказа NEW'!$B$19:$B$201),'Бланк OLD 0.8 04'!$B$12:$K$200,7,0)&gt;0,0.8,
IF(VLOOKUP($A97-COUNT('Шаг2.Бланк заказа NEW'!$B$19:$B$201),'Бланк OLD 0.8 04'!$B$12:$K$200,8,0)&gt;0,0.4,""))),
IF(VLOOKUP($A97-COUNT('Шаг2.Бланк заказа NEW'!$B$19:$B$201)-COUNT('Бланк OLD 0.8 04'!$B$18:$B$200),'Бланк OLD 2.0 04 '!$B$16:$K$200,7,0)&gt;0,2,IF(VLOOKUP($A97-COUNT('Шаг2.Бланк заказа NEW'!$B$19:$B$201)-COUNT('Бланк OLD 0.8 04'!$B$18:$B$200),'Бланк OLD 2.0 04 '!$B$16:$K$200,8,0)&gt;0,0.4,"")))</f>
        <v/>
      </c>
      <c r="U97" s="147" t="str">
        <f ca="1">IFERROR(IFERROR(IF(VLOOKUP($A97,'Шаг2.Бланк заказа NEW'!$B$17:$N$201,8,0)="","",VLOOKUP($A97,'Шаг2.Бланк заказа NEW'!$B$17:$N$201,8,0)),
IF(VLOOKUP($A97-COUNT('Шаг2.Бланк заказа NEW'!$B$19:$B$201),'Бланк OLD 0.8 04'!$B$12:$K$200,7,0)&gt;1,0.8,
IF(VLOOKUP($A97-COUNT('Шаг2.Бланк заказа NEW'!$B$19:$B$201),'Бланк OLD 0.8 04'!$B$12:$K$200,8,0)&gt;1,0.4,
IF(AND(VLOOKUP($A97-COUNT('Шаг2.Бланк заказа NEW'!$B$19:$B$201),'Бланк OLD 0.8 04'!$B$12:$K$200,7,0)&gt;0,VLOOKUP($A97-COUNT('Шаг2.Бланк заказа NEW'!$B$19:$B$201),'Бланк OLD 0.8 04'!$B$12:$K$200,8,0)&gt;0),0.4,"")))),
IF(VLOOKUP($A97-COUNT('Шаг2.Бланк заказа NEW'!$B$19:$B$201)-COUNT('Бланк OLD 0.8 04'!$B$18:$B$200),'Бланк OLD 2.0 04 '!$B$16:$K$200,7,0)&gt;1,2,
IF(VLOOKUP($A97-COUNT('Шаг2.Бланк заказа NEW'!$B$19:$B$201)-COUNT('Бланк OLD 0.8 04'!$B$18:$B$200),'Бланк OLD 2.0 04 '!$B$16:$K$200,8,0)&gt;1,0.4,
IF(AND(VLOOKUP($A97-COUNT('Шаг2.Бланк заказа NEW'!$B$19:$B$201)-COUNT('Бланк OLD 0.8 04'!$B$18:$B$200),'Бланк OLD 2.0 04 '!$B$16:$K$200,7,0)&gt;0,VLOOKUP($A97-COUNT('Шаг2.Бланк заказа NEW'!$B$19:$B$201)-COUNT('Бланк OLD 0.8 04'!$B$18:$B$200),'Бланк OLD 2.0 04 '!$B$16:$K$200,8,0)&gt;0),0.4,""))))</f>
        <v/>
      </c>
      <c r="V97" s="146" t="str">
        <f ca="1">IFERROR(VLOOKUP(C97,'Шаг1.Выбор плиты'!C:S,12,0),"")</f>
        <v/>
      </c>
      <c r="W97" s="146" t="str">
        <f ca="1">IFERROR(VLOOKUP(C97,'Шаг1.Выбор плиты'!C:S,8,0),"")</f>
        <v/>
      </c>
      <c r="X97" s="146" t="str">
        <f ca="1">IFERROR(VLOOKUP(C97,'Шаг1.Выбор плиты'!C:S,10,0),"")</f>
        <v/>
      </c>
      <c r="Y97" s="147" t="str">
        <f t="shared" ca="1" si="8"/>
        <v/>
      </c>
      <c r="AD97" s="147" t="str">
        <f t="shared" ca="1" si="11"/>
        <v/>
      </c>
      <c r="AE97" s="147" t="str">
        <f t="shared" ca="1" si="9"/>
        <v/>
      </c>
      <c r="AF97" s="25"/>
      <c r="AH97" s="147" t="str">
        <f ca="1">IF(C97="","",VLOOKUP(C97,'Шаг1.Выбор плиты'!C:Q,7,0))</f>
        <v/>
      </c>
      <c r="AI97" s="147" t="str">
        <f t="shared" ca="1" si="12"/>
        <v/>
      </c>
    </row>
    <row r="98" spans="1:35" x14ac:dyDescent="0.2">
      <c r="A98" s="151" t="str">
        <f ca="1">IF(C98="","",MAX($A$1:OFFSET(C98,-1,0))+1)</f>
        <v/>
      </c>
      <c r="B98" s="151" t="str">
        <f ca="1">IFERROR(IFERROR(IFERROR("Шаг2.Бланк заказа NEW №"&amp;VLOOKUP(A97+1,CHOOSE({1,2},'Шаг2.Бланк заказа NEW'!$B$19:$B$201,'Шаг2.Бланк заказа NEW'!$A$19:$A$201),1,0),
"Бланк OLD 0.8 04 №"&amp;VLOOKUP(A97+1-COUNT('Шаг2.Бланк заказа NEW'!$B$19:$B$201),CHOOSE({1,2},'Бланк OLD 0.8 04'!$B$18:$B$200,'Бланк OLD 0.8 04'!$A$18:$A$200),1,0)),
"Бланк OLD 2.0 04 №"&amp;VLOOKUP(A97+1-COUNT('Шаг2.Бланк заказа NEW'!$B$19:$B$201)-COUNT('Бланк OLD 0.8 04'!$B$18:$B$200),CHOOSE({1,2},'Бланк OLD 2.0 04 '!$B$18:$B$200,'Бланк OLD 2.0 04 '!$A$18:$A$200),1,0)),"")</f>
        <v/>
      </c>
      <c r="C98" s="152" t="str">
        <f ca="1">IFERROR(IFERROR(IFERROR(VLOOKUP(A97+1,CHOOSE({1,2},'Шаг2.Бланк заказа NEW'!$B$19:$B$201,'Шаг2.Бланк заказа NEW'!$A$19:$A$201),2,0),
VLOOKUP(A97+1-COUNT('Шаг2.Бланк заказа NEW'!$B$19:$B$201),CHOOSE({1,2},'Бланк OLD 0.8 04'!$B$18:$B$200,'Бланк OLD 0.8 04'!$A$18:$A$200),2,0)),
VLOOKUP(A97+1-COUNT('Шаг2.Бланк заказа NEW'!$B$19:$B$201)-COUNT('Бланк OLD 0.8 04'!$B$18:$B$200),CHOOSE({1,2},'Бланк OLD 2.0 04 '!$B$18:$B$200,'Бланк OLD 2.0 04 '!$A$18:$A$200),2,0)),"")</f>
        <v/>
      </c>
      <c r="D98" s="150" t="str">
        <f ca="1">IFERROR(VLOOKUP(C98,'Шаг1.Выбор плиты'!C:G,5,0),"")</f>
        <v/>
      </c>
      <c r="E98" s="147" t="str">
        <f ca="1">IFERROR(IFERROR(IF(VLOOKUP($A98,'Шаг2.Бланк заказа NEW'!$B$17:$N$201,2,0)="","",VLOOKUP($A98,'Шаг2.Бланк заказа NEW'!$B$17:$N$201,2,0)),
IF(VLOOKUP($A98-COUNT('Шаг2.Бланк заказа NEW'!$B$19:$B$201),'Бланк OLD 0.8 04'!$B$12:$K$200,2,0)="","",VLOOKUP($A98-COUNT('Шаг2.Бланк заказа NEW'!$B$19:$B$201),'Бланк OLD 0.8 04'!$B$12:$K$200,2,0))),
IF(VLOOKUP($A98-COUNT('Шаг2.Бланк заказа NEW'!$B$19:$B$201)-COUNT('Бланк OLD 0.8 04'!$B$18:$B$200),'Бланк OLD 2.0 04 '!$B$16:$K$200,2,0)="","",VLOOKUP($A98-COUNT('Шаг2.Бланк заказа NEW'!$B$19:$B$201)-COUNT('Бланк OLD 0.8 04'!$B$18:$B$200),'Бланк OLD 2.0 04 '!$B$16:$K$200,2,0)))</f>
        <v/>
      </c>
      <c r="F98" s="147" t="str">
        <f ca="1">IFERROR(IFERROR(IF(VLOOKUP($A98,'Шаг2.Бланк заказа NEW'!$B$17:$N$201,3,0)="","",VLOOKUP($A98,'Шаг2.Бланк заказа NEW'!$B$17:$N$201,3,0)),
IF(VLOOKUP($A98-COUNT('Шаг2.Бланк заказа NEW'!$B$19:$B$201),'Бланк OLD 0.8 04'!$B$12:$K$200,3,0)="","",VLOOKUP($A98-COUNT('Шаг2.Бланк заказа NEW'!$B$19:$B$201),'Бланк OLD 0.8 04'!$B$12:$K$200,3,0))),
IF(VLOOKUP($A98-COUNT('Шаг2.Бланк заказа NEW'!$B$19:$B$201)-COUNT('Бланк OLD 0.8 04'!$B$18:$B$200),'Бланк OLD 2.0 04 '!$B$16:$K$200,3,0)="","",VLOOKUP($A98-COUNT('Шаг2.Бланк заказа NEW'!$B$19:$B$201)-COUNT('Бланк OLD 0.8 04'!$B$18:$B$200),'Бланк OLD 2.0 04 '!$B$16:$K$200,3,0)))</f>
        <v/>
      </c>
      <c r="G98" s="176" t="str">
        <f ca="1">IF(IF(R98="","",IF(R98=1,SUMIFS('Шаг1.Выбор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плиты'!C:Q,12,0)),1))))))=0,
R98,
IF(R98="","",IF(R98=1,SUMIFS('Шаг1.Выбор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плиты'!N:N,R98,'Шаг1.Выбор плиты'!M:M,SMALL(INDIRECT("мм"&amp;VLOOKUP(C98,'Шаг1.Выбор плиты'!C:Q,12,0)),1)))))))</f>
        <v/>
      </c>
      <c r="H98" s="177" t="str">
        <f ca="1">IF(IF(S98="","",IF(S98=1,SUMIFS('Шаг1.Выбор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плиты'!C:Q,12,0)),1))))))=0,
S98,
IF(S98="","",IF(S98=1,SUMIFS('Шаг1.Выбор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плиты'!N:N,S98,'Шаг1.Выбор плиты'!M:M,SMALL(INDIRECT("мм"&amp;VLOOKUP(C98,'Шаг1.Выбор плиты'!C:Q,12,0)),1)))))))</f>
        <v/>
      </c>
      <c r="I98" s="147" t="str">
        <f ca="1">IFERROR(IFERROR(IF(VLOOKUP($A98,'Шаг2.Бланк заказа NEW'!$B$17:$N$201,6,0)="","",VLOOKUP($A98,'Шаг2.Бланк заказа NEW'!$B$17:$N$201,6,0)),
IF(VLOOKUP($A98-COUNT('Шаг2.Бланк заказа NEW'!$B$19:$B$201),'Бланк OLD 0.8 04'!$B$12:$K$200,6,0)="","",VLOOKUP($A98-COUNT('Шаг2.Бланк заказа NEW'!$B$19:$B$201),'Бланк OLD 0.8 04'!$B$12:$K$200,6,0))),
IF(VLOOKUP($A98-COUNT('Шаг2.Бланк заказа NEW'!$B$19:$B$201)-COUNT('Бланк OLD 0.8 04'!$B$18:$B$200),'Бланк OLD 2.0 04 '!$B$16:$K$200,6,0)="","",VLOOKUP($A98-COUNT('Шаг2.Бланк заказа NEW'!$B$19:$B$201)-COUNT('Бланк OLD 0.8 04'!$B$18:$B$200),'Бланк OLD 2.0 04 '!$B$16:$K$200,6,0)))</f>
        <v/>
      </c>
      <c r="J98" s="177" t="str">
        <f ca="1">IF(IF(T98="","",IF(T98=1,SUMIFS('Шаг1.Выбор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плиты'!C:Q,12,0)),1))))))=0,
T98,
IF(T98="","",IF(T98=1,SUMIFS('Шаг1.Выбор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плиты'!N:N,T98,'Шаг1.Выбор плиты'!M:M,SMALL(INDIRECT("мм"&amp;VLOOKUP(C98,'Шаг1.Выбор плиты'!C:Q,12,0)),1)))))))</f>
        <v/>
      </c>
      <c r="K98" s="177" t="str">
        <f ca="1">IF(IF(U98="","",IF(U98=1,SUMIFS('Шаг1.Выбор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плиты'!C:Q,12,0)),1))))))=0,
U98,
IF(U98="","",IF(U98=1,SUMIFS('Шаг1.Выбор плиты'!$G:$G,'Шаг1.Выбор плиты'!J:J,"*"&amp;RIGHT(VLOOKUP(C98,'Шаг1.Выбор плиты'!C:Q,8,0),4),'Шаг1.Выбор плиты'!L:L,IF(MID(C98,1,6)="ЛДСП P","TM"&amp;MID(VLOOKUP(C98,'Шаг1.Выбор плиты'!C:Q,10,0),3,2),MID(VLOOKUP(C98,'Шаг1.Выбор плиты'!C:Q,10,0),1,2)),
'Шаг1.Выбор плиты'!N:N,1),IF(SUMIFS('Шаг1.Выбор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плиты'!C:Q,12,0)),1))=0,
IF(SUMIFS('Шаг1.Выбор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плиты'!C:Q,12,0)),2))=0,
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плиты'!C:Q,12,0)),3)),
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плиты'!C:Q,12,0)),2))),
(SUMIFS('Шаг1.Выбор плиты'!$G:$G,'Шаг1.Выбор плиты'!J:J,"*"&amp;RIGHT(VLOOKUP(C98,'Шаг1.Выбор плиты'!C:Q,8,0),4),'Шаг1.Выбор плиты'!L:L,VLOOKUP(C98,'Шаг1.Выбор плиты'!C:Q,10,0),'Шаг1.Выбор плиты'!N:N,U98,'Шаг1.Выбор плиты'!M:M,SMALL(INDIRECT("мм"&amp;VLOOKUP(C98,'Шаг1.Выбор плиты'!C:Q,12,0)),1)))))))</f>
        <v/>
      </c>
      <c r="L98" s="147" t="str">
        <f ca="1">IFERROR(IFERROR(IF(VLOOKUP($A98,'Шаг2.Бланк заказа NEW'!$B$17:$N$201,9,0)="","",VLOOKUP($A98,'Шаг2.Бланк заказа NEW'!$B$17:$N$201,9,0)),
IF(VLOOKUP($A98-COUNT('Шаг2.Бланк заказа NEW'!$B$19:$B$201),'Бланк OLD 0.8 04'!$B$12:$K$200,9,0)="","",VLOOKUP($A98-COUNT('Шаг2.Бланк заказа NEW'!$B$19:$B$201),'Бланк OLD 0.8 04'!$B$12:$K$200,9,0))),
IF(VLOOKUP($A98-COUNT('Шаг2.Бланк заказа NEW'!$B$19:$B$201)-COUNT('Бланк OLD 0.8 04'!$B$18:$B$200),'Бланк OLD 2.0 04 '!$B$16:$K$200,9,0)="","",VLOOKUP($A98-COUNT('Шаг2.Бланк заказа NEW'!$B$19:$B$201)-COUNT('Бланк OLD 0.8 04'!$B$18:$B$200),'Бланк OLD 2.0 04 '!$B$16:$K$200,9,0)))</f>
        <v/>
      </c>
      <c r="M98" s="154" t="str">
        <f t="shared" ca="1" si="10"/>
        <v/>
      </c>
      <c r="N98" s="153" t="str">
        <f ca="1">IFERROR(IF(VLOOKUP($A98,'Шаг2.Бланк заказа NEW'!$B$17:$N$201,11,0)="","",VLOOKUP($A98,'Шаг2.Бланк заказа NEW'!$B$17:$N$201,11,0)),
"Нет")</f>
        <v/>
      </c>
      <c r="O98" s="147" t="str">
        <f ca="1">IFERROR(IF(VLOOKUP($A98,'Шаг2.Бланк заказа NEW'!$B$17:$N$201,11,0)="","",VLOOKUP($A98,'Шаг2.Бланк заказа NEW'!$B$17:$N$201,12,0)),
"Нет")</f>
        <v/>
      </c>
      <c r="P98" s="153" t="str">
        <f ca="1">IFERROR(IF(VLOOKUP($A98,'Шаг2.Бланк заказа NEW'!$B$17:$N$201,13,0)="","",VLOOKUP($A98,'Шаг2.Бланк заказа NEW'!$B$17:$N$201,13,0)),
"Нет")</f>
        <v/>
      </c>
      <c r="Q98" s="147" t="str">
        <f ca="1">IFERROR(IF(VLOOKUP($A98,'Шаг2.Бланк заказа NEW'!$B$17:$O$201,14,0)="","",VLOOKUP($A98,'Шаг2.Бланк заказа NEW'!$B$17:$O$201,14,0)),"")</f>
        <v/>
      </c>
      <c r="R98" s="147" t="str">
        <f ca="1">IFERROR(IFERROR(IF(VLOOKUP($A98,'Шаг2.Бланк заказа NEW'!$B$17:$N$201,4,0)="","",VLOOKUP($A98,'Шаг2.Бланк заказа NEW'!$B$17:$N$201,4,0)),
IF(VLOOKUP($A98-COUNT('Шаг2.Бланк заказа NEW'!$B$19:$B$201),'Бланк OLD 0.8 04'!$B$12:$K$200,4,0)&gt;0,0.8,
IF(VLOOKUP($A98-COUNT('Шаг2.Бланк заказа NEW'!$B$19:$B$201),'Бланк OLD 0.8 04'!$B$12:$K$200,5,0)&gt;0,0.4,""))),
IF(VLOOKUP($A98-COUNT('Шаг2.Бланк заказа NEW'!$B$19:$B$201)-COUNT('Бланк OLD 0.8 04'!$B$18:$B$200),'Бланк OLD 2.0 04 '!$B$16:$K$200,4,0)&gt;0,2,IF(VLOOKUP($A98-COUNT('Шаг2.Бланк заказа NEW'!$B$19:$B$201)-COUNT('Бланк OLD 0.8 04'!$B$18:$B$200),'Бланк OLD 2.0 04 '!$B$16:$K$200,5,0)&gt;0,0.4,"")))</f>
        <v/>
      </c>
      <c r="S98" s="147" t="str">
        <f ca="1">IFERROR(IFERROR(IF(VLOOKUP($A98,'Шаг2.Бланк заказа NEW'!$B$17:$N$201,5,0)="","",VLOOKUP($A98,'Шаг2.Бланк заказа NEW'!$B$17:$N$201,5,0)),
IF(VLOOKUP($A98-COUNT('Шаг2.Бланк заказа NEW'!$B$19:$B$201),'Бланк OLD 0.8 04'!$B$12:$K$200,4,0)&gt;1,0.8,
IF(VLOOKUP($A98-COUNT('Шаг2.Бланк заказа NEW'!$B$19:$B$201),'Бланк OLD 0.8 04'!$B$12:$K$200,5,0)&gt;1,0.4,
IF(AND(VLOOKUP($A98-COUNT('Шаг2.Бланк заказа NEW'!$B$19:$B$201),'Бланк OLD 0.8 04'!$B$12:$K$200,4,0)&gt;0,VLOOKUP($A98-COUNT('Шаг2.Бланк заказа NEW'!$B$19:$B$201),'Бланк OLD 0.8 04'!$B$12:$K$200,5,0)&gt;0),0.4,"")))),
IF(VLOOKUP($A98-COUNT('Шаг2.Бланк заказа NEW'!$B$19:$B$201)-COUNT('Бланк OLD 0.8 04'!$B$18:$B$200),'Бланк OLD 2.0 04 '!$B$16:$K$200,4,0)&gt;1,2,
IF(VLOOKUP($A98-COUNT('Шаг2.Бланк заказа NEW'!$B$19:$B$201)-COUNT('Бланк OLD 0.8 04'!$B$18:$B$200),'Бланк OLD 2.0 04 '!$B$16:$K$200,5,0)&gt;1,0.4,IF(AND(VLOOKUP($A98-COUNT('Шаг2.Бланк заказа NEW'!$B$19:$B$201)-COUNT('Бланк OLD 0.8 04'!$B$18:$B$200),'Бланк OLD 2.0 04 '!$B$16:$K$200,4,0)&gt;0,VLOOKUP($A98-COUNT('Шаг2.Бланк заказа NEW'!$B$19:$B$201)-COUNT('Бланк OLD 0.8 04'!$B$18:$B$200),'Бланк OLD 2.0 04 '!$B$16:$K$200,5,0)&gt;0),0.4,""))))</f>
        <v/>
      </c>
      <c r="T98" s="147" t="str">
        <f ca="1">IFERROR(IFERROR(IF(VLOOKUP($A98,'Шаг2.Бланк заказа NEW'!$B$17:$N$201,7,0)="","",VLOOKUP($A98,'Шаг2.Бланк заказа NEW'!$B$17:$N$201,7,0)),
IF(VLOOKUP($A98-COUNT('Шаг2.Бланк заказа NEW'!$B$19:$B$201),'Бланк OLD 0.8 04'!$B$12:$K$200,7,0)&gt;0,0.8,
IF(VLOOKUP($A98-COUNT('Шаг2.Бланк заказа NEW'!$B$19:$B$201),'Бланк OLD 0.8 04'!$B$12:$K$200,8,0)&gt;0,0.4,""))),
IF(VLOOKUP($A98-COUNT('Шаг2.Бланк заказа NEW'!$B$19:$B$201)-COUNT('Бланк OLD 0.8 04'!$B$18:$B$200),'Бланк OLD 2.0 04 '!$B$16:$K$200,7,0)&gt;0,2,IF(VLOOKUP($A98-COUNT('Шаг2.Бланк заказа NEW'!$B$19:$B$201)-COUNT('Бланк OLD 0.8 04'!$B$18:$B$200),'Бланк OLD 2.0 04 '!$B$16:$K$200,8,0)&gt;0,0.4,"")))</f>
        <v/>
      </c>
      <c r="U98" s="147" t="str">
        <f ca="1">IFERROR(IFERROR(IF(VLOOKUP($A98,'Шаг2.Бланк заказа NEW'!$B$17:$N$201,8,0)="","",VLOOKUP($A98,'Шаг2.Бланк заказа NEW'!$B$17:$N$201,8,0)),
IF(VLOOKUP($A98-COUNT('Шаг2.Бланк заказа NEW'!$B$19:$B$201),'Бланк OLD 0.8 04'!$B$12:$K$200,7,0)&gt;1,0.8,
IF(VLOOKUP($A98-COUNT('Шаг2.Бланк заказа NEW'!$B$19:$B$201),'Бланк OLD 0.8 04'!$B$12:$K$200,8,0)&gt;1,0.4,
IF(AND(VLOOKUP($A98-COUNT('Шаг2.Бланк заказа NEW'!$B$19:$B$201),'Бланк OLD 0.8 04'!$B$12:$K$200,7,0)&gt;0,VLOOKUP($A98-COUNT('Шаг2.Бланк заказа NEW'!$B$19:$B$201),'Бланк OLD 0.8 04'!$B$12:$K$200,8,0)&gt;0),0.4,"")))),
IF(VLOOKUP($A98-COUNT('Шаг2.Бланк заказа NEW'!$B$19:$B$201)-COUNT('Бланк OLD 0.8 04'!$B$18:$B$200),'Бланк OLD 2.0 04 '!$B$16:$K$200,7,0)&gt;1,2,
IF(VLOOKUP($A98-COUNT('Шаг2.Бланк заказа NEW'!$B$19:$B$201)-COUNT('Бланк OLD 0.8 04'!$B$18:$B$200),'Бланк OLD 2.0 04 '!$B$16:$K$200,8,0)&gt;1,0.4,
IF(AND(VLOOKUP($A98-COUNT('Шаг2.Бланк заказа NEW'!$B$19:$B$201)-COUNT('Бланк OLD 0.8 04'!$B$18:$B$200),'Бланк OLD 2.0 04 '!$B$16:$K$200,7,0)&gt;0,VLOOKUP($A98-COUNT('Шаг2.Бланк заказа NEW'!$B$19:$B$201)-COUNT('Бланк OLD 0.8 04'!$B$18:$B$200),'Бланк OLD 2.0 04 '!$B$16:$K$200,8,0)&gt;0),0.4,""))))</f>
        <v/>
      </c>
      <c r="V98" s="146" t="str">
        <f ca="1">IFERROR(VLOOKUP(C98,'Шаг1.Выбор плиты'!C:S,12,0),"")</f>
        <v/>
      </c>
      <c r="W98" s="146" t="str">
        <f ca="1">IFERROR(VLOOKUP(C98,'Шаг1.Выбор плиты'!C:S,8,0),"")</f>
        <v/>
      </c>
      <c r="X98" s="146" t="str">
        <f ca="1">IFERROR(VLOOKUP(C98,'Шаг1.Выбор плиты'!C:S,10,0),"")</f>
        <v/>
      </c>
      <c r="Y98" s="147" t="str">
        <f t="shared" ca="1" si="8"/>
        <v/>
      </c>
      <c r="AD98" s="147" t="str">
        <f t="shared" ca="1" si="11"/>
        <v/>
      </c>
      <c r="AE98" s="147" t="str">
        <f t="shared" ca="1" si="9"/>
        <v/>
      </c>
      <c r="AF98" s="25"/>
      <c r="AH98" s="147" t="str">
        <f ca="1">IF(C98="","",VLOOKUP(C98,'Шаг1.Выбор плиты'!C:Q,7,0))</f>
        <v/>
      </c>
      <c r="AI98" s="147" t="str">
        <f t="shared" ca="1" si="12"/>
        <v/>
      </c>
    </row>
    <row r="99" spans="1:35" x14ac:dyDescent="0.2">
      <c r="A99" s="151" t="str">
        <f ca="1">IF(C99="","",MAX($A$1:OFFSET(C99,-1,0))+1)</f>
        <v/>
      </c>
      <c r="B99" s="151" t="str">
        <f ca="1">IFERROR(IFERROR(IFERROR("Шаг2.Бланк заказа NEW №"&amp;VLOOKUP(A98+1,CHOOSE({1,2},'Шаг2.Бланк заказа NEW'!$B$19:$B$201,'Шаг2.Бланк заказа NEW'!$A$19:$A$201),1,0),
"Бланк OLD 0.8 04 №"&amp;VLOOKUP(A98+1-COUNT('Шаг2.Бланк заказа NEW'!$B$19:$B$201),CHOOSE({1,2},'Бланк OLD 0.8 04'!$B$18:$B$200,'Бланк OLD 0.8 04'!$A$18:$A$200),1,0)),
"Бланк OLD 2.0 04 №"&amp;VLOOKUP(A98+1-COUNT('Шаг2.Бланк заказа NEW'!$B$19:$B$201)-COUNT('Бланк OLD 0.8 04'!$B$18:$B$200),CHOOSE({1,2},'Бланк OLD 2.0 04 '!$B$18:$B$200,'Бланк OLD 2.0 04 '!$A$18:$A$200),1,0)),"")</f>
        <v/>
      </c>
      <c r="C99" s="152" t="str">
        <f ca="1">IFERROR(IFERROR(IFERROR(VLOOKUP(A98+1,CHOOSE({1,2},'Шаг2.Бланк заказа NEW'!$B$19:$B$201,'Шаг2.Бланк заказа NEW'!$A$19:$A$201),2,0),
VLOOKUP(A98+1-COUNT('Шаг2.Бланк заказа NEW'!$B$19:$B$201),CHOOSE({1,2},'Бланк OLD 0.8 04'!$B$18:$B$200,'Бланк OLD 0.8 04'!$A$18:$A$200),2,0)),
VLOOKUP(A98+1-COUNT('Шаг2.Бланк заказа NEW'!$B$19:$B$201)-COUNT('Бланк OLD 0.8 04'!$B$18:$B$200),CHOOSE({1,2},'Бланк OLD 2.0 04 '!$B$18:$B$200,'Бланк OLD 2.0 04 '!$A$18:$A$200),2,0)),"")</f>
        <v/>
      </c>
      <c r="D99" s="150" t="str">
        <f ca="1">IFERROR(VLOOKUP(C99,'Шаг1.Выбор плиты'!C:G,5,0),"")</f>
        <v/>
      </c>
      <c r="E99" s="147" t="str">
        <f ca="1">IFERROR(IFERROR(IF(VLOOKUP($A99,'Шаг2.Бланк заказа NEW'!$B$17:$N$201,2,0)="","",VLOOKUP($A99,'Шаг2.Бланк заказа NEW'!$B$17:$N$201,2,0)),
IF(VLOOKUP($A99-COUNT('Шаг2.Бланк заказа NEW'!$B$19:$B$201),'Бланк OLD 0.8 04'!$B$12:$K$200,2,0)="","",VLOOKUP($A99-COUNT('Шаг2.Бланк заказа NEW'!$B$19:$B$201),'Бланк OLD 0.8 04'!$B$12:$K$200,2,0))),
IF(VLOOKUP($A99-COUNT('Шаг2.Бланк заказа NEW'!$B$19:$B$201)-COUNT('Бланк OLD 0.8 04'!$B$18:$B$200),'Бланк OLD 2.0 04 '!$B$16:$K$200,2,0)="","",VLOOKUP($A99-COUNT('Шаг2.Бланк заказа NEW'!$B$19:$B$201)-COUNT('Бланк OLD 0.8 04'!$B$18:$B$200),'Бланк OLD 2.0 04 '!$B$16:$K$200,2,0)))</f>
        <v/>
      </c>
      <c r="F99" s="147" t="str">
        <f ca="1">IFERROR(IFERROR(IF(VLOOKUP($A99,'Шаг2.Бланк заказа NEW'!$B$17:$N$201,3,0)="","",VLOOKUP($A99,'Шаг2.Бланк заказа NEW'!$B$17:$N$201,3,0)),
IF(VLOOKUP($A99-COUNT('Шаг2.Бланк заказа NEW'!$B$19:$B$201),'Бланк OLD 0.8 04'!$B$12:$K$200,3,0)="","",VLOOKUP($A99-COUNT('Шаг2.Бланк заказа NEW'!$B$19:$B$201),'Бланк OLD 0.8 04'!$B$12:$K$200,3,0))),
IF(VLOOKUP($A99-COUNT('Шаг2.Бланк заказа NEW'!$B$19:$B$201)-COUNT('Бланк OLD 0.8 04'!$B$18:$B$200),'Бланк OLD 2.0 04 '!$B$16:$K$200,3,0)="","",VLOOKUP($A99-COUNT('Шаг2.Бланк заказа NEW'!$B$19:$B$201)-COUNT('Бланк OLD 0.8 04'!$B$18:$B$200),'Бланк OLD 2.0 04 '!$B$16:$K$200,3,0)))</f>
        <v/>
      </c>
      <c r="G99" s="176" t="str">
        <f ca="1">IF(IF(R99="","",IF(R99=1,SUMIFS('Шаг1.Выбор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плиты'!C:Q,12,0)),1))))))=0,
R99,
IF(R99="","",IF(R99=1,SUMIFS('Шаг1.Выбор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плиты'!N:N,R99,'Шаг1.Выбор плиты'!M:M,SMALL(INDIRECT("мм"&amp;VLOOKUP(C99,'Шаг1.Выбор плиты'!C:Q,12,0)),1)))))))</f>
        <v/>
      </c>
      <c r="H99" s="177" t="str">
        <f ca="1">IF(IF(S99="","",IF(S99=1,SUMIFS('Шаг1.Выбор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плиты'!C:Q,12,0)),1))))))=0,
S99,
IF(S99="","",IF(S99=1,SUMIFS('Шаг1.Выбор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плиты'!N:N,S99,'Шаг1.Выбор плиты'!M:M,SMALL(INDIRECT("мм"&amp;VLOOKUP(C99,'Шаг1.Выбор плиты'!C:Q,12,0)),1)))))))</f>
        <v/>
      </c>
      <c r="I99" s="147" t="str">
        <f ca="1">IFERROR(IFERROR(IF(VLOOKUP($A99,'Шаг2.Бланк заказа NEW'!$B$17:$N$201,6,0)="","",VLOOKUP($A99,'Шаг2.Бланк заказа NEW'!$B$17:$N$201,6,0)),
IF(VLOOKUP($A99-COUNT('Шаг2.Бланк заказа NEW'!$B$19:$B$201),'Бланк OLD 0.8 04'!$B$12:$K$200,6,0)="","",VLOOKUP($A99-COUNT('Шаг2.Бланк заказа NEW'!$B$19:$B$201),'Бланк OLD 0.8 04'!$B$12:$K$200,6,0))),
IF(VLOOKUP($A99-COUNT('Шаг2.Бланк заказа NEW'!$B$19:$B$201)-COUNT('Бланк OLD 0.8 04'!$B$18:$B$200),'Бланк OLD 2.0 04 '!$B$16:$K$200,6,0)="","",VLOOKUP($A99-COUNT('Шаг2.Бланк заказа NEW'!$B$19:$B$201)-COUNT('Бланк OLD 0.8 04'!$B$18:$B$200),'Бланк OLD 2.0 04 '!$B$16:$K$200,6,0)))</f>
        <v/>
      </c>
      <c r="J99" s="177" t="str">
        <f ca="1">IF(IF(T99="","",IF(T99=1,SUMIFS('Шаг1.Выбор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плиты'!C:Q,12,0)),1))))))=0,
T99,
IF(T99="","",IF(T99=1,SUMIFS('Шаг1.Выбор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плиты'!N:N,T99,'Шаг1.Выбор плиты'!M:M,SMALL(INDIRECT("мм"&amp;VLOOKUP(C99,'Шаг1.Выбор плиты'!C:Q,12,0)),1)))))))</f>
        <v/>
      </c>
      <c r="K99" s="177" t="str">
        <f ca="1">IF(IF(U99="","",IF(U99=1,SUMIFS('Шаг1.Выбор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плиты'!C:Q,12,0)),1))))))=0,
U99,
IF(U99="","",IF(U99=1,SUMIFS('Шаг1.Выбор плиты'!$G:$G,'Шаг1.Выбор плиты'!J:J,"*"&amp;RIGHT(VLOOKUP(C99,'Шаг1.Выбор плиты'!C:Q,8,0),4),'Шаг1.Выбор плиты'!L:L,IF(MID(C99,1,6)="ЛДСП P","TM"&amp;MID(VLOOKUP(C99,'Шаг1.Выбор плиты'!C:Q,10,0),3,2),MID(VLOOKUP(C99,'Шаг1.Выбор плиты'!C:Q,10,0),1,2)),
'Шаг1.Выбор плиты'!N:N,1),IF(SUMIFS('Шаг1.Выбор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плиты'!C:Q,12,0)),1))=0,
IF(SUMIFS('Шаг1.Выбор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плиты'!C:Q,12,0)),2))=0,
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плиты'!C:Q,12,0)),3)),
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плиты'!C:Q,12,0)),2))),
(SUMIFS('Шаг1.Выбор плиты'!$G:$G,'Шаг1.Выбор плиты'!J:J,"*"&amp;RIGHT(VLOOKUP(C99,'Шаг1.Выбор плиты'!C:Q,8,0),4),'Шаг1.Выбор плиты'!L:L,VLOOKUP(C99,'Шаг1.Выбор плиты'!C:Q,10,0),'Шаг1.Выбор плиты'!N:N,U99,'Шаг1.Выбор плиты'!M:M,SMALL(INDIRECT("мм"&amp;VLOOKUP(C99,'Шаг1.Выбор плиты'!C:Q,12,0)),1)))))))</f>
        <v/>
      </c>
      <c r="L99" s="147" t="str">
        <f ca="1">IFERROR(IFERROR(IF(VLOOKUP($A99,'Шаг2.Бланк заказа NEW'!$B$17:$N$201,9,0)="","",VLOOKUP($A99,'Шаг2.Бланк заказа NEW'!$B$17:$N$201,9,0)),
IF(VLOOKUP($A99-COUNT('Шаг2.Бланк заказа NEW'!$B$19:$B$201),'Бланк OLD 0.8 04'!$B$12:$K$200,9,0)="","",VLOOKUP($A99-COUNT('Шаг2.Бланк заказа NEW'!$B$19:$B$201),'Бланк OLD 0.8 04'!$B$12:$K$200,9,0))),
IF(VLOOKUP($A99-COUNT('Шаг2.Бланк заказа NEW'!$B$19:$B$201)-COUNT('Бланк OLD 0.8 04'!$B$18:$B$200),'Бланк OLD 2.0 04 '!$B$16:$K$200,9,0)="","",VLOOKUP($A99-COUNT('Шаг2.Бланк заказа NEW'!$B$19:$B$201)-COUNT('Бланк OLD 0.8 04'!$B$18:$B$200),'Бланк OLD 2.0 04 '!$B$16:$K$200,9,0)))</f>
        <v/>
      </c>
      <c r="M99" s="154" t="str">
        <f t="shared" ca="1" si="10"/>
        <v/>
      </c>
      <c r="N99" s="153" t="str">
        <f ca="1">IFERROR(IF(VLOOKUP($A99,'Шаг2.Бланк заказа NEW'!$B$17:$N$201,11,0)="","",VLOOKUP($A99,'Шаг2.Бланк заказа NEW'!$B$17:$N$201,11,0)),
"Нет")</f>
        <v/>
      </c>
      <c r="O99" s="147" t="str">
        <f ca="1">IFERROR(IF(VLOOKUP($A99,'Шаг2.Бланк заказа NEW'!$B$17:$N$201,11,0)="","",VLOOKUP($A99,'Шаг2.Бланк заказа NEW'!$B$17:$N$201,12,0)),
"Нет")</f>
        <v/>
      </c>
      <c r="P99" s="153" t="str">
        <f ca="1">IFERROR(IF(VLOOKUP($A99,'Шаг2.Бланк заказа NEW'!$B$17:$N$201,13,0)="","",VLOOKUP($A99,'Шаг2.Бланк заказа NEW'!$B$17:$N$201,13,0)),
"Нет")</f>
        <v/>
      </c>
      <c r="Q99" s="147" t="str">
        <f ca="1">IFERROR(IF(VLOOKUP($A99,'Шаг2.Бланк заказа NEW'!$B$17:$O$201,14,0)="","",VLOOKUP($A99,'Шаг2.Бланк заказа NEW'!$B$17:$O$201,14,0)),"")</f>
        <v/>
      </c>
      <c r="R99" s="147" t="str">
        <f ca="1">IFERROR(IFERROR(IF(VLOOKUP($A99,'Шаг2.Бланк заказа NEW'!$B$17:$N$201,4,0)="","",VLOOKUP($A99,'Шаг2.Бланк заказа NEW'!$B$17:$N$201,4,0)),
IF(VLOOKUP($A99-COUNT('Шаг2.Бланк заказа NEW'!$B$19:$B$201),'Бланк OLD 0.8 04'!$B$12:$K$200,4,0)&gt;0,0.8,
IF(VLOOKUP($A99-COUNT('Шаг2.Бланк заказа NEW'!$B$19:$B$201),'Бланк OLD 0.8 04'!$B$12:$K$200,5,0)&gt;0,0.4,""))),
IF(VLOOKUP($A99-COUNT('Шаг2.Бланк заказа NEW'!$B$19:$B$201)-COUNT('Бланк OLD 0.8 04'!$B$18:$B$200),'Бланк OLD 2.0 04 '!$B$16:$K$200,4,0)&gt;0,2,IF(VLOOKUP($A99-COUNT('Шаг2.Бланк заказа NEW'!$B$19:$B$201)-COUNT('Бланк OLD 0.8 04'!$B$18:$B$200),'Бланк OLD 2.0 04 '!$B$16:$K$200,5,0)&gt;0,0.4,"")))</f>
        <v/>
      </c>
      <c r="S99" s="147" t="str">
        <f ca="1">IFERROR(IFERROR(IF(VLOOKUP($A99,'Шаг2.Бланк заказа NEW'!$B$17:$N$201,5,0)="","",VLOOKUP($A99,'Шаг2.Бланк заказа NEW'!$B$17:$N$201,5,0)),
IF(VLOOKUP($A99-COUNT('Шаг2.Бланк заказа NEW'!$B$19:$B$201),'Бланк OLD 0.8 04'!$B$12:$K$200,4,0)&gt;1,0.8,
IF(VLOOKUP($A99-COUNT('Шаг2.Бланк заказа NEW'!$B$19:$B$201),'Бланк OLD 0.8 04'!$B$12:$K$200,5,0)&gt;1,0.4,
IF(AND(VLOOKUP($A99-COUNT('Шаг2.Бланк заказа NEW'!$B$19:$B$201),'Бланк OLD 0.8 04'!$B$12:$K$200,4,0)&gt;0,VLOOKUP($A99-COUNT('Шаг2.Бланк заказа NEW'!$B$19:$B$201),'Бланк OLD 0.8 04'!$B$12:$K$200,5,0)&gt;0),0.4,"")))),
IF(VLOOKUP($A99-COUNT('Шаг2.Бланк заказа NEW'!$B$19:$B$201)-COUNT('Бланк OLD 0.8 04'!$B$18:$B$200),'Бланк OLD 2.0 04 '!$B$16:$K$200,4,0)&gt;1,2,
IF(VLOOKUP($A99-COUNT('Шаг2.Бланк заказа NEW'!$B$19:$B$201)-COUNT('Бланк OLD 0.8 04'!$B$18:$B$200),'Бланк OLD 2.0 04 '!$B$16:$K$200,5,0)&gt;1,0.4,IF(AND(VLOOKUP($A99-COUNT('Шаг2.Бланк заказа NEW'!$B$19:$B$201)-COUNT('Бланк OLD 0.8 04'!$B$18:$B$200),'Бланк OLD 2.0 04 '!$B$16:$K$200,4,0)&gt;0,VLOOKUP($A99-COUNT('Шаг2.Бланк заказа NEW'!$B$19:$B$201)-COUNT('Бланк OLD 0.8 04'!$B$18:$B$200),'Бланк OLD 2.0 04 '!$B$16:$K$200,5,0)&gt;0),0.4,""))))</f>
        <v/>
      </c>
      <c r="T99" s="147" t="str">
        <f ca="1">IFERROR(IFERROR(IF(VLOOKUP($A99,'Шаг2.Бланк заказа NEW'!$B$17:$N$201,7,0)="","",VLOOKUP($A99,'Шаг2.Бланк заказа NEW'!$B$17:$N$201,7,0)),
IF(VLOOKUP($A99-COUNT('Шаг2.Бланк заказа NEW'!$B$19:$B$201),'Бланк OLD 0.8 04'!$B$12:$K$200,7,0)&gt;0,0.8,
IF(VLOOKUP($A99-COUNT('Шаг2.Бланк заказа NEW'!$B$19:$B$201),'Бланк OLD 0.8 04'!$B$12:$K$200,8,0)&gt;0,0.4,""))),
IF(VLOOKUP($A99-COUNT('Шаг2.Бланк заказа NEW'!$B$19:$B$201)-COUNT('Бланк OLD 0.8 04'!$B$18:$B$200),'Бланк OLD 2.0 04 '!$B$16:$K$200,7,0)&gt;0,2,IF(VLOOKUP($A99-COUNT('Шаг2.Бланк заказа NEW'!$B$19:$B$201)-COUNT('Бланк OLD 0.8 04'!$B$18:$B$200),'Бланк OLD 2.0 04 '!$B$16:$K$200,8,0)&gt;0,0.4,"")))</f>
        <v/>
      </c>
      <c r="U99" s="147" t="str">
        <f ca="1">IFERROR(IFERROR(IF(VLOOKUP($A99,'Шаг2.Бланк заказа NEW'!$B$17:$N$201,8,0)="","",VLOOKUP($A99,'Шаг2.Бланк заказа NEW'!$B$17:$N$201,8,0)),
IF(VLOOKUP($A99-COUNT('Шаг2.Бланк заказа NEW'!$B$19:$B$201),'Бланк OLD 0.8 04'!$B$12:$K$200,7,0)&gt;1,0.8,
IF(VLOOKUP($A99-COUNT('Шаг2.Бланк заказа NEW'!$B$19:$B$201),'Бланк OLD 0.8 04'!$B$12:$K$200,8,0)&gt;1,0.4,
IF(AND(VLOOKUP($A99-COUNT('Шаг2.Бланк заказа NEW'!$B$19:$B$201),'Бланк OLD 0.8 04'!$B$12:$K$200,7,0)&gt;0,VLOOKUP($A99-COUNT('Шаг2.Бланк заказа NEW'!$B$19:$B$201),'Бланк OLD 0.8 04'!$B$12:$K$200,8,0)&gt;0),0.4,"")))),
IF(VLOOKUP($A99-COUNT('Шаг2.Бланк заказа NEW'!$B$19:$B$201)-COUNT('Бланк OLD 0.8 04'!$B$18:$B$200),'Бланк OLD 2.0 04 '!$B$16:$K$200,7,0)&gt;1,2,
IF(VLOOKUP($A99-COUNT('Шаг2.Бланк заказа NEW'!$B$19:$B$201)-COUNT('Бланк OLD 0.8 04'!$B$18:$B$200),'Бланк OLD 2.0 04 '!$B$16:$K$200,8,0)&gt;1,0.4,
IF(AND(VLOOKUP($A99-COUNT('Шаг2.Бланк заказа NEW'!$B$19:$B$201)-COUNT('Бланк OLD 0.8 04'!$B$18:$B$200),'Бланк OLD 2.0 04 '!$B$16:$K$200,7,0)&gt;0,VLOOKUP($A99-COUNT('Шаг2.Бланк заказа NEW'!$B$19:$B$201)-COUNT('Бланк OLD 0.8 04'!$B$18:$B$200),'Бланк OLD 2.0 04 '!$B$16:$K$200,8,0)&gt;0),0.4,""))))</f>
        <v/>
      </c>
      <c r="V99" s="146" t="str">
        <f ca="1">IFERROR(VLOOKUP(C99,'Шаг1.Выбор плиты'!C:S,12,0),"")</f>
        <v/>
      </c>
      <c r="W99" s="146" t="str">
        <f ca="1">IFERROR(VLOOKUP(C99,'Шаг1.Выбор плиты'!C:S,8,0),"")</f>
        <v/>
      </c>
      <c r="X99" s="146" t="str">
        <f ca="1">IFERROR(VLOOKUP(C99,'Шаг1.Выбор плиты'!C:S,10,0),"")</f>
        <v/>
      </c>
      <c r="Y99" s="147" t="str">
        <f t="shared" ca="1" si="8"/>
        <v/>
      </c>
      <c r="AD99" s="147" t="str">
        <f t="shared" ca="1" si="11"/>
        <v/>
      </c>
      <c r="AE99" s="147" t="str">
        <f t="shared" ca="1" si="9"/>
        <v/>
      </c>
      <c r="AF99" s="25"/>
      <c r="AH99" s="147" t="str">
        <f ca="1">IF(C99="","",VLOOKUP(C99,'Шаг1.Выбор плиты'!C:Q,7,0))</f>
        <v/>
      </c>
      <c r="AI99" s="147" t="str">
        <f t="shared" ca="1" si="12"/>
        <v/>
      </c>
    </row>
    <row r="100" spans="1:35" x14ac:dyDescent="0.2">
      <c r="A100" s="151" t="str">
        <f ca="1">IF(C100="","",MAX($A$1:OFFSET(C100,-1,0))+1)</f>
        <v/>
      </c>
      <c r="B100" s="151" t="str">
        <f ca="1">IFERROR(IFERROR(IFERROR("Шаг2.Бланк заказа NEW №"&amp;VLOOKUP(A99+1,CHOOSE({1,2},'Шаг2.Бланк заказа NEW'!$B$19:$B$201,'Шаг2.Бланк заказа NEW'!$A$19:$A$201),1,0),
"Бланк OLD 0.8 04 №"&amp;VLOOKUP(A99+1-COUNT('Шаг2.Бланк заказа NEW'!$B$19:$B$201),CHOOSE({1,2},'Бланк OLD 0.8 04'!$B$18:$B$200,'Бланк OLD 0.8 04'!$A$18:$A$200),1,0)),
"Бланк OLD 2.0 04 №"&amp;VLOOKUP(A99+1-COUNT('Шаг2.Бланк заказа NEW'!$B$19:$B$201)-COUNT('Бланк OLD 0.8 04'!$B$18:$B$200),CHOOSE({1,2},'Бланк OLD 2.0 04 '!$B$18:$B$200,'Бланк OLD 2.0 04 '!$A$18:$A$200),1,0)),"")</f>
        <v/>
      </c>
      <c r="C100" s="152" t="str">
        <f ca="1">IFERROR(IFERROR(IFERROR(VLOOKUP(A99+1,CHOOSE({1,2},'Шаг2.Бланк заказа NEW'!$B$19:$B$201,'Шаг2.Бланк заказа NEW'!$A$19:$A$201),2,0),
VLOOKUP(A99+1-COUNT('Шаг2.Бланк заказа NEW'!$B$19:$B$201),CHOOSE({1,2},'Бланк OLD 0.8 04'!$B$18:$B$200,'Бланк OLD 0.8 04'!$A$18:$A$200),2,0)),
VLOOKUP(A99+1-COUNT('Шаг2.Бланк заказа NEW'!$B$19:$B$201)-COUNT('Бланк OLD 0.8 04'!$B$18:$B$200),CHOOSE({1,2},'Бланк OLD 2.0 04 '!$B$18:$B$200,'Бланк OLD 2.0 04 '!$A$18:$A$200),2,0)),"")</f>
        <v/>
      </c>
      <c r="D100" s="150" t="str">
        <f ca="1">IFERROR(VLOOKUP(C100,'Шаг1.Выбор плиты'!C:G,5,0),"")</f>
        <v/>
      </c>
      <c r="E100" s="147" t="str">
        <f ca="1">IFERROR(IFERROR(IF(VLOOKUP($A100,'Шаг2.Бланк заказа NEW'!$B$17:$N$201,2,0)="","",VLOOKUP($A100,'Шаг2.Бланк заказа NEW'!$B$17:$N$201,2,0)),
IF(VLOOKUP($A100-COUNT('Шаг2.Бланк заказа NEW'!$B$19:$B$201),'Бланк OLD 0.8 04'!$B$12:$K$200,2,0)="","",VLOOKUP($A100-COUNT('Шаг2.Бланк заказа NEW'!$B$19:$B$201),'Бланк OLD 0.8 04'!$B$12:$K$200,2,0))),
IF(VLOOKUP($A100-COUNT('Шаг2.Бланк заказа NEW'!$B$19:$B$201)-COUNT('Бланк OLD 0.8 04'!$B$18:$B$200),'Бланк OLD 2.0 04 '!$B$16:$K$200,2,0)="","",VLOOKUP($A100-COUNT('Шаг2.Бланк заказа NEW'!$B$19:$B$201)-COUNT('Бланк OLD 0.8 04'!$B$18:$B$200),'Бланк OLD 2.0 04 '!$B$16:$K$200,2,0)))</f>
        <v/>
      </c>
      <c r="F100" s="147" t="str">
        <f ca="1">IFERROR(IFERROR(IF(VLOOKUP($A100,'Шаг2.Бланк заказа NEW'!$B$17:$N$201,3,0)="","",VLOOKUP($A100,'Шаг2.Бланк заказа NEW'!$B$17:$N$201,3,0)),
IF(VLOOKUP($A100-COUNT('Шаг2.Бланк заказа NEW'!$B$19:$B$201),'Бланк OLD 0.8 04'!$B$12:$K$200,3,0)="","",VLOOKUP($A100-COUNT('Шаг2.Бланк заказа NEW'!$B$19:$B$201),'Бланк OLD 0.8 04'!$B$12:$K$200,3,0))),
IF(VLOOKUP($A100-COUNT('Шаг2.Бланк заказа NEW'!$B$19:$B$201)-COUNT('Бланк OLD 0.8 04'!$B$18:$B$200),'Бланк OLD 2.0 04 '!$B$16:$K$200,3,0)="","",VLOOKUP($A100-COUNT('Шаг2.Бланк заказа NEW'!$B$19:$B$201)-COUNT('Бланк OLD 0.8 04'!$B$18:$B$200),'Бланк OLD 2.0 04 '!$B$16:$K$200,3,0)))</f>
        <v/>
      </c>
      <c r="G100" s="176" t="str">
        <f ca="1">IF(IF(R100="","",IF(R100=1,SUMIFS('Шаг1.Выбор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плиты'!C:Q,12,0)),1))))))=0,
R100,
IF(R100="","",IF(R100=1,SUMIFS('Шаг1.Выбор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плиты'!N:N,R100,'Шаг1.Выбор плиты'!M:M,SMALL(INDIRECT("мм"&amp;VLOOKUP(C100,'Шаг1.Выбор плиты'!C:Q,12,0)),1)))))))</f>
        <v/>
      </c>
      <c r="H100" s="177" t="str">
        <f ca="1">IF(IF(S100="","",IF(S100=1,SUMIFS('Шаг1.Выбор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плиты'!C:Q,12,0)),1))))))=0,
S100,
IF(S100="","",IF(S100=1,SUMIFS('Шаг1.Выбор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плиты'!N:N,S100,'Шаг1.Выбор плиты'!M:M,SMALL(INDIRECT("мм"&amp;VLOOKUP(C100,'Шаг1.Выбор плиты'!C:Q,12,0)),1)))))))</f>
        <v/>
      </c>
      <c r="I100" s="147" t="str">
        <f ca="1">IFERROR(IFERROR(IF(VLOOKUP($A100,'Шаг2.Бланк заказа NEW'!$B$17:$N$201,6,0)="","",VLOOKUP($A100,'Шаг2.Бланк заказа NEW'!$B$17:$N$201,6,0)),
IF(VLOOKUP($A100-COUNT('Шаг2.Бланк заказа NEW'!$B$19:$B$201),'Бланк OLD 0.8 04'!$B$12:$K$200,6,0)="","",VLOOKUP($A100-COUNT('Шаг2.Бланк заказа NEW'!$B$19:$B$201),'Бланк OLD 0.8 04'!$B$12:$K$200,6,0))),
IF(VLOOKUP($A100-COUNT('Шаг2.Бланк заказа NEW'!$B$19:$B$201)-COUNT('Бланк OLD 0.8 04'!$B$18:$B$200),'Бланк OLD 2.0 04 '!$B$16:$K$200,6,0)="","",VLOOKUP($A100-COUNT('Шаг2.Бланк заказа NEW'!$B$19:$B$201)-COUNT('Бланк OLD 0.8 04'!$B$18:$B$200),'Бланк OLD 2.0 04 '!$B$16:$K$200,6,0)))</f>
        <v/>
      </c>
      <c r="J100" s="177" t="str">
        <f ca="1">IF(IF(T100="","",IF(T100=1,SUMIFS('Шаг1.Выбор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плиты'!C:Q,12,0)),1))))))=0,
T100,
IF(T100="","",IF(T100=1,SUMIFS('Шаг1.Выбор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плиты'!N:N,T100,'Шаг1.Выбор плиты'!M:M,SMALL(INDIRECT("мм"&amp;VLOOKUP(C100,'Шаг1.Выбор плиты'!C:Q,12,0)),1)))))))</f>
        <v/>
      </c>
      <c r="K100" s="177" t="str">
        <f ca="1">IF(IF(U100="","",IF(U100=1,SUMIFS('Шаг1.Выбор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плиты'!C:Q,12,0)),1))))))=0,
U100,
IF(U100="","",IF(U100=1,SUMIFS('Шаг1.Выбор плиты'!$G:$G,'Шаг1.Выбор плиты'!J:J,"*"&amp;RIGHT(VLOOKUP(C100,'Шаг1.Выбор плиты'!C:Q,8,0),4),'Шаг1.Выбор плиты'!L:L,IF(MID(C100,1,6)="ЛДСП P","TM"&amp;MID(VLOOKUP(C100,'Шаг1.Выбор плиты'!C:Q,10,0),3,2),MID(VLOOKUP(C100,'Шаг1.Выбор плиты'!C:Q,10,0),1,2)),
'Шаг1.Выбор плиты'!N:N,1),IF(SUMIFS('Шаг1.Выбор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плиты'!C:Q,12,0)),1))=0,
IF(SUMIFS('Шаг1.Выбор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плиты'!C:Q,12,0)),2))=0,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плиты'!C:Q,12,0)),3)),
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плиты'!C:Q,12,0)),2))),
(SUMIFS('Шаг1.Выбор плиты'!$G:$G,'Шаг1.Выбор плиты'!J:J,"*"&amp;RIGHT(VLOOKUP(C100,'Шаг1.Выбор плиты'!C:Q,8,0),4),'Шаг1.Выбор плиты'!L:L,VLOOKUP(C100,'Шаг1.Выбор плиты'!C:Q,10,0),'Шаг1.Выбор плиты'!N:N,U100,'Шаг1.Выбор плиты'!M:M,SMALL(INDIRECT("мм"&amp;VLOOKUP(C100,'Шаг1.Выбор плиты'!C:Q,12,0)),1)))))))</f>
        <v/>
      </c>
      <c r="L100" s="147" t="str">
        <f ca="1">IFERROR(IFERROR(IF(VLOOKUP($A100,'Шаг2.Бланк заказа NEW'!$B$17:$N$201,9,0)="","",VLOOKUP($A100,'Шаг2.Бланк заказа NEW'!$B$17:$N$201,9,0)),
IF(VLOOKUP($A100-COUNT('Шаг2.Бланк заказа NEW'!$B$19:$B$201),'Бланк OLD 0.8 04'!$B$12:$K$200,9,0)="","",VLOOKUP($A100-COUNT('Шаг2.Бланк заказа NEW'!$B$19:$B$201),'Бланк OLD 0.8 04'!$B$12:$K$200,9,0))),
IF(VLOOKUP($A100-COUNT('Шаг2.Бланк заказа NEW'!$B$19:$B$201)-COUNT('Бланк OLD 0.8 04'!$B$18:$B$200),'Бланк OLD 2.0 04 '!$B$16:$K$200,9,0)="","",VLOOKUP($A100-COUNT('Шаг2.Бланк заказа NEW'!$B$19:$B$201)-COUNT('Бланк OLD 0.8 04'!$B$18:$B$200),'Бланк OLD 2.0 04 '!$B$16:$K$200,9,0)))</f>
        <v/>
      </c>
      <c r="M100" s="154" t="str">
        <f t="shared" ca="1" si="10"/>
        <v/>
      </c>
      <c r="N100" s="153" t="str">
        <f ca="1">IFERROR(IF(VLOOKUP($A100,'Шаг2.Бланк заказа NEW'!$B$17:$N$201,11,0)="","",VLOOKUP($A100,'Шаг2.Бланк заказа NEW'!$B$17:$N$201,11,0)),
"Нет")</f>
        <v/>
      </c>
      <c r="O100" s="147" t="str">
        <f ca="1">IFERROR(IF(VLOOKUP($A100,'Шаг2.Бланк заказа NEW'!$B$17:$N$201,11,0)="","",VLOOKUP($A100,'Шаг2.Бланк заказа NEW'!$B$17:$N$201,12,0)),
"Нет")</f>
        <v/>
      </c>
      <c r="P100" s="153" t="str">
        <f ca="1">IFERROR(IF(VLOOKUP($A100,'Шаг2.Бланк заказа NEW'!$B$17:$N$201,13,0)="","",VLOOKUP($A100,'Шаг2.Бланк заказа NEW'!$B$17:$N$201,13,0)),
"Нет")</f>
        <v/>
      </c>
      <c r="Q100" s="147" t="str">
        <f ca="1">IFERROR(IF(VLOOKUP($A100,'Шаг2.Бланк заказа NEW'!$B$17:$O$201,14,0)="","",VLOOKUP($A100,'Шаг2.Бланк заказа NEW'!$B$17:$O$201,14,0)),"")</f>
        <v/>
      </c>
      <c r="R100" s="147" t="str">
        <f ca="1">IFERROR(IFERROR(IF(VLOOKUP($A100,'Шаг2.Бланк заказа NEW'!$B$17:$N$201,4,0)="","",VLOOKUP($A100,'Шаг2.Бланк заказа NEW'!$B$17:$N$201,4,0)),
IF(VLOOKUP($A100-COUNT('Шаг2.Бланк заказа NEW'!$B$19:$B$201),'Бланк OLD 0.8 04'!$B$12:$K$200,4,0)&gt;0,0.8,
IF(VLOOKUP($A100-COUNT('Шаг2.Бланк заказа NEW'!$B$19:$B$201),'Бланк OLD 0.8 04'!$B$12:$K$200,5,0)&gt;0,0.4,""))),
IF(VLOOKUP($A100-COUNT('Шаг2.Бланк заказа NEW'!$B$19:$B$201)-COUNT('Бланк OLD 0.8 04'!$B$18:$B$200),'Бланк OLD 2.0 04 '!$B$16:$K$200,4,0)&gt;0,2,IF(VLOOKUP($A100-COUNT('Шаг2.Бланк заказа NEW'!$B$19:$B$201)-COUNT('Бланк OLD 0.8 04'!$B$18:$B$200),'Бланк OLD 2.0 04 '!$B$16:$K$200,5,0)&gt;0,0.4,"")))</f>
        <v/>
      </c>
      <c r="S100" s="147" t="str">
        <f ca="1">IFERROR(IFERROR(IF(VLOOKUP($A100,'Шаг2.Бланк заказа NEW'!$B$17:$N$201,5,0)="","",VLOOKUP($A100,'Шаг2.Бланк заказа NEW'!$B$17:$N$201,5,0)),
IF(VLOOKUP($A100-COUNT('Шаг2.Бланк заказа NEW'!$B$19:$B$201),'Бланк OLD 0.8 04'!$B$12:$K$200,4,0)&gt;1,0.8,
IF(VLOOKUP($A100-COUNT('Шаг2.Бланк заказа NEW'!$B$19:$B$201),'Бланк OLD 0.8 04'!$B$12:$K$200,5,0)&gt;1,0.4,
IF(AND(VLOOKUP($A100-COUNT('Шаг2.Бланк заказа NEW'!$B$19:$B$201),'Бланк OLD 0.8 04'!$B$12:$K$200,4,0)&gt;0,VLOOKUP($A100-COUNT('Шаг2.Бланк заказа NEW'!$B$19:$B$201),'Бланк OLD 0.8 04'!$B$12:$K$200,5,0)&gt;0),0.4,"")))),
IF(VLOOKUP($A100-COUNT('Шаг2.Бланк заказа NEW'!$B$19:$B$201)-COUNT('Бланк OLD 0.8 04'!$B$18:$B$200),'Бланк OLD 2.0 04 '!$B$16:$K$200,4,0)&gt;1,2,
IF(VLOOKUP($A100-COUNT('Шаг2.Бланк заказа NEW'!$B$19:$B$201)-COUNT('Бланк OLD 0.8 04'!$B$18:$B$200),'Бланк OLD 2.0 04 '!$B$16:$K$200,5,0)&gt;1,0.4,IF(AND(VLOOKUP($A100-COUNT('Шаг2.Бланк заказа NEW'!$B$19:$B$201)-COUNT('Бланк OLD 0.8 04'!$B$18:$B$200),'Бланк OLD 2.0 04 '!$B$16:$K$200,4,0)&gt;0,VLOOKUP($A100-COUNT('Шаг2.Бланк заказа NEW'!$B$19:$B$201)-COUNT('Бланк OLD 0.8 04'!$B$18:$B$200),'Бланк OLD 2.0 04 '!$B$16:$K$200,5,0)&gt;0),0.4,""))))</f>
        <v/>
      </c>
      <c r="T100" s="147" t="str">
        <f ca="1">IFERROR(IFERROR(IF(VLOOKUP($A100,'Шаг2.Бланк заказа NEW'!$B$17:$N$201,7,0)="","",VLOOKUP($A100,'Шаг2.Бланк заказа NEW'!$B$17:$N$201,7,0)),
IF(VLOOKUP($A100-COUNT('Шаг2.Бланк заказа NEW'!$B$19:$B$201),'Бланк OLD 0.8 04'!$B$12:$K$200,7,0)&gt;0,0.8,
IF(VLOOKUP($A100-COUNT('Шаг2.Бланк заказа NEW'!$B$19:$B$201),'Бланк OLD 0.8 04'!$B$12:$K$200,8,0)&gt;0,0.4,""))),
IF(VLOOKUP($A100-COUNT('Шаг2.Бланк заказа NEW'!$B$19:$B$201)-COUNT('Бланк OLD 0.8 04'!$B$18:$B$200),'Бланк OLD 2.0 04 '!$B$16:$K$200,7,0)&gt;0,2,IF(VLOOKUP($A100-COUNT('Шаг2.Бланк заказа NEW'!$B$19:$B$201)-COUNT('Бланк OLD 0.8 04'!$B$18:$B$200),'Бланк OLD 2.0 04 '!$B$16:$K$200,8,0)&gt;0,0.4,"")))</f>
        <v/>
      </c>
      <c r="U100" s="147" t="str">
        <f ca="1">IFERROR(IFERROR(IF(VLOOKUP($A100,'Шаг2.Бланк заказа NEW'!$B$17:$N$201,8,0)="","",VLOOKUP($A100,'Шаг2.Бланк заказа NEW'!$B$17:$N$201,8,0)),
IF(VLOOKUP($A100-COUNT('Шаг2.Бланк заказа NEW'!$B$19:$B$201),'Бланк OLD 0.8 04'!$B$12:$K$200,7,0)&gt;1,0.8,
IF(VLOOKUP($A100-COUNT('Шаг2.Бланк заказа NEW'!$B$19:$B$201),'Бланк OLD 0.8 04'!$B$12:$K$200,8,0)&gt;1,0.4,
IF(AND(VLOOKUP($A100-COUNT('Шаг2.Бланк заказа NEW'!$B$19:$B$201),'Бланк OLD 0.8 04'!$B$12:$K$200,7,0)&gt;0,VLOOKUP($A100-COUNT('Шаг2.Бланк заказа NEW'!$B$19:$B$201),'Бланк OLD 0.8 04'!$B$12:$K$200,8,0)&gt;0),0.4,"")))),
IF(VLOOKUP($A100-COUNT('Шаг2.Бланк заказа NEW'!$B$19:$B$201)-COUNT('Бланк OLD 0.8 04'!$B$18:$B$200),'Бланк OLD 2.0 04 '!$B$16:$K$200,7,0)&gt;1,2,
IF(VLOOKUP($A100-COUNT('Шаг2.Бланк заказа NEW'!$B$19:$B$201)-COUNT('Бланк OLD 0.8 04'!$B$18:$B$200),'Бланк OLD 2.0 04 '!$B$16:$K$200,8,0)&gt;1,0.4,
IF(AND(VLOOKUP($A100-COUNT('Шаг2.Бланк заказа NEW'!$B$19:$B$201)-COUNT('Бланк OLD 0.8 04'!$B$18:$B$200),'Бланк OLD 2.0 04 '!$B$16:$K$200,7,0)&gt;0,VLOOKUP($A100-COUNT('Шаг2.Бланк заказа NEW'!$B$19:$B$201)-COUNT('Бланк OLD 0.8 04'!$B$18:$B$200),'Бланк OLD 2.0 04 '!$B$16:$K$200,8,0)&gt;0),0.4,""))))</f>
        <v/>
      </c>
      <c r="V100" s="146" t="str">
        <f ca="1">IFERROR(VLOOKUP(C100,'Шаг1.Выбор плиты'!C:S,12,0),"")</f>
        <v/>
      </c>
      <c r="W100" s="146" t="str">
        <f ca="1">IFERROR(VLOOKUP(C100,'Шаг1.Выбор плиты'!C:S,8,0),"")</f>
        <v/>
      </c>
      <c r="X100" s="146" t="str">
        <f ca="1">IFERROR(VLOOKUP(C100,'Шаг1.Выбор плиты'!C:S,10,0),"")</f>
        <v/>
      </c>
      <c r="Y100" s="147" t="str">
        <f t="shared" ca="1" si="8"/>
        <v/>
      </c>
      <c r="AD100" s="147" t="str">
        <f t="shared" ca="1" si="11"/>
        <v/>
      </c>
      <c r="AE100" s="147" t="str">
        <f t="shared" ca="1" si="9"/>
        <v/>
      </c>
      <c r="AF100" s="25"/>
      <c r="AH100" s="147" t="str">
        <f ca="1">IF(C100="","",VLOOKUP(C100,'Шаг1.Выбор плиты'!C:Q,7,0))</f>
        <v/>
      </c>
      <c r="AI100" s="147" t="str">
        <f t="shared" ca="1" si="12"/>
        <v/>
      </c>
    </row>
    <row r="101" spans="1:35" x14ac:dyDescent="0.2">
      <c r="A101" s="151" t="str">
        <f ca="1">IF(C101="","",MAX($A$1:OFFSET(C101,-1,0))+1)</f>
        <v/>
      </c>
      <c r="B101" s="151" t="str">
        <f ca="1">IFERROR(IFERROR(IFERROR("Шаг2.Бланк заказа NEW №"&amp;VLOOKUP(A100+1,CHOOSE({1,2},'Шаг2.Бланк заказа NEW'!$B$19:$B$201,'Шаг2.Бланк заказа NEW'!$A$19:$A$201),1,0),
"Бланк OLD 0.8 04 №"&amp;VLOOKUP(A100+1-COUNT('Шаг2.Бланк заказа NEW'!$B$19:$B$201),CHOOSE({1,2},'Бланк OLD 0.8 04'!$B$18:$B$200,'Бланк OLD 0.8 04'!$A$18:$A$200),1,0)),
"Бланк OLD 2.0 04 №"&amp;VLOOKUP(A100+1-COUNT('Шаг2.Бланк заказа NEW'!$B$19:$B$201)-COUNT('Бланк OLD 0.8 04'!$B$18:$B$200),CHOOSE({1,2},'Бланк OLD 2.0 04 '!$B$18:$B$200,'Бланк OLD 2.0 04 '!$A$18:$A$200),1,0)),"")</f>
        <v/>
      </c>
      <c r="C101" s="152" t="str">
        <f ca="1">IFERROR(IFERROR(IFERROR(VLOOKUP(A100+1,CHOOSE({1,2},'Шаг2.Бланк заказа NEW'!$B$19:$B$201,'Шаг2.Бланк заказа NEW'!$A$19:$A$201),2,0),
VLOOKUP(A100+1-COUNT('Шаг2.Бланк заказа NEW'!$B$19:$B$201),CHOOSE({1,2},'Бланк OLD 0.8 04'!$B$18:$B$200,'Бланк OLD 0.8 04'!$A$18:$A$200),2,0)),
VLOOKUP(A100+1-COUNT('Шаг2.Бланк заказа NEW'!$B$19:$B$201)-COUNT('Бланк OLD 0.8 04'!$B$18:$B$200),CHOOSE({1,2},'Бланк OLD 2.0 04 '!$B$18:$B$200,'Бланк OLD 2.0 04 '!$A$18:$A$200),2,0)),"")</f>
        <v/>
      </c>
      <c r="D101" s="150" t="str">
        <f ca="1">IFERROR(VLOOKUP(C101,'Шаг1.Выбор плиты'!C:G,5,0),"")</f>
        <v/>
      </c>
      <c r="E101" s="147" t="str">
        <f ca="1">IFERROR(IFERROR(IF(VLOOKUP($A101,'Шаг2.Бланк заказа NEW'!$B$17:$N$201,2,0)="","",VLOOKUP($A101,'Шаг2.Бланк заказа NEW'!$B$17:$N$201,2,0)),
IF(VLOOKUP($A101-COUNT('Шаг2.Бланк заказа NEW'!$B$19:$B$201),'Бланк OLD 0.8 04'!$B$12:$K$200,2,0)="","",VLOOKUP($A101-COUNT('Шаг2.Бланк заказа NEW'!$B$19:$B$201),'Бланк OLD 0.8 04'!$B$12:$K$200,2,0))),
IF(VLOOKUP($A101-COUNT('Шаг2.Бланк заказа NEW'!$B$19:$B$201)-COUNT('Бланк OLD 0.8 04'!$B$18:$B$200),'Бланк OLD 2.0 04 '!$B$16:$K$200,2,0)="","",VLOOKUP($A101-COUNT('Шаг2.Бланк заказа NEW'!$B$19:$B$201)-COUNT('Бланк OLD 0.8 04'!$B$18:$B$200),'Бланк OLD 2.0 04 '!$B$16:$K$200,2,0)))</f>
        <v/>
      </c>
      <c r="F101" s="147" t="str">
        <f ca="1">IFERROR(IFERROR(IF(VLOOKUP($A101,'Шаг2.Бланк заказа NEW'!$B$17:$N$201,3,0)="","",VLOOKUP($A101,'Шаг2.Бланк заказа NEW'!$B$17:$N$201,3,0)),
IF(VLOOKUP($A101-COUNT('Шаг2.Бланк заказа NEW'!$B$19:$B$201),'Бланк OLD 0.8 04'!$B$12:$K$200,3,0)="","",VLOOKUP($A101-COUNT('Шаг2.Бланк заказа NEW'!$B$19:$B$201),'Бланк OLD 0.8 04'!$B$12:$K$200,3,0))),
IF(VLOOKUP($A101-COUNT('Шаг2.Бланк заказа NEW'!$B$19:$B$201)-COUNT('Бланк OLD 0.8 04'!$B$18:$B$200),'Бланк OLD 2.0 04 '!$B$16:$K$200,3,0)="","",VLOOKUP($A101-COUNT('Шаг2.Бланк заказа NEW'!$B$19:$B$201)-COUNT('Бланк OLD 0.8 04'!$B$18:$B$200),'Бланк OLD 2.0 04 '!$B$16:$K$200,3,0)))</f>
        <v/>
      </c>
      <c r="G101" s="176" t="str">
        <f ca="1">IF(IF(R101="","",IF(R101=1,SUMIFS('Шаг1.Выбор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плиты'!C:Q,12,0)),1))))))=0,
R101,
IF(R101="","",IF(R101=1,SUMIFS('Шаг1.Выбор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плиты'!N:N,R101,'Шаг1.Выбор плиты'!M:M,SMALL(INDIRECT("мм"&amp;VLOOKUP(C101,'Шаг1.Выбор плиты'!C:Q,12,0)),1)))))))</f>
        <v/>
      </c>
      <c r="H101" s="177" t="str">
        <f ca="1">IF(IF(S101="","",IF(S101=1,SUMIFS('Шаг1.Выбор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плиты'!C:Q,12,0)),1))))))=0,
S101,
IF(S101="","",IF(S101=1,SUMIFS('Шаг1.Выбор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плиты'!N:N,S101,'Шаг1.Выбор плиты'!M:M,SMALL(INDIRECT("мм"&amp;VLOOKUP(C101,'Шаг1.Выбор плиты'!C:Q,12,0)),1)))))))</f>
        <v/>
      </c>
      <c r="I101" s="147" t="str">
        <f ca="1">IFERROR(IFERROR(IF(VLOOKUP($A101,'Шаг2.Бланк заказа NEW'!$B$17:$N$201,6,0)="","",VLOOKUP($A101,'Шаг2.Бланк заказа NEW'!$B$17:$N$201,6,0)),
IF(VLOOKUP($A101-COUNT('Шаг2.Бланк заказа NEW'!$B$19:$B$201),'Бланк OLD 0.8 04'!$B$12:$K$200,6,0)="","",VLOOKUP($A101-COUNT('Шаг2.Бланк заказа NEW'!$B$19:$B$201),'Бланк OLD 0.8 04'!$B$12:$K$200,6,0))),
IF(VLOOKUP($A101-COUNT('Шаг2.Бланк заказа NEW'!$B$19:$B$201)-COUNT('Бланк OLD 0.8 04'!$B$18:$B$200),'Бланк OLD 2.0 04 '!$B$16:$K$200,6,0)="","",VLOOKUP($A101-COUNT('Шаг2.Бланк заказа NEW'!$B$19:$B$201)-COUNT('Бланк OLD 0.8 04'!$B$18:$B$200),'Бланк OLD 2.0 04 '!$B$16:$K$200,6,0)))</f>
        <v/>
      </c>
      <c r="J101" s="177" t="str">
        <f ca="1">IF(IF(T101="","",IF(T101=1,SUMIFS('Шаг1.Выбор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плиты'!C:Q,12,0)),1))))))=0,
T101,
IF(T101="","",IF(T101=1,SUMIFS('Шаг1.Выбор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плиты'!N:N,T101,'Шаг1.Выбор плиты'!M:M,SMALL(INDIRECT("мм"&amp;VLOOKUP(C101,'Шаг1.Выбор плиты'!C:Q,12,0)),1)))))))</f>
        <v/>
      </c>
      <c r="K101" s="177" t="str">
        <f ca="1">IF(IF(U101="","",IF(U101=1,SUMIFS('Шаг1.Выбор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плиты'!C:Q,12,0)),1))))))=0,
U101,
IF(U101="","",IF(U101=1,SUMIFS('Шаг1.Выбор плиты'!$G:$G,'Шаг1.Выбор плиты'!J:J,"*"&amp;RIGHT(VLOOKUP(C101,'Шаг1.Выбор плиты'!C:Q,8,0),4),'Шаг1.Выбор плиты'!L:L,IF(MID(C101,1,6)="ЛДСП P","TM"&amp;MID(VLOOKUP(C101,'Шаг1.Выбор плиты'!C:Q,10,0),3,2),MID(VLOOKUP(C101,'Шаг1.Выбор плиты'!C:Q,10,0),1,2)),
'Шаг1.Выбор плиты'!N:N,1),IF(SUMIFS('Шаг1.Выбор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плиты'!C:Q,12,0)),1))=0,
IF(SUMIFS('Шаг1.Выбор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плиты'!C:Q,12,0)),2))=0,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плиты'!C:Q,12,0)),3)),
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плиты'!C:Q,12,0)),2))),
(SUMIFS('Шаг1.Выбор плиты'!$G:$G,'Шаг1.Выбор плиты'!J:J,"*"&amp;RIGHT(VLOOKUP(C101,'Шаг1.Выбор плиты'!C:Q,8,0),4),'Шаг1.Выбор плиты'!L:L,VLOOKUP(C101,'Шаг1.Выбор плиты'!C:Q,10,0),'Шаг1.Выбор плиты'!N:N,U101,'Шаг1.Выбор плиты'!M:M,SMALL(INDIRECT("мм"&amp;VLOOKUP(C101,'Шаг1.Выбор плиты'!C:Q,12,0)),1)))))))</f>
        <v/>
      </c>
      <c r="L101" s="147" t="str">
        <f ca="1">IFERROR(IFERROR(IF(VLOOKUP($A101,'Шаг2.Бланк заказа NEW'!$B$17:$N$201,9,0)="","",VLOOKUP($A101,'Шаг2.Бланк заказа NEW'!$B$17:$N$201,9,0)),
IF(VLOOKUP($A101-COUNT('Шаг2.Бланк заказа NEW'!$B$19:$B$201),'Бланк OLD 0.8 04'!$B$12:$K$200,9,0)="","",VLOOKUP($A101-COUNT('Шаг2.Бланк заказа NEW'!$B$19:$B$201),'Бланк OLD 0.8 04'!$B$12:$K$200,9,0))),
IF(VLOOKUP($A101-COUNT('Шаг2.Бланк заказа NEW'!$B$19:$B$201)-COUNT('Бланк OLD 0.8 04'!$B$18:$B$200),'Бланк OLD 2.0 04 '!$B$16:$K$200,9,0)="","",VLOOKUP($A101-COUNT('Шаг2.Бланк заказа NEW'!$B$19:$B$201)-COUNT('Бланк OLD 0.8 04'!$B$18:$B$200),'Бланк OLD 2.0 04 '!$B$16:$K$200,9,0)))</f>
        <v/>
      </c>
      <c r="M101" s="154" t="str">
        <f t="shared" ca="1" si="10"/>
        <v/>
      </c>
      <c r="N101" s="153" t="str">
        <f ca="1">IFERROR(IF(VLOOKUP($A101,'Шаг2.Бланк заказа NEW'!$B$17:$N$201,11,0)="","",VLOOKUP($A101,'Шаг2.Бланк заказа NEW'!$B$17:$N$201,11,0)),
"Нет")</f>
        <v/>
      </c>
      <c r="O101" s="147" t="str">
        <f ca="1">IFERROR(IF(VLOOKUP($A101,'Шаг2.Бланк заказа NEW'!$B$17:$N$201,11,0)="","",VLOOKUP($A101,'Шаг2.Бланк заказа NEW'!$B$17:$N$201,12,0)),
"Нет")</f>
        <v/>
      </c>
      <c r="P101" s="153" t="str">
        <f ca="1">IFERROR(IF(VLOOKUP($A101,'Шаг2.Бланк заказа NEW'!$B$17:$N$201,13,0)="","",VLOOKUP($A101,'Шаг2.Бланк заказа NEW'!$B$17:$N$201,13,0)),
"Нет")</f>
        <v/>
      </c>
      <c r="Q101" s="147" t="str">
        <f ca="1">IFERROR(IF(VLOOKUP($A101,'Шаг2.Бланк заказа NEW'!$B$17:$O$201,14,0)="","",VLOOKUP($A101,'Шаг2.Бланк заказа NEW'!$B$17:$O$201,14,0)),"")</f>
        <v/>
      </c>
      <c r="R101" s="147" t="str">
        <f ca="1">IFERROR(IFERROR(IF(VLOOKUP($A101,'Шаг2.Бланк заказа NEW'!$B$17:$N$201,4,0)="","",VLOOKUP($A101,'Шаг2.Бланк заказа NEW'!$B$17:$N$201,4,0)),
IF(VLOOKUP($A101-COUNT('Шаг2.Бланк заказа NEW'!$B$19:$B$201),'Бланк OLD 0.8 04'!$B$12:$K$200,4,0)&gt;0,0.8,
IF(VLOOKUP($A101-COUNT('Шаг2.Бланк заказа NEW'!$B$19:$B$201),'Бланк OLD 0.8 04'!$B$12:$K$200,5,0)&gt;0,0.4,""))),
IF(VLOOKUP($A101-COUNT('Шаг2.Бланк заказа NEW'!$B$19:$B$201)-COUNT('Бланк OLD 0.8 04'!$B$18:$B$200),'Бланк OLD 2.0 04 '!$B$16:$K$200,4,0)&gt;0,2,IF(VLOOKUP($A101-COUNT('Шаг2.Бланк заказа NEW'!$B$19:$B$201)-COUNT('Бланк OLD 0.8 04'!$B$18:$B$200),'Бланк OLD 2.0 04 '!$B$16:$K$200,5,0)&gt;0,0.4,"")))</f>
        <v/>
      </c>
      <c r="S101" s="147" t="str">
        <f ca="1">IFERROR(IFERROR(IF(VLOOKUP($A101,'Шаг2.Бланк заказа NEW'!$B$17:$N$201,5,0)="","",VLOOKUP($A101,'Шаг2.Бланк заказа NEW'!$B$17:$N$201,5,0)),
IF(VLOOKUP($A101-COUNT('Шаг2.Бланк заказа NEW'!$B$19:$B$201),'Бланк OLD 0.8 04'!$B$12:$K$200,4,0)&gt;1,0.8,
IF(VLOOKUP($A101-COUNT('Шаг2.Бланк заказа NEW'!$B$19:$B$201),'Бланк OLD 0.8 04'!$B$12:$K$200,5,0)&gt;1,0.4,
IF(AND(VLOOKUP($A101-COUNT('Шаг2.Бланк заказа NEW'!$B$19:$B$201),'Бланк OLD 0.8 04'!$B$12:$K$200,4,0)&gt;0,VLOOKUP($A101-COUNT('Шаг2.Бланк заказа NEW'!$B$19:$B$201),'Бланк OLD 0.8 04'!$B$12:$K$200,5,0)&gt;0),0.4,"")))),
IF(VLOOKUP($A101-COUNT('Шаг2.Бланк заказа NEW'!$B$19:$B$201)-COUNT('Бланк OLD 0.8 04'!$B$18:$B$200),'Бланк OLD 2.0 04 '!$B$16:$K$200,4,0)&gt;1,2,
IF(VLOOKUP($A101-COUNT('Шаг2.Бланк заказа NEW'!$B$19:$B$201)-COUNT('Бланк OLD 0.8 04'!$B$18:$B$200),'Бланк OLD 2.0 04 '!$B$16:$K$200,5,0)&gt;1,0.4,IF(AND(VLOOKUP($A101-COUNT('Шаг2.Бланк заказа NEW'!$B$19:$B$201)-COUNT('Бланк OLD 0.8 04'!$B$18:$B$200),'Бланк OLD 2.0 04 '!$B$16:$K$200,4,0)&gt;0,VLOOKUP($A101-COUNT('Шаг2.Бланк заказа NEW'!$B$19:$B$201)-COUNT('Бланк OLD 0.8 04'!$B$18:$B$200),'Бланк OLD 2.0 04 '!$B$16:$K$200,5,0)&gt;0),0.4,""))))</f>
        <v/>
      </c>
      <c r="T101" s="147" t="str">
        <f ca="1">IFERROR(IFERROR(IF(VLOOKUP($A101,'Шаг2.Бланк заказа NEW'!$B$17:$N$201,7,0)="","",VLOOKUP($A101,'Шаг2.Бланк заказа NEW'!$B$17:$N$201,7,0)),
IF(VLOOKUP($A101-COUNT('Шаг2.Бланк заказа NEW'!$B$19:$B$201),'Бланк OLD 0.8 04'!$B$12:$K$200,7,0)&gt;0,0.8,
IF(VLOOKUP($A101-COUNT('Шаг2.Бланк заказа NEW'!$B$19:$B$201),'Бланк OLD 0.8 04'!$B$12:$K$200,8,0)&gt;0,0.4,""))),
IF(VLOOKUP($A101-COUNT('Шаг2.Бланк заказа NEW'!$B$19:$B$201)-COUNT('Бланк OLD 0.8 04'!$B$18:$B$200),'Бланк OLD 2.0 04 '!$B$16:$K$200,7,0)&gt;0,2,IF(VLOOKUP($A101-COUNT('Шаг2.Бланк заказа NEW'!$B$19:$B$201)-COUNT('Бланк OLD 0.8 04'!$B$18:$B$200),'Бланк OLD 2.0 04 '!$B$16:$K$200,8,0)&gt;0,0.4,"")))</f>
        <v/>
      </c>
      <c r="U101" s="147" t="str">
        <f ca="1">IFERROR(IFERROR(IF(VLOOKUP($A101,'Шаг2.Бланк заказа NEW'!$B$17:$N$201,8,0)="","",VLOOKUP($A101,'Шаг2.Бланк заказа NEW'!$B$17:$N$201,8,0)),
IF(VLOOKUP($A101-COUNT('Шаг2.Бланк заказа NEW'!$B$19:$B$201),'Бланк OLD 0.8 04'!$B$12:$K$200,7,0)&gt;1,0.8,
IF(VLOOKUP($A101-COUNT('Шаг2.Бланк заказа NEW'!$B$19:$B$201),'Бланк OLD 0.8 04'!$B$12:$K$200,8,0)&gt;1,0.4,
IF(AND(VLOOKUP($A101-COUNT('Шаг2.Бланк заказа NEW'!$B$19:$B$201),'Бланк OLD 0.8 04'!$B$12:$K$200,7,0)&gt;0,VLOOKUP($A101-COUNT('Шаг2.Бланк заказа NEW'!$B$19:$B$201),'Бланк OLD 0.8 04'!$B$12:$K$200,8,0)&gt;0),0.4,"")))),
IF(VLOOKUP($A101-COUNT('Шаг2.Бланк заказа NEW'!$B$19:$B$201)-COUNT('Бланк OLD 0.8 04'!$B$18:$B$200),'Бланк OLD 2.0 04 '!$B$16:$K$200,7,0)&gt;1,2,
IF(VLOOKUP($A101-COUNT('Шаг2.Бланк заказа NEW'!$B$19:$B$201)-COUNT('Бланк OLD 0.8 04'!$B$18:$B$200),'Бланк OLD 2.0 04 '!$B$16:$K$200,8,0)&gt;1,0.4,
IF(AND(VLOOKUP($A101-COUNT('Шаг2.Бланк заказа NEW'!$B$19:$B$201)-COUNT('Бланк OLD 0.8 04'!$B$18:$B$200),'Бланк OLD 2.0 04 '!$B$16:$K$200,7,0)&gt;0,VLOOKUP($A101-COUNT('Шаг2.Бланк заказа NEW'!$B$19:$B$201)-COUNT('Бланк OLD 0.8 04'!$B$18:$B$200),'Бланк OLD 2.0 04 '!$B$16:$K$200,8,0)&gt;0),0.4,""))))</f>
        <v/>
      </c>
      <c r="V101" s="146" t="str">
        <f ca="1">IFERROR(VLOOKUP(C101,'Шаг1.Выбор плиты'!C:S,12,0),"")</f>
        <v/>
      </c>
      <c r="W101" s="146" t="str">
        <f ca="1">IFERROR(VLOOKUP(C101,'Шаг1.Выбор плиты'!C:S,8,0),"")</f>
        <v/>
      </c>
      <c r="X101" s="146" t="str">
        <f ca="1">IFERROR(VLOOKUP(C101,'Шаг1.Выбор плиты'!C:S,10,0),"")</f>
        <v/>
      </c>
      <c r="Y101" s="147" t="str">
        <f t="shared" ca="1" si="8"/>
        <v/>
      </c>
      <c r="AD101" s="147" t="str">
        <f t="shared" ca="1" si="11"/>
        <v/>
      </c>
      <c r="AE101" s="147" t="str">
        <f t="shared" ca="1" si="9"/>
        <v/>
      </c>
      <c r="AF101" s="25"/>
      <c r="AH101" s="147" t="str">
        <f ca="1">IF(C101="","",VLOOKUP(C101,'Шаг1.Выбор плиты'!C:Q,7,0))</f>
        <v/>
      </c>
      <c r="AI101" s="147" t="str">
        <f t="shared" ca="1" si="12"/>
        <v/>
      </c>
    </row>
    <row r="102" spans="1:35" x14ac:dyDescent="0.2">
      <c r="A102" s="151" t="str">
        <f ca="1">IF(C102="","",MAX($A$1:OFFSET(C102,-1,0))+1)</f>
        <v/>
      </c>
      <c r="B102" s="151" t="str">
        <f ca="1">IFERROR(IFERROR(IFERROR("Шаг2.Бланк заказа NEW №"&amp;VLOOKUP(A101+1,CHOOSE({1,2},'Шаг2.Бланк заказа NEW'!$B$19:$B$201,'Шаг2.Бланк заказа NEW'!$A$19:$A$201),1,0),
"Бланк OLD 0.8 04 №"&amp;VLOOKUP(A101+1-COUNT('Шаг2.Бланк заказа NEW'!$B$19:$B$201),CHOOSE({1,2},'Бланк OLD 0.8 04'!$B$18:$B$200,'Бланк OLD 0.8 04'!$A$18:$A$200),1,0)),
"Бланк OLD 2.0 04 №"&amp;VLOOKUP(A101+1-COUNT('Шаг2.Бланк заказа NEW'!$B$19:$B$201)-COUNT('Бланк OLD 0.8 04'!$B$18:$B$200),CHOOSE({1,2},'Бланк OLD 2.0 04 '!$B$18:$B$200,'Бланк OLD 2.0 04 '!$A$18:$A$200),1,0)),"")</f>
        <v/>
      </c>
      <c r="C102" s="152" t="str">
        <f ca="1">IFERROR(IFERROR(IFERROR(VLOOKUP(A101+1,CHOOSE({1,2},'Шаг2.Бланк заказа NEW'!$B$19:$B$201,'Шаг2.Бланк заказа NEW'!$A$19:$A$201),2,0),
VLOOKUP(A101+1-COUNT('Шаг2.Бланк заказа NEW'!$B$19:$B$201),CHOOSE({1,2},'Бланк OLD 0.8 04'!$B$18:$B$200,'Бланк OLD 0.8 04'!$A$18:$A$200),2,0)),
VLOOKUP(A101+1-COUNT('Шаг2.Бланк заказа NEW'!$B$19:$B$201)-COUNT('Бланк OLD 0.8 04'!$B$18:$B$200),CHOOSE({1,2},'Бланк OLD 2.0 04 '!$B$18:$B$200,'Бланк OLD 2.0 04 '!$A$18:$A$200),2,0)),"")</f>
        <v/>
      </c>
      <c r="D102" s="150" t="str">
        <f ca="1">IFERROR(VLOOKUP(C102,'Шаг1.Выбор плиты'!C:G,5,0),"")</f>
        <v/>
      </c>
      <c r="E102" s="147" t="str">
        <f ca="1">IFERROR(IFERROR(IF(VLOOKUP($A102,'Шаг2.Бланк заказа NEW'!$B$17:$N$201,2,0)="","",VLOOKUP($A102,'Шаг2.Бланк заказа NEW'!$B$17:$N$201,2,0)),
IF(VLOOKUP($A102-COUNT('Шаг2.Бланк заказа NEW'!$B$19:$B$201),'Бланк OLD 0.8 04'!$B$12:$K$200,2,0)="","",VLOOKUP($A102-COUNT('Шаг2.Бланк заказа NEW'!$B$19:$B$201),'Бланк OLD 0.8 04'!$B$12:$K$200,2,0))),
IF(VLOOKUP($A102-COUNT('Шаг2.Бланк заказа NEW'!$B$19:$B$201)-COUNT('Бланк OLD 0.8 04'!$B$18:$B$200),'Бланк OLD 2.0 04 '!$B$16:$K$200,2,0)="","",VLOOKUP($A102-COUNT('Шаг2.Бланк заказа NEW'!$B$19:$B$201)-COUNT('Бланк OLD 0.8 04'!$B$18:$B$200),'Бланк OLD 2.0 04 '!$B$16:$K$200,2,0)))</f>
        <v/>
      </c>
      <c r="F102" s="147" t="str">
        <f ca="1">IFERROR(IFERROR(IF(VLOOKUP($A102,'Шаг2.Бланк заказа NEW'!$B$17:$N$201,3,0)="","",VLOOKUP($A102,'Шаг2.Бланк заказа NEW'!$B$17:$N$201,3,0)),
IF(VLOOKUP($A102-COUNT('Шаг2.Бланк заказа NEW'!$B$19:$B$201),'Бланк OLD 0.8 04'!$B$12:$K$200,3,0)="","",VLOOKUP($A102-COUNT('Шаг2.Бланк заказа NEW'!$B$19:$B$201),'Бланк OLD 0.8 04'!$B$12:$K$200,3,0))),
IF(VLOOKUP($A102-COUNT('Шаг2.Бланк заказа NEW'!$B$19:$B$201)-COUNT('Бланк OLD 0.8 04'!$B$18:$B$200),'Бланк OLD 2.0 04 '!$B$16:$K$200,3,0)="","",VLOOKUP($A102-COUNT('Шаг2.Бланк заказа NEW'!$B$19:$B$201)-COUNT('Бланк OLD 0.8 04'!$B$18:$B$200),'Бланк OLD 2.0 04 '!$B$16:$K$200,3,0)))</f>
        <v/>
      </c>
      <c r="G102" s="176" t="str">
        <f ca="1">IF(IF(R102="","",IF(R102=1,SUMIFS('Шаг1.Выбор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плиты'!C:Q,12,0)),1))))))=0,
R102,
IF(R102="","",IF(R102=1,SUMIFS('Шаг1.Выбор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плиты'!N:N,R102,'Шаг1.Выбор плиты'!M:M,SMALL(INDIRECT("мм"&amp;VLOOKUP(C102,'Шаг1.Выбор плиты'!C:Q,12,0)),1)))))))</f>
        <v/>
      </c>
      <c r="H102" s="177" t="str">
        <f ca="1">IF(IF(S102="","",IF(S102=1,SUMIFS('Шаг1.Выбор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плиты'!C:Q,12,0)),1))))))=0,
S102,
IF(S102="","",IF(S102=1,SUMIFS('Шаг1.Выбор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плиты'!N:N,S102,'Шаг1.Выбор плиты'!M:M,SMALL(INDIRECT("мм"&amp;VLOOKUP(C102,'Шаг1.Выбор плиты'!C:Q,12,0)),1)))))))</f>
        <v/>
      </c>
      <c r="I102" s="147" t="str">
        <f ca="1">IFERROR(IFERROR(IF(VLOOKUP($A102,'Шаг2.Бланк заказа NEW'!$B$17:$N$201,6,0)="","",VLOOKUP($A102,'Шаг2.Бланк заказа NEW'!$B$17:$N$201,6,0)),
IF(VLOOKUP($A102-COUNT('Шаг2.Бланк заказа NEW'!$B$19:$B$201),'Бланк OLD 0.8 04'!$B$12:$K$200,6,0)="","",VLOOKUP($A102-COUNT('Шаг2.Бланк заказа NEW'!$B$19:$B$201),'Бланк OLD 0.8 04'!$B$12:$K$200,6,0))),
IF(VLOOKUP($A102-COUNT('Шаг2.Бланк заказа NEW'!$B$19:$B$201)-COUNT('Бланк OLD 0.8 04'!$B$18:$B$200),'Бланк OLD 2.0 04 '!$B$16:$K$200,6,0)="","",VLOOKUP($A102-COUNT('Шаг2.Бланк заказа NEW'!$B$19:$B$201)-COUNT('Бланк OLD 0.8 04'!$B$18:$B$200),'Бланк OLD 2.0 04 '!$B$16:$K$200,6,0)))</f>
        <v/>
      </c>
      <c r="J102" s="177" t="str">
        <f ca="1">IF(IF(T102="","",IF(T102=1,SUMIFS('Шаг1.Выбор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плиты'!C:Q,12,0)),1))))))=0,
T102,
IF(T102="","",IF(T102=1,SUMIFS('Шаг1.Выбор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плиты'!N:N,T102,'Шаг1.Выбор плиты'!M:M,SMALL(INDIRECT("мм"&amp;VLOOKUP(C102,'Шаг1.Выбор плиты'!C:Q,12,0)),1)))))))</f>
        <v/>
      </c>
      <c r="K102" s="177" t="str">
        <f ca="1">IF(IF(U102="","",IF(U102=1,SUMIFS('Шаг1.Выбор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плиты'!C:Q,12,0)),1))))))=0,
U102,
IF(U102="","",IF(U102=1,SUMIFS('Шаг1.Выбор плиты'!$G:$G,'Шаг1.Выбор плиты'!J:J,"*"&amp;RIGHT(VLOOKUP(C102,'Шаг1.Выбор плиты'!C:Q,8,0),4),'Шаг1.Выбор плиты'!L:L,IF(MID(C102,1,6)="ЛДСП P","TM"&amp;MID(VLOOKUP(C102,'Шаг1.Выбор плиты'!C:Q,10,0),3,2),MID(VLOOKUP(C102,'Шаг1.Выбор плиты'!C:Q,10,0),1,2)),
'Шаг1.Выбор плиты'!N:N,1),IF(SUMIFS('Шаг1.Выбор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плиты'!C:Q,12,0)),1))=0,
IF(SUMIFS('Шаг1.Выбор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плиты'!C:Q,12,0)),2))=0,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плиты'!C:Q,12,0)),3)),
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плиты'!C:Q,12,0)),2))),
(SUMIFS('Шаг1.Выбор плиты'!$G:$G,'Шаг1.Выбор плиты'!J:J,"*"&amp;RIGHT(VLOOKUP(C102,'Шаг1.Выбор плиты'!C:Q,8,0),4),'Шаг1.Выбор плиты'!L:L,VLOOKUP(C102,'Шаг1.Выбор плиты'!C:Q,10,0),'Шаг1.Выбор плиты'!N:N,U102,'Шаг1.Выбор плиты'!M:M,SMALL(INDIRECT("мм"&amp;VLOOKUP(C102,'Шаг1.Выбор плиты'!C:Q,12,0)),1)))))))</f>
        <v/>
      </c>
      <c r="L102" s="147" t="str">
        <f ca="1">IFERROR(IFERROR(IF(VLOOKUP($A102,'Шаг2.Бланк заказа NEW'!$B$17:$N$201,9,0)="","",VLOOKUP($A102,'Шаг2.Бланк заказа NEW'!$B$17:$N$201,9,0)),
IF(VLOOKUP($A102-COUNT('Шаг2.Бланк заказа NEW'!$B$19:$B$201),'Бланк OLD 0.8 04'!$B$12:$K$200,9,0)="","",VLOOKUP($A102-COUNT('Шаг2.Бланк заказа NEW'!$B$19:$B$201),'Бланк OLD 0.8 04'!$B$12:$K$200,9,0))),
IF(VLOOKUP($A102-COUNT('Шаг2.Бланк заказа NEW'!$B$19:$B$201)-COUNT('Бланк OLD 0.8 04'!$B$18:$B$200),'Бланк OLD 2.0 04 '!$B$16:$K$200,9,0)="","",VLOOKUP($A102-COUNT('Шаг2.Бланк заказа NEW'!$B$19:$B$201)-COUNT('Бланк OLD 0.8 04'!$B$18:$B$200),'Бланк OLD 2.0 04 '!$B$16:$K$200,9,0)))</f>
        <v/>
      </c>
      <c r="M102" s="154" t="str">
        <f t="shared" ca="1" si="10"/>
        <v/>
      </c>
      <c r="N102" s="153" t="str">
        <f ca="1">IFERROR(IF(VLOOKUP($A102,'Шаг2.Бланк заказа NEW'!$B$17:$N$201,11,0)="","",VLOOKUP($A102,'Шаг2.Бланк заказа NEW'!$B$17:$N$201,11,0)),
"Нет")</f>
        <v/>
      </c>
      <c r="O102" s="147" t="str">
        <f ca="1">IFERROR(IF(VLOOKUP($A102,'Шаг2.Бланк заказа NEW'!$B$17:$N$201,11,0)="","",VLOOKUP($A102,'Шаг2.Бланк заказа NEW'!$B$17:$N$201,12,0)),
"Нет")</f>
        <v/>
      </c>
      <c r="P102" s="153" t="str">
        <f ca="1">IFERROR(IF(VLOOKUP($A102,'Шаг2.Бланк заказа NEW'!$B$17:$N$201,13,0)="","",VLOOKUP($A102,'Шаг2.Бланк заказа NEW'!$B$17:$N$201,13,0)),
"Нет")</f>
        <v/>
      </c>
      <c r="Q102" s="147" t="str">
        <f ca="1">IFERROR(IF(VLOOKUP($A102,'Шаг2.Бланк заказа NEW'!$B$17:$O$201,14,0)="","",VLOOKUP($A102,'Шаг2.Бланк заказа NEW'!$B$17:$O$201,14,0)),"")</f>
        <v/>
      </c>
      <c r="R102" s="147" t="str">
        <f ca="1">IFERROR(IFERROR(IF(VLOOKUP($A102,'Шаг2.Бланк заказа NEW'!$B$17:$N$201,4,0)="","",VLOOKUP($A102,'Шаг2.Бланк заказа NEW'!$B$17:$N$201,4,0)),
IF(VLOOKUP($A102-COUNT('Шаг2.Бланк заказа NEW'!$B$19:$B$201),'Бланк OLD 0.8 04'!$B$12:$K$200,4,0)&gt;0,0.8,
IF(VLOOKUP($A102-COUNT('Шаг2.Бланк заказа NEW'!$B$19:$B$201),'Бланк OLD 0.8 04'!$B$12:$K$200,5,0)&gt;0,0.4,""))),
IF(VLOOKUP($A102-COUNT('Шаг2.Бланк заказа NEW'!$B$19:$B$201)-COUNT('Бланк OLD 0.8 04'!$B$18:$B$200),'Бланк OLD 2.0 04 '!$B$16:$K$200,4,0)&gt;0,2,IF(VLOOKUP($A102-COUNT('Шаг2.Бланк заказа NEW'!$B$19:$B$201)-COUNT('Бланк OLD 0.8 04'!$B$18:$B$200),'Бланк OLD 2.0 04 '!$B$16:$K$200,5,0)&gt;0,0.4,"")))</f>
        <v/>
      </c>
      <c r="S102" s="147" t="str">
        <f ca="1">IFERROR(IFERROR(IF(VLOOKUP($A102,'Шаг2.Бланк заказа NEW'!$B$17:$N$201,5,0)="","",VLOOKUP($A102,'Шаг2.Бланк заказа NEW'!$B$17:$N$201,5,0)),
IF(VLOOKUP($A102-COUNT('Шаг2.Бланк заказа NEW'!$B$19:$B$201),'Бланк OLD 0.8 04'!$B$12:$K$200,4,0)&gt;1,0.8,
IF(VLOOKUP($A102-COUNT('Шаг2.Бланк заказа NEW'!$B$19:$B$201),'Бланк OLD 0.8 04'!$B$12:$K$200,5,0)&gt;1,0.4,
IF(AND(VLOOKUP($A102-COUNT('Шаг2.Бланк заказа NEW'!$B$19:$B$201),'Бланк OLD 0.8 04'!$B$12:$K$200,4,0)&gt;0,VLOOKUP($A102-COUNT('Шаг2.Бланк заказа NEW'!$B$19:$B$201),'Бланк OLD 0.8 04'!$B$12:$K$200,5,0)&gt;0),0.4,"")))),
IF(VLOOKUP($A102-COUNT('Шаг2.Бланк заказа NEW'!$B$19:$B$201)-COUNT('Бланк OLD 0.8 04'!$B$18:$B$200),'Бланк OLD 2.0 04 '!$B$16:$K$200,4,0)&gt;1,2,
IF(VLOOKUP($A102-COUNT('Шаг2.Бланк заказа NEW'!$B$19:$B$201)-COUNT('Бланк OLD 0.8 04'!$B$18:$B$200),'Бланк OLD 2.0 04 '!$B$16:$K$200,5,0)&gt;1,0.4,IF(AND(VLOOKUP($A102-COUNT('Шаг2.Бланк заказа NEW'!$B$19:$B$201)-COUNT('Бланк OLD 0.8 04'!$B$18:$B$200),'Бланк OLD 2.0 04 '!$B$16:$K$200,4,0)&gt;0,VLOOKUP($A102-COUNT('Шаг2.Бланк заказа NEW'!$B$19:$B$201)-COUNT('Бланк OLD 0.8 04'!$B$18:$B$200),'Бланк OLD 2.0 04 '!$B$16:$K$200,5,0)&gt;0),0.4,""))))</f>
        <v/>
      </c>
      <c r="T102" s="147" t="str">
        <f ca="1">IFERROR(IFERROR(IF(VLOOKUP($A102,'Шаг2.Бланк заказа NEW'!$B$17:$N$201,7,0)="","",VLOOKUP($A102,'Шаг2.Бланк заказа NEW'!$B$17:$N$201,7,0)),
IF(VLOOKUP($A102-COUNT('Шаг2.Бланк заказа NEW'!$B$19:$B$201),'Бланк OLD 0.8 04'!$B$12:$K$200,7,0)&gt;0,0.8,
IF(VLOOKUP($A102-COUNT('Шаг2.Бланк заказа NEW'!$B$19:$B$201),'Бланк OLD 0.8 04'!$B$12:$K$200,8,0)&gt;0,0.4,""))),
IF(VLOOKUP($A102-COUNT('Шаг2.Бланк заказа NEW'!$B$19:$B$201)-COUNT('Бланк OLD 0.8 04'!$B$18:$B$200),'Бланк OLD 2.0 04 '!$B$16:$K$200,7,0)&gt;0,2,IF(VLOOKUP($A102-COUNT('Шаг2.Бланк заказа NEW'!$B$19:$B$201)-COUNT('Бланк OLD 0.8 04'!$B$18:$B$200),'Бланк OLD 2.0 04 '!$B$16:$K$200,8,0)&gt;0,0.4,"")))</f>
        <v/>
      </c>
      <c r="U102" s="147" t="str">
        <f ca="1">IFERROR(IFERROR(IF(VLOOKUP($A102,'Шаг2.Бланк заказа NEW'!$B$17:$N$201,8,0)="","",VLOOKUP($A102,'Шаг2.Бланк заказа NEW'!$B$17:$N$201,8,0)),
IF(VLOOKUP($A102-COUNT('Шаг2.Бланк заказа NEW'!$B$19:$B$201),'Бланк OLD 0.8 04'!$B$12:$K$200,7,0)&gt;1,0.8,
IF(VLOOKUP($A102-COUNT('Шаг2.Бланк заказа NEW'!$B$19:$B$201),'Бланк OLD 0.8 04'!$B$12:$K$200,8,0)&gt;1,0.4,
IF(AND(VLOOKUP($A102-COUNT('Шаг2.Бланк заказа NEW'!$B$19:$B$201),'Бланк OLD 0.8 04'!$B$12:$K$200,7,0)&gt;0,VLOOKUP($A102-COUNT('Шаг2.Бланк заказа NEW'!$B$19:$B$201),'Бланк OLD 0.8 04'!$B$12:$K$200,8,0)&gt;0),0.4,"")))),
IF(VLOOKUP($A102-COUNT('Шаг2.Бланк заказа NEW'!$B$19:$B$201)-COUNT('Бланк OLD 0.8 04'!$B$18:$B$200),'Бланк OLD 2.0 04 '!$B$16:$K$200,7,0)&gt;1,2,
IF(VLOOKUP($A102-COUNT('Шаг2.Бланк заказа NEW'!$B$19:$B$201)-COUNT('Бланк OLD 0.8 04'!$B$18:$B$200),'Бланк OLD 2.0 04 '!$B$16:$K$200,8,0)&gt;1,0.4,
IF(AND(VLOOKUP($A102-COUNT('Шаг2.Бланк заказа NEW'!$B$19:$B$201)-COUNT('Бланк OLD 0.8 04'!$B$18:$B$200),'Бланк OLD 2.0 04 '!$B$16:$K$200,7,0)&gt;0,VLOOKUP($A102-COUNT('Шаг2.Бланк заказа NEW'!$B$19:$B$201)-COUNT('Бланк OLD 0.8 04'!$B$18:$B$200),'Бланк OLD 2.0 04 '!$B$16:$K$200,8,0)&gt;0),0.4,""))))</f>
        <v/>
      </c>
      <c r="V102" s="146" t="str">
        <f ca="1">IFERROR(VLOOKUP(C102,'Шаг1.Выбор плиты'!C:S,12,0),"")</f>
        <v/>
      </c>
      <c r="W102" s="146" t="str">
        <f ca="1">IFERROR(VLOOKUP(C102,'Шаг1.Выбор плиты'!C:S,8,0),"")</f>
        <v/>
      </c>
      <c r="X102" s="146" t="str">
        <f ca="1">IFERROR(VLOOKUP(C102,'Шаг1.Выбор плиты'!C:S,10,0),"")</f>
        <v/>
      </c>
      <c r="Y102" s="147" t="str">
        <f t="shared" ca="1" si="8"/>
        <v/>
      </c>
      <c r="AD102" s="147" t="str">
        <f t="shared" ca="1" si="11"/>
        <v/>
      </c>
      <c r="AE102" s="147" t="str">
        <f t="shared" ca="1" si="9"/>
        <v/>
      </c>
      <c r="AF102" s="25"/>
      <c r="AH102" s="147" t="str">
        <f ca="1">IF(C102="","",VLOOKUP(C102,'Шаг1.Выбор плиты'!C:Q,7,0))</f>
        <v/>
      </c>
      <c r="AI102" s="147" t="str">
        <f t="shared" ca="1" si="12"/>
        <v/>
      </c>
    </row>
    <row r="103" spans="1:35" x14ac:dyDescent="0.2">
      <c r="A103" s="151" t="str">
        <f ca="1">IF(C103="","",MAX($A$1:OFFSET(C103,-1,0))+1)</f>
        <v/>
      </c>
      <c r="B103" s="151" t="str">
        <f ca="1">IFERROR(IFERROR(IFERROR("Шаг2.Бланк заказа NEW №"&amp;VLOOKUP(A102+1,CHOOSE({1,2},'Шаг2.Бланк заказа NEW'!$B$19:$B$201,'Шаг2.Бланк заказа NEW'!$A$19:$A$201),1,0),
"Бланк OLD 0.8 04 №"&amp;VLOOKUP(A102+1-COUNT('Шаг2.Бланк заказа NEW'!$B$19:$B$201),CHOOSE({1,2},'Бланк OLD 0.8 04'!$B$18:$B$200,'Бланк OLD 0.8 04'!$A$18:$A$200),1,0)),
"Бланк OLD 2.0 04 №"&amp;VLOOKUP(A102+1-COUNT('Шаг2.Бланк заказа NEW'!$B$19:$B$201)-COUNT('Бланк OLD 0.8 04'!$B$18:$B$200),CHOOSE({1,2},'Бланк OLD 2.0 04 '!$B$18:$B$200,'Бланк OLD 2.0 04 '!$A$18:$A$200),1,0)),"")</f>
        <v/>
      </c>
      <c r="C103" s="152" t="str">
        <f ca="1">IFERROR(IFERROR(IFERROR(VLOOKUP(A102+1,CHOOSE({1,2},'Шаг2.Бланк заказа NEW'!$B$19:$B$201,'Шаг2.Бланк заказа NEW'!$A$19:$A$201),2,0),
VLOOKUP(A102+1-COUNT('Шаг2.Бланк заказа NEW'!$B$19:$B$201),CHOOSE({1,2},'Бланк OLD 0.8 04'!$B$18:$B$200,'Бланк OLD 0.8 04'!$A$18:$A$200),2,0)),
VLOOKUP(A102+1-COUNT('Шаг2.Бланк заказа NEW'!$B$19:$B$201)-COUNT('Бланк OLD 0.8 04'!$B$18:$B$200),CHOOSE({1,2},'Бланк OLD 2.0 04 '!$B$18:$B$200,'Бланк OLD 2.0 04 '!$A$18:$A$200),2,0)),"")</f>
        <v/>
      </c>
      <c r="D103" s="150" t="str">
        <f ca="1">IFERROR(VLOOKUP(C103,'Шаг1.Выбор плиты'!C:G,5,0),"")</f>
        <v/>
      </c>
      <c r="E103" s="147" t="str">
        <f ca="1">IFERROR(IFERROR(IF(VLOOKUP($A103,'Шаг2.Бланк заказа NEW'!$B$17:$N$201,2,0)="","",VLOOKUP($A103,'Шаг2.Бланк заказа NEW'!$B$17:$N$201,2,0)),
IF(VLOOKUP($A103-COUNT('Шаг2.Бланк заказа NEW'!$B$19:$B$201),'Бланк OLD 0.8 04'!$B$12:$K$200,2,0)="","",VLOOKUP($A103-COUNT('Шаг2.Бланк заказа NEW'!$B$19:$B$201),'Бланк OLD 0.8 04'!$B$12:$K$200,2,0))),
IF(VLOOKUP($A103-COUNT('Шаг2.Бланк заказа NEW'!$B$19:$B$201)-COUNT('Бланк OLD 0.8 04'!$B$18:$B$200),'Бланк OLD 2.0 04 '!$B$16:$K$200,2,0)="","",VLOOKUP($A103-COUNT('Шаг2.Бланк заказа NEW'!$B$19:$B$201)-COUNT('Бланк OLD 0.8 04'!$B$18:$B$200),'Бланк OLD 2.0 04 '!$B$16:$K$200,2,0)))</f>
        <v/>
      </c>
      <c r="F103" s="147" t="str">
        <f ca="1">IFERROR(IFERROR(IF(VLOOKUP($A103,'Шаг2.Бланк заказа NEW'!$B$17:$N$201,3,0)="","",VLOOKUP($A103,'Шаг2.Бланк заказа NEW'!$B$17:$N$201,3,0)),
IF(VLOOKUP($A103-COUNT('Шаг2.Бланк заказа NEW'!$B$19:$B$201),'Бланк OLD 0.8 04'!$B$12:$K$200,3,0)="","",VLOOKUP($A103-COUNT('Шаг2.Бланк заказа NEW'!$B$19:$B$201),'Бланк OLD 0.8 04'!$B$12:$K$200,3,0))),
IF(VLOOKUP($A103-COUNT('Шаг2.Бланк заказа NEW'!$B$19:$B$201)-COUNT('Бланк OLD 0.8 04'!$B$18:$B$200),'Бланк OLD 2.0 04 '!$B$16:$K$200,3,0)="","",VLOOKUP($A103-COUNT('Шаг2.Бланк заказа NEW'!$B$19:$B$201)-COUNT('Бланк OLD 0.8 04'!$B$18:$B$200),'Бланк OLD 2.0 04 '!$B$16:$K$200,3,0)))</f>
        <v/>
      </c>
      <c r="G103" s="176" t="str">
        <f ca="1">IF(IF(R103="","",IF(R103=1,SUMIFS('Шаг1.Выбор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плиты'!C:Q,12,0)),1))))))=0,
R103,
IF(R103="","",IF(R103=1,SUMIFS('Шаг1.Выбор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плиты'!N:N,R103,'Шаг1.Выбор плиты'!M:M,SMALL(INDIRECT("мм"&amp;VLOOKUP(C103,'Шаг1.Выбор плиты'!C:Q,12,0)),1)))))))</f>
        <v/>
      </c>
      <c r="H103" s="177" t="str">
        <f ca="1">IF(IF(S103="","",IF(S103=1,SUMIFS('Шаг1.Выбор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плиты'!C:Q,12,0)),1))))))=0,
S103,
IF(S103="","",IF(S103=1,SUMIFS('Шаг1.Выбор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плиты'!N:N,S103,'Шаг1.Выбор плиты'!M:M,SMALL(INDIRECT("мм"&amp;VLOOKUP(C103,'Шаг1.Выбор плиты'!C:Q,12,0)),1)))))))</f>
        <v/>
      </c>
      <c r="I103" s="147" t="str">
        <f ca="1">IFERROR(IFERROR(IF(VLOOKUP($A103,'Шаг2.Бланк заказа NEW'!$B$17:$N$201,6,0)="","",VLOOKUP($A103,'Шаг2.Бланк заказа NEW'!$B$17:$N$201,6,0)),
IF(VLOOKUP($A103-COUNT('Шаг2.Бланк заказа NEW'!$B$19:$B$201),'Бланк OLD 0.8 04'!$B$12:$K$200,6,0)="","",VLOOKUP($A103-COUNT('Шаг2.Бланк заказа NEW'!$B$19:$B$201),'Бланк OLD 0.8 04'!$B$12:$K$200,6,0))),
IF(VLOOKUP($A103-COUNT('Шаг2.Бланк заказа NEW'!$B$19:$B$201)-COUNT('Бланк OLD 0.8 04'!$B$18:$B$200),'Бланк OLD 2.0 04 '!$B$16:$K$200,6,0)="","",VLOOKUP($A103-COUNT('Шаг2.Бланк заказа NEW'!$B$19:$B$201)-COUNT('Бланк OLD 0.8 04'!$B$18:$B$200),'Бланк OLD 2.0 04 '!$B$16:$K$200,6,0)))</f>
        <v/>
      </c>
      <c r="J103" s="177" t="str">
        <f ca="1">IF(IF(T103="","",IF(T103=1,SUMIFS('Шаг1.Выбор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плиты'!C:Q,12,0)),1))))))=0,
T103,
IF(T103="","",IF(T103=1,SUMIFS('Шаг1.Выбор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плиты'!N:N,T103,'Шаг1.Выбор плиты'!M:M,SMALL(INDIRECT("мм"&amp;VLOOKUP(C103,'Шаг1.Выбор плиты'!C:Q,12,0)),1)))))))</f>
        <v/>
      </c>
      <c r="K103" s="177" t="str">
        <f ca="1">IF(IF(U103="","",IF(U103=1,SUMIFS('Шаг1.Выбор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плиты'!C:Q,12,0)),1))))))=0,
U103,
IF(U103="","",IF(U103=1,SUMIFS('Шаг1.Выбор плиты'!$G:$G,'Шаг1.Выбор плиты'!J:J,"*"&amp;RIGHT(VLOOKUP(C103,'Шаг1.Выбор плиты'!C:Q,8,0),4),'Шаг1.Выбор плиты'!L:L,IF(MID(C103,1,6)="ЛДСП P","TM"&amp;MID(VLOOKUP(C103,'Шаг1.Выбор плиты'!C:Q,10,0),3,2),MID(VLOOKUP(C103,'Шаг1.Выбор плиты'!C:Q,10,0),1,2)),
'Шаг1.Выбор плиты'!N:N,1),IF(SUMIFS('Шаг1.Выбор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плиты'!C:Q,12,0)),1))=0,
IF(SUMIFS('Шаг1.Выбор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плиты'!C:Q,12,0)),2))=0,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плиты'!C:Q,12,0)),3)),
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плиты'!C:Q,12,0)),2))),
(SUMIFS('Шаг1.Выбор плиты'!$G:$G,'Шаг1.Выбор плиты'!J:J,"*"&amp;RIGHT(VLOOKUP(C103,'Шаг1.Выбор плиты'!C:Q,8,0),4),'Шаг1.Выбор плиты'!L:L,VLOOKUP(C103,'Шаг1.Выбор плиты'!C:Q,10,0),'Шаг1.Выбор плиты'!N:N,U103,'Шаг1.Выбор плиты'!M:M,SMALL(INDIRECT("мм"&amp;VLOOKUP(C103,'Шаг1.Выбор плиты'!C:Q,12,0)),1)))))))</f>
        <v/>
      </c>
      <c r="L103" s="147" t="str">
        <f ca="1">IFERROR(IFERROR(IF(VLOOKUP($A103,'Шаг2.Бланк заказа NEW'!$B$17:$N$201,9,0)="","",VLOOKUP($A103,'Шаг2.Бланк заказа NEW'!$B$17:$N$201,9,0)),
IF(VLOOKUP($A103-COUNT('Шаг2.Бланк заказа NEW'!$B$19:$B$201),'Бланк OLD 0.8 04'!$B$12:$K$200,9,0)="","",VLOOKUP($A103-COUNT('Шаг2.Бланк заказа NEW'!$B$19:$B$201),'Бланк OLD 0.8 04'!$B$12:$K$200,9,0))),
IF(VLOOKUP($A103-COUNT('Шаг2.Бланк заказа NEW'!$B$19:$B$201)-COUNT('Бланк OLD 0.8 04'!$B$18:$B$200),'Бланк OLD 2.0 04 '!$B$16:$K$200,9,0)="","",VLOOKUP($A103-COUNT('Шаг2.Бланк заказа NEW'!$B$19:$B$201)-COUNT('Бланк OLD 0.8 04'!$B$18:$B$200),'Бланк OLD 2.0 04 '!$B$16:$K$200,9,0)))</f>
        <v/>
      </c>
      <c r="M103" s="154" t="str">
        <f t="shared" ca="1" si="10"/>
        <v/>
      </c>
      <c r="N103" s="153" t="str">
        <f ca="1">IFERROR(IF(VLOOKUP($A103,'Шаг2.Бланк заказа NEW'!$B$17:$N$201,11,0)="","",VLOOKUP($A103,'Шаг2.Бланк заказа NEW'!$B$17:$N$201,11,0)),
"Нет")</f>
        <v/>
      </c>
      <c r="O103" s="147" t="str">
        <f ca="1">IFERROR(IF(VLOOKUP($A103,'Шаг2.Бланк заказа NEW'!$B$17:$N$201,11,0)="","",VLOOKUP($A103,'Шаг2.Бланк заказа NEW'!$B$17:$N$201,12,0)),
"Нет")</f>
        <v/>
      </c>
      <c r="P103" s="153" t="str">
        <f ca="1">IFERROR(IF(VLOOKUP($A103,'Шаг2.Бланк заказа NEW'!$B$17:$N$201,13,0)="","",VLOOKUP($A103,'Шаг2.Бланк заказа NEW'!$B$17:$N$201,13,0)),
"Нет")</f>
        <v/>
      </c>
      <c r="Q103" s="147" t="str">
        <f ca="1">IFERROR(IF(VLOOKUP($A103,'Шаг2.Бланк заказа NEW'!$B$17:$O$201,14,0)="","",VLOOKUP($A103,'Шаг2.Бланк заказа NEW'!$B$17:$O$201,14,0)),"")</f>
        <v/>
      </c>
      <c r="R103" s="147" t="str">
        <f ca="1">IFERROR(IFERROR(IF(VLOOKUP($A103,'Шаг2.Бланк заказа NEW'!$B$17:$N$201,4,0)="","",VLOOKUP($A103,'Шаг2.Бланк заказа NEW'!$B$17:$N$201,4,0)),
IF(VLOOKUP($A103-COUNT('Шаг2.Бланк заказа NEW'!$B$19:$B$201),'Бланк OLD 0.8 04'!$B$12:$K$200,4,0)&gt;0,0.8,
IF(VLOOKUP($A103-COUNT('Шаг2.Бланк заказа NEW'!$B$19:$B$201),'Бланк OLD 0.8 04'!$B$12:$K$200,5,0)&gt;0,0.4,""))),
IF(VLOOKUP($A103-COUNT('Шаг2.Бланк заказа NEW'!$B$19:$B$201)-COUNT('Бланк OLD 0.8 04'!$B$18:$B$200),'Бланк OLD 2.0 04 '!$B$16:$K$200,4,0)&gt;0,2,IF(VLOOKUP($A103-COUNT('Шаг2.Бланк заказа NEW'!$B$19:$B$201)-COUNT('Бланк OLD 0.8 04'!$B$18:$B$200),'Бланк OLD 2.0 04 '!$B$16:$K$200,5,0)&gt;0,0.4,"")))</f>
        <v/>
      </c>
      <c r="S103" s="147" t="str">
        <f ca="1">IFERROR(IFERROR(IF(VLOOKUP($A103,'Шаг2.Бланк заказа NEW'!$B$17:$N$201,5,0)="","",VLOOKUP($A103,'Шаг2.Бланк заказа NEW'!$B$17:$N$201,5,0)),
IF(VLOOKUP($A103-COUNT('Шаг2.Бланк заказа NEW'!$B$19:$B$201),'Бланк OLD 0.8 04'!$B$12:$K$200,4,0)&gt;1,0.8,
IF(VLOOKUP($A103-COUNT('Шаг2.Бланк заказа NEW'!$B$19:$B$201),'Бланк OLD 0.8 04'!$B$12:$K$200,5,0)&gt;1,0.4,
IF(AND(VLOOKUP($A103-COUNT('Шаг2.Бланк заказа NEW'!$B$19:$B$201),'Бланк OLD 0.8 04'!$B$12:$K$200,4,0)&gt;0,VLOOKUP($A103-COUNT('Шаг2.Бланк заказа NEW'!$B$19:$B$201),'Бланк OLD 0.8 04'!$B$12:$K$200,5,0)&gt;0),0.4,"")))),
IF(VLOOKUP($A103-COUNT('Шаг2.Бланк заказа NEW'!$B$19:$B$201)-COUNT('Бланк OLD 0.8 04'!$B$18:$B$200),'Бланк OLD 2.0 04 '!$B$16:$K$200,4,0)&gt;1,2,
IF(VLOOKUP($A103-COUNT('Шаг2.Бланк заказа NEW'!$B$19:$B$201)-COUNT('Бланк OLD 0.8 04'!$B$18:$B$200),'Бланк OLD 2.0 04 '!$B$16:$K$200,5,0)&gt;1,0.4,IF(AND(VLOOKUP($A103-COUNT('Шаг2.Бланк заказа NEW'!$B$19:$B$201)-COUNT('Бланк OLD 0.8 04'!$B$18:$B$200),'Бланк OLD 2.0 04 '!$B$16:$K$200,4,0)&gt;0,VLOOKUP($A103-COUNT('Шаг2.Бланк заказа NEW'!$B$19:$B$201)-COUNT('Бланк OLD 0.8 04'!$B$18:$B$200),'Бланк OLD 2.0 04 '!$B$16:$K$200,5,0)&gt;0),0.4,""))))</f>
        <v/>
      </c>
      <c r="T103" s="147" t="str">
        <f ca="1">IFERROR(IFERROR(IF(VLOOKUP($A103,'Шаг2.Бланк заказа NEW'!$B$17:$N$201,7,0)="","",VLOOKUP($A103,'Шаг2.Бланк заказа NEW'!$B$17:$N$201,7,0)),
IF(VLOOKUP($A103-COUNT('Шаг2.Бланк заказа NEW'!$B$19:$B$201),'Бланк OLD 0.8 04'!$B$12:$K$200,7,0)&gt;0,0.8,
IF(VLOOKUP($A103-COUNT('Шаг2.Бланк заказа NEW'!$B$19:$B$201),'Бланк OLD 0.8 04'!$B$12:$K$200,8,0)&gt;0,0.4,""))),
IF(VLOOKUP($A103-COUNT('Шаг2.Бланк заказа NEW'!$B$19:$B$201)-COUNT('Бланк OLD 0.8 04'!$B$18:$B$200),'Бланк OLD 2.0 04 '!$B$16:$K$200,7,0)&gt;0,2,IF(VLOOKUP($A103-COUNT('Шаг2.Бланк заказа NEW'!$B$19:$B$201)-COUNT('Бланк OLD 0.8 04'!$B$18:$B$200),'Бланк OLD 2.0 04 '!$B$16:$K$200,8,0)&gt;0,0.4,"")))</f>
        <v/>
      </c>
      <c r="U103" s="147" t="str">
        <f ca="1">IFERROR(IFERROR(IF(VLOOKUP($A103,'Шаг2.Бланк заказа NEW'!$B$17:$N$201,8,0)="","",VLOOKUP($A103,'Шаг2.Бланк заказа NEW'!$B$17:$N$201,8,0)),
IF(VLOOKUP($A103-COUNT('Шаг2.Бланк заказа NEW'!$B$19:$B$201),'Бланк OLD 0.8 04'!$B$12:$K$200,7,0)&gt;1,0.8,
IF(VLOOKUP($A103-COUNT('Шаг2.Бланк заказа NEW'!$B$19:$B$201),'Бланк OLD 0.8 04'!$B$12:$K$200,8,0)&gt;1,0.4,
IF(AND(VLOOKUP($A103-COUNT('Шаг2.Бланк заказа NEW'!$B$19:$B$201),'Бланк OLD 0.8 04'!$B$12:$K$200,7,0)&gt;0,VLOOKUP($A103-COUNT('Шаг2.Бланк заказа NEW'!$B$19:$B$201),'Бланк OLD 0.8 04'!$B$12:$K$200,8,0)&gt;0),0.4,"")))),
IF(VLOOKUP($A103-COUNT('Шаг2.Бланк заказа NEW'!$B$19:$B$201)-COUNT('Бланк OLD 0.8 04'!$B$18:$B$200),'Бланк OLD 2.0 04 '!$B$16:$K$200,7,0)&gt;1,2,
IF(VLOOKUP($A103-COUNT('Шаг2.Бланк заказа NEW'!$B$19:$B$201)-COUNT('Бланк OLD 0.8 04'!$B$18:$B$200),'Бланк OLD 2.0 04 '!$B$16:$K$200,8,0)&gt;1,0.4,
IF(AND(VLOOKUP($A103-COUNT('Шаг2.Бланк заказа NEW'!$B$19:$B$201)-COUNT('Бланк OLD 0.8 04'!$B$18:$B$200),'Бланк OLD 2.0 04 '!$B$16:$K$200,7,0)&gt;0,VLOOKUP($A103-COUNT('Шаг2.Бланк заказа NEW'!$B$19:$B$201)-COUNT('Бланк OLD 0.8 04'!$B$18:$B$200),'Бланк OLD 2.0 04 '!$B$16:$K$200,8,0)&gt;0),0.4,""))))</f>
        <v/>
      </c>
      <c r="V103" s="146" t="str">
        <f ca="1">IFERROR(VLOOKUP(C103,'Шаг1.Выбор плиты'!C:S,12,0),"")</f>
        <v/>
      </c>
      <c r="W103" s="146" t="str">
        <f ca="1">IFERROR(VLOOKUP(C103,'Шаг1.Выбор плиты'!C:S,8,0),"")</f>
        <v/>
      </c>
      <c r="X103" s="146" t="str">
        <f ca="1">IFERROR(VLOOKUP(C103,'Шаг1.Выбор плиты'!C:S,10,0),"")</f>
        <v/>
      </c>
      <c r="Y103" s="147" t="str">
        <f t="shared" ca="1" si="8"/>
        <v/>
      </c>
      <c r="AD103" s="147" t="str">
        <f t="shared" ca="1" si="11"/>
        <v/>
      </c>
      <c r="AE103" s="147" t="str">
        <f t="shared" ca="1" si="9"/>
        <v/>
      </c>
      <c r="AF103" s="25"/>
      <c r="AH103" s="147" t="str">
        <f ca="1">IF(C103="","",VLOOKUP(C103,'Шаг1.Выбор плиты'!C:Q,7,0))</f>
        <v/>
      </c>
      <c r="AI103" s="147" t="str">
        <f t="shared" ca="1" si="12"/>
        <v/>
      </c>
    </row>
    <row r="104" spans="1:35" x14ac:dyDescent="0.2">
      <c r="A104" s="151" t="str">
        <f ca="1">IF(C104="","",MAX($A$1:OFFSET(C104,-1,0))+1)</f>
        <v/>
      </c>
      <c r="B104" s="151" t="str">
        <f ca="1">IFERROR(IFERROR(IFERROR("Шаг2.Бланк заказа NEW №"&amp;VLOOKUP(A103+1,CHOOSE({1,2},'Шаг2.Бланк заказа NEW'!$B$19:$B$201,'Шаг2.Бланк заказа NEW'!$A$19:$A$201),1,0),
"Бланк OLD 0.8 04 №"&amp;VLOOKUP(A103+1-COUNT('Шаг2.Бланк заказа NEW'!$B$19:$B$201),CHOOSE({1,2},'Бланк OLD 0.8 04'!$B$18:$B$200,'Бланк OLD 0.8 04'!$A$18:$A$200),1,0)),
"Бланк OLD 2.0 04 №"&amp;VLOOKUP(A103+1-COUNT('Шаг2.Бланк заказа NEW'!$B$19:$B$201)-COUNT('Бланк OLD 0.8 04'!$B$18:$B$200),CHOOSE({1,2},'Бланк OLD 2.0 04 '!$B$18:$B$200,'Бланк OLD 2.0 04 '!$A$18:$A$200),1,0)),"")</f>
        <v/>
      </c>
      <c r="C104" s="152" t="str">
        <f ca="1">IFERROR(IFERROR(IFERROR(VLOOKUP(A103+1,CHOOSE({1,2},'Шаг2.Бланк заказа NEW'!$B$19:$B$201,'Шаг2.Бланк заказа NEW'!$A$19:$A$201),2,0),
VLOOKUP(A103+1-COUNT('Шаг2.Бланк заказа NEW'!$B$19:$B$201),CHOOSE({1,2},'Бланк OLD 0.8 04'!$B$18:$B$200,'Бланк OLD 0.8 04'!$A$18:$A$200),2,0)),
VLOOKUP(A103+1-COUNT('Шаг2.Бланк заказа NEW'!$B$19:$B$201)-COUNT('Бланк OLD 0.8 04'!$B$18:$B$200),CHOOSE({1,2},'Бланк OLD 2.0 04 '!$B$18:$B$200,'Бланк OLD 2.0 04 '!$A$18:$A$200),2,0)),"")</f>
        <v/>
      </c>
      <c r="D104" s="150" t="str">
        <f ca="1">IFERROR(VLOOKUP(C104,'Шаг1.Выбор плиты'!C:G,5,0),"")</f>
        <v/>
      </c>
      <c r="E104" s="147" t="str">
        <f ca="1">IFERROR(IFERROR(IF(VLOOKUP($A104,'Шаг2.Бланк заказа NEW'!$B$17:$N$201,2,0)="","",VLOOKUP($A104,'Шаг2.Бланк заказа NEW'!$B$17:$N$201,2,0)),
IF(VLOOKUP($A104-COUNT('Шаг2.Бланк заказа NEW'!$B$19:$B$201),'Бланк OLD 0.8 04'!$B$12:$K$200,2,0)="","",VLOOKUP($A104-COUNT('Шаг2.Бланк заказа NEW'!$B$19:$B$201),'Бланк OLD 0.8 04'!$B$12:$K$200,2,0))),
IF(VLOOKUP($A104-COUNT('Шаг2.Бланк заказа NEW'!$B$19:$B$201)-COUNT('Бланк OLD 0.8 04'!$B$18:$B$200),'Бланк OLD 2.0 04 '!$B$16:$K$200,2,0)="","",VLOOKUP($A104-COUNT('Шаг2.Бланк заказа NEW'!$B$19:$B$201)-COUNT('Бланк OLD 0.8 04'!$B$18:$B$200),'Бланк OLD 2.0 04 '!$B$16:$K$200,2,0)))</f>
        <v/>
      </c>
      <c r="F104" s="147" t="str">
        <f ca="1">IFERROR(IFERROR(IF(VLOOKUP($A104,'Шаг2.Бланк заказа NEW'!$B$17:$N$201,3,0)="","",VLOOKUP($A104,'Шаг2.Бланк заказа NEW'!$B$17:$N$201,3,0)),
IF(VLOOKUP($A104-COUNT('Шаг2.Бланк заказа NEW'!$B$19:$B$201),'Бланк OLD 0.8 04'!$B$12:$K$200,3,0)="","",VLOOKUP($A104-COUNT('Шаг2.Бланк заказа NEW'!$B$19:$B$201),'Бланк OLD 0.8 04'!$B$12:$K$200,3,0))),
IF(VLOOKUP($A104-COUNT('Шаг2.Бланк заказа NEW'!$B$19:$B$201)-COUNT('Бланк OLD 0.8 04'!$B$18:$B$200),'Бланк OLD 2.0 04 '!$B$16:$K$200,3,0)="","",VLOOKUP($A104-COUNT('Шаг2.Бланк заказа NEW'!$B$19:$B$201)-COUNT('Бланк OLD 0.8 04'!$B$18:$B$200),'Бланк OLD 2.0 04 '!$B$16:$K$200,3,0)))</f>
        <v/>
      </c>
      <c r="G104" s="176" t="str">
        <f ca="1">IF(IF(R104="","",IF(R104=1,SUMIFS('Шаг1.Выбор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плиты'!C:Q,12,0)),1))))))=0,
R104,
IF(R104="","",IF(R104=1,SUMIFS('Шаг1.Выбор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плиты'!N:N,R104,'Шаг1.Выбор плиты'!M:M,SMALL(INDIRECT("мм"&amp;VLOOKUP(C104,'Шаг1.Выбор плиты'!C:Q,12,0)),1)))))))</f>
        <v/>
      </c>
      <c r="H104" s="177" t="str">
        <f ca="1">IF(IF(S104="","",IF(S104=1,SUMIFS('Шаг1.Выбор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плиты'!C:Q,12,0)),1))))))=0,
S104,
IF(S104="","",IF(S104=1,SUMIFS('Шаг1.Выбор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плиты'!N:N,S104,'Шаг1.Выбор плиты'!M:M,SMALL(INDIRECT("мм"&amp;VLOOKUP(C104,'Шаг1.Выбор плиты'!C:Q,12,0)),1)))))))</f>
        <v/>
      </c>
      <c r="I104" s="147" t="str">
        <f ca="1">IFERROR(IFERROR(IF(VLOOKUP($A104,'Шаг2.Бланк заказа NEW'!$B$17:$N$201,6,0)="","",VLOOKUP($A104,'Шаг2.Бланк заказа NEW'!$B$17:$N$201,6,0)),
IF(VLOOKUP($A104-COUNT('Шаг2.Бланк заказа NEW'!$B$19:$B$201),'Бланк OLD 0.8 04'!$B$12:$K$200,6,0)="","",VLOOKUP($A104-COUNT('Шаг2.Бланк заказа NEW'!$B$19:$B$201),'Бланк OLD 0.8 04'!$B$12:$K$200,6,0))),
IF(VLOOKUP($A104-COUNT('Шаг2.Бланк заказа NEW'!$B$19:$B$201)-COUNT('Бланк OLD 0.8 04'!$B$18:$B$200),'Бланк OLD 2.0 04 '!$B$16:$K$200,6,0)="","",VLOOKUP($A104-COUNT('Шаг2.Бланк заказа NEW'!$B$19:$B$201)-COUNT('Бланк OLD 0.8 04'!$B$18:$B$200),'Бланк OLD 2.0 04 '!$B$16:$K$200,6,0)))</f>
        <v/>
      </c>
      <c r="J104" s="177" t="str">
        <f ca="1">IF(IF(T104="","",IF(T104=1,SUMIFS('Шаг1.Выбор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плиты'!C:Q,12,0)),1))))))=0,
T104,
IF(T104="","",IF(T104=1,SUMIFS('Шаг1.Выбор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плиты'!N:N,T104,'Шаг1.Выбор плиты'!M:M,SMALL(INDIRECT("мм"&amp;VLOOKUP(C104,'Шаг1.Выбор плиты'!C:Q,12,0)),1)))))))</f>
        <v/>
      </c>
      <c r="K104" s="177" t="str">
        <f ca="1">IF(IF(U104="","",IF(U104=1,SUMIFS('Шаг1.Выбор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плиты'!C:Q,12,0)),1))))))=0,
U104,
IF(U104="","",IF(U104=1,SUMIFS('Шаг1.Выбор плиты'!$G:$G,'Шаг1.Выбор плиты'!J:J,"*"&amp;RIGHT(VLOOKUP(C104,'Шаг1.Выбор плиты'!C:Q,8,0),4),'Шаг1.Выбор плиты'!L:L,IF(MID(C104,1,6)="ЛДСП P","TM"&amp;MID(VLOOKUP(C104,'Шаг1.Выбор плиты'!C:Q,10,0),3,2),MID(VLOOKUP(C104,'Шаг1.Выбор плиты'!C:Q,10,0),1,2)),
'Шаг1.Выбор плиты'!N:N,1),IF(SUMIFS('Шаг1.Выбор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плиты'!C:Q,12,0)),1))=0,
IF(SUMIFS('Шаг1.Выбор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плиты'!C:Q,12,0)),2))=0,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плиты'!C:Q,12,0)),3)),
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плиты'!C:Q,12,0)),2))),
(SUMIFS('Шаг1.Выбор плиты'!$G:$G,'Шаг1.Выбор плиты'!J:J,"*"&amp;RIGHT(VLOOKUP(C104,'Шаг1.Выбор плиты'!C:Q,8,0),4),'Шаг1.Выбор плиты'!L:L,VLOOKUP(C104,'Шаг1.Выбор плиты'!C:Q,10,0),'Шаг1.Выбор плиты'!N:N,U104,'Шаг1.Выбор плиты'!M:M,SMALL(INDIRECT("мм"&amp;VLOOKUP(C104,'Шаг1.Выбор плиты'!C:Q,12,0)),1)))))))</f>
        <v/>
      </c>
      <c r="L104" s="147" t="str">
        <f ca="1">IFERROR(IFERROR(IF(VLOOKUP($A104,'Шаг2.Бланк заказа NEW'!$B$17:$N$201,9,0)="","",VLOOKUP($A104,'Шаг2.Бланк заказа NEW'!$B$17:$N$201,9,0)),
IF(VLOOKUP($A104-COUNT('Шаг2.Бланк заказа NEW'!$B$19:$B$201),'Бланк OLD 0.8 04'!$B$12:$K$200,9,0)="","",VLOOKUP($A104-COUNT('Шаг2.Бланк заказа NEW'!$B$19:$B$201),'Бланк OLD 0.8 04'!$B$12:$K$200,9,0))),
IF(VLOOKUP($A104-COUNT('Шаг2.Бланк заказа NEW'!$B$19:$B$201)-COUNT('Бланк OLD 0.8 04'!$B$18:$B$200),'Бланк OLD 2.0 04 '!$B$16:$K$200,9,0)="","",VLOOKUP($A104-COUNT('Шаг2.Бланк заказа NEW'!$B$19:$B$201)-COUNT('Бланк OLD 0.8 04'!$B$18:$B$200),'Бланк OLD 2.0 04 '!$B$16:$K$200,9,0)))</f>
        <v/>
      </c>
      <c r="M104" s="154" t="str">
        <f t="shared" ca="1" si="10"/>
        <v/>
      </c>
      <c r="N104" s="153" t="str">
        <f ca="1">IFERROR(IF(VLOOKUP($A104,'Шаг2.Бланк заказа NEW'!$B$17:$N$201,11,0)="","",VLOOKUP($A104,'Шаг2.Бланк заказа NEW'!$B$17:$N$201,11,0)),
"Нет")</f>
        <v/>
      </c>
      <c r="O104" s="147" t="str">
        <f ca="1">IFERROR(IF(VLOOKUP($A104,'Шаг2.Бланк заказа NEW'!$B$17:$N$201,11,0)="","",VLOOKUP($A104,'Шаг2.Бланк заказа NEW'!$B$17:$N$201,12,0)),
"Нет")</f>
        <v/>
      </c>
      <c r="P104" s="153" t="str">
        <f ca="1">IFERROR(IF(VLOOKUP($A104,'Шаг2.Бланк заказа NEW'!$B$17:$N$201,13,0)="","",VLOOKUP($A104,'Шаг2.Бланк заказа NEW'!$B$17:$N$201,13,0)),
"Нет")</f>
        <v/>
      </c>
      <c r="Q104" s="147" t="str">
        <f ca="1">IFERROR(IF(VLOOKUP($A104,'Шаг2.Бланк заказа NEW'!$B$17:$O$201,14,0)="","",VLOOKUP($A104,'Шаг2.Бланк заказа NEW'!$B$17:$O$201,14,0)),"")</f>
        <v/>
      </c>
      <c r="R104" s="147" t="str">
        <f ca="1">IFERROR(IFERROR(IF(VLOOKUP($A104,'Шаг2.Бланк заказа NEW'!$B$17:$N$201,4,0)="","",VLOOKUP($A104,'Шаг2.Бланк заказа NEW'!$B$17:$N$201,4,0)),
IF(VLOOKUP($A104-COUNT('Шаг2.Бланк заказа NEW'!$B$19:$B$201),'Бланк OLD 0.8 04'!$B$12:$K$200,4,0)&gt;0,0.8,
IF(VLOOKUP($A104-COUNT('Шаг2.Бланк заказа NEW'!$B$19:$B$201),'Бланк OLD 0.8 04'!$B$12:$K$200,5,0)&gt;0,0.4,""))),
IF(VLOOKUP($A104-COUNT('Шаг2.Бланк заказа NEW'!$B$19:$B$201)-COUNT('Бланк OLD 0.8 04'!$B$18:$B$200),'Бланк OLD 2.0 04 '!$B$16:$K$200,4,0)&gt;0,2,IF(VLOOKUP($A104-COUNT('Шаг2.Бланк заказа NEW'!$B$19:$B$201)-COUNT('Бланк OLD 0.8 04'!$B$18:$B$200),'Бланк OLD 2.0 04 '!$B$16:$K$200,5,0)&gt;0,0.4,"")))</f>
        <v/>
      </c>
      <c r="S104" s="147" t="str">
        <f ca="1">IFERROR(IFERROR(IF(VLOOKUP($A104,'Шаг2.Бланк заказа NEW'!$B$17:$N$201,5,0)="","",VLOOKUP($A104,'Шаг2.Бланк заказа NEW'!$B$17:$N$201,5,0)),
IF(VLOOKUP($A104-COUNT('Шаг2.Бланк заказа NEW'!$B$19:$B$201),'Бланк OLD 0.8 04'!$B$12:$K$200,4,0)&gt;1,0.8,
IF(VLOOKUP($A104-COUNT('Шаг2.Бланк заказа NEW'!$B$19:$B$201),'Бланк OLD 0.8 04'!$B$12:$K$200,5,0)&gt;1,0.4,
IF(AND(VLOOKUP($A104-COUNT('Шаг2.Бланк заказа NEW'!$B$19:$B$201),'Бланк OLD 0.8 04'!$B$12:$K$200,4,0)&gt;0,VLOOKUP($A104-COUNT('Шаг2.Бланк заказа NEW'!$B$19:$B$201),'Бланк OLD 0.8 04'!$B$12:$K$200,5,0)&gt;0),0.4,"")))),
IF(VLOOKUP($A104-COUNT('Шаг2.Бланк заказа NEW'!$B$19:$B$201)-COUNT('Бланк OLD 0.8 04'!$B$18:$B$200),'Бланк OLD 2.0 04 '!$B$16:$K$200,4,0)&gt;1,2,
IF(VLOOKUP($A104-COUNT('Шаг2.Бланк заказа NEW'!$B$19:$B$201)-COUNT('Бланк OLD 0.8 04'!$B$18:$B$200),'Бланк OLD 2.0 04 '!$B$16:$K$200,5,0)&gt;1,0.4,IF(AND(VLOOKUP($A104-COUNT('Шаг2.Бланк заказа NEW'!$B$19:$B$201)-COUNT('Бланк OLD 0.8 04'!$B$18:$B$200),'Бланк OLD 2.0 04 '!$B$16:$K$200,4,0)&gt;0,VLOOKUP($A104-COUNT('Шаг2.Бланк заказа NEW'!$B$19:$B$201)-COUNT('Бланк OLD 0.8 04'!$B$18:$B$200),'Бланк OLD 2.0 04 '!$B$16:$K$200,5,0)&gt;0),0.4,""))))</f>
        <v/>
      </c>
      <c r="T104" s="147" t="str">
        <f ca="1">IFERROR(IFERROR(IF(VLOOKUP($A104,'Шаг2.Бланк заказа NEW'!$B$17:$N$201,7,0)="","",VLOOKUP($A104,'Шаг2.Бланк заказа NEW'!$B$17:$N$201,7,0)),
IF(VLOOKUP($A104-COUNT('Шаг2.Бланк заказа NEW'!$B$19:$B$201),'Бланк OLD 0.8 04'!$B$12:$K$200,7,0)&gt;0,0.8,
IF(VLOOKUP($A104-COUNT('Шаг2.Бланк заказа NEW'!$B$19:$B$201),'Бланк OLD 0.8 04'!$B$12:$K$200,8,0)&gt;0,0.4,""))),
IF(VLOOKUP($A104-COUNT('Шаг2.Бланк заказа NEW'!$B$19:$B$201)-COUNT('Бланк OLD 0.8 04'!$B$18:$B$200),'Бланк OLD 2.0 04 '!$B$16:$K$200,7,0)&gt;0,2,IF(VLOOKUP($A104-COUNT('Шаг2.Бланк заказа NEW'!$B$19:$B$201)-COUNT('Бланк OLD 0.8 04'!$B$18:$B$200),'Бланк OLD 2.0 04 '!$B$16:$K$200,8,0)&gt;0,0.4,"")))</f>
        <v/>
      </c>
      <c r="U104" s="147" t="str">
        <f ca="1">IFERROR(IFERROR(IF(VLOOKUP($A104,'Шаг2.Бланк заказа NEW'!$B$17:$N$201,8,0)="","",VLOOKUP($A104,'Шаг2.Бланк заказа NEW'!$B$17:$N$201,8,0)),
IF(VLOOKUP($A104-COUNT('Шаг2.Бланк заказа NEW'!$B$19:$B$201),'Бланк OLD 0.8 04'!$B$12:$K$200,7,0)&gt;1,0.8,
IF(VLOOKUP($A104-COUNT('Шаг2.Бланк заказа NEW'!$B$19:$B$201),'Бланк OLD 0.8 04'!$B$12:$K$200,8,0)&gt;1,0.4,
IF(AND(VLOOKUP($A104-COUNT('Шаг2.Бланк заказа NEW'!$B$19:$B$201),'Бланк OLD 0.8 04'!$B$12:$K$200,7,0)&gt;0,VLOOKUP($A104-COUNT('Шаг2.Бланк заказа NEW'!$B$19:$B$201),'Бланк OLD 0.8 04'!$B$12:$K$200,8,0)&gt;0),0.4,"")))),
IF(VLOOKUP($A104-COUNT('Шаг2.Бланк заказа NEW'!$B$19:$B$201)-COUNT('Бланк OLD 0.8 04'!$B$18:$B$200),'Бланк OLD 2.0 04 '!$B$16:$K$200,7,0)&gt;1,2,
IF(VLOOKUP($A104-COUNT('Шаг2.Бланк заказа NEW'!$B$19:$B$201)-COUNT('Бланк OLD 0.8 04'!$B$18:$B$200),'Бланк OLD 2.0 04 '!$B$16:$K$200,8,0)&gt;1,0.4,
IF(AND(VLOOKUP($A104-COUNT('Шаг2.Бланк заказа NEW'!$B$19:$B$201)-COUNT('Бланк OLD 0.8 04'!$B$18:$B$200),'Бланк OLD 2.0 04 '!$B$16:$K$200,7,0)&gt;0,VLOOKUP($A104-COUNT('Шаг2.Бланк заказа NEW'!$B$19:$B$201)-COUNT('Бланк OLD 0.8 04'!$B$18:$B$200),'Бланк OLD 2.0 04 '!$B$16:$K$200,8,0)&gt;0),0.4,""))))</f>
        <v/>
      </c>
      <c r="V104" s="146" t="str">
        <f ca="1">IFERROR(VLOOKUP(C104,'Шаг1.Выбор плиты'!C:S,12,0),"")</f>
        <v/>
      </c>
      <c r="W104" s="146" t="str">
        <f ca="1">IFERROR(VLOOKUP(C104,'Шаг1.Выбор плиты'!C:S,8,0),"")</f>
        <v/>
      </c>
      <c r="X104" s="146" t="str">
        <f ca="1">IFERROR(VLOOKUP(C104,'Шаг1.Выбор плиты'!C:S,10,0),"")</f>
        <v/>
      </c>
      <c r="Y104" s="147" t="str">
        <f t="shared" ca="1" si="8"/>
        <v/>
      </c>
      <c r="AD104" s="147" t="str">
        <f t="shared" ca="1" si="11"/>
        <v/>
      </c>
      <c r="AE104" s="147" t="str">
        <f t="shared" ca="1" si="9"/>
        <v/>
      </c>
      <c r="AF104" s="25"/>
      <c r="AH104" s="147" t="str">
        <f ca="1">IF(C104="","",VLOOKUP(C104,'Шаг1.Выбор плиты'!C:Q,7,0))</f>
        <v/>
      </c>
      <c r="AI104" s="147" t="str">
        <f t="shared" ca="1" si="12"/>
        <v/>
      </c>
    </row>
    <row r="105" spans="1:35" x14ac:dyDescent="0.2">
      <c r="A105" s="151" t="str">
        <f ca="1">IF(C105="","",MAX($A$1:OFFSET(C105,-1,0))+1)</f>
        <v/>
      </c>
      <c r="B105" s="151" t="str">
        <f ca="1">IFERROR(IFERROR(IFERROR("Шаг2.Бланк заказа NEW №"&amp;VLOOKUP(A104+1,CHOOSE({1,2},'Шаг2.Бланк заказа NEW'!$B$19:$B$201,'Шаг2.Бланк заказа NEW'!$A$19:$A$201),1,0),
"Бланк OLD 0.8 04 №"&amp;VLOOKUP(A104+1-COUNT('Шаг2.Бланк заказа NEW'!$B$19:$B$201),CHOOSE({1,2},'Бланк OLD 0.8 04'!$B$18:$B$200,'Бланк OLD 0.8 04'!$A$18:$A$200),1,0)),
"Бланк OLD 2.0 04 №"&amp;VLOOKUP(A104+1-COUNT('Шаг2.Бланк заказа NEW'!$B$19:$B$201)-COUNT('Бланк OLD 0.8 04'!$B$18:$B$200),CHOOSE({1,2},'Бланк OLD 2.0 04 '!$B$18:$B$200,'Бланк OLD 2.0 04 '!$A$18:$A$200),1,0)),"")</f>
        <v/>
      </c>
      <c r="C105" s="152" t="str">
        <f ca="1">IFERROR(IFERROR(IFERROR(VLOOKUP(A104+1,CHOOSE({1,2},'Шаг2.Бланк заказа NEW'!$B$19:$B$201,'Шаг2.Бланк заказа NEW'!$A$19:$A$201),2,0),
VLOOKUP(A104+1-COUNT('Шаг2.Бланк заказа NEW'!$B$19:$B$201),CHOOSE({1,2},'Бланк OLD 0.8 04'!$B$18:$B$200,'Бланк OLD 0.8 04'!$A$18:$A$200),2,0)),
VLOOKUP(A104+1-COUNT('Шаг2.Бланк заказа NEW'!$B$19:$B$201)-COUNT('Бланк OLD 0.8 04'!$B$18:$B$200),CHOOSE({1,2},'Бланк OLD 2.0 04 '!$B$18:$B$200,'Бланк OLD 2.0 04 '!$A$18:$A$200),2,0)),"")</f>
        <v/>
      </c>
      <c r="D105" s="150" t="str">
        <f ca="1">IFERROR(VLOOKUP(C105,'Шаг1.Выбор плиты'!C:G,5,0),"")</f>
        <v/>
      </c>
      <c r="E105" s="147" t="str">
        <f ca="1">IFERROR(IFERROR(IF(VLOOKUP($A105,'Шаг2.Бланк заказа NEW'!$B$17:$N$201,2,0)="","",VLOOKUP($A105,'Шаг2.Бланк заказа NEW'!$B$17:$N$201,2,0)),
IF(VLOOKUP($A105-COUNT('Шаг2.Бланк заказа NEW'!$B$19:$B$201),'Бланк OLD 0.8 04'!$B$12:$K$200,2,0)="","",VLOOKUP($A105-COUNT('Шаг2.Бланк заказа NEW'!$B$19:$B$201),'Бланк OLD 0.8 04'!$B$12:$K$200,2,0))),
IF(VLOOKUP($A105-COUNT('Шаг2.Бланк заказа NEW'!$B$19:$B$201)-COUNT('Бланк OLD 0.8 04'!$B$18:$B$200),'Бланк OLD 2.0 04 '!$B$16:$K$200,2,0)="","",VLOOKUP($A105-COUNT('Шаг2.Бланк заказа NEW'!$B$19:$B$201)-COUNT('Бланк OLD 0.8 04'!$B$18:$B$200),'Бланк OLD 2.0 04 '!$B$16:$K$200,2,0)))</f>
        <v/>
      </c>
      <c r="F105" s="147" t="str">
        <f ca="1">IFERROR(IFERROR(IF(VLOOKUP($A105,'Шаг2.Бланк заказа NEW'!$B$17:$N$201,3,0)="","",VLOOKUP($A105,'Шаг2.Бланк заказа NEW'!$B$17:$N$201,3,0)),
IF(VLOOKUP($A105-COUNT('Шаг2.Бланк заказа NEW'!$B$19:$B$201),'Бланк OLD 0.8 04'!$B$12:$K$200,3,0)="","",VLOOKUP($A105-COUNT('Шаг2.Бланк заказа NEW'!$B$19:$B$201),'Бланк OLD 0.8 04'!$B$12:$K$200,3,0))),
IF(VLOOKUP($A105-COUNT('Шаг2.Бланк заказа NEW'!$B$19:$B$201)-COUNT('Бланк OLD 0.8 04'!$B$18:$B$200),'Бланк OLD 2.0 04 '!$B$16:$K$200,3,0)="","",VLOOKUP($A105-COUNT('Шаг2.Бланк заказа NEW'!$B$19:$B$201)-COUNT('Бланк OLD 0.8 04'!$B$18:$B$200),'Бланк OLD 2.0 04 '!$B$16:$K$200,3,0)))</f>
        <v/>
      </c>
      <c r="G105" s="176" t="str">
        <f ca="1">IF(IF(R105="","",IF(R105=1,SUMIFS('Шаг1.Выбор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плиты'!C:Q,12,0)),1))))))=0,
R105,
IF(R105="","",IF(R105=1,SUMIFS('Шаг1.Выбор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плиты'!N:N,R105,'Шаг1.Выбор плиты'!M:M,SMALL(INDIRECT("мм"&amp;VLOOKUP(C105,'Шаг1.Выбор плиты'!C:Q,12,0)),1)))))))</f>
        <v/>
      </c>
      <c r="H105" s="177" t="str">
        <f ca="1">IF(IF(S105="","",IF(S105=1,SUMIFS('Шаг1.Выбор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плиты'!C:Q,12,0)),1))))))=0,
S105,
IF(S105="","",IF(S105=1,SUMIFS('Шаг1.Выбор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плиты'!N:N,S105,'Шаг1.Выбор плиты'!M:M,SMALL(INDIRECT("мм"&amp;VLOOKUP(C105,'Шаг1.Выбор плиты'!C:Q,12,0)),1)))))))</f>
        <v/>
      </c>
      <c r="I105" s="147" t="str">
        <f ca="1">IFERROR(IFERROR(IF(VLOOKUP($A105,'Шаг2.Бланк заказа NEW'!$B$17:$N$201,6,0)="","",VLOOKUP($A105,'Шаг2.Бланк заказа NEW'!$B$17:$N$201,6,0)),
IF(VLOOKUP($A105-COUNT('Шаг2.Бланк заказа NEW'!$B$19:$B$201),'Бланк OLD 0.8 04'!$B$12:$K$200,6,0)="","",VLOOKUP($A105-COUNT('Шаг2.Бланк заказа NEW'!$B$19:$B$201),'Бланк OLD 0.8 04'!$B$12:$K$200,6,0))),
IF(VLOOKUP($A105-COUNT('Шаг2.Бланк заказа NEW'!$B$19:$B$201)-COUNT('Бланк OLD 0.8 04'!$B$18:$B$200),'Бланк OLD 2.0 04 '!$B$16:$K$200,6,0)="","",VLOOKUP($A105-COUNT('Шаг2.Бланк заказа NEW'!$B$19:$B$201)-COUNT('Бланк OLD 0.8 04'!$B$18:$B$200),'Бланк OLD 2.0 04 '!$B$16:$K$200,6,0)))</f>
        <v/>
      </c>
      <c r="J105" s="177" t="str">
        <f ca="1">IF(IF(T105="","",IF(T105=1,SUMIFS('Шаг1.Выбор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плиты'!C:Q,12,0)),1))))))=0,
T105,
IF(T105="","",IF(T105=1,SUMIFS('Шаг1.Выбор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плиты'!N:N,T105,'Шаг1.Выбор плиты'!M:M,SMALL(INDIRECT("мм"&amp;VLOOKUP(C105,'Шаг1.Выбор плиты'!C:Q,12,0)),1)))))))</f>
        <v/>
      </c>
      <c r="K105" s="177" t="str">
        <f ca="1">IF(IF(U105="","",IF(U105=1,SUMIFS('Шаг1.Выбор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плиты'!C:Q,12,0)),1))))))=0,
U105,
IF(U105="","",IF(U105=1,SUMIFS('Шаг1.Выбор плиты'!$G:$G,'Шаг1.Выбор плиты'!J:J,"*"&amp;RIGHT(VLOOKUP(C105,'Шаг1.Выбор плиты'!C:Q,8,0),4),'Шаг1.Выбор плиты'!L:L,IF(MID(C105,1,6)="ЛДСП P","TM"&amp;MID(VLOOKUP(C105,'Шаг1.Выбор плиты'!C:Q,10,0),3,2),MID(VLOOKUP(C105,'Шаг1.Выбор плиты'!C:Q,10,0),1,2)),
'Шаг1.Выбор плиты'!N:N,1),IF(SUMIFS('Шаг1.Выбор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плиты'!C:Q,12,0)),1))=0,
IF(SUMIFS('Шаг1.Выбор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плиты'!C:Q,12,0)),2))=0,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плиты'!C:Q,12,0)),3)),
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плиты'!C:Q,12,0)),2))),
(SUMIFS('Шаг1.Выбор плиты'!$G:$G,'Шаг1.Выбор плиты'!J:J,"*"&amp;RIGHT(VLOOKUP(C105,'Шаг1.Выбор плиты'!C:Q,8,0),4),'Шаг1.Выбор плиты'!L:L,VLOOKUP(C105,'Шаг1.Выбор плиты'!C:Q,10,0),'Шаг1.Выбор плиты'!N:N,U105,'Шаг1.Выбор плиты'!M:M,SMALL(INDIRECT("мм"&amp;VLOOKUP(C105,'Шаг1.Выбор плиты'!C:Q,12,0)),1)))))))</f>
        <v/>
      </c>
      <c r="L105" s="147" t="str">
        <f ca="1">IFERROR(IFERROR(IF(VLOOKUP($A105,'Шаг2.Бланк заказа NEW'!$B$17:$N$201,9,0)="","",VLOOKUP($A105,'Шаг2.Бланк заказа NEW'!$B$17:$N$201,9,0)),
IF(VLOOKUP($A105-COUNT('Шаг2.Бланк заказа NEW'!$B$19:$B$201),'Бланк OLD 0.8 04'!$B$12:$K$200,9,0)="","",VLOOKUP($A105-COUNT('Шаг2.Бланк заказа NEW'!$B$19:$B$201),'Бланк OLD 0.8 04'!$B$12:$K$200,9,0))),
IF(VLOOKUP($A105-COUNT('Шаг2.Бланк заказа NEW'!$B$19:$B$201)-COUNT('Бланк OLD 0.8 04'!$B$18:$B$200),'Бланк OLD 2.0 04 '!$B$16:$K$200,9,0)="","",VLOOKUP($A105-COUNT('Шаг2.Бланк заказа NEW'!$B$19:$B$201)-COUNT('Бланк OLD 0.8 04'!$B$18:$B$200),'Бланк OLD 2.0 04 '!$B$16:$K$200,9,0)))</f>
        <v/>
      </c>
      <c r="M105" s="154" t="str">
        <f t="shared" ca="1" si="10"/>
        <v/>
      </c>
      <c r="N105" s="153" t="str">
        <f ca="1">IFERROR(IF(VLOOKUP($A105,'Шаг2.Бланк заказа NEW'!$B$17:$N$201,11,0)="","",VLOOKUP($A105,'Шаг2.Бланк заказа NEW'!$B$17:$N$201,11,0)),
"Нет")</f>
        <v/>
      </c>
      <c r="O105" s="147" t="str">
        <f ca="1">IFERROR(IF(VLOOKUP($A105,'Шаг2.Бланк заказа NEW'!$B$17:$N$201,11,0)="","",VLOOKUP($A105,'Шаг2.Бланк заказа NEW'!$B$17:$N$201,12,0)),
"Нет")</f>
        <v/>
      </c>
      <c r="P105" s="153" t="str">
        <f ca="1">IFERROR(IF(VLOOKUP($A105,'Шаг2.Бланк заказа NEW'!$B$17:$N$201,13,0)="","",VLOOKUP($A105,'Шаг2.Бланк заказа NEW'!$B$17:$N$201,13,0)),
"Нет")</f>
        <v/>
      </c>
      <c r="Q105" s="147" t="str">
        <f ca="1">IFERROR(IF(VLOOKUP($A105,'Шаг2.Бланк заказа NEW'!$B$17:$O$201,14,0)="","",VLOOKUP($A105,'Шаг2.Бланк заказа NEW'!$B$17:$O$201,14,0)),"")</f>
        <v/>
      </c>
      <c r="R105" s="147" t="str">
        <f ca="1">IFERROR(IFERROR(IF(VLOOKUP($A105,'Шаг2.Бланк заказа NEW'!$B$17:$N$201,4,0)="","",VLOOKUP($A105,'Шаг2.Бланк заказа NEW'!$B$17:$N$201,4,0)),
IF(VLOOKUP($A105-COUNT('Шаг2.Бланк заказа NEW'!$B$19:$B$201),'Бланк OLD 0.8 04'!$B$12:$K$200,4,0)&gt;0,0.8,
IF(VLOOKUP($A105-COUNT('Шаг2.Бланк заказа NEW'!$B$19:$B$201),'Бланк OLD 0.8 04'!$B$12:$K$200,5,0)&gt;0,0.4,""))),
IF(VLOOKUP($A105-COUNT('Шаг2.Бланк заказа NEW'!$B$19:$B$201)-COUNT('Бланк OLD 0.8 04'!$B$18:$B$200),'Бланк OLD 2.0 04 '!$B$16:$K$200,4,0)&gt;0,2,IF(VLOOKUP($A105-COUNT('Шаг2.Бланк заказа NEW'!$B$19:$B$201)-COUNT('Бланк OLD 0.8 04'!$B$18:$B$200),'Бланк OLD 2.0 04 '!$B$16:$K$200,5,0)&gt;0,0.4,"")))</f>
        <v/>
      </c>
      <c r="S105" s="147" t="str">
        <f ca="1">IFERROR(IFERROR(IF(VLOOKUP($A105,'Шаг2.Бланк заказа NEW'!$B$17:$N$201,5,0)="","",VLOOKUP($A105,'Шаг2.Бланк заказа NEW'!$B$17:$N$201,5,0)),
IF(VLOOKUP($A105-COUNT('Шаг2.Бланк заказа NEW'!$B$19:$B$201),'Бланк OLD 0.8 04'!$B$12:$K$200,4,0)&gt;1,0.8,
IF(VLOOKUP($A105-COUNT('Шаг2.Бланк заказа NEW'!$B$19:$B$201),'Бланк OLD 0.8 04'!$B$12:$K$200,5,0)&gt;1,0.4,
IF(AND(VLOOKUP($A105-COUNT('Шаг2.Бланк заказа NEW'!$B$19:$B$201),'Бланк OLD 0.8 04'!$B$12:$K$200,4,0)&gt;0,VLOOKUP($A105-COUNT('Шаг2.Бланк заказа NEW'!$B$19:$B$201),'Бланк OLD 0.8 04'!$B$12:$K$200,5,0)&gt;0),0.4,"")))),
IF(VLOOKUP($A105-COUNT('Шаг2.Бланк заказа NEW'!$B$19:$B$201)-COUNT('Бланк OLD 0.8 04'!$B$18:$B$200),'Бланк OLD 2.0 04 '!$B$16:$K$200,4,0)&gt;1,2,
IF(VLOOKUP($A105-COUNT('Шаг2.Бланк заказа NEW'!$B$19:$B$201)-COUNT('Бланк OLD 0.8 04'!$B$18:$B$200),'Бланк OLD 2.0 04 '!$B$16:$K$200,5,0)&gt;1,0.4,IF(AND(VLOOKUP($A105-COUNT('Шаг2.Бланк заказа NEW'!$B$19:$B$201)-COUNT('Бланк OLD 0.8 04'!$B$18:$B$200),'Бланк OLD 2.0 04 '!$B$16:$K$200,4,0)&gt;0,VLOOKUP($A105-COUNT('Шаг2.Бланк заказа NEW'!$B$19:$B$201)-COUNT('Бланк OLD 0.8 04'!$B$18:$B$200),'Бланк OLD 2.0 04 '!$B$16:$K$200,5,0)&gt;0),0.4,""))))</f>
        <v/>
      </c>
      <c r="T105" s="147" t="str">
        <f ca="1">IFERROR(IFERROR(IF(VLOOKUP($A105,'Шаг2.Бланк заказа NEW'!$B$17:$N$201,7,0)="","",VLOOKUP($A105,'Шаг2.Бланк заказа NEW'!$B$17:$N$201,7,0)),
IF(VLOOKUP($A105-COUNT('Шаг2.Бланк заказа NEW'!$B$19:$B$201),'Бланк OLD 0.8 04'!$B$12:$K$200,7,0)&gt;0,0.8,
IF(VLOOKUP($A105-COUNT('Шаг2.Бланк заказа NEW'!$B$19:$B$201),'Бланк OLD 0.8 04'!$B$12:$K$200,8,0)&gt;0,0.4,""))),
IF(VLOOKUP($A105-COUNT('Шаг2.Бланк заказа NEW'!$B$19:$B$201)-COUNT('Бланк OLD 0.8 04'!$B$18:$B$200),'Бланк OLD 2.0 04 '!$B$16:$K$200,7,0)&gt;0,2,IF(VLOOKUP($A105-COUNT('Шаг2.Бланк заказа NEW'!$B$19:$B$201)-COUNT('Бланк OLD 0.8 04'!$B$18:$B$200),'Бланк OLD 2.0 04 '!$B$16:$K$200,8,0)&gt;0,0.4,"")))</f>
        <v/>
      </c>
      <c r="U105" s="147" t="str">
        <f ca="1">IFERROR(IFERROR(IF(VLOOKUP($A105,'Шаг2.Бланк заказа NEW'!$B$17:$N$201,8,0)="","",VLOOKUP($A105,'Шаг2.Бланк заказа NEW'!$B$17:$N$201,8,0)),
IF(VLOOKUP($A105-COUNT('Шаг2.Бланк заказа NEW'!$B$19:$B$201),'Бланк OLD 0.8 04'!$B$12:$K$200,7,0)&gt;1,0.8,
IF(VLOOKUP($A105-COUNT('Шаг2.Бланк заказа NEW'!$B$19:$B$201),'Бланк OLD 0.8 04'!$B$12:$K$200,8,0)&gt;1,0.4,
IF(AND(VLOOKUP($A105-COUNT('Шаг2.Бланк заказа NEW'!$B$19:$B$201),'Бланк OLD 0.8 04'!$B$12:$K$200,7,0)&gt;0,VLOOKUP($A105-COUNT('Шаг2.Бланк заказа NEW'!$B$19:$B$201),'Бланк OLD 0.8 04'!$B$12:$K$200,8,0)&gt;0),0.4,"")))),
IF(VLOOKUP($A105-COUNT('Шаг2.Бланк заказа NEW'!$B$19:$B$201)-COUNT('Бланк OLD 0.8 04'!$B$18:$B$200),'Бланк OLD 2.0 04 '!$B$16:$K$200,7,0)&gt;1,2,
IF(VLOOKUP($A105-COUNT('Шаг2.Бланк заказа NEW'!$B$19:$B$201)-COUNT('Бланк OLD 0.8 04'!$B$18:$B$200),'Бланк OLD 2.0 04 '!$B$16:$K$200,8,0)&gt;1,0.4,
IF(AND(VLOOKUP($A105-COUNT('Шаг2.Бланк заказа NEW'!$B$19:$B$201)-COUNT('Бланк OLD 0.8 04'!$B$18:$B$200),'Бланк OLD 2.0 04 '!$B$16:$K$200,7,0)&gt;0,VLOOKUP($A105-COUNT('Шаг2.Бланк заказа NEW'!$B$19:$B$201)-COUNT('Бланк OLD 0.8 04'!$B$18:$B$200),'Бланк OLD 2.0 04 '!$B$16:$K$200,8,0)&gt;0),0.4,""))))</f>
        <v/>
      </c>
      <c r="V105" s="146" t="str">
        <f ca="1">IFERROR(VLOOKUP(C105,'Шаг1.Выбор плиты'!C:S,12,0),"")</f>
        <v/>
      </c>
      <c r="W105" s="146" t="str">
        <f ca="1">IFERROR(VLOOKUP(C105,'Шаг1.Выбор плиты'!C:S,8,0),"")</f>
        <v/>
      </c>
      <c r="X105" s="146" t="str">
        <f ca="1">IFERROR(VLOOKUP(C105,'Шаг1.Выбор плиты'!C:S,10,0),"")</f>
        <v/>
      </c>
      <c r="Y105" s="147" t="str">
        <f t="shared" ca="1" si="8"/>
        <v/>
      </c>
      <c r="AD105" s="147" t="str">
        <f t="shared" ca="1" si="11"/>
        <v/>
      </c>
      <c r="AE105" s="147" t="str">
        <f t="shared" ca="1" si="9"/>
        <v/>
      </c>
      <c r="AF105" s="25"/>
      <c r="AH105" s="147" t="str">
        <f ca="1">IF(C105="","",VLOOKUP(C105,'Шаг1.Выбор плиты'!C:Q,7,0))</f>
        <v/>
      </c>
      <c r="AI105" s="147" t="str">
        <f t="shared" ca="1" si="12"/>
        <v/>
      </c>
    </row>
    <row r="106" spans="1:35" x14ac:dyDescent="0.2">
      <c r="A106" s="151" t="str">
        <f ca="1">IF(C106="","",MAX($A$1:OFFSET(C106,-1,0))+1)</f>
        <v/>
      </c>
      <c r="B106" s="151" t="str">
        <f ca="1">IFERROR(IFERROR(IFERROR("Шаг2.Бланк заказа NEW №"&amp;VLOOKUP(A105+1,CHOOSE({1,2},'Шаг2.Бланк заказа NEW'!$B$19:$B$201,'Шаг2.Бланк заказа NEW'!$A$19:$A$201),1,0),
"Бланк OLD 0.8 04 №"&amp;VLOOKUP(A105+1-COUNT('Шаг2.Бланк заказа NEW'!$B$19:$B$201),CHOOSE({1,2},'Бланк OLD 0.8 04'!$B$18:$B$200,'Бланк OLD 0.8 04'!$A$18:$A$200),1,0)),
"Бланк OLD 2.0 04 №"&amp;VLOOKUP(A105+1-COUNT('Шаг2.Бланк заказа NEW'!$B$19:$B$201)-COUNT('Бланк OLD 0.8 04'!$B$18:$B$200),CHOOSE({1,2},'Бланк OLD 2.0 04 '!$B$18:$B$200,'Бланк OLD 2.0 04 '!$A$18:$A$200),1,0)),"")</f>
        <v/>
      </c>
      <c r="C106" s="152" t="str">
        <f ca="1">IFERROR(IFERROR(IFERROR(VLOOKUP(A105+1,CHOOSE({1,2},'Шаг2.Бланк заказа NEW'!$B$19:$B$201,'Шаг2.Бланк заказа NEW'!$A$19:$A$201),2,0),
VLOOKUP(A105+1-COUNT('Шаг2.Бланк заказа NEW'!$B$19:$B$201),CHOOSE({1,2},'Бланк OLD 0.8 04'!$B$18:$B$200,'Бланк OLD 0.8 04'!$A$18:$A$200),2,0)),
VLOOKUP(A105+1-COUNT('Шаг2.Бланк заказа NEW'!$B$19:$B$201)-COUNT('Бланк OLD 0.8 04'!$B$18:$B$200),CHOOSE({1,2},'Бланк OLD 2.0 04 '!$B$18:$B$200,'Бланк OLD 2.0 04 '!$A$18:$A$200),2,0)),"")</f>
        <v/>
      </c>
      <c r="D106" s="150" t="str">
        <f ca="1">IFERROR(VLOOKUP(C106,'Шаг1.Выбор плиты'!C:G,5,0),"")</f>
        <v/>
      </c>
      <c r="E106" s="147" t="str">
        <f ca="1">IFERROR(IFERROR(IF(VLOOKUP($A106,'Шаг2.Бланк заказа NEW'!$B$17:$N$201,2,0)="","",VLOOKUP($A106,'Шаг2.Бланк заказа NEW'!$B$17:$N$201,2,0)),
IF(VLOOKUP($A106-COUNT('Шаг2.Бланк заказа NEW'!$B$19:$B$201),'Бланк OLD 0.8 04'!$B$12:$K$200,2,0)="","",VLOOKUP($A106-COUNT('Шаг2.Бланк заказа NEW'!$B$19:$B$201),'Бланк OLD 0.8 04'!$B$12:$K$200,2,0))),
IF(VLOOKUP($A106-COUNT('Шаг2.Бланк заказа NEW'!$B$19:$B$201)-COUNT('Бланк OLD 0.8 04'!$B$18:$B$200),'Бланк OLD 2.0 04 '!$B$16:$K$200,2,0)="","",VLOOKUP($A106-COUNT('Шаг2.Бланк заказа NEW'!$B$19:$B$201)-COUNT('Бланк OLD 0.8 04'!$B$18:$B$200),'Бланк OLD 2.0 04 '!$B$16:$K$200,2,0)))</f>
        <v/>
      </c>
      <c r="F106" s="147" t="str">
        <f ca="1">IFERROR(IFERROR(IF(VLOOKUP($A106,'Шаг2.Бланк заказа NEW'!$B$17:$N$201,3,0)="","",VLOOKUP($A106,'Шаг2.Бланк заказа NEW'!$B$17:$N$201,3,0)),
IF(VLOOKUP($A106-COUNT('Шаг2.Бланк заказа NEW'!$B$19:$B$201),'Бланк OLD 0.8 04'!$B$12:$K$200,3,0)="","",VLOOKUP($A106-COUNT('Шаг2.Бланк заказа NEW'!$B$19:$B$201),'Бланк OLD 0.8 04'!$B$12:$K$200,3,0))),
IF(VLOOKUP($A106-COUNT('Шаг2.Бланк заказа NEW'!$B$19:$B$201)-COUNT('Бланк OLD 0.8 04'!$B$18:$B$200),'Бланк OLD 2.0 04 '!$B$16:$K$200,3,0)="","",VLOOKUP($A106-COUNT('Шаг2.Бланк заказа NEW'!$B$19:$B$201)-COUNT('Бланк OLD 0.8 04'!$B$18:$B$200),'Бланк OLD 2.0 04 '!$B$16:$K$200,3,0)))</f>
        <v/>
      </c>
      <c r="G106" s="176" t="str">
        <f ca="1">IF(IF(R106="","",IF(R106=1,SUMIFS('Шаг1.Выбор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плиты'!C:Q,12,0)),1))))))=0,
R106,
IF(R106="","",IF(R106=1,SUMIFS('Шаг1.Выбор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плиты'!N:N,R106,'Шаг1.Выбор плиты'!M:M,SMALL(INDIRECT("мм"&amp;VLOOKUP(C106,'Шаг1.Выбор плиты'!C:Q,12,0)),1)))))))</f>
        <v/>
      </c>
      <c r="H106" s="177" t="str">
        <f ca="1">IF(IF(S106="","",IF(S106=1,SUMIFS('Шаг1.Выбор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плиты'!C:Q,12,0)),1))))))=0,
S106,
IF(S106="","",IF(S106=1,SUMIFS('Шаг1.Выбор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плиты'!N:N,S106,'Шаг1.Выбор плиты'!M:M,SMALL(INDIRECT("мм"&amp;VLOOKUP(C106,'Шаг1.Выбор плиты'!C:Q,12,0)),1)))))))</f>
        <v/>
      </c>
      <c r="I106" s="147" t="str">
        <f ca="1">IFERROR(IFERROR(IF(VLOOKUP($A106,'Шаг2.Бланк заказа NEW'!$B$17:$N$201,6,0)="","",VLOOKUP($A106,'Шаг2.Бланк заказа NEW'!$B$17:$N$201,6,0)),
IF(VLOOKUP($A106-COUNT('Шаг2.Бланк заказа NEW'!$B$19:$B$201),'Бланк OLD 0.8 04'!$B$12:$K$200,6,0)="","",VLOOKUP($A106-COUNT('Шаг2.Бланк заказа NEW'!$B$19:$B$201),'Бланк OLD 0.8 04'!$B$12:$K$200,6,0))),
IF(VLOOKUP($A106-COUNT('Шаг2.Бланк заказа NEW'!$B$19:$B$201)-COUNT('Бланк OLD 0.8 04'!$B$18:$B$200),'Бланк OLD 2.0 04 '!$B$16:$K$200,6,0)="","",VLOOKUP($A106-COUNT('Шаг2.Бланк заказа NEW'!$B$19:$B$201)-COUNT('Бланк OLD 0.8 04'!$B$18:$B$200),'Бланк OLD 2.0 04 '!$B$16:$K$200,6,0)))</f>
        <v/>
      </c>
      <c r="J106" s="177" t="str">
        <f ca="1">IF(IF(T106="","",IF(T106=1,SUMIFS('Шаг1.Выбор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плиты'!C:Q,12,0)),1))))))=0,
T106,
IF(T106="","",IF(T106=1,SUMIFS('Шаг1.Выбор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плиты'!N:N,T106,'Шаг1.Выбор плиты'!M:M,SMALL(INDIRECT("мм"&amp;VLOOKUP(C106,'Шаг1.Выбор плиты'!C:Q,12,0)),1)))))))</f>
        <v/>
      </c>
      <c r="K106" s="177" t="str">
        <f ca="1">IF(IF(U106="","",IF(U106=1,SUMIFS('Шаг1.Выбор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плиты'!C:Q,12,0)),1))))))=0,
U106,
IF(U106="","",IF(U106=1,SUMIFS('Шаг1.Выбор плиты'!$G:$G,'Шаг1.Выбор плиты'!J:J,"*"&amp;RIGHT(VLOOKUP(C106,'Шаг1.Выбор плиты'!C:Q,8,0),4),'Шаг1.Выбор плиты'!L:L,IF(MID(C106,1,6)="ЛДСП P","TM"&amp;MID(VLOOKUP(C106,'Шаг1.Выбор плиты'!C:Q,10,0),3,2),MID(VLOOKUP(C106,'Шаг1.Выбор плиты'!C:Q,10,0),1,2)),
'Шаг1.Выбор плиты'!N:N,1),IF(SUMIFS('Шаг1.Выбор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плиты'!C:Q,12,0)),1))=0,
IF(SUMIFS('Шаг1.Выбор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плиты'!C:Q,12,0)),2))=0,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плиты'!C:Q,12,0)),3)),
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плиты'!C:Q,12,0)),2))),
(SUMIFS('Шаг1.Выбор плиты'!$G:$G,'Шаг1.Выбор плиты'!J:J,"*"&amp;RIGHT(VLOOKUP(C106,'Шаг1.Выбор плиты'!C:Q,8,0),4),'Шаг1.Выбор плиты'!L:L,VLOOKUP(C106,'Шаг1.Выбор плиты'!C:Q,10,0),'Шаг1.Выбор плиты'!N:N,U106,'Шаг1.Выбор плиты'!M:M,SMALL(INDIRECT("мм"&amp;VLOOKUP(C106,'Шаг1.Выбор плиты'!C:Q,12,0)),1)))))))</f>
        <v/>
      </c>
      <c r="L106" s="147" t="str">
        <f ca="1">IFERROR(IFERROR(IF(VLOOKUP($A106,'Шаг2.Бланк заказа NEW'!$B$17:$N$201,9,0)="","",VLOOKUP($A106,'Шаг2.Бланк заказа NEW'!$B$17:$N$201,9,0)),
IF(VLOOKUP($A106-COUNT('Шаг2.Бланк заказа NEW'!$B$19:$B$201),'Бланк OLD 0.8 04'!$B$12:$K$200,9,0)="","",VLOOKUP($A106-COUNT('Шаг2.Бланк заказа NEW'!$B$19:$B$201),'Бланк OLD 0.8 04'!$B$12:$K$200,9,0))),
IF(VLOOKUP($A106-COUNT('Шаг2.Бланк заказа NEW'!$B$19:$B$201)-COUNT('Бланк OLD 0.8 04'!$B$18:$B$200),'Бланк OLD 2.0 04 '!$B$16:$K$200,9,0)="","",VLOOKUP($A106-COUNT('Шаг2.Бланк заказа NEW'!$B$19:$B$201)-COUNT('Бланк OLD 0.8 04'!$B$18:$B$200),'Бланк OLD 2.0 04 '!$B$16:$K$200,9,0)))</f>
        <v/>
      </c>
      <c r="M106" s="154" t="str">
        <f t="shared" ca="1" si="10"/>
        <v/>
      </c>
      <c r="N106" s="153" t="str">
        <f ca="1">IFERROR(IF(VLOOKUP($A106,'Шаг2.Бланк заказа NEW'!$B$17:$N$201,11,0)="","",VLOOKUP($A106,'Шаг2.Бланк заказа NEW'!$B$17:$N$201,11,0)),
"Нет")</f>
        <v/>
      </c>
      <c r="O106" s="147" t="str">
        <f ca="1">IFERROR(IF(VLOOKUP($A106,'Шаг2.Бланк заказа NEW'!$B$17:$N$201,11,0)="","",VLOOKUP($A106,'Шаг2.Бланк заказа NEW'!$B$17:$N$201,12,0)),
"Нет")</f>
        <v/>
      </c>
      <c r="P106" s="153" t="str">
        <f ca="1">IFERROR(IF(VLOOKUP($A106,'Шаг2.Бланк заказа NEW'!$B$17:$N$201,13,0)="","",VLOOKUP($A106,'Шаг2.Бланк заказа NEW'!$B$17:$N$201,13,0)),
"Нет")</f>
        <v/>
      </c>
      <c r="Q106" s="147" t="str">
        <f ca="1">IFERROR(IF(VLOOKUP($A106,'Шаг2.Бланк заказа NEW'!$B$17:$O$201,14,0)="","",VLOOKUP($A106,'Шаг2.Бланк заказа NEW'!$B$17:$O$201,14,0)),"")</f>
        <v/>
      </c>
      <c r="R106" s="147" t="str">
        <f ca="1">IFERROR(IFERROR(IF(VLOOKUP($A106,'Шаг2.Бланк заказа NEW'!$B$17:$N$201,4,0)="","",VLOOKUP($A106,'Шаг2.Бланк заказа NEW'!$B$17:$N$201,4,0)),
IF(VLOOKUP($A106-COUNT('Шаг2.Бланк заказа NEW'!$B$19:$B$201),'Бланк OLD 0.8 04'!$B$12:$K$200,4,0)&gt;0,0.8,
IF(VLOOKUP($A106-COUNT('Шаг2.Бланк заказа NEW'!$B$19:$B$201),'Бланк OLD 0.8 04'!$B$12:$K$200,5,0)&gt;0,0.4,""))),
IF(VLOOKUP($A106-COUNT('Шаг2.Бланк заказа NEW'!$B$19:$B$201)-COUNT('Бланк OLD 0.8 04'!$B$18:$B$200),'Бланк OLD 2.0 04 '!$B$16:$K$200,4,0)&gt;0,2,IF(VLOOKUP($A106-COUNT('Шаг2.Бланк заказа NEW'!$B$19:$B$201)-COUNT('Бланк OLD 0.8 04'!$B$18:$B$200),'Бланк OLD 2.0 04 '!$B$16:$K$200,5,0)&gt;0,0.4,"")))</f>
        <v/>
      </c>
      <c r="S106" s="147" t="str">
        <f ca="1">IFERROR(IFERROR(IF(VLOOKUP($A106,'Шаг2.Бланк заказа NEW'!$B$17:$N$201,5,0)="","",VLOOKUP($A106,'Шаг2.Бланк заказа NEW'!$B$17:$N$201,5,0)),
IF(VLOOKUP($A106-COUNT('Шаг2.Бланк заказа NEW'!$B$19:$B$201),'Бланк OLD 0.8 04'!$B$12:$K$200,4,0)&gt;1,0.8,
IF(VLOOKUP($A106-COUNT('Шаг2.Бланк заказа NEW'!$B$19:$B$201),'Бланк OLD 0.8 04'!$B$12:$K$200,5,0)&gt;1,0.4,
IF(AND(VLOOKUP($A106-COUNT('Шаг2.Бланк заказа NEW'!$B$19:$B$201),'Бланк OLD 0.8 04'!$B$12:$K$200,4,0)&gt;0,VLOOKUP($A106-COUNT('Шаг2.Бланк заказа NEW'!$B$19:$B$201),'Бланк OLD 0.8 04'!$B$12:$K$200,5,0)&gt;0),0.4,"")))),
IF(VLOOKUP($A106-COUNT('Шаг2.Бланк заказа NEW'!$B$19:$B$201)-COUNT('Бланк OLD 0.8 04'!$B$18:$B$200),'Бланк OLD 2.0 04 '!$B$16:$K$200,4,0)&gt;1,2,
IF(VLOOKUP($A106-COUNT('Шаг2.Бланк заказа NEW'!$B$19:$B$201)-COUNT('Бланк OLD 0.8 04'!$B$18:$B$200),'Бланк OLD 2.0 04 '!$B$16:$K$200,5,0)&gt;1,0.4,IF(AND(VLOOKUP($A106-COUNT('Шаг2.Бланк заказа NEW'!$B$19:$B$201)-COUNT('Бланк OLD 0.8 04'!$B$18:$B$200),'Бланк OLD 2.0 04 '!$B$16:$K$200,4,0)&gt;0,VLOOKUP($A106-COUNT('Шаг2.Бланк заказа NEW'!$B$19:$B$201)-COUNT('Бланк OLD 0.8 04'!$B$18:$B$200),'Бланк OLD 2.0 04 '!$B$16:$K$200,5,0)&gt;0),0.4,""))))</f>
        <v/>
      </c>
      <c r="T106" s="147" t="str">
        <f ca="1">IFERROR(IFERROR(IF(VLOOKUP($A106,'Шаг2.Бланк заказа NEW'!$B$17:$N$201,7,0)="","",VLOOKUP($A106,'Шаг2.Бланк заказа NEW'!$B$17:$N$201,7,0)),
IF(VLOOKUP($A106-COUNT('Шаг2.Бланк заказа NEW'!$B$19:$B$201),'Бланк OLD 0.8 04'!$B$12:$K$200,7,0)&gt;0,0.8,
IF(VLOOKUP($A106-COUNT('Шаг2.Бланк заказа NEW'!$B$19:$B$201),'Бланк OLD 0.8 04'!$B$12:$K$200,8,0)&gt;0,0.4,""))),
IF(VLOOKUP($A106-COUNT('Шаг2.Бланк заказа NEW'!$B$19:$B$201)-COUNT('Бланк OLD 0.8 04'!$B$18:$B$200),'Бланк OLD 2.0 04 '!$B$16:$K$200,7,0)&gt;0,2,IF(VLOOKUP($A106-COUNT('Шаг2.Бланк заказа NEW'!$B$19:$B$201)-COUNT('Бланк OLD 0.8 04'!$B$18:$B$200),'Бланк OLD 2.0 04 '!$B$16:$K$200,8,0)&gt;0,0.4,"")))</f>
        <v/>
      </c>
      <c r="U106" s="147" t="str">
        <f ca="1">IFERROR(IFERROR(IF(VLOOKUP($A106,'Шаг2.Бланк заказа NEW'!$B$17:$N$201,8,0)="","",VLOOKUP($A106,'Шаг2.Бланк заказа NEW'!$B$17:$N$201,8,0)),
IF(VLOOKUP($A106-COUNT('Шаг2.Бланк заказа NEW'!$B$19:$B$201),'Бланк OLD 0.8 04'!$B$12:$K$200,7,0)&gt;1,0.8,
IF(VLOOKUP($A106-COUNT('Шаг2.Бланк заказа NEW'!$B$19:$B$201),'Бланк OLD 0.8 04'!$B$12:$K$200,8,0)&gt;1,0.4,
IF(AND(VLOOKUP($A106-COUNT('Шаг2.Бланк заказа NEW'!$B$19:$B$201),'Бланк OLD 0.8 04'!$B$12:$K$200,7,0)&gt;0,VLOOKUP($A106-COUNT('Шаг2.Бланк заказа NEW'!$B$19:$B$201),'Бланк OLD 0.8 04'!$B$12:$K$200,8,0)&gt;0),0.4,"")))),
IF(VLOOKUP($A106-COUNT('Шаг2.Бланк заказа NEW'!$B$19:$B$201)-COUNT('Бланк OLD 0.8 04'!$B$18:$B$200),'Бланк OLD 2.0 04 '!$B$16:$K$200,7,0)&gt;1,2,
IF(VLOOKUP($A106-COUNT('Шаг2.Бланк заказа NEW'!$B$19:$B$201)-COUNT('Бланк OLD 0.8 04'!$B$18:$B$200),'Бланк OLD 2.0 04 '!$B$16:$K$200,8,0)&gt;1,0.4,
IF(AND(VLOOKUP($A106-COUNT('Шаг2.Бланк заказа NEW'!$B$19:$B$201)-COUNT('Бланк OLD 0.8 04'!$B$18:$B$200),'Бланк OLD 2.0 04 '!$B$16:$K$200,7,0)&gt;0,VLOOKUP($A106-COUNT('Шаг2.Бланк заказа NEW'!$B$19:$B$201)-COUNT('Бланк OLD 0.8 04'!$B$18:$B$200),'Бланк OLD 2.0 04 '!$B$16:$K$200,8,0)&gt;0),0.4,""))))</f>
        <v/>
      </c>
      <c r="V106" s="146" t="str">
        <f ca="1">IFERROR(VLOOKUP(C106,'Шаг1.Выбор плиты'!C:S,12,0),"")</f>
        <v/>
      </c>
      <c r="W106" s="146" t="str">
        <f ca="1">IFERROR(VLOOKUP(C106,'Шаг1.Выбор плиты'!C:S,8,0),"")</f>
        <v/>
      </c>
      <c r="X106" s="146" t="str">
        <f ca="1">IFERROR(VLOOKUP(C106,'Шаг1.Выбор плиты'!C:S,10,0),"")</f>
        <v/>
      </c>
      <c r="Y106" s="147" t="str">
        <f t="shared" ca="1" si="8"/>
        <v/>
      </c>
      <c r="AD106" s="147" t="str">
        <f t="shared" ca="1" si="11"/>
        <v/>
      </c>
      <c r="AE106" s="147" t="str">
        <f t="shared" ca="1" si="9"/>
        <v/>
      </c>
      <c r="AF106" s="25"/>
      <c r="AH106" s="147" t="str">
        <f ca="1">IF(C106="","",VLOOKUP(C106,'Шаг1.Выбор плиты'!C:Q,7,0))</f>
        <v/>
      </c>
      <c r="AI106" s="147" t="str">
        <f t="shared" ca="1" si="12"/>
        <v/>
      </c>
    </row>
    <row r="107" spans="1:35" x14ac:dyDescent="0.2">
      <c r="A107" s="151" t="str">
        <f ca="1">IF(C107="","",MAX($A$1:OFFSET(C107,-1,0))+1)</f>
        <v/>
      </c>
      <c r="B107" s="151" t="str">
        <f ca="1">IFERROR(IFERROR(IFERROR("Шаг2.Бланк заказа NEW №"&amp;VLOOKUP(A106+1,CHOOSE({1,2},'Шаг2.Бланк заказа NEW'!$B$19:$B$201,'Шаг2.Бланк заказа NEW'!$A$19:$A$201),1,0),
"Бланк OLD 0.8 04 №"&amp;VLOOKUP(A106+1-COUNT('Шаг2.Бланк заказа NEW'!$B$19:$B$201),CHOOSE({1,2},'Бланк OLD 0.8 04'!$B$18:$B$200,'Бланк OLD 0.8 04'!$A$18:$A$200),1,0)),
"Бланк OLD 2.0 04 №"&amp;VLOOKUP(A106+1-COUNT('Шаг2.Бланк заказа NEW'!$B$19:$B$201)-COUNT('Бланк OLD 0.8 04'!$B$18:$B$200),CHOOSE({1,2},'Бланк OLD 2.0 04 '!$B$18:$B$200,'Бланк OLD 2.0 04 '!$A$18:$A$200),1,0)),"")</f>
        <v/>
      </c>
      <c r="C107" s="152" t="str">
        <f ca="1">IFERROR(IFERROR(IFERROR(VLOOKUP(A106+1,CHOOSE({1,2},'Шаг2.Бланк заказа NEW'!$B$19:$B$201,'Шаг2.Бланк заказа NEW'!$A$19:$A$201),2,0),
VLOOKUP(A106+1-COUNT('Шаг2.Бланк заказа NEW'!$B$19:$B$201),CHOOSE({1,2},'Бланк OLD 0.8 04'!$B$18:$B$200,'Бланк OLD 0.8 04'!$A$18:$A$200),2,0)),
VLOOKUP(A106+1-COUNT('Шаг2.Бланк заказа NEW'!$B$19:$B$201)-COUNT('Бланк OLD 0.8 04'!$B$18:$B$200),CHOOSE({1,2},'Бланк OLD 2.0 04 '!$B$18:$B$200,'Бланк OLD 2.0 04 '!$A$18:$A$200),2,0)),"")</f>
        <v/>
      </c>
      <c r="D107" s="150" t="str">
        <f ca="1">IFERROR(VLOOKUP(C107,'Шаг1.Выбор плиты'!C:G,5,0),"")</f>
        <v/>
      </c>
      <c r="E107" s="147" t="str">
        <f ca="1">IFERROR(IFERROR(IF(VLOOKUP($A107,'Шаг2.Бланк заказа NEW'!$B$17:$N$201,2,0)="","",VLOOKUP($A107,'Шаг2.Бланк заказа NEW'!$B$17:$N$201,2,0)),
IF(VLOOKUP($A107-COUNT('Шаг2.Бланк заказа NEW'!$B$19:$B$201),'Бланк OLD 0.8 04'!$B$12:$K$200,2,0)="","",VLOOKUP($A107-COUNT('Шаг2.Бланк заказа NEW'!$B$19:$B$201),'Бланк OLD 0.8 04'!$B$12:$K$200,2,0))),
IF(VLOOKUP($A107-COUNT('Шаг2.Бланк заказа NEW'!$B$19:$B$201)-COUNT('Бланк OLD 0.8 04'!$B$18:$B$200),'Бланк OLD 2.0 04 '!$B$16:$K$200,2,0)="","",VLOOKUP($A107-COUNT('Шаг2.Бланк заказа NEW'!$B$19:$B$201)-COUNT('Бланк OLD 0.8 04'!$B$18:$B$200),'Бланк OLD 2.0 04 '!$B$16:$K$200,2,0)))</f>
        <v/>
      </c>
      <c r="F107" s="147" t="str">
        <f ca="1">IFERROR(IFERROR(IF(VLOOKUP($A107,'Шаг2.Бланк заказа NEW'!$B$17:$N$201,3,0)="","",VLOOKUP($A107,'Шаг2.Бланк заказа NEW'!$B$17:$N$201,3,0)),
IF(VLOOKUP($A107-COUNT('Шаг2.Бланк заказа NEW'!$B$19:$B$201),'Бланк OLD 0.8 04'!$B$12:$K$200,3,0)="","",VLOOKUP($A107-COUNT('Шаг2.Бланк заказа NEW'!$B$19:$B$201),'Бланк OLD 0.8 04'!$B$12:$K$200,3,0))),
IF(VLOOKUP($A107-COUNT('Шаг2.Бланк заказа NEW'!$B$19:$B$201)-COUNT('Бланк OLD 0.8 04'!$B$18:$B$200),'Бланк OLD 2.0 04 '!$B$16:$K$200,3,0)="","",VLOOKUP($A107-COUNT('Шаг2.Бланк заказа NEW'!$B$19:$B$201)-COUNT('Бланк OLD 0.8 04'!$B$18:$B$200),'Бланк OLD 2.0 04 '!$B$16:$K$200,3,0)))</f>
        <v/>
      </c>
      <c r="G107" s="176" t="str">
        <f ca="1">IF(IF(R107="","",IF(R107=1,SUMIFS('Шаг1.Выбор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плиты'!C:Q,12,0)),1))))))=0,
R107,
IF(R107="","",IF(R107=1,SUMIFS('Шаг1.Выбор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плиты'!N:N,R107,'Шаг1.Выбор плиты'!M:M,SMALL(INDIRECT("мм"&amp;VLOOKUP(C107,'Шаг1.Выбор плиты'!C:Q,12,0)),1)))))))</f>
        <v/>
      </c>
      <c r="H107" s="177" t="str">
        <f ca="1">IF(IF(S107="","",IF(S107=1,SUMIFS('Шаг1.Выбор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плиты'!C:Q,12,0)),1))))))=0,
S107,
IF(S107="","",IF(S107=1,SUMIFS('Шаг1.Выбор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плиты'!N:N,S107,'Шаг1.Выбор плиты'!M:M,SMALL(INDIRECT("мм"&amp;VLOOKUP(C107,'Шаг1.Выбор плиты'!C:Q,12,0)),1)))))))</f>
        <v/>
      </c>
      <c r="I107" s="147" t="str">
        <f ca="1">IFERROR(IFERROR(IF(VLOOKUP($A107,'Шаг2.Бланк заказа NEW'!$B$17:$N$201,6,0)="","",VLOOKUP($A107,'Шаг2.Бланк заказа NEW'!$B$17:$N$201,6,0)),
IF(VLOOKUP($A107-COUNT('Шаг2.Бланк заказа NEW'!$B$19:$B$201),'Бланк OLD 0.8 04'!$B$12:$K$200,6,0)="","",VLOOKUP($A107-COUNT('Шаг2.Бланк заказа NEW'!$B$19:$B$201),'Бланк OLD 0.8 04'!$B$12:$K$200,6,0))),
IF(VLOOKUP($A107-COUNT('Шаг2.Бланк заказа NEW'!$B$19:$B$201)-COUNT('Бланк OLD 0.8 04'!$B$18:$B$200),'Бланк OLD 2.0 04 '!$B$16:$K$200,6,0)="","",VLOOKUP($A107-COUNT('Шаг2.Бланк заказа NEW'!$B$19:$B$201)-COUNT('Бланк OLD 0.8 04'!$B$18:$B$200),'Бланк OLD 2.0 04 '!$B$16:$K$200,6,0)))</f>
        <v/>
      </c>
      <c r="J107" s="177" t="str">
        <f ca="1">IF(IF(T107="","",IF(T107=1,SUMIFS('Шаг1.Выбор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плиты'!C:Q,12,0)),1))))))=0,
T107,
IF(T107="","",IF(T107=1,SUMIFS('Шаг1.Выбор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плиты'!N:N,T107,'Шаг1.Выбор плиты'!M:M,SMALL(INDIRECT("мм"&amp;VLOOKUP(C107,'Шаг1.Выбор плиты'!C:Q,12,0)),1)))))))</f>
        <v/>
      </c>
      <c r="K107" s="177" t="str">
        <f ca="1">IF(IF(U107="","",IF(U107=1,SUMIFS('Шаг1.Выбор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плиты'!C:Q,12,0)),1))))))=0,
U107,
IF(U107="","",IF(U107=1,SUMIFS('Шаг1.Выбор плиты'!$G:$G,'Шаг1.Выбор плиты'!J:J,"*"&amp;RIGHT(VLOOKUP(C107,'Шаг1.Выбор плиты'!C:Q,8,0),4),'Шаг1.Выбор плиты'!L:L,IF(MID(C107,1,6)="ЛДСП P","TM"&amp;MID(VLOOKUP(C107,'Шаг1.Выбор плиты'!C:Q,10,0),3,2),MID(VLOOKUP(C107,'Шаг1.Выбор плиты'!C:Q,10,0),1,2)),
'Шаг1.Выбор плиты'!N:N,1),IF(SUMIFS('Шаг1.Выбор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плиты'!C:Q,12,0)),1))=0,
IF(SUMIFS('Шаг1.Выбор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плиты'!C:Q,12,0)),2))=0,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плиты'!C:Q,12,0)),3)),
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плиты'!C:Q,12,0)),2))),
(SUMIFS('Шаг1.Выбор плиты'!$G:$G,'Шаг1.Выбор плиты'!J:J,"*"&amp;RIGHT(VLOOKUP(C107,'Шаг1.Выбор плиты'!C:Q,8,0),4),'Шаг1.Выбор плиты'!L:L,VLOOKUP(C107,'Шаг1.Выбор плиты'!C:Q,10,0),'Шаг1.Выбор плиты'!N:N,U107,'Шаг1.Выбор плиты'!M:M,SMALL(INDIRECT("мм"&amp;VLOOKUP(C107,'Шаг1.Выбор плиты'!C:Q,12,0)),1)))))))</f>
        <v/>
      </c>
      <c r="L107" s="147" t="str">
        <f ca="1">IFERROR(IFERROR(IF(VLOOKUP($A107,'Шаг2.Бланк заказа NEW'!$B$17:$N$201,9,0)="","",VLOOKUP($A107,'Шаг2.Бланк заказа NEW'!$B$17:$N$201,9,0)),
IF(VLOOKUP($A107-COUNT('Шаг2.Бланк заказа NEW'!$B$19:$B$201),'Бланк OLD 0.8 04'!$B$12:$K$200,9,0)="","",VLOOKUP($A107-COUNT('Шаг2.Бланк заказа NEW'!$B$19:$B$201),'Бланк OLD 0.8 04'!$B$12:$K$200,9,0))),
IF(VLOOKUP($A107-COUNT('Шаг2.Бланк заказа NEW'!$B$19:$B$201)-COUNT('Бланк OLD 0.8 04'!$B$18:$B$200),'Бланк OLD 2.0 04 '!$B$16:$K$200,9,0)="","",VLOOKUP($A107-COUNT('Шаг2.Бланк заказа NEW'!$B$19:$B$201)-COUNT('Бланк OLD 0.8 04'!$B$18:$B$200),'Бланк OLD 2.0 04 '!$B$16:$K$200,9,0)))</f>
        <v/>
      </c>
      <c r="M107" s="154" t="str">
        <f t="shared" ca="1" si="10"/>
        <v/>
      </c>
      <c r="N107" s="153" t="str">
        <f ca="1">IFERROR(IF(VLOOKUP($A107,'Шаг2.Бланк заказа NEW'!$B$17:$N$201,11,0)="","",VLOOKUP($A107,'Шаг2.Бланк заказа NEW'!$B$17:$N$201,11,0)),
"Нет")</f>
        <v/>
      </c>
      <c r="O107" s="147" t="str">
        <f ca="1">IFERROR(IF(VLOOKUP($A107,'Шаг2.Бланк заказа NEW'!$B$17:$N$201,11,0)="","",VLOOKUP($A107,'Шаг2.Бланк заказа NEW'!$B$17:$N$201,12,0)),
"Нет")</f>
        <v/>
      </c>
      <c r="P107" s="153" t="str">
        <f ca="1">IFERROR(IF(VLOOKUP($A107,'Шаг2.Бланк заказа NEW'!$B$17:$N$201,13,0)="","",VLOOKUP($A107,'Шаг2.Бланк заказа NEW'!$B$17:$N$201,13,0)),
"Нет")</f>
        <v/>
      </c>
      <c r="Q107" s="147" t="str">
        <f ca="1">IFERROR(IF(VLOOKUP($A107,'Шаг2.Бланк заказа NEW'!$B$17:$O$201,14,0)="","",VLOOKUP($A107,'Шаг2.Бланк заказа NEW'!$B$17:$O$201,14,0)),"")</f>
        <v/>
      </c>
      <c r="R107" s="147" t="str">
        <f ca="1">IFERROR(IFERROR(IF(VLOOKUP($A107,'Шаг2.Бланк заказа NEW'!$B$17:$N$201,4,0)="","",VLOOKUP($A107,'Шаг2.Бланк заказа NEW'!$B$17:$N$201,4,0)),
IF(VLOOKUP($A107-COUNT('Шаг2.Бланк заказа NEW'!$B$19:$B$201),'Бланк OLD 0.8 04'!$B$12:$K$200,4,0)&gt;0,0.8,
IF(VLOOKUP($A107-COUNT('Шаг2.Бланк заказа NEW'!$B$19:$B$201),'Бланк OLD 0.8 04'!$B$12:$K$200,5,0)&gt;0,0.4,""))),
IF(VLOOKUP($A107-COUNT('Шаг2.Бланк заказа NEW'!$B$19:$B$201)-COUNT('Бланк OLD 0.8 04'!$B$18:$B$200),'Бланк OLD 2.0 04 '!$B$16:$K$200,4,0)&gt;0,2,IF(VLOOKUP($A107-COUNT('Шаг2.Бланк заказа NEW'!$B$19:$B$201)-COUNT('Бланк OLD 0.8 04'!$B$18:$B$200),'Бланк OLD 2.0 04 '!$B$16:$K$200,5,0)&gt;0,0.4,"")))</f>
        <v/>
      </c>
      <c r="S107" s="147" t="str">
        <f ca="1">IFERROR(IFERROR(IF(VLOOKUP($A107,'Шаг2.Бланк заказа NEW'!$B$17:$N$201,5,0)="","",VLOOKUP($A107,'Шаг2.Бланк заказа NEW'!$B$17:$N$201,5,0)),
IF(VLOOKUP($A107-COUNT('Шаг2.Бланк заказа NEW'!$B$19:$B$201),'Бланк OLD 0.8 04'!$B$12:$K$200,4,0)&gt;1,0.8,
IF(VLOOKUP($A107-COUNT('Шаг2.Бланк заказа NEW'!$B$19:$B$201),'Бланк OLD 0.8 04'!$B$12:$K$200,5,0)&gt;1,0.4,
IF(AND(VLOOKUP($A107-COUNT('Шаг2.Бланк заказа NEW'!$B$19:$B$201),'Бланк OLD 0.8 04'!$B$12:$K$200,4,0)&gt;0,VLOOKUP($A107-COUNT('Шаг2.Бланк заказа NEW'!$B$19:$B$201),'Бланк OLD 0.8 04'!$B$12:$K$200,5,0)&gt;0),0.4,"")))),
IF(VLOOKUP($A107-COUNT('Шаг2.Бланк заказа NEW'!$B$19:$B$201)-COUNT('Бланк OLD 0.8 04'!$B$18:$B$200),'Бланк OLD 2.0 04 '!$B$16:$K$200,4,0)&gt;1,2,
IF(VLOOKUP($A107-COUNT('Шаг2.Бланк заказа NEW'!$B$19:$B$201)-COUNT('Бланк OLD 0.8 04'!$B$18:$B$200),'Бланк OLD 2.0 04 '!$B$16:$K$200,5,0)&gt;1,0.4,IF(AND(VLOOKUP($A107-COUNT('Шаг2.Бланк заказа NEW'!$B$19:$B$201)-COUNT('Бланк OLD 0.8 04'!$B$18:$B$200),'Бланк OLD 2.0 04 '!$B$16:$K$200,4,0)&gt;0,VLOOKUP($A107-COUNT('Шаг2.Бланк заказа NEW'!$B$19:$B$201)-COUNT('Бланк OLD 0.8 04'!$B$18:$B$200),'Бланк OLD 2.0 04 '!$B$16:$K$200,5,0)&gt;0),0.4,""))))</f>
        <v/>
      </c>
      <c r="T107" s="147" t="str">
        <f ca="1">IFERROR(IFERROR(IF(VLOOKUP($A107,'Шаг2.Бланк заказа NEW'!$B$17:$N$201,7,0)="","",VLOOKUP($A107,'Шаг2.Бланк заказа NEW'!$B$17:$N$201,7,0)),
IF(VLOOKUP($A107-COUNT('Шаг2.Бланк заказа NEW'!$B$19:$B$201),'Бланк OLD 0.8 04'!$B$12:$K$200,7,0)&gt;0,0.8,
IF(VLOOKUP($A107-COUNT('Шаг2.Бланк заказа NEW'!$B$19:$B$201),'Бланк OLD 0.8 04'!$B$12:$K$200,8,0)&gt;0,0.4,""))),
IF(VLOOKUP($A107-COUNT('Шаг2.Бланк заказа NEW'!$B$19:$B$201)-COUNT('Бланк OLD 0.8 04'!$B$18:$B$200),'Бланк OLD 2.0 04 '!$B$16:$K$200,7,0)&gt;0,2,IF(VLOOKUP($A107-COUNT('Шаг2.Бланк заказа NEW'!$B$19:$B$201)-COUNT('Бланк OLD 0.8 04'!$B$18:$B$200),'Бланк OLD 2.0 04 '!$B$16:$K$200,8,0)&gt;0,0.4,"")))</f>
        <v/>
      </c>
      <c r="U107" s="147" t="str">
        <f ca="1">IFERROR(IFERROR(IF(VLOOKUP($A107,'Шаг2.Бланк заказа NEW'!$B$17:$N$201,8,0)="","",VLOOKUP($A107,'Шаг2.Бланк заказа NEW'!$B$17:$N$201,8,0)),
IF(VLOOKUP($A107-COUNT('Шаг2.Бланк заказа NEW'!$B$19:$B$201),'Бланк OLD 0.8 04'!$B$12:$K$200,7,0)&gt;1,0.8,
IF(VLOOKUP($A107-COUNT('Шаг2.Бланк заказа NEW'!$B$19:$B$201),'Бланк OLD 0.8 04'!$B$12:$K$200,8,0)&gt;1,0.4,
IF(AND(VLOOKUP($A107-COUNT('Шаг2.Бланк заказа NEW'!$B$19:$B$201),'Бланк OLD 0.8 04'!$B$12:$K$200,7,0)&gt;0,VLOOKUP($A107-COUNT('Шаг2.Бланк заказа NEW'!$B$19:$B$201),'Бланк OLD 0.8 04'!$B$12:$K$200,8,0)&gt;0),0.4,"")))),
IF(VLOOKUP($A107-COUNT('Шаг2.Бланк заказа NEW'!$B$19:$B$201)-COUNT('Бланк OLD 0.8 04'!$B$18:$B$200),'Бланк OLD 2.0 04 '!$B$16:$K$200,7,0)&gt;1,2,
IF(VLOOKUP($A107-COUNT('Шаг2.Бланк заказа NEW'!$B$19:$B$201)-COUNT('Бланк OLD 0.8 04'!$B$18:$B$200),'Бланк OLD 2.0 04 '!$B$16:$K$200,8,0)&gt;1,0.4,
IF(AND(VLOOKUP($A107-COUNT('Шаг2.Бланк заказа NEW'!$B$19:$B$201)-COUNT('Бланк OLD 0.8 04'!$B$18:$B$200),'Бланк OLD 2.0 04 '!$B$16:$K$200,7,0)&gt;0,VLOOKUP($A107-COUNT('Шаг2.Бланк заказа NEW'!$B$19:$B$201)-COUNT('Бланк OLD 0.8 04'!$B$18:$B$200),'Бланк OLD 2.0 04 '!$B$16:$K$200,8,0)&gt;0),0.4,""))))</f>
        <v/>
      </c>
      <c r="V107" s="146" t="str">
        <f ca="1">IFERROR(VLOOKUP(C107,'Шаг1.Выбор плиты'!C:S,12,0),"")</f>
        <v/>
      </c>
      <c r="W107" s="146" t="str">
        <f ca="1">IFERROR(VLOOKUP(C107,'Шаг1.Выбор плиты'!C:S,8,0),"")</f>
        <v/>
      </c>
      <c r="X107" s="146" t="str">
        <f ca="1">IFERROR(VLOOKUP(C107,'Шаг1.Выбор плиты'!C:S,10,0),"")</f>
        <v/>
      </c>
      <c r="Y107" s="147" t="str">
        <f t="shared" ca="1" si="8"/>
        <v/>
      </c>
      <c r="AD107" s="147" t="str">
        <f t="shared" ca="1" si="11"/>
        <v/>
      </c>
      <c r="AE107" s="147" t="str">
        <f t="shared" ca="1" si="9"/>
        <v/>
      </c>
      <c r="AF107" s="25"/>
      <c r="AH107" s="147" t="str">
        <f ca="1">IF(C107="","",VLOOKUP(C107,'Шаг1.Выбор плиты'!C:Q,7,0))</f>
        <v/>
      </c>
      <c r="AI107" s="147" t="str">
        <f t="shared" ca="1" si="12"/>
        <v/>
      </c>
    </row>
    <row r="108" spans="1:35" x14ac:dyDescent="0.2">
      <c r="A108" s="151" t="str">
        <f ca="1">IF(C108="","",MAX($A$1:OFFSET(C108,-1,0))+1)</f>
        <v/>
      </c>
      <c r="B108" s="151" t="str">
        <f ca="1">IFERROR(IFERROR(IFERROR("Шаг2.Бланк заказа NEW №"&amp;VLOOKUP(A107+1,CHOOSE({1,2},'Шаг2.Бланк заказа NEW'!$B$19:$B$201,'Шаг2.Бланк заказа NEW'!$A$19:$A$201),1,0),
"Бланк OLD 0.8 04 №"&amp;VLOOKUP(A107+1-COUNT('Шаг2.Бланк заказа NEW'!$B$19:$B$201),CHOOSE({1,2},'Бланк OLD 0.8 04'!$B$18:$B$200,'Бланк OLD 0.8 04'!$A$18:$A$200),1,0)),
"Бланк OLD 2.0 04 №"&amp;VLOOKUP(A107+1-COUNT('Шаг2.Бланк заказа NEW'!$B$19:$B$201)-COUNT('Бланк OLD 0.8 04'!$B$18:$B$200),CHOOSE({1,2},'Бланк OLD 2.0 04 '!$B$18:$B$200,'Бланк OLD 2.0 04 '!$A$18:$A$200),1,0)),"")</f>
        <v/>
      </c>
      <c r="C108" s="152" t="str">
        <f ca="1">IFERROR(IFERROR(IFERROR(VLOOKUP(A107+1,CHOOSE({1,2},'Шаг2.Бланк заказа NEW'!$B$19:$B$201,'Шаг2.Бланк заказа NEW'!$A$19:$A$201),2,0),
VLOOKUP(A107+1-COUNT('Шаг2.Бланк заказа NEW'!$B$19:$B$201),CHOOSE({1,2},'Бланк OLD 0.8 04'!$B$18:$B$200,'Бланк OLD 0.8 04'!$A$18:$A$200),2,0)),
VLOOKUP(A107+1-COUNT('Шаг2.Бланк заказа NEW'!$B$19:$B$201)-COUNT('Бланк OLD 0.8 04'!$B$18:$B$200),CHOOSE({1,2},'Бланк OLD 2.0 04 '!$B$18:$B$200,'Бланк OLD 2.0 04 '!$A$18:$A$200),2,0)),"")</f>
        <v/>
      </c>
      <c r="D108" s="150" t="str">
        <f ca="1">IFERROR(VLOOKUP(C108,'Шаг1.Выбор плиты'!C:G,5,0),"")</f>
        <v/>
      </c>
      <c r="E108" s="147" t="str">
        <f ca="1">IFERROR(IFERROR(IF(VLOOKUP($A108,'Шаг2.Бланк заказа NEW'!$B$17:$N$201,2,0)="","",VLOOKUP($A108,'Шаг2.Бланк заказа NEW'!$B$17:$N$201,2,0)),
IF(VLOOKUP($A108-COUNT('Шаг2.Бланк заказа NEW'!$B$19:$B$201),'Бланк OLD 0.8 04'!$B$12:$K$200,2,0)="","",VLOOKUP($A108-COUNT('Шаг2.Бланк заказа NEW'!$B$19:$B$201),'Бланк OLD 0.8 04'!$B$12:$K$200,2,0))),
IF(VLOOKUP($A108-COUNT('Шаг2.Бланк заказа NEW'!$B$19:$B$201)-COUNT('Бланк OLD 0.8 04'!$B$18:$B$200),'Бланк OLD 2.0 04 '!$B$16:$K$200,2,0)="","",VLOOKUP($A108-COUNT('Шаг2.Бланк заказа NEW'!$B$19:$B$201)-COUNT('Бланк OLD 0.8 04'!$B$18:$B$200),'Бланк OLD 2.0 04 '!$B$16:$K$200,2,0)))</f>
        <v/>
      </c>
      <c r="F108" s="147" t="str">
        <f ca="1">IFERROR(IFERROR(IF(VLOOKUP($A108,'Шаг2.Бланк заказа NEW'!$B$17:$N$201,3,0)="","",VLOOKUP($A108,'Шаг2.Бланк заказа NEW'!$B$17:$N$201,3,0)),
IF(VLOOKUP($A108-COUNT('Шаг2.Бланк заказа NEW'!$B$19:$B$201),'Бланк OLD 0.8 04'!$B$12:$K$200,3,0)="","",VLOOKUP($A108-COUNT('Шаг2.Бланк заказа NEW'!$B$19:$B$201),'Бланк OLD 0.8 04'!$B$12:$K$200,3,0))),
IF(VLOOKUP($A108-COUNT('Шаг2.Бланк заказа NEW'!$B$19:$B$201)-COUNT('Бланк OLD 0.8 04'!$B$18:$B$200),'Бланк OLD 2.0 04 '!$B$16:$K$200,3,0)="","",VLOOKUP($A108-COUNT('Шаг2.Бланк заказа NEW'!$B$19:$B$201)-COUNT('Бланк OLD 0.8 04'!$B$18:$B$200),'Бланк OLD 2.0 04 '!$B$16:$K$200,3,0)))</f>
        <v/>
      </c>
      <c r="G108" s="176" t="str">
        <f ca="1">IF(IF(R108="","",IF(R108=1,SUMIFS('Шаг1.Выбор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плиты'!C:Q,12,0)),1))))))=0,
R108,
IF(R108="","",IF(R108=1,SUMIFS('Шаг1.Выбор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плиты'!N:N,R108,'Шаг1.Выбор плиты'!M:M,SMALL(INDIRECT("мм"&amp;VLOOKUP(C108,'Шаг1.Выбор плиты'!C:Q,12,0)),1)))))))</f>
        <v/>
      </c>
      <c r="H108" s="177" t="str">
        <f ca="1">IF(IF(S108="","",IF(S108=1,SUMIFS('Шаг1.Выбор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плиты'!C:Q,12,0)),1))))))=0,
S108,
IF(S108="","",IF(S108=1,SUMIFS('Шаг1.Выбор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плиты'!N:N,S108,'Шаг1.Выбор плиты'!M:M,SMALL(INDIRECT("мм"&amp;VLOOKUP(C108,'Шаг1.Выбор плиты'!C:Q,12,0)),1)))))))</f>
        <v/>
      </c>
      <c r="I108" s="147" t="str">
        <f ca="1">IFERROR(IFERROR(IF(VLOOKUP($A108,'Шаг2.Бланк заказа NEW'!$B$17:$N$201,6,0)="","",VLOOKUP($A108,'Шаг2.Бланк заказа NEW'!$B$17:$N$201,6,0)),
IF(VLOOKUP($A108-COUNT('Шаг2.Бланк заказа NEW'!$B$19:$B$201),'Бланк OLD 0.8 04'!$B$12:$K$200,6,0)="","",VLOOKUP($A108-COUNT('Шаг2.Бланк заказа NEW'!$B$19:$B$201),'Бланк OLD 0.8 04'!$B$12:$K$200,6,0))),
IF(VLOOKUP($A108-COUNT('Шаг2.Бланк заказа NEW'!$B$19:$B$201)-COUNT('Бланк OLD 0.8 04'!$B$18:$B$200),'Бланк OLD 2.0 04 '!$B$16:$K$200,6,0)="","",VLOOKUP($A108-COUNT('Шаг2.Бланк заказа NEW'!$B$19:$B$201)-COUNT('Бланк OLD 0.8 04'!$B$18:$B$200),'Бланк OLD 2.0 04 '!$B$16:$K$200,6,0)))</f>
        <v/>
      </c>
      <c r="J108" s="177" t="str">
        <f ca="1">IF(IF(T108="","",IF(T108=1,SUMIFS('Шаг1.Выбор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плиты'!C:Q,12,0)),1))))))=0,
T108,
IF(T108="","",IF(T108=1,SUMIFS('Шаг1.Выбор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плиты'!N:N,T108,'Шаг1.Выбор плиты'!M:M,SMALL(INDIRECT("мм"&amp;VLOOKUP(C108,'Шаг1.Выбор плиты'!C:Q,12,0)),1)))))))</f>
        <v/>
      </c>
      <c r="K108" s="177" t="str">
        <f ca="1">IF(IF(U108="","",IF(U108=1,SUMIFS('Шаг1.Выбор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плиты'!C:Q,12,0)),1))))))=0,
U108,
IF(U108="","",IF(U108=1,SUMIFS('Шаг1.Выбор плиты'!$G:$G,'Шаг1.Выбор плиты'!J:J,"*"&amp;RIGHT(VLOOKUP(C108,'Шаг1.Выбор плиты'!C:Q,8,0),4),'Шаг1.Выбор плиты'!L:L,IF(MID(C108,1,6)="ЛДСП P","TM"&amp;MID(VLOOKUP(C108,'Шаг1.Выбор плиты'!C:Q,10,0),3,2),MID(VLOOKUP(C108,'Шаг1.Выбор плиты'!C:Q,10,0),1,2)),
'Шаг1.Выбор плиты'!N:N,1),IF(SUMIFS('Шаг1.Выбор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плиты'!C:Q,12,0)),1))=0,
IF(SUMIFS('Шаг1.Выбор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плиты'!C:Q,12,0)),2))=0,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плиты'!C:Q,12,0)),3)),
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плиты'!C:Q,12,0)),2))),
(SUMIFS('Шаг1.Выбор плиты'!$G:$G,'Шаг1.Выбор плиты'!J:J,"*"&amp;RIGHT(VLOOKUP(C108,'Шаг1.Выбор плиты'!C:Q,8,0),4),'Шаг1.Выбор плиты'!L:L,VLOOKUP(C108,'Шаг1.Выбор плиты'!C:Q,10,0),'Шаг1.Выбор плиты'!N:N,U108,'Шаг1.Выбор плиты'!M:M,SMALL(INDIRECT("мм"&amp;VLOOKUP(C108,'Шаг1.Выбор плиты'!C:Q,12,0)),1)))))))</f>
        <v/>
      </c>
      <c r="L108" s="147" t="str">
        <f ca="1">IFERROR(IFERROR(IF(VLOOKUP($A108,'Шаг2.Бланк заказа NEW'!$B$17:$N$201,9,0)="","",VLOOKUP($A108,'Шаг2.Бланк заказа NEW'!$B$17:$N$201,9,0)),
IF(VLOOKUP($A108-COUNT('Шаг2.Бланк заказа NEW'!$B$19:$B$201),'Бланк OLD 0.8 04'!$B$12:$K$200,9,0)="","",VLOOKUP($A108-COUNT('Шаг2.Бланк заказа NEW'!$B$19:$B$201),'Бланк OLD 0.8 04'!$B$12:$K$200,9,0))),
IF(VLOOKUP($A108-COUNT('Шаг2.Бланк заказа NEW'!$B$19:$B$201)-COUNT('Бланк OLD 0.8 04'!$B$18:$B$200),'Бланк OLD 2.0 04 '!$B$16:$K$200,9,0)="","",VLOOKUP($A108-COUNT('Шаг2.Бланк заказа NEW'!$B$19:$B$201)-COUNT('Бланк OLD 0.8 04'!$B$18:$B$200),'Бланк OLD 2.0 04 '!$B$16:$K$200,9,0)))</f>
        <v/>
      </c>
      <c r="M108" s="154" t="str">
        <f t="shared" ca="1" si="10"/>
        <v/>
      </c>
      <c r="N108" s="153" t="str">
        <f ca="1">IFERROR(IF(VLOOKUP($A108,'Шаг2.Бланк заказа NEW'!$B$17:$N$201,11,0)="","",VLOOKUP($A108,'Шаг2.Бланк заказа NEW'!$B$17:$N$201,11,0)),
"Нет")</f>
        <v/>
      </c>
      <c r="O108" s="147" t="str">
        <f ca="1">IFERROR(IF(VLOOKUP($A108,'Шаг2.Бланк заказа NEW'!$B$17:$N$201,11,0)="","",VLOOKUP($A108,'Шаг2.Бланк заказа NEW'!$B$17:$N$201,12,0)),
"Нет")</f>
        <v/>
      </c>
      <c r="P108" s="153" t="str">
        <f ca="1">IFERROR(IF(VLOOKUP($A108,'Шаг2.Бланк заказа NEW'!$B$17:$N$201,13,0)="","",VLOOKUP($A108,'Шаг2.Бланк заказа NEW'!$B$17:$N$201,13,0)),
"Нет")</f>
        <v/>
      </c>
      <c r="Q108" s="147" t="str">
        <f ca="1">IFERROR(IF(VLOOKUP($A108,'Шаг2.Бланк заказа NEW'!$B$17:$O$201,14,0)="","",VLOOKUP($A108,'Шаг2.Бланк заказа NEW'!$B$17:$O$201,14,0)),"")</f>
        <v/>
      </c>
      <c r="R108" s="147" t="str">
        <f ca="1">IFERROR(IFERROR(IF(VLOOKUP($A108,'Шаг2.Бланк заказа NEW'!$B$17:$N$201,4,0)="","",VLOOKUP($A108,'Шаг2.Бланк заказа NEW'!$B$17:$N$201,4,0)),
IF(VLOOKUP($A108-COUNT('Шаг2.Бланк заказа NEW'!$B$19:$B$201),'Бланк OLD 0.8 04'!$B$12:$K$200,4,0)&gt;0,0.8,
IF(VLOOKUP($A108-COUNT('Шаг2.Бланк заказа NEW'!$B$19:$B$201),'Бланк OLD 0.8 04'!$B$12:$K$200,5,0)&gt;0,0.4,""))),
IF(VLOOKUP($A108-COUNT('Шаг2.Бланк заказа NEW'!$B$19:$B$201)-COUNT('Бланк OLD 0.8 04'!$B$18:$B$200),'Бланк OLD 2.0 04 '!$B$16:$K$200,4,0)&gt;0,2,IF(VLOOKUP($A108-COUNT('Шаг2.Бланк заказа NEW'!$B$19:$B$201)-COUNT('Бланк OLD 0.8 04'!$B$18:$B$200),'Бланк OLD 2.0 04 '!$B$16:$K$200,5,0)&gt;0,0.4,"")))</f>
        <v/>
      </c>
      <c r="S108" s="147" t="str">
        <f ca="1">IFERROR(IFERROR(IF(VLOOKUP($A108,'Шаг2.Бланк заказа NEW'!$B$17:$N$201,5,0)="","",VLOOKUP($A108,'Шаг2.Бланк заказа NEW'!$B$17:$N$201,5,0)),
IF(VLOOKUP($A108-COUNT('Шаг2.Бланк заказа NEW'!$B$19:$B$201),'Бланк OLD 0.8 04'!$B$12:$K$200,4,0)&gt;1,0.8,
IF(VLOOKUP($A108-COUNT('Шаг2.Бланк заказа NEW'!$B$19:$B$201),'Бланк OLD 0.8 04'!$B$12:$K$200,5,0)&gt;1,0.4,
IF(AND(VLOOKUP($A108-COUNT('Шаг2.Бланк заказа NEW'!$B$19:$B$201),'Бланк OLD 0.8 04'!$B$12:$K$200,4,0)&gt;0,VLOOKUP($A108-COUNT('Шаг2.Бланк заказа NEW'!$B$19:$B$201),'Бланк OLD 0.8 04'!$B$12:$K$200,5,0)&gt;0),0.4,"")))),
IF(VLOOKUP($A108-COUNT('Шаг2.Бланк заказа NEW'!$B$19:$B$201)-COUNT('Бланк OLD 0.8 04'!$B$18:$B$200),'Бланк OLD 2.0 04 '!$B$16:$K$200,4,0)&gt;1,2,
IF(VLOOKUP($A108-COUNT('Шаг2.Бланк заказа NEW'!$B$19:$B$201)-COUNT('Бланк OLD 0.8 04'!$B$18:$B$200),'Бланк OLD 2.0 04 '!$B$16:$K$200,5,0)&gt;1,0.4,IF(AND(VLOOKUP($A108-COUNT('Шаг2.Бланк заказа NEW'!$B$19:$B$201)-COUNT('Бланк OLD 0.8 04'!$B$18:$B$200),'Бланк OLD 2.0 04 '!$B$16:$K$200,4,0)&gt;0,VLOOKUP($A108-COUNT('Шаг2.Бланк заказа NEW'!$B$19:$B$201)-COUNT('Бланк OLD 0.8 04'!$B$18:$B$200),'Бланк OLD 2.0 04 '!$B$16:$K$200,5,0)&gt;0),0.4,""))))</f>
        <v/>
      </c>
      <c r="T108" s="147" t="str">
        <f ca="1">IFERROR(IFERROR(IF(VLOOKUP($A108,'Шаг2.Бланк заказа NEW'!$B$17:$N$201,7,0)="","",VLOOKUP($A108,'Шаг2.Бланк заказа NEW'!$B$17:$N$201,7,0)),
IF(VLOOKUP($A108-COUNT('Шаг2.Бланк заказа NEW'!$B$19:$B$201),'Бланк OLD 0.8 04'!$B$12:$K$200,7,0)&gt;0,0.8,
IF(VLOOKUP($A108-COUNT('Шаг2.Бланк заказа NEW'!$B$19:$B$201),'Бланк OLD 0.8 04'!$B$12:$K$200,8,0)&gt;0,0.4,""))),
IF(VLOOKUP($A108-COUNT('Шаг2.Бланк заказа NEW'!$B$19:$B$201)-COUNT('Бланк OLD 0.8 04'!$B$18:$B$200),'Бланк OLD 2.0 04 '!$B$16:$K$200,7,0)&gt;0,2,IF(VLOOKUP($A108-COUNT('Шаг2.Бланк заказа NEW'!$B$19:$B$201)-COUNT('Бланк OLD 0.8 04'!$B$18:$B$200),'Бланк OLD 2.0 04 '!$B$16:$K$200,8,0)&gt;0,0.4,"")))</f>
        <v/>
      </c>
      <c r="U108" s="147" t="str">
        <f ca="1">IFERROR(IFERROR(IF(VLOOKUP($A108,'Шаг2.Бланк заказа NEW'!$B$17:$N$201,8,0)="","",VLOOKUP($A108,'Шаг2.Бланк заказа NEW'!$B$17:$N$201,8,0)),
IF(VLOOKUP($A108-COUNT('Шаг2.Бланк заказа NEW'!$B$19:$B$201),'Бланк OLD 0.8 04'!$B$12:$K$200,7,0)&gt;1,0.8,
IF(VLOOKUP($A108-COUNT('Шаг2.Бланк заказа NEW'!$B$19:$B$201),'Бланк OLD 0.8 04'!$B$12:$K$200,8,0)&gt;1,0.4,
IF(AND(VLOOKUP($A108-COUNT('Шаг2.Бланк заказа NEW'!$B$19:$B$201),'Бланк OLD 0.8 04'!$B$12:$K$200,7,0)&gt;0,VLOOKUP($A108-COUNT('Шаг2.Бланк заказа NEW'!$B$19:$B$201),'Бланк OLD 0.8 04'!$B$12:$K$200,8,0)&gt;0),0.4,"")))),
IF(VLOOKUP($A108-COUNT('Шаг2.Бланк заказа NEW'!$B$19:$B$201)-COUNT('Бланк OLD 0.8 04'!$B$18:$B$200),'Бланк OLD 2.0 04 '!$B$16:$K$200,7,0)&gt;1,2,
IF(VLOOKUP($A108-COUNT('Шаг2.Бланк заказа NEW'!$B$19:$B$201)-COUNT('Бланк OLD 0.8 04'!$B$18:$B$200),'Бланк OLD 2.0 04 '!$B$16:$K$200,8,0)&gt;1,0.4,
IF(AND(VLOOKUP($A108-COUNT('Шаг2.Бланк заказа NEW'!$B$19:$B$201)-COUNT('Бланк OLD 0.8 04'!$B$18:$B$200),'Бланк OLD 2.0 04 '!$B$16:$K$200,7,0)&gt;0,VLOOKUP($A108-COUNT('Шаг2.Бланк заказа NEW'!$B$19:$B$201)-COUNT('Бланк OLD 0.8 04'!$B$18:$B$200),'Бланк OLD 2.0 04 '!$B$16:$K$200,8,0)&gt;0),0.4,""))))</f>
        <v/>
      </c>
      <c r="V108" s="146" t="str">
        <f ca="1">IFERROR(VLOOKUP(C108,'Шаг1.Выбор плиты'!C:S,12,0),"")</f>
        <v/>
      </c>
      <c r="W108" s="146" t="str">
        <f ca="1">IFERROR(VLOOKUP(C108,'Шаг1.Выбор плиты'!C:S,8,0),"")</f>
        <v/>
      </c>
      <c r="X108" s="146" t="str">
        <f ca="1">IFERROR(VLOOKUP(C108,'Шаг1.Выбор плиты'!C:S,10,0),"")</f>
        <v/>
      </c>
      <c r="Y108" s="147" t="str">
        <f t="shared" ca="1" si="8"/>
        <v/>
      </c>
      <c r="AD108" s="147" t="str">
        <f t="shared" ca="1" si="11"/>
        <v/>
      </c>
      <c r="AE108" s="147" t="str">
        <f t="shared" ca="1" si="9"/>
        <v/>
      </c>
      <c r="AF108" s="25"/>
      <c r="AH108" s="147" t="str">
        <f ca="1">IF(C108="","",VLOOKUP(C108,'Шаг1.Выбор плиты'!C:Q,7,0))</f>
        <v/>
      </c>
      <c r="AI108" s="147" t="str">
        <f t="shared" ca="1" si="12"/>
        <v/>
      </c>
    </row>
    <row r="109" spans="1:35" x14ac:dyDescent="0.2">
      <c r="A109" s="151" t="str">
        <f ca="1">IF(C109="","",MAX($A$1:OFFSET(C109,-1,0))+1)</f>
        <v/>
      </c>
      <c r="B109" s="151" t="str">
        <f ca="1">IFERROR(IFERROR(IFERROR("Шаг2.Бланк заказа NEW №"&amp;VLOOKUP(A108+1,CHOOSE({1,2},'Шаг2.Бланк заказа NEW'!$B$19:$B$201,'Шаг2.Бланк заказа NEW'!$A$19:$A$201),1,0),
"Бланк OLD 0.8 04 №"&amp;VLOOKUP(A108+1-COUNT('Шаг2.Бланк заказа NEW'!$B$19:$B$201),CHOOSE({1,2},'Бланк OLD 0.8 04'!$B$18:$B$200,'Бланк OLD 0.8 04'!$A$18:$A$200),1,0)),
"Бланк OLD 2.0 04 №"&amp;VLOOKUP(A108+1-COUNT('Шаг2.Бланк заказа NEW'!$B$19:$B$201)-COUNT('Бланк OLD 0.8 04'!$B$18:$B$200),CHOOSE({1,2},'Бланк OLD 2.0 04 '!$B$18:$B$200,'Бланк OLD 2.0 04 '!$A$18:$A$200),1,0)),"")</f>
        <v/>
      </c>
      <c r="C109" s="152" t="str">
        <f ca="1">IFERROR(IFERROR(IFERROR(VLOOKUP(A108+1,CHOOSE({1,2},'Шаг2.Бланк заказа NEW'!$B$19:$B$201,'Шаг2.Бланк заказа NEW'!$A$19:$A$201),2,0),
VLOOKUP(A108+1-COUNT('Шаг2.Бланк заказа NEW'!$B$19:$B$201),CHOOSE({1,2},'Бланк OLD 0.8 04'!$B$18:$B$200,'Бланк OLD 0.8 04'!$A$18:$A$200),2,0)),
VLOOKUP(A108+1-COUNT('Шаг2.Бланк заказа NEW'!$B$19:$B$201)-COUNT('Бланк OLD 0.8 04'!$B$18:$B$200),CHOOSE({1,2},'Бланк OLD 2.0 04 '!$B$18:$B$200,'Бланк OLD 2.0 04 '!$A$18:$A$200),2,0)),"")</f>
        <v/>
      </c>
      <c r="D109" s="150" t="str">
        <f ca="1">IFERROR(VLOOKUP(C109,'Шаг1.Выбор плиты'!C:G,5,0),"")</f>
        <v/>
      </c>
      <c r="E109" s="147" t="str">
        <f ca="1">IFERROR(IFERROR(IF(VLOOKUP($A109,'Шаг2.Бланк заказа NEW'!$B$17:$N$201,2,0)="","",VLOOKUP($A109,'Шаг2.Бланк заказа NEW'!$B$17:$N$201,2,0)),
IF(VLOOKUP($A109-COUNT('Шаг2.Бланк заказа NEW'!$B$19:$B$201),'Бланк OLD 0.8 04'!$B$12:$K$200,2,0)="","",VLOOKUP($A109-COUNT('Шаг2.Бланк заказа NEW'!$B$19:$B$201),'Бланк OLD 0.8 04'!$B$12:$K$200,2,0))),
IF(VLOOKUP($A109-COUNT('Шаг2.Бланк заказа NEW'!$B$19:$B$201)-COUNT('Бланк OLD 0.8 04'!$B$18:$B$200),'Бланк OLD 2.0 04 '!$B$16:$K$200,2,0)="","",VLOOKUP($A109-COUNT('Шаг2.Бланк заказа NEW'!$B$19:$B$201)-COUNT('Бланк OLD 0.8 04'!$B$18:$B$200),'Бланк OLD 2.0 04 '!$B$16:$K$200,2,0)))</f>
        <v/>
      </c>
      <c r="F109" s="147" t="str">
        <f ca="1">IFERROR(IFERROR(IF(VLOOKUP($A109,'Шаг2.Бланк заказа NEW'!$B$17:$N$201,3,0)="","",VLOOKUP($A109,'Шаг2.Бланк заказа NEW'!$B$17:$N$201,3,0)),
IF(VLOOKUP($A109-COUNT('Шаг2.Бланк заказа NEW'!$B$19:$B$201),'Бланк OLD 0.8 04'!$B$12:$K$200,3,0)="","",VLOOKUP($A109-COUNT('Шаг2.Бланк заказа NEW'!$B$19:$B$201),'Бланк OLD 0.8 04'!$B$12:$K$200,3,0))),
IF(VLOOKUP($A109-COUNT('Шаг2.Бланк заказа NEW'!$B$19:$B$201)-COUNT('Бланк OLD 0.8 04'!$B$18:$B$200),'Бланк OLD 2.0 04 '!$B$16:$K$200,3,0)="","",VLOOKUP($A109-COUNT('Шаг2.Бланк заказа NEW'!$B$19:$B$201)-COUNT('Бланк OLD 0.8 04'!$B$18:$B$200),'Бланк OLD 2.0 04 '!$B$16:$K$200,3,0)))</f>
        <v/>
      </c>
      <c r="G109" s="176" t="str">
        <f ca="1">IF(IF(R109="","",IF(R109=1,SUMIFS('Шаг1.Выбор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плиты'!C:Q,12,0)),1))))))=0,
R109,
IF(R109="","",IF(R109=1,SUMIFS('Шаг1.Выбор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плиты'!N:N,R109,'Шаг1.Выбор плиты'!M:M,SMALL(INDIRECT("мм"&amp;VLOOKUP(C109,'Шаг1.Выбор плиты'!C:Q,12,0)),1)))))))</f>
        <v/>
      </c>
      <c r="H109" s="177" t="str">
        <f ca="1">IF(IF(S109="","",IF(S109=1,SUMIFS('Шаг1.Выбор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плиты'!C:Q,12,0)),1))))))=0,
S109,
IF(S109="","",IF(S109=1,SUMIFS('Шаг1.Выбор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плиты'!N:N,S109,'Шаг1.Выбор плиты'!M:M,SMALL(INDIRECT("мм"&amp;VLOOKUP(C109,'Шаг1.Выбор плиты'!C:Q,12,0)),1)))))))</f>
        <v/>
      </c>
      <c r="I109" s="147" t="str">
        <f ca="1">IFERROR(IFERROR(IF(VLOOKUP($A109,'Шаг2.Бланк заказа NEW'!$B$17:$N$201,6,0)="","",VLOOKUP($A109,'Шаг2.Бланк заказа NEW'!$B$17:$N$201,6,0)),
IF(VLOOKUP($A109-COUNT('Шаг2.Бланк заказа NEW'!$B$19:$B$201),'Бланк OLD 0.8 04'!$B$12:$K$200,6,0)="","",VLOOKUP($A109-COUNT('Шаг2.Бланк заказа NEW'!$B$19:$B$201),'Бланк OLD 0.8 04'!$B$12:$K$200,6,0))),
IF(VLOOKUP($A109-COUNT('Шаг2.Бланк заказа NEW'!$B$19:$B$201)-COUNT('Бланк OLD 0.8 04'!$B$18:$B$200),'Бланк OLD 2.0 04 '!$B$16:$K$200,6,0)="","",VLOOKUP($A109-COUNT('Шаг2.Бланк заказа NEW'!$B$19:$B$201)-COUNT('Бланк OLD 0.8 04'!$B$18:$B$200),'Бланк OLD 2.0 04 '!$B$16:$K$200,6,0)))</f>
        <v/>
      </c>
      <c r="J109" s="177" t="str">
        <f ca="1">IF(IF(T109="","",IF(T109=1,SUMIFS('Шаг1.Выбор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плиты'!C:Q,12,0)),1))))))=0,
T109,
IF(T109="","",IF(T109=1,SUMIFS('Шаг1.Выбор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плиты'!N:N,T109,'Шаг1.Выбор плиты'!M:M,SMALL(INDIRECT("мм"&amp;VLOOKUP(C109,'Шаг1.Выбор плиты'!C:Q,12,0)),1)))))))</f>
        <v/>
      </c>
      <c r="K109" s="177" t="str">
        <f ca="1">IF(IF(U109="","",IF(U109=1,SUMIFS('Шаг1.Выбор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плиты'!C:Q,12,0)),1))))))=0,
U109,
IF(U109="","",IF(U109=1,SUMIFS('Шаг1.Выбор плиты'!$G:$G,'Шаг1.Выбор плиты'!J:J,"*"&amp;RIGHT(VLOOKUP(C109,'Шаг1.Выбор плиты'!C:Q,8,0),4),'Шаг1.Выбор плиты'!L:L,IF(MID(C109,1,6)="ЛДСП P","TM"&amp;MID(VLOOKUP(C109,'Шаг1.Выбор плиты'!C:Q,10,0),3,2),MID(VLOOKUP(C109,'Шаг1.Выбор плиты'!C:Q,10,0),1,2)),
'Шаг1.Выбор плиты'!N:N,1),IF(SUMIFS('Шаг1.Выбор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плиты'!C:Q,12,0)),1))=0,
IF(SUMIFS('Шаг1.Выбор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плиты'!C:Q,12,0)),2))=0,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плиты'!C:Q,12,0)),3)),
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плиты'!C:Q,12,0)),2))),
(SUMIFS('Шаг1.Выбор плиты'!$G:$G,'Шаг1.Выбор плиты'!J:J,"*"&amp;RIGHT(VLOOKUP(C109,'Шаг1.Выбор плиты'!C:Q,8,0),4),'Шаг1.Выбор плиты'!L:L,VLOOKUP(C109,'Шаг1.Выбор плиты'!C:Q,10,0),'Шаг1.Выбор плиты'!N:N,U109,'Шаг1.Выбор плиты'!M:M,SMALL(INDIRECT("мм"&amp;VLOOKUP(C109,'Шаг1.Выбор плиты'!C:Q,12,0)),1)))))))</f>
        <v/>
      </c>
      <c r="L109" s="147" t="str">
        <f ca="1">IFERROR(IFERROR(IF(VLOOKUP($A109,'Шаг2.Бланк заказа NEW'!$B$17:$N$201,9,0)="","",VLOOKUP($A109,'Шаг2.Бланк заказа NEW'!$B$17:$N$201,9,0)),
IF(VLOOKUP($A109-COUNT('Шаг2.Бланк заказа NEW'!$B$19:$B$201),'Бланк OLD 0.8 04'!$B$12:$K$200,9,0)="","",VLOOKUP($A109-COUNT('Шаг2.Бланк заказа NEW'!$B$19:$B$201),'Бланк OLD 0.8 04'!$B$12:$K$200,9,0))),
IF(VLOOKUP($A109-COUNT('Шаг2.Бланк заказа NEW'!$B$19:$B$201)-COUNT('Бланк OLD 0.8 04'!$B$18:$B$200),'Бланк OLD 2.0 04 '!$B$16:$K$200,9,0)="","",VLOOKUP($A109-COUNT('Шаг2.Бланк заказа NEW'!$B$19:$B$201)-COUNT('Бланк OLD 0.8 04'!$B$18:$B$200),'Бланк OLD 2.0 04 '!$B$16:$K$200,9,0)))</f>
        <v/>
      </c>
      <c r="M109" s="154" t="str">
        <f t="shared" ca="1" si="10"/>
        <v/>
      </c>
      <c r="N109" s="153" t="str">
        <f ca="1">IFERROR(IF(VLOOKUP($A109,'Шаг2.Бланк заказа NEW'!$B$17:$N$201,11,0)="","",VLOOKUP($A109,'Шаг2.Бланк заказа NEW'!$B$17:$N$201,11,0)),
"Нет")</f>
        <v/>
      </c>
      <c r="O109" s="147" t="str">
        <f ca="1">IFERROR(IF(VLOOKUP($A109,'Шаг2.Бланк заказа NEW'!$B$17:$N$201,11,0)="","",VLOOKUP($A109,'Шаг2.Бланк заказа NEW'!$B$17:$N$201,12,0)),
"Нет")</f>
        <v/>
      </c>
      <c r="P109" s="153" t="str">
        <f ca="1">IFERROR(IF(VLOOKUP($A109,'Шаг2.Бланк заказа NEW'!$B$17:$N$201,13,0)="","",VLOOKUP($A109,'Шаг2.Бланк заказа NEW'!$B$17:$N$201,13,0)),
"Нет")</f>
        <v/>
      </c>
      <c r="Q109" s="147" t="str">
        <f ca="1">IFERROR(IF(VLOOKUP($A109,'Шаг2.Бланк заказа NEW'!$B$17:$O$201,14,0)="","",VLOOKUP($A109,'Шаг2.Бланк заказа NEW'!$B$17:$O$201,14,0)),"")</f>
        <v/>
      </c>
      <c r="R109" s="147" t="str">
        <f ca="1">IFERROR(IFERROR(IF(VLOOKUP($A109,'Шаг2.Бланк заказа NEW'!$B$17:$N$201,4,0)="","",VLOOKUP($A109,'Шаг2.Бланк заказа NEW'!$B$17:$N$201,4,0)),
IF(VLOOKUP($A109-COUNT('Шаг2.Бланк заказа NEW'!$B$19:$B$201),'Бланк OLD 0.8 04'!$B$12:$K$200,4,0)&gt;0,0.8,
IF(VLOOKUP($A109-COUNT('Шаг2.Бланк заказа NEW'!$B$19:$B$201),'Бланк OLD 0.8 04'!$B$12:$K$200,5,0)&gt;0,0.4,""))),
IF(VLOOKUP($A109-COUNT('Шаг2.Бланк заказа NEW'!$B$19:$B$201)-COUNT('Бланк OLD 0.8 04'!$B$18:$B$200),'Бланк OLD 2.0 04 '!$B$16:$K$200,4,0)&gt;0,2,IF(VLOOKUP($A109-COUNT('Шаг2.Бланк заказа NEW'!$B$19:$B$201)-COUNT('Бланк OLD 0.8 04'!$B$18:$B$200),'Бланк OLD 2.0 04 '!$B$16:$K$200,5,0)&gt;0,0.4,"")))</f>
        <v/>
      </c>
      <c r="S109" s="147" t="str">
        <f ca="1">IFERROR(IFERROR(IF(VLOOKUP($A109,'Шаг2.Бланк заказа NEW'!$B$17:$N$201,5,0)="","",VLOOKUP($A109,'Шаг2.Бланк заказа NEW'!$B$17:$N$201,5,0)),
IF(VLOOKUP($A109-COUNT('Шаг2.Бланк заказа NEW'!$B$19:$B$201),'Бланк OLD 0.8 04'!$B$12:$K$200,4,0)&gt;1,0.8,
IF(VLOOKUP($A109-COUNT('Шаг2.Бланк заказа NEW'!$B$19:$B$201),'Бланк OLD 0.8 04'!$B$12:$K$200,5,0)&gt;1,0.4,
IF(AND(VLOOKUP($A109-COUNT('Шаг2.Бланк заказа NEW'!$B$19:$B$201),'Бланк OLD 0.8 04'!$B$12:$K$200,4,0)&gt;0,VLOOKUP($A109-COUNT('Шаг2.Бланк заказа NEW'!$B$19:$B$201),'Бланк OLD 0.8 04'!$B$12:$K$200,5,0)&gt;0),0.4,"")))),
IF(VLOOKUP($A109-COUNT('Шаг2.Бланк заказа NEW'!$B$19:$B$201)-COUNT('Бланк OLD 0.8 04'!$B$18:$B$200),'Бланк OLD 2.0 04 '!$B$16:$K$200,4,0)&gt;1,2,
IF(VLOOKUP($A109-COUNT('Шаг2.Бланк заказа NEW'!$B$19:$B$201)-COUNT('Бланк OLD 0.8 04'!$B$18:$B$200),'Бланк OLD 2.0 04 '!$B$16:$K$200,5,0)&gt;1,0.4,IF(AND(VLOOKUP($A109-COUNT('Шаг2.Бланк заказа NEW'!$B$19:$B$201)-COUNT('Бланк OLD 0.8 04'!$B$18:$B$200),'Бланк OLD 2.0 04 '!$B$16:$K$200,4,0)&gt;0,VLOOKUP($A109-COUNT('Шаг2.Бланк заказа NEW'!$B$19:$B$201)-COUNT('Бланк OLD 0.8 04'!$B$18:$B$200),'Бланк OLD 2.0 04 '!$B$16:$K$200,5,0)&gt;0),0.4,""))))</f>
        <v/>
      </c>
      <c r="T109" s="147" t="str">
        <f ca="1">IFERROR(IFERROR(IF(VLOOKUP($A109,'Шаг2.Бланк заказа NEW'!$B$17:$N$201,7,0)="","",VLOOKUP($A109,'Шаг2.Бланк заказа NEW'!$B$17:$N$201,7,0)),
IF(VLOOKUP($A109-COUNT('Шаг2.Бланк заказа NEW'!$B$19:$B$201),'Бланк OLD 0.8 04'!$B$12:$K$200,7,0)&gt;0,0.8,
IF(VLOOKUP($A109-COUNT('Шаг2.Бланк заказа NEW'!$B$19:$B$201),'Бланк OLD 0.8 04'!$B$12:$K$200,8,0)&gt;0,0.4,""))),
IF(VLOOKUP($A109-COUNT('Шаг2.Бланк заказа NEW'!$B$19:$B$201)-COUNT('Бланк OLD 0.8 04'!$B$18:$B$200),'Бланк OLD 2.0 04 '!$B$16:$K$200,7,0)&gt;0,2,IF(VLOOKUP($A109-COUNT('Шаг2.Бланк заказа NEW'!$B$19:$B$201)-COUNT('Бланк OLD 0.8 04'!$B$18:$B$200),'Бланк OLD 2.0 04 '!$B$16:$K$200,8,0)&gt;0,0.4,"")))</f>
        <v/>
      </c>
      <c r="U109" s="147" t="str">
        <f ca="1">IFERROR(IFERROR(IF(VLOOKUP($A109,'Шаг2.Бланк заказа NEW'!$B$17:$N$201,8,0)="","",VLOOKUP($A109,'Шаг2.Бланк заказа NEW'!$B$17:$N$201,8,0)),
IF(VLOOKUP($A109-COUNT('Шаг2.Бланк заказа NEW'!$B$19:$B$201),'Бланк OLD 0.8 04'!$B$12:$K$200,7,0)&gt;1,0.8,
IF(VLOOKUP($A109-COUNT('Шаг2.Бланк заказа NEW'!$B$19:$B$201),'Бланк OLD 0.8 04'!$B$12:$K$200,8,0)&gt;1,0.4,
IF(AND(VLOOKUP($A109-COUNT('Шаг2.Бланк заказа NEW'!$B$19:$B$201),'Бланк OLD 0.8 04'!$B$12:$K$200,7,0)&gt;0,VLOOKUP($A109-COUNT('Шаг2.Бланк заказа NEW'!$B$19:$B$201),'Бланк OLD 0.8 04'!$B$12:$K$200,8,0)&gt;0),0.4,"")))),
IF(VLOOKUP($A109-COUNT('Шаг2.Бланк заказа NEW'!$B$19:$B$201)-COUNT('Бланк OLD 0.8 04'!$B$18:$B$200),'Бланк OLD 2.0 04 '!$B$16:$K$200,7,0)&gt;1,2,
IF(VLOOKUP($A109-COUNT('Шаг2.Бланк заказа NEW'!$B$19:$B$201)-COUNT('Бланк OLD 0.8 04'!$B$18:$B$200),'Бланк OLD 2.0 04 '!$B$16:$K$200,8,0)&gt;1,0.4,
IF(AND(VLOOKUP($A109-COUNT('Шаг2.Бланк заказа NEW'!$B$19:$B$201)-COUNT('Бланк OLD 0.8 04'!$B$18:$B$200),'Бланк OLD 2.0 04 '!$B$16:$K$200,7,0)&gt;0,VLOOKUP($A109-COUNT('Шаг2.Бланк заказа NEW'!$B$19:$B$201)-COUNT('Бланк OLD 0.8 04'!$B$18:$B$200),'Бланк OLD 2.0 04 '!$B$16:$K$200,8,0)&gt;0),0.4,""))))</f>
        <v/>
      </c>
      <c r="V109" s="146" t="str">
        <f ca="1">IFERROR(VLOOKUP(C109,'Шаг1.Выбор плиты'!C:S,12,0),"")</f>
        <v/>
      </c>
      <c r="W109" s="146" t="str">
        <f ca="1">IFERROR(VLOOKUP(C109,'Шаг1.Выбор плиты'!C:S,8,0),"")</f>
        <v/>
      </c>
      <c r="X109" s="146" t="str">
        <f ca="1">IFERROR(VLOOKUP(C109,'Шаг1.Выбор плиты'!C:S,10,0),"")</f>
        <v/>
      </c>
      <c r="Y109" s="147" t="str">
        <f t="shared" ca="1" si="8"/>
        <v/>
      </c>
      <c r="AD109" s="147" t="str">
        <f t="shared" ca="1" si="11"/>
        <v/>
      </c>
      <c r="AE109" s="147" t="str">
        <f t="shared" ca="1" si="9"/>
        <v/>
      </c>
      <c r="AF109" s="25"/>
      <c r="AH109" s="147" t="str">
        <f ca="1">IF(C109="","",VLOOKUP(C109,'Шаг1.Выбор плиты'!C:Q,7,0))</f>
        <v/>
      </c>
      <c r="AI109" s="147" t="str">
        <f t="shared" ca="1" si="12"/>
        <v/>
      </c>
    </row>
    <row r="110" spans="1:35" x14ac:dyDescent="0.2">
      <c r="A110" s="151" t="str">
        <f ca="1">IF(C110="","",MAX($A$1:OFFSET(C110,-1,0))+1)</f>
        <v/>
      </c>
      <c r="B110" s="151" t="str">
        <f ca="1">IFERROR(IFERROR(IFERROR("Шаг2.Бланк заказа NEW №"&amp;VLOOKUP(A109+1,CHOOSE({1,2},'Шаг2.Бланк заказа NEW'!$B$19:$B$201,'Шаг2.Бланк заказа NEW'!$A$19:$A$201),1,0),
"Бланк OLD 0.8 04 №"&amp;VLOOKUP(A109+1-COUNT('Шаг2.Бланк заказа NEW'!$B$19:$B$201),CHOOSE({1,2},'Бланк OLD 0.8 04'!$B$18:$B$200,'Бланк OLD 0.8 04'!$A$18:$A$200),1,0)),
"Бланк OLD 2.0 04 №"&amp;VLOOKUP(A109+1-COUNT('Шаг2.Бланк заказа NEW'!$B$19:$B$201)-COUNT('Бланк OLD 0.8 04'!$B$18:$B$200),CHOOSE({1,2},'Бланк OLD 2.0 04 '!$B$18:$B$200,'Бланк OLD 2.0 04 '!$A$18:$A$200),1,0)),"")</f>
        <v/>
      </c>
      <c r="C110" s="152" t="str">
        <f ca="1">IFERROR(IFERROR(IFERROR(VLOOKUP(A109+1,CHOOSE({1,2},'Шаг2.Бланк заказа NEW'!$B$19:$B$201,'Шаг2.Бланк заказа NEW'!$A$19:$A$201),2,0),
VLOOKUP(A109+1-COUNT('Шаг2.Бланк заказа NEW'!$B$19:$B$201),CHOOSE({1,2},'Бланк OLD 0.8 04'!$B$18:$B$200,'Бланк OLD 0.8 04'!$A$18:$A$200),2,0)),
VLOOKUP(A109+1-COUNT('Шаг2.Бланк заказа NEW'!$B$19:$B$201)-COUNT('Бланк OLD 0.8 04'!$B$18:$B$200),CHOOSE({1,2},'Бланк OLD 2.0 04 '!$B$18:$B$200,'Бланк OLD 2.0 04 '!$A$18:$A$200),2,0)),"")</f>
        <v/>
      </c>
      <c r="D110" s="150" t="str">
        <f ca="1">IFERROR(VLOOKUP(C110,'Шаг1.Выбор плиты'!C:G,5,0),"")</f>
        <v/>
      </c>
      <c r="E110" s="147" t="str">
        <f ca="1">IFERROR(IFERROR(IF(VLOOKUP($A110,'Шаг2.Бланк заказа NEW'!$B$17:$N$201,2,0)="","",VLOOKUP($A110,'Шаг2.Бланк заказа NEW'!$B$17:$N$201,2,0)),
IF(VLOOKUP($A110-COUNT('Шаг2.Бланк заказа NEW'!$B$19:$B$201),'Бланк OLD 0.8 04'!$B$12:$K$200,2,0)="","",VLOOKUP($A110-COUNT('Шаг2.Бланк заказа NEW'!$B$19:$B$201),'Бланк OLD 0.8 04'!$B$12:$K$200,2,0))),
IF(VLOOKUP($A110-COUNT('Шаг2.Бланк заказа NEW'!$B$19:$B$201)-COUNT('Бланк OLD 0.8 04'!$B$18:$B$200),'Бланк OLD 2.0 04 '!$B$16:$K$200,2,0)="","",VLOOKUP($A110-COUNT('Шаг2.Бланк заказа NEW'!$B$19:$B$201)-COUNT('Бланк OLD 0.8 04'!$B$18:$B$200),'Бланк OLD 2.0 04 '!$B$16:$K$200,2,0)))</f>
        <v/>
      </c>
      <c r="F110" s="147" t="str">
        <f ca="1">IFERROR(IFERROR(IF(VLOOKUP($A110,'Шаг2.Бланк заказа NEW'!$B$17:$N$201,3,0)="","",VLOOKUP($A110,'Шаг2.Бланк заказа NEW'!$B$17:$N$201,3,0)),
IF(VLOOKUP($A110-COUNT('Шаг2.Бланк заказа NEW'!$B$19:$B$201),'Бланк OLD 0.8 04'!$B$12:$K$200,3,0)="","",VLOOKUP($A110-COUNT('Шаг2.Бланк заказа NEW'!$B$19:$B$201),'Бланк OLD 0.8 04'!$B$12:$K$200,3,0))),
IF(VLOOKUP($A110-COUNT('Шаг2.Бланк заказа NEW'!$B$19:$B$201)-COUNT('Бланк OLD 0.8 04'!$B$18:$B$200),'Бланк OLD 2.0 04 '!$B$16:$K$200,3,0)="","",VLOOKUP($A110-COUNT('Шаг2.Бланк заказа NEW'!$B$19:$B$201)-COUNT('Бланк OLD 0.8 04'!$B$18:$B$200),'Бланк OLD 2.0 04 '!$B$16:$K$200,3,0)))</f>
        <v/>
      </c>
      <c r="G110" s="176" t="str">
        <f ca="1">IF(IF(R110="","",IF(R110=1,SUMIFS('Шаг1.Выбор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плиты'!C:Q,12,0)),1))))))=0,
R110,
IF(R110="","",IF(R110=1,SUMIFS('Шаг1.Выбор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плиты'!N:N,R110,'Шаг1.Выбор плиты'!M:M,SMALL(INDIRECT("мм"&amp;VLOOKUP(C110,'Шаг1.Выбор плиты'!C:Q,12,0)),1)))))))</f>
        <v/>
      </c>
      <c r="H110" s="177" t="str">
        <f ca="1">IF(IF(S110="","",IF(S110=1,SUMIFS('Шаг1.Выбор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плиты'!C:Q,12,0)),1))))))=0,
S110,
IF(S110="","",IF(S110=1,SUMIFS('Шаг1.Выбор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плиты'!N:N,S110,'Шаг1.Выбор плиты'!M:M,SMALL(INDIRECT("мм"&amp;VLOOKUP(C110,'Шаг1.Выбор плиты'!C:Q,12,0)),1)))))))</f>
        <v/>
      </c>
      <c r="I110" s="147" t="str">
        <f ca="1">IFERROR(IFERROR(IF(VLOOKUP($A110,'Шаг2.Бланк заказа NEW'!$B$17:$N$201,6,0)="","",VLOOKUP($A110,'Шаг2.Бланк заказа NEW'!$B$17:$N$201,6,0)),
IF(VLOOKUP($A110-COUNT('Шаг2.Бланк заказа NEW'!$B$19:$B$201),'Бланк OLD 0.8 04'!$B$12:$K$200,6,0)="","",VLOOKUP($A110-COUNT('Шаг2.Бланк заказа NEW'!$B$19:$B$201),'Бланк OLD 0.8 04'!$B$12:$K$200,6,0))),
IF(VLOOKUP($A110-COUNT('Шаг2.Бланк заказа NEW'!$B$19:$B$201)-COUNT('Бланк OLD 0.8 04'!$B$18:$B$200),'Бланк OLD 2.0 04 '!$B$16:$K$200,6,0)="","",VLOOKUP($A110-COUNT('Шаг2.Бланк заказа NEW'!$B$19:$B$201)-COUNT('Бланк OLD 0.8 04'!$B$18:$B$200),'Бланк OLD 2.0 04 '!$B$16:$K$200,6,0)))</f>
        <v/>
      </c>
      <c r="J110" s="177" t="str">
        <f ca="1">IF(IF(T110="","",IF(T110=1,SUMIFS('Шаг1.Выбор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плиты'!C:Q,12,0)),1))))))=0,
T110,
IF(T110="","",IF(T110=1,SUMIFS('Шаг1.Выбор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плиты'!N:N,T110,'Шаг1.Выбор плиты'!M:M,SMALL(INDIRECT("мм"&amp;VLOOKUP(C110,'Шаг1.Выбор плиты'!C:Q,12,0)),1)))))))</f>
        <v/>
      </c>
      <c r="K110" s="177" t="str">
        <f ca="1">IF(IF(U110="","",IF(U110=1,SUMIFS('Шаг1.Выбор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плиты'!C:Q,12,0)),1))))))=0,
U110,
IF(U110="","",IF(U110=1,SUMIFS('Шаг1.Выбор плиты'!$G:$G,'Шаг1.Выбор плиты'!J:J,"*"&amp;RIGHT(VLOOKUP(C110,'Шаг1.Выбор плиты'!C:Q,8,0),4),'Шаг1.Выбор плиты'!L:L,IF(MID(C110,1,6)="ЛДСП P","TM"&amp;MID(VLOOKUP(C110,'Шаг1.Выбор плиты'!C:Q,10,0),3,2),MID(VLOOKUP(C110,'Шаг1.Выбор плиты'!C:Q,10,0),1,2)),
'Шаг1.Выбор плиты'!N:N,1),IF(SUMIFS('Шаг1.Выбор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плиты'!C:Q,12,0)),1))=0,
IF(SUMIFS('Шаг1.Выбор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плиты'!C:Q,12,0)),2))=0,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плиты'!C:Q,12,0)),3)),
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плиты'!C:Q,12,0)),2))),
(SUMIFS('Шаг1.Выбор плиты'!$G:$G,'Шаг1.Выбор плиты'!J:J,"*"&amp;RIGHT(VLOOKUP(C110,'Шаг1.Выбор плиты'!C:Q,8,0),4),'Шаг1.Выбор плиты'!L:L,VLOOKUP(C110,'Шаг1.Выбор плиты'!C:Q,10,0),'Шаг1.Выбор плиты'!N:N,U110,'Шаг1.Выбор плиты'!M:M,SMALL(INDIRECT("мм"&amp;VLOOKUP(C110,'Шаг1.Выбор плиты'!C:Q,12,0)),1)))))))</f>
        <v/>
      </c>
      <c r="L110" s="147" t="str">
        <f ca="1">IFERROR(IFERROR(IF(VLOOKUP($A110,'Шаг2.Бланк заказа NEW'!$B$17:$N$201,9,0)="","",VLOOKUP($A110,'Шаг2.Бланк заказа NEW'!$B$17:$N$201,9,0)),
IF(VLOOKUP($A110-COUNT('Шаг2.Бланк заказа NEW'!$B$19:$B$201),'Бланк OLD 0.8 04'!$B$12:$K$200,9,0)="","",VLOOKUP($A110-COUNT('Шаг2.Бланк заказа NEW'!$B$19:$B$201),'Бланк OLD 0.8 04'!$B$12:$K$200,9,0))),
IF(VLOOKUP($A110-COUNT('Шаг2.Бланк заказа NEW'!$B$19:$B$201)-COUNT('Бланк OLD 0.8 04'!$B$18:$B$200),'Бланк OLD 2.0 04 '!$B$16:$K$200,9,0)="","",VLOOKUP($A110-COUNT('Шаг2.Бланк заказа NEW'!$B$19:$B$201)-COUNT('Бланк OLD 0.8 04'!$B$18:$B$200),'Бланк OLD 2.0 04 '!$B$16:$K$200,9,0)))</f>
        <v/>
      </c>
      <c r="M110" s="154" t="str">
        <f t="shared" ca="1" si="10"/>
        <v/>
      </c>
      <c r="N110" s="153" t="str">
        <f ca="1">IFERROR(IF(VLOOKUP($A110,'Шаг2.Бланк заказа NEW'!$B$17:$N$201,11,0)="","",VLOOKUP($A110,'Шаг2.Бланк заказа NEW'!$B$17:$N$201,11,0)),
"Нет")</f>
        <v/>
      </c>
      <c r="O110" s="147" t="str">
        <f ca="1">IFERROR(IF(VLOOKUP($A110,'Шаг2.Бланк заказа NEW'!$B$17:$N$201,11,0)="","",VLOOKUP($A110,'Шаг2.Бланк заказа NEW'!$B$17:$N$201,12,0)),
"Нет")</f>
        <v/>
      </c>
      <c r="P110" s="153" t="str">
        <f ca="1">IFERROR(IF(VLOOKUP($A110,'Шаг2.Бланк заказа NEW'!$B$17:$N$201,13,0)="","",VLOOKUP($A110,'Шаг2.Бланк заказа NEW'!$B$17:$N$201,13,0)),
"Нет")</f>
        <v/>
      </c>
      <c r="Q110" s="147" t="str">
        <f ca="1">IFERROR(IF(VLOOKUP($A110,'Шаг2.Бланк заказа NEW'!$B$17:$O$201,14,0)="","",VLOOKUP($A110,'Шаг2.Бланк заказа NEW'!$B$17:$O$201,14,0)),"")</f>
        <v/>
      </c>
      <c r="R110" s="147" t="str">
        <f ca="1">IFERROR(IFERROR(IF(VLOOKUP($A110,'Шаг2.Бланк заказа NEW'!$B$17:$N$201,4,0)="","",VLOOKUP($A110,'Шаг2.Бланк заказа NEW'!$B$17:$N$201,4,0)),
IF(VLOOKUP($A110-COUNT('Шаг2.Бланк заказа NEW'!$B$19:$B$201),'Бланк OLD 0.8 04'!$B$12:$K$200,4,0)&gt;0,0.8,
IF(VLOOKUP($A110-COUNT('Шаг2.Бланк заказа NEW'!$B$19:$B$201),'Бланк OLD 0.8 04'!$B$12:$K$200,5,0)&gt;0,0.4,""))),
IF(VLOOKUP($A110-COUNT('Шаг2.Бланк заказа NEW'!$B$19:$B$201)-COUNT('Бланк OLD 0.8 04'!$B$18:$B$200),'Бланк OLD 2.0 04 '!$B$16:$K$200,4,0)&gt;0,2,IF(VLOOKUP($A110-COUNT('Шаг2.Бланк заказа NEW'!$B$19:$B$201)-COUNT('Бланк OLD 0.8 04'!$B$18:$B$200),'Бланк OLD 2.0 04 '!$B$16:$K$200,5,0)&gt;0,0.4,"")))</f>
        <v/>
      </c>
      <c r="S110" s="147" t="str">
        <f ca="1">IFERROR(IFERROR(IF(VLOOKUP($A110,'Шаг2.Бланк заказа NEW'!$B$17:$N$201,5,0)="","",VLOOKUP($A110,'Шаг2.Бланк заказа NEW'!$B$17:$N$201,5,0)),
IF(VLOOKUP($A110-COUNT('Шаг2.Бланк заказа NEW'!$B$19:$B$201),'Бланк OLD 0.8 04'!$B$12:$K$200,4,0)&gt;1,0.8,
IF(VLOOKUP($A110-COUNT('Шаг2.Бланк заказа NEW'!$B$19:$B$201),'Бланк OLD 0.8 04'!$B$12:$K$200,5,0)&gt;1,0.4,
IF(AND(VLOOKUP($A110-COUNT('Шаг2.Бланк заказа NEW'!$B$19:$B$201),'Бланк OLD 0.8 04'!$B$12:$K$200,4,0)&gt;0,VLOOKUP($A110-COUNT('Шаг2.Бланк заказа NEW'!$B$19:$B$201),'Бланк OLD 0.8 04'!$B$12:$K$200,5,0)&gt;0),0.4,"")))),
IF(VLOOKUP($A110-COUNT('Шаг2.Бланк заказа NEW'!$B$19:$B$201)-COUNT('Бланк OLD 0.8 04'!$B$18:$B$200),'Бланк OLD 2.0 04 '!$B$16:$K$200,4,0)&gt;1,2,
IF(VLOOKUP($A110-COUNT('Шаг2.Бланк заказа NEW'!$B$19:$B$201)-COUNT('Бланк OLD 0.8 04'!$B$18:$B$200),'Бланк OLD 2.0 04 '!$B$16:$K$200,5,0)&gt;1,0.4,IF(AND(VLOOKUP($A110-COUNT('Шаг2.Бланк заказа NEW'!$B$19:$B$201)-COUNT('Бланк OLD 0.8 04'!$B$18:$B$200),'Бланк OLD 2.0 04 '!$B$16:$K$200,4,0)&gt;0,VLOOKUP($A110-COUNT('Шаг2.Бланк заказа NEW'!$B$19:$B$201)-COUNT('Бланк OLD 0.8 04'!$B$18:$B$200),'Бланк OLD 2.0 04 '!$B$16:$K$200,5,0)&gt;0),0.4,""))))</f>
        <v/>
      </c>
      <c r="T110" s="147" t="str">
        <f ca="1">IFERROR(IFERROR(IF(VLOOKUP($A110,'Шаг2.Бланк заказа NEW'!$B$17:$N$201,7,0)="","",VLOOKUP($A110,'Шаг2.Бланк заказа NEW'!$B$17:$N$201,7,0)),
IF(VLOOKUP($A110-COUNT('Шаг2.Бланк заказа NEW'!$B$19:$B$201),'Бланк OLD 0.8 04'!$B$12:$K$200,7,0)&gt;0,0.8,
IF(VLOOKUP($A110-COUNT('Шаг2.Бланк заказа NEW'!$B$19:$B$201),'Бланк OLD 0.8 04'!$B$12:$K$200,8,0)&gt;0,0.4,""))),
IF(VLOOKUP($A110-COUNT('Шаг2.Бланк заказа NEW'!$B$19:$B$201)-COUNT('Бланк OLD 0.8 04'!$B$18:$B$200),'Бланк OLD 2.0 04 '!$B$16:$K$200,7,0)&gt;0,2,IF(VLOOKUP($A110-COUNT('Шаг2.Бланк заказа NEW'!$B$19:$B$201)-COUNT('Бланк OLD 0.8 04'!$B$18:$B$200),'Бланк OLD 2.0 04 '!$B$16:$K$200,8,0)&gt;0,0.4,"")))</f>
        <v/>
      </c>
      <c r="U110" s="147" t="str">
        <f ca="1">IFERROR(IFERROR(IF(VLOOKUP($A110,'Шаг2.Бланк заказа NEW'!$B$17:$N$201,8,0)="","",VLOOKUP($A110,'Шаг2.Бланк заказа NEW'!$B$17:$N$201,8,0)),
IF(VLOOKUP($A110-COUNT('Шаг2.Бланк заказа NEW'!$B$19:$B$201),'Бланк OLD 0.8 04'!$B$12:$K$200,7,0)&gt;1,0.8,
IF(VLOOKUP($A110-COUNT('Шаг2.Бланк заказа NEW'!$B$19:$B$201),'Бланк OLD 0.8 04'!$B$12:$K$200,8,0)&gt;1,0.4,
IF(AND(VLOOKUP($A110-COUNT('Шаг2.Бланк заказа NEW'!$B$19:$B$201),'Бланк OLD 0.8 04'!$B$12:$K$200,7,0)&gt;0,VLOOKUP($A110-COUNT('Шаг2.Бланк заказа NEW'!$B$19:$B$201),'Бланк OLD 0.8 04'!$B$12:$K$200,8,0)&gt;0),0.4,"")))),
IF(VLOOKUP($A110-COUNT('Шаг2.Бланк заказа NEW'!$B$19:$B$201)-COUNT('Бланк OLD 0.8 04'!$B$18:$B$200),'Бланк OLD 2.0 04 '!$B$16:$K$200,7,0)&gt;1,2,
IF(VLOOKUP($A110-COUNT('Шаг2.Бланк заказа NEW'!$B$19:$B$201)-COUNT('Бланк OLD 0.8 04'!$B$18:$B$200),'Бланк OLD 2.0 04 '!$B$16:$K$200,8,0)&gt;1,0.4,
IF(AND(VLOOKUP($A110-COUNT('Шаг2.Бланк заказа NEW'!$B$19:$B$201)-COUNT('Бланк OLD 0.8 04'!$B$18:$B$200),'Бланк OLD 2.0 04 '!$B$16:$K$200,7,0)&gt;0,VLOOKUP($A110-COUNT('Шаг2.Бланк заказа NEW'!$B$19:$B$201)-COUNT('Бланк OLD 0.8 04'!$B$18:$B$200),'Бланк OLD 2.0 04 '!$B$16:$K$200,8,0)&gt;0),0.4,""))))</f>
        <v/>
      </c>
      <c r="V110" s="146" t="str">
        <f ca="1">IFERROR(VLOOKUP(C110,'Шаг1.Выбор плиты'!C:S,12,0),"")</f>
        <v/>
      </c>
      <c r="W110" s="146" t="str">
        <f ca="1">IFERROR(VLOOKUP(C110,'Шаг1.Выбор плиты'!C:S,8,0),"")</f>
        <v/>
      </c>
      <c r="X110" s="146" t="str">
        <f ca="1">IFERROR(VLOOKUP(C110,'Шаг1.Выбор плиты'!C:S,10,0),"")</f>
        <v/>
      </c>
      <c r="Y110" s="147" t="str">
        <f t="shared" ca="1" si="8"/>
        <v/>
      </c>
      <c r="AD110" s="147" t="str">
        <f t="shared" ca="1" si="11"/>
        <v/>
      </c>
      <c r="AE110" s="147" t="str">
        <f t="shared" ca="1" si="9"/>
        <v/>
      </c>
      <c r="AF110" s="25"/>
      <c r="AH110" s="147" t="str">
        <f ca="1">IF(C110="","",VLOOKUP(C110,'Шаг1.Выбор плиты'!C:Q,7,0))</f>
        <v/>
      </c>
      <c r="AI110" s="147" t="str">
        <f t="shared" ca="1" si="12"/>
        <v/>
      </c>
    </row>
    <row r="111" spans="1:35" x14ac:dyDescent="0.2">
      <c r="A111" s="151" t="str">
        <f ca="1">IF(C111="","",MAX($A$1:OFFSET(C111,-1,0))+1)</f>
        <v/>
      </c>
      <c r="B111" s="151" t="str">
        <f ca="1">IFERROR(IFERROR(IFERROR("Шаг2.Бланк заказа NEW №"&amp;VLOOKUP(A110+1,CHOOSE({1,2},'Шаг2.Бланк заказа NEW'!$B$19:$B$201,'Шаг2.Бланк заказа NEW'!$A$19:$A$201),1,0),
"Бланк OLD 0.8 04 №"&amp;VLOOKUP(A110+1-COUNT('Шаг2.Бланк заказа NEW'!$B$19:$B$201),CHOOSE({1,2},'Бланк OLD 0.8 04'!$B$18:$B$200,'Бланк OLD 0.8 04'!$A$18:$A$200),1,0)),
"Бланк OLD 2.0 04 №"&amp;VLOOKUP(A110+1-COUNT('Шаг2.Бланк заказа NEW'!$B$19:$B$201)-COUNT('Бланк OLD 0.8 04'!$B$18:$B$200),CHOOSE({1,2},'Бланк OLD 2.0 04 '!$B$18:$B$200,'Бланк OLD 2.0 04 '!$A$18:$A$200),1,0)),"")</f>
        <v/>
      </c>
      <c r="C111" s="152" t="str">
        <f ca="1">IFERROR(IFERROR(IFERROR(VLOOKUP(A110+1,CHOOSE({1,2},'Шаг2.Бланк заказа NEW'!$B$19:$B$201,'Шаг2.Бланк заказа NEW'!$A$19:$A$201),2,0),
VLOOKUP(A110+1-COUNT('Шаг2.Бланк заказа NEW'!$B$19:$B$201),CHOOSE({1,2},'Бланк OLD 0.8 04'!$B$18:$B$200,'Бланк OLD 0.8 04'!$A$18:$A$200),2,0)),
VLOOKUP(A110+1-COUNT('Шаг2.Бланк заказа NEW'!$B$19:$B$201)-COUNT('Бланк OLD 0.8 04'!$B$18:$B$200),CHOOSE({1,2},'Бланк OLD 2.0 04 '!$B$18:$B$200,'Бланк OLD 2.0 04 '!$A$18:$A$200),2,0)),"")</f>
        <v/>
      </c>
      <c r="D111" s="150" t="str">
        <f ca="1">IFERROR(VLOOKUP(C111,'Шаг1.Выбор плиты'!C:G,5,0),"")</f>
        <v/>
      </c>
      <c r="E111" s="147" t="str">
        <f ca="1">IFERROR(IFERROR(IF(VLOOKUP($A111,'Шаг2.Бланк заказа NEW'!$B$17:$N$201,2,0)="","",VLOOKUP($A111,'Шаг2.Бланк заказа NEW'!$B$17:$N$201,2,0)),
IF(VLOOKUP($A111-COUNT('Шаг2.Бланк заказа NEW'!$B$19:$B$201),'Бланк OLD 0.8 04'!$B$12:$K$200,2,0)="","",VLOOKUP($A111-COUNT('Шаг2.Бланк заказа NEW'!$B$19:$B$201),'Бланк OLD 0.8 04'!$B$12:$K$200,2,0))),
IF(VLOOKUP($A111-COUNT('Шаг2.Бланк заказа NEW'!$B$19:$B$201)-COUNT('Бланк OLD 0.8 04'!$B$18:$B$200),'Бланк OLD 2.0 04 '!$B$16:$K$200,2,0)="","",VLOOKUP($A111-COUNT('Шаг2.Бланк заказа NEW'!$B$19:$B$201)-COUNT('Бланк OLD 0.8 04'!$B$18:$B$200),'Бланк OLD 2.0 04 '!$B$16:$K$200,2,0)))</f>
        <v/>
      </c>
      <c r="F111" s="147" t="str">
        <f ca="1">IFERROR(IFERROR(IF(VLOOKUP($A111,'Шаг2.Бланк заказа NEW'!$B$17:$N$201,3,0)="","",VLOOKUP($A111,'Шаг2.Бланк заказа NEW'!$B$17:$N$201,3,0)),
IF(VLOOKUP($A111-COUNT('Шаг2.Бланк заказа NEW'!$B$19:$B$201),'Бланк OLD 0.8 04'!$B$12:$K$200,3,0)="","",VLOOKUP($A111-COUNT('Шаг2.Бланк заказа NEW'!$B$19:$B$201),'Бланк OLD 0.8 04'!$B$12:$K$200,3,0))),
IF(VLOOKUP($A111-COUNT('Шаг2.Бланк заказа NEW'!$B$19:$B$201)-COUNT('Бланк OLD 0.8 04'!$B$18:$B$200),'Бланк OLD 2.0 04 '!$B$16:$K$200,3,0)="","",VLOOKUP($A111-COUNT('Шаг2.Бланк заказа NEW'!$B$19:$B$201)-COUNT('Бланк OLD 0.8 04'!$B$18:$B$200),'Бланк OLD 2.0 04 '!$B$16:$K$200,3,0)))</f>
        <v/>
      </c>
      <c r="G111" s="176" t="str">
        <f ca="1">IF(IF(R111="","",IF(R111=1,SUMIFS('Шаг1.Выбор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плиты'!C:Q,12,0)),1))))))=0,
R111,
IF(R111="","",IF(R111=1,SUMIFS('Шаг1.Выбор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плиты'!N:N,R111,'Шаг1.Выбор плиты'!M:M,SMALL(INDIRECT("мм"&amp;VLOOKUP(C111,'Шаг1.Выбор плиты'!C:Q,12,0)),1)))))))</f>
        <v/>
      </c>
      <c r="H111" s="177" t="str">
        <f ca="1">IF(IF(S111="","",IF(S111=1,SUMIFS('Шаг1.Выбор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плиты'!C:Q,12,0)),1))))))=0,
S111,
IF(S111="","",IF(S111=1,SUMIFS('Шаг1.Выбор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плиты'!N:N,S111,'Шаг1.Выбор плиты'!M:M,SMALL(INDIRECT("мм"&amp;VLOOKUP(C111,'Шаг1.Выбор плиты'!C:Q,12,0)),1)))))))</f>
        <v/>
      </c>
      <c r="I111" s="147" t="str">
        <f ca="1">IFERROR(IFERROR(IF(VLOOKUP($A111,'Шаг2.Бланк заказа NEW'!$B$17:$N$201,6,0)="","",VLOOKUP($A111,'Шаг2.Бланк заказа NEW'!$B$17:$N$201,6,0)),
IF(VLOOKUP($A111-COUNT('Шаг2.Бланк заказа NEW'!$B$19:$B$201),'Бланк OLD 0.8 04'!$B$12:$K$200,6,0)="","",VLOOKUP($A111-COUNT('Шаг2.Бланк заказа NEW'!$B$19:$B$201),'Бланк OLD 0.8 04'!$B$12:$K$200,6,0))),
IF(VLOOKUP($A111-COUNT('Шаг2.Бланк заказа NEW'!$B$19:$B$201)-COUNT('Бланк OLD 0.8 04'!$B$18:$B$200),'Бланк OLD 2.0 04 '!$B$16:$K$200,6,0)="","",VLOOKUP($A111-COUNT('Шаг2.Бланк заказа NEW'!$B$19:$B$201)-COUNT('Бланк OLD 0.8 04'!$B$18:$B$200),'Бланк OLD 2.0 04 '!$B$16:$K$200,6,0)))</f>
        <v/>
      </c>
      <c r="J111" s="177" t="str">
        <f ca="1">IF(IF(T111="","",IF(T111=1,SUMIFS('Шаг1.Выбор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плиты'!C:Q,12,0)),1))))))=0,
T111,
IF(T111="","",IF(T111=1,SUMIFS('Шаг1.Выбор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плиты'!N:N,T111,'Шаг1.Выбор плиты'!M:M,SMALL(INDIRECT("мм"&amp;VLOOKUP(C111,'Шаг1.Выбор плиты'!C:Q,12,0)),1)))))))</f>
        <v/>
      </c>
      <c r="K111" s="177" t="str">
        <f ca="1">IF(IF(U111="","",IF(U111=1,SUMIFS('Шаг1.Выбор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плиты'!C:Q,12,0)),1))))))=0,
U111,
IF(U111="","",IF(U111=1,SUMIFS('Шаг1.Выбор плиты'!$G:$G,'Шаг1.Выбор плиты'!J:J,"*"&amp;RIGHT(VLOOKUP(C111,'Шаг1.Выбор плиты'!C:Q,8,0),4),'Шаг1.Выбор плиты'!L:L,IF(MID(C111,1,6)="ЛДСП P","TM"&amp;MID(VLOOKUP(C111,'Шаг1.Выбор плиты'!C:Q,10,0),3,2),MID(VLOOKUP(C111,'Шаг1.Выбор плиты'!C:Q,10,0),1,2)),
'Шаг1.Выбор плиты'!N:N,1),IF(SUMIFS('Шаг1.Выбор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плиты'!C:Q,12,0)),1))=0,
IF(SUMIFS('Шаг1.Выбор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плиты'!C:Q,12,0)),2))=0,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плиты'!C:Q,12,0)),3)),
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плиты'!C:Q,12,0)),2))),
(SUMIFS('Шаг1.Выбор плиты'!$G:$G,'Шаг1.Выбор плиты'!J:J,"*"&amp;RIGHT(VLOOKUP(C111,'Шаг1.Выбор плиты'!C:Q,8,0),4),'Шаг1.Выбор плиты'!L:L,VLOOKUP(C111,'Шаг1.Выбор плиты'!C:Q,10,0),'Шаг1.Выбор плиты'!N:N,U111,'Шаг1.Выбор плиты'!M:M,SMALL(INDIRECT("мм"&amp;VLOOKUP(C111,'Шаг1.Выбор плиты'!C:Q,12,0)),1)))))))</f>
        <v/>
      </c>
      <c r="L111" s="147" t="str">
        <f ca="1">IFERROR(IFERROR(IF(VLOOKUP($A111,'Шаг2.Бланк заказа NEW'!$B$17:$N$201,9,0)="","",VLOOKUP($A111,'Шаг2.Бланк заказа NEW'!$B$17:$N$201,9,0)),
IF(VLOOKUP($A111-COUNT('Шаг2.Бланк заказа NEW'!$B$19:$B$201),'Бланк OLD 0.8 04'!$B$12:$K$200,9,0)="","",VLOOKUP($A111-COUNT('Шаг2.Бланк заказа NEW'!$B$19:$B$201),'Бланк OLD 0.8 04'!$B$12:$K$200,9,0))),
IF(VLOOKUP($A111-COUNT('Шаг2.Бланк заказа NEW'!$B$19:$B$201)-COUNT('Бланк OLD 0.8 04'!$B$18:$B$200),'Бланк OLD 2.0 04 '!$B$16:$K$200,9,0)="","",VLOOKUP($A111-COUNT('Шаг2.Бланк заказа NEW'!$B$19:$B$201)-COUNT('Бланк OLD 0.8 04'!$B$18:$B$200),'Бланк OLD 2.0 04 '!$B$16:$K$200,9,0)))</f>
        <v/>
      </c>
      <c r="M111" s="154" t="str">
        <f t="shared" ca="1" si="10"/>
        <v/>
      </c>
      <c r="N111" s="153" t="str">
        <f ca="1">IFERROR(IF(VLOOKUP($A111,'Шаг2.Бланк заказа NEW'!$B$17:$N$201,11,0)="","",VLOOKUP($A111,'Шаг2.Бланк заказа NEW'!$B$17:$N$201,11,0)),
"Нет")</f>
        <v/>
      </c>
      <c r="O111" s="147" t="str">
        <f ca="1">IFERROR(IF(VLOOKUP($A111,'Шаг2.Бланк заказа NEW'!$B$17:$N$201,11,0)="","",VLOOKUP($A111,'Шаг2.Бланк заказа NEW'!$B$17:$N$201,12,0)),
"Нет")</f>
        <v/>
      </c>
      <c r="P111" s="153" t="str">
        <f ca="1">IFERROR(IF(VLOOKUP($A111,'Шаг2.Бланк заказа NEW'!$B$17:$N$201,13,0)="","",VLOOKUP($A111,'Шаг2.Бланк заказа NEW'!$B$17:$N$201,13,0)),
"Нет")</f>
        <v/>
      </c>
      <c r="Q111" s="147" t="str">
        <f ca="1">IFERROR(IF(VLOOKUP($A111,'Шаг2.Бланк заказа NEW'!$B$17:$O$201,14,0)="","",VLOOKUP($A111,'Шаг2.Бланк заказа NEW'!$B$17:$O$201,14,0)),"")</f>
        <v/>
      </c>
      <c r="R111" s="147" t="str">
        <f ca="1">IFERROR(IFERROR(IF(VLOOKUP($A111,'Шаг2.Бланк заказа NEW'!$B$17:$N$201,4,0)="","",VLOOKUP($A111,'Шаг2.Бланк заказа NEW'!$B$17:$N$201,4,0)),
IF(VLOOKUP($A111-COUNT('Шаг2.Бланк заказа NEW'!$B$19:$B$201),'Бланк OLD 0.8 04'!$B$12:$K$200,4,0)&gt;0,0.8,
IF(VLOOKUP($A111-COUNT('Шаг2.Бланк заказа NEW'!$B$19:$B$201),'Бланк OLD 0.8 04'!$B$12:$K$200,5,0)&gt;0,0.4,""))),
IF(VLOOKUP($A111-COUNT('Шаг2.Бланк заказа NEW'!$B$19:$B$201)-COUNT('Бланк OLD 0.8 04'!$B$18:$B$200),'Бланк OLD 2.0 04 '!$B$16:$K$200,4,0)&gt;0,2,IF(VLOOKUP($A111-COUNT('Шаг2.Бланк заказа NEW'!$B$19:$B$201)-COUNT('Бланк OLD 0.8 04'!$B$18:$B$200),'Бланк OLD 2.0 04 '!$B$16:$K$200,5,0)&gt;0,0.4,"")))</f>
        <v/>
      </c>
      <c r="S111" s="147" t="str">
        <f ca="1">IFERROR(IFERROR(IF(VLOOKUP($A111,'Шаг2.Бланк заказа NEW'!$B$17:$N$201,5,0)="","",VLOOKUP($A111,'Шаг2.Бланк заказа NEW'!$B$17:$N$201,5,0)),
IF(VLOOKUP($A111-COUNT('Шаг2.Бланк заказа NEW'!$B$19:$B$201),'Бланк OLD 0.8 04'!$B$12:$K$200,4,0)&gt;1,0.8,
IF(VLOOKUP($A111-COUNT('Шаг2.Бланк заказа NEW'!$B$19:$B$201),'Бланк OLD 0.8 04'!$B$12:$K$200,5,0)&gt;1,0.4,
IF(AND(VLOOKUP($A111-COUNT('Шаг2.Бланк заказа NEW'!$B$19:$B$201),'Бланк OLD 0.8 04'!$B$12:$K$200,4,0)&gt;0,VLOOKUP($A111-COUNT('Шаг2.Бланк заказа NEW'!$B$19:$B$201),'Бланк OLD 0.8 04'!$B$12:$K$200,5,0)&gt;0),0.4,"")))),
IF(VLOOKUP($A111-COUNT('Шаг2.Бланк заказа NEW'!$B$19:$B$201)-COUNT('Бланк OLD 0.8 04'!$B$18:$B$200),'Бланк OLD 2.0 04 '!$B$16:$K$200,4,0)&gt;1,2,
IF(VLOOKUP($A111-COUNT('Шаг2.Бланк заказа NEW'!$B$19:$B$201)-COUNT('Бланк OLD 0.8 04'!$B$18:$B$200),'Бланк OLD 2.0 04 '!$B$16:$K$200,5,0)&gt;1,0.4,IF(AND(VLOOKUP($A111-COUNT('Шаг2.Бланк заказа NEW'!$B$19:$B$201)-COUNT('Бланк OLD 0.8 04'!$B$18:$B$200),'Бланк OLD 2.0 04 '!$B$16:$K$200,4,0)&gt;0,VLOOKUP($A111-COUNT('Шаг2.Бланк заказа NEW'!$B$19:$B$201)-COUNT('Бланк OLD 0.8 04'!$B$18:$B$200),'Бланк OLD 2.0 04 '!$B$16:$K$200,5,0)&gt;0),0.4,""))))</f>
        <v/>
      </c>
      <c r="T111" s="147" t="str">
        <f ca="1">IFERROR(IFERROR(IF(VLOOKUP($A111,'Шаг2.Бланк заказа NEW'!$B$17:$N$201,7,0)="","",VLOOKUP($A111,'Шаг2.Бланк заказа NEW'!$B$17:$N$201,7,0)),
IF(VLOOKUP($A111-COUNT('Шаг2.Бланк заказа NEW'!$B$19:$B$201),'Бланк OLD 0.8 04'!$B$12:$K$200,7,0)&gt;0,0.8,
IF(VLOOKUP($A111-COUNT('Шаг2.Бланк заказа NEW'!$B$19:$B$201),'Бланк OLD 0.8 04'!$B$12:$K$200,8,0)&gt;0,0.4,""))),
IF(VLOOKUP($A111-COUNT('Шаг2.Бланк заказа NEW'!$B$19:$B$201)-COUNT('Бланк OLD 0.8 04'!$B$18:$B$200),'Бланк OLD 2.0 04 '!$B$16:$K$200,7,0)&gt;0,2,IF(VLOOKUP($A111-COUNT('Шаг2.Бланк заказа NEW'!$B$19:$B$201)-COUNT('Бланк OLD 0.8 04'!$B$18:$B$200),'Бланк OLD 2.0 04 '!$B$16:$K$200,8,0)&gt;0,0.4,"")))</f>
        <v/>
      </c>
      <c r="U111" s="147" t="str">
        <f ca="1">IFERROR(IFERROR(IF(VLOOKUP($A111,'Шаг2.Бланк заказа NEW'!$B$17:$N$201,8,0)="","",VLOOKUP($A111,'Шаг2.Бланк заказа NEW'!$B$17:$N$201,8,0)),
IF(VLOOKUP($A111-COUNT('Шаг2.Бланк заказа NEW'!$B$19:$B$201),'Бланк OLD 0.8 04'!$B$12:$K$200,7,0)&gt;1,0.8,
IF(VLOOKUP($A111-COUNT('Шаг2.Бланк заказа NEW'!$B$19:$B$201),'Бланк OLD 0.8 04'!$B$12:$K$200,8,0)&gt;1,0.4,
IF(AND(VLOOKUP($A111-COUNT('Шаг2.Бланк заказа NEW'!$B$19:$B$201),'Бланк OLD 0.8 04'!$B$12:$K$200,7,0)&gt;0,VLOOKUP($A111-COUNT('Шаг2.Бланк заказа NEW'!$B$19:$B$201),'Бланк OLD 0.8 04'!$B$12:$K$200,8,0)&gt;0),0.4,"")))),
IF(VLOOKUP($A111-COUNT('Шаг2.Бланк заказа NEW'!$B$19:$B$201)-COUNT('Бланк OLD 0.8 04'!$B$18:$B$200),'Бланк OLD 2.0 04 '!$B$16:$K$200,7,0)&gt;1,2,
IF(VLOOKUP($A111-COUNT('Шаг2.Бланк заказа NEW'!$B$19:$B$201)-COUNT('Бланк OLD 0.8 04'!$B$18:$B$200),'Бланк OLD 2.0 04 '!$B$16:$K$200,8,0)&gt;1,0.4,
IF(AND(VLOOKUP($A111-COUNT('Шаг2.Бланк заказа NEW'!$B$19:$B$201)-COUNT('Бланк OLD 0.8 04'!$B$18:$B$200),'Бланк OLD 2.0 04 '!$B$16:$K$200,7,0)&gt;0,VLOOKUP($A111-COUNT('Шаг2.Бланк заказа NEW'!$B$19:$B$201)-COUNT('Бланк OLD 0.8 04'!$B$18:$B$200),'Бланк OLD 2.0 04 '!$B$16:$K$200,8,0)&gt;0),0.4,""))))</f>
        <v/>
      </c>
      <c r="V111" s="146" t="str">
        <f ca="1">IFERROR(VLOOKUP(C111,'Шаг1.Выбор плиты'!C:S,12,0),"")</f>
        <v/>
      </c>
      <c r="W111" s="146" t="str">
        <f ca="1">IFERROR(VLOOKUP(C111,'Шаг1.Выбор плиты'!C:S,8,0),"")</f>
        <v/>
      </c>
      <c r="X111" s="146" t="str">
        <f ca="1">IFERROR(VLOOKUP(C111,'Шаг1.Выбор плиты'!C:S,10,0),"")</f>
        <v/>
      </c>
      <c r="Y111" s="147" t="str">
        <f t="shared" ca="1" si="8"/>
        <v/>
      </c>
      <c r="AD111" s="147" t="str">
        <f t="shared" ca="1" si="11"/>
        <v/>
      </c>
      <c r="AE111" s="147" t="str">
        <f t="shared" ca="1" si="9"/>
        <v/>
      </c>
      <c r="AF111" s="25"/>
      <c r="AH111" s="147" t="str">
        <f ca="1">IF(C111="","",VLOOKUP(C111,'Шаг1.Выбор плиты'!C:Q,7,0))</f>
        <v/>
      </c>
      <c r="AI111" s="147" t="str">
        <f t="shared" ca="1" si="12"/>
        <v/>
      </c>
    </row>
    <row r="112" spans="1:35" x14ac:dyDescent="0.2">
      <c r="A112" s="151" t="str">
        <f ca="1">IF(C112="","",MAX($A$1:OFFSET(C112,-1,0))+1)</f>
        <v/>
      </c>
      <c r="B112" s="151" t="str">
        <f ca="1">IFERROR(IFERROR(IFERROR("Шаг2.Бланк заказа NEW №"&amp;VLOOKUP(A111+1,CHOOSE({1,2},'Шаг2.Бланк заказа NEW'!$B$19:$B$201,'Шаг2.Бланк заказа NEW'!$A$19:$A$201),1,0),
"Бланк OLD 0.8 04 №"&amp;VLOOKUP(A111+1-COUNT('Шаг2.Бланк заказа NEW'!$B$19:$B$201),CHOOSE({1,2},'Бланк OLD 0.8 04'!$B$18:$B$200,'Бланк OLD 0.8 04'!$A$18:$A$200),1,0)),
"Бланк OLD 2.0 04 №"&amp;VLOOKUP(A111+1-COUNT('Шаг2.Бланк заказа NEW'!$B$19:$B$201)-COUNT('Бланк OLD 0.8 04'!$B$18:$B$200),CHOOSE({1,2},'Бланк OLD 2.0 04 '!$B$18:$B$200,'Бланк OLD 2.0 04 '!$A$18:$A$200),1,0)),"")</f>
        <v/>
      </c>
      <c r="C112" s="152" t="str">
        <f ca="1">IFERROR(IFERROR(IFERROR(VLOOKUP(A111+1,CHOOSE({1,2},'Шаг2.Бланк заказа NEW'!$B$19:$B$201,'Шаг2.Бланк заказа NEW'!$A$19:$A$201),2,0),
VLOOKUP(A111+1-COUNT('Шаг2.Бланк заказа NEW'!$B$19:$B$201),CHOOSE({1,2},'Бланк OLD 0.8 04'!$B$18:$B$200,'Бланк OLD 0.8 04'!$A$18:$A$200),2,0)),
VLOOKUP(A111+1-COUNT('Шаг2.Бланк заказа NEW'!$B$19:$B$201)-COUNT('Бланк OLD 0.8 04'!$B$18:$B$200),CHOOSE({1,2},'Бланк OLD 2.0 04 '!$B$18:$B$200,'Бланк OLD 2.0 04 '!$A$18:$A$200),2,0)),"")</f>
        <v/>
      </c>
      <c r="D112" s="150" t="str">
        <f ca="1">IFERROR(VLOOKUP(C112,'Шаг1.Выбор плиты'!C:G,5,0),"")</f>
        <v/>
      </c>
      <c r="E112" s="147" t="str">
        <f ca="1">IFERROR(IFERROR(IF(VLOOKUP($A112,'Шаг2.Бланк заказа NEW'!$B$17:$N$201,2,0)="","",VLOOKUP($A112,'Шаг2.Бланк заказа NEW'!$B$17:$N$201,2,0)),
IF(VLOOKUP($A112-COUNT('Шаг2.Бланк заказа NEW'!$B$19:$B$201),'Бланк OLD 0.8 04'!$B$12:$K$200,2,0)="","",VLOOKUP($A112-COUNT('Шаг2.Бланк заказа NEW'!$B$19:$B$201),'Бланк OLD 0.8 04'!$B$12:$K$200,2,0))),
IF(VLOOKUP($A112-COUNT('Шаг2.Бланк заказа NEW'!$B$19:$B$201)-COUNT('Бланк OLD 0.8 04'!$B$18:$B$200),'Бланк OLD 2.0 04 '!$B$16:$K$200,2,0)="","",VLOOKUP($A112-COUNT('Шаг2.Бланк заказа NEW'!$B$19:$B$201)-COUNT('Бланк OLD 0.8 04'!$B$18:$B$200),'Бланк OLD 2.0 04 '!$B$16:$K$200,2,0)))</f>
        <v/>
      </c>
      <c r="F112" s="147" t="str">
        <f ca="1">IFERROR(IFERROR(IF(VLOOKUP($A112,'Шаг2.Бланк заказа NEW'!$B$17:$N$201,3,0)="","",VLOOKUP($A112,'Шаг2.Бланк заказа NEW'!$B$17:$N$201,3,0)),
IF(VLOOKUP($A112-COUNT('Шаг2.Бланк заказа NEW'!$B$19:$B$201),'Бланк OLD 0.8 04'!$B$12:$K$200,3,0)="","",VLOOKUP($A112-COUNT('Шаг2.Бланк заказа NEW'!$B$19:$B$201),'Бланк OLD 0.8 04'!$B$12:$K$200,3,0))),
IF(VLOOKUP($A112-COUNT('Шаг2.Бланк заказа NEW'!$B$19:$B$201)-COUNT('Бланк OLD 0.8 04'!$B$18:$B$200),'Бланк OLD 2.0 04 '!$B$16:$K$200,3,0)="","",VLOOKUP($A112-COUNT('Шаг2.Бланк заказа NEW'!$B$19:$B$201)-COUNT('Бланк OLD 0.8 04'!$B$18:$B$200),'Бланк OLD 2.0 04 '!$B$16:$K$200,3,0)))</f>
        <v/>
      </c>
      <c r="G112" s="176" t="str">
        <f ca="1">IF(IF(R112="","",IF(R112=1,SUMIFS('Шаг1.Выбор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плиты'!C:Q,12,0)),1))))))=0,
R112,
IF(R112="","",IF(R112=1,SUMIFS('Шаг1.Выбор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плиты'!N:N,R112,'Шаг1.Выбор плиты'!M:M,SMALL(INDIRECT("мм"&amp;VLOOKUP(C112,'Шаг1.Выбор плиты'!C:Q,12,0)),1)))))))</f>
        <v/>
      </c>
      <c r="H112" s="177" t="str">
        <f ca="1">IF(IF(S112="","",IF(S112=1,SUMIFS('Шаг1.Выбор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плиты'!C:Q,12,0)),1))))))=0,
S112,
IF(S112="","",IF(S112=1,SUMIFS('Шаг1.Выбор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плиты'!N:N,S112,'Шаг1.Выбор плиты'!M:M,SMALL(INDIRECT("мм"&amp;VLOOKUP(C112,'Шаг1.Выбор плиты'!C:Q,12,0)),1)))))))</f>
        <v/>
      </c>
      <c r="I112" s="147" t="str">
        <f ca="1">IFERROR(IFERROR(IF(VLOOKUP($A112,'Шаг2.Бланк заказа NEW'!$B$17:$N$201,6,0)="","",VLOOKUP($A112,'Шаг2.Бланк заказа NEW'!$B$17:$N$201,6,0)),
IF(VLOOKUP($A112-COUNT('Шаг2.Бланк заказа NEW'!$B$19:$B$201),'Бланк OLD 0.8 04'!$B$12:$K$200,6,0)="","",VLOOKUP($A112-COUNT('Шаг2.Бланк заказа NEW'!$B$19:$B$201),'Бланк OLD 0.8 04'!$B$12:$K$200,6,0))),
IF(VLOOKUP($A112-COUNT('Шаг2.Бланк заказа NEW'!$B$19:$B$201)-COUNT('Бланк OLD 0.8 04'!$B$18:$B$200),'Бланк OLD 2.0 04 '!$B$16:$K$200,6,0)="","",VLOOKUP($A112-COUNT('Шаг2.Бланк заказа NEW'!$B$19:$B$201)-COUNT('Бланк OLD 0.8 04'!$B$18:$B$200),'Бланк OLD 2.0 04 '!$B$16:$K$200,6,0)))</f>
        <v/>
      </c>
      <c r="J112" s="177" t="str">
        <f ca="1">IF(IF(T112="","",IF(T112=1,SUMIFS('Шаг1.Выбор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плиты'!C:Q,12,0)),1))))))=0,
T112,
IF(T112="","",IF(T112=1,SUMIFS('Шаг1.Выбор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плиты'!N:N,T112,'Шаг1.Выбор плиты'!M:M,SMALL(INDIRECT("мм"&amp;VLOOKUP(C112,'Шаг1.Выбор плиты'!C:Q,12,0)),1)))))))</f>
        <v/>
      </c>
      <c r="K112" s="177" t="str">
        <f ca="1">IF(IF(U112="","",IF(U112=1,SUMIFS('Шаг1.Выбор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плиты'!C:Q,12,0)),1))))))=0,
U112,
IF(U112="","",IF(U112=1,SUMIFS('Шаг1.Выбор плиты'!$G:$G,'Шаг1.Выбор плиты'!J:J,"*"&amp;RIGHT(VLOOKUP(C112,'Шаг1.Выбор плиты'!C:Q,8,0),4),'Шаг1.Выбор плиты'!L:L,IF(MID(C112,1,6)="ЛДСП P","TM"&amp;MID(VLOOKUP(C112,'Шаг1.Выбор плиты'!C:Q,10,0),3,2),MID(VLOOKUP(C112,'Шаг1.Выбор плиты'!C:Q,10,0),1,2)),
'Шаг1.Выбор плиты'!N:N,1),IF(SUMIFS('Шаг1.Выбор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плиты'!C:Q,12,0)),1))=0,
IF(SUMIFS('Шаг1.Выбор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плиты'!C:Q,12,0)),2))=0,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плиты'!C:Q,12,0)),3)),
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плиты'!C:Q,12,0)),2))),
(SUMIFS('Шаг1.Выбор плиты'!$G:$G,'Шаг1.Выбор плиты'!J:J,"*"&amp;RIGHT(VLOOKUP(C112,'Шаг1.Выбор плиты'!C:Q,8,0),4),'Шаг1.Выбор плиты'!L:L,VLOOKUP(C112,'Шаг1.Выбор плиты'!C:Q,10,0),'Шаг1.Выбор плиты'!N:N,U112,'Шаг1.Выбор плиты'!M:M,SMALL(INDIRECT("мм"&amp;VLOOKUP(C112,'Шаг1.Выбор плиты'!C:Q,12,0)),1)))))))</f>
        <v/>
      </c>
      <c r="L112" s="147" t="str">
        <f ca="1">IFERROR(IFERROR(IF(VLOOKUP($A112,'Шаг2.Бланк заказа NEW'!$B$17:$N$201,9,0)="","",VLOOKUP($A112,'Шаг2.Бланк заказа NEW'!$B$17:$N$201,9,0)),
IF(VLOOKUP($A112-COUNT('Шаг2.Бланк заказа NEW'!$B$19:$B$201),'Бланк OLD 0.8 04'!$B$12:$K$200,9,0)="","",VLOOKUP($A112-COUNT('Шаг2.Бланк заказа NEW'!$B$19:$B$201),'Бланк OLD 0.8 04'!$B$12:$K$200,9,0))),
IF(VLOOKUP($A112-COUNT('Шаг2.Бланк заказа NEW'!$B$19:$B$201)-COUNT('Бланк OLD 0.8 04'!$B$18:$B$200),'Бланк OLD 2.0 04 '!$B$16:$K$200,9,0)="","",VLOOKUP($A112-COUNT('Шаг2.Бланк заказа NEW'!$B$19:$B$201)-COUNT('Бланк OLD 0.8 04'!$B$18:$B$200),'Бланк OLD 2.0 04 '!$B$16:$K$200,9,0)))</f>
        <v/>
      </c>
      <c r="M112" s="154" t="str">
        <f t="shared" ca="1" si="10"/>
        <v/>
      </c>
      <c r="N112" s="153" t="str">
        <f ca="1">IFERROR(IF(VLOOKUP($A112,'Шаг2.Бланк заказа NEW'!$B$17:$N$201,11,0)="","",VLOOKUP($A112,'Шаг2.Бланк заказа NEW'!$B$17:$N$201,11,0)),
"Нет")</f>
        <v/>
      </c>
      <c r="O112" s="147" t="str">
        <f ca="1">IFERROR(IF(VLOOKUP($A112,'Шаг2.Бланк заказа NEW'!$B$17:$N$201,11,0)="","",VLOOKUP($A112,'Шаг2.Бланк заказа NEW'!$B$17:$N$201,12,0)),
"Нет")</f>
        <v/>
      </c>
      <c r="P112" s="153" t="str">
        <f ca="1">IFERROR(IF(VLOOKUP($A112,'Шаг2.Бланк заказа NEW'!$B$17:$N$201,13,0)="","",VLOOKUP($A112,'Шаг2.Бланк заказа NEW'!$B$17:$N$201,13,0)),
"Нет")</f>
        <v/>
      </c>
      <c r="Q112" s="147" t="str">
        <f ca="1">IFERROR(IF(VLOOKUP($A112,'Шаг2.Бланк заказа NEW'!$B$17:$O$201,14,0)="","",VLOOKUP($A112,'Шаг2.Бланк заказа NEW'!$B$17:$O$201,14,0)),"")</f>
        <v/>
      </c>
      <c r="R112" s="147" t="str">
        <f ca="1">IFERROR(IFERROR(IF(VLOOKUP($A112,'Шаг2.Бланк заказа NEW'!$B$17:$N$201,4,0)="","",VLOOKUP($A112,'Шаг2.Бланк заказа NEW'!$B$17:$N$201,4,0)),
IF(VLOOKUP($A112-COUNT('Шаг2.Бланк заказа NEW'!$B$19:$B$201),'Бланк OLD 0.8 04'!$B$12:$K$200,4,0)&gt;0,0.8,
IF(VLOOKUP($A112-COUNT('Шаг2.Бланк заказа NEW'!$B$19:$B$201),'Бланк OLD 0.8 04'!$B$12:$K$200,5,0)&gt;0,0.4,""))),
IF(VLOOKUP($A112-COUNT('Шаг2.Бланк заказа NEW'!$B$19:$B$201)-COUNT('Бланк OLD 0.8 04'!$B$18:$B$200),'Бланк OLD 2.0 04 '!$B$16:$K$200,4,0)&gt;0,2,IF(VLOOKUP($A112-COUNT('Шаг2.Бланк заказа NEW'!$B$19:$B$201)-COUNT('Бланк OLD 0.8 04'!$B$18:$B$200),'Бланк OLD 2.0 04 '!$B$16:$K$200,5,0)&gt;0,0.4,"")))</f>
        <v/>
      </c>
      <c r="S112" s="147" t="str">
        <f ca="1">IFERROR(IFERROR(IF(VLOOKUP($A112,'Шаг2.Бланк заказа NEW'!$B$17:$N$201,5,0)="","",VLOOKUP($A112,'Шаг2.Бланк заказа NEW'!$B$17:$N$201,5,0)),
IF(VLOOKUP($A112-COUNT('Шаг2.Бланк заказа NEW'!$B$19:$B$201),'Бланк OLD 0.8 04'!$B$12:$K$200,4,0)&gt;1,0.8,
IF(VLOOKUP($A112-COUNT('Шаг2.Бланк заказа NEW'!$B$19:$B$201),'Бланк OLD 0.8 04'!$B$12:$K$200,5,0)&gt;1,0.4,
IF(AND(VLOOKUP($A112-COUNT('Шаг2.Бланк заказа NEW'!$B$19:$B$201),'Бланк OLD 0.8 04'!$B$12:$K$200,4,0)&gt;0,VLOOKUP($A112-COUNT('Шаг2.Бланк заказа NEW'!$B$19:$B$201),'Бланк OLD 0.8 04'!$B$12:$K$200,5,0)&gt;0),0.4,"")))),
IF(VLOOKUP($A112-COUNT('Шаг2.Бланк заказа NEW'!$B$19:$B$201)-COUNT('Бланк OLD 0.8 04'!$B$18:$B$200),'Бланк OLD 2.0 04 '!$B$16:$K$200,4,0)&gt;1,2,
IF(VLOOKUP($A112-COUNT('Шаг2.Бланк заказа NEW'!$B$19:$B$201)-COUNT('Бланк OLD 0.8 04'!$B$18:$B$200),'Бланк OLD 2.0 04 '!$B$16:$K$200,5,0)&gt;1,0.4,IF(AND(VLOOKUP($A112-COUNT('Шаг2.Бланк заказа NEW'!$B$19:$B$201)-COUNT('Бланк OLD 0.8 04'!$B$18:$B$200),'Бланк OLD 2.0 04 '!$B$16:$K$200,4,0)&gt;0,VLOOKUP($A112-COUNT('Шаг2.Бланк заказа NEW'!$B$19:$B$201)-COUNT('Бланк OLD 0.8 04'!$B$18:$B$200),'Бланк OLD 2.0 04 '!$B$16:$K$200,5,0)&gt;0),0.4,""))))</f>
        <v/>
      </c>
      <c r="T112" s="147" t="str">
        <f ca="1">IFERROR(IFERROR(IF(VLOOKUP($A112,'Шаг2.Бланк заказа NEW'!$B$17:$N$201,7,0)="","",VLOOKUP($A112,'Шаг2.Бланк заказа NEW'!$B$17:$N$201,7,0)),
IF(VLOOKUP($A112-COUNT('Шаг2.Бланк заказа NEW'!$B$19:$B$201),'Бланк OLD 0.8 04'!$B$12:$K$200,7,0)&gt;0,0.8,
IF(VLOOKUP($A112-COUNT('Шаг2.Бланк заказа NEW'!$B$19:$B$201),'Бланк OLD 0.8 04'!$B$12:$K$200,8,0)&gt;0,0.4,""))),
IF(VLOOKUP($A112-COUNT('Шаг2.Бланк заказа NEW'!$B$19:$B$201)-COUNT('Бланк OLD 0.8 04'!$B$18:$B$200),'Бланк OLD 2.0 04 '!$B$16:$K$200,7,0)&gt;0,2,IF(VLOOKUP($A112-COUNT('Шаг2.Бланк заказа NEW'!$B$19:$B$201)-COUNT('Бланк OLD 0.8 04'!$B$18:$B$200),'Бланк OLD 2.0 04 '!$B$16:$K$200,8,0)&gt;0,0.4,"")))</f>
        <v/>
      </c>
      <c r="U112" s="147" t="str">
        <f ca="1">IFERROR(IFERROR(IF(VLOOKUP($A112,'Шаг2.Бланк заказа NEW'!$B$17:$N$201,8,0)="","",VLOOKUP($A112,'Шаг2.Бланк заказа NEW'!$B$17:$N$201,8,0)),
IF(VLOOKUP($A112-COUNT('Шаг2.Бланк заказа NEW'!$B$19:$B$201),'Бланк OLD 0.8 04'!$B$12:$K$200,7,0)&gt;1,0.8,
IF(VLOOKUP($A112-COUNT('Шаг2.Бланк заказа NEW'!$B$19:$B$201),'Бланк OLD 0.8 04'!$B$12:$K$200,8,0)&gt;1,0.4,
IF(AND(VLOOKUP($A112-COUNT('Шаг2.Бланк заказа NEW'!$B$19:$B$201),'Бланк OLD 0.8 04'!$B$12:$K$200,7,0)&gt;0,VLOOKUP($A112-COUNT('Шаг2.Бланк заказа NEW'!$B$19:$B$201),'Бланк OLD 0.8 04'!$B$12:$K$200,8,0)&gt;0),0.4,"")))),
IF(VLOOKUP($A112-COUNT('Шаг2.Бланк заказа NEW'!$B$19:$B$201)-COUNT('Бланк OLD 0.8 04'!$B$18:$B$200),'Бланк OLD 2.0 04 '!$B$16:$K$200,7,0)&gt;1,2,
IF(VLOOKUP($A112-COUNT('Шаг2.Бланк заказа NEW'!$B$19:$B$201)-COUNT('Бланк OLD 0.8 04'!$B$18:$B$200),'Бланк OLD 2.0 04 '!$B$16:$K$200,8,0)&gt;1,0.4,
IF(AND(VLOOKUP($A112-COUNT('Шаг2.Бланк заказа NEW'!$B$19:$B$201)-COUNT('Бланк OLD 0.8 04'!$B$18:$B$200),'Бланк OLD 2.0 04 '!$B$16:$K$200,7,0)&gt;0,VLOOKUP($A112-COUNT('Шаг2.Бланк заказа NEW'!$B$19:$B$201)-COUNT('Бланк OLD 0.8 04'!$B$18:$B$200),'Бланк OLD 2.0 04 '!$B$16:$K$200,8,0)&gt;0),0.4,""))))</f>
        <v/>
      </c>
      <c r="V112" s="146" t="str">
        <f ca="1">IFERROR(VLOOKUP(C112,'Шаг1.Выбор плиты'!C:S,12,0),"")</f>
        <v/>
      </c>
      <c r="W112" s="146" t="str">
        <f ca="1">IFERROR(VLOOKUP(C112,'Шаг1.Выбор плиты'!C:S,8,0),"")</f>
        <v/>
      </c>
      <c r="X112" s="146" t="str">
        <f ca="1">IFERROR(VLOOKUP(C112,'Шаг1.Выбор плиты'!C:S,10,0),"")</f>
        <v/>
      </c>
      <c r="Y112" s="147" t="str">
        <f t="shared" ca="1" si="8"/>
        <v/>
      </c>
      <c r="AD112" s="147" t="str">
        <f t="shared" ca="1" si="11"/>
        <v/>
      </c>
      <c r="AE112" s="147" t="str">
        <f t="shared" ca="1" si="9"/>
        <v/>
      </c>
      <c r="AF112" s="25"/>
      <c r="AH112" s="147" t="str">
        <f ca="1">IF(C112="","",VLOOKUP(C112,'Шаг1.Выбор плиты'!C:Q,7,0))</f>
        <v/>
      </c>
      <c r="AI112" s="147" t="str">
        <f t="shared" ca="1" si="12"/>
        <v/>
      </c>
    </row>
    <row r="113" spans="1:35" x14ac:dyDescent="0.2">
      <c r="A113" s="151" t="str">
        <f ca="1">IF(C113="","",MAX($A$1:OFFSET(C113,-1,0))+1)</f>
        <v/>
      </c>
      <c r="B113" s="151" t="str">
        <f ca="1">IFERROR(IFERROR(IFERROR("Шаг2.Бланк заказа NEW №"&amp;VLOOKUP(A112+1,CHOOSE({1,2},'Шаг2.Бланк заказа NEW'!$B$19:$B$201,'Шаг2.Бланк заказа NEW'!$A$19:$A$201),1,0),
"Бланк OLD 0.8 04 №"&amp;VLOOKUP(A112+1-COUNT('Шаг2.Бланк заказа NEW'!$B$19:$B$201),CHOOSE({1,2},'Бланк OLD 0.8 04'!$B$18:$B$200,'Бланк OLD 0.8 04'!$A$18:$A$200),1,0)),
"Бланк OLD 2.0 04 №"&amp;VLOOKUP(A112+1-COUNT('Шаг2.Бланк заказа NEW'!$B$19:$B$201)-COUNT('Бланк OLD 0.8 04'!$B$18:$B$200),CHOOSE({1,2},'Бланк OLD 2.0 04 '!$B$18:$B$200,'Бланк OLD 2.0 04 '!$A$18:$A$200),1,0)),"")</f>
        <v/>
      </c>
      <c r="C113" s="152" t="str">
        <f ca="1">IFERROR(IFERROR(IFERROR(VLOOKUP(A112+1,CHOOSE({1,2},'Шаг2.Бланк заказа NEW'!$B$19:$B$201,'Шаг2.Бланк заказа NEW'!$A$19:$A$201),2,0),
VLOOKUP(A112+1-COUNT('Шаг2.Бланк заказа NEW'!$B$19:$B$201),CHOOSE({1,2},'Бланк OLD 0.8 04'!$B$18:$B$200,'Бланк OLD 0.8 04'!$A$18:$A$200),2,0)),
VLOOKUP(A112+1-COUNT('Шаг2.Бланк заказа NEW'!$B$19:$B$201)-COUNT('Бланк OLD 0.8 04'!$B$18:$B$200),CHOOSE({1,2},'Бланк OLD 2.0 04 '!$B$18:$B$200,'Бланк OLD 2.0 04 '!$A$18:$A$200),2,0)),"")</f>
        <v/>
      </c>
      <c r="D113" s="150" t="str">
        <f ca="1">IFERROR(VLOOKUP(C113,'Шаг1.Выбор плиты'!C:G,5,0),"")</f>
        <v/>
      </c>
      <c r="E113" s="147" t="str">
        <f ca="1">IFERROR(IFERROR(IF(VLOOKUP($A113,'Шаг2.Бланк заказа NEW'!$B$17:$N$201,2,0)="","",VLOOKUP($A113,'Шаг2.Бланк заказа NEW'!$B$17:$N$201,2,0)),
IF(VLOOKUP($A113-COUNT('Шаг2.Бланк заказа NEW'!$B$19:$B$201),'Бланк OLD 0.8 04'!$B$12:$K$200,2,0)="","",VLOOKUP($A113-COUNT('Шаг2.Бланк заказа NEW'!$B$19:$B$201),'Бланк OLD 0.8 04'!$B$12:$K$200,2,0))),
IF(VLOOKUP($A113-COUNT('Шаг2.Бланк заказа NEW'!$B$19:$B$201)-COUNT('Бланк OLD 0.8 04'!$B$18:$B$200),'Бланк OLD 2.0 04 '!$B$16:$K$200,2,0)="","",VLOOKUP($A113-COUNT('Шаг2.Бланк заказа NEW'!$B$19:$B$201)-COUNT('Бланк OLD 0.8 04'!$B$18:$B$200),'Бланк OLD 2.0 04 '!$B$16:$K$200,2,0)))</f>
        <v/>
      </c>
      <c r="F113" s="147" t="str">
        <f ca="1">IFERROR(IFERROR(IF(VLOOKUP($A113,'Шаг2.Бланк заказа NEW'!$B$17:$N$201,3,0)="","",VLOOKUP($A113,'Шаг2.Бланк заказа NEW'!$B$17:$N$201,3,0)),
IF(VLOOKUP($A113-COUNT('Шаг2.Бланк заказа NEW'!$B$19:$B$201),'Бланк OLD 0.8 04'!$B$12:$K$200,3,0)="","",VLOOKUP($A113-COUNT('Шаг2.Бланк заказа NEW'!$B$19:$B$201),'Бланк OLD 0.8 04'!$B$12:$K$200,3,0))),
IF(VLOOKUP($A113-COUNT('Шаг2.Бланк заказа NEW'!$B$19:$B$201)-COUNT('Бланк OLD 0.8 04'!$B$18:$B$200),'Бланк OLD 2.0 04 '!$B$16:$K$200,3,0)="","",VLOOKUP($A113-COUNT('Шаг2.Бланк заказа NEW'!$B$19:$B$201)-COUNT('Бланк OLD 0.8 04'!$B$18:$B$200),'Бланк OLD 2.0 04 '!$B$16:$K$200,3,0)))</f>
        <v/>
      </c>
      <c r="G113" s="176" t="str">
        <f ca="1">IF(IF(R113="","",IF(R113=1,SUMIFS('Шаг1.Выбор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плиты'!C:Q,12,0)),1))))))=0,
R113,
IF(R113="","",IF(R113=1,SUMIFS('Шаг1.Выбор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плиты'!N:N,R113,'Шаг1.Выбор плиты'!M:M,SMALL(INDIRECT("мм"&amp;VLOOKUP(C113,'Шаг1.Выбор плиты'!C:Q,12,0)),1)))))))</f>
        <v/>
      </c>
      <c r="H113" s="177" t="str">
        <f ca="1">IF(IF(S113="","",IF(S113=1,SUMIFS('Шаг1.Выбор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плиты'!C:Q,12,0)),1))))))=0,
S113,
IF(S113="","",IF(S113=1,SUMIFS('Шаг1.Выбор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плиты'!N:N,S113,'Шаг1.Выбор плиты'!M:M,SMALL(INDIRECT("мм"&amp;VLOOKUP(C113,'Шаг1.Выбор плиты'!C:Q,12,0)),1)))))))</f>
        <v/>
      </c>
      <c r="I113" s="147" t="str">
        <f ca="1">IFERROR(IFERROR(IF(VLOOKUP($A113,'Шаг2.Бланк заказа NEW'!$B$17:$N$201,6,0)="","",VLOOKUP($A113,'Шаг2.Бланк заказа NEW'!$B$17:$N$201,6,0)),
IF(VLOOKUP($A113-COUNT('Шаг2.Бланк заказа NEW'!$B$19:$B$201),'Бланк OLD 0.8 04'!$B$12:$K$200,6,0)="","",VLOOKUP($A113-COUNT('Шаг2.Бланк заказа NEW'!$B$19:$B$201),'Бланк OLD 0.8 04'!$B$12:$K$200,6,0))),
IF(VLOOKUP($A113-COUNT('Шаг2.Бланк заказа NEW'!$B$19:$B$201)-COUNT('Бланк OLD 0.8 04'!$B$18:$B$200),'Бланк OLD 2.0 04 '!$B$16:$K$200,6,0)="","",VLOOKUP($A113-COUNT('Шаг2.Бланк заказа NEW'!$B$19:$B$201)-COUNT('Бланк OLD 0.8 04'!$B$18:$B$200),'Бланк OLD 2.0 04 '!$B$16:$K$200,6,0)))</f>
        <v/>
      </c>
      <c r="J113" s="177" t="str">
        <f ca="1">IF(IF(T113="","",IF(T113=1,SUMIFS('Шаг1.Выбор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плиты'!C:Q,12,0)),1))))))=0,
T113,
IF(T113="","",IF(T113=1,SUMIFS('Шаг1.Выбор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плиты'!N:N,T113,'Шаг1.Выбор плиты'!M:M,SMALL(INDIRECT("мм"&amp;VLOOKUP(C113,'Шаг1.Выбор плиты'!C:Q,12,0)),1)))))))</f>
        <v/>
      </c>
      <c r="K113" s="177" t="str">
        <f ca="1">IF(IF(U113="","",IF(U113=1,SUMIFS('Шаг1.Выбор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плиты'!C:Q,12,0)),1))))))=0,
U113,
IF(U113="","",IF(U113=1,SUMIFS('Шаг1.Выбор плиты'!$G:$G,'Шаг1.Выбор плиты'!J:J,"*"&amp;RIGHT(VLOOKUP(C113,'Шаг1.Выбор плиты'!C:Q,8,0),4),'Шаг1.Выбор плиты'!L:L,IF(MID(C113,1,6)="ЛДСП P","TM"&amp;MID(VLOOKUP(C113,'Шаг1.Выбор плиты'!C:Q,10,0),3,2),MID(VLOOKUP(C113,'Шаг1.Выбор плиты'!C:Q,10,0),1,2)),
'Шаг1.Выбор плиты'!N:N,1),IF(SUMIFS('Шаг1.Выбор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плиты'!C:Q,12,0)),1))=0,
IF(SUMIFS('Шаг1.Выбор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плиты'!C:Q,12,0)),2))=0,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плиты'!C:Q,12,0)),3)),
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плиты'!C:Q,12,0)),2))),
(SUMIFS('Шаг1.Выбор плиты'!$G:$G,'Шаг1.Выбор плиты'!J:J,"*"&amp;RIGHT(VLOOKUP(C113,'Шаг1.Выбор плиты'!C:Q,8,0),4),'Шаг1.Выбор плиты'!L:L,VLOOKUP(C113,'Шаг1.Выбор плиты'!C:Q,10,0),'Шаг1.Выбор плиты'!N:N,U113,'Шаг1.Выбор плиты'!M:M,SMALL(INDIRECT("мм"&amp;VLOOKUP(C113,'Шаг1.Выбор плиты'!C:Q,12,0)),1)))))))</f>
        <v/>
      </c>
      <c r="L113" s="147" t="str">
        <f ca="1">IFERROR(IFERROR(IF(VLOOKUP($A113,'Шаг2.Бланк заказа NEW'!$B$17:$N$201,9,0)="","",VLOOKUP($A113,'Шаг2.Бланк заказа NEW'!$B$17:$N$201,9,0)),
IF(VLOOKUP($A113-COUNT('Шаг2.Бланк заказа NEW'!$B$19:$B$201),'Бланк OLD 0.8 04'!$B$12:$K$200,9,0)="","",VLOOKUP($A113-COUNT('Шаг2.Бланк заказа NEW'!$B$19:$B$201),'Бланк OLD 0.8 04'!$B$12:$K$200,9,0))),
IF(VLOOKUP($A113-COUNT('Шаг2.Бланк заказа NEW'!$B$19:$B$201)-COUNT('Бланк OLD 0.8 04'!$B$18:$B$200),'Бланк OLD 2.0 04 '!$B$16:$K$200,9,0)="","",VLOOKUP($A113-COUNT('Шаг2.Бланк заказа NEW'!$B$19:$B$201)-COUNT('Бланк OLD 0.8 04'!$B$18:$B$200),'Бланк OLD 2.0 04 '!$B$16:$K$200,9,0)))</f>
        <v/>
      </c>
      <c r="M113" s="154" t="str">
        <f t="shared" ca="1" si="10"/>
        <v/>
      </c>
      <c r="N113" s="153" t="str">
        <f ca="1">IFERROR(IF(VLOOKUP($A113,'Шаг2.Бланк заказа NEW'!$B$17:$N$201,11,0)="","",VLOOKUP($A113,'Шаг2.Бланк заказа NEW'!$B$17:$N$201,11,0)),
"Нет")</f>
        <v/>
      </c>
      <c r="O113" s="147" t="str">
        <f ca="1">IFERROR(IF(VLOOKUP($A113,'Шаг2.Бланк заказа NEW'!$B$17:$N$201,11,0)="","",VLOOKUP($A113,'Шаг2.Бланк заказа NEW'!$B$17:$N$201,12,0)),
"Нет")</f>
        <v/>
      </c>
      <c r="P113" s="153" t="str">
        <f ca="1">IFERROR(IF(VLOOKUP($A113,'Шаг2.Бланк заказа NEW'!$B$17:$N$201,13,0)="","",VLOOKUP($A113,'Шаг2.Бланк заказа NEW'!$B$17:$N$201,13,0)),
"Нет")</f>
        <v/>
      </c>
      <c r="Q113" s="147" t="str">
        <f ca="1">IFERROR(IF(VLOOKUP($A113,'Шаг2.Бланк заказа NEW'!$B$17:$O$201,14,0)="","",VLOOKUP($A113,'Шаг2.Бланк заказа NEW'!$B$17:$O$201,14,0)),"")</f>
        <v/>
      </c>
      <c r="R113" s="147" t="str">
        <f ca="1">IFERROR(IFERROR(IF(VLOOKUP($A113,'Шаг2.Бланк заказа NEW'!$B$17:$N$201,4,0)="","",VLOOKUP($A113,'Шаг2.Бланк заказа NEW'!$B$17:$N$201,4,0)),
IF(VLOOKUP($A113-COUNT('Шаг2.Бланк заказа NEW'!$B$19:$B$201),'Бланк OLD 0.8 04'!$B$12:$K$200,4,0)&gt;0,0.8,
IF(VLOOKUP($A113-COUNT('Шаг2.Бланк заказа NEW'!$B$19:$B$201),'Бланк OLD 0.8 04'!$B$12:$K$200,5,0)&gt;0,0.4,""))),
IF(VLOOKUP($A113-COUNT('Шаг2.Бланк заказа NEW'!$B$19:$B$201)-COUNT('Бланк OLD 0.8 04'!$B$18:$B$200),'Бланк OLD 2.0 04 '!$B$16:$K$200,4,0)&gt;0,2,IF(VLOOKUP($A113-COUNT('Шаг2.Бланк заказа NEW'!$B$19:$B$201)-COUNT('Бланк OLD 0.8 04'!$B$18:$B$200),'Бланк OLD 2.0 04 '!$B$16:$K$200,5,0)&gt;0,0.4,"")))</f>
        <v/>
      </c>
      <c r="S113" s="147" t="str">
        <f ca="1">IFERROR(IFERROR(IF(VLOOKUP($A113,'Шаг2.Бланк заказа NEW'!$B$17:$N$201,5,0)="","",VLOOKUP($A113,'Шаг2.Бланк заказа NEW'!$B$17:$N$201,5,0)),
IF(VLOOKUP($A113-COUNT('Шаг2.Бланк заказа NEW'!$B$19:$B$201),'Бланк OLD 0.8 04'!$B$12:$K$200,4,0)&gt;1,0.8,
IF(VLOOKUP($A113-COUNT('Шаг2.Бланк заказа NEW'!$B$19:$B$201),'Бланк OLD 0.8 04'!$B$12:$K$200,5,0)&gt;1,0.4,
IF(AND(VLOOKUP($A113-COUNT('Шаг2.Бланк заказа NEW'!$B$19:$B$201),'Бланк OLD 0.8 04'!$B$12:$K$200,4,0)&gt;0,VLOOKUP($A113-COUNT('Шаг2.Бланк заказа NEW'!$B$19:$B$201),'Бланк OLD 0.8 04'!$B$12:$K$200,5,0)&gt;0),0.4,"")))),
IF(VLOOKUP($A113-COUNT('Шаг2.Бланк заказа NEW'!$B$19:$B$201)-COUNT('Бланк OLD 0.8 04'!$B$18:$B$200),'Бланк OLD 2.0 04 '!$B$16:$K$200,4,0)&gt;1,2,
IF(VLOOKUP($A113-COUNT('Шаг2.Бланк заказа NEW'!$B$19:$B$201)-COUNT('Бланк OLD 0.8 04'!$B$18:$B$200),'Бланк OLD 2.0 04 '!$B$16:$K$200,5,0)&gt;1,0.4,IF(AND(VLOOKUP($A113-COUNT('Шаг2.Бланк заказа NEW'!$B$19:$B$201)-COUNT('Бланк OLD 0.8 04'!$B$18:$B$200),'Бланк OLD 2.0 04 '!$B$16:$K$200,4,0)&gt;0,VLOOKUP($A113-COUNT('Шаг2.Бланк заказа NEW'!$B$19:$B$201)-COUNT('Бланк OLD 0.8 04'!$B$18:$B$200),'Бланк OLD 2.0 04 '!$B$16:$K$200,5,0)&gt;0),0.4,""))))</f>
        <v/>
      </c>
      <c r="T113" s="147" t="str">
        <f ca="1">IFERROR(IFERROR(IF(VLOOKUP($A113,'Шаг2.Бланк заказа NEW'!$B$17:$N$201,7,0)="","",VLOOKUP($A113,'Шаг2.Бланк заказа NEW'!$B$17:$N$201,7,0)),
IF(VLOOKUP($A113-COUNT('Шаг2.Бланк заказа NEW'!$B$19:$B$201),'Бланк OLD 0.8 04'!$B$12:$K$200,7,0)&gt;0,0.8,
IF(VLOOKUP($A113-COUNT('Шаг2.Бланк заказа NEW'!$B$19:$B$201),'Бланк OLD 0.8 04'!$B$12:$K$200,8,0)&gt;0,0.4,""))),
IF(VLOOKUP($A113-COUNT('Шаг2.Бланк заказа NEW'!$B$19:$B$201)-COUNT('Бланк OLD 0.8 04'!$B$18:$B$200),'Бланк OLD 2.0 04 '!$B$16:$K$200,7,0)&gt;0,2,IF(VLOOKUP($A113-COUNT('Шаг2.Бланк заказа NEW'!$B$19:$B$201)-COUNT('Бланк OLD 0.8 04'!$B$18:$B$200),'Бланк OLD 2.0 04 '!$B$16:$K$200,8,0)&gt;0,0.4,"")))</f>
        <v/>
      </c>
      <c r="U113" s="147" t="str">
        <f ca="1">IFERROR(IFERROR(IF(VLOOKUP($A113,'Шаг2.Бланк заказа NEW'!$B$17:$N$201,8,0)="","",VLOOKUP($A113,'Шаг2.Бланк заказа NEW'!$B$17:$N$201,8,0)),
IF(VLOOKUP($A113-COUNT('Шаг2.Бланк заказа NEW'!$B$19:$B$201),'Бланк OLD 0.8 04'!$B$12:$K$200,7,0)&gt;1,0.8,
IF(VLOOKUP($A113-COUNT('Шаг2.Бланк заказа NEW'!$B$19:$B$201),'Бланк OLD 0.8 04'!$B$12:$K$200,8,0)&gt;1,0.4,
IF(AND(VLOOKUP($A113-COUNT('Шаг2.Бланк заказа NEW'!$B$19:$B$201),'Бланк OLD 0.8 04'!$B$12:$K$200,7,0)&gt;0,VLOOKUP($A113-COUNT('Шаг2.Бланк заказа NEW'!$B$19:$B$201),'Бланк OLD 0.8 04'!$B$12:$K$200,8,0)&gt;0),0.4,"")))),
IF(VLOOKUP($A113-COUNT('Шаг2.Бланк заказа NEW'!$B$19:$B$201)-COUNT('Бланк OLD 0.8 04'!$B$18:$B$200),'Бланк OLD 2.0 04 '!$B$16:$K$200,7,0)&gt;1,2,
IF(VLOOKUP($A113-COUNT('Шаг2.Бланк заказа NEW'!$B$19:$B$201)-COUNT('Бланк OLD 0.8 04'!$B$18:$B$200),'Бланк OLD 2.0 04 '!$B$16:$K$200,8,0)&gt;1,0.4,
IF(AND(VLOOKUP($A113-COUNT('Шаг2.Бланк заказа NEW'!$B$19:$B$201)-COUNT('Бланк OLD 0.8 04'!$B$18:$B$200),'Бланк OLD 2.0 04 '!$B$16:$K$200,7,0)&gt;0,VLOOKUP($A113-COUNT('Шаг2.Бланк заказа NEW'!$B$19:$B$201)-COUNT('Бланк OLD 0.8 04'!$B$18:$B$200),'Бланк OLD 2.0 04 '!$B$16:$K$200,8,0)&gt;0),0.4,""))))</f>
        <v/>
      </c>
      <c r="V113" s="146" t="str">
        <f ca="1">IFERROR(VLOOKUP(C113,'Шаг1.Выбор плиты'!C:S,12,0),"")</f>
        <v/>
      </c>
      <c r="W113" s="146" t="str">
        <f ca="1">IFERROR(VLOOKUP(C113,'Шаг1.Выбор плиты'!C:S,8,0),"")</f>
        <v/>
      </c>
      <c r="X113" s="146" t="str">
        <f ca="1">IFERROR(VLOOKUP(C113,'Шаг1.Выбор плиты'!C:S,10,0),"")</f>
        <v/>
      </c>
      <c r="Y113" s="147" t="str">
        <f t="shared" ca="1" si="8"/>
        <v/>
      </c>
      <c r="AD113" s="147" t="str">
        <f t="shared" ca="1" si="11"/>
        <v/>
      </c>
      <c r="AE113" s="147" t="str">
        <f t="shared" ca="1" si="9"/>
        <v/>
      </c>
      <c r="AF113" s="25"/>
      <c r="AH113" s="147" t="str">
        <f ca="1">IF(C113="","",VLOOKUP(C113,'Шаг1.Выбор плиты'!C:Q,7,0))</f>
        <v/>
      </c>
      <c r="AI113" s="147" t="str">
        <f t="shared" ca="1" si="12"/>
        <v/>
      </c>
    </row>
    <row r="114" spans="1:35" x14ac:dyDescent="0.2">
      <c r="A114" s="151" t="str">
        <f ca="1">IF(C114="","",MAX($A$1:OFFSET(C114,-1,0))+1)</f>
        <v/>
      </c>
      <c r="B114" s="151" t="str">
        <f ca="1">IFERROR(IFERROR(IFERROR("Шаг2.Бланк заказа NEW №"&amp;VLOOKUP(A113+1,CHOOSE({1,2},'Шаг2.Бланк заказа NEW'!$B$19:$B$201,'Шаг2.Бланк заказа NEW'!$A$19:$A$201),1,0),
"Бланк OLD 0.8 04 №"&amp;VLOOKUP(A113+1-COUNT('Шаг2.Бланк заказа NEW'!$B$19:$B$201),CHOOSE({1,2},'Бланк OLD 0.8 04'!$B$18:$B$200,'Бланк OLD 0.8 04'!$A$18:$A$200),1,0)),
"Бланк OLD 2.0 04 №"&amp;VLOOKUP(A113+1-COUNT('Шаг2.Бланк заказа NEW'!$B$19:$B$201)-COUNT('Бланк OLD 0.8 04'!$B$18:$B$200),CHOOSE({1,2},'Бланк OLD 2.0 04 '!$B$18:$B$200,'Бланк OLD 2.0 04 '!$A$18:$A$200),1,0)),"")</f>
        <v/>
      </c>
      <c r="C114" s="152" t="str">
        <f ca="1">IFERROR(IFERROR(IFERROR(VLOOKUP(A113+1,CHOOSE({1,2},'Шаг2.Бланк заказа NEW'!$B$19:$B$201,'Шаг2.Бланк заказа NEW'!$A$19:$A$201),2,0),
VLOOKUP(A113+1-COUNT('Шаг2.Бланк заказа NEW'!$B$19:$B$201),CHOOSE({1,2},'Бланк OLD 0.8 04'!$B$18:$B$200,'Бланк OLD 0.8 04'!$A$18:$A$200),2,0)),
VLOOKUP(A113+1-COUNT('Шаг2.Бланк заказа NEW'!$B$19:$B$201)-COUNT('Бланк OLD 0.8 04'!$B$18:$B$200),CHOOSE({1,2},'Бланк OLD 2.0 04 '!$B$18:$B$200,'Бланк OLD 2.0 04 '!$A$18:$A$200),2,0)),"")</f>
        <v/>
      </c>
      <c r="D114" s="150" t="str">
        <f ca="1">IFERROR(VLOOKUP(C114,'Шаг1.Выбор плиты'!C:G,5,0),"")</f>
        <v/>
      </c>
      <c r="E114" s="147" t="str">
        <f ca="1">IFERROR(IFERROR(IF(VLOOKUP($A114,'Шаг2.Бланк заказа NEW'!$B$17:$N$201,2,0)="","",VLOOKUP($A114,'Шаг2.Бланк заказа NEW'!$B$17:$N$201,2,0)),
IF(VLOOKUP($A114-COUNT('Шаг2.Бланк заказа NEW'!$B$19:$B$201),'Бланк OLD 0.8 04'!$B$12:$K$200,2,0)="","",VLOOKUP($A114-COUNT('Шаг2.Бланк заказа NEW'!$B$19:$B$201),'Бланк OLD 0.8 04'!$B$12:$K$200,2,0))),
IF(VLOOKUP($A114-COUNT('Шаг2.Бланк заказа NEW'!$B$19:$B$201)-COUNT('Бланк OLD 0.8 04'!$B$18:$B$200),'Бланк OLD 2.0 04 '!$B$16:$K$200,2,0)="","",VLOOKUP($A114-COUNT('Шаг2.Бланк заказа NEW'!$B$19:$B$201)-COUNT('Бланк OLD 0.8 04'!$B$18:$B$200),'Бланк OLD 2.0 04 '!$B$16:$K$200,2,0)))</f>
        <v/>
      </c>
      <c r="F114" s="147" t="str">
        <f ca="1">IFERROR(IFERROR(IF(VLOOKUP($A114,'Шаг2.Бланк заказа NEW'!$B$17:$N$201,3,0)="","",VLOOKUP($A114,'Шаг2.Бланк заказа NEW'!$B$17:$N$201,3,0)),
IF(VLOOKUP($A114-COUNT('Шаг2.Бланк заказа NEW'!$B$19:$B$201),'Бланк OLD 0.8 04'!$B$12:$K$200,3,0)="","",VLOOKUP($A114-COUNT('Шаг2.Бланк заказа NEW'!$B$19:$B$201),'Бланк OLD 0.8 04'!$B$12:$K$200,3,0))),
IF(VLOOKUP($A114-COUNT('Шаг2.Бланк заказа NEW'!$B$19:$B$201)-COUNT('Бланк OLD 0.8 04'!$B$18:$B$200),'Бланк OLD 2.0 04 '!$B$16:$K$200,3,0)="","",VLOOKUP($A114-COUNT('Шаг2.Бланк заказа NEW'!$B$19:$B$201)-COUNT('Бланк OLD 0.8 04'!$B$18:$B$200),'Бланк OLD 2.0 04 '!$B$16:$K$200,3,0)))</f>
        <v/>
      </c>
      <c r="G114" s="176" t="str">
        <f ca="1">IF(IF(R114="","",IF(R114=1,SUMIFS('Шаг1.Выбор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плиты'!C:Q,12,0)),1))))))=0,
R114,
IF(R114="","",IF(R114=1,SUMIFS('Шаг1.Выбор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плиты'!N:N,R114,'Шаг1.Выбор плиты'!M:M,SMALL(INDIRECT("мм"&amp;VLOOKUP(C114,'Шаг1.Выбор плиты'!C:Q,12,0)),1)))))))</f>
        <v/>
      </c>
      <c r="H114" s="177" t="str">
        <f ca="1">IF(IF(S114="","",IF(S114=1,SUMIFS('Шаг1.Выбор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плиты'!C:Q,12,0)),1))))))=0,
S114,
IF(S114="","",IF(S114=1,SUMIFS('Шаг1.Выбор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плиты'!N:N,S114,'Шаг1.Выбор плиты'!M:M,SMALL(INDIRECT("мм"&amp;VLOOKUP(C114,'Шаг1.Выбор плиты'!C:Q,12,0)),1)))))))</f>
        <v/>
      </c>
      <c r="I114" s="147" t="str">
        <f ca="1">IFERROR(IFERROR(IF(VLOOKUP($A114,'Шаг2.Бланк заказа NEW'!$B$17:$N$201,6,0)="","",VLOOKUP($A114,'Шаг2.Бланк заказа NEW'!$B$17:$N$201,6,0)),
IF(VLOOKUP($A114-COUNT('Шаг2.Бланк заказа NEW'!$B$19:$B$201),'Бланк OLD 0.8 04'!$B$12:$K$200,6,0)="","",VLOOKUP($A114-COUNT('Шаг2.Бланк заказа NEW'!$B$19:$B$201),'Бланк OLD 0.8 04'!$B$12:$K$200,6,0))),
IF(VLOOKUP($A114-COUNT('Шаг2.Бланк заказа NEW'!$B$19:$B$201)-COUNT('Бланк OLD 0.8 04'!$B$18:$B$200),'Бланк OLD 2.0 04 '!$B$16:$K$200,6,0)="","",VLOOKUP($A114-COUNT('Шаг2.Бланк заказа NEW'!$B$19:$B$201)-COUNT('Бланк OLD 0.8 04'!$B$18:$B$200),'Бланк OLD 2.0 04 '!$B$16:$K$200,6,0)))</f>
        <v/>
      </c>
      <c r="J114" s="177" t="str">
        <f ca="1">IF(IF(T114="","",IF(T114=1,SUMIFS('Шаг1.Выбор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плиты'!C:Q,12,0)),1))))))=0,
T114,
IF(T114="","",IF(T114=1,SUMIFS('Шаг1.Выбор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плиты'!N:N,T114,'Шаг1.Выбор плиты'!M:M,SMALL(INDIRECT("мм"&amp;VLOOKUP(C114,'Шаг1.Выбор плиты'!C:Q,12,0)),1)))))))</f>
        <v/>
      </c>
      <c r="K114" s="177" t="str">
        <f ca="1">IF(IF(U114="","",IF(U114=1,SUMIFS('Шаг1.Выбор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плиты'!C:Q,12,0)),1))))))=0,
U114,
IF(U114="","",IF(U114=1,SUMIFS('Шаг1.Выбор плиты'!$G:$G,'Шаг1.Выбор плиты'!J:J,"*"&amp;RIGHT(VLOOKUP(C114,'Шаг1.Выбор плиты'!C:Q,8,0),4),'Шаг1.Выбор плиты'!L:L,IF(MID(C114,1,6)="ЛДСП P","TM"&amp;MID(VLOOKUP(C114,'Шаг1.Выбор плиты'!C:Q,10,0),3,2),MID(VLOOKUP(C114,'Шаг1.Выбор плиты'!C:Q,10,0),1,2)),
'Шаг1.Выбор плиты'!N:N,1),IF(SUMIFS('Шаг1.Выбор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плиты'!C:Q,12,0)),1))=0,
IF(SUMIFS('Шаг1.Выбор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плиты'!C:Q,12,0)),2))=0,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плиты'!C:Q,12,0)),3)),
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плиты'!C:Q,12,0)),2))),
(SUMIFS('Шаг1.Выбор плиты'!$G:$G,'Шаг1.Выбор плиты'!J:J,"*"&amp;RIGHT(VLOOKUP(C114,'Шаг1.Выбор плиты'!C:Q,8,0),4),'Шаг1.Выбор плиты'!L:L,VLOOKUP(C114,'Шаг1.Выбор плиты'!C:Q,10,0),'Шаг1.Выбор плиты'!N:N,U114,'Шаг1.Выбор плиты'!M:M,SMALL(INDIRECT("мм"&amp;VLOOKUP(C114,'Шаг1.Выбор плиты'!C:Q,12,0)),1)))))))</f>
        <v/>
      </c>
      <c r="L114" s="147" t="str">
        <f ca="1">IFERROR(IFERROR(IF(VLOOKUP($A114,'Шаг2.Бланк заказа NEW'!$B$17:$N$201,9,0)="","",VLOOKUP($A114,'Шаг2.Бланк заказа NEW'!$B$17:$N$201,9,0)),
IF(VLOOKUP($A114-COUNT('Шаг2.Бланк заказа NEW'!$B$19:$B$201),'Бланк OLD 0.8 04'!$B$12:$K$200,9,0)="","",VLOOKUP($A114-COUNT('Шаг2.Бланк заказа NEW'!$B$19:$B$201),'Бланк OLD 0.8 04'!$B$12:$K$200,9,0))),
IF(VLOOKUP($A114-COUNT('Шаг2.Бланк заказа NEW'!$B$19:$B$201)-COUNT('Бланк OLD 0.8 04'!$B$18:$B$200),'Бланк OLD 2.0 04 '!$B$16:$K$200,9,0)="","",VLOOKUP($A114-COUNT('Шаг2.Бланк заказа NEW'!$B$19:$B$201)-COUNT('Бланк OLD 0.8 04'!$B$18:$B$200),'Бланк OLD 2.0 04 '!$B$16:$K$200,9,0)))</f>
        <v/>
      </c>
      <c r="M114" s="154" t="str">
        <f t="shared" ca="1" si="10"/>
        <v/>
      </c>
      <c r="N114" s="153" t="str">
        <f ca="1">IFERROR(IF(VLOOKUP($A114,'Шаг2.Бланк заказа NEW'!$B$17:$N$201,11,0)="","",VLOOKUP($A114,'Шаг2.Бланк заказа NEW'!$B$17:$N$201,11,0)),
"Нет")</f>
        <v/>
      </c>
      <c r="O114" s="147" t="str">
        <f ca="1">IFERROR(IF(VLOOKUP($A114,'Шаг2.Бланк заказа NEW'!$B$17:$N$201,11,0)="","",VLOOKUP($A114,'Шаг2.Бланк заказа NEW'!$B$17:$N$201,12,0)),
"Нет")</f>
        <v/>
      </c>
      <c r="P114" s="153" t="str">
        <f ca="1">IFERROR(IF(VLOOKUP($A114,'Шаг2.Бланк заказа NEW'!$B$17:$N$201,13,0)="","",VLOOKUP($A114,'Шаг2.Бланк заказа NEW'!$B$17:$N$201,13,0)),
"Нет")</f>
        <v/>
      </c>
      <c r="Q114" s="147" t="str">
        <f ca="1">IFERROR(IF(VLOOKUP($A114,'Шаг2.Бланк заказа NEW'!$B$17:$O$201,14,0)="","",VLOOKUP($A114,'Шаг2.Бланк заказа NEW'!$B$17:$O$201,14,0)),"")</f>
        <v/>
      </c>
      <c r="R114" s="147" t="str">
        <f ca="1">IFERROR(IFERROR(IF(VLOOKUP($A114,'Шаг2.Бланк заказа NEW'!$B$17:$N$201,4,0)="","",VLOOKUP($A114,'Шаг2.Бланк заказа NEW'!$B$17:$N$201,4,0)),
IF(VLOOKUP($A114-COUNT('Шаг2.Бланк заказа NEW'!$B$19:$B$201),'Бланк OLD 0.8 04'!$B$12:$K$200,4,0)&gt;0,0.8,
IF(VLOOKUP($A114-COUNT('Шаг2.Бланк заказа NEW'!$B$19:$B$201),'Бланк OLD 0.8 04'!$B$12:$K$200,5,0)&gt;0,0.4,""))),
IF(VLOOKUP($A114-COUNT('Шаг2.Бланк заказа NEW'!$B$19:$B$201)-COUNT('Бланк OLD 0.8 04'!$B$18:$B$200),'Бланк OLD 2.0 04 '!$B$16:$K$200,4,0)&gt;0,2,IF(VLOOKUP($A114-COUNT('Шаг2.Бланк заказа NEW'!$B$19:$B$201)-COUNT('Бланк OLD 0.8 04'!$B$18:$B$200),'Бланк OLD 2.0 04 '!$B$16:$K$200,5,0)&gt;0,0.4,"")))</f>
        <v/>
      </c>
      <c r="S114" s="147" t="str">
        <f ca="1">IFERROR(IFERROR(IF(VLOOKUP($A114,'Шаг2.Бланк заказа NEW'!$B$17:$N$201,5,0)="","",VLOOKUP($A114,'Шаг2.Бланк заказа NEW'!$B$17:$N$201,5,0)),
IF(VLOOKUP($A114-COUNT('Шаг2.Бланк заказа NEW'!$B$19:$B$201),'Бланк OLD 0.8 04'!$B$12:$K$200,4,0)&gt;1,0.8,
IF(VLOOKUP($A114-COUNT('Шаг2.Бланк заказа NEW'!$B$19:$B$201),'Бланк OLD 0.8 04'!$B$12:$K$200,5,0)&gt;1,0.4,
IF(AND(VLOOKUP($A114-COUNT('Шаг2.Бланк заказа NEW'!$B$19:$B$201),'Бланк OLD 0.8 04'!$B$12:$K$200,4,0)&gt;0,VLOOKUP($A114-COUNT('Шаг2.Бланк заказа NEW'!$B$19:$B$201),'Бланк OLD 0.8 04'!$B$12:$K$200,5,0)&gt;0),0.4,"")))),
IF(VLOOKUP($A114-COUNT('Шаг2.Бланк заказа NEW'!$B$19:$B$201)-COUNT('Бланк OLD 0.8 04'!$B$18:$B$200),'Бланк OLD 2.0 04 '!$B$16:$K$200,4,0)&gt;1,2,
IF(VLOOKUP($A114-COUNT('Шаг2.Бланк заказа NEW'!$B$19:$B$201)-COUNT('Бланк OLD 0.8 04'!$B$18:$B$200),'Бланк OLD 2.0 04 '!$B$16:$K$200,5,0)&gt;1,0.4,IF(AND(VLOOKUP($A114-COUNT('Шаг2.Бланк заказа NEW'!$B$19:$B$201)-COUNT('Бланк OLD 0.8 04'!$B$18:$B$200),'Бланк OLD 2.0 04 '!$B$16:$K$200,4,0)&gt;0,VLOOKUP($A114-COUNT('Шаг2.Бланк заказа NEW'!$B$19:$B$201)-COUNT('Бланк OLD 0.8 04'!$B$18:$B$200),'Бланк OLD 2.0 04 '!$B$16:$K$200,5,0)&gt;0),0.4,""))))</f>
        <v/>
      </c>
      <c r="T114" s="147" t="str">
        <f ca="1">IFERROR(IFERROR(IF(VLOOKUP($A114,'Шаг2.Бланк заказа NEW'!$B$17:$N$201,7,0)="","",VLOOKUP($A114,'Шаг2.Бланк заказа NEW'!$B$17:$N$201,7,0)),
IF(VLOOKUP($A114-COUNT('Шаг2.Бланк заказа NEW'!$B$19:$B$201),'Бланк OLD 0.8 04'!$B$12:$K$200,7,0)&gt;0,0.8,
IF(VLOOKUP($A114-COUNT('Шаг2.Бланк заказа NEW'!$B$19:$B$201),'Бланк OLD 0.8 04'!$B$12:$K$200,8,0)&gt;0,0.4,""))),
IF(VLOOKUP($A114-COUNT('Шаг2.Бланк заказа NEW'!$B$19:$B$201)-COUNT('Бланк OLD 0.8 04'!$B$18:$B$200),'Бланк OLD 2.0 04 '!$B$16:$K$200,7,0)&gt;0,2,IF(VLOOKUP($A114-COUNT('Шаг2.Бланк заказа NEW'!$B$19:$B$201)-COUNT('Бланк OLD 0.8 04'!$B$18:$B$200),'Бланк OLD 2.0 04 '!$B$16:$K$200,8,0)&gt;0,0.4,"")))</f>
        <v/>
      </c>
      <c r="U114" s="147" t="str">
        <f ca="1">IFERROR(IFERROR(IF(VLOOKUP($A114,'Шаг2.Бланк заказа NEW'!$B$17:$N$201,8,0)="","",VLOOKUP($A114,'Шаг2.Бланк заказа NEW'!$B$17:$N$201,8,0)),
IF(VLOOKUP($A114-COUNT('Шаг2.Бланк заказа NEW'!$B$19:$B$201),'Бланк OLD 0.8 04'!$B$12:$K$200,7,0)&gt;1,0.8,
IF(VLOOKUP($A114-COUNT('Шаг2.Бланк заказа NEW'!$B$19:$B$201),'Бланк OLD 0.8 04'!$B$12:$K$200,8,0)&gt;1,0.4,
IF(AND(VLOOKUP($A114-COUNT('Шаг2.Бланк заказа NEW'!$B$19:$B$201),'Бланк OLD 0.8 04'!$B$12:$K$200,7,0)&gt;0,VLOOKUP($A114-COUNT('Шаг2.Бланк заказа NEW'!$B$19:$B$201),'Бланк OLD 0.8 04'!$B$12:$K$200,8,0)&gt;0),0.4,"")))),
IF(VLOOKUP($A114-COUNT('Шаг2.Бланк заказа NEW'!$B$19:$B$201)-COUNT('Бланк OLD 0.8 04'!$B$18:$B$200),'Бланк OLD 2.0 04 '!$B$16:$K$200,7,0)&gt;1,2,
IF(VLOOKUP($A114-COUNT('Шаг2.Бланк заказа NEW'!$B$19:$B$201)-COUNT('Бланк OLD 0.8 04'!$B$18:$B$200),'Бланк OLD 2.0 04 '!$B$16:$K$200,8,0)&gt;1,0.4,
IF(AND(VLOOKUP($A114-COUNT('Шаг2.Бланк заказа NEW'!$B$19:$B$201)-COUNT('Бланк OLD 0.8 04'!$B$18:$B$200),'Бланк OLD 2.0 04 '!$B$16:$K$200,7,0)&gt;0,VLOOKUP($A114-COUNT('Шаг2.Бланк заказа NEW'!$B$19:$B$201)-COUNT('Бланк OLD 0.8 04'!$B$18:$B$200),'Бланк OLD 2.0 04 '!$B$16:$K$200,8,0)&gt;0),0.4,""))))</f>
        <v/>
      </c>
      <c r="V114" s="146" t="str">
        <f ca="1">IFERROR(VLOOKUP(C114,'Шаг1.Выбор плиты'!C:S,12,0),"")</f>
        <v/>
      </c>
      <c r="W114" s="146" t="str">
        <f ca="1">IFERROR(VLOOKUP(C114,'Шаг1.Выбор плиты'!C:S,8,0),"")</f>
        <v/>
      </c>
      <c r="X114" s="146" t="str">
        <f ca="1">IFERROR(VLOOKUP(C114,'Шаг1.Выбор плиты'!C:S,10,0),"")</f>
        <v/>
      </c>
      <c r="Y114" s="147" t="str">
        <f t="shared" ca="1" si="8"/>
        <v/>
      </c>
      <c r="AD114" s="147" t="str">
        <f t="shared" ca="1" si="11"/>
        <v/>
      </c>
      <c r="AE114" s="147" t="str">
        <f t="shared" ca="1" si="9"/>
        <v/>
      </c>
      <c r="AF114" s="25"/>
      <c r="AH114" s="147" t="str">
        <f ca="1">IF(C114="","",VLOOKUP(C114,'Шаг1.Выбор плиты'!C:Q,7,0))</f>
        <v/>
      </c>
      <c r="AI114" s="147" t="str">
        <f t="shared" ca="1" si="12"/>
        <v/>
      </c>
    </row>
    <row r="115" spans="1:35" x14ac:dyDescent="0.2">
      <c r="A115" s="151" t="str">
        <f ca="1">IF(C115="","",MAX($A$1:OFFSET(C115,-1,0))+1)</f>
        <v/>
      </c>
      <c r="B115" s="151" t="str">
        <f ca="1">IFERROR(IFERROR(IFERROR("Шаг2.Бланк заказа NEW №"&amp;VLOOKUP(A114+1,CHOOSE({1,2},'Шаг2.Бланк заказа NEW'!$B$19:$B$201,'Шаг2.Бланк заказа NEW'!$A$19:$A$201),1,0),
"Бланк OLD 0.8 04 №"&amp;VLOOKUP(A114+1-COUNT('Шаг2.Бланк заказа NEW'!$B$19:$B$201),CHOOSE({1,2},'Бланк OLD 0.8 04'!$B$18:$B$200,'Бланк OLD 0.8 04'!$A$18:$A$200),1,0)),
"Бланк OLD 2.0 04 №"&amp;VLOOKUP(A114+1-COUNT('Шаг2.Бланк заказа NEW'!$B$19:$B$201)-COUNT('Бланк OLD 0.8 04'!$B$18:$B$200),CHOOSE({1,2},'Бланк OLD 2.0 04 '!$B$18:$B$200,'Бланк OLD 2.0 04 '!$A$18:$A$200),1,0)),"")</f>
        <v/>
      </c>
      <c r="C115" s="152" t="str">
        <f ca="1">IFERROR(IFERROR(IFERROR(VLOOKUP(A114+1,CHOOSE({1,2},'Шаг2.Бланк заказа NEW'!$B$19:$B$201,'Шаг2.Бланк заказа NEW'!$A$19:$A$201),2,0),
VLOOKUP(A114+1-COUNT('Шаг2.Бланк заказа NEW'!$B$19:$B$201),CHOOSE({1,2},'Бланк OLD 0.8 04'!$B$18:$B$200,'Бланк OLD 0.8 04'!$A$18:$A$200),2,0)),
VLOOKUP(A114+1-COUNT('Шаг2.Бланк заказа NEW'!$B$19:$B$201)-COUNT('Бланк OLD 0.8 04'!$B$18:$B$200),CHOOSE({1,2},'Бланк OLD 2.0 04 '!$B$18:$B$200,'Бланк OLD 2.0 04 '!$A$18:$A$200),2,0)),"")</f>
        <v/>
      </c>
      <c r="D115" s="150" t="str">
        <f ca="1">IFERROR(VLOOKUP(C115,'Шаг1.Выбор плиты'!C:G,5,0),"")</f>
        <v/>
      </c>
      <c r="E115" s="147" t="str">
        <f ca="1">IFERROR(IFERROR(IF(VLOOKUP($A115,'Шаг2.Бланк заказа NEW'!$B$17:$N$201,2,0)="","",VLOOKUP($A115,'Шаг2.Бланк заказа NEW'!$B$17:$N$201,2,0)),
IF(VLOOKUP($A115-COUNT('Шаг2.Бланк заказа NEW'!$B$19:$B$201),'Бланк OLD 0.8 04'!$B$12:$K$200,2,0)="","",VLOOKUP($A115-COUNT('Шаг2.Бланк заказа NEW'!$B$19:$B$201),'Бланк OLD 0.8 04'!$B$12:$K$200,2,0))),
IF(VLOOKUP($A115-COUNT('Шаг2.Бланк заказа NEW'!$B$19:$B$201)-COUNT('Бланк OLD 0.8 04'!$B$18:$B$200),'Бланк OLD 2.0 04 '!$B$16:$K$200,2,0)="","",VLOOKUP($A115-COUNT('Шаг2.Бланк заказа NEW'!$B$19:$B$201)-COUNT('Бланк OLD 0.8 04'!$B$18:$B$200),'Бланк OLD 2.0 04 '!$B$16:$K$200,2,0)))</f>
        <v/>
      </c>
      <c r="F115" s="147" t="str">
        <f ca="1">IFERROR(IFERROR(IF(VLOOKUP($A115,'Шаг2.Бланк заказа NEW'!$B$17:$N$201,3,0)="","",VLOOKUP($A115,'Шаг2.Бланк заказа NEW'!$B$17:$N$201,3,0)),
IF(VLOOKUP($A115-COUNT('Шаг2.Бланк заказа NEW'!$B$19:$B$201),'Бланк OLD 0.8 04'!$B$12:$K$200,3,0)="","",VLOOKUP($A115-COUNT('Шаг2.Бланк заказа NEW'!$B$19:$B$201),'Бланк OLD 0.8 04'!$B$12:$K$200,3,0))),
IF(VLOOKUP($A115-COUNT('Шаг2.Бланк заказа NEW'!$B$19:$B$201)-COUNT('Бланк OLD 0.8 04'!$B$18:$B$200),'Бланк OLD 2.0 04 '!$B$16:$K$200,3,0)="","",VLOOKUP($A115-COUNT('Шаг2.Бланк заказа NEW'!$B$19:$B$201)-COUNT('Бланк OLD 0.8 04'!$B$18:$B$200),'Бланк OLD 2.0 04 '!$B$16:$K$200,3,0)))</f>
        <v/>
      </c>
      <c r="G115" s="176" t="str">
        <f ca="1">IF(IF(R115="","",IF(R115=1,SUMIFS('Шаг1.Выбор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плиты'!C:Q,12,0)),1))))))=0,
R115,
IF(R115="","",IF(R115=1,SUMIFS('Шаг1.Выбор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плиты'!N:N,R115,'Шаг1.Выбор плиты'!M:M,SMALL(INDIRECT("мм"&amp;VLOOKUP(C115,'Шаг1.Выбор плиты'!C:Q,12,0)),1)))))))</f>
        <v/>
      </c>
      <c r="H115" s="177" t="str">
        <f ca="1">IF(IF(S115="","",IF(S115=1,SUMIFS('Шаг1.Выбор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плиты'!C:Q,12,0)),1))))))=0,
S115,
IF(S115="","",IF(S115=1,SUMIFS('Шаг1.Выбор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плиты'!N:N,S115,'Шаг1.Выбор плиты'!M:M,SMALL(INDIRECT("мм"&amp;VLOOKUP(C115,'Шаг1.Выбор плиты'!C:Q,12,0)),1)))))))</f>
        <v/>
      </c>
      <c r="I115" s="147" t="str">
        <f ca="1">IFERROR(IFERROR(IF(VLOOKUP($A115,'Шаг2.Бланк заказа NEW'!$B$17:$N$201,6,0)="","",VLOOKUP($A115,'Шаг2.Бланк заказа NEW'!$B$17:$N$201,6,0)),
IF(VLOOKUP($A115-COUNT('Шаг2.Бланк заказа NEW'!$B$19:$B$201),'Бланк OLD 0.8 04'!$B$12:$K$200,6,0)="","",VLOOKUP($A115-COUNT('Шаг2.Бланк заказа NEW'!$B$19:$B$201),'Бланк OLD 0.8 04'!$B$12:$K$200,6,0))),
IF(VLOOKUP($A115-COUNT('Шаг2.Бланк заказа NEW'!$B$19:$B$201)-COUNT('Бланк OLD 0.8 04'!$B$18:$B$200),'Бланк OLD 2.0 04 '!$B$16:$K$200,6,0)="","",VLOOKUP($A115-COUNT('Шаг2.Бланк заказа NEW'!$B$19:$B$201)-COUNT('Бланк OLD 0.8 04'!$B$18:$B$200),'Бланк OLD 2.0 04 '!$B$16:$K$200,6,0)))</f>
        <v/>
      </c>
      <c r="J115" s="177" t="str">
        <f ca="1">IF(IF(T115="","",IF(T115=1,SUMIFS('Шаг1.Выбор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плиты'!C:Q,12,0)),1))))))=0,
T115,
IF(T115="","",IF(T115=1,SUMIFS('Шаг1.Выбор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плиты'!N:N,T115,'Шаг1.Выбор плиты'!M:M,SMALL(INDIRECT("мм"&amp;VLOOKUP(C115,'Шаг1.Выбор плиты'!C:Q,12,0)),1)))))))</f>
        <v/>
      </c>
      <c r="K115" s="177" t="str">
        <f ca="1">IF(IF(U115="","",IF(U115=1,SUMIFS('Шаг1.Выбор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плиты'!C:Q,12,0)),1))))))=0,
U115,
IF(U115="","",IF(U115=1,SUMIFS('Шаг1.Выбор плиты'!$G:$G,'Шаг1.Выбор плиты'!J:J,"*"&amp;RIGHT(VLOOKUP(C115,'Шаг1.Выбор плиты'!C:Q,8,0),4),'Шаг1.Выбор плиты'!L:L,IF(MID(C115,1,6)="ЛДСП P","TM"&amp;MID(VLOOKUP(C115,'Шаг1.Выбор плиты'!C:Q,10,0),3,2),MID(VLOOKUP(C115,'Шаг1.Выбор плиты'!C:Q,10,0),1,2)),
'Шаг1.Выбор плиты'!N:N,1),IF(SUMIFS('Шаг1.Выбор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плиты'!C:Q,12,0)),1))=0,
IF(SUMIFS('Шаг1.Выбор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плиты'!C:Q,12,0)),2))=0,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плиты'!C:Q,12,0)),3)),
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плиты'!C:Q,12,0)),2))),
(SUMIFS('Шаг1.Выбор плиты'!$G:$G,'Шаг1.Выбор плиты'!J:J,"*"&amp;RIGHT(VLOOKUP(C115,'Шаг1.Выбор плиты'!C:Q,8,0),4),'Шаг1.Выбор плиты'!L:L,VLOOKUP(C115,'Шаг1.Выбор плиты'!C:Q,10,0),'Шаг1.Выбор плиты'!N:N,U115,'Шаг1.Выбор плиты'!M:M,SMALL(INDIRECT("мм"&amp;VLOOKUP(C115,'Шаг1.Выбор плиты'!C:Q,12,0)),1)))))))</f>
        <v/>
      </c>
      <c r="L115" s="147" t="str">
        <f ca="1">IFERROR(IFERROR(IF(VLOOKUP($A115,'Шаг2.Бланк заказа NEW'!$B$17:$N$201,9,0)="","",VLOOKUP($A115,'Шаг2.Бланк заказа NEW'!$B$17:$N$201,9,0)),
IF(VLOOKUP($A115-COUNT('Шаг2.Бланк заказа NEW'!$B$19:$B$201),'Бланк OLD 0.8 04'!$B$12:$K$200,9,0)="","",VLOOKUP($A115-COUNT('Шаг2.Бланк заказа NEW'!$B$19:$B$201),'Бланк OLD 0.8 04'!$B$12:$K$200,9,0))),
IF(VLOOKUP($A115-COUNT('Шаг2.Бланк заказа NEW'!$B$19:$B$201)-COUNT('Бланк OLD 0.8 04'!$B$18:$B$200),'Бланк OLD 2.0 04 '!$B$16:$K$200,9,0)="","",VLOOKUP($A115-COUNT('Шаг2.Бланк заказа NEW'!$B$19:$B$201)-COUNT('Бланк OLD 0.8 04'!$B$18:$B$200),'Бланк OLD 2.0 04 '!$B$16:$K$200,9,0)))</f>
        <v/>
      </c>
      <c r="M115" s="154" t="str">
        <f t="shared" ca="1" si="10"/>
        <v/>
      </c>
      <c r="N115" s="153" t="str">
        <f ca="1">IFERROR(IF(VLOOKUP($A115,'Шаг2.Бланк заказа NEW'!$B$17:$N$201,11,0)="","",VLOOKUP($A115,'Шаг2.Бланк заказа NEW'!$B$17:$N$201,11,0)),
"Нет")</f>
        <v/>
      </c>
      <c r="O115" s="147" t="str">
        <f ca="1">IFERROR(IF(VLOOKUP($A115,'Шаг2.Бланк заказа NEW'!$B$17:$N$201,11,0)="","",VLOOKUP($A115,'Шаг2.Бланк заказа NEW'!$B$17:$N$201,12,0)),
"Нет")</f>
        <v/>
      </c>
      <c r="P115" s="153" t="str">
        <f ca="1">IFERROR(IF(VLOOKUP($A115,'Шаг2.Бланк заказа NEW'!$B$17:$N$201,13,0)="","",VLOOKUP($A115,'Шаг2.Бланк заказа NEW'!$B$17:$N$201,13,0)),
"Нет")</f>
        <v/>
      </c>
      <c r="Q115" s="147" t="str">
        <f ca="1">IFERROR(IF(VLOOKUP($A115,'Шаг2.Бланк заказа NEW'!$B$17:$O$201,14,0)="","",VLOOKUP($A115,'Шаг2.Бланк заказа NEW'!$B$17:$O$201,14,0)),"")</f>
        <v/>
      </c>
      <c r="R115" s="147" t="str">
        <f ca="1">IFERROR(IFERROR(IF(VLOOKUP($A115,'Шаг2.Бланк заказа NEW'!$B$17:$N$201,4,0)="","",VLOOKUP($A115,'Шаг2.Бланк заказа NEW'!$B$17:$N$201,4,0)),
IF(VLOOKUP($A115-COUNT('Шаг2.Бланк заказа NEW'!$B$19:$B$201),'Бланк OLD 0.8 04'!$B$12:$K$200,4,0)&gt;0,0.8,
IF(VLOOKUP($A115-COUNT('Шаг2.Бланк заказа NEW'!$B$19:$B$201),'Бланк OLD 0.8 04'!$B$12:$K$200,5,0)&gt;0,0.4,""))),
IF(VLOOKUP($A115-COUNT('Шаг2.Бланк заказа NEW'!$B$19:$B$201)-COUNT('Бланк OLD 0.8 04'!$B$18:$B$200),'Бланк OLD 2.0 04 '!$B$16:$K$200,4,0)&gt;0,2,IF(VLOOKUP($A115-COUNT('Шаг2.Бланк заказа NEW'!$B$19:$B$201)-COUNT('Бланк OLD 0.8 04'!$B$18:$B$200),'Бланк OLD 2.0 04 '!$B$16:$K$200,5,0)&gt;0,0.4,"")))</f>
        <v/>
      </c>
      <c r="S115" s="147" t="str">
        <f ca="1">IFERROR(IFERROR(IF(VLOOKUP($A115,'Шаг2.Бланк заказа NEW'!$B$17:$N$201,5,0)="","",VLOOKUP($A115,'Шаг2.Бланк заказа NEW'!$B$17:$N$201,5,0)),
IF(VLOOKUP($A115-COUNT('Шаг2.Бланк заказа NEW'!$B$19:$B$201),'Бланк OLD 0.8 04'!$B$12:$K$200,4,0)&gt;1,0.8,
IF(VLOOKUP($A115-COUNT('Шаг2.Бланк заказа NEW'!$B$19:$B$201),'Бланк OLD 0.8 04'!$B$12:$K$200,5,0)&gt;1,0.4,
IF(AND(VLOOKUP($A115-COUNT('Шаг2.Бланк заказа NEW'!$B$19:$B$201),'Бланк OLD 0.8 04'!$B$12:$K$200,4,0)&gt;0,VLOOKUP($A115-COUNT('Шаг2.Бланк заказа NEW'!$B$19:$B$201),'Бланк OLD 0.8 04'!$B$12:$K$200,5,0)&gt;0),0.4,"")))),
IF(VLOOKUP($A115-COUNT('Шаг2.Бланк заказа NEW'!$B$19:$B$201)-COUNT('Бланк OLD 0.8 04'!$B$18:$B$200),'Бланк OLD 2.0 04 '!$B$16:$K$200,4,0)&gt;1,2,
IF(VLOOKUP($A115-COUNT('Шаг2.Бланк заказа NEW'!$B$19:$B$201)-COUNT('Бланк OLD 0.8 04'!$B$18:$B$200),'Бланк OLD 2.0 04 '!$B$16:$K$200,5,0)&gt;1,0.4,IF(AND(VLOOKUP($A115-COUNT('Шаг2.Бланк заказа NEW'!$B$19:$B$201)-COUNT('Бланк OLD 0.8 04'!$B$18:$B$200),'Бланк OLD 2.0 04 '!$B$16:$K$200,4,0)&gt;0,VLOOKUP($A115-COUNT('Шаг2.Бланк заказа NEW'!$B$19:$B$201)-COUNT('Бланк OLD 0.8 04'!$B$18:$B$200),'Бланк OLD 2.0 04 '!$B$16:$K$200,5,0)&gt;0),0.4,""))))</f>
        <v/>
      </c>
      <c r="T115" s="147" t="str">
        <f ca="1">IFERROR(IFERROR(IF(VLOOKUP($A115,'Шаг2.Бланк заказа NEW'!$B$17:$N$201,7,0)="","",VLOOKUP($A115,'Шаг2.Бланк заказа NEW'!$B$17:$N$201,7,0)),
IF(VLOOKUP($A115-COUNT('Шаг2.Бланк заказа NEW'!$B$19:$B$201),'Бланк OLD 0.8 04'!$B$12:$K$200,7,0)&gt;0,0.8,
IF(VLOOKUP($A115-COUNT('Шаг2.Бланк заказа NEW'!$B$19:$B$201),'Бланк OLD 0.8 04'!$B$12:$K$200,8,0)&gt;0,0.4,""))),
IF(VLOOKUP($A115-COUNT('Шаг2.Бланк заказа NEW'!$B$19:$B$201)-COUNT('Бланк OLD 0.8 04'!$B$18:$B$200),'Бланк OLD 2.0 04 '!$B$16:$K$200,7,0)&gt;0,2,IF(VLOOKUP($A115-COUNT('Шаг2.Бланк заказа NEW'!$B$19:$B$201)-COUNT('Бланк OLD 0.8 04'!$B$18:$B$200),'Бланк OLD 2.0 04 '!$B$16:$K$200,8,0)&gt;0,0.4,"")))</f>
        <v/>
      </c>
      <c r="U115" s="147" t="str">
        <f ca="1">IFERROR(IFERROR(IF(VLOOKUP($A115,'Шаг2.Бланк заказа NEW'!$B$17:$N$201,8,0)="","",VLOOKUP($A115,'Шаг2.Бланк заказа NEW'!$B$17:$N$201,8,0)),
IF(VLOOKUP($A115-COUNT('Шаг2.Бланк заказа NEW'!$B$19:$B$201),'Бланк OLD 0.8 04'!$B$12:$K$200,7,0)&gt;1,0.8,
IF(VLOOKUP($A115-COUNT('Шаг2.Бланк заказа NEW'!$B$19:$B$201),'Бланк OLD 0.8 04'!$B$12:$K$200,8,0)&gt;1,0.4,
IF(AND(VLOOKUP($A115-COUNT('Шаг2.Бланк заказа NEW'!$B$19:$B$201),'Бланк OLD 0.8 04'!$B$12:$K$200,7,0)&gt;0,VLOOKUP($A115-COUNT('Шаг2.Бланк заказа NEW'!$B$19:$B$201),'Бланк OLD 0.8 04'!$B$12:$K$200,8,0)&gt;0),0.4,"")))),
IF(VLOOKUP($A115-COUNT('Шаг2.Бланк заказа NEW'!$B$19:$B$201)-COUNT('Бланк OLD 0.8 04'!$B$18:$B$200),'Бланк OLD 2.0 04 '!$B$16:$K$200,7,0)&gt;1,2,
IF(VLOOKUP($A115-COUNT('Шаг2.Бланк заказа NEW'!$B$19:$B$201)-COUNT('Бланк OLD 0.8 04'!$B$18:$B$200),'Бланк OLD 2.0 04 '!$B$16:$K$200,8,0)&gt;1,0.4,
IF(AND(VLOOKUP($A115-COUNT('Шаг2.Бланк заказа NEW'!$B$19:$B$201)-COUNT('Бланк OLD 0.8 04'!$B$18:$B$200),'Бланк OLD 2.0 04 '!$B$16:$K$200,7,0)&gt;0,VLOOKUP($A115-COUNT('Шаг2.Бланк заказа NEW'!$B$19:$B$201)-COUNT('Бланк OLD 0.8 04'!$B$18:$B$200),'Бланк OLD 2.0 04 '!$B$16:$K$200,8,0)&gt;0),0.4,""))))</f>
        <v/>
      </c>
      <c r="V115" s="146" t="str">
        <f ca="1">IFERROR(VLOOKUP(C115,'Шаг1.Выбор плиты'!C:S,12,0),"")</f>
        <v/>
      </c>
      <c r="W115" s="146" t="str">
        <f ca="1">IFERROR(VLOOKUP(C115,'Шаг1.Выбор плиты'!C:S,8,0),"")</f>
        <v/>
      </c>
      <c r="X115" s="146" t="str">
        <f ca="1">IFERROR(VLOOKUP(C115,'Шаг1.Выбор плиты'!C:S,10,0),"")</f>
        <v/>
      </c>
      <c r="Y115" s="147" t="str">
        <f t="shared" ca="1" si="8"/>
        <v/>
      </c>
      <c r="AD115" s="147" t="str">
        <f t="shared" ca="1" si="11"/>
        <v/>
      </c>
      <c r="AE115" s="147" t="str">
        <f t="shared" ca="1" si="9"/>
        <v/>
      </c>
      <c r="AF115" s="25"/>
      <c r="AH115" s="147" t="str">
        <f ca="1">IF(C115="","",VLOOKUP(C115,'Шаг1.Выбор плиты'!C:Q,7,0))</f>
        <v/>
      </c>
      <c r="AI115" s="147" t="str">
        <f t="shared" ca="1" si="12"/>
        <v/>
      </c>
    </row>
    <row r="116" spans="1:35" x14ac:dyDescent="0.2">
      <c r="A116" s="151" t="str">
        <f ca="1">IF(C116="","",MAX($A$1:OFFSET(C116,-1,0))+1)</f>
        <v/>
      </c>
      <c r="B116" s="151" t="str">
        <f ca="1">IFERROR(IFERROR(IFERROR("Шаг2.Бланк заказа NEW №"&amp;VLOOKUP(A115+1,CHOOSE({1,2},'Шаг2.Бланк заказа NEW'!$B$19:$B$201,'Шаг2.Бланк заказа NEW'!$A$19:$A$201),1,0),
"Бланк OLD 0.8 04 №"&amp;VLOOKUP(A115+1-COUNT('Шаг2.Бланк заказа NEW'!$B$19:$B$201),CHOOSE({1,2},'Бланк OLD 0.8 04'!$B$18:$B$200,'Бланк OLD 0.8 04'!$A$18:$A$200),1,0)),
"Бланк OLD 2.0 04 №"&amp;VLOOKUP(A115+1-COUNT('Шаг2.Бланк заказа NEW'!$B$19:$B$201)-COUNT('Бланк OLD 0.8 04'!$B$18:$B$200),CHOOSE({1,2},'Бланк OLD 2.0 04 '!$B$18:$B$200,'Бланк OLD 2.0 04 '!$A$18:$A$200),1,0)),"")</f>
        <v/>
      </c>
      <c r="C116" s="152" t="str">
        <f ca="1">IFERROR(IFERROR(IFERROR(VLOOKUP(A115+1,CHOOSE({1,2},'Шаг2.Бланк заказа NEW'!$B$19:$B$201,'Шаг2.Бланк заказа NEW'!$A$19:$A$201),2,0),
VLOOKUP(A115+1-COUNT('Шаг2.Бланк заказа NEW'!$B$19:$B$201),CHOOSE({1,2},'Бланк OLD 0.8 04'!$B$18:$B$200,'Бланк OLD 0.8 04'!$A$18:$A$200),2,0)),
VLOOKUP(A115+1-COUNT('Шаг2.Бланк заказа NEW'!$B$19:$B$201)-COUNT('Бланк OLD 0.8 04'!$B$18:$B$200),CHOOSE({1,2},'Бланк OLD 2.0 04 '!$B$18:$B$200,'Бланк OLD 2.0 04 '!$A$18:$A$200),2,0)),"")</f>
        <v/>
      </c>
      <c r="D116" s="150" t="str">
        <f ca="1">IFERROR(VLOOKUP(C116,'Шаг1.Выбор плиты'!C:G,5,0),"")</f>
        <v/>
      </c>
      <c r="E116" s="147" t="str">
        <f ca="1">IFERROR(IFERROR(IF(VLOOKUP($A116,'Шаг2.Бланк заказа NEW'!$B$17:$N$201,2,0)="","",VLOOKUP($A116,'Шаг2.Бланк заказа NEW'!$B$17:$N$201,2,0)),
IF(VLOOKUP($A116-COUNT('Шаг2.Бланк заказа NEW'!$B$19:$B$201),'Бланк OLD 0.8 04'!$B$12:$K$200,2,0)="","",VLOOKUP($A116-COUNT('Шаг2.Бланк заказа NEW'!$B$19:$B$201),'Бланк OLD 0.8 04'!$B$12:$K$200,2,0))),
IF(VLOOKUP($A116-COUNT('Шаг2.Бланк заказа NEW'!$B$19:$B$201)-COUNT('Бланк OLD 0.8 04'!$B$18:$B$200),'Бланк OLD 2.0 04 '!$B$16:$K$200,2,0)="","",VLOOKUP($A116-COUNT('Шаг2.Бланк заказа NEW'!$B$19:$B$201)-COUNT('Бланк OLD 0.8 04'!$B$18:$B$200),'Бланк OLD 2.0 04 '!$B$16:$K$200,2,0)))</f>
        <v/>
      </c>
      <c r="F116" s="147" t="str">
        <f ca="1">IFERROR(IFERROR(IF(VLOOKUP($A116,'Шаг2.Бланк заказа NEW'!$B$17:$N$201,3,0)="","",VLOOKUP($A116,'Шаг2.Бланк заказа NEW'!$B$17:$N$201,3,0)),
IF(VLOOKUP($A116-COUNT('Шаг2.Бланк заказа NEW'!$B$19:$B$201),'Бланк OLD 0.8 04'!$B$12:$K$200,3,0)="","",VLOOKUP($A116-COUNT('Шаг2.Бланк заказа NEW'!$B$19:$B$201),'Бланк OLD 0.8 04'!$B$12:$K$200,3,0))),
IF(VLOOKUP($A116-COUNT('Шаг2.Бланк заказа NEW'!$B$19:$B$201)-COUNT('Бланк OLD 0.8 04'!$B$18:$B$200),'Бланк OLD 2.0 04 '!$B$16:$K$200,3,0)="","",VLOOKUP($A116-COUNT('Шаг2.Бланк заказа NEW'!$B$19:$B$201)-COUNT('Бланк OLD 0.8 04'!$B$18:$B$200),'Бланк OLD 2.0 04 '!$B$16:$K$200,3,0)))</f>
        <v/>
      </c>
      <c r="G116" s="176" t="str">
        <f ca="1">IF(IF(R116="","",IF(R116=1,SUMIFS('Шаг1.Выбор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плиты'!C:Q,12,0)),1))))))=0,
R116,
IF(R116="","",IF(R116=1,SUMIFS('Шаг1.Выбор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плиты'!N:N,R116,'Шаг1.Выбор плиты'!M:M,SMALL(INDIRECT("мм"&amp;VLOOKUP(C116,'Шаг1.Выбор плиты'!C:Q,12,0)),1)))))))</f>
        <v/>
      </c>
      <c r="H116" s="177" t="str">
        <f ca="1">IF(IF(S116="","",IF(S116=1,SUMIFS('Шаг1.Выбор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плиты'!C:Q,12,0)),1))))))=0,
S116,
IF(S116="","",IF(S116=1,SUMIFS('Шаг1.Выбор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плиты'!N:N,S116,'Шаг1.Выбор плиты'!M:M,SMALL(INDIRECT("мм"&amp;VLOOKUP(C116,'Шаг1.Выбор плиты'!C:Q,12,0)),1)))))))</f>
        <v/>
      </c>
      <c r="I116" s="147" t="str">
        <f ca="1">IFERROR(IFERROR(IF(VLOOKUP($A116,'Шаг2.Бланк заказа NEW'!$B$17:$N$201,6,0)="","",VLOOKUP($A116,'Шаг2.Бланк заказа NEW'!$B$17:$N$201,6,0)),
IF(VLOOKUP($A116-COUNT('Шаг2.Бланк заказа NEW'!$B$19:$B$201),'Бланк OLD 0.8 04'!$B$12:$K$200,6,0)="","",VLOOKUP($A116-COUNT('Шаг2.Бланк заказа NEW'!$B$19:$B$201),'Бланк OLD 0.8 04'!$B$12:$K$200,6,0))),
IF(VLOOKUP($A116-COUNT('Шаг2.Бланк заказа NEW'!$B$19:$B$201)-COUNT('Бланк OLD 0.8 04'!$B$18:$B$200),'Бланк OLD 2.0 04 '!$B$16:$K$200,6,0)="","",VLOOKUP($A116-COUNT('Шаг2.Бланк заказа NEW'!$B$19:$B$201)-COUNT('Бланк OLD 0.8 04'!$B$18:$B$200),'Бланк OLD 2.0 04 '!$B$16:$K$200,6,0)))</f>
        <v/>
      </c>
      <c r="J116" s="177" t="str">
        <f ca="1">IF(IF(T116="","",IF(T116=1,SUMIFS('Шаг1.Выбор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плиты'!C:Q,12,0)),1))))))=0,
T116,
IF(T116="","",IF(T116=1,SUMIFS('Шаг1.Выбор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плиты'!N:N,T116,'Шаг1.Выбор плиты'!M:M,SMALL(INDIRECT("мм"&amp;VLOOKUP(C116,'Шаг1.Выбор плиты'!C:Q,12,0)),1)))))))</f>
        <v/>
      </c>
      <c r="K116" s="177" t="str">
        <f ca="1">IF(IF(U116="","",IF(U116=1,SUMIFS('Шаг1.Выбор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плиты'!C:Q,12,0)),1))))))=0,
U116,
IF(U116="","",IF(U116=1,SUMIFS('Шаг1.Выбор плиты'!$G:$G,'Шаг1.Выбор плиты'!J:J,"*"&amp;RIGHT(VLOOKUP(C116,'Шаг1.Выбор плиты'!C:Q,8,0),4),'Шаг1.Выбор плиты'!L:L,IF(MID(C116,1,6)="ЛДСП P","TM"&amp;MID(VLOOKUP(C116,'Шаг1.Выбор плиты'!C:Q,10,0),3,2),MID(VLOOKUP(C116,'Шаг1.Выбор плиты'!C:Q,10,0),1,2)),
'Шаг1.Выбор плиты'!N:N,1),IF(SUMIFS('Шаг1.Выбор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плиты'!C:Q,12,0)),1))=0,
IF(SUMIFS('Шаг1.Выбор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плиты'!C:Q,12,0)),2))=0,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плиты'!C:Q,12,0)),3)),
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плиты'!C:Q,12,0)),2))),
(SUMIFS('Шаг1.Выбор плиты'!$G:$G,'Шаг1.Выбор плиты'!J:J,"*"&amp;RIGHT(VLOOKUP(C116,'Шаг1.Выбор плиты'!C:Q,8,0),4),'Шаг1.Выбор плиты'!L:L,VLOOKUP(C116,'Шаг1.Выбор плиты'!C:Q,10,0),'Шаг1.Выбор плиты'!N:N,U116,'Шаг1.Выбор плиты'!M:M,SMALL(INDIRECT("мм"&amp;VLOOKUP(C116,'Шаг1.Выбор плиты'!C:Q,12,0)),1)))))))</f>
        <v/>
      </c>
      <c r="L116" s="147" t="str">
        <f ca="1">IFERROR(IFERROR(IF(VLOOKUP($A116,'Шаг2.Бланк заказа NEW'!$B$17:$N$201,9,0)="","",VLOOKUP($A116,'Шаг2.Бланк заказа NEW'!$B$17:$N$201,9,0)),
IF(VLOOKUP($A116-COUNT('Шаг2.Бланк заказа NEW'!$B$19:$B$201),'Бланк OLD 0.8 04'!$B$12:$K$200,9,0)="","",VLOOKUP($A116-COUNT('Шаг2.Бланк заказа NEW'!$B$19:$B$201),'Бланк OLD 0.8 04'!$B$12:$K$200,9,0))),
IF(VLOOKUP($A116-COUNT('Шаг2.Бланк заказа NEW'!$B$19:$B$201)-COUNT('Бланк OLD 0.8 04'!$B$18:$B$200),'Бланк OLD 2.0 04 '!$B$16:$K$200,9,0)="","",VLOOKUP($A116-COUNT('Шаг2.Бланк заказа NEW'!$B$19:$B$201)-COUNT('Бланк OLD 0.8 04'!$B$18:$B$200),'Бланк OLD 2.0 04 '!$B$16:$K$200,9,0)))</f>
        <v/>
      </c>
      <c r="M116" s="154" t="str">
        <f t="shared" ca="1" si="10"/>
        <v/>
      </c>
      <c r="N116" s="153" t="str">
        <f ca="1">IFERROR(IF(VLOOKUP($A116,'Шаг2.Бланк заказа NEW'!$B$17:$N$201,11,0)="","",VLOOKUP($A116,'Шаг2.Бланк заказа NEW'!$B$17:$N$201,11,0)),
"Нет")</f>
        <v/>
      </c>
      <c r="O116" s="147" t="str">
        <f ca="1">IFERROR(IF(VLOOKUP($A116,'Шаг2.Бланк заказа NEW'!$B$17:$N$201,11,0)="","",VLOOKUP($A116,'Шаг2.Бланк заказа NEW'!$B$17:$N$201,12,0)),
"Нет")</f>
        <v/>
      </c>
      <c r="P116" s="153" t="str">
        <f ca="1">IFERROR(IF(VLOOKUP($A116,'Шаг2.Бланк заказа NEW'!$B$17:$N$201,13,0)="","",VLOOKUP($A116,'Шаг2.Бланк заказа NEW'!$B$17:$N$201,13,0)),
"Нет")</f>
        <v/>
      </c>
      <c r="Q116" s="147" t="str">
        <f ca="1">IFERROR(IF(VLOOKUP($A116,'Шаг2.Бланк заказа NEW'!$B$17:$O$201,14,0)="","",VLOOKUP($A116,'Шаг2.Бланк заказа NEW'!$B$17:$O$201,14,0)),"")</f>
        <v/>
      </c>
      <c r="R116" s="147" t="str">
        <f ca="1">IFERROR(IFERROR(IF(VLOOKUP($A116,'Шаг2.Бланк заказа NEW'!$B$17:$N$201,4,0)="","",VLOOKUP($A116,'Шаг2.Бланк заказа NEW'!$B$17:$N$201,4,0)),
IF(VLOOKUP($A116-COUNT('Шаг2.Бланк заказа NEW'!$B$19:$B$201),'Бланк OLD 0.8 04'!$B$12:$K$200,4,0)&gt;0,0.8,
IF(VLOOKUP($A116-COUNT('Шаг2.Бланк заказа NEW'!$B$19:$B$201),'Бланк OLD 0.8 04'!$B$12:$K$200,5,0)&gt;0,0.4,""))),
IF(VLOOKUP($A116-COUNT('Шаг2.Бланк заказа NEW'!$B$19:$B$201)-COUNT('Бланк OLD 0.8 04'!$B$18:$B$200),'Бланк OLD 2.0 04 '!$B$16:$K$200,4,0)&gt;0,2,IF(VLOOKUP($A116-COUNT('Шаг2.Бланк заказа NEW'!$B$19:$B$201)-COUNT('Бланк OLD 0.8 04'!$B$18:$B$200),'Бланк OLD 2.0 04 '!$B$16:$K$200,5,0)&gt;0,0.4,"")))</f>
        <v/>
      </c>
      <c r="S116" s="147" t="str">
        <f ca="1">IFERROR(IFERROR(IF(VLOOKUP($A116,'Шаг2.Бланк заказа NEW'!$B$17:$N$201,5,0)="","",VLOOKUP($A116,'Шаг2.Бланк заказа NEW'!$B$17:$N$201,5,0)),
IF(VLOOKUP($A116-COUNT('Шаг2.Бланк заказа NEW'!$B$19:$B$201),'Бланк OLD 0.8 04'!$B$12:$K$200,4,0)&gt;1,0.8,
IF(VLOOKUP($A116-COUNT('Шаг2.Бланк заказа NEW'!$B$19:$B$201),'Бланк OLD 0.8 04'!$B$12:$K$200,5,0)&gt;1,0.4,
IF(AND(VLOOKUP($A116-COUNT('Шаг2.Бланк заказа NEW'!$B$19:$B$201),'Бланк OLD 0.8 04'!$B$12:$K$200,4,0)&gt;0,VLOOKUP($A116-COUNT('Шаг2.Бланк заказа NEW'!$B$19:$B$201),'Бланк OLD 0.8 04'!$B$12:$K$200,5,0)&gt;0),0.4,"")))),
IF(VLOOKUP($A116-COUNT('Шаг2.Бланк заказа NEW'!$B$19:$B$201)-COUNT('Бланк OLD 0.8 04'!$B$18:$B$200),'Бланк OLD 2.0 04 '!$B$16:$K$200,4,0)&gt;1,2,
IF(VLOOKUP($A116-COUNT('Шаг2.Бланк заказа NEW'!$B$19:$B$201)-COUNT('Бланк OLD 0.8 04'!$B$18:$B$200),'Бланк OLD 2.0 04 '!$B$16:$K$200,5,0)&gt;1,0.4,IF(AND(VLOOKUP($A116-COUNT('Шаг2.Бланк заказа NEW'!$B$19:$B$201)-COUNT('Бланк OLD 0.8 04'!$B$18:$B$200),'Бланк OLD 2.0 04 '!$B$16:$K$200,4,0)&gt;0,VLOOKUP($A116-COUNT('Шаг2.Бланк заказа NEW'!$B$19:$B$201)-COUNT('Бланк OLD 0.8 04'!$B$18:$B$200),'Бланк OLD 2.0 04 '!$B$16:$K$200,5,0)&gt;0),0.4,""))))</f>
        <v/>
      </c>
      <c r="T116" s="147" t="str">
        <f ca="1">IFERROR(IFERROR(IF(VLOOKUP($A116,'Шаг2.Бланк заказа NEW'!$B$17:$N$201,7,0)="","",VLOOKUP($A116,'Шаг2.Бланк заказа NEW'!$B$17:$N$201,7,0)),
IF(VLOOKUP($A116-COUNT('Шаг2.Бланк заказа NEW'!$B$19:$B$201),'Бланк OLD 0.8 04'!$B$12:$K$200,7,0)&gt;0,0.8,
IF(VLOOKUP($A116-COUNT('Шаг2.Бланк заказа NEW'!$B$19:$B$201),'Бланк OLD 0.8 04'!$B$12:$K$200,8,0)&gt;0,0.4,""))),
IF(VLOOKUP($A116-COUNT('Шаг2.Бланк заказа NEW'!$B$19:$B$201)-COUNT('Бланк OLD 0.8 04'!$B$18:$B$200),'Бланк OLD 2.0 04 '!$B$16:$K$200,7,0)&gt;0,2,IF(VLOOKUP($A116-COUNT('Шаг2.Бланк заказа NEW'!$B$19:$B$201)-COUNT('Бланк OLD 0.8 04'!$B$18:$B$200),'Бланк OLD 2.0 04 '!$B$16:$K$200,8,0)&gt;0,0.4,"")))</f>
        <v/>
      </c>
      <c r="U116" s="147" t="str">
        <f ca="1">IFERROR(IFERROR(IF(VLOOKUP($A116,'Шаг2.Бланк заказа NEW'!$B$17:$N$201,8,0)="","",VLOOKUP($A116,'Шаг2.Бланк заказа NEW'!$B$17:$N$201,8,0)),
IF(VLOOKUP($A116-COUNT('Шаг2.Бланк заказа NEW'!$B$19:$B$201),'Бланк OLD 0.8 04'!$B$12:$K$200,7,0)&gt;1,0.8,
IF(VLOOKUP($A116-COUNT('Шаг2.Бланк заказа NEW'!$B$19:$B$201),'Бланк OLD 0.8 04'!$B$12:$K$200,8,0)&gt;1,0.4,
IF(AND(VLOOKUP($A116-COUNT('Шаг2.Бланк заказа NEW'!$B$19:$B$201),'Бланк OLD 0.8 04'!$B$12:$K$200,7,0)&gt;0,VLOOKUP($A116-COUNT('Шаг2.Бланк заказа NEW'!$B$19:$B$201),'Бланк OLD 0.8 04'!$B$12:$K$200,8,0)&gt;0),0.4,"")))),
IF(VLOOKUP($A116-COUNT('Шаг2.Бланк заказа NEW'!$B$19:$B$201)-COUNT('Бланк OLD 0.8 04'!$B$18:$B$200),'Бланк OLD 2.0 04 '!$B$16:$K$200,7,0)&gt;1,2,
IF(VLOOKUP($A116-COUNT('Шаг2.Бланк заказа NEW'!$B$19:$B$201)-COUNT('Бланк OLD 0.8 04'!$B$18:$B$200),'Бланк OLD 2.0 04 '!$B$16:$K$200,8,0)&gt;1,0.4,
IF(AND(VLOOKUP($A116-COUNT('Шаг2.Бланк заказа NEW'!$B$19:$B$201)-COUNT('Бланк OLD 0.8 04'!$B$18:$B$200),'Бланк OLD 2.0 04 '!$B$16:$K$200,7,0)&gt;0,VLOOKUP($A116-COUNT('Шаг2.Бланк заказа NEW'!$B$19:$B$201)-COUNT('Бланк OLD 0.8 04'!$B$18:$B$200),'Бланк OLD 2.0 04 '!$B$16:$K$200,8,0)&gt;0),0.4,""))))</f>
        <v/>
      </c>
      <c r="V116" s="146" t="str">
        <f ca="1">IFERROR(VLOOKUP(C116,'Шаг1.Выбор плиты'!C:S,12,0),"")</f>
        <v/>
      </c>
      <c r="W116" s="146" t="str">
        <f ca="1">IFERROR(VLOOKUP(C116,'Шаг1.Выбор плиты'!C:S,8,0),"")</f>
        <v/>
      </c>
      <c r="X116" s="146" t="str">
        <f ca="1">IFERROR(VLOOKUP(C116,'Шаг1.Выбор плиты'!C:S,10,0),"")</f>
        <v/>
      </c>
      <c r="Y116" s="147" t="str">
        <f t="shared" ca="1" si="8"/>
        <v/>
      </c>
      <c r="AD116" s="147" t="str">
        <f t="shared" ca="1" si="11"/>
        <v/>
      </c>
      <c r="AE116" s="147" t="str">
        <f t="shared" ca="1" si="9"/>
        <v/>
      </c>
      <c r="AF116" s="25"/>
      <c r="AH116" s="147" t="str">
        <f ca="1">IF(C116="","",VLOOKUP(C116,'Шаг1.Выбор плиты'!C:Q,7,0))</f>
        <v/>
      </c>
      <c r="AI116" s="147" t="str">
        <f t="shared" ca="1" si="12"/>
        <v/>
      </c>
    </row>
    <row r="117" spans="1:35" x14ac:dyDescent="0.2">
      <c r="A117" s="151" t="str">
        <f ca="1">IF(C117="","",MAX($A$1:OFFSET(C117,-1,0))+1)</f>
        <v/>
      </c>
      <c r="B117" s="151" t="str">
        <f ca="1">IFERROR(IFERROR(IFERROR("Шаг2.Бланк заказа NEW №"&amp;VLOOKUP(A116+1,CHOOSE({1,2},'Шаг2.Бланк заказа NEW'!$B$19:$B$201,'Шаг2.Бланк заказа NEW'!$A$19:$A$201),1,0),
"Бланк OLD 0.8 04 №"&amp;VLOOKUP(A116+1-COUNT('Шаг2.Бланк заказа NEW'!$B$19:$B$201),CHOOSE({1,2},'Бланк OLD 0.8 04'!$B$18:$B$200,'Бланк OLD 0.8 04'!$A$18:$A$200),1,0)),
"Бланк OLD 2.0 04 №"&amp;VLOOKUP(A116+1-COUNT('Шаг2.Бланк заказа NEW'!$B$19:$B$201)-COUNT('Бланк OLD 0.8 04'!$B$18:$B$200),CHOOSE({1,2},'Бланк OLD 2.0 04 '!$B$18:$B$200,'Бланк OLD 2.0 04 '!$A$18:$A$200),1,0)),"")</f>
        <v/>
      </c>
      <c r="C117" s="152" t="str">
        <f ca="1">IFERROR(IFERROR(IFERROR(VLOOKUP(A116+1,CHOOSE({1,2},'Шаг2.Бланк заказа NEW'!$B$19:$B$201,'Шаг2.Бланк заказа NEW'!$A$19:$A$201),2,0),
VLOOKUP(A116+1-COUNT('Шаг2.Бланк заказа NEW'!$B$19:$B$201),CHOOSE({1,2},'Бланк OLD 0.8 04'!$B$18:$B$200,'Бланк OLD 0.8 04'!$A$18:$A$200),2,0)),
VLOOKUP(A116+1-COUNT('Шаг2.Бланк заказа NEW'!$B$19:$B$201)-COUNT('Бланк OLD 0.8 04'!$B$18:$B$200),CHOOSE({1,2},'Бланк OLD 2.0 04 '!$B$18:$B$200,'Бланк OLD 2.0 04 '!$A$18:$A$200),2,0)),"")</f>
        <v/>
      </c>
      <c r="D117" s="150" t="str">
        <f ca="1">IFERROR(VLOOKUP(C117,'Шаг1.Выбор плиты'!C:G,5,0),"")</f>
        <v/>
      </c>
      <c r="E117" s="147" t="str">
        <f ca="1">IFERROR(IFERROR(IF(VLOOKUP($A117,'Шаг2.Бланк заказа NEW'!$B$17:$N$201,2,0)="","",VLOOKUP($A117,'Шаг2.Бланк заказа NEW'!$B$17:$N$201,2,0)),
IF(VLOOKUP($A117-COUNT('Шаг2.Бланк заказа NEW'!$B$19:$B$201),'Бланк OLD 0.8 04'!$B$12:$K$200,2,0)="","",VLOOKUP($A117-COUNT('Шаг2.Бланк заказа NEW'!$B$19:$B$201),'Бланк OLD 0.8 04'!$B$12:$K$200,2,0))),
IF(VLOOKUP($A117-COUNT('Шаг2.Бланк заказа NEW'!$B$19:$B$201)-COUNT('Бланк OLD 0.8 04'!$B$18:$B$200),'Бланк OLD 2.0 04 '!$B$16:$K$200,2,0)="","",VLOOKUP($A117-COUNT('Шаг2.Бланк заказа NEW'!$B$19:$B$201)-COUNT('Бланк OLD 0.8 04'!$B$18:$B$200),'Бланк OLD 2.0 04 '!$B$16:$K$200,2,0)))</f>
        <v/>
      </c>
      <c r="F117" s="147" t="str">
        <f ca="1">IFERROR(IFERROR(IF(VLOOKUP($A117,'Шаг2.Бланк заказа NEW'!$B$17:$N$201,3,0)="","",VLOOKUP($A117,'Шаг2.Бланк заказа NEW'!$B$17:$N$201,3,0)),
IF(VLOOKUP($A117-COUNT('Шаг2.Бланк заказа NEW'!$B$19:$B$201),'Бланк OLD 0.8 04'!$B$12:$K$200,3,0)="","",VLOOKUP($A117-COUNT('Шаг2.Бланк заказа NEW'!$B$19:$B$201),'Бланк OLD 0.8 04'!$B$12:$K$200,3,0))),
IF(VLOOKUP($A117-COUNT('Шаг2.Бланк заказа NEW'!$B$19:$B$201)-COUNT('Бланк OLD 0.8 04'!$B$18:$B$200),'Бланк OLD 2.0 04 '!$B$16:$K$200,3,0)="","",VLOOKUP($A117-COUNT('Шаг2.Бланк заказа NEW'!$B$19:$B$201)-COUNT('Бланк OLD 0.8 04'!$B$18:$B$200),'Бланк OLD 2.0 04 '!$B$16:$K$200,3,0)))</f>
        <v/>
      </c>
      <c r="G117" s="176" t="str">
        <f ca="1">IF(IF(R117="","",IF(R117=1,SUMIFS('Шаг1.Выбор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плиты'!C:Q,12,0)),1))))))=0,
R117,
IF(R117="","",IF(R117=1,SUMIFS('Шаг1.Выбор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плиты'!N:N,R117,'Шаг1.Выбор плиты'!M:M,SMALL(INDIRECT("мм"&amp;VLOOKUP(C117,'Шаг1.Выбор плиты'!C:Q,12,0)),1)))))))</f>
        <v/>
      </c>
      <c r="H117" s="177" t="str">
        <f ca="1">IF(IF(S117="","",IF(S117=1,SUMIFS('Шаг1.Выбор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плиты'!C:Q,12,0)),1))))))=0,
S117,
IF(S117="","",IF(S117=1,SUMIFS('Шаг1.Выбор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плиты'!N:N,S117,'Шаг1.Выбор плиты'!M:M,SMALL(INDIRECT("мм"&amp;VLOOKUP(C117,'Шаг1.Выбор плиты'!C:Q,12,0)),1)))))))</f>
        <v/>
      </c>
      <c r="I117" s="147" t="str">
        <f ca="1">IFERROR(IFERROR(IF(VLOOKUP($A117,'Шаг2.Бланк заказа NEW'!$B$17:$N$201,6,0)="","",VLOOKUP($A117,'Шаг2.Бланк заказа NEW'!$B$17:$N$201,6,0)),
IF(VLOOKUP($A117-COUNT('Шаг2.Бланк заказа NEW'!$B$19:$B$201),'Бланк OLD 0.8 04'!$B$12:$K$200,6,0)="","",VLOOKUP($A117-COUNT('Шаг2.Бланк заказа NEW'!$B$19:$B$201),'Бланк OLD 0.8 04'!$B$12:$K$200,6,0))),
IF(VLOOKUP($A117-COUNT('Шаг2.Бланк заказа NEW'!$B$19:$B$201)-COUNT('Бланк OLD 0.8 04'!$B$18:$B$200),'Бланк OLD 2.0 04 '!$B$16:$K$200,6,0)="","",VLOOKUP($A117-COUNT('Шаг2.Бланк заказа NEW'!$B$19:$B$201)-COUNT('Бланк OLD 0.8 04'!$B$18:$B$200),'Бланк OLD 2.0 04 '!$B$16:$K$200,6,0)))</f>
        <v/>
      </c>
      <c r="J117" s="177" t="str">
        <f ca="1">IF(IF(T117="","",IF(T117=1,SUMIFS('Шаг1.Выбор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плиты'!C:Q,12,0)),1))))))=0,
T117,
IF(T117="","",IF(T117=1,SUMIFS('Шаг1.Выбор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плиты'!N:N,T117,'Шаг1.Выбор плиты'!M:M,SMALL(INDIRECT("мм"&amp;VLOOKUP(C117,'Шаг1.Выбор плиты'!C:Q,12,0)),1)))))))</f>
        <v/>
      </c>
      <c r="K117" s="177" t="str">
        <f ca="1">IF(IF(U117="","",IF(U117=1,SUMIFS('Шаг1.Выбор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плиты'!C:Q,12,0)),1))))))=0,
U117,
IF(U117="","",IF(U117=1,SUMIFS('Шаг1.Выбор плиты'!$G:$G,'Шаг1.Выбор плиты'!J:J,"*"&amp;RIGHT(VLOOKUP(C117,'Шаг1.Выбор плиты'!C:Q,8,0),4),'Шаг1.Выбор плиты'!L:L,IF(MID(C117,1,6)="ЛДСП P","TM"&amp;MID(VLOOKUP(C117,'Шаг1.Выбор плиты'!C:Q,10,0),3,2),MID(VLOOKUP(C117,'Шаг1.Выбор плиты'!C:Q,10,0),1,2)),
'Шаг1.Выбор плиты'!N:N,1),IF(SUMIFS('Шаг1.Выбор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плиты'!C:Q,12,0)),1))=0,
IF(SUMIFS('Шаг1.Выбор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плиты'!C:Q,12,0)),2))=0,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плиты'!C:Q,12,0)),3)),
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плиты'!C:Q,12,0)),2))),
(SUMIFS('Шаг1.Выбор плиты'!$G:$G,'Шаг1.Выбор плиты'!J:J,"*"&amp;RIGHT(VLOOKUP(C117,'Шаг1.Выбор плиты'!C:Q,8,0),4),'Шаг1.Выбор плиты'!L:L,VLOOKUP(C117,'Шаг1.Выбор плиты'!C:Q,10,0),'Шаг1.Выбор плиты'!N:N,U117,'Шаг1.Выбор плиты'!M:M,SMALL(INDIRECT("мм"&amp;VLOOKUP(C117,'Шаг1.Выбор плиты'!C:Q,12,0)),1)))))))</f>
        <v/>
      </c>
      <c r="L117" s="147" t="str">
        <f ca="1">IFERROR(IFERROR(IF(VLOOKUP($A117,'Шаг2.Бланк заказа NEW'!$B$17:$N$201,9,0)="","",VLOOKUP($A117,'Шаг2.Бланк заказа NEW'!$B$17:$N$201,9,0)),
IF(VLOOKUP($A117-COUNT('Шаг2.Бланк заказа NEW'!$B$19:$B$201),'Бланк OLD 0.8 04'!$B$12:$K$200,9,0)="","",VLOOKUP($A117-COUNT('Шаг2.Бланк заказа NEW'!$B$19:$B$201),'Бланк OLD 0.8 04'!$B$12:$K$200,9,0))),
IF(VLOOKUP($A117-COUNT('Шаг2.Бланк заказа NEW'!$B$19:$B$201)-COUNT('Бланк OLD 0.8 04'!$B$18:$B$200),'Бланк OLD 2.0 04 '!$B$16:$K$200,9,0)="","",VLOOKUP($A117-COUNT('Шаг2.Бланк заказа NEW'!$B$19:$B$201)-COUNT('Бланк OLD 0.8 04'!$B$18:$B$200),'Бланк OLD 2.0 04 '!$B$16:$K$200,9,0)))</f>
        <v/>
      </c>
      <c r="M117" s="154" t="str">
        <f t="shared" ca="1" si="10"/>
        <v/>
      </c>
      <c r="N117" s="153" t="str">
        <f ca="1">IFERROR(IF(VLOOKUP($A117,'Шаг2.Бланк заказа NEW'!$B$17:$N$201,11,0)="","",VLOOKUP($A117,'Шаг2.Бланк заказа NEW'!$B$17:$N$201,11,0)),
"Нет")</f>
        <v/>
      </c>
      <c r="O117" s="147" t="str">
        <f ca="1">IFERROR(IF(VLOOKUP($A117,'Шаг2.Бланк заказа NEW'!$B$17:$N$201,11,0)="","",VLOOKUP($A117,'Шаг2.Бланк заказа NEW'!$B$17:$N$201,12,0)),
"Нет")</f>
        <v/>
      </c>
      <c r="P117" s="153" t="str">
        <f ca="1">IFERROR(IF(VLOOKUP($A117,'Шаг2.Бланк заказа NEW'!$B$17:$N$201,13,0)="","",VLOOKUP($A117,'Шаг2.Бланк заказа NEW'!$B$17:$N$201,13,0)),
"Нет")</f>
        <v/>
      </c>
      <c r="Q117" s="147" t="str">
        <f ca="1">IFERROR(IF(VLOOKUP($A117,'Шаг2.Бланк заказа NEW'!$B$17:$O$201,14,0)="","",VLOOKUP($A117,'Шаг2.Бланк заказа NEW'!$B$17:$O$201,14,0)),"")</f>
        <v/>
      </c>
      <c r="R117" s="147" t="str">
        <f ca="1">IFERROR(IFERROR(IF(VLOOKUP($A117,'Шаг2.Бланк заказа NEW'!$B$17:$N$201,4,0)="","",VLOOKUP($A117,'Шаг2.Бланк заказа NEW'!$B$17:$N$201,4,0)),
IF(VLOOKUP($A117-COUNT('Шаг2.Бланк заказа NEW'!$B$19:$B$201),'Бланк OLD 0.8 04'!$B$12:$K$200,4,0)&gt;0,0.8,
IF(VLOOKUP($A117-COUNT('Шаг2.Бланк заказа NEW'!$B$19:$B$201),'Бланк OLD 0.8 04'!$B$12:$K$200,5,0)&gt;0,0.4,""))),
IF(VLOOKUP($A117-COUNT('Шаг2.Бланк заказа NEW'!$B$19:$B$201)-COUNT('Бланк OLD 0.8 04'!$B$18:$B$200),'Бланк OLD 2.0 04 '!$B$16:$K$200,4,0)&gt;0,2,IF(VLOOKUP($A117-COUNT('Шаг2.Бланк заказа NEW'!$B$19:$B$201)-COUNT('Бланк OLD 0.8 04'!$B$18:$B$200),'Бланк OLD 2.0 04 '!$B$16:$K$200,5,0)&gt;0,0.4,"")))</f>
        <v/>
      </c>
      <c r="S117" s="147" t="str">
        <f ca="1">IFERROR(IFERROR(IF(VLOOKUP($A117,'Шаг2.Бланк заказа NEW'!$B$17:$N$201,5,0)="","",VLOOKUP($A117,'Шаг2.Бланк заказа NEW'!$B$17:$N$201,5,0)),
IF(VLOOKUP($A117-COUNT('Шаг2.Бланк заказа NEW'!$B$19:$B$201),'Бланк OLD 0.8 04'!$B$12:$K$200,4,0)&gt;1,0.8,
IF(VLOOKUP($A117-COUNT('Шаг2.Бланк заказа NEW'!$B$19:$B$201),'Бланк OLD 0.8 04'!$B$12:$K$200,5,0)&gt;1,0.4,
IF(AND(VLOOKUP($A117-COUNT('Шаг2.Бланк заказа NEW'!$B$19:$B$201),'Бланк OLD 0.8 04'!$B$12:$K$200,4,0)&gt;0,VLOOKUP($A117-COUNT('Шаг2.Бланк заказа NEW'!$B$19:$B$201),'Бланк OLD 0.8 04'!$B$12:$K$200,5,0)&gt;0),0.4,"")))),
IF(VLOOKUP($A117-COUNT('Шаг2.Бланк заказа NEW'!$B$19:$B$201)-COUNT('Бланк OLD 0.8 04'!$B$18:$B$200),'Бланк OLD 2.0 04 '!$B$16:$K$200,4,0)&gt;1,2,
IF(VLOOKUP($A117-COUNT('Шаг2.Бланк заказа NEW'!$B$19:$B$201)-COUNT('Бланк OLD 0.8 04'!$B$18:$B$200),'Бланк OLD 2.0 04 '!$B$16:$K$200,5,0)&gt;1,0.4,IF(AND(VLOOKUP($A117-COUNT('Шаг2.Бланк заказа NEW'!$B$19:$B$201)-COUNT('Бланк OLD 0.8 04'!$B$18:$B$200),'Бланк OLD 2.0 04 '!$B$16:$K$200,4,0)&gt;0,VLOOKUP($A117-COUNT('Шаг2.Бланк заказа NEW'!$B$19:$B$201)-COUNT('Бланк OLD 0.8 04'!$B$18:$B$200),'Бланк OLD 2.0 04 '!$B$16:$K$200,5,0)&gt;0),0.4,""))))</f>
        <v/>
      </c>
      <c r="T117" s="147" t="str">
        <f ca="1">IFERROR(IFERROR(IF(VLOOKUP($A117,'Шаг2.Бланк заказа NEW'!$B$17:$N$201,7,0)="","",VLOOKUP($A117,'Шаг2.Бланк заказа NEW'!$B$17:$N$201,7,0)),
IF(VLOOKUP($A117-COUNT('Шаг2.Бланк заказа NEW'!$B$19:$B$201),'Бланк OLD 0.8 04'!$B$12:$K$200,7,0)&gt;0,0.8,
IF(VLOOKUP($A117-COUNT('Шаг2.Бланк заказа NEW'!$B$19:$B$201),'Бланк OLD 0.8 04'!$B$12:$K$200,8,0)&gt;0,0.4,""))),
IF(VLOOKUP($A117-COUNT('Шаг2.Бланк заказа NEW'!$B$19:$B$201)-COUNT('Бланк OLD 0.8 04'!$B$18:$B$200),'Бланк OLD 2.0 04 '!$B$16:$K$200,7,0)&gt;0,2,IF(VLOOKUP($A117-COUNT('Шаг2.Бланк заказа NEW'!$B$19:$B$201)-COUNT('Бланк OLD 0.8 04'!$B$18:$B$200),'Бланк OLD 2.0 04 '!$B$16:$K$200,8,0)&gt;0,0.4,"")))</f>
        <v/>
      </c>
      <c r="U117" s="147" t="str">
        <f ca="1">IFERROR(IFERROR(IF(VLOOKUP($A117,'Шаг2.Бланк заказа NEW'!$B$17:$N$201,8,0)="","",VLOOKUP($A117,'Шаг2.Бланк заказа NEW'!$B$17:$N$201,8,0)),
IF(VLOOKUP($A117-COUNT('Шаг2.Бланк заказа NEW'!$B$19:$B$201),'Бланк OLD 0.8 04'!$B$12:$K$200,7,0)&gt;1,0.8,
IF(VLOOKUP($A117-COUNT('Шаг2.Бланк заказа NEW'!$B$19:$B$201),'Бланк OLD 0.8 04'!$B$12:$K$200,8,0)&gt;1,0.4,
IF(AND(VLOOKUP($A117-COUNT('Шаг2.Бланк заказа NEW'!$B$19:$B$201),'Бланк OLD 0.8 04'!$B$12:$K$200,7,0)&gt;0,VLOOKUP($A117-COUNT('Шаг2.Бланк заказа NEW'!$B$19:$B$201),'Бланк OLD 0.8 04'!$B$12:$K$200,8,0)&gt;0),0.4,"")))),
IF(VLOOKUP($A117-COUNT('Шаг2.Бланк заказа NEW'!$B$19:$B$201)-COUNT('Бланк OLD 0.8 04'!$B$18:$B$200),'Бланк OLD 2.0 04 '!$B$16:$K$200,7,0)&gt;1,2,
IF(VLOOKUP($A117-COUNT('Шаг2.Бланк заказа NEW'!$B$19:$B$201)-COUNT('Бланк OLD 0.8 04'!$B$18:$B$200),'Бланк OLD 2.0 04 '!$B$16:$K$200,8,0)&gt;1,0.4,
IF(AND(VLOOKUP($A117-COUNT('Шаг2.Бланк заказа NEW'!$B$19:$B$201)-COUNT('Бланк OLD 0.8 04'!$B$18:$B$200),'Бланк OLD 2.0 04 '!$B$16:$K$200,7,0)&gt;0,VLOOKUP($A117-COUNT('Шаг2.Бланк заказа NEW'!$B$19:$B$201)-COUNT('Бланк OLD 0.8 04'!$B$18:$B$200),'Бланк OLD 2.0 04 '!$B$16:$K$200,8,0)&gt;0),0.4,""))))</f>
        <v/>
      </c>
      <c r="V117" s="146" t="str">
        <f ca="1">IFERROR(VLOOKUP(C117,'Шаг1.Выбор плиты'!C:S,12,0),"")</f>
        <v/>
      </c>
      <c r="W117" s="146" t="str">
        <f ca="1">IFERROR(VLOOKUP(C117,'Шаг1.Выбор плиты'!C:S,8,0),"")</f>
        <v/>
      </c>
      <c r="X117" s="146" t="str">
        <f ca="1">IFERROR(VLOOKUP(C117,'Шаг1.Выбор плиты'!C:S,10,0),"")</f>
        <v/>
      </c>
      <c r="Y117" s="147" t="str">
        <f t="shared" ca="1" si="8"/>
        <v/>
      </c>
      <c r="AD117" s="147" t="str">
        <f t="shared" ca="1" si="11"/>
        <v/>
      </c>
      <c r="AE117" s="147" t="str">
        <f t="shared" ca="1" si="9"/>
        <v/>
      </c>
      <c r="AF117" s="25"/>
      <c r="AH117" s="147" t="str">
        <f ca="1">IF(C117="","",VLOOKUP(C117,'Шаг1.Выбор плиты'!C:Q,7,0))</f>
        <v/>
      </c>
      <c r="AI117" s="147" t="str">
        <f t="shared" ca="1" si="12"/>
        <v/>
      </c>
    </row>
    <row r="118" spans="1:35" x14ac:dyDescent="0.2">
      <c r="A118" s="151" t="str">
        <f ca="1">IF(C118="","",MAX($A$1:OFFSET(C118,-1,0))+1)</f>
        <v/>
      </c>
      <c r="B118" s="151" t="str">
        <f ca="1">IFERROR(IFERROR(IFERROR("Шаг2.Бланк заказа NEW №"&amp;VLOOKUP(A117+1,CHOOSE({1,2},'Шаг2.Бланк заказа NEW'!$B$19:$B$201,'Шаг2.Бланк заказа NEW'!$A$19:$A$201),1,0),
"Бланк OLD 0.8 04 №"&amp;VLOOKUP(A117+1-COUNT('Шаг2.Бланк заказа NEW'!$B$19:$B$201),CHOOSE({1,2},'Бланк OLD 0.8 04'!$B$18:$B$200,'Бланк OLD 0.8 04'!$A$18:$A$200),1,0)),
"Бланк OLD 2.0 04 №"&amp;VLOOKUP(A117+1-COUNT('Шаг2.Бланк заказа NEW'!$B$19:$B$201)-COUNT('Бланк OLD 0.8 04'!$B$18:$B$200),CHOOSE({1,2},'Бланк OLD 2.0 04 '!$B$18:$B$200,'Бланк OLD 2.0 04 '!$A$18:$A$200),1,0)),"")</f>
        <v/>
      </c>
      <c r="C118" s="152" t="str">
        <f ca="1">IFERROR(IFERROR(IFERROR(VLOOKUP(A117+1,CHOOSE({1,2},'Шаг2.Бланк заказа NEW'!$B$19:$B$201,'Шаг2.Бланк заказа NEW'!$A$19:$A$201),2,0),
VLOOKUP(A117+1-COUNT('Шаг2.Бланк заказа NEW'!$B$19:$B$201),CHOOSE({1,2},'Бланк OLD 0.8 04'!$B$18:$B$200,'Бланк OLD 0.8 04'!$A$18:$A$200),2,0)),
VLOOKUP(A117+1-COUNT('Шаг2.Бланк заказа NEW'!$B$19:$B$201)-COUNT('Бланк OLD 0.8 04'!$B$18:$B$200),CHOOSE({1,2},'Бланк OLD 2.0 04 '!$B$18:$B$200,'Бланк OLD 2.0 04 '!$A$18:$A$200),2,0)),"")</f>
        <v/>
      </c>
      <c r="D118" s="150" t="str">
        <f ca="1">IFERROR(VLOOKUP(C118,'Шаг1.Выбор плиты'!C:G,5,0),"")</f>
        <v/>
      </c>
      <c r="E118" s="147" t="str">
        <f ca="1">IFERROR(IFERROR(IF(VLOOKUP($A118,'Шаг2.Бланк заказа NEW'!$B$17:$N$201,2,0)="","",VLOOKUP($A118,'Шаг2.Бланк заказа NEW'!$B$17:$N$201,2,0)),
IF(VLOOKUP($A118-COUNT('Шаг2.Бланк заказа NEW'!$B$19:$B$201),'Бланк OLD 0.8 04'!$B$12:$K$200,2,0)="","",VLOOKUP($A118-COUNT('Шаг2.Бланк заказа NEW'!$B$19:$B$201),'Бланк OLD 0.8 04'!$B$12:$K$200,2,0))),
IF(VLOOKUP($A118-COUNT('Шаг2.Бланк заказа NEW'!$B$19:$B$201)-COUNT('Бланк OLD 0.8 04'!$B$18:$B$200),'Бланк OLD 2.0 04 '!$B$16:$K$200,2,0)="","",VLOOKUP($A118-COUNT('Шаг2.Бланк заказа NEW'!$B$19:$B$201)-COUNT('Бланк OLD 0.8 04'!$B$18:$B$200),'Бланк OLD 2.0 04 '!$B$16:$K$200,2,0)))</f>
        <v/>
      </c>
      <c r="F118" s="147" t="str">
        <f ca="1">IFERROR(IFERROR(IF(VLOOKUP($A118,'Шаг2.Бланк заказа NEW'!$B$17:$N$201,3,0)="","",VLOOKUP($A118,'Шаг2.Бланк заказа NEW'!$B$17:$N$201,3,0)),
IF(VLOOKUP($A118-COUNT('Шаг2.Бланк заказа NEW'!$B$19:$B$201),'Бланк OLD 0.8 04'!$B$12:$K$200,3,0)="","",VLOOKUP($A118-COUNT('Шаг2.Бланк заказа NEW'!$B$19:$B$201),'Бланк OLD 0.8 04'!$B$12:$K$200,3,0))),
IF(VLOOKUP($A118-COUNT('Шаг2.Бланк заказа NEW'!$B$19:$B$201)-COUNT('Бланк OLD 0.8 04'!$B$18:$B$200),'Бланк OLD 2.0 04 '!$B$16:$K$200,3,0)="","",VLOOKUP($A118-COUNT('Шаг2.Бланк заказа NEW'!$B$19:$B$201)-COUNT('Бланк OLD 0.8 04'!$B$18:$B$200),'Бланк OLD 2.0 04 '!$B$16:$K$200,3,0)))</f>
        <v/>
      </c>
      <c r="G118" s="176" t="str">
        <f ca="1">IF(IF(R118="","",IF(R118=1,SUMIFS('Шаг1.Выбор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плиты'!C:Q,12,0)),1))))))=0,
R118,
IF(R118="","",IF(R118=1,SUMIFS('Шаг1.Выбор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плиты'!N:N,R118,'Шаг1.Выбор плиты'!M:M,SMALL(INDIRECT("мм"&amp;VLOOKUP(C118,'Шаг1.Выбор плиты'!C:Q,12,0)),1)))))))</f>
        <v/>
      </c>
      <c r="H118" s="177" t="str">
        <f ca="1">IF(IF(S118="","",IF(S118=1,SUMIFS('Шаг1.Выбор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плиты'!C:Q,12,0)),1))))))=0,
S118,
IF(S118="","",IF(S118=1,SUMIFS('Шаг1.Выбор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плиты'!N:N,S118,'Шаг1.Выбор плиты'!M:M,SMALL(INDIRECT("мм"&amp;VLOOKUP(C118,'Шаг1.Выбор плиты'!C:Q,12,0)),1)))))))</f>
        <v/>
      </c>
      <c r="I118" s="147" t="str">
        <f ca="1">IFERROR(IFERROR(IF(VLOOKUP($A118,'Шаг2.Бланк заказа NEW'!$B$17:$N$201,6,0)="","",VLOOKUP($A118,'Шаг2.Бланк заказа NEW'!$B$17:$N$201,6,0)),
IF(VLOOKUP($A118-COUNT('Шаг2.Бланк заказа NEW'!$B$19:$B$201),'Бланк OLD 0.8 04'!$B$12:$K$200,6,0)="","",VLOOKUP($A118-COUNT('Шаг2.Бланк заказа NEW'!$B$19:$B$201),'Бланк OLD 0.8 04'!$B$12:$K$200,6,0))),
IF(VLOOKUP($A118-COUNT('Шаг2.Бланк заказа NEW'!$B$19:$B$201)-COUNT('Бланк OLD 0.8 04'!$B$18:$B$200),'Бланк OLD 2.0 04 '!$B$16:$K$200,6,0)="","",VLOOKUP($A118-COUNT('Шаг2.Бланк заказа NEW'!$B$19:$B$201)-COUNT('Бланк OLD 0.8 04'!$B$18:$B$200),'Бланк OLD 2.0 04 '!$B$16:$K$200,6,0)))</f>
        <v/>
      </c>
      <c r="J118" s="177" t="str">
        <f ca="1">IF(IF(T118="","",IF(T118=1,SUMIFS('Шаг1.Выбор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плиты'!C:Q,12,0)),1))))))=0,
T118,
IF(T118="","",IF(T118=1,SUMIFS('Шаг1.Выбор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плиты'!N:N,T118,'Шаг1.Выбор плиты'!M:M,SMALL(INDIRECT("мм"&amp;VLOOKUP(C118,'Шаг1.Выбор плиты'!C:Q,12,0)),1)))))))</f>
        <v/>
      </c>
      <c r="K118" s="177" t="str">
        <f ca="1">IF(IF(U118="","",IF(U118=1,SUMIFS('Шаг1.Выбор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плиты'!C:Q,12,0)),1))))))=0,
U118,
IF(U118="","",IF(U118=1,SUMIFS('Шаг1.Выбор плиты'!$G:$G,'Шаг1.Выбор плиты'!J:J,"*"&amp;RIGHT(VLOOKUP(C118,'Шаг1.Выбор плиты'!C:Q,8,0),4),'Шаг1.Выбор плиты'!L:L,IF(MID(C118,1,6)="ЛДСП P","TM"&amp;MID(VLOOKUP(C118,'Шаг1.Выбор плиты'!C:Q,10,0),3,2),MID(VLOOKUP(C118,'Шаг1.Выбор плиты'!C:Q,10,0),1,2)),
'Шаг1.Выбор плиты'!N:N,1),IF(SUMIFS('Шаг1.Выбор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плиты'!C:Q,12,0)),1))=0,
IF(SUMIFS('Шаг1.Выбор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плиты'!C:Q,12,0)),2))=0,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плиты'!C:Q,12,0)),3)),
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плиты'!C:Q,12,0)),2))),
(SUMIFS('Шаг1.Выбор плиты'!$G:$G,'Шаг1.Выбор плиты'!J:J,"*"&amp;RIGHT(VLOOKUP(C118,'Шаг1.Выбор плиты'!C:Q,8,0),4),'Шаг1.Выбор плиты'!L:L,VLOOKUP(C118,'Шаг1.Выбор плиты'!C:Q,10,0),'Шаг1.Выбор плиты'!N:N,U118,'Шаг1.Выбор плиты'!M:M,SMALL(INDIRECT("мм"&amp;VLOOKUP(C118,'Шаг1.Выбор плиты'!C:Q,12,0)),1)))))))</f>
        <v/>
      </c>
      <c r="L118" s="147" t="str">
        <f ca="1">IFERROR(IFERROR(IF(VLOOKUP($A118,'Шаг2.Бланк заказа NEW'!$B$17:$N$201,9,0)="","",VLOOKUP($A118,'Шаг2.Бланк заказа NEW'!$B$17:$N$201,9,0)),
IF(VLOOKUP($A118-COUNT('Шаг2.Бланк заказа NEW'!$B$19:$B$201),'Бланк OLD 0.8 04'!$B$12:$K$200,9,0)="","",VLOOKUP($A118-COUNT('Шаг2.Бланк заказа NEW'!$B$19:$B$201),'Бланк OLD 0.8 04'!$B$12:$K$200,9,0))),
IF(VLOOKUP($A118-COUNT('Шаг2.Бланк заказа NEW'!$B$19:$B$201)-COUNT('Бланк OLD 0.8 04'!$B$18:$B$200),'Бланк OLD 2.0 04 '!$B$16:$K$200,9,0)="","",VLOOKUP($A118-COUNT('Шаг2.Бланк заказа NEW'!$B$19:$B$201)-COUNT('Бланк OLD 0.8 04'!$B$18:$B$200),'Бланк OLD 2.0 04 '!$B$16:$K$200,9,0)))</f>
        <v/>
      </c>
      <c r="M118" s="154" t="str">
        <f t="shared" ca="1" si="10"/>
        <v/>
      </c>
      <c r="N118" s="153" t="str">
        <f ca="1">IFERROR(IF(VLOOKUP($A118,'Шаг2.Бланк заказа NEW'!$B$17:$N$201,11,0)="","",VLOOKUP($A118,'Шаг2.Бланк заказа NEW'!$B$17:$N$201,11,0)),
"Нет")</f>
        <v/>
      </c>
      <c r="O118" s="147" t="str">
        <f ca="1">IFERROR(IF(VLOOKUP($A118,'Шаг2.Бланк заказа NEW'!$B$17:$N$201,11,0)="","",VLOOKUP($A118,'Шаг2.Бланк заказа NEW'!$B$17:$N$201,12,0)),
"Нет")</f>
        <v/>
      </c>
      <c r="P118" s="153" t="str">
        <f ca="1">IFERROR(IF(VLOOKUP($A118,'Шаг2.Бланк заказа NEW'!$B$17:$N$201,13,0)="","",VLOOKUP($A118,'Шаг2.Бланк заказа NEW'!$B$17:$N$201,13,0)),
"Нет")</f>
        <v/>
      </c>
      <c r="Q118" s="147" t="str">
        <f ca="1">IFERROR(IF(VLOOKUP($A118,'Шаг2.Бланк заказа NEW'!$B$17:$O$201,14,0)="","",VLOOKUP($A118,'Шаг2.Бланк заказа NEW'!$B$17:$O$201,14,0)),"")</f>
        <v/>
      </c>
      <c r="R118" s="147" t="str">
        <f ca="1">IFERROR(IFERROR(IF(VLOOKUP($A118,'Шаг2.Бланк заказа NEW'!$B$17:$N$201,4,0)="","",VLOOKUP($A118,'Шаг2.Бланк заказа NEW'!$B$17:$N$201,4,0)),
IF(VLOOKUP($A118-COUNT('Шаг2.Бланк заказа NEW'!$B$19:$B$201),'Бланк OLD 0.8 04'!$B$12:$K$200,4,0)&gt;0,0.8,
IF(VLOOKUP($A118-COUNT('Шаг2.Бланк заказа NEW'!$B$19:$B$201),'Бланк OLD 0.8 04'!$B$12:$K$200,5,0)&gt;0,0.4,""))),
IF(VLOOKUP($A118-COUNT('Шаг2.Бланк заказа NEW'!$B$19:$B$201)-COUNT('Бланк OLD 0.8 04'!$B$18:$B$200),'Бланк OLD 2.0 04 '!$B$16:$K$200,4,0)&gt;0,2,IF(VLOOKUP($A118-COUNT('Шаг2.Бланк заказа NEW'!$B$19:$B$201)-COUNT('Бланк OLD 0.8 04'!$B$18:$B$200),'Бланк OLD 2.0 04 '!$B$16:$K$200,5,0)&gt;0,0.4,"")))</f>
        <v/>
      </c>
      <c r="S118" s="147" t="str">
        <f ca="1">IFERROR(IFERROR(IF(VLOOKUP($A118,'Шаг2.Бланк заказа NEW'!$B$17:$N$201,5,0)="","",VLOOKUP($A118,'Шаг2.Бланк заказа NEW'!$B$17:$N$201,5,0)),
IF(VLOOKUP($A118-COUNT('Шаг2.Бланк заказа NEW'!$B$19:$B$201),'Бланк OLD 0.8 04'!$B$12:$K$200,4,0)&gt;1,0.8,
IF(VLOOKUP($A118-COUNT('Шаг2.Бланк заказа NEW'!$B$19:$B$201),'Бланк OLD 0.8 04'!$B$12:$K$200,5,0)&gt;1,0.4,
IF(AND(VLOOKUP($A118-COUNT('Шаг2.Бланк заказа NEW'!$B$19:$B$201),'Бланк OLD 0.8 04'!$B$12:$K$200,4,0)&gt;0,VLOOKUP($A118-COUNT('Шаг2.Бланк заказа NEW'!$B$19:$B$201),'Бланк OLD 0.8 04'!$B$12:$K$200,5,0)&gt;0),0.4,"")))),
IF(VLOOKUP($A118-COUNT('Шаг2.Бланк заказа NEW'!$B$19:$B$201)-COUNT('Бланк OLD 0.8 04'!$B$18:$B$200),'Бланк OLD 2.0 04 '!$B$16:$K$200,4,0)&gt;1,2,
IF(VLOOKUP($A118-COUNT('Шаг2.Бланк заказа NEW'!$B$19:$B$201)-COUNT('Бланк OLD 0.8 04'!$B$18:$B$200),'Бланк OLD 2.0 04 '!$B$16:$K$200,5,0)&gt;1,0.4,IF(AND(VLOOKUP($A118-COUNT('Шаг2.Бланк заказа NEW'!$B$19:$B$201)-COUNT('Бланк OLD 0.8 04'!$B$18:$B$200),'Бланк OLD 2.0 04 '!$B$16:$K$200,4,0)&gt;0,VLOOKUP($A118-COUNT('Шаг2.Бланк заказа NEW'!$B$19:$B$201)-COUNT('Бланк OLD 0.8 04'!$B$18:$B$200),'Бланк OLD 2.0 04 '!$B$16:$K$200,5,0)&gt;0),0.4,""))))</f>
        <v/>
      </c>
      <c r="T118" s="147" t="str">
        <f ca="1">IFERROR(IFERROR(IF(VLOOKUP($A118,'Шаг2.Бланк заказа NEW'!$B$17:$N$201,7,0)="","",VLOOKUP($A118,'Шаг2.Бланк заказа NEW'!$B$17:$N$201,7,0)),
IF(VLOOKUP($A118-COUNT('Шаг2.Бланк заказа NEW'!$B$19:$B$201),'Бланк OLD 0.8 04'!$B$12:$K$200,7,0)&gt;0,0.8,
IF(VLOOKUP($A118-COUNT('Шаг2.Бланк заказа NEW'!$B$19:$B$201),'Бланк OLD 0.8 04'!$B$12:$K$200,8,0)&gt;0,0.4,""))),
IF(VLOOKUP($A118-COUNT('Шаг2.Бланк заказа NEW'!$B$19:$B$201)-COUNT('Бланк OLD 0.8 04'!$B$18:$B$200),'Бланк OLD 2.0 04 '!$B$16:$K$200,7,0)&gt;0,2,IF(VLOOKUP($A118-COUNT('Шаг2.Бланк заказа NEW'!$B$19:$B$201)-COUNT('Бланк OLD 0.8 04'!$B$18:$B$200),'Бланк OLD 2.0 04 '!$B$16:$K$200,8,0)&gt;0,0.4,"")))</f>
        <v/>
      </c>
      <c r="U118" s="147" t="str">
        <f ca="1">IFERROR(IFERROR(IF(VLOOKUP($A118,'Шаг2.Бланк заказа NEW'!$B$17:$N$201,8,0)="","",VLOOKUP($A118,'Шаг2.Бланк заказа NEW'!$B$17:$N$201,8,0)),
IF(VLOOKUP($A118-COUNT('Шаг2.Бланк заказа NEW'!$B$19:$B$201),'Бланк OLD 0.8 04'!$B$12:$K$200,7,0)&gt;1,0.8,
IF(VLOOKUP($A118-COUNT('Шаг2.Бланк заказа NEW'!$B$19:$B$201),'Бланк OLD 0.8 04'!$B$12:$K$200,8,0)&gt;1,0.4,
IF(AND(VLOOKUP($A118-COUNT('Шаг2.Бланк заказа NEW'!$B$19:$B$201),'Бланк OLD 0.8 04'!$B$12:$K$200,7,0)&gt;0,VLOOKUP($A118-COUNT('Шаг2.Бланк заказа NEW'!$B$19:$B$201),'Бланк OLD 0.8 04'!$B$12:$K$200,8,0)&gt;0),0.4,"")))),
IF(VLOOKUP($A118-COUNT('Шаг2.Бланк заказа NEW'!$B$19:$B$201)-COUNT('Бланк OLD 0.8 04'!$B$18:$B$200),'Бланк OLD 2.0 04 '!$B$16:$K$200,7,0)&gt;1,2,
IF(VLOOKUP($A118-COUNT('Шаг2.Бланк заказа NEW'!$B$19:$B$201)-COUNT('Бланк OLD 0.8 04'!$B$18:$B$200),'Бланк OLD 2.0 04 '!$B$16:$K$200,8,0)&gt;1,0.4,
IF(AND(VLOOKUP($A118-COUNT('Шаг2.Бланк заказа NEW'!$B$19:$B$201)-COUNT('Бланк OLD 0.8 04'!$B$18:$B$200),'Бланк OLD 2.0 04 '!$B$16:$K$200,7,0)&gt;0,VLOOKUP($A118-COUNT('Шаг2.Бланк заказа NEW'!$B$19:$B$201)-COUNT('Бланк OLD 0.8 04'!$B$18:$B$200),'Бланк OLD 2.0 04 '!$B$16:$K$200,8,0)&gt;0),0.4,""))))</f>
        <v/>
      </c>
      <c r="V118" s="146" t="str">
        <f ca="1">IFERROR(VLOOKUP(C118,'Шаг1.Выбор плиты'!C:S,12,0),"")</f>
        <v/>
      </c>
      <c r="W118" s="146" t="str">
        <f ca="1">IFERROR(VLOOKUP(C118,'Шаг1.Выбор плиты'!C:S,8,0),"")</f>
        <v/>
      </c>
      <c r="X118" s="146" t="str">
        <f ca="1">IFERROR(VLOOKUP(C118,'Шаг1.Выбор плиты'!C:S,10,0),"")</f>
        <v/>
      </c>
      <c r="Y118" s="147" t="str">
        <f t="shared" ca="1" si="8"/>
        <v/>
      </c>
      <c r="AD118" s="147" t="str">
        <f t="shared" ca="1" si="11"/>
        <v/>
      </c>
      <c r="AE118" s="147" t="str">
        <f t="shared" ca="1" si="9"/>
        <v/>
      </c>
      <c r="AF118" s="25"/>
      <c r="AH118" s="147" t="str">
        <f ca="1">IF(C118="","",VLOOKUP(C118,'Шаг1.Выбор плиты'!C:Q,7,0))</f>
        <v/>
      </c>
      <c r="AI118" s="147" t="str">
        <f t="shared" ca="1" si="12"/>
        <v/>
      </c>
    </row>
    <row r="119" spans="1:35" x14ac:dyDescent="0.2">
      <c r="A119" s="151" t="str">
        <f ca="1">IF(C119="","",MAX($A$1:OFFSET(C119,-1,0))+1)</f>
        <v/>
      </c>
      <c r="B119" s="151" t="str">
        <f ca="1">IFERROR(IFERROR(IFERROR("Шаг2.Бланк заказа NEW №"&amp;VLOOKUP(A118+1,CHOOSE({1,2},'Шаг2.Бланк заказа NEW'!$B$19:$B$201,'Шаг2.Бланк заказа NEW'!$A$19:$A$201),1,0),
"Бланк OLD 0.8 04 №"&amp;VLOOKUP(A118+1-COUNT('Шаг2.Бланк заказа NEW'!$B$19:$B$201),CHOOSE({1,2},'Бланк OLD 0.8 04'!$B$18:$B$200,'Бланк OLD 0.8 04'!$A$18:$A$200),1,0)),
"Бланк OLD 2.0 04 №"&amp;VLOOKUP(A118+1-COUNT('Шаг2.Бланк заказа NEW'!$B$19:$B$201)-COUNT('Бланк OLD 0.8 04'!$B$18:$B$200),CHOOSE({1,2},'Бланк OLD 2.0 04 '!$B$18:$B$200,'Бланк OLD 2.0 04 '!$A$18:$A$200),1,0)),"")</f>
        <v/>
      </c>
      <c r="C119" s="152" t="str">
        <f ca="1">IFERROR(IFERROR(IFERROR(VLOOKUP(A118+1,CHOOSE({1,2},'Шаг2.Бланк заказа NEW'!$B$19:$B$201,'Шаг2.Бланк заказа NEW'!$A$19:$A$201),2,0),
VLOOKUP(A118+1-COUNT('Шаг2.Бланк заказа NEW'!$B$19:$B$201),CHOOSE({1,2},'Бланк OLD 0.8 04'!$B$18:$B$200,'Бланк OLD 0.8 04'!$A$18:$A$200),2,0)),
VLOOKUP(A118+1-COUNT('Шаг2.Бланк заказа NEW'!$B$19:$B$201)-COUNT('Бланк OLD 0.8 04'!$B$18:$B$200),CHOOSE({1,2},'Бланк OLD 2.0 04 '!$B$18:$B$200,'Бланк OLD 2.0 04 '!$A$18:$A$200),2,0)),"")</f>
        <v/>
      </c>
      <c r="D119" s="150" t="str">
        <f ca="1">IFERROR(VLOOKUP(C119,'Шаг1.Выбор плиты'!C:G,5,0),"")</f>
        <v/>
      </c>
      <c r="E119" s="147" t="str">
        <f ca="1">IFERROR(IFERROR(IF(VLOOKUP($A119,'Шаг2.Бланк заказа NEW'!$B$17:$N$201,2,0)="","",VLOOKUP($A119,'Шаг2.Бланк заказа NEW'!$B$17:$N$201,2,0)),
IF(VLOOKUP($A119-COUNT('Шаг2.Бланк заказа NEW'!$B$19:$B$201),'Бланк OLD 0.8 04'!$B$12:$K$200,2,0)="","",VLOOKUP($A119-COUNT('Шаг2.Бланк заказа NEW'!$B$19:$B$201),'Бланк OLD 0.8 04'!$B$12:$K$200,2,0))),
IF(VLOOKUP($A119-COUNT('Шаг2.Бланк заказа NEW'!$B$19:$B$201)-COUNT('Бланк OLD 0.8 04'!$B$18:$B$200),'Бланк OLD 2.0 04 '!$B$16:$K$200,2,0)="","",VLOOKUP($A119-COUNT('Шаг2.Бланк заказа NEW'!$B$19:$B$201)-COUNT('Бланк OLD 0.8 04'!$B$18:$B$200),'Бланк OLD 2.0 04 '!$B$16:$K$200,2,0)))</f>
        <v/>
      </c>
      <c r="F119" s="147" t="str">
        <f ca="1">IFERROR(IFERROR(IF(VLOOKUP($A119,'Шаг2.Бланк заказа NEW'!$B$17:$N$201,3,0)="","",VLOOKUP($A119,'Шаг2.Бланк заказа NEW'!$B$17:$N$201,3,0)),
IF(VLOOKUP($A119-COUNT('Шаг2.Бланк заказа NEW'!$B$19:$B$201),'Бланк OLD 0.8 04'!$B$12:$K$200,3,0)="","",VLOOKUP($A119-COUNT('Шаг2.Бланк заказа NEW'!$B$19:$B$201),'Бланк OLD 0.8 04'!$B$12:$K$200,3,0))),
IF(VLOOKUP($A119-COUNT('Шаг2.Бланк заказа NEW'!$B$19:$B$201)-COUNT('Бланк OLD 0.8 04'!$B$18:$B$200),'Бланк OLD 2.0 04 '!$B$16:$K$200,3,0)="","",VLOOKUP($A119-COUNT('Шаг2.Бланк заказа NEW'!$B$19:$B$201)-COUNT('Бланк OLD 0.8 04'!$B$18:$B$200),'Бланк OLD 2.0 04 '!$B$16:$K$200,3,0)))</f>
        <v/>
      </c>
      <c r="G119" s="176" t="str">
        <f ca="1">IF(IF(R119="","",IF(R119=1,SUMIFS('Шаг1.Выбор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плиты'!C:Q,12,0)),1))))))=0,
R119,
IF(R119="","",IF(R119=1,SUMIFS('Шаг1.Выбор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плиты'!N:N,R119,'Шаг1.Выбор плиты'!M:M,SMALL(INDIRECT("мм"&amp;VLOOKUP(C119,'Шаг1.Выбор плиты'!C:Q,12,0)),1)))))))</f>
        <v/>
      </c>
      <c r="H119" s="177" t="str">
        <f ca="1">IF(IF(S119="","",IF(S119=1,SUMIFS('Шаг1.Выбор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плиты'!C:Q,12,0)),1))))))=0,
S119,
IF(S119="","",IF(S119=1,SUMIFS('Шаг1.Выбор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плиты'!N:N,S119,'Шаг1.Выбор плиты'!M:M,SMALL(INDIRECT("мм"&amp;VLOOKUP(C119,'Шаг1.Выбор плиты'!C:Q,12,0)),1)))))))</f>
        <v/>
      </c>
      <c r="I119" s="147" t="str">
        <f ca="1">IFERROR(IFERROR(IF(VLOOKUP($A119,'Шаг2.Бланк заказа NEW'!$B$17:$N$201,6,0)="","",VLOOKUP($A119,'Шаг2.Бланк заказа NEW'!$B$17:$N$201,6,0)),
IF(VLOOKUP($A119-COUNT('Шаг2.Бланк заказа NEW'!$B$19:$B$201),'Бланк OLD 0.8 04'!$B$12:$K$200,6,0)="","",VLOOKUP($A119-COUNT('Шаг2.Бланк заказа NEW'!$B$19:$B$201),'Бланк OLD 0.8 04'!$B$12:$K$200,6,0))),
IF(VLOOKUP($A119-COUNT('Шаг2.Бланк заказа NEW'!$B$19:$B$201)-COUNT('Бланк OLD 0.8 04'!$B$18:$B$200),'Бланк OLD 2.0 04 '!$B$16:$K$200,6,0)="","",VLOOKUP($A119-COUNT('Шаг2.Бланк заказа NEW'!$B$19:$B$201)-COUNT('Бланк OLD 0.8 04'!$B$18:$B$200),'Бланк OLD 2.0 04 '!$B$16:$K$200,6,0)))</f>
        <v/>
      </c>
      <c r="J119" s="177" t="str">
        <f ca="1">IF(IF(T119="","",IF(T119=1,SUMIFS('Шаг1.Выбор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плиты'!C:Q,12,0)),1))))))=0,
T119,
IF(T119="","",IF(T119=1,SUMIFS('Шаг1.Выбор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плиты'!N:N,T119,'Шаг1.Выбор плиты'!M:M,SMALL(INDIRECT("мм"&amp;VLOOKUP(C119,'Шаг1.Выбор плиты'!C:Q,12,0)),1)))))))</f>
        <v/>
      </c>
      <c r="K119" s="177" t="str">
        <f ca="1">IF(IF(U119="","",IF(U119=1,SUMIFS('Шаг1.Выбор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плиты'!C:Q,12,0)),1))))))=0,
U119,
IF(U119="","",IF(U119=1,SUMIFS('Шаг1.Выбор плиты'!$G:$G,'Шаг1.Выбор плиты'!J:J,"*"&amp;RIGHT(VLOOKUP(C119,'Шаг1.Выбор плиты'!C:Q,8,0),4),'Шаг1.Выбор плиты'!L:L,IF(MID(C119,1,6)="ЛДСП P","TM"&amp;MID(VLOOKUP(C119,'Шаг1.Выбор плиты'!C:Q,10,0),3,2),MID(VLOOKUP(C119,'Шаг1.Выбор плиты'!C:Q,10,0),1,2)),
'Шаг1.Выбор плиты'!N:N,1),IF(SUMIFS('Шаг1.Выбор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плиты'!C:Q,12,0)),1))=0,
IF(SUMIFS('Шаг1.Выбор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плиты'!C:Q,12,0)),2))=0,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плиты'!C:Q,12,0)),3)),
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плиты'!C:Q,12,0)),2))),
(SUMIFS('Шаг1.Выбор плиты'!$G:$G,'Шаг1.Выбор плиты'!J:J,"*"&amp;RIGHT(VLOOKUP(C119,'Шаг1.Выбор плиты'!C:Q,8,0),4),'Шаг1.Выбор плиты'!L:L,VLOOKUP(C119,'Шаг1.Выбор плиты'!C:Q,10,0),'Шаг1.Выбор плиты'!N:N,U119,'Шаг1.Выбор плиты'!M:M,SMALL(INDIRECT("мм"&amp;VLOOKUP(C119,'Шаг1.Выбор плиты'!C:Q,12,0)),1)))))))</f>
        <v/>
      </c>
      <c r="L119" s="147" t="str">
        <f ca="1">IFERROR(IFERROR(IF(VLOOKUP($A119,'Шаг2.Бланк заказа NEW'!$B$17:$N$201,9,0)="","",VLOOKUP($A119,'Шаг2.Бланк заказа NEW'!$B$17:$N$201,9,0)),
IF(VLOOKUP($A119-COUNT('Шаг2.Бланк заказа NEW'!$B$19:$B$201),'Бланк OLD 0.8 04'!$B$12:$K$200,9,0)="","",VLOOKUP($A119-COUNT('Шаг2.Бланк заказа NEW'!$B$19:$B$201),'Бланк OLD 0.8 04'!$B$12:$K$200,9,0))),
IF(VLOOKUP($A119-COUNT('Шаг2.Бланк заказа NEW'!$B$19:$B$201)-COUNT('Бланк OLD 0.8 04'!$B$18:$B$200),'Бланк OLD 2.0 04 '!$B$16:$K$200,9,0)="","",VLOOKUP($A119-COUNT('Шаг2.Бланк заказа NEW'!$B$19:$B$201)-COUNT('Бланк OLD 0.8 04'!$B$18:$B$200),'Бланк OLD 2.0 04 '!$B$16:$K$200,9,0)))</f>
        <v/>
      </c>
      <c r="M119" s="154" t="str">
        <f t="shared" ca="1" si="10"/>
        <v/>
      </c>
      <c r="N119" s="153" t="str">
        <f ca="1">IFERROR(IF(VLOOKUP($A119,'Шаг2.Бланк заказа NEW'!$B$17:$N$201,11,0)="","",VLOOKUP($A119,'Шаг2.Бланк заказа NEW'!$B$17:$N$201,11,0)),
"Нет")</f>
        <v/>
      </c>
      <c r="O119" s="147" t="str">
        <f ca="1">IFERROR(IF(VLOOKUP($A119,'Шаг2.Бланк заказа NEW'!$B$17:$N$201,11,0)="","",VLOOKUP($A119,'Шаг2.Бланк заказа NEW'!$B$17:$N$201,12,0)),
"Нет")</f>
        <v/>
      </c>
      <c r="P119" s="153" t="str">
        <f ca="1">IFERROR(IF(VLOOKUP($A119,'Шаг2.Бланк заказа NEW'!$B$17:$N$201,13,0)="","",VLOOKUP($A119,'Шаг2.Бланк заказа NEW'!$B$17:$N$201,13,0)),
"Нет")</f>
        <v/>
      </c>
      <c r="Q119" s="147" t="str">
        <f ca="1">IFERROR(IF(VLOOKUP($A119,'Шаг2.Бланк заказа NEW'!$B$17:$O$201,14,0)="","",VLOOKUP($A119,'Шаг2.Бланк заказа NEW'!$B$17:$O$201,14,0)),"")</f>
        <v/>
      </c>
      <c r="R119" s="147" t="str">
        <f ca="1">IFERROR(IFERROR(IF(VLOOKUP($A119,'Шаг2.Бланк заказа NEW'!$B$17:$N$201,4,0)="","",VLOOKUP($A119,'Шаг2.Бланк заказа NEW'!$B$17:$N$201,4,0)),
IF(VLOOKUP($A119-COUNT('Шаг2.Бланк заказа NEW'!$B$19:$B$201),'Бланк OLD 0.8 04'!$B$12:$K$200,4,0)&gt;0,0.8,
IF(VLOOKUP($A119-COUNT('Шаг2.Бланк заказа NEW'!$B$19:$B$201),'Бланк OLD 0.8 04'!$B$12:$K$200,5,0)&gt;0,0.4,""))),
IF(VLOOKUP($A119-COUNT('Шаг2.Бланк заказа NEW'!$B$19:$B$201)-COUNT('Бланк OLD 0.8 04'!$B$18:$B$200),'Бланк OLD 2.0 04 '!$B$16:$K$200,4,0)&gt;0,2,IF(VLOOKUP($A119-COUNT('Шаг2.Бланк заказа NEW'!$B$19:$B$201)-COUNT('Бланк OLD 0.8 04'!$B$18:$B$200),'Бланк OLD 2.0 04 '!$B$16:$K$200,5,0)&gt;0,0.4,"")))</f>
        <v/>
      </c>
      <c r="S119" s="147" t="str">
        <f ca="1">IFERROR(IFERROR(IF(VLOOKUP($A119,'Шаг2.Бланк заказа NEW'!$B$17:$N$201,5,0)="","",VLOOKUP($A119,'Шаг2.Бланк заказа NEW'!$B$17:$N$201,5,0)),
IF(VLOOKUP($A119-COUNT('Шаг2.Бланк заказа NEW'!$B$19:$B$201),'Бланк OLD 0.8 04'!$B$12:$K$200,4,0)&gt;1,0.8,
IF(VLOOKUP($A119-COUNT('Шаг2.Бланк заказа NEW'!$B$19:$B$201),'Бланк OLD 0.8 04'!$B$12:$K$200,5,0)&gt;1,0.4,
IF(AND(VLOOKUP($A119-COUNT('Шаг2.Бланк заказа NEW'!$B$19:$B$201),'Бланк OLD 0.8 04'!$B$12:$K$200,4,0)&gt;0,VLOOKUP($A119-COUNT('Шаг2.Бланк заказа NEW'!$B$19:$B$201),'Бланк OLD 0.8 04'!$B$12:$K$200,5,0)&gt;0),0.4,"")))),
IF(VLOOKUP($A119-COUNT('Шаг2.Бланк заказа NEW'!$B$19:$B$201)-COUNT('Бланк OLD 0.8 04'!$B$18:$B$200),'Бланк OLD 2.0 04 '!$B$16:$K$200,4,0)&gt;1,2,
IF(VLOOKUP($A119-COUNT('Шаг2.Бланк заказа NEW'!$B$19:$B$201)-COUNT('Бланк OLD 0.8 04'!$B$18:$B$200),'Бланк OLD 2.0 04 '!$B$16:$K$200,5,0)&gt;1,0.4,IF(AND(VLOOKUP($A119-COUNT('Шаг2.Бланк заказа NEW'!$B$19:$B$201)-COUNT('Бланк OLD 0.8 04'!$B$18:$B$200),'Бланк OLD 2.0 04 '!$B$16:$K$200,4,0)&gt;0,VLOOKUP($A119-COUNT('Шаг2.Бланк заказа NEW'!$B$19:$B$201)-COUNT('Бланк OLD 0.8 04'!$B$18:$B$200),'Бланк OLD 2.0 04 '!$B$16:$K$200,5,0)&gt;0),0.4,""))))</f>
        <v/>
      </c>
      <c r="T119" s="147" t="str">
        <f ca="1">IFERROR(IFERROR(IF(VLOOKUP($A119,'Шаг2.Бланк заказа NEW'!$B$17:$N$201,7,0)="","",VLOOKUP($A119,'Шаг2.Бланк заказа NEW'!$B$17:$N$201,7,0)),
IF(VLOOKUP($A119-COUNT('Шаг2.Бланк заказа NEW'!$B$19:$B$201),'Бланк OLD 0.8 04'!$B$12:$K$200,7,0)&gt;0,0.8,
IF(VLOOKUP($A119-COUNT('Шаг2.Бланк заказа NEW'!$B$19:$B$201),'Бланк OLD 0.8 04'!$B$12:$K$200,8,0)&gt;0,0.4,""))),
IF(VLOOKUP($A119-COUNT('Шаг2.Бланк заказа NEW'!$B$19:$B$201)-COUNT('Бланк OLD 0.8 04'!$B$18:$B$200),'Бланк OLD 2.0 04 '!$B$16:$K$200,7,0)&gt;0,2,IF(VLOOKUP($A119-COUNT('Шаг2.Бланк заказа NEW'!$B$19:$B$201)-COUNT('Бланк OLD 0.8 04'!$B$18:$B$200),'Бланк OLD 2.0 04 '!$B$16:$K$200,8,0)&gt;0,0.4,"")))</f>
        <v/>
      </c>
      <c r="U119" s="147" t="str">
        <f ca="1">IFERROR(IFERROR(IF(VLOOKUP($A119,'Шаг2.Бланк заказа NEW'!$B$17:$N$201,8,0)="","",VLOOKUP($A119,'Шаг2.Бланк заказа NEW'!$B$17:$N$201,8,0)),
IF(VLOOKUP($A119-COUNT('Шаг2.Бланк заказа NEW'!$B$19:$B$201),'Бланк OLD 0.8 04'!$B$12:$K$200,7,0)&gt;1,0.8,
IF(VLOOKUP($A119-COUNT('Шаг2.Бланк заказа NEW'!$B$19:$B$201),'Бланк OLD 0.8 04'!$B$12:$K$200,8,0)&gt;1,0.4,
IF(AND(VLOOKUP($A119-COUNT('Шаг2.Бланк заказа NEW'!$B$19:$B$201),'Бланк OLD 0.8 04'!$B$12:$K$200,7,0)&gt;0,VLOOKUP($A119-COUNT('Шаг2.Бланк заказа NEW'!$B$19:$B$201),'Бланк OLD 0.8 04'!$B$12:$K$200,8,0)&gt;0),0.4,"")))),
IF(VLOOKUP($A119-COUNT('Шаг2.Бланк заказа NEW'!$B$19:$B$201)-COUNT('Бланк OLD 0.8 04'!$B$18:$B$200),'Бланк OLD 2.0 04 '!$B$16:$K$200,7,0)&gt;1,2,
IF(VLOOKUP($A119-COUNT('Шаг2.Бланк заказа NEW'!$B$19:$B$201)-COUNT('Бланк OLD 0.8 04'!$B$18:$B$200),'Бланк OLD 2.0 04 '!$B$16:$K$200,8,0)&gt;1,0.4,
IF(AND(VLOOKUP($A119-COUNT('Шаг2.Бланк заказа NEW'!$B$19:$B$201)-COUNT('Бланк OLD 0.8 04'!$B$18:$B$200),'Бланк OLD 2.0 04 '!$B$16:$K$200,7,0)&gt;0,VLOOKUP($A119-COUNT('Шаг2.Бланк заказа NEW'!$B$19:$B$201)-COUNT('Бланк OLD 0.8 04'!$B$18:$B$200),'Бланк OLD 2.0 04 '!$B$16:$K$200,8,0)&gt;0),0.4,""))))</f>
        <v/>
      </c>
      <c r="V119" s="146" t="str">
        <f ca="1">IFERROR(VLOOKUP(C119,'Шаг1.Выбор плиты'!C:S,12,0),"")</f>
        <v/>
      </c>
      <c r="W119" s="146" t="str">
        <f ca="1">IFERROR(VLOOKUP(C119,'Шаг1.Выбор плиты'!C:S,8,0),"")</f>
        <v/>
      </c>
      <c r="X119" s="146" t="str">
        <f ca="1">IFERROR(VLOOKUP(C119,'Шаг1.Выбор плиты'!C:S,10,0),"")</f>
        <v/>
      </c>
      <c r="Y119" s="147" t="str">
        <f t="shared" ca="1" si="8"/>
        <v/>
      </c>
      <c r="AD119" s="147" t="str">
        <f t="shared" ca="1" si="11"/>
        <v/>
      </c>
      <c r="AE119" s="147" t="str">
        <f t="shared" ca="1" si="9"/>
        <v/>
      </c>
      <c r="AF119" s="25"/>
      <c r="AH119" s="147" t="str">
        <f ca="1">IF(C119="","",VLOOKUP(C119,'Шаг1.Выбор плиты'!C:Q,7,0))</f>
        <v/>
      </c>
      <c r="AI119" s="147" t="str">
        <f t="shared" ca="1" si="12"/>
        <v/>
      </c>
    </row>
    <row r="120" spans="1:35" x14ac:dyDescent="0.2">
      <c r="A120" s="151" t="str">
        <f ca="1">IF(C120="","",MAX($A$1:OFFSET(C120,-1,0))+1)</f>
        <v/>
      </c>
      <c r="B120" s="151" t="str">
        <f ca="1">IFERROR(IFERROR(IFERROR("Шаг2.Бланк заказа NEW №"&amp;VLOOKUP(A119+1,CHOOSE({1,2},'Шаг2.Бланк заказа NEW'!$B$19:$B$201,'Шаг2.Бланк заказа NEW'!$A$19:$A$201),1,0),
"Бланк OLD 0.8 04 №"&amp;VLOOKUP(A119+1-COUNT('Шаг2.Бланк заказа NEW'!$B$19:$B$201),CHOOSE({1,2},'Бланк OLD 0.8 04'!$B$18:$B$200,'Бланк OLD 0.8 04'!$A$18:$A$200),1,0)),
"Бланк OLD 2.0 04 №"&amp;VLOOKUP(A119+1-COUNT('Шаг2.Бланк заказа NEW'!$B$19:$B$201)-COUNT('Бланк OLD 0.8 04'!$B$18:$B$200),CHOOSE({1,2},'Бланк OLD 2.0 04 '!$B$18:$B$200,'Бланк OLD 2.0 04 '!$A$18:$A$200),1,0)),"")</f>
        <v/>
      </c>
      <c r="C120" s="152" t="str">
        <f ca="1">IFERROR(IFERROR(IFERROR(VLOOKUP(A119+1,CHOOSE({1,2},'Шаг2.Бланк заказа NEW'!$B$19:$B$201,'Шаг2.Бланк заказа NEW'!$A$19:$A$201),2,0),
VLOOKUP(A119+1-COUNT('Шаг2.Бланк заказа NEW'!$B$19:$B$201),CHOOSE({1,2},'Бланк OLD 0.8 04'!$B$18:$B$200,'Бланк OLD 0.8 04'!$A$18:$A$200),2,0)),
VLOOKUP(A119+1-COUNT('Шаг2.Бланк заказа NEW'!$B$19:$B$201)-COUNT('Бланк OLD 0.8 04'!$B$18:$B$200),CHOOSE({1,2},'Бланк OLD 2.0 04 '!$B$18:$B$200,'Бланк OLD 2.0 04 '!$A$18:$A$200),2,0)),"")</f>
        <v/>
      </c>
      <c r="D120" s="150" t="str">
        <f ca="1">IFERROR(VLOOKUP(C120,'Шаг1.Выбор плиты'!C:G,5,0),"")</f>
        <v/>
      </c>
      <c r="E120" s="147" t="str">
        <f ca="1">IFERROR(IFERROR(IF(VLOOKUP($A120,'Шаг2.Бланк заказа NEW'!$B$17:$N$201,2,0)="","",VLOOKUP($A120,'Шаг2.Бланк заказа NEW'!$B$17:$N$201,2,0)),
IF(VLOOKUP($A120-COUNT('Шаг2.Бланк заказа NEW'!$B$19:$B$201),'Бланк OLD 0.8 04'!$B$12:$K$200,2,0)="","",VLOOKUP($A120-COUNT('Шаг2.Бланк заказа NEW'!$B$19:$B$201),'Бланк OLD 0.8 04'!$B$12:$K$200,2,0))),
IF(VLOOKUP($A120-COUNT('Шаг2.Бланк заказа NEW'!$B$19:$B$201)-COUNT('Бланк OLD 0.8 04'!$B$18:$B$200),'Бланк OLD 2.0 04 '!$B$16:$K$200,2,0)="","",VLOOKUP($A120-COUNT('Шаг2.Бланк заказа NEW'!$B$19:$B$201)-COUNT('Бланк OLD 0.8 04'!$B$18:$B$200),'Бланк OLD 2.0 04 '!$B$16:$K$200,2,0)))</f>
        <v/>
      </c>
      <c r="F120" s="147" t="str">
        <f ca="1">IFERROR(IFERROR(IF(VLOOKUP($A120,'Шаг2.Бланк заказа NEW'!$B$17:$N$201,3,0)="","",VLOOKUP($A120,'Шаг2.Бланк заказа NEW'!$B$17:$N$201,3,0)),
IF(VLOOKUP($A120-COUNT('Шаг2.Бланк заказа NEW'!$B$19:$B$201),'Бланк OLD 0.8 04'!$B$12:$K$200,3,0)="","",VLOOKUP($A120-COUNT('Шаг2.Бланк заказа NEW'!$B$19:$B$201),'Бланк OLD 0.8 04'!$B$12:$K$200,3,0))),
IF(VLOOKUP($A120-COUNT('Шаг2.Бланк заказа NEW'!$B$19:$B$201)-COUNT('Бланк OLD 0.8 04'!$B$18:$B$200),'Бланк OLD 2.0 04 '!$B$16:$K$200,3,0)="","",VLOOKUP($A120-COUNT('Шаг2.Бланк заказа NEW'!$B$19:$B$201)-COUNT('Бланк OLD 0.8 04'!$B$18:$B$200),'Бланк OLD 2.0 04 '!$B$16:$K$200,3,0)))</f>
        <v/>
      </c>
      <c r="G120" s="176" t="str">
        <f ca="1">IF(IF(R120="","",IF(R120=1,SUMIFS('Шаг1.Выбор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плиты'!C:Q,12,0)),1))))))=0,
R120,
IF(R120="","",IF(R120=1,SUMIFS('Шаг1.Выбор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плиты'!N:N,R120,'Шаг1.Выбор плиты'!M:M,SMALL(INDIRECT("мм"&amp;VLOOKUP(C120,'Шаг1.Выбор плиты'!C:Q,12,0)),1)))))))</f>
        <v/>
      </c>
      <c r="H120" s="177" t="str">
        <f ca="1">IF(IF(S120="","",IF(S120=1,SUMIFS('Шаг1.Выбор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плиты'!C:Q,12,0)),1))))))=0,
S120,
IF(S120="","",IF(S120=1,SUMIFS('Шаг1.Выбор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плиты'!N:N,S120,'Шаг1.Выбор плиты'!M:M,SMALL(INDIRECT("мм"&amp;VLOOKUP(C120,'Шаг1.Выбор плиты'!C:Q,12,0)),1)))))))</f>
        <v/>
      </c>
      <c r="I120" s="147" t="str">
        <f ca="1">IFERROR(IFERROR(IF(VLOOKUP($A120,'Шаг2.Бланк заказа NEW'!$B$17:$N$201,6,0)="","",VLOOKUP($A120,'Шаг2.Бланк заказа NEW'!$B$17:$N$201,6,0)),
IF(VLOOKUP($A120-COUNT('Шаг2.Бланк заказа NEW'!$B$19:$B$201),'Бланк OLD 0.8 04'!$B$12:$K$200,6,0)="","",VLOOKUP($A120-COUNT('Шаг2.Бланк заказа NEW'!$B$19:$B$201),'Бланк OLD 0.8 04'!$B$12:$K$200,6,0))),
IF(VLOOKUP($A120-COUNT('Шаг2.Бланк заказа NEW'!$B$19:$B$201)-COUNT('Бланк OLD 0.8 04'!$B$18:$B$200),'Бланк OLD 2.0 04 '!$B$16:$K$200,6,0)="","",VLOOKUP($A120-COUNT('Шаг2.Бланк заказа NEW'!$B$19:$B$201)-COUNT('Бланк OLD 0.8 04'!$B$18:$B$200),'Бланк OLD 2.0 04 '!$B$16:$K$200,6,0)))</f>
        <v/>
      </c>
      <c r="J120" s="177" t="str">
        <f ca="1">IF(IF(T120="","",IF(T120=1,SUMIFS('Шаг1.Выбор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плиты'!C:Q,12,0)),1))))))=0,
T120,
IF(T120="","",IF(T120=1,SUMIFS('Шаг1.Выбор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плиты'!N:N,T120,'Шаг1.Выбор плиты'!M:M,SMALL(INDIRECT("мм"&amp;VLOOKUP(C120,'Шаг1.Выбор плиты'!C:Q,12,0)),1)))))))</f>
        <v/>
      </c>
      <c r="K120" s="177" t="str">
        <f ca="1">IF(IF(U120="","",IF(U120=1,SUMIFS('Шаг1.Выбор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плиты'!C:Q,12,0)),1))))))=0,
U120,
IF(U120="","",IF(U120=1,SUMIFS('Шаг1.Выбор плиты'!$G:$G,'Шаг1.Выбор плиты'!J:J,"*"&amp;RIGHT(VLOOKUP(C120,'Шаг1.Выбор плиты'!C:Q,8,0),4),'Шаг1.Выбор плиты'!L:L,IF(MID(C120,1,6)="ЛДСП P","TM"&amp;MID(VLOOKUP(C120,'Шаг1.Выбор плиты'!C:Q,10,0),3,2),MID(VLOOKUP(C120,'Шаг1.Выбор плиты'!C:Q,10,0),1,2)),
'Шаг1.Выбор плиты'!N:N,1),IF(SUMIFS('Шаг1.Выбор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плиты'!C:Q,12,0)),1))=0,
IF(SUMIFS('Шаг1.Выбор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плиты'!C:Q,12,0)),2))=0,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плиты'!C:Q,12,0)),3)),
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плиты'!C:Q,12,0)),2))),
(SUMIFS('Шаг1.Выбор плиты'!$G:$G,'Шаг1.Выбор плиты'!J:J,"*"&amp;RIGHT(VLOOKUP(C120,'Шаг1.Выбор плиты'!C:Q,8,0),4),'Шаг1.Выбор плиты'!L:L,VLOOKUP(C120,'Шаг1.Выбор плиты'!C:Q,10,0),'Шаг1.Выбор плиты'!N:N,U120,'Шаг1.Выбор плиты'!M:M,SMALL(INDIRECT("мм"&amp;VLOOKUP(C120,'Шаг1.Выбор плиты'!C:Q,12,0)),1)))))))</f>
        <v/>
      </c>
      <c r="L120" s="147" t="str">
        <f ca="1">IFERROR(IFERROR(IF(VLOOKUP($A120,'Шаг2.Бланк заказа NEW'!$B$17:$N$201,9,0)="","",VLOOKUP($A120,'Шаг2.Бланк заказа NEW'!$B$17:$N$201,9,0)),
IF(VLOOKUP($A120-COUNT('Шаг2.Бланк заказа NEW'!$B$19:$B$201),'Бланк OLD 0.8 04'!$B$12:$K$200,9,0)="","",VLOOKUP($A120-COUNT('Шаг2.Бланк заказа NEW'!$B$19:$B$201),'Бланк OLD 0.8 04'!$B$12:$K$200,9,0))),
IF(VLOOKUP($A120-COUNT('Шаг2.Бланк заказа NEW'!$B$19:$B$201)-COUNT('Бланк OLD 0.8 04'!$B$18:$B$200),'Бланк OLD 2.0 04 '!$B$16:$K$200,9,0)="","",VLOOKUP($A120-COUNT('Шаг2.Бланк заказа NEW'!$B$19:$B$201)-COUNT('Бланк OLD 0.8 04'!$B$18:$B$200),'Бланк OLD 2.0 04 '!$B$16:$K$200,9,0)))</f>
        <v/>
      </c>
      <c r="M120" s="154" t="str">
        <f t="shared" ca="1" si="10"/>
        <v/>
      </c>
      <c r="N120" s="153" t="str">
        <f ca="1">IFERROR(IF(VLOOKUP($A120,'Шаг2.Бланк заказа NEW'!$B$17:$N$201,11,0)="","",VLOOKUP($A120,'Шаг2.Бланк заказа NEW'!$B$17:$N$201,11,0)),
"Нет")</f>
        <v/>
      </c>
      <c r="O120" s="147" t="str">
        <f ca="1">IFERROR(IF(VLOOKUP($A120,'Шаг2.Бланк заказа NEW'!$B$17:$N$201,11,0)="","",VLOOKUP($A120,'Шаг2.Бланк заказа NEW'!$B$17:$N$201,12,0)),
"Нет")</f>
        <v/>
      </c>
      <c r="P120" s="153" t="str">
        <f ca="1">IFERROR(IF(VLOOKUP($A120,'Шаг2.Бланк заказа NEW'!$B$17:$N$201,13,0)="","",VLOOKUP($A120,'Шаг2.Бланк заказа NEW'!$B$17:$N$201,13,0)),
"Нет")</f>
        <v/>
      </c>
      <c r="Q120" s="147" t="str">
        <f ca="1">IFERROR(IF(VLOOKUP($A120,'Шаг2.Бланк заказа NEW'!$B$17:$O$201,14,0)="","",VLOOKUP($A120,'Шаг2.Бланк заказа NEW'!$B$17:$O$201,14,0)),"")</f>
        <v/>
      </c>
      <c r="R120" s="147" t="str">
        <f ca="1">IFERROR(IFERROR(IF(VLOOKUP($A120,'Шаг2.Бланк заказа NEW'!$B$17:$N$201,4,0)="","",VLOOKUP($A120,'Шаг2.Бланк заказа NEW'!$B$17:$N$201,4,0)),
IF(VLOOKUP($A120-COUNT('Шаг2.Бланк заказа NEW'!$B$19:$B$201),'Бланк OLD 0.8 04'!$B$12:$K$200,4,0)&gt;0,0.8,
IF(VLOOKUP($A120-COUNT('Шаг2.Бланк заказа NEW'!$B$19:$B$201),'Бланк OLD 0.8 04'!$B$12:$K$200,5,0)&gt;0,0.4,""))),
IF(VLOOKUP($A120-COUNT('Шаг2.Бланк заказа NEW'!$B$19:$B$201)-COUNT('Бланк OLD 0.8 04'!$B$18:$B$200),'Бланк OLD 2.0 04 '!$B$16:$K$200,4,0)&gt;0,2,IF(VLOOKUP($A120-COUNT('Шаг2.Бланк заказа NEW'!$B$19:$B$201)-COUNT('Бланк OLD 0.8 04'!$B$18:$B$200),'Бланк OLD 2.0 04 '!$B$16:$K$200,5,0)&gt;0,0.4,"")))</f>
        <v/>
      </c>
      <c r="S120" s="147" t="str">
        <f ca="1">IFERROR(IFERROR(IF(VLOOKUP($A120,'Шаг2.Бланк заказа NEW'!$B$17:$N$201,5,0)="","",VLOOKUP($A120,'Шаг2.Бланк заказа NEW'!$B$17:$N$201,5,0)),
IF(VLOOKUP($A120-COUNT('Шаг2.Бланк заказа NEW'!$B$19:$B$201),'Бланк OLD 0.8 04'!$B$12:$K$200,4,0)&gt;1,0.8,
IF(VLOOKUP($A120-COUNT('Шаг2.Бланк заказа NEW'!$B$19:$B$201),'Бланк OLD 0.8 04'!$B$12:$K$200,5,0)&gt;1,0.4,
IF(AND(VLOOKUP($A120-COUNT('Шаг2.Бланк заказа NEW'!$B$19:$B$201),'Бланк OLD 0.8 04'!$B$12:$K$200,4,0)&gt;0,VLOOKUP($A120-COUNT('Шаг2.Бланк заказа NEW'!$B$19:$B$201),'Бланк OLD 0.8 04'!$B$12:$K$200,5,0)&gt;0),0.4,"")))),
IF(VLOOKUP($A120-COUNT('Шаг2.Бланк заказа NEW'!$B$19:$B$201)-COUNT('Бланк OLD 0.8 04'!$B$18:$B$200),'Бланк OLD 2.0 04 '!$B$16:$K$200,4,0)&gt;1,2,
IF(VLOOKUP($A120-COUNT('Шаг2.Бланк заказа NEW'!$B$19:$B$201)-COUNT('Бланк OLD 0.8 04'!$B$18:$B$200),'Бланк OLD 2.0 04 '!$B$16:$K$200,5,0)&gt;1,0.4,IF(AND(VLOOKUP($A120-COUNT('Шаг2.Бланк заказа NEW'!$B$19:$B$201)-COUNT('Бланк OLD 0.8 04'!$B$18:$B$200),'Бланк OLD 2.0 04 '!$B$16:$K$200,4,0)&gt;0,VLOOKUP($A120-COUNT('Шаг2.Бланк заказа NEW'!$B$19:$B$201)-COUNT('Бланк OLD 0.8 04'!$B$18:$B$200),'Бланк OLD 2.0 04 '!$B$16:$K$200,5,0)&gt;0),0.4,""))))</f>
        <v/>
      </c>
      <c r="T120" s="147" t="str">
        <f ca="1">IFERROR(IFERROR(IF(VLOOKUP($A120,'Шаг2.Бланк заказа NEW'!$B$17:$N$201,7,0)="","",VLOOKUP($A120,'Шаг2.Бланк заказа NEW'!$B$17:$N$201,7,0)),
IF(VLOOKUP($A120-COUNT('Шаг2.Бланк заказа NEW'!$B$19:$B$201),'Бланк OLD 0.8 04'!$B$12:$K$200,7,0)&gt;0,0.8,
IF(VLOOKUP($A120-COUNT('Шаг2.Бланк заказа NEW'!$B$19:$B$201),'Бланк OLD 0.8 04'!$B$12:$K$200,8,0)&gt;0,0.4,""))),
IF(VLOOKUP($A120-COUNT('Шаг2.Бланк заказа NEW'!$B$19:$B$201)-COUNT('Бланк OLD 0.8 04'!$B$18:$B$200),'Бланк OLD 2.0 04 '!$B$16:$K$200,7,0)&gt;0,2,IF(VLOOKUP($A120-COUNT('Шаг2.Бланк заказа NEW'!$B$19:$B$201)-COUNT('Бланк OLD 0.8 04'!$B$18:$B$200),'Бланк OLD 2.0 04 '!$B$16:$K$200,8,0)&gt;0,0.4,"")))</f>
        <v/>
      </c>
      <c r="U120" s="147" t="str">
        <f ca="1">IFERROR(IFERROR(IF(VLOOKUP($A120,'Шаг2.Бланк заказа NEW'!$B$17:$N$201,8,0)="","",VLOOKUP($A120,'Шаг2.Бланк заказа NEW'!$B$17:$N$201,8,0)),
IF(VLOOKUP($A120-COUNT('Шаг2.Бланк заказа NEW'!$B$19:$B$201),'Бланк OLD 0.8 04'!$B$12:$K$200,7,0)&gt;1,0.8,
IF(VLOOKUP($A120-COUNT('Шаг2.Бланк заказа NEW'!$B$19:$B$201),'Бланк OLD 0.8 04'!$B$12:$K$200,8,0)&gt;1,0.4,
IF(AND(VLOOKUP($A120-COUNT('Шаг2.Бланк заказа NEW'!$B$19:$B$201),'Бланк OLD 0.8 04'!$B$12:$K$200,7,0)&gt;0,VLOOKUP($A120-COUNT('Шаг2.Бланк заказа NEW'!$B$19:$B$201),'Бланк OLD 0.8 04'!$B$12:$K$200,8,0)&gt;0),0.4,"")))),
IF(VLOOKUP($A120-COUNT('Шаг2.Бланк заказа NEW'!$B$19:$B$201)-COUNT('Бланк OLD 0.8 04'!$B$18:$B$200),'Бланк OLD 2.0 04 '!$B$16:$K$200,7,0)&gt;1,2,
IF(VLOOKUP($A120-COUNT('Шаг2.Бланк заказа NEW'!$B$19:$B$201)-COUNT('Бланк OLD 0.8 04'!$B$18:$B$200),'Бланк OLD 2.0 04 '!$B$16:$K$200,8,0)&gt;1,0.4,
IF(AND(VLOOKUP($A120-COUNT('Шаг2.Бланк заказа NEW'!$B$19:$B$201)-COUNT('Бланк OLD 0.8 04'!$B$18:$B$200),'Бланк OLD 2.0 04 '!$B$16:$K$200,7,0)&gt;0,VLOOKUP($A120-COUNT('Шаг2.Бланк заказа NEW'!$B$19:$B$201)-COUNT('Бланк OLD 0.8 04'!$B$18:$B$200),'Бланк OLD 2.0 04 '!$B$16:$K$200,8,0)&gt;0),0.4,""))))</f>
        <v/>
      </c>
      <c r="V120" s="146" t="str">
        <f ca="1">IFERROR(VLOOKUP(C120,'Шаг1.Выбор плиты'!C:S,12,0),"")</f>
        <v/>
      </c>
      <c r="W120" s="146" t="str">
        <f ca="1">IFERROR(VLOOKUP(C120,'Шаг1.Выбор плиты'!C:S,8,0),"")</f>
        <v/>
      </c>
      <c r="X120" s="146" t="str">
        <f ca="1">IFERROR(VLOOKUP(C120,'Шаг1.Выбор плиты'!C:S,10,0),"")</f>
        <v/>
      </c>
      <c r="Y120" s="147" t="str">
        <f t="shared" ca="1" si="8"/>
        <v/>
      </c>
      <c r="AD120" s="147" t="str">
        <f t="shared" ca="1" si="11"/>
        <v/>
      </c>
      <c r="AE120" s="147" t="str">
        <f t="shared" ca="1" si="9"/>
        <v/>
      </c>
      <c r="AF120" s="25"/>
      <c r="AH120" s="147" t="str">
        <f ca="1">IF(C120="","",VLOOKUP(C120,'Шаг1.Выбор плиты'!C:Q,7,0))</f>
        <v/>
      </c>
      <c r="AI120" s="147" t="str">
        <f t="shared" ca="1" si="12"/>
        <v/>
      </c>
    </row>
    <row r="121" spans="1:35" x14ac:dyDescent="0.2">
      <c r="A121" s="151" t="str">
        <f ca="1">IF(C121="","",MAX($A$1:OFFSET(C121,-1,0))+1)</f>
        <v/>
      </c>
      <c r="B121" s="151" t="str">
        <f ca="1">IFERROR(IFERROR(IFERROR("Шаг2.Бланк заказа NEW №"&amp;VLOOKUP(A120+1,CHOOSE({1,2},'Шаг2.Бланк заказа NEW'!$B$19:$B$201,'Шаг2.Бланк заказа NEW'!$A$19:$A$201),1,0),
"Бланк OLD 0.8 04 №"&amp;VLOOKUP(A120+1-COUNT('Шаг2.Бланк заказа NEW'!$B$19:$B$201),CHOOSE({1,2},'Бланк OLD 0.8 04'!$B$18:$B$200,'Бланк OLD 0.8 04'!$A$18:$A$200),1,0)),
"Бланк OLD 2.0 04 №"&amp;VLOOKUP(A120+1-COUNT('Шаг2.Бланк заказа NEW'!$B$19:$B$201)-COUNT('Бланк OLD 0.8 04'!$B$18:$B$200),CHOOSE({1,2},'Бланк OLD 2.0 04 '!$B$18:$B$200,'Бланк OLD 2.0 04 '!$A$18:$A$200),1,0)),"")</f>
        <v/>
      </c>
      <c r="C121" s="152" t="str">
        <f ca="1">IFERROR(IFERROR(IFERROR(VLOOKUP(A120+1,CHOOSE({1,2},'Шаг2.Бланк заказа NEW'!$B$19:$B$201,'Шаг2.Бланк заказа NEW'!$A$19:$A$201),2,0),
VLOOKUP(A120+1-COUNT('Шаг2.Бланк заказа NEW'!$B$19:$B$201),CHOOSE({1,2},'Бланк OLD 0.8 04'!$B$18:$B$200,'Бланк OLD 0.8 04'!$A$18:$A$200),2,0)),
VLOOKUP(A120+1-COUNT('Шаг2.Бланк заказа NEW'!$B$19:$B$201)-COUNT('Бланк OLD 0.8 04'!$B$18:$B$200),CHOOSE({1,2},'Бланк OLD 2.0 04 '!$B$18:$B$200,'Бланк OLD 2.0 04 '!$A$18:$A$200),2,0)),"")</f>
        <v/>
      </c>
      <c r="D121" s="150" t="str">
        <f ca="1">IFERROR(VLOOKUP(C121,'Шаг1.Выбор плиты'!C:G,5,0),"")</f>
        <v/>
      </c>
      <c r="E121" s="147" t="str">
        <f ca="1">IFERROR(IFERROR(IF(VLOOKUP($A121,'Шаг2.Бланк заказа NEW'!$B$17:$N$201,2,0)="","",VLOOKUP($A121,'Шаг2.Бланк заказа NEW'!$B$17:$N$201,2,0)),
IF(VLOOKUP($A121-COUNT('Шаг2.Бланк заказа NEW'!$B$19:$B$201),'Бланк OLD 0.8 04'!$B$12:$K$200,2,0)="","",VLOOKUP($A121-COUNT('Шаг2.Бланк заказа NEW'!$B$19:$B$201),'Бланк OLD 0.8 04'!$B$12:$K$200,2,0))),
IF(VLOOKUP($A121-COUNT('Шаг2.Бланк заказа NEW'!$B$19:$B$201)-COUNT('Бланк OLD 0.8 04'!$B$18:$B$200),'Бланк OLD 2.0 04 '!$B$16:$K$200,2,0)="","",VLOOKUP($A121-COUNT('Шаг2.Бланк заказа NEW'!$B$19:$B$201)-COUNT('Бланк OLD 0.8 04'!$B$18:$B$200),'Бланк OLD 2.0 04 '!$B$16:$K$200,2,0)))</f>
        <v/>
      </c>
      <c r="F121" s="147" t="str">
        <f ca="1">IFERROR(IFERROR(IF(VLOOKUP($A121,'Шаг2.Бланк заказа NEW'!$B$17:$N$201,3,0)="","",VLOOKUP($A121,'Шаг2.Бланк заказа NEW'!$B$17:$N$201,3,0)),
IF(VLOOKUP($A121-COUNT('Шаг2.Бланк заказа NEW'!$B$19:$B$201),'Бланк OLD 0.8 04'!$B$12:$K$200,3,0)="","",VLOOKUP($A121-COUNT('Шаг2.Бланк заказа NEW'!$B$19:$B$201),'Бланк OLD 0.8 04'!$B$12:$K$200,3,0))),
IF(VLOOKUP($A121-COUNT('Шаг2.Бланк заказа NEW'!$B$19:$B$201)-COUNT('Бланк OLD 0.8 04'!$B$18:$B$200),'Бланк OLD 2.0 04 '!$B$16:$K$200,3,0)="","",VLOOKUP($A121-COUNT('Шаг2.Бланк заказа NEW'!$B$19:$B$201)-COUNT('Бланк OLD 0.8 04'!$B$18:$B$200),'Бланк OLD 2.0 04 '!$B$16:$K$200,3,0)))</f>
        <v/>
      </c>
      <c r="G121" s="176" t="str">
        <f ca="1">IF(IF(R121="","",IF(R121=1,SUMIFS('Шаг1.Выбор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плиты'!C:Q,12,0)),1))))))=0,
R121,
IF(R121="","",IF(R121=1,SUMIFS('Шаг1.Выбор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плиты'!N:N,R121,'Шаг1.Выбор плиты'!M:M,SMALL(INDIRECT("мм"&amp;VLOOKUP(C121,'Шаг1.Выбор плиты'!C:Q,12,0)),1)))))))</f>
        <v/>
      </c>
      <c r="H121" s="177" t="str">
        <f ca="1">IF(IF(S121="","",IF(S121=1,SUMIFS('Шаг1.Выбор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плиты'!C:Q,12,0)),1))))))=0,
S121,
IF(S121="","",IF(S121=1,SUMIFS('Шаг1.Выбор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плиты'!N:N,S121,'Шаг1.Выбор плиты'!M:M,SMALL(INDIRECT("мм"&amp;VLOOKUP(C121,'Шаг1.Выбор плиты'!C:Q,12,0)),1)))))))</f>
        <v/>
      </c>
      <c r="I121" s="147" t="str">
        <f ca="1">IFERROR(IFERROR(IF(VLOOKUP($A121,'Шаг2.Бланк заказа NEW'!$B$17:$N$201,6,0)="","",VLOOKUP($A121,'Шаг2.Бланк заказа NEW'!$B$17:$N$201,6,0)),
IF(VLOOKUP($A121-COUNT('Шаг2.Бланк заказа NEW'!$B$19:$B$201),'Бланк OLD 0.8 04'!$B$12:$K$200,6,0)="","",VLOOKUP($A121-COUNT('Шаг2.Бланк заказа NEW'!$B$19:$B$201),'Бланк OLD 0.8 04'!$B$12:$K$200,6,0))),
IF(VLOOKUP($A121-COUNT('Шаг2.Бланк заказа NEW'!$B$19:$B$201)-COUNT('Бланк OLD 0.8 04'!$B$18:$B$200),'Бланк OLD 2.0 04 '!$B$16:$K$200,6,0)="","",VLOOKUP($A121-COUNT('Шаг2.Бланк заказа NEW'!$B$19:$B$201)-COUNT('Бланк OLD 0.8 04'!$B$18:$B$200),'Бланк OLD 2.0 04 '!$B$16:$K$200,6,0)))</f>
        <v/>
      </c>
      <c r="J121" s="177" t="str">
        <f ca="1">IF(IF(T121="","",IF(T121=1,SUMIFS('Шаг1.Выбор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плиты'!C:Q,12,0)),1))))))=0,
T121,
IF(T121="","",IF(T121=1,SUMIFS('Шаг1.Выбор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плиты'!N:N,T121,'Шаг1.Выбор плиты'!M:M,SMALL(INDIRECT("мм"&amp;VLOOKUP(C121,'Шаг1.Выбор плиты'!C:Q,12,0)),1)))))))</f>
        <v/>
      </c>
      <c r="K121" s="177" t="str">
        <f ca="1">IF(IF(U121="","",IF(U121=1,SUMIFS('Шаг1.Выбор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плиты'!C:Q,12,0)),1))))))=0,
U121,
IF(U121="","",IF(U121=1,SUMIFS('Шаг1.Выбор плиты'!$G:$G,'Шаг1.Выбор плиты'!J:J,"*"&amp;RIGHT(VLOOKUP(C121,'Шаг1.Выбор плиты'!C:Q,8,0),4),'Шаг1.Выбор плиты'!L:L,IF(MID(C121,1,6)="ЛДСП P","TM"&amp;MID(VLOOKUP(C121,'Шаг1.Выбор плиты'!C:Q,10,0),3,2),MID(VLOOKUP(C121,'Шаг1.Выбор плиты'!C:Q,10,0),1,2)),
'Шаг1.Выбор плиты'!N:N,1),IF(SUMIFS('Шаг1.Выбор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плиты'!C:Q,12,0)),1))=0,
IF(SUMIFS('Шаг1.Выбор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плиты'!C:Q,12,0)),2))=0,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плиты'!C:Q,12,0)),3)),
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плиты'!C:Q,12,0)),2))),
(SUMIFS('Шаг1.Выбор плиты'!$G:$G,'Шаг1.Выбор плиты'!J:J,"*"&amp;RIGHT(VLOOKUP(C121,'Шаг1.Выбор плиты'!C:Q,8,0),4),'Шаг1.Выбор плиты'!L:L,VLOOKUP(C121,'Шаг1.Выбор плиты'!C:Q,10,0),'Шаг1.Выбор плиты'!N:N,U121,'Шаг1.Выбор плиты'!M:M,SMALL(INDIRECT("мм"&amp;VLOOKUP(C121,'Шаг1.Выбор плиты'!C:Q,12,0)),1)))))))</f>
        <v/>
      </c>
      <c r="L121" s="147" t="str">
        <f ca="1">IFERROR(IFERROR(IF(VLOOKUP($A121,'Шаг2.Бланк заказа NEW'!$B$17:$N$201,9,0)="","",VLOOKUP($A121,'Шаг2.Бланк заказа NEW'!$B$17:$N$201,9,0)),
IF(VLOOKUP($A121-COUNT('Шаг2.Бланк заказа NEW'!$B$19:$B$201),'Бланк OLD 0.8 04'!$B$12:$K$200,9,0)="","",VLOOKUP($A121-COUNT('Шаг2.Бланк заказа NEW'!$B$19:$B$201),'Бланк OLD 0.8 04'!$B$12:$K$200,9,0))),
IF(VLOOKUP($A121-COUNT('Шаг2.Бланк заказа NEW'!$B$19:$B$201)-COUNT('Бланк OLD 0.8 04'!$B$18:$B$200),'Бланк OLD 2.0 04 '!$B$16:$K$200,9,0)="","",VLOOKUP($A121-COUNT('Шаг2.Бланк заказа NEW'!$B$19:$B$201)-COUNT('Бланк OLD 0.8 04'!$B$18:$B$200),'Бланк OLD 2.0 04 '!$B$16:$K$200,9,0)))</f>
        <v/>
      </c>
      <c r="M121" s="154" t="str">
        <f t="shared" ca="1" si="10"/>
        <v/>
      </c>
      <c r="N121" s="153" t="str">
        <f ca="1">IFERROR(IF(VLOOKUP($A121,'Шаг2.Бланк заказа NEW'!$B$17:$N$201,11,0)="","",VLOOKUP($A121,'Шаг2.Бланк заказа NEW'!$B$17:$N$201,11,0)),
"Нет")</f>
        <v/>
      </c>
      <c r="O121" s="147" t="str">
        <f ca="1">IFERROR(IF(VLOOKUP($A121,'Шаг2.Бланк заказа NEW'!$B$17:$N$201,11,0)="","",VLOOKUP($A121,'Шаг2.Бланк заказа NEW'!$B$17:$N$201,12,0)),
"Нет")</f>
        <v/>
      </c>
      <c r="P121" s="153" t="str">
        <f ca="1">IFERROR(IF(VLOOKUP($A121,'Шаг2.Бланк заказа NEW'!$B$17:$N$201,13,0)="","",VLOOKUP($A121,'Шаг2.Бланк заказа NEW'!$B$17:$N$201,13,0)),
"Нет")</f>
        <v/>
      </c>
      <c r="Q121" s="147" t="str">
        <f ca="1">IFERROR(IF(VLOOKUP($A121,'Шаг2.Бланк заказа NEW'!$B$17:$O$201,14,0)="","",VLOOKUP($A121,'Шаг2.Бланк заказа NEW'!$B$17:$O$201,14,0)),"")</f>
        <v/>
      </c>
      <c r="R121" s="147" t="str">
        <f ca="1">IFERROR(IFERROR(IF(VLOOKUP($A121,'Шаг2.Бланк заказа NEW'!$B$17:$N$201,4,0)="","",VLOOKUP($A121,'Шаг2.Бланк заказа NEW'!$B$17:$N$201,4,0)),
IF(VLOOKUP($A121-COUNT('Шаг2.Бланк заказа NEW'!$B$19:$B$201),'Бланк OLD 0.8 04'!$B$12:$K$200,4,0)&gt;0,0.8,
IF(VLOOKUP($A121-COUNT('Шаг2.Бланк заказа NEW'!$B$19:$B$201),'Бланк OLD 0.8 04'!$B$12:$K$200,5,0)&gt;0,0.4,""))),
IF(VLOOKUP($A121-COUNT('Шаг2.Бланк заказа NEW'!$B$19:$B$201)-COUNT('Бланк OLD 0.8 04'!$B$18:$B$200),'Бланк OLD 2.0 04 '!$B$16:$K$200,4,0)&gt;0,2,IF(VLOOKUP($A121-COUNT('Шаг2.Бланк заказа NEW'!$B$19:$B$201)-COUNT('Бланк OLD 0.8 04'!$B$18:$B$200),'Бланк OLD 2.0 04 '!$B$16:$K$200,5,0)&gt;0,0.4,"")))</f>
        <v/>
      </c>
      <c r="S121" s="147" t="str">
        <f ca="1">IFERROR(IFERROR(IF(VLOOKUP($A121,'Шаг2.Бланк заказа NEW'!$B$17:$N$201,5,0)="","",VLOOKUP($A121,'Шаг2.Бланк заказа NEW'!$B$17:$N$201,5,0)),
IF(VLOOKUP($A121-COUNT('Шаг2.Бланк заказа NEW'!$B$19:$B$201),'Бланк OLD 0.8 04'!$B$12:$K$200,4,0)&gt;1,0.8,
IF(VLOOKUP($A121-COUNT('Шаг2.Бланк заказа NEW'!$B$19:$B$201),'Бланк OLD 0.8 04'!$B$12:$K$200,5,0)&gt;1,0.4,
IF(AND(VLOOKUP($A121-COUNT('Шаг2.Бланк заказа NEW'!$B$19:$B$201),'Бланк OLD 0.8 04'!$B$12:$K$200,4,0)&gt;0,VLOOKUP($A121-COUNT('Шаг2.Бланк заказа NEW'!$B$19:$B$201),'Бланк OLD 0.8 04'!$B$12:$K$200,5,0)&gt;0),0.4,"")))),
IF(VLOOKUP($A121-COUNT('Шаг2.Бланк заказа NEW'!$B$19:$B$201)-COUNT('Бланк OLD 0.8 04'!$B$18:$B$200),'Бланк OLD 2.0 04 '!$B$16:$K$200,4,0)&gt;1,2,
IF(VLOOKUP($A121-COUNT('Шаг2.Бланк заказа NEW'!$B$19:$B$201)-COUNT('Бланк OLD 0.8 04'!$B$18:$B$200),'Бланк OLD 2.0 04 '!$B$16:$K$200,5,0)&gt;1,0.4,IF(AND(VLOOKUP($A121-COUNT('Шаг2.Бланк заказа NEW'!$B$19:$B$201)-COUNT('Бланк OLD 0.8 04'!$B$18:$B$200),'Бланк OLD 2.0 04 '!$B$16:$K$200,4,0)&gt;0,VLOOKUP($A121-COUNT('Шаг2.Бланк заказа NEW'!$B$19:$B$201)-COUNT('Бланк OLD 0.8 04'!$B$18:$B$200),'Бланк OLD 2.0 04 '!$B$16:$K$200,5,0)&gt;0),0.4,""))))</f>
        <v/>
      </c>
      <c r="T121" s="147" t="str">
        <f ca="1">IFERROR(IFERROR(IF(VLOOKUP($A121,'Шаг2.Бланк заказа NEW'!$B$17:$N$201,7,0)="","",VLOOKUP($A121,'Шаг2.Бланк заказа NEW'!$B$17:$N$201,7,0)),
IF(VLOOKUP($A121-COUNT('Шаг2.Бланк заказа NEW'!$B$19:$B$201),'Бланк OLD 0.8 04'!$B$12:$K$200,7,0)&gt;0,0.8,
IF(VLOOKUP($A121-COUNT('Шаг2.Бланк заказа NEW'!$B$19:$B$201),'Бланк OLD 0.8 04'!$B$12:$K$200,8,0)&gt;0,0.4,""))),
IF(VLOOKUP($A121-COUNT('Шаг2.Бланк заказа NEW'!$B$19:$B$201)-COUNT('Бланк OLD 0.8 04'!$B$18:$B$200),'Бланк OLD 2.0 04 '!$B$16:$K$200,7,0)&gt;0,2,IF(VLOOKUP($A121-COUNT('Шаг2.Бланк заказа NEW'!$B$19:$B$201)-COUNT('Бланк OLD 0.8 04'!$B$18:$B$200),'Бланк OLD 2.0 04 '!$B$16:$K$200,8,0)&gt;0,0.4,"")))</f>
        <v/>
      </c>
      <c r="U121" s="147" t="str">
        <f ca="1">IFERROR(IFERROR(IF(VLOOKUP($A121,'Шаг2.Бланк заказа NEW'!$B$17:$N$201,8,0)="","",VLOOKUP($A121,'Шаг2.Бланк заказа NEW'!$B$17:$N$201,8,0)),
IF(VLOOKUP($A121-COUNT('Шаг2.Бланк заказа NEW'!$B$19:$B$201),'Бланк OLD 0.8 04'!$B$12:$K$200,7,0)&gt;1,0.8,
IF(VLOOKUP($A121-COUNT('Шаг2.Бланк заказа NEW'!$B$19:$B$201),'Бланк OLD 0.8 04'!$B$12:$K$200,8,0)&gt;1,0.4,
IF(AND(VLOOKUP($A121-COUNT('Шаг2.Бланк заказа NEW'!$B$19:$B$201),'Бланк OLD 0.8 04'!$B$12:$K$200,7,0)&gt;0,VLOOKUP($A121-COUNT('Шаг2.Бланк заказа NEW'!$B$19:$B$201),'Бланк OLD 0.8 04'!$B$12:$K$200,8,0)&gt;0),0.4,"")))),
IF(VLOOKUP($A121-COUNT('Шаг2.Бланк заказа NEW'!$B$19:$B$201)-COUNT('Бланк OLD 0.8 04'!$B$18:$B$200),'Бланк OLD 2.0 04 '!$B$16:$K$200,7,0)&gt;1,2,
IF(VLOOKUP($A121-COUNT('Шаг2.Бланк заказа NEW'!$B$19:$B$201)-COUNT('Бланк OLD 0.8 04'!$B$18:$B$200),'Бланк OLD 2.0 04 '!$B$16:$K$200,8,0)&gt;1,0.4,
IF(AND(VLOOKUP($A121-COUNT('Шаг2.Бланк заказа NEW'!$B$19:$B$201)-COUNT('Бланк OLD 0.8 04'!$B$18:$B$200),'Бланк OLD 2.0 04 '!$B$16:$K$200,7,0)&gt;0,VLOOKUP($A121-COUNT('Шаг2.Бланк заказа NEW'!$B$19:$B$201)-COUNT('Бланк OLD 0.8 04'!$B$18:$B$200),'Бланк OLD 2.0 04 '!$B$16:$K$200,8,0)&gt;0),0.4,""))))</f>
        <v/>
      </c>
      <c r="V121" s="146" t="str">
        <f ca="1">IFERROR(VLOOKUP(C121,'Шаг1.Выбор плиты'!C:S,12,0),"")</f>
        <v/>
      </c>
      <c r="W121" s="146" t="str">
        <f ca="1">IFERROR(VLOOKUP(C121,'Шаг1.Выбор плиты'!C:S,8,0),"")</f>
        <v/>
      </c>
      <c r="X121" s="146" t="str">
        <f ca="1">IFERROR(VLOOKUP(C121,'Шаг1.Выбор плиты'!C:S,10,0),"")</f>
        <v/>
      </c>
      <c r="Y121" s="147" t="str">
        <f t="shared" ca="1" si="8"/>
        <v/>
      </c>
      <c r="AD121" s="147" t="str">
        <f t="shared" ca="1" si="11"/>
        <v/>
      </c>
      <c r="AE121" s="147" t="str">
        <f t="shared" ca="1" si="9"/>
        <v/>
      </c>
      <c r="AF121" s="25"/>
      <c r="AH121" s="147" t="str">
        <f ca="1">IF(C121="","",VLOOKUP(C121,'Шаг1.Выбор плиты'!C:Q,7,0))</f>
        <v/>
      </c>
      <c r="AI121" s="147" t="str">
        <f t="shared" ca="1" si="12"/>
        <v/>
      </c>
    </row>
    <row r="122" spans="1:35" x14ac:dyDescent="0.2">
      <c r="A122" s="151" t="str">
        <f ca="1">IF(C122="","",MAX($A$1:OFFSET(C122,-1,0))+1)</f>
        <v/>
      </c>
      <c r="B122" s="151" t="str">
        <f ca="1">IFERROR(IFERROR(IFERROR("Шаг2.Бланк заказа NEW №"&amp;VLOOKUP(A121+1,CHOOSE({1,2},'Шаг2.Бланк заказа NEW'!$B$19:$B$201,'Шаг2.Бланк заказа NEW'!$A$19:$A$201),1,0),
"Бланк OLD 0.8 04 №"&amp;VLOOKUP(A121+1-COUNT('Шаг2.Бланк заказа NEW'!$B$19:$B$201),CHOOSE({1,2},'Бланк OLD 0.8 04'!$B$18:$B$200,'Бланк OLD 0.8 04'!$A$18:$A$200),1,0)),
"Бланк OLD 2.0 04 №"&amp;VLOOKUP(A121+1-COUNT('Шаг2.Бланк заказа NEW'!$B$19:$B$201)-COUNT('Бланк OLD 0.8 04'!$B$18:$B$200),CHOOSE({1,2},'Бланк OLD 2.0 04 '!$B$18:$B$200,'Бланк OLD 2.0 04 '!$A$18:$A$200),1,0)),"")</f>
        <v/>
      </c>
      <c r="C122" s="152" t="str">
        <f ca="1">IFERROR(IFERROR(IFERROR(VLOOKUP(A121+1,CHOOSE({1,2},'Шаг2.Бланк заказа NEW'!$B$19:$B$201,'Шаг2.Бланк заказа NEW'!$A$19:$A$201),2,0),
VLOOKUP(A121+1-COUNT('Шаг2.Бланк заказа NEW'!$B$19:$B$201),CHOOSE({1,2},'Бланк OLD 0.8 04'!$B$18:$B$200,'Бланк OLD 0.8 04'!$A$18:$A$200),2,0)),
VLOOKUP(A121+1-COUNT('Шаг2.Бланк заказа NEW'!$B$19:$B$201)-COUNT('Бланк OLD 0.8 04'!$B$18:$B$200),CHOOSE({1,2},'Бланк OLD 2.0 04 '!$B$18:$B$200,'Бланк OLD 2.0 04 '!$A$18:$A$200),2,0)),"")</f>
        <v/>
      </c>
      <c r="D122" s="150" t="str">
        <f ca="1">IFERROR(VLOOKUP(C122,'Шаг1.Выбор плиты'!C:G,5,0),"")</f>
        <v/>
      </c>
      <c r="E122" s="147" t="str">
        <f ca="1">IFERROR(IFERROR(IF(VLOOKUP($A122,'Шаг2.Бланк заказа NEW'!$B$17:$N$201,2,0)="","",VLOOKUP($A122,'Шаг2.Бланк заказа NEW'!$B$17:$N$201,2,0)),
IF(VLOOKUP($A122-COUNT('Шаг2.Бланк заказа NEW'!$B$19:$B$201),'Бланк OLD 0.8 04'!$B$12:$K$200,2,0)="","",VLOOKUP($A122-COUNT('Шаг2.Бланк заказа NEW'!$B$19:$B$201),'Бланк OLD 0.8 04'!$B$12:$K$200,2,0))),
IF(VLOOKUP($A122-COUNT('Шаг2.Бланк заказа NEW'!$B$19:$B$201)-COUNT('Бланк OLD 0.8 04'!$B$18:$B$200),'Бланк OLD 2.0 04 '!$B$16:$K$200,2,0)="","",VLOOKUP($A122-COUNT('Шаг2.Бланк заказа NEW'!$B$19:$B$201)-COUNT('Бланк OLD 0.8 04'!$B$18:$B$200),'Бланк OLD 2.0 04 '!$B$16:$K$200,2,0)))</f>
        <v/>
      </c>
      <c r="F122" s="147" t="str">
        <f ca="1">IFERROR(IFERROR(IF(VLOOKUP($A122,'Шаг2.Бланк заказа NEW'!$B$17:$N$201,3,0)="","",VLOOKUP($A122,'Шаг2.Бланк заказа NEW'!$B$17:$N$201,3,0)),
IF(VLOOKUP($A122-COUNT('Шаг2.Бланк заказа NEW'!$B$19:$B$201),'Бланк OLD 0.8 04'!$B$12:$K$200,3,0)="","",VLOOKUP($A122-COUNT('Шаг2.Бланк заказа NEW'!$B$19:$B$201),'Бланк OLD 0.8 04'!$B$12:$K$200,3,0))),
IF(VLOOKUP($A122-COUNT('Шаг2.Бланк заказа NEW'!$B$19:$B$201)-COUNT('Бланк OLD 0.8 04'!$B$18:$B$200),'Бланк OLD 2.0 04 '!$B$16:$K$200,3,0)="","",VLOOKUP($A122-COUNT('Шаг2.Бланк заказа NEW'!$B$19:$B$201)-COUNT('Бланк OLD 0.8 04'!$B$18:$B$200),'Бланк OLD 2.0 04 '!$B$16:$K$200,3,0)))</f>
        <v/>
      </c>
      <c r="G122" s="176" t="str">
        <f ca="1">IF(IF(R122="","",IF(R122=1,SUMIFS('Шаг1.Выбор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плиты'!C:Q,12,0)),1))))))=0,
R122,
IF(R122="","",IF(R122=1,SUMIFS('Шаг1.Выбор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плиты'!N:N,R122,'Шаг1.Выбор плиты'!M:M,SMALL(INDIRECT("мм"&amp;VLOOKUP(C122,'Шаг1.Выбор плиты'!C:Q,12,0)),1)))))))</f>
        <v/>
      </c>
      <c r="H122" s="177" t="str">
        <f ca="1">IF(IF(S122="","",IF(S122=1,SUMIFS('Шаг1.Выбор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плиты'!C:Q,12,0)),1))))))=0,
S122,
IF(S122="","",IF(S122=1,SUMIFS('Шаг1.Выбор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плиты'!N:N,S122,'Шаг1.Выбор плиты'!M:M,SMALL(INDIRECT("мм"&amp;VLOOKUP(C122,'Шаг1.Выбор плиты'!C:Q,12,0)),1)))))))</f>
        <v/>
      </c>
      <c r="I122" s="147" t="str">
        <f ca="1">IFERROR(IFERROR(IF(VLOOKUP($A122,'Шаг2.Бланк заказа NEW'!$B$17:$N$201,6,0)="","",VLOOKUP($A122,'Шаг2.Бланк заказа NEW'!$B$17:$N$201,6,0)),
IF(VLOOKUP($A122-COUNT('Шаг2.Бланк заказа NEW'!$B$19:$B$201),'Бланк OLD 0.8 04'!$B$12:$K$200,6,0)="","",VLOOKUP($A122-COUNT('Шаг2.Бланк заказа NEW'!$B$19:$B$201),'Бланк OLD 0.8 04'!$B$12:$K$200,6,0))),
IF(VLOOKUP($A122-COUNT('Шаг2.Бланк заказа NEW'!$B$19:$B$201)-COUNT('Бланк OLD 0.8 04'!$B$18:$B$200),'Бланк OLD 2.0 04 '!$B$16:$K$200,6,0)="","",VLOOKUP($A122-COUNT('Шаг2.Бланк заказа NEW'!$B$19:$B$201)-COUNT('Бланк OLD 0.8 04'!$B$18:$B$200),'Бланк OLD 2.0 04 '!$B$16:$K$200,6,0)))</f>
        <v/>
      </c>
      <c r="J122" s="177" t="str">
        <f ca="1">IF(IF(T122="","",IF(T122=1,SUMIFS('Шаг1.Выбор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плиты'!C:Q,12,0)),1))))))=0,
T122,
IF(T122="","",IF(T122=1,SUMIFS('Шаг1.Выбор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плиты'!N:N,T122,'Шаг1.Выбор плиты'!M:M,SMALL(INDIRECT("мм"&amp;VLOOKUP(C122,'Шаг1.Выбор плиты'!C:Q,12,0)),1)))))))</f>
        <v/>
      </c>
      <c r="K122" s="177" t="str">
        <f ca="1">IF(IF(U122="","",IF(U122=1,SUMIFS('Шаг1.Выбор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плиты'!C:Q,12,0)),1))))))=0,
U122,
IF(U122="","",IF(U122=1,SUMIFS('Шаг1.Выбор плиты'!$G:$G,'Шаг1.Выбор плиты'!J:J,"*"&amp;RIGHT(VLOOKUP(C122,'Шаг1.Выбор плиты'!C:Q,8,0),4),'Шаг1.Выбор плиты'!L:L,IF(MID(C122,1,6)="ЛДСП P","TM"&amp;MID(VLOOKUP(C122,'Шаг1.Выбор плиты'!C:Q,10,0),3,2),MID(VLOOKUP(C122,'Шаг1.Выбор плиты'!C:Q,10,0),1,2)),
'Шаг1.Выбор плиты'!N:N,1),IF(SUMIFS('Шаг1.Выбор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плиты'!C:Q,12,0)),1))=0,
IF(SUMIFS('Шаг1.Выбор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плиты'!C:Q,12,0)),2))=0,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плиты'!C:Q,12,0)),3)),
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плиты'!C:Q,12,0)),2))),
(SUMIFS('Шаг1.Выбор плиты'!$G:$G,'Шаг1.Выбор плиты'!J:J,"*"&amp;RIGHT(VLOOKUP(C122,'Шаг1.Выбор плиты'!C:Q,8,0),4),'Шаг1.Выбор плиты'!L:L,VLOOKUP(C122,'Шаг1.Выбор плиты'!C:Q,10,0),'Шаг1.Выбор плиты'!N:N,U122,'Шаг1.Выбор плиты'!M:M,SMALL(INDIRECT("мм"&amp;VLOOKUP(C122,'Шаг1.Выбор плиты'!C:Q,12,0)),1)))))))</f>
        <v/>
      </c>
      <c r="L122" s="147" t="str">
        <f ca="1">IFERROR(IFERROR(IF(VLOOKUP($A122,'Шаг2.Бланк заказа NEW'!$B$17:$N$201,9,0)="","",VLOOKUP($A122,'Шаг2.Бланк заказа NEW'!$B$17:$N$201,9,0)),
IF(VLOOKUP($A122-COUNT('Шаг2.Бланк заказа NEW'!$B$19:$B$201),'Бланк OLD 0.8 04'!$B$12:$K$200,9,0)="","",VLOOKUP($A122-COUNT('Шаг2.Бланк заказа NEW'!$B$19:$B$201),'Бланк OLD 0.8 04'!$B$12:$K$200,9,0))),
IF(VLOOKUP($A122-COUNT('Шаг2.Бланк заказа NEW'!$B$19:$B$201)-COUNT('Бланк OLD 0.8 04'!$B$18:$B$200),'Бланк OLD 2.0 04 '!$B$16:$K$200,9,0)="","",VLOOKUP($A122-COUNT('Шаг2.Бланк заказа NEW'!$B$19:$B$201)-COUNT('Бланк OLD 0.8 04'!$B$18:$B$200),'Бланк OLD 2.0 04 '!$B$16:$K$200,9,0)))</f>
        <v/>
      </c>
      <c r="M122" s="154" t="str">
        <f t="shared" ca="1" si="10"/>
        <v/>
      </c>
      <c r="N122" s="153" t="str">
        <f ca="1">IFERROR(IF(VLOOKUP($A122,'Шаг2.Бланк заказа NEW'!$B$17:$N$201,11,0)="","",VLOOKUP($A122,'Шаг2.Бланк заказа NEW'!$B$17:$N$201,11,0)),
"Нет")</f>
        <v/>
      </c>
      <c r="O122" s="147" t="str">
        <f ca="1">IFERROR(IF(VLOOKUP($A122,'Шаг2.Бланк заказа NEW'!$B$17:$N$201,11,0)="","",VLOOKUP($A122,'Шаг2.Бланк заказа NEW'!$B$17:$N$201,12,0)),
"Нет")</f>
        <v/>
      </c>
      <c r="P122" s="153" t="str">
        <f ca="1">IFERROR(IF(VLOOKUP($A122,'Шаг2.Бланк заказа NEW'!$B$17:$N$201,13,0)="","",VLOOKUP($A122,'Шаг2.Бланк заказа NEW'!$B$17:$N$201,13,0)),
"Нет")</f>
        <v/>
      </c>
      <c r="Q122" s="147" t="str">
        <f ca="1">IFERROR(IF(VLOOKUP($A122,'Шаг2.Бланк заказа NEW'!$B$17:$O$201,14,0)="","",VLOOKUP($A122,'Шаг2.Бланк заказа NEW'!$B$17:$O$201,14,0)),"")</f>
        <v/>
      </c>
      <c r="R122" s="147" t="str">
        <f ca="1">IFERROR(IFERROR(IF(VLOOKUP($A122,'Шаг2.Бланк заказа NEW'!$B$17:$N$201,4,0)="","",VLOOKUP($A122,'Шаг2.Бланк заказа NEW'!$B$17:$N$201,4,0)),
IF(VLOOKUP($A122-COUNT('Шаг2.Бланк заказа NEW'!$B$19:$B$201),'Бланк OLD 0.8 04'!$B$12:$K$200,4,0)&gt;0,0.8,
IF(VLOOKUP($A122-COUNT('Шаг2.Бланк заказа NEW'!$B$19:$B$201),'Бланк OLD 0.8 04'!$B$12:$K$200,5,0)&gt;0,0.4,""))),
IF(VLOOKUP($A122-COUNT('Шаг2.Бланк заказа NEW'!$B$19:$B$201)-COUNT('Бланк OLD 0.8 04'!$B$18:$B$200),'Бланк OLD 2.0 04 '!$B$16:$K$200,4,0)&gt;0,2,IF(VLOOKUP($A122-COUNT('Шаг2.Бланк заказа NEW'!$B$19:$B$201)-COUNT('Бланк OLD 0.8 04'!$B$18:$B$200),'Бланк OLD 2.0 04 '!$B$16:$K$200,5,0)&gt;0,0.4,"")))</f>
        <v/>
      </c>
      <c r="S122" s="147" t="str">
        <f ca="1">IFERROR(IFERROR(IF(VLOOKUP($A122,'Шаг2.Бланк заказа NEW'!$B$17:$N$201,5,0)="","",VLOOKUP($A122,'Шаг2.Бланк заказа NEW'!$B$17:$N$201,5,0)),
IF(VLOOKUP($A122-COUNT('Шаг2.Бланк заказа NEW'!$B$19:$B$201),'Бланк OLD 0.8 04'!$B$12:$K$200,4,0)&gt;1,0.8,
IF(VLOOKUP($A122-COUNT('Шаг2.Бланк заказа NEW'!$B$19:$B$201),'Бланк OLD 0.8 04'!$B$12:$K$200,5,0)&gt;1,0.4,
IF(AND(VLOOKUP($A122-COUNT('Шаг2.Бланк заказа NEW'!$B$19:$B$201),'Бланк OLD 0.8 04'!$B$12:$K$200,4,0)&gt;0,VLOOKUP($A122-COUNT('Шаг2.Бланк заказа NEW'!$B$19:$B$201),'Бланк OLD 0.8 04'!$B$12:$K$200,5,0)&gt;0),0.4,"")))),
IF(VLOOKUP($A122-COUNT('Шаг2.Бланк заказа NEW'!$B$19:$B$201)-COUNT('Бланк OLD 0.8 04'!$B$18:$B$200),'Бланк OLD 2.0 04 '!$B$16:$K$200,4,0)&gt;1,2,
IF(VLOOKUP($A122-COUNT('Шаг2.Бланк заказа NEW'!$B$19:$B$201)-COUNT('Бланк OLD 0.8 04'!$B$18:$B$200),'Бланк OLD 2.0 04 '!$B$16:$K$200,5,0)&gt;1,0.4,IF(AND(VLOOKUP($A122-COUNT('Шаг2.Бланк заказа NEW'!$B$19:$B$201)-COUNT('Бланк OLD 0.8 04'!$B$18:$B$200),'Бланк OLD 2.0 04 '!$B$16:$K$200,4,0)&gt;0,VLOOKUP($A122-COUNT('Шаг2.Бланк заказа NEW'!$B$19:$B$201)-COUNT('Бланк OLD 0.8 04'!$B$18:$B$200),'Бланк OLD 2.0 04 '!$B$16:$K$200,5,0)&gt;0),0.4,""))))</f>
        <v/>
      </c>
      <c r="T122" s="147" t="str">
        <f ca="1">IFERROR(IFERROR(IF(VLOOKUP($A122,'Шаг2.Бланк заказа NEW'!$B$17:$N$201,7,0)="","",VLOOKUP($A122,'Шаг2.Бланк заказа NEW'!$B$17:$N$201,7,0)),
IF(VLOOKUP($A122-COUNT('Шаг2.Бланк заказа NEW'!$B$19:$B$201),'Бланк OLD 0.8 04'!$B$12:$K$200,7,0)&gt;0,0.8,
IF(VLOOKUP($A122-COUNT('Шаг2.Бланк заказа NEW'!$B$19:$B$201),'Бланк OLD 0.8 04'!$B$12:$K$200,8,0)&gt;0,0.4,""))),
IF(VLOOKUP($A122-COUNT('Шаг2.Бланк заказа NEW'!$B$19:$B$201)-COUNT('Бланк OLD 0.8 04'!$B$18:$B$200),'Бланк OLD 2.0 04 '!$B$16:$K$200,7,0)&gt;0,2,IF(VLOOKUP($A122-COUNT('Шаг2.Бланк заказа NEW'!$B$19:$B$201)-COUNT('Бланк OLD 0.8 04'!$B$18:$B$200),'Бланк OLD 2.0 04 '!$B$16:$K$200,8,0)&gt;0,0.4,"")))</f>
        <v/>
      </c>
      <c r="U122" s="147" t="str">
        <f ca="1">IFERROR(IFERROR(IF(VLOOKUP($A122,'Шаг2.Бланк заказа NEW'!$B$17:$N$201,8,0)="","",VLOOKUP($A122,'Шаг2.Бланк заказа NEW'!$B$17:$N$201,8,0)),
IF(VLOOKUP($A122-COUNT('Шаг2.Бланк заказа NEW'!$B$19:$B$201),'Бланк OLD 0.8 04'!$B$12:$K$200,7,0)&gt;1,0.8,
IF(VLOOKUP($A122-COUNT('Шаг2.Бланк заказа NEW'!$B$19:$B$201),'Бланк OLD 0.8 04'!$B$12:$K$200,8,0)&gt;1,0.4,
IF(AND(VLOOKUP($A122-COUNT('Шаг2.Бланк заказа NEW'!$B$19:$B$201),'Бланк OLD 0.8 04'!$B$12:$K$200,7,0)&gt;0,VLOOKUP($A122-COUNT('Шаг2.Бланк заказа NEW'!$B$19:$B$201),'Бланк OLD 0.8 04'!$B$12:$K$200,8,0)&gt;0),0.4,"")))),
IF(VLOOKUP($A122-COUNT('Шаг2.Бланк заказа NEW'!$B$19:$B$201)-COUNT('Бланк OLD 0.8 04'!$B$18:$B$200),'Бланк OLD 2.0 04 '!$B$16:$K$200,7,0)&gt;1,2,
IF(VLOOKUP($A122-COUNT('Шаг2.Бланк заказа NEW'!$B$19:$B$201)-COUNT('Бланк OLD 0.8 04'!$B$18:$B$200),'Бланк OLD 2.0 04 '!$B$16:$K$200,8,0)&gt;1,0.4,
IF(AND(VLOOKUP($A122-COUNT('Шаг2.Бланк заказа NEW'!$B$19:$B$201)-COUNT('Бланк OLD 0.8 04'!$B$18:$B$200),'Бланк OLD 2.0 04 '!$B$16:$K$200,7,0)&gt;0,VLOOKUP($A122-COUNT('Шаг2.Бланк заказа NEW'!$B$19:$B$201)-COUNT('Бланк OLD 0.8 04'!$B$18:$B$200),'Бланк OLD 2.0 04 '!$B$16:$K$200,8,0)&gt;0),0.4,""))))</f>
        <v/>
      </c>
      <c r="V122" s="146" t="str">
        <f ca="1">IFERROR(VLOOKUP(C122,'Шаг1.Выбор плиты'!C:S,12,0),"")</f>
        <v/>
      </c>
      <c r="W122" s="146" t="str">
        <f ca="1">IFERROR(VLOOKUP(C122,'Шаг1.Выбор плиты'!C:S,8,0),"")</f>
        <v/>
      </c>
      <c r="X122" s="146" t="str">
        <f ca="1">IFERROR(VLOOKUP(C122,'Шаг1.Выбор плиты'!C:S,10,0),"")</f>
        <v/>
      </c>
      <c r="Y122" s="147" t="str">
        <f t="shared" ca="1" si="8"/>
        <v/>
      </c>
      <c r="AD122" s="147" t="str">
        <f t="shared" ca="1" si="11"/>
        <v/>
      </c>
      <c r="AE122" s="147" t="str">
        <f t="shared" ca="1" si="9"/>
        <v/>
      </c>
      <c r="AF122" s="25"/>
      <c r="AH122" s="147" t="str">
        <f ca="1">IF(C122="","",VLOOKUP(C122,'Шаг1.Выбор плиты'!C:Q,7,0))</f>
        <v/>
      </c>
      <c r="AI122" s="147" t="str">
        <f t="shared" ca="1" si="12"/>
        <v/>
      </c>
    </row>
    <row r="123" spans="1:35" x14ac:dyDescent="0.2">
      <c r="A123" s="151" t="str">
        <f ca="1">IF(C123="","",MAX($A$1:OFFSET(C123,-1,0))+1)</f>
        <v/>
      </c>
      <c r="B123" s="151" t="str">
        <f ca="1">IFERROR(IFERROR(IFERROR("Шаг2.Бланк заказа NEW №"&amp;VLOOKUP(A122+1,CHOOSE({1,2},'Шаг2.Бланк заказа NEW'!$B$19:$B$201,'Шаг2.Бланк заказа NEW'!$A$19:$A$201),1,0),
"Бланк OLD 0.8 04 №"&amp;VLOOKUP(A122+1-COUNT('Шаг2.Бланк заказа NEW'!$B$19:$B$201),CHOOSE({1,2},'Бланк OLD 0.8 04'!$B$18:$B$200,'Бланк OLD 0.8 04'!$A$18:$A$200),1,0)),
"Бланк OLD 2.0 04 №"&amp;VLOOKUP(A122+1-COUNT('Шаг2.Бланк заказа NEW'!$B$19:$B$201)-COUNT('Бланк OLD 0.8 04'!$B$18:$B$200),CHOOSE({1,2},'Бланк OLD 2.0 04 '!$B$18:$B$200,'Бланк OLD 2.0 04 '!$A$18:$A$200),1,0)),"")</f>
        <v/>
      </c>
      <c r="C123" s="152" t="str">
        <f ca="1">IFERROR(IFERROR(IFERROR(VLOOKUP(A122+1,CHOOSE({1,2},'Шаг2.Бланк заказа NEW'!$B$19:$B$201,'Шаг2.Бланк заказа NEW'!$A$19:$A$201),2,0),
VLOOKUP(A122+1-COUNT('Шаг2.Бланк заказа NEW'!$B$19:$B$201),CHOOSE({1,2},'Бланк OLD 0.8 04'!$B$18:$B$200,'Бланк OLD 0.8 04'!$A$18:$A$200),2,0)),
VLOOKUP(A122+1-COUNT('Шаг2.Бланк заказа NEW'!$B$19:$B$201)-COUNT('Бланк OLD 0.8 04'!$B$18:$B$200),CHOOSE({1,2},'Бланк OLD 2.0 04 '!$B$18:$B$200,'Бланк OLD 2.0 04 '!$A$18:$A$200),2,0)),"")</f>
        <v/>
      </c>
      <c r="D123" s="150" t="str">
        <f ca="1">IFERROR(VLOOKUP(C123,'Шаг1.Выбор плиты'!C:G,5,0),"")</f>
        <v/>
      </c>
      <c r="E123" s="147" t="str">
        <f ca="1">IFERROR(IFERROR(IF(VLOOKUP($A123,'Шаг2.Бланк заказа NEW'!$B$17:$N$201,2,0)="","",VLOOKUP($A123,'Шаг2.Бланк заказа NEW'!$B$17:$N$201,2,0)),
IF(VLOOKUP($A123-COUNT('Шаг2.Бланк заказа NEW'!$B$19:$B$201),'Бланк OLD 0.8 04'!$B$12:$K$200,2,0)="","",VLOOKUP($A123-COUNT('Шаг2.Бланк заказа NEW'!$B$19:$B$201),'Бланк OLD 0.8 04'!$B$12:$K$200,2,0))),
IF(VLOOKUP($A123-COUNT('Шаг2.Бланк заказа NEW'!$B$19:$B$201)-COUNT('Бланк OLD 0.8 04'!$B$18:$B$200),'Бланк OLD 2.0 04 '!$B$16:$K$200,2,0)="","",VLOOKUP($A123-COUNT('Шаг2.Бланк заказа NEW'!$B$19:$B$201)-COUNT('Бланк OLD 0.8 04'!$B$18:$B$200),'Бланк OLD 2.0 04 '!$B$16:$K$200,2,0)))</f>
        <v/>
      </c>
      <c r="F123" s="147" t="str">
        <f ca="1">IFERROR(IFERROR(IF(VLOOKUP($A123,'Шаг2.Бланк заказа NEW'!$B$17:$N$201,3,0)="","",VLOOKUP($A123,'Шаг2.Бланк заказа NEW'!$B$17:$N$201,3,0)),
IF(VLOOKUP($A123-COUNT('Шаг2.Бланк заказа NEW'!$B$19:$B$201),'Бланк OLD 0.8 04'!$B$12:$K$200,3,0)="","",VLOOKUP($A123-COUNT('Шаг2.Бланк заказа NEW'!$B$19:$B$201),'Бланк OLD 0.8 04'!$B$12:$K$200,3,0))),
IF(VLOOKUP($A123-COUNT('Шаг2.Бланк заказа NEW'!$B$19:$B$201)-COUNT('Бланк OLD 0.8 04'!$B$18:$B$200),'Бланк OLD 2.0 04 '!$B$16:$K$200,3,0)="","",VLOOKUP($A123-COUNT('Шаг2.Бланк заказа NEW'!$B$19:$B$201)-COUNT('Бланк OLD 0.8 04'!$B$18:$B$200),'Бланк OLD 2.0 04 '!$B$16:$K$200,3,0)))</f>
        <v/>
      </c>
      <c r="G123" s="176" t="str">
        <f ca="1">IF(IF(R123="","",IF(R123=1,SUMIFS('Шаг1.Выбор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плиты'!C:Q,12,0)),1))))))=0,
R123,
IF(R123="","",IF(R123=1,SUMIFS('Шаг1.Выбор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плиты'!N:N,R123,'Шаг1.Выбор плиты'!M:M,SMALL(INDIRECT("мм"&amp;VLOOKUP(C123,'Шаг1.Выбор плиты'!C:Q,12,0)),1)))))))</f>
        <v/>
      </c>
      <c r="H123" s="177" t="str">
        <f ca="1">IF(IF(S123="","",IF(S123=1,SUMIFS('Шаг1.Выбор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плиты'!C:Q,12,0)),1))))))=0,
S123,
IF(S123="","",IF(S123=1,SUMIFS('Шаг1.Выбор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плиты'!N:N,S123,'Шаг1.Выбор плиты'!M:M,SMALL(INDIRECT("мм"&amp;VLOOKUP(C123,'Шаг1.Выбор плиты'!C:Q,12,0)),1)))))))</f>
        <v/>
      </c>
      <c r="I123" s="147" t="str">
        <f ca="1">IFERROR(IFERROR(IF(VLOOKUP($A123,'Шаг2.Бланк заказа NEW'!$B$17:$N$201,6,0)="","",VLOOKUP($A123,'Шаг2.Бланк заказа NEW'!$B$17:$N$201,6,0)),
IF(VLOOKUP($A123-COUNT('Шаг2.Бланк заказа NEW'!$B$19:$B$201),'Бланк OLD 0.8 04'!$B$12:$K$200,6,0)="","",VLOOKUP($A123-COUNT('Шаг2.Бланк заказа NEW'!$B$19:$B$201),'Бланк OLD 0.8 04'!$B$12:$K$200,6,0))),
IF(VLOOKUP($A123-COUNT('Шаг2.Бланк заказа NEW'!$B$19:$B$201)-COUNT('Бланк OLD 0.8 04'!$B$18:$B$200),'Бланк OLD 2.0 04 '!$B$16:$K$200,6,0)="","",VLOOKUP($A123-COUNT('Шаг2.Бланк заказа NEW'!$B$19:$B$201)-COUNT('Бланк OLD 0.8 04'!$B$18:$B$200),'Бланк OLD 2.0 04 '!$B$16:$K$200,6,0)))</f>
        <v/>
      </c>
      <c r="J123" s="177" t="str">
        <f ca="1">IF(IF(T123="","",IF(T123=1,SUMIFS('Шаг1.Выбор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плиты'!C:Q,12,0)),1))))))=0,
T123,
IF(T123="","",IF(T123=1,SUMIFS('Шаг1.Выбор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плиты'!N:N,T123,'Шаг1.Выбор плиты'!M:M,SMALL(INDIRECT("мм"&amp;VLOOKUP(C123,'Шаг1.Выбор плиты'!C:Q,12,0)),1)))))))</f>
        <v/>
      </c>
      <c r="K123" s="177" t="str">
        <f ca="1">IF(IF(U123="","",IF(U123=1,SUMIFS('Шаг1.Выбор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плиты'!C:Q,12,0)),1))))))=0,
U123,
IF(U123="","",IF(U123=1,SUMIFS('Шаг1.Выбор плиты'!$G:$G,'Шаг1.Выбор плиты'!J:J,"*"&amp;RIGHT(VLOOKUP(C123,'Шаг1.Выбор плиты'!C:Q,8,0),4),'Шаг1.Выбор плиты'!L:L,IF(MID(C123,1,6)="ЛДСП P","TM"&amp;MID(VLOOKUP(C123,'Шаг1.Выбор плиты'!C:Q,10,0),3,2),MID(VLOOKUP(C123,'Шаг1.Выбор плиты'!C:Q,10,0),1,2)),
'Шаг1.Выбор плиты'!N:N,1),IF(SUMIFS('Шаг1.Выбор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плиты'!C:Q,12,0)),1))=0,
IF(SUMIFS('Шаг1.Выбор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плиты'!C:Q,12,0)),2))=0,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плиты'!C:Q,12,0)),3)),
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плиты'!C:Q,12,0)),2))),
(SUMIFS('Шаг1.Выбор плиты'!$G:$G,'Шаг1.Выбор плиты'!J:J,"*"&amp;RIGHT(VLOOKUP(C123,'Шаг1.Выбор плиты'!C:Q,8,0),4),'Шаг1.Выбор плиты'!L:L,VLOOKUP(C123,'Шаг1.Выбор плиты'!C:Q,10,0),'Шаг1.Выбор плиты'!N:N,U123,'Шаг1.Выбор плиты'!M:M,SMALL(INDIRECT("мм"&amp;VLOOKUP(C123,'Шаг1.Выбор плиты'!C:Q,12,0)),1)))))))</f>
        <v/>
      </c>
      <c r="L123" s="147" t="str">
        <f ca="1">IFERROR(IFERROR(IF(VLOOKUP($A123,'Шаг2.Бланк заказа NEW'!$B$17:$N$201,9,0)="","",VLOOKUP($A123,'Шаг2.Бланк заказа NEW'!$B$17:$N$201,9,0)),
IF(VLOOKUP($A123-COUNT('Шаг2.Бланк заказа NEW'!$B$19:$B$201),'Бланк OLD 0.8 04'!$B$12:$K$200,9,0)="","",VLOOKUP($A123-COUNT('Шаг2.Бланк заказа NEW'!$B$19:$B$201),'Бланк OLD 0.8 04'!$B$12:$K$200,9,0))),
IF(VLOOKUP($A123-COUNT('Шаг2.Бланк заказа NEW'!$B$19:$B$201)-COUNT('Бланк OLD 0.8 04'!$B$18:$B$200),'Бланк OLD 2.0 04 '!$B$16:$K$200,9,0)="","",VLOOKUP($A123-COUNT('Шаг2.Бланк заказа NEW'!$B$19:$B$201)-COUNT('Бланк OLD 0.8 04'!$B$18:$B$200),'Бланк OLD 2.0 04 '!$B$16:$K$200,9,0)))</f>
        <v/>
      </c>
      <c r="M123" s="154" t="str">
        <f t="shared" ca="1" si="10"/>
        <v/>
      </c>
      <c r="N123" s="153" t="str">
        <f ca="1">IFERROR(IF(VLOOKUP($A123,'Шаг2.Бланк заказа NEW'!$B$17:$N$201,11,0)="","",VLOOKUP($A123,'Шаг2.Бланк заказа NEW'!$B$17:$N$201,11,0)),
"Нет")</f>
        <v/>
      </c>
      <c r="O123" s="147" t="str">
        <f ca="1">IFERROR(IF(VLOOKUP($A123,'Шаг2.Бланк заказа NEW'!$B$17:$N$201,11,0)="","",VLOOKUP($A123,'Шаг2.Бланк заказа NEW'!$B$17:$N$201,12,0)),
"Нет")</f>
        <v/>
      </c>
      <c r="P123" s="153" t="str">
        <f ca="1">IFERROR(IF(VLOOKUP($A123,'Шаг2.Бланк заказа NEW'!$B$17:$N$201,13,0)="","",VLOOKUP($A123,'Шаг2.Бланк заказа NEW'!$B$17:$N$201,13,0)),
"Нет")</f>
        <v/>
      </c>
      <c r="Q123" s="147" t="str">
        <f ca="1">IFERROR(IF(VLOOKUP($A123,'Шаг2.Бланк заказа NEW'!$B$17:$O$201,14,0)="","",VLOOKUP($A123,'Шаг2.Бланк заказа NEW'!$B$17:$O$201,14,0)),"")</f>
        <v/>
      </c>
      <c r="R123" s="147" t="str">
        <f ca="1">IFERROR(IFERROR(IF(VLOOKUP($A123,'Шаг2.Бланк заказа NEW'!$B$17:$N$201,4,0)="","",VLOOKUP($A123,'Шаг2.Бланк заказа NEW'!$B$17:$N$201,4,0)),
IF(VLOOKUP($A123-COUNT('Шаг2.Бланк заказа NEW'!$B$19:$B$201),'Бланк OLD 0.8 04'!$B$12:$K$200,4,0)&gt;0,0.8,
IF(VLOOKUP($A123-COUNT('Шаг2.Бланк заказа NEW'!$B$19:$B$201),'Бланк OLD 0.8 04'!$B$12:$K$200,5,0)&gt;0,0.4,""))),
IF(VLOOKUP($A123-COUNT('Шаг2.Бланк заказа NEW'!$B$19:$B$201)-COUNT('Бланк OLD 0.8 04'!$B$18:$B$200),'Бланк OLD 2.0 04 '!$B$16:$K$200,4,0)&gt;0,2,IF(VLOOKUP($A123-COUNT('Шаг2.Бланк заказа NEW'!$B$19:$B$201)-COUNT('Бланк OLD 0.8 04'!$B$18:$B$200),'Бланк OLD 2.0 04 '!$B$16:$K$200,5,0)&gt;0,0.4,"")))</f>
        <v/>
      </c>
      <c r="S123" s="147" t="str">
        <f ca="1">IFERROR(IFERROR(IF(VLOOKUP($A123,'Шаг2.Бланк заказа NEW'!$B$17:$N$201,5,0)="","",VLOOKUP($A123,'Шаг2.Бланк заказа NEW'!$B$17:$N$201,5,0)),
IF(VLOOKUP($A123-COUNT('Шаг2.Бланк заказа NEW'!$B$19:$B$201),'Бланк OLD 0.8 04'!$B$12:$K$200,4,0)&gt;1,0.8,
IF(VLOOKUP($A123-COUNT('Шаг2.Бланк заказа NEW'!$B$19:$B$201),'Бланк OLD 0.8 04'!$B$12:$K$200,5,0)&gt;1,0.4,
IF(AND(VLOOKUP($A123-COUNT('Шаг2.Бланк заказа NEW'!$B$19:$B$201),'Бланк OLD 0.8 04'!$B$12:$K$200,4,0)&gt;0,VLOOKUP($A123-COUNT('Шаг2.Бланк заказа NEW'!$B$19:$B$201),'Бланк OLD 0.8 04'!$B$12:$K$200,5,0)&gt;0),0.4,"")))),
IF(VLOOKUP($A123-COUNT('Шаг2.Бланк заказа NEW'!$B$19:$B$201)-COUNT('Бланк OLD 0.8 04'!$B$18:$B$200),'Бланк OLD 2.0 04 '!$B$16:$K$200,4,0)&gt;1,2,
IF(VLOOKUP($A123-COUNT('Шаг2.Бланк заказа NEW'!$B$19:$B$201)-COUNT('Бланк OLD 0.8 04'!$B$18:$B$200),'Бланк OLD 2.0 04 '!$B$16:$K$200,5,0)&gt;1,0.4,IF(AND(VLOOKUP($A123-COUNT('Шаг2.Бланк заказа NEW'!$B$19:$B$201)-COUNT('Бланк OLD 0.8 04'!$B$18:$B$200),'Бланк OLD 2.0 04 '!$B$16:$K$200,4,0)&gt;0,VLOOKUP($A123-COUNT('Шаг2.Бланк заказа NEW'!$B$19:$B$201)-COUNT('Бланк OLD 0.8 04'!$B$18:$B$200),'Бланк OLD 2.0 04 '!$B$16:$K$200,5,0)&gt;0),0.4,""))))</f>
        <v/>
      </c>
      <c r="T123" s="147" t="str">
        <f ca="1">IFERROR(IFERROR(IF(VLOOKUP($A123,'Шаг2.Бланк заказа NEW'!$B$17:$N$201,7,0)="","",VLOOKUP($A123,'Шаг2.Бланк заказа NEW'!$B$17:$N$201,7,0)),
IF(VLOOKUP($A123-COUNT('Шаг2.Бланк заказа NEW'!$B$19:$B$201),'Бланк OLD 0.8 04'!$B$12:$K$200,7,0)&gt;0,0.8,
IF(VLOOKUP($A123-COUNT('Шаг2.Бланк заказа NEW'!$B$19:$B$201),'Бланк OLD 0.8 04'!$B$12:$K$200,8,0)&gt;0,0.4,""))),
IF(VLOOKUP($A123-COUNT('Шаг2.Бланк заказа NEW'!$B$19:$B$201)-COUNT('Бланк OLD 0.8 04'!$B$18:$B$200),'Бланк OLD 2.0 04 '!$B$16:$K$200,7,0)&gt;0,2,IF(VLOOKUP($A123-COUNT('Шаг2.Бланк заказа NEW'!$B$19:$B$201)-COUNT('Бланк OLD 0.8 04'!$B$18:$B$200),'Бланк OLD 2.0 04 '!$B$16:$K$200,8,0)&gt;0,0.4,"")))</f>
        <v/>
      </c>
      <c r="U123" s="147" t="str">
        <f ca="1">IFERROR(IFERROR(IF(VLOOKUP($A123,'Шаг2.Бланк заказа NEW'!$B$17:$N$201,8,0)="","",VLOOKUP($A123,'Шаг2.Бланк заказа NEW'!$B$17:$N$201,8,0)),
IF(VLOOKUP($A123-COUNT('Шаг2.Бланк заказа NEW'!$B$19:$B$201),'Бланк OLD 0.8 04'!$B$12:$K$200,7,0)&gt;1,0.8,
IF(VLOOKUP($A123-COUNT('Шаг2.Бланк заказа NEW'!$B$19:$B$201),'Бланк OLD 0.8 04'!$B$12:$K$200,8,0)&gt;1,0.4,
IF(AND(VLOOKUP($A123-COUNT('Шаг2.Бланк заказа NEW'!$B$19:$B$201),'Бланк OLD 0.8 04'!$B$12:$K$200,7,0)&gt;0,VLOOKUP($A123-COUNT('Шаг2.Бланк заказа NEW'!$B$19:$B$201),'Бланк OLD 0.8 04'!$B$12:$K$200,8,0)&gt;0),0.4,"")))),
IF(VLOOKUP($A123-COUNT('Шаг2.Бланк заказа NEW'!$B$19:$B$201)-COUNT('Бланк OLD 0.8 04'!$B$18:$B$200),'Бланк OLD 2.0 04 '!$B$16:$K$200,7,0)&gt;1,2,
IF(VLOOKUP($A123-COUNT('Шаг2.Бланк заказа NEW'!$B$19:$B$201)-COUNT('Бланк OLD 0.8 04'!$B$18:$B$200),'Бланк OLD 2.0 04 '!$B$16:$K$200,8,0)&gt;1,0.4,
IF(AND(VLOOKUP($A123-COUNT('Шаг2.Бланк заказа NEW'!$B$19:$B$201)-COUNT('Бланк OLD 0.8 04'!$B$18:$B$200),'Бланк OLD 2.0 04 '!$B$16:$K$200,7,0)&gt;0,VLOOKUP($A123-COUNT('Шаг2.Бланк заказа NEW'!$B$19:$B$201)-COUNT('Бланк OLD 0.8 04'!$B$18:$B$200),'Бланк OLD 2.0 04 '!$B$16:$K$200,8,0)&gt;0),0.4,""))))</f>
        <v/>
      </c>
      <c r="V123" s="146" t="str">
        <f ca="1">IFERROR(VLOOKUP(C123,'Шаг1.Выбор плиты'!C:S,12,0),"")</f>
        <v/>
      </c>
      <c r="W123" s="146" t="str">
        <f ca="1">IFERROR(VLOOKUP(C123,'Шаг1.Выбор плиты'!C:S,8,0),"")</f>
        <v/>
      </c>
      <c r="X123" s="146" t="str">
        <f ca="1">IFERROR(VLOOKUP(C123,'Шаг1.Выбор плиты'!C:S,10,0),"")</f>
        <v/>
      </c>
      <c r="Y123" s="147" t="str">
        <f t="shared" ca="1" si="8"/>
        <v/>
      </c>
      <c r="AD123" s="147" t="str">
        <f t="shared" ca="1" si="11"/>
        <v/>
      </c>
      <c r="AE123" s="147" t="str">
        <f t="shared" ca="1" si="9"/>
        <v/>
      </c>
      <c r="AF123" s="25"/>
      <c r="AH123" s="147" t="str">
        <f ca="1">IF(C123="","",VLOOKUP(C123,'Шаг1.Выбор плиты'!C:Q,7,0))</f>
        <v/>
      </c>
      <c r="AI123" s="147" t="str">
        <f t="shared" ca="1" si="12"/>
        <v/>
      </c>
    </row>
    <row r="124" spans="1:35" x14ac:dyDescent="0.2">
      <c r="A124" s="151" t="str">
        <f ca="1">IF(C124="","",MAX($A$1:OFFSET(C124,-1,0))+1)</f>
        <v/>
      </c>
      <c r="B124" s="151" t="str">
        <f ca="1">IFERROR(IFERROR(IFERROR("Шаг2.Бланк заказа NEW №"&amp;VLOOKUP(A123+1,CHOOSE({1,2},'Шаг2.Бланк заказа NEW'!$B$19:$B$201,'Шаг2.Бланк заказа NEW'!$A$19:$A$201),1,0),
"Бланк OLD 0.8 04 №"&amp;VLOOKUP(A123+1-COUNT('Шаг2.Бланк заказа NEW'!$B$19:$B$201),CHOOSE({1,2},'Бланк OLD 0.8 04'!$B$18:$B$200,'Бланк OLD 0.8 04'!$A$18:$A$200),1,0)),
"Бланк OLD 2.0 04 №"&amp;VLOOKUP(A123+1-COUNT('Шаг2.Бланк заказа NEW'!$B$19:$B$201)-COUNT('Бланк OLD 0.8 04'!$B$18:$B$200),CHOOSE({1,2},'Бланк OLD 2.0 04 '!$B$18:$B$200,'Бланк OLD 2.0 04 '!$A$18:$A$200),1,0)),"")</f>
        <v/>
      </c>
      <c r="C124" s="152" t="str">
        <f ca="1">IFERROR(IFERROR(IFERROR(VLOOKUP(A123+1,CHOOSE({1,2},'Шаг2.Бланк заказа NEW'!$B$19:$B$201,'Шаг2.Бланк заказа NEW'!$A$19:$A$201),2,0),
VLOOKUP(A123+1-COUNT('Шаг2.Бланк заказа NEW'!$B$19:$B$201),CHOOSE({1,2},'Бланк OLD 0.8 04'!$B$18:$B$200,'Бланк OLD 0.8 04'!$A$18:$A$200),2,0)),
VLOOKUP(A123+1-COUNT('Шаг2.Бланк заказа NEW'!$B$19:$B$201)-COUNT('Бланк OLD 0.8 04'!$B$18:$B$200),CHOOSE({1,2},'Бланк OLD 2.0 04 '!$B$18:$B$200,'Бланк OLD 2.0 04 '!$A$18:$A$200),2,0)),"")</f>
        <v/>
      </c>
      <c r="D124" s="150" t="str">
        <f ca="1">IFERROR(VLOOKUP(C124,'Шаг1.Выбор плиты'!C:G,5,0),"")</f>
        <v/>
      </c>
      <c r="E124" s="147" t="str">
        <f ca="1">IFERROR(IFERROR(IF(VLOOKUP($A124,'Шаг2.Бланк заказа NEW'!$B$17:$N$201,2,0)="","",VLOOKUP($A124,'Шаг2.Бланк заказа NEW'!$B$17:$N$201,2,0)),
IF(VLOOKUP($A124-COUNT('Шаг2.Бланк заказа NEW'!$B$19:$B$201),'Бланк OLD 0.8 04'!$B$12:$K$200,2,0)="","",VLOOKUP($A124-COUNT('Шаг2.Бланк заказа NEW'!$B$19:$B$201),'Бланк OLD 0.8 04'!$B$12:$K$200,2,0))),
IF(VLOOKUP($A124-COUNT('Шаг2.Бланк заказа NEW'!$B$19:$B$201)-COUNT('Бланк OLD 0.8 04'!$B$18:$B$200),'Бланк OLD 2.0 04 '!$B$16:$K$200,2,0)="","",VLOOKUP($A124-COUNT('Шаг2.Бланк заказа NEW'!$B$19:$B$201)-COUNT('Бланк OLD 0.8 04'!$B$18:$B$200),'Бланк OLD 2.0 04 '!$B$16:$K$200,2,0)))</f>
        <v/>
      </c>
      <c r="F124" s="147" t="str">
        <f ca="1">IFERROR(IFERROR(IF(VLOOKUP($A124,'Шаг2.Бланк заказа NEW'!$B$17:$N$201,3,0)="","",VLOOKUP($A124,'Шаг2.Бланк заказа NEW'!$B$17:$N$201,3,0)),
IF(VLOOKUP($A124-COUNT('Шаг2.Бланк заказа NEW'!$B$19:$B$201),'Бланк OLD 0.8 04'!$B$12:$K$200,3,0)="","",VLOOKUP($A124-COUNT('Шаг2.Бланк заказа NEW'!$B$19:$B$201),'Бланк OLD 0.8 04'!$B$12:$K$200,3,0))),
IF(VLOOKUP($A124-COUNT('Шаг2.Бланк заказа NEW'!$B$19:$B$201)-COUNT('Бланк OLD 0.8 04'!$B$18:$B$200),'Бланк OLD 2.0 04 '!$B$16:$K$200,3,0)="","",VLOOKUP($A124-COUNT('Шаг2.Бланк заказа NEW'!$B$19:$B$201)-COUNT('Бланк OLD 0.8 04'!$B$18:$B$200),'Бланк OLD 2.0 04 '!$B$16:$K$200,3,0)))</f>
        <v/>
      </c>
      <c r="G124" s="176" t="str">
        <f ca="1">IF(IF(R124="","",IF(R124=1,SUMIFS('Шаг1.Выбор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плиты'!C:Q,12,0)),1))))))=0,
R124,
IF(R124="","",IF(R124=1,SUMIFS('Шаг1.Выбор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плиты'!N:N,R124,'Шаг1.Выбор плиты'!M:M,SMALL(INDIRECT("мм"&amp;VLOOKUP(C124,'Шаг1.Выбор плиты'!C:Q,12,0)),1)))))))</f>
        <v/>
      </c>
      <c r="H124" s="177" t="str">
        <f ca="1">IF(IF(S124="","",IF(S124=1,SUMIFS('Шаг1.Выбор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плиты'!C:Q,12,0)),1))))))=0,
S124,
IF(S124="","",IF(S124=1,SUMIFS('Шаг1.Выбор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плиты'!N:N,S124,'Шаг1.Выбор плиты'!M:M,SMALL(INDIRECT("мм"&amp;VLOOKUP(C124,'Шаг1.Выбор плиты'!C:Q,12,0)),1)))))))</f>
        <v/>
      </c>
      <c r="I124" s="147" t="str">
        <f ca="1">IFERROR(IFERROR(IF(VLOOKUP($A124,'Шаг2.Бланк заказа NEW'!$B$17:$N$201,6,0)="","",VLOOKUP($A124,'Шаг2.Бланк заказа NEW'!$B$17:$N$201,6,0)),
IF(VLOOKUP($A124-COUNT('Шаг2.Бланк заказа NEW'!$B$19:$B$201),'Бланк OLD 0.8 04'!$B$12:$K$200,6,0)="","",VLOOKUP($A124-COUNT('Шаг2.Бланк заказа NEW'!$B$19:$B$201),'Бланк OLD 0.8 04'!$B$12:$K$200,6,0))),
IF(VLOOKUP($A124-COUNT('Шаг2.Бланк заказа NEW'!$B$19:$B$201)-COUNT('Бланк OLD 0.8 04'!$B$18:$B$200),'Бланк OLD 2.0 04 '!$B$16:$K$200,6,0)="","",VLOOKUP($A124-COUNT('Шаг2.Бланк заказа NEW'!$B$19:$B$201)-COUNT('Бланк OLD 0.8 04'!$B$18:$B$200),'Бланк OLD 2.0 04 '!$B$16:$K$200,6,0)))</f>
        <v/>
      </c>
      <c r="J124" s="177" t="str">
        <f ca="1">IF(IF(T124="","",IF(T124=1,SUMIFS('Шаг1.Выбор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плиты'!C:Q,12,0)),1))))))=0,
T124,
IF(T124="","",IF(T124=1,SUMIFS('Шаг1.Выбор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плиты'!N:N,T124,'Шаг1.Выбор плиты'!M:M,SMALL(INDIRECT("мм"&amp;VLOOKUP(C124,'Шаг1.Выбор плиты'!C:Q,12,0)),1)))))))</f>
        <v/>
      </c>
      <c r="K124" s="177" t="str">
        <f ca="1">IF(IF(U124="","",IF(U124=1,SUMIFS('Шаг1.Выбор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плиты'!C:Q,12,0)),1))))))=0,
U124,
IF(U124="","",IF(U124=1,SUMIFS('Шаг1.Выбор плиты'!$G:$G,'Шаг1.Выбор плиты'!J:J,"*"&amp;RIGHT(VLOOKUP(C124,'Шаг1.Выбор плиты'!C:Q,8,0),4),'Шаг1.Выбор плиты'!L:L,IF(MID(C124,1,6)="ЛДСП P","TM"&amp;MID(VLOOKUP(C124,'Шаг1.Выбор плиты'!C:Q,10,0),3,2),MID(VLOOKUP(C124,'Шаг1.Выбор плиты'!C:Q,10,0),1,2)),
'Шаг1.Выбор плиты'!N:N,1),IF(SUMIFS('Шаг1.Выбор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плиты'!C:Q,12,0)),1))=0,
IF(SUMIFS('Шаг1.Выбор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плиты'!C:Q,12,0)),2))=0,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плиты'!C:Q,12,0)),3)),
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плиты'!C:Q,12,0)),2))),
(SUMIFS('Шаг1.Выбор плиты'!$G:$G,'Шаг1.Выбор плиты'!J:J,"*"&amp;RIGHT(VLOOKUP(C124,'Шаг1.Выбор плиты'!C:Q,8,0),4),'Шаг1.Выбор плиты'!L:L,VLOOKUP(C124,'Шаг1.Выбор плиты'!C:Q,10,0),'Шаг1.Выбор плиты'!N:N,U124,'Шаг1.Выбор плиты'!M:M,SMALL(INDIRECT("мм"&amp;VLOOKUP(C124,'Шаг1.Выбор плиты'!C:Q,12,0)),1)))))))</f>
        <v/>
      </c>
      <c r="L124" s="147" t="str">
        <f ca="1">IFERROR(IFERROR(IF(VLOOKUP($A124,'Шаг2.Бланк заказа NEW'!$B$17:$N$201,9,0)="","",VLOOKUP($A124,'Шаг2.Бланк заказа NEW'!$B$17:$N$201,9,0)),
IF(VLOOKUP($A124-COUNT('Шаг2.Бланк заказа NEW'!$B$19:$B$201),'Бланк OLD 0.8 04'!$B$12:$K$200,9,0)="","",VLOOKUP($A124-COUNT('Шаг2.Бланк заказа NEW'!$B$19:$B$201),'Бланк OLD 0.8 04'!$B$12:$K$200,9,0))),
IF(VLOOKUP($A124-COUNT('Шаг2.Бланк заказа NEW'!$B$19:$B$201)-COUNT('Бланк OLD 0.8 04'!$B$18:$B$200),'Бланк OLD 2.0 04 '!$B$16:$K$200,9,0)="","",VLOOKUP($A124-COUNT('Шаг2.Бланк заказа NEW'!$B$19:$B$201)-COUNT('Бланк OLD 0.8 04'!$B$18:$B$200),'Бланк OLD 2.0 04 '!$B$16:$K$200,9,0)))</f>
        <v/>
      </c>
      <c r="M124" s="154" t="str">
        <f t="shared" ca="1" si="10"/>
        <v/>
      </c>
      <c r="N124" s="153" t="str">
        <f ca="1">IFERROR(IF(VLOOKUP($A124,'Шаг2.Бланк заказа NEW'!$B$17:$N$201,11,0)="","",VLOOKUP($A124,'Шаг2.Бланк заказа NEW'!$B$17:$N$201,11,0)),
"Нет")</f>
        <v/>
      </c>
      <c r="O124" s="147" t="str">
        <f ca="1">IFERROR(IF(VLOOKUP($A124,'Шаг2.Бланк заказа NEW'!$B$17:$N$201,11,0)="","",VLOOKUP($A124,'Шаг2.Бланк заказа NEW'!$B$17:$N$201,12,0)),
"Нет")</f>
        <v/>
      </c>
      <c r="P124" s="153" t="str">
        <f ca="1">IFERROR(IF(VLOOKUP($A124,'Шаг2.Бланк заказа NEW'!$B$17:$N$201,13,0)="","",VLOOKUP($A124,'Шаг2.Бланк заказа NEW'!$B$17:$N$201,13,0)),
"Нет")</f>
        <v/>
      </c>
      <c r="Q124" s="147" t="str">
        <f ca="1">IFERROR(IF(VLOOKUP($A124,'Шаг2.Бланк заказа NEW'!$B$17:$O$201,14,0)="","",VLOOKUP($A124,'Шаг2.Бланк заказа NEW'!$B$17:$O$201,14,0)),"")</f>
        <v/>
      </c>
      <c r="R124" s="147" t="str">
        <f ca="1">IFERROR(IFERROR(IF(VLOOKUP($A124,'Шаг2.Бланк заказа NEW'!$B$17:$N$201,4,0)="","",VLOOKUP($A124,'Шаг2.Бланк заказа NEW'!$B$17:$N$201,4,0)),
IF(VLOOKUP($A124-COUNT('Шаг2.Бланк заказа NEW'!$B$19:$B$201),'Бланк OLD 0.8 04'!$B$12:$K$200,4,0)&gt;0,0.8,
IF(VLOOKUP($A124-COUNT('Шаг2.Бланк заказа NEW'!$B$19:$B$201),'Бланк OLD 0.8 04'!$B$12:$K$200,5,0)&gt;0,0.4,""))),
IF(VLOOKUP($A124-COUNT('Шаг2.Бланк заказа NEW'!$B$19:$B$201)-COUNT('Бланк OLD 0.8 04'!$B$18:$B$200),'Бланк OLD 2.0 04 '!$B$16:$K$200,4,0)&gt;0,2,IF(VLOOKUP($A124-COUNT('Шаг2.Бланк заказа NEW'!$B$19:$B$201)-COUNT('Бланк OLD 0.8 04'!$B$18:$B$200),'Бланк OLD 2.0 04 '!$B$16:$K$200,5,0)&gt;0,0.4,"")))</f>
        <v/>
      </c>
      <c r="S124" s="147" t="str">
        <f ca="1">IFERROR(IFERROR(IF(VLOOKUP($A124,'Шаг2.Бланк заказа NEW'!$B$17:$N$201,5,0)="","",VLOOKUP($A124,'Шаг2.Бланк заказа NEW'!$B$17:$N$201,5,0)),
IF(VLOOKUP($A124-COUNT('Шаг2.Бланк заказа NEW'!$B$19:$B$201),'Бланк OLD 0.8 04'!$B$12:$K$200,4,0)&gt;1,0.8,
IF(VLOOKUP($A124-COUNT('Шаг2.Бланк заказа NEW'!$B$19:$B$201),'Бланк OLD 0.8 04'!$B$12:$K$200,5,0)&gt;1,0.4,
IF(AND(VLOOKUP($A124-COUNT('Шаг2.Бланк заказа NEW'!$B$19:$B$201),'Бланк OLD 0.8 04'!$B$12:$K$200,4,0)&gt;0,VLOOKUP($A124-COUNT('Шаг2.Бланк заказа NEW'!$B$19:$B$201),'Бланк OLD 0.8 04'!$B$12:$K$200,5,0)&gt;0),0.4,"")))),
IF(VLOOKUP($A124-COUNT('Шаг2.Бланк заказа NEW'!$B$19:$B$201)-COUNT('Бланк OLD 0.8 04'!$B$18:$B$200),'Бланк OLD 2.0 04 '!$B$16:$K$200,4,0)&gt;1,2,
IF(VLOOKUP($A124-COUNT('Шаг2.Бланк заказа NEW'!$B$19:$B$201)-COUNT('Бланк OLD 0.8 04'!$B$18:$B$200),'Бланк OLD 2.0 04 '!$B$16:$K$200,5,0)&gt;1,0.4,IF(AND(VLOOKUP($A124-COUNT('Шаг2.Бланк заказа NEW'!$B$19:$B$201)-COUNT('Бланк OLD 0.8 04'!$B$18:$B$200),'Бланк OLD 2.0 04 '!$B$16:$K$200,4,0)&gt;0,VLOOKUP($A124-COUNT('Шаг2.Бланк заказа NEW'!$B$19:$B$201)-COUNT('Бланк OLD 0.8 04'!$B$18:$B$200),'Бланк OLD 2.0 04 '!$B$16:$K$200,5,0)&gt;0),0.4,""))))</f>
        <v/>
      </c>
      <c r="T124" s="147" t="str">
        <f ca="1">IFERROR(IFERROR(IF(VLOOKUP($A124,'Шаг2.Бланк заказа NEW'!$B$17:$N$201,7,0)="","",VLOOKUP($A124,'Шаг2.Бланк заказа NEW'!$B$17:$N$201,7,0)),
IF(VLOOKUP($A124-COUNT('Шаг2.Бланк заказа NEW'!$B$19:$B$201),'Бланк OLD 0.8 04'!$B$12:$K$200,7,0)&gt;0,0.8,
IF(VLOOKUP($A124-COUNT('Шаг2.Бланк заказа NEW'!$B$19:$B$201),'Бланк OLD 0.8 04'!$B$12:$K$200,8,0)&gt;0,0.4,""))),
IF(VLOOKUP($A124-COUNT('Шаг2.Бланк заказа NEW'!$B$19:$B$201)-COUNT('Бланк OLD 0.8 04'!$B$18:$B$200),'Бланк OLD 2.0 04 '!$B$16:$K$200,7,0)&gt;0,2,IF(VLOOKUP($A124-COUNT('Шаг2.Бланк заказа NEW'!$B$19:$B$201)-COUNT('Бланк OLD 0.8 04'!$B$18:$B$200),'Бланк OLD 2.0 04 '!$B$16:$K$200,8,0)&gt;0,0.4,"")))</f>
        <v/>
      </c>
      <c r="U124" s="147" t="str">
        <f ca="1">IFERROR(IFERROR(IF(VLOOKUP($A124,'Шаг2.Бланк заказа NEW'!$B$17:$N$201,8,0)="","",VLOOKUP($A124,'Шаг2.Бланк заказа NEW'!$B$17:$N$201,8,0)),
IF(VLOOKUP($A124-COUNT('Шаг2.Бланк заказа NEW'!$B$19:$B$201),'Бланк OLD 0.8 04'!$B$12:$K$200,7,0)&gt;1,0.8,
IF(VLOOKUP($A124-COUNT('Шаг2.Бланк заказа NEW'!$B$19:$B$201),'Бланк OLD 0.8 04'!$B$12:$K$200,8,0)&gt;1,0.4,
IF(AND(VLOOKUP($A124-COUNT('Шаг2.Бланк заказа NEW'!$B$19:$B$201),'Бланк OLD 0.8 04'!$B$12:$K$200,7,0)&gt;0,VLOOKUP($A124-COUNT('Шаг2.Бланк заказа NEW'!$B$19:$B$201),'Бланк OLD 0.8 04'!$B$12:$K$200,8,0)&gt;0),0.4,"")))),
IF(VLOOKUP($A124-COUNT('Шаг2.Бланк заказа NEW'!$B$19:$B$201)-COUNT('Бланк OLD 0.8 04'!$B$18:$B$200),'Бланк OLD 2.0 04 '!$B$16:$K$200,7,0)&gt;1,2,
IF(VLOOKUP($A124-COUNT('Шаг2.Бланк заказа NEW'!$B$19:$B$201)-COUNT('Бланк OLD 0.8 04'!$B$18:$B$200),'Бланк OLD 2.0 04 '!$B$16:$K$200,8,0)&gt;1,0.4,
IF(AND(VLOOKUP($A124-COUNT('Шаг2.Бланк заказа NEW'!$B$19:$B$201)-COUNT('Бланк OLD 0.8 04'!$B$18:$B$200),'Бланк OLD 2.0 04 '!$B$16:$K$200,7,0)&gt;0,VLOOKUP($A124-COUNT('Шаг2.Бланк заказа NEW'!$B$19:$B$201)-COUNT('Бланк OLD 0.8 04'!$B$18:$B$200),'Бланк OLD 2.0 04 '!$B$16:$K$200,8,0)&gt;0),0.4,""))))</f>
        <v/>
      </c>
      <c r="V124" s="146" t="str">
        <f ca="1">IFERROR(VLOOKUP(C124,'Шаг1.Выбор плиты'!C:S,12,0),"")</f>
        <v/>
      </c>
      <c r="W124" s="146" t="str">
        <f ca="1">IFERROR(VLOOKUP(C124,'Шаг1.Выбор плиты'!C:S,8,0),"")</f>
        <v/>
      </c>
      <c r="X124" s="146" t="str">
        <f ca="1">IFERROR(VLOOKUP(C124,'Шаг1.Выбор плиты'!C:S,10,0),"")</f>
        <v/>
      </c>
      <c r="Y124" s="147" t="str">
        <f t="shared" ca="1" si="8"/>
        <v/>
      </c>
      <c r="AD124" s="147" t="str">
        <f t="shared" ca="1" si="11"/>
        <v/>
      </c>
      <c r="AE124" s="147" t="str">
        <f t="shared" ca="1" si="9"/>
        <v/>
      </c>
      <c r="AF124" s="25"/>
      <c r="AH124" s="147" t="str">
        <f ca="1">IF(C124="","",VLOOKUP(C124,'Шаг1.Выбор плиты'!C:Q,7,0))</f>
        <v/>
      </c>
      <c r="AI124" s="147" t="str">
        <f t="shared" ca="1" si="12"/>
        <v/>
      </c>
    </row>
    <row r="125" spans="1:35" x14ac:dyDescent="0.2">
      <c r="A125" s="151" t="str">
        <f ca="1">IF(C125="","",MAX($A$1:OFFSET(C125,-1,0))+1)</f>
        <v/>
      </c>
      <c r="B125" s="151" t="str">
        <f ca="1">IFERROR(IFERROR(IFERROR("Шаг2.Бланк заказа NEW №"&amp;VLOOKUP(A124+1,CHOOSE({1,2},'Шаг2.Бланк заказа NEW'!$B$19:$B$201,'Шаг2.Бланк заказа NEW'!$A$19:$A$201),1,0),
"Бланк OLD 0.8 04 №"&amp;VLOOKUP(A124+1-COUNT('Шаг2.Бланк заказа NEW'!$B$19:$B$201),CHOOSE({1,2},'Бланк OLD 0.8 04'!$B$18:$B$200,'Бланк OLD 0.8 04'!$A$18:$A$200),1,0)),
"Бланк OLD 2.0 04 №"&amp;VLOOKUP(A124+1-COUNT('Шаг2.Бланк заказа NEW'!$B$19:$B$201)-COUNT('Бланк OLD 0.8 04'!$B$18:$B$200),CHOOSE({1,2},'Бланк OLD 2.0 04 '!$B$18:$B$200,'Бланк OLD 2.0 04 '!$A$18:$A$200),1,0)),"")</f>
        <v/>
      </c>
      <c r="C125" s="152" t="str">
        <f ca="1">IFERROR(IFERROR(IFERROR(VLOOKUP(A124+1,CHOOSE({1,2},'Шаг2.Бланк заказа NEW'!$B$19:$B$201,'Шаг2.Бланк заказа NEW'!$A$19:$A$201),2,0),
VLOOKUP(A124+1-COUNT('Шаг2.Бланк заказа NEW'!$B$19:$B$201),CHOOSE({1,2},'Бланк OLD 0.8 04'!$B$18:$B$200,'Бланк OLD 0.8 04'!$A$18:$A$200),2,0)),
VLOOKUP(A124+1-COUNT('Шаг2.Бланк заказа NEW'!$B$19:$B$201)-COUNT('Бланк OLD 0.8 04'!$B$18:$B$200),CHOOSE({1,2},'Бланк OLD 2.0 04 '!$B$18:$B$200,'Бланк OLD 2.0 04 '!$A$18:$A$200),2,0)),"")</f>
        <v/>
      </c>
      <c r="D125" s="150" t="str">
        <f ca="1">IFERROR(VLOOKUP(C125,'Шаг1.Выбор плиты'!C:G,5,0),"")</f>
        <v/>
      </c>
      <c r="E125" s="147" t="str">
        <f ca="1">IFERROR(IFERROR(IF(VLOOKUP($A125,'Шаг2.Бланк заказа NEW'!$B$17:$N$201,2,0)="","",VLOOKUP($A125,'Шаг2.Бланк заказа NEW'!$B$17:$N$201,2,0)),
IF(VLOOKUP($A125-COUNT('Шаг2.Бланк заказа NEW'!$B$19:$B$201),'Бланк OLD 0.8 04'!$B$12:$K$200,2,0)="","",VLOOKUP($A125-COUNT('Шаг2.Бланк заказа NEW'!$B$19:$B$201),'Бланк OLD 0.8 04'!$B$12:$K$200,2,0))),
IF(VLOOKUP($A125-COUNT('Шаг2.Бланк заказа NEW'!$B$19:$B$201)-COUNT('Бланк OLD 0.8 04'!$B$18:$B$200),'Бланк OLD 2.0 04 '!$B$16:$K$200,2,0)="","",VLOOKUP($A125-COUNT('Шаг2.Бланк заказа NEW'!$B$19:$B$201)-COUNT('Бланк OLD 0.8 04'!$B$18:$B$200),'Бланк OLD 2.0 04 '!$B$16:$K$200,2,0)))</f>
        <v/>
      </c>
      <c r="F125" s="147" t="str">
        <f ca="1">IFERROR(IFERROR(IF(VLOOKUP($A125,'Шаг2.Бланк заказа NEW'!$B$17:$N$201,3,0)="","",VLOOKUP($A125,'Шаг2.Бланк заказа NEW'!$B$17:$N$201,3,0)),
IF(VLOOKUP($A125-COUNT('Шаг2.Бланк заказа NEW'!$B$19:$B$201),'Бланк OLD 0.8 04'!$B$12:$K$200,3,0)="","",VLOOKUP($A125-COUNT('Шаг2.Бланк заказа NEW'!$B$19:$B$201),'Бланк OLD 0.8 04'!$B$12:$K$200,3,0))),
IF(VLOOKUP($A125-COUNT('Шаг2.Бланк заказа NEW'!$B$19:$B$201)-COUNT('Бланк OLD 0.8 04'!$B$18:$B$200),'Бланк OLD 2.0 04 '!$B$16:$K$200,3,0)="","",VLOOKUP($A125-COUNT('Шаг2.Бланк заказа NEW'!$B$19:$B$201)-COUNT('Бланк OLD 0.8 04'!$B$18:$B$200),'Бланк OLD 2.0 04 '!$B$16:$K$200,3,0)))</f>
        <v/>
      </c>
      <c r="G125" s="176" t="str">
        <f ca="1">IF(IF(R125="","",IF(R125=1,SUMIFS('Шаг1.Выбор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плиты'!C:Q,12,0)),1))))))=0,
R125,
IF(R125="","",IF(R125=1,SUMIFS('Шаг1.Выбор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плиты'!N:N,R125,'Шаг1.Выбор плиты'!M:M,SMALL(INDIRECT("мм"&amp;VLOOKUP(C125,'Шаг1.Выбор плиты'!C:Q,12,0)),1)))))))</f>
        <v/>
      </c>
      <c r="H125" s="177" t="str">
        <f ca="1">IF(IF(S125="","",IF(S125=1,SUMIFS('Шаг1.Выбор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плиты'!C:Q,12,0)),1))))))=0,
S125,
IF(S125="","",IF(S125=1,SUMIFS('Шаг1.Выбор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плиты'!N:N,S125,'Шаг1.Выбор плиты'!M:M,SMALL(INDIRECT("мм"&amp;VLOOKUP(C125,'Шаг1.Выбор плиты'!C:Q,12,0)),1)))))))</f>
        <v/>
      </c>
      <c r="I125" s="147" t="str">
        <f ca="1">IFERROR(IFERROR(IF(VLOOKUP($A125,'Шаг2.Бланк заказа NEW'!$B$17:$N$201,6,0)="","",VLOOKUP($A125,'Шаг2.Бланк заказа NEW'!$B$17:$N$201,6,0)),
IF(VLOOKUP($A125-COUNT('Шаг2.Бланк заказа NEW'!$B$19:$B$201),'Бланк OLD 0.8 04'!$B$12:$K$200,6,0)="","",VLOOKUP($A125-COUNT('Шаг2.Бланк заказа NEW'!$B$19:$B$201),'Бланк OLD 0.8 04'!$B$12:$K$200,6,0))),
IF(VLOOKUP($A125-COUNT('Шаг2.Бланк заказа NEW'!$B$19:$B$201)-COUNT('Бланк OLD 0.8 04'!$B$18:$B$200),'Бланк OLD 2.0 04 '!$B$16:$K$200,6,0)="","",VLOOKUP($A125-COUNT('Шаг2.Бланк заказа NEW'!$B$19:$B$201)-COUNT('Бланк OLD 0.8 04'!$B$18:$B$200),'Бланк OLD 2.0 04 '!$B$16:$K$200,6,0)))</f>
        <v/>
      </c>
      <c r="J125" s="177" t="str">
        <f ca="1">IF(IF(T125="","",IF(T125=1,SUMIFS('Шаг1.Выбор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плиты'!C:Q,12,0)),1))))))=0,
T125,
IF(T125="","",IF(T125=1,SUMIFS('Шаг1.Выбор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плиты'!N:N,T125,'Шаг1.Выбор плиты'!M:M,SMALL(INDIRECT("мм"&amp;VLOOKUP(C125,'Шаг1.Выбор плиты'!C:Q,12,0)),1)))))))</f>
        <v/>
      </c>
      <c r="K125" s="177" t="str">
        <f ca="1">IF(IF(U125="","",IF(U125=1,SUMIFS('Шаг1.Выбор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плиты'!C:Q,12,0)),1))))))=0,
U125,
IF(U125="","",IF(U125=1,SUMIFS('Шаг1.Выбор плиты'!$G:$G,'Шаг1.Выбор плиты'!J:J,"*"&amp;RIGHT(VLOOKUP(C125,'Шаг1.Выбор плиты'!C:Q,8,0),4),'Шаг1.Выбор плиты'!L:L,IF(MID(C125,1,6)="ЛДСП P","TM"&amp;MID(VLOOKUP(C125,'Шаг1.Выбор плиты'!C:Q,10,0),3,2),MID(VLOOKUP(C125,'Шаг1.Выбор плиты'!C:Q,10,0),1,2)),
'Шаг1.Выбор плиты'!N:N,1),IF(SUMIFS('Шаг1.Выбор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плиты'!C:Q,12,0)),1))=0,
IF(SUMIFS('Шаг1.Выбор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плиты'!C:Q,12,0)),2))=0,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плиты'!C:Q,12,0)),3)),
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плиты'!C:Q,12,0)),2))),
(SUMIFS('Шаг1.Выбор плиты'!$G:$G,'Шаг1.Выбор плиты'!J:J,"*"&amp;RIGHT(VLOOKUP(C125,'Шаг1.Выбор плиты'!C:Q,8,0),4),'Шаг1.Выбор плиты'!L:L,VLOOKUP(C125,'Шаг1.Выбор плиты'!C:Q,10,0),'Шаг1.Выбор плиты'!N:N,U125,'Шаг1.Выбор плиты'!M:M,SMALL(INDIRECT("мм"&amp;VLOOKUP(C125,'Шаг1.Выбор плиты'!C:Q,12,0)),1)))))))</f>
        <v/>
      </c>
      <c r="L125" s="147" t="str">
        <f ca="1">IFERROR(IFERROR(IF(VLOOKUP($A125,'Шаг2.Бланк заказа NEW'!$B$17:$N$201,9,0)="","",VLOOKUP($A125,'Шаг2.Бланк заказа NEW'!$B$17:$N$201,9,0)),
IF(VLOOKUP($A125-COUNT('Шаг2.Бланк заказа NEW'!$B$19:$B$201),'Бланк OLD 0.8 04'!$B$12:$K$200,9,0)="","",VLOOKUP($A125-COUNT('Шаг2.Бланк заказа NEW'!$B$19:$B$201),'Бланк OLD 0.8 04'!$B$12:$K$200,9,0))),
IF(VLOOKUP($A125-COUNT('Шаг2.Бланк заказа NEW'!$B$19:$B$201)-COUNT('Бланк OLD 0.8 04'!$B$18:$B$200),'Бланк OLD 2.0 04 '!$B$16:$K$200,9,0)="","",VLOOKUP($A125-COUNT('Шаг2.Бланк заказа NEW'!$B$19:$B$201)-COUNT('Бланк OLD 0.8 04'!$B$18:$B$200),'Бланк OLD 2.0 04 '!$B$16:$K$200,9,0)))</f>
        <v/>
      </c>
      <c r="M125" s="154" t="str">
        <f t="shared" ca="1" si="10"/>
        <v/>
      </c>
      <c r="N125" s="153" t="str">
        <f ca="1">IFERROR(IF(VLOOKUP($A125,'Шаг2.Бланк заказа NEW'!$B$17:$N$201,11,0)="","",VLOOKUP($A125,'Шаг2.Бланк заказа NEW'!$B$17:$N$201,11,0)),
"Нет")</f>
        <v/>
      </c>
      <c r="O125" s="147" t="str">
        <f ca="1">IFERROR(IF(VLOOKUP($A125,'Шаг2.Бланк заказа NEW'!$B$17:$N$201,11,0)="","",VLOOKUP($A125,'Шаг2.Бланк заказа NEW'!$B$17:$N$201,12,0)),
"Нет")</f>
        <v/>
      </c>
      <c r="P125" s="153" t="str">
        <f ca="1">IFERROR(IF(VLOOKUP($A125,'Шаг2.Бланк заказа NEW'!$B$17:$N$201,13,0)="","",VLOOKUP($A125,'Шаг2.Бланк заказа NEW'!$B$17:$N$201,13,0)),
"Нет")</f>
        <v/>
      </c>
      <c r="Q125" s="147" t="str">
        <f ca="1">IFERROR(IF(VLOOKUP($A125,'Шаг2.Бланк заказа NEW'!$B$17:$O$201,14,0)="","",VLOOKUP($A125,'Шаг2.Бланк заказа NEW'!$B$17:$O$201,14,0)),"")</f>
        <v/>
      </c>
      <c r="R125" s="147" t="str">
        <f ca="1">IFERROR(IFERROR(IF(VLOOKUP($A125,'Шаг2.Бланк заказа NEW'!$B$17:$N$201,4,0)="","",VLOOKUP($A125,'Шаг2.Бланк заказа NEW'!$B$17:$N$201,4,0)),
IF(VLOOKUP($A125-COUNT('Шаг2.Бланк заказа NEW'!$B$19:$B$201),'Бланк OLD 0.8 04'!$B$12:$K$200,4,0)&gt;0,0.8,
IF(VLOOKUP($A125-COUNT('Шаг2.Бланк заказа NEW'!$B$19:$B$201),'Бланк OLD 0.8 04'!$B$12:$K$200,5,0)&gt;0,0.4,""))),
IF(VLOOKUP($A125-COUNT('Шаг2.Бланк заказа NEW'!$B$19:$B$201)-COUNT('Бланк OLD 0.8 04'!$B$18:$B$200),'Бланк OLD 2.0 04 '!$B$16:$K$200,4,0)&gt;0,2,IF(VLOOKUP($A125-COUNT('Шаг2.Бланк заказа NEW'!$B$19:$B$201)-COUNT('Бланк OLD 0.8 04'!$B$18:$B$200),'Бланк OLD 2.0 04 '!$B$16:$K$200,5,0)&gt;0,0.4,"")))</f>
        <v/>
      </c>
      <c r="S125" s="147" t="str">
        <f ca="1">IFERROR(IFERROR(IF(VLOOKUP($A125,'Шаг2.Бланк заказа NEW'!$B$17:$N$201,5,0)="","",VLOOKUP($A125,'Шаг2.Бланк заказа NEW'!$B$17:$N$201,5,0)),
IF(VLOOKUP($A125-COUNT('Шаг2.Бланк заказа NEW'!$B$19:$B$201),'Бланк OLD 0.8 04'!$B$12:$K$200,4,0)&gt;1,0.8,
IF(VLOOKUP($A125-COUNT('Шаг2.Бланк заказа NEW'!$B$19:$B$201),'Бланк OLD 0.8 04'!$B$12:$K$200,5,0)&gt;1,0.4,
IF(AND(VLOOKUP($A125-COUNT('Шаг2.Бланк заказа NEW'!$B$19:$B$201),'Бланк OLD 0.8 04'!$B$12:$K$200,4,0)&gt;0,VLOOKUP($A125-COUNT('Шаг2.Бланк заказа NEW'!$B$19:$B$201),'Бланк OLD 0.8 04'!$B$12:$K$200,5,0)&gt;0),0.4,"")))),
IF(VLOOKUP($A125-COUNT('Шаг2.Бланк заказа NEW'!$B$19:$B$201)-COUNT('Бланк OLD 0.8 04'!$B$18:$B$200),'Бланк OLD 2.0 04 '!$B$16:$K$200,4,0)&gt;1,2,
IF(VLOOKUP($A125-COUNT('Шаг2.Бланк заказа NEW'!$B$19:$B$201)-COUNT('Бланк OLD 0.8 04'!$B$18:$B$200),'Бланк OLD 2.0 04 '!$B$16:$K$200,5,0)&gt;1,0.4,IF(AND(VLOOKUP($A125-COUNT('Шаг2.Бланк заказа NEW'!$B$19:$B$201)-COUNT('Бланк OLD 0.8 04'!$B$18:$B$200),'Бланк OLD 2.0 04 '!$B$16:$K$200,4,0)&gt;0,VLOOKUP($A125-COUNT('Шаг2.Бланк заказа NEW'!$B$19:$B$201)-COUNT('Бланк OLD 0.8 04'!$B$18:$B$200),'Бланк OLD 2.0 04 '!$B$16:$K$200,5,0)&gt;0),0.4,""))))</f>
        <v/>
      </c>
      <c r="T125" s="147" t="str">
        <f ca="1">IFERROR(IFERROR(IF(VLOOKUP($A125,'Шаг2.Бланк заказа NEW'!$B$17:$N$201,7,0)="","",VLOOKUP($A125,'Шаг2.Бланк заказа NEW'!$B$17:$N$201,7,0)),
IF(VLOOKUP($A125-COUNT('Шаг2.Бланк заказа NEW'!$B$19:$B$201),'Бланк OLD 0.8 04'!$B$12:$K$200,7,0)&gt;0,0.8,
IF(VLOOKUP($A125-COUNT('Шаг2.Бланк заказа NEW'!$B$19:$B$201),'Бланк OLD 0.8 04'!$B$12:$K$200,8,0)&gt;0,0.4,""))),
IF(VLOOKUP($A125-COUNT('Шаг2.Бланк заказа NEW'!$B$19:$B$201)-COUNT('Бланк OLD 0.8 04'!$B$18:$B$200),'Бланк OLD 2.0 04 '!$B$16:$K$200,7,0)&gt;0,2,IF(VLOOKUP($A125-COUNT('Шаг2.Бланк заказа NEW'!$B$19:$B$201)-COUNT('Бланк OLD 0.8 04'!$B$18:$B$200),'Бланк OLD 2.0 04 '!$B$16:$K$200,8,0)&gt;0,0.4,"")))</f>
        <v/>
      </c>
      <c r="U125" s="147" t="str">
        <f ca="1">IFERROR(IFERROR(IF(VLOOKUP($A125,'Шаг2.Бланк заказа NEW'!$B$17:$N$201,8,0)="","",VLOOKUP($A125,'Шаг2.Бланк заказа NEW'!$B$17:$N$201,8,0)),
IF(VLOOKUP($A125-COUNT('Шаг2.Бланк заказа NEW'!$B$19:$B$201),'Бланк OLD 0.8 04'!$B$12:$K$200,7,0)&gt;1,0.8,
IF(VLOOKUP($A125-COUNT('Шаг2.Бланк заказа NEW'!$B$19:$B$201),'Бланк OLD 0.8 04'!$B$12:$K$200,8,0)&gt;1,0.4,
IF(AND(VLOOKUP($A125-COUNT('Шаг2.Бланк заказа NEW'!$B$19:$B$201),'Бланк OLD 0.8 04'!$B$12:$K$200,7,0)&gt;0,VLOOKUP($A125-COUNT('Шаг2.Бланк заказа NEW'!$B$19:$B$201),'Бланк OLD 0.8 04'!$B$12:$K$200,8,0)&gt;0),0.4,"")))),
IF(VLOOKUP($A125-COUNT('Шаг2.Бланк заказа NEW'!$B$19:$B$201)-COUNT('Бланк OLD 0.8 04'!$B$18:$B$200),'Бланк OLD 2.0 04 '!$B$16:$K$200,7,0)&gt;1,2,
IF(VLOOKUP($A125-COUNT('Шаг2.Бланк заказа NEW'!$B$19:$B$201)-COUNT('Бланк OLD 0.8 04'!$B$18:$B$200),'Бланк OLD 2.0 04 '!$B$16:$K$200,8,0)&gt;1,0.4,
IF(AND(VLOOKUP($A125-COUNT('Шаг2.Бланк заказа NEW'!$B$19:$B$201)-COUNT('Бланк OLD 0.8 04'!$B$18:$B$200),'Бланк OLD 2.0 04 '!$B$16:$K$200,7,0)&gt;0,VLOOKUP($A125-COUNT('Шаг2.Бланк заказа NEW'!$B$19:$B$201)-COUNT('Бланк OLD 0.8 04'!$B$18:$B$200),'Бланк OLD 2.0 04 '!$B$16:$K$200,8,0)&gt;0),0.4,""))))</f>
        <v/>
      </c>
      <c r="V125" s="146" t="str">
        <f ca="1">IFERROR(VLOOKUP(C125,'Шаг1.Выбор плиты'!C:S,12,0),"")</f>
        <v/>
      </c>
      <c r="W125" s="146" t="str">
        <f ca="1">IFERROR(VLOOKUP(C125,'Шаг1.Выбор плиты'!C:S,8,0),"")</f>
        <v/>
      </c>
      <c r="X125" s="146" t="str">
        <f ca="1">IFERROR(VLOOKUP(C125,'Шаг1.Выбор плиты'!C:S,10,0),"")</f>
        <v/>
      </c>
      <c r="Y125" s="147" t="str">
        <f t="shared" ca="1" si="8"/>
        <v/>
      </c>
      <c r="AD125" s="147" t="str">
        <f t="shared" ca="1" si="11"/>
        <v/>
      </c>
      <c r="AE125" s="147" t="str">
        <f t="shared" ca="1" si="9"/>
        <v/>
      </c>
      <c r="AF125" s="25"/>
      <c r="AH125" s="147" t="str">
        <f ca="1">IF(C125="","",VLOOKUP(C125,'Шаг1.Выбор плиты'!C:Q,7,0))</f>
        <v/>
      </c>
      <c r="AI125" s="147" t="str">
        <f t="shared" ca="1" si="12"/>
        <v/>
      </c>
    </row>
    <row r="126" spans="1:35" x14ac:dyDescent="0.2">
      <c r="A126" s="151" t="str">
        <f ca="1">IF(C126="","",MAX($A$1:OFFSET(C126,-1,0))+1)</f>
        <v/>
      </c>
      <c r="B126" s="151" t="str">
        <f ca="1">IFERROR(IFERROR(IFERROR("Шаг2.Бланк заказа NEW №"&amp;VLOOKUP(A125+1,CHOOSE({1,2},'Шаг2.Бланк заказа NEW'!$B$19:$B$201,'Шаг2.Бланк заказа NEW'!$A$19:$A$201),1,0),
"Бланк OLD 0.8 04 №"&amp;VLOOKUP(A125+1-COUNT('Шаг2.Бланк заказа NEW'!$B$19:$B$201),CHOOSE({1,2},'Бланк OLD 0.8 04'!$B$18:$B$200,'Бланк OLD 0.8 04'!$A$18:$A$200),1,0)),
"Бланк OLD 2.0 04 №"&amp;VLOOKUP(A125+1-COUNT('Шаг2.Бланк заказа NEW'!$B$19:$B$201)-COUNT('Бланк OLD 0.8 04'!$B$18:$B$200),CHOOSE({1,2},'Бланк OLD 2.0 04 '!$B$18:$B$200,'Бланк OLD 2.0 04 '!$A$18:$A$200),1,0)),"")</f>
        <v/>
      </c>
      <c r="C126" s="152" t="str">
        <f ca="1">IFERROR(IFERROR(IFERROR(VLOOKUP(A125+1,CHOOSE({1,2},'Шаг2.Бланк заказа NEW'!$B$19:$B$201,'Шаг2.Бланк заказа NEW'!$A$19:$A$201),2,0),
VLOOKUP(A125+1-COUNT('Шаг2.Бланк заказа NEW'!$B$19:$B$201),CHOOSE({1,2},'Бланк OLD 0.8 04'!$B$18:$B$200,'Бланк OLD 0.8 04'!$A$18:$A$200),2,0)),
VLOOKUP(A125+1-COUNT('Шаг2.Бланк заказа NEW'!$B$19:$B$201)-COUNT('Бланк OLD 0.8 04'!$B$18:$B$200),CHOOSE({1,2},'Бланк OLD 2.0 04 '!$B$18:$B$200,'Бланк OLD 2.0 04 '!$A$18:$A$200),2,0)),"")</f>
        <v/>
      </c>
      <c r="D126" s="150" t="str">
        <f ca="1">IFERROR(VLOOKUP(C126,'Шаг1.Выбор плиты'!C:G,5,0),"")</f>
        <v/>
      </c>
      <c r="E126" s="147" t="str">
        <f ca="1">IFERROR(IFERROR(IF(VLOOKUP($A126,'Шаг2.Бланк заказа NEW'!$B$17:$N$201,2,0)="","",VLOOKUP($A126,'Шаг2.Бланк заказа NEW'!$B$17:$N$201,2,0)),
IF(VLOOKUP($A126-COUNT('Шаг2.Бланк заказа NEW'!$B$19:$B$201),'Бланк OLD 0.8 04'!$B$12:$K$200,2,0)="","",VLOOKUP($A126-COUNT('Шаг2.Бланк заказа NEW'!$B$19:$B$201),'Бланк OLD 0.8 04'!$B$12:$K$200,2,0))),
IF(VLOOKUP($A126-COUNT('Шаг2.Бланк заказа NEW'!$B$19:$B$201)-COUNT('Бланк OLD 0.8 04'!$B$18:$B$200),'Бланк OLD 2.0 04 '!$B$16:$K$200,2,0)="","",VLOOKUP($A126-COUNT('Шаг2.Бланк заказа NEW'!$B$19:$B$201)-COUNT('Бланк OLD 0.8 04'!$B$18:$B$200),'Бланк OLD 2.0 04 '!$B$16:$K$200,2,0)))</f>
        <v/>
      </c>
      <c r="F126" s="147" t="str">
        <f ca="1">IFERROR(IFERROR(IF(VLOOKUP($A126,'Шаг2.Бланк заказа NEW'!$B$17:$N$201,3,0)="","",VLOOKUP($A126,'Шаг2.Бланк заказа NEW'!$B$17:$N$201,3,0)),
IF(VLOOKUP($A126-COUNT('Шаг2.Бланк заказа NEW'!$B$19:$B$201),'Бланк OLD 0.8 04'!$B$12:$K$200,3,0)="","",VLOOKUP($A126-COUNT('Шаг2.Бланк заказа NEW'!$B$19:$B$201),'Бланк OLD 0.8 04'!$B$12:$K$200,3,0))),
IF(VLOOKUP($A126-COUNT('Шаг2.Бланк заказа NEW'!$B$19:$B$201)-COUNT('Бланк OLD 0.8 04'!$B$18:$B$200),'Бланк OLD 2.0 04 '!$B$16:$K$200,3,0)="","",VLOOKUP($A126-COUNT('Шаг2.Бланк заказа NEW'!$B$19:$B$201)-COUNT('Бланк OLD 0.8 04'!$B$18:$B$200),'Бланк OLD 2.0 04 '!$B$16:$K$200,3,0)))</f>
        <v/>
      </c>
      <c r="G126" s="176" t="str">
        <f ca="1">IF(IF(R126="","",IF(R126=1,SUMIFS('Шаг1.Выбор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плиты'!C:Q,12,0)),1))))))=0,
R126,
IF(R126="","",IF(R126=1,SUMIFS('Шаг1.Выбор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плиты'!N:N,R126,'Шаг1.Выбор плиты'!M:M,SMALL(INDIRECT("мм"&amp;VLOOKUP(C126,'Шаг1.Выбор плиты'!C:Q,12,0)),1)))))))</f>
        <v/>
      </c>
      <c r="H126" s="177" t="str">
        <f ca="1">IF(IF(S126="","",IF(S126=1,SUMIFS('Шаг1.Выбор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плиты'!C:Q,12,0)),1))))))=0,
S126,
IF(S126="","",IF(S126=1,SUMIFS('Шаг1.Выбор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плиты'!N:N,S126,'Шаг1.Выбор плиты'!M:M,SMALL(INDIRECT("мм"&amp;VLOOKUP(C126,'Шаг1.Выбор плиты'!C:Q,12,0)),1)))))))</f>
        <v/>
      </c>
      <c r="I126" s="147" t="str">
        <f ca="1">IFERROR(IFERROR(IF(VLOOKUP($A126,'Шаг2.Бланк заказа NEW'!$B$17:$N$201,6,0)="","",VLOOKUP($A126,'Шаг2.Бланк заказа NEW'!$B$17:$N$201,6,0)),
IF(VLOOKUP($A126-COUNT('Шаг2.Бланк заказа NEW'!$B$19:$B$201),'Бланк OLD 0.8 04'!$B$12:$K$200,6,0)="","",VLOOKUP($A126-COUNT('Шаг2.Бланк заказа NEW'!$B$19:$B$201),'Бланк OLD 0.8 04'!$B$12:$K$200,6,0))),
IF(VLOOKUP($A126-COUNT('Шаг2.Бланк заказа NEW'!$B$19:$B$201)-COUNT('Бланк OLD 0.8 04'!$B$18:$B$200),'Бланк OLD 2.0 04 '!$B$16:$K$200,6,0)="","",VLOOKUP($A126-COUNT('Шаг2.Бланк заказа NEW'!$B$19:$B$201)-COUNT('Бланк OLD 0.8 04'!$B$18:$B$200),'Бланк OLD 2.0 04 '!$B$16:$K$200,6,0)))</f>
        <v/>
      </c>
      <c r="J126" s="177" t="str">
        <f ca="1">IF(IF(T126="","",IF(T126=1,SUMIFS('Шаг1.Выбор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плиты'!C:Q,12,0)),1))))))=0,
T126,
IF(T126="","",IF(T126=1,SUMIFS('Шаг1.Выбор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плиты'!N:N,T126,'Шаг1.Выбор плиты'!M:M,SMALL(INDIRECT("мм"&amp;VLOOKUP(C126,'Шаг1.Выбор плиты'!C:Q,12,0)),1)))))))</f>
        <v/>
      </c>
      <c r="K126" s="177" t="str">
        <f ca="1">IF(IF(U126="","",IF(U126=1,SUMIFS('Шаг1.Выбор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плиты'!C:Q,12,0)),1))))))=0,
U126,
IF(U126="","",IF(U126=1,SUMIFS('Шаг1.Выбор плиты'!$G:$G,'Шаг1.Выбор плиты'!J:J,"*"&amp;RIGHT(VLOOKUP(C126,'Шаг1.Выбор плиты'!C:Q,8,0),4),'Шаг1.Выбор плиты'!L:L,IF(MID(C126,1,6)="ЛДСП P","TM"&amp;MID(VLOOKUP(C126,'Шаг1.Выбор плиты'!C:Q,10,0),3,2),MID(VLOOKUP(C126,'Шаг1.Выбор плиты'!C:Q,10,0),1,2)),
'Шаг1.Выбор плиты'!N:N,1),IF(SUMIFS('Шаг1.Выбор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плиты'!C:Q,12,0)),1))=0,
IF(SUMIFS('Шаг1.Выбор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плиты'!C:Q,12,0)),2))=0,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плиты'!C:Q,12,0)),3)),
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плиты'!C:Q,12,0)),2))),
(SUMIFS('Шаг1.Выбор плиты'!$G:$G,'Шаг1.Выбор плиты'!J:J,"*"&amp;RIGHT(VLOOKUP(C126,'Шаг1.Выбор плиты'!C:Q,8,0),4),'Шаг1.Выбор плиты'!L:L,VLOOKUP(C126,'Шаг1.Выбор плиты'!C:Q,10,0),'Шаг1.Выбор плиты'!N:N,U126,'Шаг1.Выбор плиты'!M:M,SMALL(INDIRECT("мм"&amp;VLOOKUP(C126,'Шаг1.Выбор плиты'!C:Q,12,0)),1)))))))</f>
        <v/>
      </c>
      <c r="L126" s="147" t="str">
        <f ca="1">IFERROR(IFERROR(IF(VLOOKUP($A126,'Шаг2.Бланк заказа NEW'!$B$17:$N$201,9,0)="","",VLOOKUP($A126,'Шаг2.Бланк заказа NEW'!$B$17:$N$201,9,0)),
IF(VLOOKUP($A126-COUNT('Шаг2.Бланк заказа NEW'!$B$19:$B$201),'Бланк OLD 0.8 04'!$B$12:$K$200,9,0)="","",VLOOKUP($A126-COUNT('Шаг2.Бланк заказа NEW'!$B$19:$B$201),'Бланк OLD 0.8 04'!$B$12:$K$200,9,0))),
IF(VLOOKUP($A126-COUNT('Шаг2.Бланк заказа NEW'!$B$19:$B$201)-COUNT('Бланк OLD 0.8 04'!$B$18:$B$200),'Бланк OLD 2.0 04 '!$B$16:$K$200,9,0)="","",VLOOKUP($A126-COUNT('Шаг2.Бланк заказа NEW'!$B$19:$B$201)-COUNT('Бланк OLD 0.8 04'!$B$18:$B$200),'Бланк OLD 2.0 04 '!$B$16:$K$200,9,0)))</f>
        <v/>
      </c>
      <c r="M126" s="154" t="str">
        <f t="shared" ca="1" si="10"/>
        <v/>
      </c>
      <c r="N126" s="153" t="str">
        <f ca="1">IFERROR(IF(VLOOKUP($A126,'Шаг2.Бланк заказа NEW'!$B$17:$N$201,11,0)="","",VLOOKUP($A126,'Шаг2.Бланк заказа NEW'!$B$17:$N$201,11,0)),
"Нет")</f>
        <v/>
      </c>
      <c r="O126" s="147" t="str">
        <f ca="1">IFERROR(IF(VLOOKUP($A126,'Шаг2.Бланк заказа NEW'!$B$17:$N$201,11,0)="","",VLOOKUP($A126,'Шаг2.Бланк заказа NEW'!$B$17:$N$201,12,0)),
"Нет")</f>
        <v/>
      </c>
      <c r="P126" s="153" t="str">
        <f ca="1">IFERROR(IF(VLOOKUP($A126,'Шаг2.Бланк заказа NEW'!$B$17:$N$201,13,0)="","",VLOOKUP($A126,'Шаг2.Бланк заказа NEW'!$B$17:$N$201,13,0)),
"Нет")</f>
        <v/>
      </c>
      <c r="Q126" s="147" t="str">
        <f ca="1">IFERROR(IF(VLOOKUP($A126,'Шаг2.Бланк заказа NEW'!$B$17:$O$201,14,0)="","",VLOOKUP($A126,'Шаг2.Бланк заказа NEW'!$B$17:$O$201,14,0)),"")</f>
        <v/>
      </c>
      <c r="R126" s="147" t="str">
        <f ca="1">IFERROR(IFERROR(IF(VLOOKUP($A126,'Шаг2.Бланк заказа NEW'!$B$17:$N$201,4,0)="","",VLOOKUP($A126,'Шаг2.Бланк заказа NEW'!$B$17:$N$201,4,0)),
IF(VLOOKUP($A126-COUNT('Шаг2.Бланк заказа NEW'!$B$19:$B$201),'Бланк OLD 0.8 04'!$B$12:$K$200,4,0)&gt;0,0.8,
IF(VLOOKUP($A126-COUNT('Шаг2.Бланк заказа NEW'!$B$19:$B$201),'Бланк OLD 0.8 04'!$B$12:$K$200,5,0)&gt;0,0.4,""))),
IF(VLOOKUP($A126-COUNT('Шаг2.Бланк заказа NEW'!$B$19:$B$201)-COUNT('Бланк OLD 0.8 04'!$B$18:$B$200),'Бланк OLD 2.0 04 '!$B$16:$K$200,4,0)&gt;0,2,IF(VLOOKUP($A126-COUNT('Шаг2.Бланк заказа NEW'!$B$19:$B$201)-COUNT('Бланк OLD 0.8 04'!$B$18:$B$200),'Бланк OLD 2.0 04 '!$B$16:$K$200,5,0)&gt;0,0.4,"")))</f>
        <v/>
      </c>
      <c r="S126" s="147" t="str">
        <f ca="1">IFERROR(IFERROR(IF(VLOOKUP($A126,'Шаг2.Бланк заказа NEW'!$B$17:$N$201,5,0)="","",VLOOKUP($A126,'Шаг2.Бланк заказа NEW'!$B$17:$N$201,5,0)),
IF(VLOOKUP($A126-COUNT('Шаг2.Бланк заказа NEW'!$B$19:$B$201),'Бланк OLD 0.8 04'!$B$12:$K$200,4,0)&gt;1,0.8,
IF(VLOOKUP($A126-COUNT('Шаг2.Бланк заказа NEW'!$B$19:$B$201),'Бланк OLD 0.8 04'!$B$12:$K$200,5,0)&gt;1,0.4,
IF(AND(VLOOKUP($A126-COUNT('Шаг2.Бланк заказа NEW'!$B$19:$B$201),'Бланк OLD 0.8 04'!$B$12:$K$200,4,0)&gt;0,VLOOKUP($A126-COUNT('Шаг2.Бланк заказа NEW'!$B$19:$B$201),'Бланк OLD 0.8 04'!$B$12:$K$200,5,0)&gt;0),0.4,"")))),
IF(VLOOKUP($A126-COUNT('Шаг2.Бланк заказа NEW'!$B$19:$B$201)-COUNT('Бланк OLD 0.8 04'!$B$18:$B$200),'Бланк OLD 2.0 04 '!$B$16:$K$200,4,0)&gt;1,2,
IF(VLOOKUP($A126-COUNT('Шаг2.Бланк заказа NEW'!$B$19:$B$201)-COUNT('Бланк OLD 0.8 04'!$B$18:$B$200),'Бланк OLD 2.0 04 '!$B$16:$K$200,5,0)&gt;1,0.4,IF(AND(VLOOKUP($A126-COUNT('Шаг2.Бланк заказа NEW'!$B$19:$B$201)-COUNT('Бланк OLD 0.8 04'!$B$18:$B$200),'Бланк OLD 2.0 04 '!$B$16:$K$200,4,0)&gt;0,VLOOKUP($A126-COUNT('Шаг2.Бланк заказа NEW'!$B$19:$B$201)-COUNT('Бланк OLD 0.8 04'!$B$18:$B$200),'Бланк OLD 2.0 04 '!$B$16:$K$200,5,0)&gt;0),0.4,""))))</f>
        <v/>
      </c>
      <c r="T126" s="147" t="str">
        <f ca="1">IFERROR(IFERROR(IF(VLOOKUP($A126,'Шаг2.Бланк заказа NEW'!$B$17:$N$201,7,0)="","",VLOOKUP($A126,'Шаг2.Бланк заказа NEW'!$B$17:$N$201,7,0)),
IF(VLOOKUP($A126-COUNT('Шаг2.Бланк заказа NEW'!$B$19:$B$201),'Бланк OLD 0.8 04'!$B$12:$K$200,7,0)&gt;0,0.8,
IF(VLOOKUP($A126-COUNT('Шаг2.Бланк заказа NEW'!$B$19:$B$201),'Бланк OLD 0.8 04'!$B$12:$K$200,8,0)&gt;0,0.4,""))),
IF(VLOOKUP($A126-COUNT('Шаг2.Бланк заказа NEW'!$B$19:$B$201)-COUNT('Бланк OLD 0.8 04'!$B$18:$B$200),'Бланк OLD 2.0 04 '!$B$16:$K$200,7,0)&gt;0,2,IF(VLOOKUP($A126-COUNT('Шаг2.Бланк заказа NEW'!$B$19:$B$201)-COUNT('Бланк OLD 0.8 04'!$B$18:$B$200),'Бланк OLD 2.0 04 '!$B$16:$K$200,8,0)&gt;0,0.4,"")))</f>
        <v/>
      </c>
      <c r="U126" s="147" t="str">
        <f ca="1">IFERROR(IFERROR(IF(VLOOKUP($A126,'Шаг2.Бланк заказа NEW'!$B$17:$N$201,8,0)="","",VLOOKUP($A126,'Шаг2.Бланк заказа NEW'!$B$17:$N$201,8,0)),
IF(VLOOKUP($A126-COUNT('Шаг2.Бланк заказа NEW'!$B$19:$B$201),'Бланк OLD 0.8 04'!$B$12:$K$200,7,0)&gt;1,0.8,
IF(VLOOKUP($A126-COUNT('Шаг2.Бланк заказа NEW'!$B$19:$B$201),'Бланк OLD 0.8 04'!$B$12:$K$200,8,0)&gt;1,0.4,
IF(AND(VLOOKUP($A126-COUNT('Шаг2.Бланк заказа NEW'!$B$19:$B$201),'Бланк OLD 0.8 04'!$B$12:$K$200,7,0)&gt;0,VLOOKUP($A126-COUNT('Шаг2.Бланк заказа NEW'!$B$19:$B$201),'Бланк OLD 0.8 04'!$B$12:$K$200,8,0)&gt;0),0.4,"")))),
IF(VLOOKUP($A126-COUNT('Шаг2.Бланк заказа NEW'!$B$19:$B$201)-COUNT('Бланк OLD 0.8 04'!$B$18:$B$200),'Бланк OLD 2.0 04 '!$B$16:$K$200,7,0)&gt;1,2,
IF(VLOOKUP($A126-COUNT('Шаг2.Бланк заказа NEW'!$B$19:$B$201)-COUNT('Бланк OLD 0.8 04'!$B$18:$B$200),'Бланк OLD 2.0 04 '!$B$16:$K$200,8,0)&gt;1,0.4,
IF(AND(VLOOKUP($A126-COUNT('Шаг2.Бланк заказа NEW'!$B$19:$B$201)-COUNT('Бланк OLD 0.8 04'!$B$18:$B$200),'Бланк OLD 2.0 04 '!$B$16:$K$200,7,0)&gt;0,VLOOKUP($A126-COUNT('Шаг2.Бланк заказа NEW'!$B$19:$B$201)-COUNT('Бланк OLD 0.8 04'!$B$18:$B$200),'Бланк OLD 2.0 04 '!$B$16:$K$200,8,0)&gt;0),0.4,""))))</f>
        <v/>
      </c>
      <c r="V126" s="146" t="str">
        <f ca="1">IFERROR(VLOOKUP(C126,'Шаг1.Выбор плиты'!C:S,12,0),"")</f>
        <v/>
      </c>
      <c r="W126" s="146" t="str">
        <f ca="1">IFERROR(VLOOKUP(C126,'Шаг1.Выбор плиты'!C:S,8,0),"")</f>
        <v/>
      </c>
      <c r="X126" s="146" t="str">
        <f ca="1">IFERROR(VLOOKUP(C126,'Шаг1.Выбор плиты'!C:S,10,0),"")</f>
        <v/>
      </c>
      <c r="Y126" s="147" t="str">
        <f t="shared" ca="1" si="8"/>
        <v/>
      </c>
      <c r="AD126" s="147" t="str">
        <f t="shared" ca="1" si="11"/>
        <v/>
      </c>
      <c r="AE126" s="147" t="str">
        <f t="shared" ca="1" si="9"/>
        <v/>
      </c>
      <c r="AF126" s="25"/>
      <c r="AH126" s="147" t="str">
        <f ca="1">IF(C126="","",VLOOKUP(C126,'Шаг1.Выбор плиты'!C:Q,7,0))</f>
        <v/>
      </c>
      <c r="AI126" s="147" t="str">
        <f t="shared" ca="1" si="12"/>
        <v/>
      </c>
    </row>
    <row r="127" spans="1:35" x14ac:dyDescent="0.2">
      <c r="A127" s="151" t="str">
        <f ca="1">IF(C127="","",MAX($A$1:OFFSET(C127,-1,0))+1)</f>
        <v/>
      </c>
      <c r="B127" s="151" t="str">
        <f ca="1">IFERROR(IFERROR(IFERROR("Шаг2.Бланк заказа NEW №"&amp;VLOOKUP(A126+1,CHOOSE({1,2},'Шаг2.Бланк заказа NEW'!$B$19:$B$201,'Шаг2.Бланк заказа NEW'!$A$19:$A$201),1,0),
"Бланк OLD 0.8 04 №"&amp;VLOOKUP(A126+1-COUNT('Шаг2.Бланк заказа NEW'!$B$19:$B$201),CHOOSE({1,2},'Бланк OLD 0.8 04'!$B$18:$B$200,'Бланк OLD 0.8 04'!$A$18:$A$200),1,0)),
"Бланк OLD 2.0 04 №"&amp;VLOOKUP(A126+1-COUNT('Шаг2.Бланк заказа NEW'!$B$19:$B$201)-COUNT('Бланк OLD 0.8 04'!$B$18:$B$200),CHOOSE({1,2},'Бланк OLD 2.0 04 '!$B$18:$B$200,'Бланк OLD 2.0 04 '!$A$18:$A$200),1,0)),"")</f>
        <v/>
      </c>
      <c r="C127" s="152" t="str">
        <f ca="1">IFERROR(IFERROR(IFERROR(VLOOKUP(A126+1,CHOOSE({1,2},'Шаг2.Бланк заказа NEW'!$B$19:$B$201,'Шаг2.Бланк заказа NEW'!$A$19:$A$201),2,0),
VLOOKUP(A126+1-COUNT('Шаг2.Бланк заказа NEW'!$B$19:$B$201),CHOOSE({1,2},'Бланк OLD 0.8 04'!$B$18:$B$200,'Бланк OLD 0.8 04'!$A$18:$A$200),2,0)),
VLOOKUP(A126+1-COUNT('Шаг2.Бланк заказа NEW'!$B$19:$B$201)-COUNT('Бланк OLD 0.8 04'!$B$18:$B$200),CHOOSE({1,2},'Бланк OLD 2.0 04 '!$B$18:$B$200,'Бланк OLD 2.0 04 '!$A$18:$A$200),2,0)),"")</f>
        <v/>
      </c>
      <c r="D127" s="150" t="str">
        <f ca="1">IFERROR(VLOOKUP(C127,'Шаг1.Выбор плиты'!C:G,5,0),"")</f>
        <v/>
      </c>
      <c r="E127" s="147" t="str">
        <f ca="1">IFERROR(IFERROR(IF(VLOOKUP($A127,'Шаг2.Бланк заказа NEW'!$B$17:$N$201,2,0)="","",VLOOKUP($A127,'Шаг2.Бланк заказа NEW'!$B$17:$N$201,2,0)),
IF(VLOOKUP($A127-COUNT('Шаг2.Бланк заказа NEW'!$B$19:$B$201),'Бланк OLD 0.8 04'!$B$12:$K$200,2,0)="","",VLOOKUP($A127-COUNT('Шаг2.Бланк заказа NEW'!$B$19:$B$201),'Бланк OLD 0.8 04'!$B$12:$K$200,2,0))),
IF(VLOOKUP($A127-COUNT('Шаг2.Бланк заказа NEW'!$B$19:$B$201)-COUNT('Бланк OLD 0.8 04'!$B$18:$B$200),'Бланк OLD 2.0 04 '!$B$16:$K$200,2,0)="","",VLOOKUP($A127-COUNT('Шаг2.Бланк заказа NEW'!$B$19:$B$201)-COUNT('Бланк OLD 0.8 04'!$B$18:$B$200),'Бланк OLD 2.0 04 '!$B$16:$K$200,2,0)))</f>
        <v/>
      </c>
      <c r="F127" s="147" t="str">
        <f ca="1">IFERROR(IFERROR(IF(VLOOKUP($A127,'Шаг2.Бланк заказа NEW'!$B$17:$N$201,3,0)="","",VLOOKUP($A127,'Шаг2.Бланк заказа NEW'!$B$17:$N$201,3,0)),
IF(VLOOKUP($A127-COUNT('Шаг2.Бланк заказа NEW'!$B$19:$B$201),'Бланк OLD 0.8 04'!$B$12:$K$200,3,0)="","",VLOOKUP($A127-COUNT('Шаг2.Бланк заказа NEW'!$B$19:$B$201),'Бланк OLD 0.8 04'!$B$12:$K$200,3,0))),
IF(VLOOKUP($A127-COUNT('Шаг2.Бланк заказа NEW'!$B$19:$B$201)-COUNT('Бланк OLD 0.8 04'!$B$18:$B$200),'Бланк OLD 2.0 04 '!$B$16:$K$200,3,0)="","",VLOOKUP($A127-COUNT('Шаг2.Бланк заказа NEW'!$B$19:$B$201)-COUNT('Бланк OLD 0.8 04'!$B$18:$B$200),'Бланк OLD 2.0 04 '!$B$16:$K$200,3,0)))</f>
        <v/>
      </c>
      <c r="G127" s="176" t="str">
        <f ca="1">IF(IF(R127="","",IF(R127=1,SUMIFS('Шаг1.Выбор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плиты'!C:Q,12,0)),1))))))=0,
R127,
IF(R127="","",IF(R127=1,SUMIFS('Шаг1.Выбор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плиты'!N:N,R127,'Шаг1.Выбор плиты'!M:M,SMALL(INDIRECT("мм"&amp;VLOOKUP(C127,'Шаг1.Выбор плиты'!C:Q,12,0)),1)))))))</f>
        <v/>
      </c>
      <c r="H127" s="177" t="str">
        <f ca="1">IF(IF(S127="","",IF(S127=1,SUMIFS('Шаг1.Выбор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плиты'!C:Q,12,0)),1))))))=0,
S127,
IF(S127="","",IF(S127=1,SUMIFS('Шаг1.Выбор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плиты'!N:N,S127,'Шаг1.Выбор плиты'!M:M,SMALL(INDIRECT("мм"&amp;VLOOKUP(C127,'Шаг1.Выбор плиты'!C:Q,12,0)),1)))))))</f>
        <v/>
      </c>
      <c r="I127" s="147" t="str">
        <f ca="1">IFERROR(IFERROR(IF(VLOOKUP($A127,'Шаг2.Бланк заказа NEW'!$B$17:$N$201,6,0)="","",VLOOKUP($A127,'Шаг2.Бланк заказа NEW'!$B$17:$N$201,6,0)),
IF(VLOOKUP($A127-COUNT('Шаг2.Бланк заказа NEW'!$B$19:$B$201),'Бланк OLD 0.8 04'!$B$12:$K$200,6,0)="","",VLOOKUP($A127-COUNT('Шаг2.Бланк заказа NEW'!$B$19:$B$201),'Бланк OLD 0.8 04'!$B$12:$K$200,6,0))),
IF(VLOOKUP($A127-COUNT('Шаг2.Бланк заказа NEW'!$B$19:$B$201)-COUNT('Бланк OLD 0.8 04'!$B$18:$B$200),'Бланк OLD 2.0 04 '!$B$16:$K$200,6,0)="","",VLOOKUP($A127-COUNT('Шаг2.Бланк заказа NEW'!$B$19:$B$201)-COUNT('Бланк OLD 0.8 04'!$B$18:$B$200),'Бланк OLD 2.0 04 '!$B$16:$K$200,6,0)))</f>
        <v/>
      </c>
      <c r="J127" s="177" t="str">
        <f ca="1">IF(IF(T127="","",IF(T127=1,SUMIFS('Шаг1.Выбор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плиты'!C:Q,12,0)),1))))))=0,
T127,
IF(T127="","",IF(T127=1,SUMIFS('Шаг1.Выбор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плиты'!N:N,T127,'Шаг1.Выбор плиты'!M:M,SMALL(INDIRECT("мм"&amp;VLOOKUP(C127,'Шаг1.Выбор плиты'!C:Q,12,0)),1)))))))</f>
        <v/>
      </c>
      <c r="K127" s="177" t="str">
        <f ca="1">IF(IF(U127="","",IF(U127=1,SUMIFS('Шаг1.Выбор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плиты'!C:Q,12,0)),1))))))=0,
U127,
IF(U127="","",IF(U127=1,SUMIFS('Шаг1.Выбор плиты'!$G:$G,'Шаг1.Выбор плиты'!J:J,"*"&amp;RIGHT(VLOOKUP(C127,'Шаг1.Выбор плиты'!C:Q,8,0),4),'Шаг1.Выбор плиты'!L:L,IF(MID(C127,1,6)="ЛДСП P","TM"&amp;MID(VLOOKUP(C127,'Шаг1.Выбор плиты'!C:Q,10,0),3,2),MID(VLOOKUP(C127,'Шаг1.Выбор плиты'!C:Q,10,0),1,2)),
'Шаг1.Выбор плиты'!N:N,1),IF(SUMIFS('Шаг1.Выбор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плиты'!C:Q,12,0)),1))=0,
IF(SUMIFS('Шаг1.Выбор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плиты'!C:Q,12,0)),2))=0,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плиты'!C:Q,12,0)),3)),
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плиты'!C:Q,12,0)),2))),
(SUMIFS('Шаг1.Выбор плиты'!$G:$G,'Шаг1.Выбор плиты'!J:J,"*"&amp;RIGHT(VLOOKUP(C127,'Шаг1.Выбор плиты'!C:Q,8,0),4),'Шаг1.Выбор плиты'!L:L,VLOOKUP(C127,'Шаг1.Выбор плиты'!C:Q,10,0),'Шаг1.Выбор плиты'!N:N,U127,'Шаг1.Выбор плиты'!M:M,SMALL(INDIRECT("мм"&amp;VLOOKUP(C127,'Шаг1.Выбор плиты'!C:Q,12,0)),1)))))))</f>
        <v/>
      </c>
      <c r="L127" s="147" t="str">
        <f ca="1">IFERROR(IFERROR(IF(VLOOKUP($A127,'Шаг2.Бланк заказа NEW'!$B$17:$N$201,9,0)="","",VLOOKUP($A127,'Шаг2.Бланк заказа NEW'!$B$17:$N$201,9,0)),
IF(VLOOKUP($A127-COUNT('Шаг2.Бланк заказа NEW'!$B$19:$B$201),'Бланк OLD 0.8 04'!$B$12:$K$200,9,0)="","",VLOOKUP($A127-COUNT('Шаг2.Бланк заказа NEW'!$B$19:$B$201),'Бланк OLD 0.8 04'!$B$12:$K$200,9,0))),
IF(VLOOKUP($A127-COUNT('Шаг2.Бланк заказа NEW'!$B$19:$B$201)-COUNT('Бланк OLD 0.8 04'!$B$18:$B$200),'Бланк OLD 2.0 04 '!$B$16:$K$200,9,0)="","",VLOOKUP($A127-COUNT('Шаг2.Бланк заказа NEW'!$B$19:$B$201)-COUNT('Бланк OLD 0.8 04'!$B$18:$B$200),'Бланк OLD 2.0 04 '!$B$16:$K$200,9,0)))</f>
        <v/>
      </c>
      <c r="M127" s="154" t="str">
        <f t="shared" ca="1" si="10"/>
        <v/>
      </c>
      <c r="N127" s="153" t="str">
        <f ca="1">IFERROR(IF(VLOOKUP($A127,'Шаг2.Бланк заказа NEW'!$B$17:$N$201,11,0)="","",VLOOKUP($A127,'Шаг2.Бланк заказа NEW'!$B$17:$N$201,11,0)),
"Нет")</f>
        <v/>
      </c>
      <c r="O127" s="147" t="str">
        <f ca="1">IFERROR(IF(VLOOKUP($A127,'Шаг2.Бланк заказа NEW'!$B$17:$N$201,11,0)="","",VLOOKUP($A127,'Шаг2.Бланк заказа NEW'!$B$17:$N$201,12,0)),
"Нет")</f>
        <v/>
      </c>
      <c r="P127" s="153" t="str">
        <f ca="1">IFERROR(IF(VLOOKUP($A127,'Шаг2.Бланк заказа NEW'!$B$17:$N$201,13,0)="","",VLOOKUP($A127,'Шаг2.Бланк заказа NEW'!$B$17:$N$201,13,0)),
"Нет")</f>
        <v/>
      </c>
      <c r="Q127" s="147" t="str">
        <f ca="1">IFERROR(IF(VLOOKUP($A127,'Шаг2.Бланк заказа NEW'!$B$17:$O$201,14,0)="","",VLOOKUP($A127,'Шаг2.Бланк заказа NEW'!$B$17:$O$201,14,0)),"")</f>
        <v/>
      </c>
      <c r="R127" s="147" t="str">
        <f ca="1">IFERROR(IFERROR(IF(VLOOKUP($A127,'Шаг2.Бланк заказа NEW'!$B$17:$N$201,4,0)="","",VLOOKUP($A127,'Шаг2.Бланк заказа NEW'!$B$17:$N$201,4,0)),
IF(VLOOKUP($A127-COUNT('Шаг2.Бланк заказа NEW'!$B$19:$B$201),'Бланк OLD 0.8 04'!$B$12:$K$200,4,0)&gt;0,0.8,
IF(VLOOKUP($A127-COUNT('Шаг2.Бланк заказа NEW'!$B$19:$B$201),'Бланк OLD 0.8 04'!$B$12:$K$200,5,0)&gt;0,0.4,""))),
IF(VLOOKUP($A127-COUNT('Шаг2.Бланк заказа NEW'!$B$19:$B$201)-COUNT('Бланк OLD 0.8 04'!$B$18:$B$200),'Бланк OLD 2.0 04 '!$B$16:$K$200,4,0)&gt;0,2,IF(VLOOKUP($A127-COUNT('Шаг2.Бланк заказа NEW'!$B$19:$B$201)-COUNT('Бланк OLD 0.8 04'!$B$18:$B$200),'Бланк OLD 2.0 04 '!$B$16:$K$200,5,0)&gt;0,0.4,"")))</f>
        <v/>
      </c>
      <c r="S127" s="147" t="str">
        <f ca="1">IFERROR(IFERROR(IF(VLOOKUP($A127,'Шаг2.Бланк заказа NEW'!$B$17:$N$201,5,0)="","",VLOOKUP($A127,'Шаг2.Бланк заказа NEW'!$B$17:$N$201,5,0)),
IF(VLOOKUP($A127-COUNT('Шаг2.Бланк заказа NEW'!$B$19:$B$201),'Бланк OLD 0.8 04'!$B$12:$K$200,4,0)&gt;1,0.8,
IF(VLOOKUP($A127-COUNT('Шаг2.Бланк заказа NEW'!$B$19:$B$201),'Бланк OLD 0.8 04'!$B$12:$K$200,5,0)&gt;1,0.4,
IF(AND(VLOOKUP($A127-COUNT('Шаг2.Бланк заказа NEW'!$B$19:$B$201),'Бланк OLD 0.8 04'!$B$12:$K$200,4,0)&gt;0,VLOOKUP($A127-COUNT('Шаг2.Бланк заказа NEW'!$B$19:$B$201),'Бланк OLD 0.8 04'!$B$12:$K$200,5,0)&gt;0),0.4,"")))),
IF(VLOOKUP($A127-COUNT('Шаг2.Бланк заказа NEW'!$B$19:$B$201)-COUNT('Бланк OLD 0.8 04'!$B$18:$B$200),'Бланк OLD 2.0 04 '!$B$16:$K$200,4,0)&gt;1,2,
IF(VLOOKUP($A127-COUNT('Шаг2.Бланк заказа NEW'!$B$19:$B$201)-COUNT('Бланк OLD 0.8 04'!$B$18:$B$200),'Бланк OLD 2.0 04 '!$B$16:$K$200,5,0)&gt;1,0.4,IF(AND(VLOOKUP($A127-COUNT('Шаг2.Бланк заказа NEW'!$B$19:$B$201)-COUNT('Бланк OLD 0.8 04'!$B$18:$B$200),'Бланк OLD 2.0 04 '!$B$16:$K$200,4,0)&gt;0,VLOOKUP($A127-COUNT('Шаг2.Бланк заказа NEW'!$B$19:$B$201)-COUNT('Бланк OLD 0.8 04'!$B$18:$B$200),'Бланк OLD 2.0 04 '!$B$16:$K$200,5,0)&gt;0),0.4,""))))</f>
        <v/>
      </c>
      <c r="T127" s="147" t="str">
        <f ca="1">IFERROR(IFERROR(IF(VLOOKUP($A127,'Шаг2.Бланк заказа NEW'!$B$17:$N$201,7,0)="","",VLOOKUP($A127,'Шаг2.Бланк заказа NEW'!$B$17:$N$201,7,0)),
IF(VLOOKUP($A127-COUNT('Шаг2.Бланк заказа NEW'!$B$19:$B$201),'Бланк OLD 0.8 04'!$B$12:$K$200,7,0)&gt;0,0.8,
IF(VLOOKUP($A127-COUNT('Шаг2.Бланк заказа NEW'!$B$19:$B$201),'Бланк OLD 0.8 04'!$B$12:$K$200,8,0)&gt;0,0.4,""))),
IF(VLOOKUP($A127-COUNT('Шаг2.Бланк заказа NEW'!$B$19:$B$201)-COUNT('Бланк OLD 0.8 04'!$B$18:$B$200),'Бланк OLD 2.0 04 '!$B$16:$K$200,7,0)&gt;0,2,IF(VLOOKUP($A127-COUNT('Шаг2.Бланк заказа NEW'!$B$19:$B$201)-COUNT('Бланк OLD 0.8 04'!$B$18:$B$200),'Бланк OLD 2.0 04 '!$B$16:$K$200,8,0)&gt;0,0.4,"")))</f>
        <v/>
      </c>
      <c r="U127" s="147" t="str">
        <f ca="1">IFERROR(IFERROR(IF(VLOOKUP($A127,'Шаг2.Бланк заказа NEW'!$B$17:$N$201,8,0)="","",VLOOKUP($A127,'Шаг2.Бланк заказа NEW'!$B$17:$N$201,8,0)),
IF(VLOOKUP($A127-COUNT('Шаг2.Бланк заказа NEW'!$B$19:$B$201),'Бланк OLD 0.8 04'!$B$12:$K$200,7,0)&gt;1,0.8,
IF(VLOOKUP($A127-COUNT('Шаг2.Бланк заказа NEW'!$B$19:$B$201),'Бланк OLD 0.8 04'!$B$12:$K$200,8,0)&gt;1,0.4,
IF(AND(VLOOKUP($A127-COUNT('Шаг2.Бланк заказа NEW'!$B$19:$B$201),'Бланк OLD 0.8 04'!$B$12:$K$200,7,0)&gt;0,VLOOKUP($A127-COUNT('Шаг2.Бланк заказа NEW'!$B$19:$B$201),'Бланк OLD 0.8 04'!$B$12:$K$200,8,0)&gt;0),0.4,"")))),
IF(VLOOKUP($A127-COUNT('Шаг2.Бланк заказа NEW'!$B$19:$B$201)-COUNT('Бланк OLD 0.8 04'!$B$18:$B$200),'Бланк OLD 2.0 04 '!$B$16:$K$200,7,0)&gt;1,2,
IF(VLOOKUP($A127-COUNT('Шаг2.Бланк заказа NEW'!$B$19:$B$201)-COUNT('Бланк OLD 0.8 04'!$B$18:$B$200),'Бланк OLD 2.0 04 '!$B$16:$K$200,8,0)&gt;1,0.4,
IF(AND(VLOOKUP($A127-COUNT('Шаг2.Бланк заказа NEW'!$B$19:$B$201)-COUNT('Бланк OLD 0.8 04'!$B$18:$B$200),'Бланк OLD 2.0 04 '!$B$16:$K$200,7,0)&gt;0,VLOOKUP($A127-COUNT('Шаг2.Бланк заказа NEW'!$B$19:$B$201)-COUNT('Бланк OLD 0.8 04'!$B$18:$B$200),'Бланк OLD 2.0 04 '!$B$16:$K$200,8,0)&gt;0),0.4,""))))</f>
        <v/>
      </c>
      <c r="V127" s="146" t="str">
        <f ca="1">IFERROR(VLOOKUP(C127,'Шаг1.Выбор плиты'!C:S,12,0),"")</f>
        <v/>
      </c>
      <c r="W127" s="146" t="str">
        <f ca="1">IFERROR(VLOOKUP(C127,'Шаг1.Выбор плиты'!C:S,8,0),"")</f>
        <v/>
      </c>
      <c r="X127" s="146" t="str">
        <f ca="1">IFERROR(VLOOKUP(C127,'Шаг1.Выбор плиты'!C:S,10,0),"")</f>
        <v/>
      </c>
      <c r="Y127" s="147" t="str">
        <f t="shared" ca="1" si="8"/>
        <v/>
      </c>
      <c r="AD127" s="147" t="str">
        <f t="shared" ca="1" si="11"/>
        <v/>
      </c>
      <c r="AE127" s="147" t="str">
        <f t="shared" ca="1" si="9"/>
        <v/>
      </c>
      <c r="AF127" s="25"/>
      <c r="AH127" s="147" t="str">
        <f ca="1">IF(C127="","",VLOOKUP(C127,'Шаг1.Выбор плиты'!C:Q,7,0))</f>
        <v/>
      </c>
      <c r="AI127" s="147" t="str">
        <f t="shared" ca="1" si="12"/>
        <v/>
      </c>
    </row>
    <row r="128" spans="1:35" x14ac:dyDescent="0.2">
      <c r="A128" s="151" t="str">
        <f ca="1">IF(C128="","",MAX($A$1:OFFSET(C128,-1,0))+1)</f>
        <v/>
      </c>
      <c r="B128" s="151" t="str">
        <f ca="1">IFERROR(IFERROR(IFERROR("Шаг2.Бланк заказа NEW №"&amp;VLOOKUP(A127+1,CHOOSE({1,2},'Шаг2.Бланк заказа NEW'!$B$19:$B$201,'Шаг2.Бланк заказа NEW'!$A$19:$A$201),1,0),
"Бланк OLD 0.8 04 №"&amp;VLOOKUP(A127+1-COUNT('Шаг2.Бланк заказа NEW'!$B$19:$B$201),CHOOSE({1,2},'Бланк OLD 0.8 04'!$B$18:$B$200,'Бланк OLD 0.8 04'!$A$18:$A$200),1,0)),
"Бланк OLD 2.0 04 №"&amp;VLOOKUP(A127+1-COUNT('Шаг2.Бланк заказа NEW'!$B$19:$B$201)-COUNT('Бланк OLD 0.8 04'!$B$18:$B$200),CHOOSE({1,2},'Бланк OLD 2.0 04 '!$B$18:$B$200,'Бланк OLD 2.0 04 '!$A$18:$A$200),1,0)),"")</f>
        <v/>
      </c>
      <c r="C128" s="152" t="str">
        <f ca="1">IFERROR(IFERROR(IFERROR(VLOOKUP(A127+1,CHOOSE({1,2},'Шаг2.Бланк заказа NEW'!$B$19:$B$201,'Шаг2.Бланк заказа NEW'!$A$19:$A$201),2,0),
VLOOKUP(A127+1-COUNT('Шаг2.Бланк заказа NEW'!$B$19:$B$201),CHOOSE({1,2},'Бланк OLD 0.8 04'!$B$18:$B$200,'Бланк OLD 0.8 04'!$A$18:$A$200),2,0)),
VLOOKUP(A127+1-COUNT('Шаг2.Бланк заказа NEW'!$B$19:$B$201)-COUNT('Бланк OLD 0.8 04'!$B$18:$B$200),CHOOSE({1,2},'Бланк OLD 2.0 04 '!$B$18:$B$200,'Бланк OLD 2.0 04 '!$A$18:$A$200),2,0)),"")</f>
        <v/>
      </c>
      <c r="D128" s="150" t="str">
        <f ca="1">IFERROR(VLOOKUP(C128,'Шаг1.Выбор плиты'!C:G,5,0),"")</f>
        <v/>
      </c>
      <c r="E128" s="147" t="str">
        <f ca="1">IFERROR(IFERROR(IF(VLOOKUP($A128,'Шаг2.Бланк заказа NEW'!$B$17:$N$201,2,0)="","",VLOOKUP($A128,'Шаг2.Бланк заказа NEW'!$B$17:$N$201,2,0)),
IF(VLOOKUP($A128-COUNT('Шаг2.Бланк заказа NEW'!$B$19:$B$201),'Бланк OLD 0.8 04'!$B$12:$K$200,2,0)="","",VLOOKUP($A128-COUNT('Шаг2.Бланк заказа NEW'!$B$19:$B$201),'Бланк OLD 0.8 04'!$B$12:$K$200,2,0))),
IF(VLOOKUP($A128-COUNT('Шаг2.Бланк заказа NEW'!$B$19:$B$201)-COUNT('Бланк OLD 0.8 04'!$B$18:$B$200),'Бланк OLD 2.0 04 '!$B$16:$K$200,2,0)="","",VLOOKUP($A128-COUNT('Шаг2.Бланк заказа NEW'!$B$19:$B$201)-COUNT('Бланк OLD 0.8 04'!$B$18:$B$200),'Бланк OLD 2.0 04 '!$B$16:$K$200,2,0)))</f>
        <v/>
      </c>
      <c r="F128" s="147" t="str">
        <f ca="1">IFERROR(IFERROR(IF(VLOOKUP($A128,'Шаг2.Бланк заказа NEW'!$B$17:$N$201,3,0)="","",VLOOKUP($A128,'Шаг2.Бланк заказа NEW'!$B$17:$N$201,3,0)),
IF(VLOOKUP($A128-COUNT('Шаг2.Бланк заказа NEW'!$B$19:$B$201),'Бланк OLD 0.8 04'!$B$12:$K$200,3,0)="","",VLOOKUP($A128-COUNT('Шаг2.Бланк заказа NEW'!$B$19:$B$201),'Бланк OLD 0.8 04'!$B$12:$K$200,3,0))),
IF(VLOOKUP($A128-COUNT('Шаг2.Бланк заказа NEW'!$B$19:$B$201)-COUNT('Бланк OLD 0.8 04'!$B$18:$B$200),'Бланк OLD 2.0 04 '!$B$16:$K$200,3,0)="","",VLOOKUP($A128-COUNT('Шаг2.Бланк заказа NEW'!$B$19:$B$201)-COUNT('Бланк OLD 0.8 04'!$B$18:$B$200),'Бланк OLD 2.0 04 '!$B$16:$K$200,3,0)))</f>
        <v/>
      </c>
      <c r="G128" s="176" t="str">
        <f ca="1">IF(IF(R128="","",IF(R128=1,SUMIFS('Шаг1.Выбор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плиты'!C:Q,12,0)),1))))))=0,
R128,
IF(R128="","",IF(R128=1,SUMIFS('Шаг1.Выбор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плиты'!N:N,R128,'Шаг1.Выбор плиты'!M:M,SMALL(INDIRECT("мм"&amp;VLOOKUP(C128,'Шаг1.Выбор плиты'!C:Q,12,0)),1)))))))</f>
        <v/>
      </c>
      <c r="H128" s="177" t="str">
        <f ca="1">IF(IF(S128="","",IF(S128=1,SUMIFS('Шаг1.Выбор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плиты'!C:Q,12,0)),1))))))=0,
S128,
IF(S128="","",IF(S128=1,SUMIFS('Шаг1.Выбор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плиты'!N:N,S128,'Шаг1.Выбор плиты'!M:M,SMALL(INDIRECT("мм"&amp;VLOOKUP(C128,'Шаг1.Выбор плиты'!C:Q,12,0)),1)))))))</f>
        <v/>
      </c>
      <c r="I128" s="147" t="str">
        <f ca="1">IFERROR(IFERROR(IF(VLOOKUP($A128,'Шаг2.Бланк заказа NEW'!$B$17:$N$201,6,0)="","",VLOOKUP($A128,'Шаг2.Бланк заказа NEW'!$B$17:$N$201,6,0)),
IF(VLOOKUP($A128-COUNT('Шаг2.Бланк заказа NEW'!$B$19:$B$201),'Бланк OLD 0.8 04'!$B$12:$K$200,6,0)="","",VLOOKUP($A128-COUNT('Шаг2.Бланк заказа NEW'!$B$19:$B$201),'Бланк OLD 0.8 04'!$B$12:$K$200,6,0))),
IF(VLOOKUP($A128-COUNT('Шаг2.Бланк заказа NEW'!$B$19:$B$201)-COUNT('Бланк OLD 0.8 04'!$B$18:$B$200),'Бланк OLD 2.0 04 '!$B$16:$K$200,6,0)="","",VLOOKUP($A128-COUNT('Шаг2.Бланк заказа NEW'!$B$19:$B$201)-COUNT('Бланк OLD 0.8 04'!$B$18:$B$200),'Бланк OLD 2.0 04 '!$B$16:$K$200,6,0)))</f>
        <v/>
      </c>
      <c r="J128" s="177" t="str">
        <f ca="1">IF(IF(T128="","",IF(T128=1,SUMIFS('Шаг1.Выбор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плиты'!C:Q,12,0)),1))))))=0,
T128,
IF(T128="","",IF(T128=1,SUMIFS('Шаг1.Выбор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плиты'!N:N,T128,'Шаг1.Выбор плиты'!M:M,SMALL(INDIRECT("мм"&amp;VLOOKUP(C128,'Шаг1.Выбор плиты'!C:Q,12,0)),1)))))))</f>
        <v/>
      </c>
      <c r="K128" s="177" t="str">
        <f ca="1">IF(IF(U128="","",IF(U128=1,SUMIFS('Шаг1.Выбор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плиты'!C:Q,12,0)),1))))))=0,
U128,
IF(U128="","",IF(U128=1,SUMIFS('Шаг1.Выбор плиты'!$G:$G,'Шаг1.Выбор плиты'!J:J,"*"&amp;RIGHT(VLOOKUP(C128,'Шаг1.Выбор плиты'!C:Q,8,0),4),'Шаг1.Выбор плиты'!L:L,IF(MID(C128,1,6)="ЛДСП P","TM"&amp;MID(VLOOKUP(C128,'Шаг1.Выбор плиты'!C:Q,10,0),3,2),MID(VLOOKUP(C128,'Шаг1.Выбор плиты'!C:Q,10,0),1,2)),
'Шаг1.Выбор плиты'!N:N,1),IF(SUMIFS('Шаг1.Выбор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плиты'!C:Q,12,0)),1))=0,
IF(SUMIFS('Шаг1.Выбор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плиты'!C:Q,12,0)),2))=0,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плиты'!C:Q,12,0)),3)),
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плиты'!C:Q,12,0)),2))),
(SUMIFS('Шаг1.Выбор плиты'!$G:$G,'Шаг1.Выбор плиты'!J:J,"*"&amp;RIGHT(VLOOKUP(C128,'Шаг1.Выбор плиты'!C:Q,8,0),4),'Шаг1.Выбор плиты'!L:L,VLOOKUP(C128,'Шаг1.Выбор плиты'!C:Q,10,0),'Шаг1.Выбор плиты'!N:N,U128,'Шаг1.Выбор плиты'!M:M,SMALL(INDIRECT("мм"&amp;VLOOKUP(C128,'Шаг1.Выбор плиты'!C:Q,12,0)),1)))))))</f>
        <v/>
      </c>
      <c r="L128" s="147" t="str">
        <f ca="1">IFERROR(IFERROR(IF(VLOOKUP($A128,'Шаг2.Бланк заказа NEW'!$B$17:$N$201,9,0)="","",VLOOKUP($A128,'Шаг2.Бланк заказа NEW'!$B$17:$N$201,9,0)),
IF(VLOOKUP($A128-COUNT('Шаг2.Бланк заказа NEW'!$B$19:$B$201),'Бланк OLD 0.8 04'!$B$12:$K$200,9,0)="","",VLOOKUP($A128-COUNT('Шаг2.Бланк заказа NEW'!$B$19:$B$201),'Бланк OLD 0.8 04'!$B$12:$K$200,9,0))),
IF(VLOOKUP($A128-COUNT('Шаг2.Бланк заказа NEW'!$B$19:$B$201)-COUNT('Бланк OLD 0.8 04'!$B$18:$B$200),'Бланк OLD 2.0 04 '!$B$16:$K$200,9,0)="","",VLOOKUP($A128-COUNT('Шаг2.Бланк заказа NEW'!$B$19:$B$201)-COUNT('Бланк OLD 0.8 04'!$B$18:$B$200),'Бланк OLD 2.0 04 '!$B$16:$K$200,9,0)))</f>
        <v/>
      </c>
      <c r="M128" s="154" t="str">
        <f t="shared" ca="1" si="10"/>
        <v/>
      </c>
      <c r="N128" s="153" t="str">
        <f ca="1">IFERROR(IF(VLOOKUP($A128,'Шаг2.Бланк заказа NEW'!$B$17:$N$201,11,0)="","",VLOOKUP($A128,'Шаг2.Бланк заказа NEW'!$B$17:$N$201,11,0)),
"Нет")</f>
        <v/>
      </c>
      <c r="O128" s="147" t="str">
        <f ca="1">IFERROR(IF(VLOOKUP($A128,'Шаг2.Бланк заказа NEW'!$B$17:$N$201,11,0)="","",VLOOKUP($A128,'Шаг2.Бланк заказа NEW'!$B$17:$N$201,12,0)),
"Нет")</f>
        <v/>
      </c>
      <c r="P128" s="153" t="str">
        <f ca="1">IFERROR(IF(VLOOKUP($A128,'Шаг2.Бланк заказа NEW'!$B$17:$N$201,13,0)="","",VLOOKUP($A128,'Шаг2.Бланк заказа NEW'!$B$17:$N$201,13,0)),
"Нет")</f>
        <v/>
      </c>
      <c r="Q128" s="147" t="str">
        <f ca="1">IFERROR(IF(VLOOKUP($A128,'Шаг2.Бланк заказа NEW'!$B$17:$O$201,14,0)="","",VLOOKUP($A128,'Шаг2.Бланк заказа NEW'!$B$17:$O$201,14,0)),"")</f>
        <v/>
      </c>
      <c r="R128" s="147" t="str">
        <f ca="1">IFERROR(IFERROR(IF(VLOOKUP($A128,'Шаг2.Бланк заказа NEW'!$B$17:$N$201,4,0)="","",VLOOKUP($A128,'Шаг2.Бланк заказа NEW'!$B$17:$N$201,4,0)),
IF(VLOOKUP($A128-COUNT('Шаг2.Бланк заказа NEW'!$B$19:$B$201),'Бланк OLD 0.8 04'!$B$12:$K$200,4,0)&gt;0,0.8,
IF(VLOOKUP($A128-COUNT('Шаг2.Бланк заказа NEW'!$B$19:$B$201),'Бланк OLD 0.8 04'!$B$12:$K$200,5,0)&gt;0,0.4,""))),
IF(VLOOKUP($A128-COUNT('Шаг2.Бланк заказа NEW'!$B$19:$B$201)-COUNT('Бланк OLD 0.8 04'!$B$18:$B$200),'Бланк OLD 2.0 04 '!$B$16:$K$200,4,0)&gt;0,2,IF(VLOOKUP($A128-COUNT('Шаг2.Бланк заказа NEW'!$B$19:$B$201)-COUNT('Бланк OLD 0.8 04'!$B$18:$B$200),'Бланк OLD 2.0 04 '!$B$16:$K$200,5,0)&gt;0,0.4,"")))</f>
        <v/>
      </c>
      <c r="S128" s="147" t="str">
        <f ca="1">IFERROR(IFERROR(IF(VLOOKUP($A128,'Шаг2.Бланк заказа NEW'!$B$17:$N$201,5,0)="","",VLOOKUP($A128,'Шаг2.Бланк заказа NEW'!$B$17:$N$201,5,0)),
IF(VLOOKUP($A128-COUNT('Шаг2.Бланк заказа NEW'!$B$19:$B$201),'Бланк OLD 0.8 04'!$B$12:$K$200,4,0)&gt;1,0.8,
IF(VLOOKUP($A128-COUNT('Шаг2.Бланк заказа NEW'!$B$19:$B$201),'Бланк OLD 0.8 04'!$B$12:$K$200,5,0)&gt;1,0.4,
IF(AND(VLOOKUP($A128-COUNT('Шаг2.Бланк заказа NEW'!$B$19:$B$201),'Бланк OLD 0.8 04'!$B$12:$K$200,4,0)&gt;0,VLOOKUP($A128-COUNT('Шаг2.Бланк заказа NEW'!$B$19:$B$201),'Бланк OLD 0.8 04'!$B$12:$K$200,5,0)&gt;0),0.4,"")))),
IF(VLOOKUP($A128-COUNT('Шаг2.Бланк заказа NEW'!$B$19:$B$201)-COUNT('Бланк OLD 0.8 04'!$B$18:$B$200),'Бланк OLD 2.0 04 '!$B$16:$K$200,4,0)&gt;1,2,
IF(VLOOKUP($A128-COUNT('Шаг2.Бланк заказа NEW'!$B$19:$B$201)-COUNT('Бланк OLD 0.8 04'!$B$18:$B$200),'Бланк OLD 2.0 04 '!$B$16:$K$200,5,0)&gt;1,0.4,IF(AND(VLOOKUP($A128-COUNT('Шаг2.Бланк заказа NEW'!$B$19:$B$201)-COUNT('Бланк OLD 0.8 04'!$B$18:$B$200),'Бланк OLD 2.0 04 '!$B$16:$K$200,4,0)&gt;0,VLOOKUP($A128-COUNT('Шаг2.Бланк заказа NEW'!$B$19:$B$201)-COUNT('Бланк OLD 0.8 04'!$B$18:$B$200),'Бланк OLD 2.0 04 '!$B$16:$K$200,5,0)&gt;0),0.4,""))))</f>
        <v/>
      </c>
      <c r="T128" s="147" t="str">
        <f ca="1">IFERROR(IFERROR(IF(VLOOKUP($A128,'Шаг2.Бланк заказа NEW'!$B$17:$N$201,7,0)="","",VLOOKUP($A128,'Шаг2.Бланк заказа NEW'!$B$17:$N$201,7,0)),
IF(VLOOKUP($A128-COUNT('Шаг2.Бланк заказа NEW'!$B$19:$B$201),'Бланк OLD 0.8 04'!$B$12:$K$200,7,0)&gt;0,0.8,
IF(VLOOKUP($A128-COUNT('Шаг2.Бланк заказа NEW'!$B$19:$B$201),'Бланк OLD 0.8 04'!$B$12:$K$200,8,0)&gt;0,0.4,""))),
IF(VLOOKUP($A128-COUNT('Шаг2.Бланк заказа NEW'!$B$19:$B$201)-COUNT('Бланк OLD 0.8 04'!$B$18:$B$200),'Бланк OLD 2.0 04 '!$B$16:$K$200,7,0)&gt;0,2,IF(VLOOKUP($A128-COUNT('Шаг2.Бланк заказа NEW'!$B$19:$B$201)-COUNT('Бланк OLD 0.8 04'!$B$18:$B$200),'Бланк OLD 2.0 04 '!$B$16:$K$200,8,0)&gt;0,0.4,"")))</f>
        <v/>
      </c>
      <c r="U128" s="147" t="str">
        <f ca="1">IFERROR(IFERROR(IF(VLOOKUP($A128,'Шаг2.Бланк заказа NEW'!$B$17:$N$201,8,0)="","",VLOOKUP($A128,'Шаг2.Бланк заказа NEW'!$B$17:$N$201,8,0)),
IF(VLOOKUP($A128-COUNT('Шаг2.Бланк заказа NEW'!$B$19:$B$201),'Бланк OLD 0.8 04'!$B$12:$K$200,7,0)&gt;1,0.8,
IF(VLOOKUP($A128-COUNT('Шаг2.Бланк заказа NEW'!$B$19:$B$201),'Бланк OLD 0.8 04'!$B$12:$K$200,8,0)&gt;1,0.4,
IF(AND(VLOOKUP($A128-COUNT('Шаг2.Бланк заказа NEW'!$B$19:$B$201),'Бланк OLD 0.8 04'!$B$12:$K$200,7,0)&gt;0,VLOOKUP($A128-COUNT('Шаг2.Бланк заказа NEW'!$B$19:$B$201),'Бланк OLD 0.8 04'!$B$12:$K$200,8,0)&gt;0),0.4,"")))),
IF(VLOOKUP($A128-COUNT('Шаг2.Бланк заказа NEW'!$B$19:$B$201)-COUNT('Бланк OLD 0.8 04'!$B$18:$B$200),'Бланк OLD 2.0 04 '!$B$16:$K$200,7,0)&gt;1,2,
IF(VLOOKUP($A128-COUNT('Шаг2.Бланк заказа NEW'!$B$19:$B$201)-COUNT('Бланк OLD 0.8 04'!$B$18:$B$200),'Бланк OLD 2.0 04 '!$B$16:$K$200,8,0)&gt;1,0.4,
IF(AND(VLOOKUP($A128-COUNT('Шаг2.Бланк заказа NEW'!$B$19:$B$201)-COUNT('Бланк OLD 0.8 04'!$B$18:$B$200),'Бланк OLD 2.0 04 '!$B$16:$K$200,7,0)&gt;0,VLOOKUP($A128-COUNT('Шаг2.Бланк заказа NEW'!$B$19:$B$201)-COUNT('Бланк OLD 0.8 04'!$B$18:$B$200),'Бланк OLD 2.0 04 '!$B$16:$K$200,8,0)&gt;0),0.4,""))))</f>
        <v/>
      </c>
      <c r="V128" s="146" t="str">
        <f ca="1">IFERROR(VLOOKUP(C128,'Шаг1.Выбор плиты'!C:S,12,0),"")</f>
        <v/>
      </c>
      <c r="W128" s="146" t="str">
        <f ca="1">IFERROR(VLOOKUP(C128,'Шаг1.Выбор плиты'!C:S,8,0),"")</f>
        <v/>
      </c>
      <c r="X128" s="146" t="str">
        <f ca="1">IFERROR(VLOOKUP(C128,'Шаг1.Выбор плиты'!C:S,10,0),"")</f>
        <v/>
      </c>
      <c r="Y128" s="147" t="str">
        <f t="shared" ca="1" si="8"/>
        <v/>
      </c>
      <c r="AD128" s="147" t="str">
        <f t="shared" ca="1" si="11"/>
        <v/>
      </c>
      <c r="AE128" s="147" t="str">
        <f t="shared" ca="1" si="9"/>
        <v/>
      </c>
      <c r="AF128" s="25"/>
      <c r="AH128" s="147" t="str">
        <f ca="1">IF(C128="","",VLOOKUP(C128,'Шаг1.Выбор плиты'!C:Q,7,0))</f>
        <v/>
      </c>
      <c r="AI128" s="147" t="str">
        <f t="shared" ca="1" si="12"/>
        <v/>
      </c>
    </row>
    <row r="129" spans="1:35" x14ac:dyDescent="0.2">
      <c r="A129" s="151" t="str">
        <f ca="1">IF(C129="","",MAX($A$1:OFFSET(C129,-1,0))+1)</f>
        <v/>
      </c>
      <c r="B129" s="151" t="str">
        <f ca="1">IFERROR(IFERROR(IFERROR("Шаг2.Бланк заказа NEW №"&amp;VLOOKUP(A128+1,CHOOSE({1,2},'Шаг2.Бланк заказа NEW'!$B$19:$B$201,'Шаг2.Бланк заказа NEW'!$A$19:$A$201),1,0),
"Бланк OLD 0.8 04 №"&amp;VLOOKUP(A128+1-COUNT('Шаг2.Бланк заказа NEW'!$B$19:$B$201),CHOOSE({1,2},'Бланк OLD 0.8 04'!$B$18:$B$200,'Бланк OLD 0.8 04'!$A$18:$A$200),1,0)),
"Бланк OLD 2.0 04 №"&amp;VLOOKUP(A128+1-COUNT('Шаг2.Бланк заказа NEW'!$B$19:$B$201)-COUNT('Бланк OLD 0.8 04'!$B$18:$B$200),CHOOSE({1,2},'Бланк OLD 2.0 04 '!$B$18:$B$200,'Бланк OLD 2.0 04 '!$A$18:$A$200),1,0)),"")</f>
        <v/>
      </c>
      <c r="C129" s="152" t="str">
        <f ca="1">IFERROR(IFERROR(IFERROR(VLOOKUP(A128+1,CHOOSE({1,2},'Шаг2.Бланк заказа NEW'!$B$19:$B$201,'Шаг2.Бланк заказа NEW'!$A$19:$A$201),2,0),
VLOOKUP(A128+1-COUNT('Шаг2.Бланк заказа NEW'!$B$19:$B$201),CHOOSE({1,2},'Бланк OLD 0.8 04'!$B$18:$B$200,'Бланк OLD 0.8 04'!$A$18:$A$200),2,0)),
VLOOKUP(A128+1-COUNT('Шаг2.Бланк заказа NEW'!$B$19:$B$201)-COUNT('Бланк OLD 0.8 04'!$B$18:$B$200),CHOOSE({1,2},'Бланк OLD 2.0 04 '!$B$18:$B$200,'Бланк OLD 2.0 04 '!$A$18:$A$200),2,0)),"")</f>
        <v/>
      </c>
      <c r="D129" s="150" t="str">
        <f ca="1">IFERROR(VLOOKUP(C129,'Шаг1.Выбор плиты'!C:G,5,0),"")</f>
        <v/>
      </c>
      <c r="E129" s="147" t="str">
        <f ca="1">IFERROR(IFERROR(IF(VLOOKUP($A129,'Шаг2.Бланк заказа NEW'!$B$17:$N$201,2,0)="","",VLOOKUP($A129,'Шаг2.Бланк заказа NEW'!$B$17:$N$201,2,0)),
IF(VLOOKUP($A129-COUNT('Шаг2.Бланк заказа NEW'!$B$19:$B$201),'Бланк OLD 0.8 04'!$B$12:$K$200,2,0)="","",VLOOKUP($A129-COUNT('Шаг2.Бланк заказа NEW'!$B$19:$B$201),'Бланк OLD 0.8 04'!$B$12:$K$200,2,0))),
IF(VLOOKUP($A129-COUNT('Шаг2.Бланк заказа NEW'!$B$19:$B$201)-COUNT('Бланк OLD 0.8 04'!$B$18:$B$200),'Бланк OLD 2.0 04 '!$B$16:$K$200,2,0)="","",VLOOKUP($A129-COUNT('Шаг2.Бланк заказа NEW'!$B$19:$B$201)-COUNT('Бланк OLD 0.8 04'!$B$18:$B$200),'Бланк OLD 2.0 04 '!$B$16:$K$200,2,0)))</f>
        <v/>
      </c>
      <c r="F129" s="147" t="str">
        <f ca="1">IFERROR(IFERROR(IF(VLOOKUP($A129,'Шаг2.Бланк заказа NEW'!$B$17:$N$201,3,0)="","",VLOOKUP($A129,'Шаг2.Бланк заказа NEW'!$B$17:$N$201,3,0)),
IF(VLOOKUP($A129-COUNT('Шаг2.Бланк заказа NEW'!$B$19:$B$201),'Бланк OLD 0.8 04'!$B$12:$K$200,3,0)="","",VLOOKUP($A129-COUNT('Шаг2.Бланк заказа NEW'!$B$19:$B$201),'Бланк OLD 0.8 04'!$B$12:$K$200,3,0))),
IF(VLOOKUP($A129-COUNT('Шаг2.Бланк заказа NEW'!$B$19:$B$201)-COUNT('Бланк OLD 0.8 04'!$B$18:$B$200),'Бланк OLD 2.0 04 '!$B$16:$K$200,3,0)="","",VLOOKUP($A129-COUNT('Шаг2.Бланк заказа NEW'!$B$19:$B$201)-COUNT('Бланк OLD 0.8 04'!$B$18:$B$200),'Бланк OLD 2.0 04 '!$B$16:$K$200,3,0)))</f>
        <v/>
      </c>
      <c r="G129" s="176" t="str">
        <f ca="1">IF(IF(R129="","",IF(R129=1,SUMIFS('Шаг1.Выбор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плиты'!C:Q,12,0)),1))))))=0,
R129,
IF(R129="","",IF(R129=1,SUMIFS('Шаг1.Выбор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плиты'!N:N,R129,'Шаг1.Выбор плиты'!M:M,SMALL(INDIRECT("мм"&amp;VLOOKUP(C129,'Шаг1.Выбор плиты'!C:Q,12,0)),1)))))))</f>
        <v/>
      </c>
      <c r="H129" s="177" t="str">
        <f ca="1">IF(IF(S129="","",IF(S129=1,SUMIFS('Шаг1.Выбор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плиты'!C:Q,12,0)),1))))))=0,
S129,
IF(S129="","",IF(S129=1,SUMIFS('Шаг1.Выбор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плиты'!N:N,S129,'Шаг1.Выбор плиты'!M:M,SMALL(INDIRECT("мм"&amp;VLOOKUP(C129,'Шаг1.Выбор плиты'!C:Q,12,0)),1)))))))</f>
        <v/>
      </c>
      <c r="I129" s="147" t="str">
        <f ca="1">IFERROR(IFERROR(IF(VLOOKUP($A129,'Шаг2.Бланк заказа NEW'!$B$17:$N$201,6,0)="","",VLOOKUP($A129,'Шаг2.Бланк заказа NEW'!$B$17:$N$201,6,0)),
IF(VLOOKUP($A129-COUNT('Шаг2.Бланк заказа NEW'!$B$19:$B$201),'Бланк OLD 0.8 04'!$B$12:$K$200,6,0)="","",VLOOKUP($A129-COUNT('Шаг2.Бланк заказа NEW'!$B$19:$B$201),'Бланк OLD 0.8 04'!$B$12:$K$200,6,0))),
IF(VLOOKUP($A129-COUNT('Шаг2.Бланк заказа NEW'!$B$19:$B$201)-COUNT('Бланк OLD 0.8 04'!$B$18:$B$200),'Бланк OLD 2.0 04 '!$B$16:$K$200,6,0)="","",VLOOKUP($A129-COUNT('Шаг2.Бланк заказа NEW'!$B$19:$B$201)-COUNT('Бланк OLD 0.8 04'!$B$18:$B$200),'Бланк OLD 2.0 04 '!$B$16:$K$200,6,0)))</f>
        <v/>
      </c>
      <c r="J129" s="177" t="str">
        <f ca="1">IF(IF(T129="","",IF(T129=1,SUMIFS('Шаг1.Выбор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плиты'!C:Q,12,0)),1))))))=0,
T129,
IF(T129="","",IF(T129=1,SUMIFS('Шаг1.Выбор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плиты'!N:N,T129,'Шаг1.Выбор плиты'!M:M,SMALL(INDIRECT("мм"&amp;VLOOKUP(C129,'Шаг1.Выбор плиты'!C:Q,12,0)),1)))))))</f>
        <v/>
      </c>
      <c r="K129" s="177" t="str">
        <f ca="1">IF(IF(U129="","",IF(U129=1,SUMIFS('Шаг1.Выбор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плиты'!C:Q,12,0)),1))))))=0,
U129,
IF(U129="","",IF(U129=1,SUMIFS('Шаг1.Выбор плиты'!$G:$G,'Шаг1.Выбор плиты'!J:J,"*"&amp;RIGHT(VLOOKUP(C129,'Шаг1.Выбор плиты'!C:Q,8,0),4),'Шаг1.Выбор плиты'!L:L,IF(MID(C129,1,6)="ЛДСП P","TM"&amp;MID(VLOOKUP(C129,'Шаг1.Выбор плиты'!C:Q,10,0),3,2),MID(VLOOKUP(C129,'Шаг1.Выбор плиты'!C:Q,10,0),1,2)),
'Шаг1.Выбор плиты'!N:N,1),IF(SUMIFS('Шаг1.Выбор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плиты'!C:Q,12,0)),1))=0,
IF(SUMIFS('Шаг1.Выбор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плиты'!C:Q,12,0)),2))=0,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плиты'!C:Q,12,0)),3)),
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плиты'!C:Q,12,0)),2))),
(SUMIFS('Шаг1.Выбор плиты'!$G:$G,'Шаг1.Выбор плиты'!J:J,"*"&amp;RIGHT(VLOOKUP(C129,'Шаг1.Выбор плиты'!C:Q,8,0),4),'Шаг1.Выбор плиты'!L:L,VLOOKUP(C129,'Шаг1.Выбор плиты'!C:Q,10,0),'Шаг1.Выбор плиты'!N:N,U129,'Шаг1.Выбор плиты'!M:M,SMALL(INDIRECT("мм"&amp;VLOOKUP(C129,'Шаг1.Выбор плиты'!C:Q,12,0)),1)))))))</f>
        <v/>
      </c>
      <c r="L129" s="147" t="str">
        <f ca="1">IFERROR(IFERROR(IF(VLOOKUP($A129,'Шаг2.Бланк заказа NEW'!$B$17:$N$201,9,0)="","",VLOOKUP($A129,'Шаг2.Бланк заказа NEW'!$B$17:$N$201,9,0)),
IF(VLOOKUP($A129-COUNT('Шаг2.Бланк заказа NEW'!$B$19:$B$201),'Бланк OLD 0.8 04'!$B$12:$K$200,9,0)="","",VLOOKUP($A129-COUNT('Шаг2.Бланк заказа NEW'!$B$19:$B$201),'Бланк OLD 0.8 04'!$B$12:$K$200,9,0))),
IF(VLOOKUP($A129-COUNT('Шаг2.Бланк заказа NEW'!$B$19:$B$201)-COUNT('Бланк OLD 0.8 04'!$B$18:$B$200),'Бланк OLD 2.0 04 '!$B$16:$K$200,9,0)="","",VLOOKUP($A129-COUNT('Шаг2.Бланк заказа NEW'!$B$19:$B$201)-COUNT('Бланк OLD 0.8 04'!$B$18:$B$200),'Бланк OLD 2.0 04 '!$B$16:$K$200,9,0)))</f>
        <v/>
      </c>
      <c r="M129" s="154" t="str">
        <f t="shared" ca="1" si="10"/>
        <v/>
      </c>
      <c r="N129" s="153" t="str">
        <f ca="1">IFERROR(IF(VLOOKUP($A129,'Шаг2.Бланк заказа NEW'!$B$17:$N$201,11,0)="","",VLOOKUP($A129,'Шаг2.Бланк заказа NEW'!$B$17:$N$201,11,0)),
"Нет")</f>
        <v/>
      </c>
      <c r="O129" s="147" t="str">
        <f ca="1">IFERROR(IF(VLOOKUP($A129,'Шаг2.Бланк заказа NEW'!$B$17:$N$201,11,0)="","",VLOOKUP($A129,'Шаг2.Бланк заказа NEW'!$B$17:$N$201,12,0)),
"Нет")</f>
        <v/>
      </c>
      <c r="P129" s="153" t="str">
        <f ca="1">IFERROR(IF(VLOOKUP($A129,'Шаг2.Бланк заказа NEW'!$B$17:$N$201,13,0)="","",VLOOKUP($A129,'Шаг2.Бланк заказа NEW'!$B$17:$N$201,13,0)),
"Нет")</f>
        <v/>
      </c>
      <c r="Q129" s="147" t="str">
        <f ca="1">IFERROR(IF(VLOOKUP($A129,'Шаг2.Бланк заказа NEW'!$B$17:$O$201,14,0)="","",VLOOKUP($A129,'Шаг2.Бланк заказа NEW'!$B$17:$O$201,14,0)),"")</f>
        <v/>
      </c>
      <c r="R129" s="147" t="str">
        <f ca="1">IFERROR(IFERROR(IF(VLOOKUP($A129,'Шаг2.Бланк заказа NEW'!$B$17:$N$201,4,0)="","",VLOOKUP($A129,'Шаг2.Бланк заказа NEW'!$B$17:$N$201,4,0)),
IF(VLOOKUP($A129-COUNT('Шаг2.Бланк заказа NEW'!$B$19:$B$201),'Бланк OLD 0.8 04'!$B$12:$K$200,4,0)&gt;0,0.8,
IF(VLOOKUP($A129-COUNT('Шаг2.Бланк заказа NEW'!$B$19:$B$201),'Бланк OLD 0.8 04'!$B$12:$K$200,5,0)&gt;0,0.4,""))),
IF(VLOOKUP($A129-COUNT('Шаг2.Бланк заказа NEW'!$B$19:$B$201)-COUNT('Бланк OLD 0.8 04'!$B$18:$B$200),'Бланк OLD 2.0 04 '!$B$16:$K$200,4,0)&gt;0,2,IF(VLOOKUP($A129-COUNT('Шаг2.Бланк заказа NEW'!$B$19:$B$201)-COUNT('Бланк OLD 0.8 04'!$B$18:$B$200),'Бланк OLD 2.0 04 '!$B$16:$K$200,5,0)&gt;0,0.4,"")))</f>
        <v/>
      </c>
      <c r="S129" s="147" t="str">
        <f ca="1">IFERROR(IFERROR(IF(VLOOKUP($A129,'Шаг2.Бланк заказа NEW'!$B$17:$N$201,5,0)="","",VLOOKUP($A129,'Шаг2.Бланк заказа NEW'!$B$17:$N$201,5,0)),
IF(VLOOKUP($A129-COUNT('Шаг2.Бланк заказа NEW'!$B$19:$B$201),'Бланк OLD 0.8 04'!$B$12:$K$200,4,0)&gt;1,0.8,
IF(VLOOKUP($A129-COUNT('Шаг2.Бланк заказа NEW'!$B$19:$B$201),'Бланк OLD 0.8 04'!$B$12:$K$200,5,0)&gt;1,0.4,
IF(AND(VLOOKUP($A129-COUNT('Шаг2.Бланк заказа NEW'!$B$19:$B$201),'Бланк OLD 0.8 04'!$B$12:$K$200,4,0)&gt;0,VLOOKUP($A129-COUNT('Шаг2.Бланк заказа NEW'!$B$19:$B$201),'Бланк OLD 0.8 04'!$B$12:$K$200,5,0)&gt;0),0.4,"")))),
IF(VLOOKUP($A129-COUNT('Шаг2.Бланк заказа NEW'!$B$19:$B$201)-COUNT('Бланк OLD 0.8 04'!$B$18:$B$200),'Бланк OLD 2.0 04 '!$B$16:$K$200,4,0)&gt;1,2,
IF(VLOOKUP($A129-COUNT('Шаг2.Бланк заказа NEW'!$B$19:$B$201)-COUNT('Бланк OLD 0.8 04'!$B$18:$B$200),'Бланк OLD 2.0 04 '!$B$16:$K$200,5,0)&gt;1,0.4,IF(AND(VLOOKUP($A129-COUNT('Шаг2.Бланк заказа NEW'!$B$19:$B$201)-COUNT('Бланк OLD 0.8 04'!$B$18:$B$200),'Бланк OLD 2.0 04 '!$B$16:$K$200,4,0)&gt;0,VLOOKUP($A129-COUNT('Шаг2.Бланк заказа NEW'!$B$19:$B$201)-COUNT('Бланк OLD 0.8 04'!$B$18:$B$200),'Бланк OLD 2.0 04 '!$B$16:$K$200,5,0)&gt;0),0.4,""))))</f>
        <v/>
      </c>
      <c r="T129" s="147" t="str">
        <f ca="1">IFERROR(IFERROR(IF(VLOOKUP($A129,'Шаг2.Бланк заказа NEW'!$B$17:$N$201,7,0)="","",VLOOKUP($A129,'Шаг2.Бланк заказа NEW'!$B$17:$N$201,7,0)),
IF(VLOOKUP($A129-COUNT('Шаг2.Бланк заказа NEW'!$B$19:$B$201),'Бланк OLD 0.8 04'!$B$12:$K$200,7,0)&gt;0,0.8,
IF(VLOOKUP($A129-COUNT('Шаг2.Бланк заказа NEW'!$B$19:$B$201),'Бланк OLD 0.8 04'!$B$12:$K$200,8,0)&gt;0,0.4,""))),
IF(VLOOKUP($A129-COUNT('Шаг2.Бланк заказа NEW'!$B$19:$B$201)-COUNT('Бланк OLD 0.8 04'!$B$18:$B$200),'Бланк OLD 2.0 04 '!$B$16:$K$200,7,0)&gt;0,2,IF(VLOOKUP($A129-COUNT('Шаг2.Бланк заказа NEW'!$B$19:$B$201)-COUNT('Бланк OLD 0.8 04'!$B$18:$B$200),'Бланк OLD 2.0 04 '!$B$16:$K$200,8,0)&gt;0,0.4,"")))</f>
        <v/>
      </c>
      <c r="U129" s="147" t="str">
        <f ca="1">IFERROR(IFERROR(IF(VLOOKUP($A129,'Шаг2.Бланк заказа NEW'!$B$17:$N$201,8,0)="","",VLOOKUP($A129,'Шаг2.Бланк заказа NEW'!$B$17:$N$201,8,0)),
IF(VLOOKUP($A129-COUNT('Шаг2.Бланк заказа NEW'!$B$19:$B$201),'Бланк OLD 0.8 04'!$B$12:$K$200,7,0)&gt;1,0.8,
IF(VLOOKUP($A129-COUNT('Шаг2.Бланк заказа NEW'!$B$19:$B$201),'Бланк OLD 0.8 04'!$B$12:$K$200,8,0)&gt;1,0.4,
IF(AND(VLOOKUP($A129-COUNT('Шаг2.Бланк заказа NEW'!$B$19:$B$201),'Бланк OLD 0.8 04'!$B$12:$K$200,7,0)&gt;0,VLOOKUP($A129-COUNT('Шаг2.Бланк заказа NEW'!$B$19:$B$201),'Бланк OLD 0.8 04'!$B$12:$K$200,8,0)&gt;0),0.4,"")))),
IF(VLOOKUP($A129-COUNT('Шаг2.Бланк заказа NEW'!$B$19:$B$201)-COUNT('Бланк OLD 0.8 04'!$B$18:$B$200),'Бланк OLD 2.0 04 '!$B$16:$K$200,7,0)&gt;1,2,
IF(VLOOKUP($A129-COUNT('Шаг2.Бланк заказа NEW'!$B$19:$B$201)-COUNT('Бланк OLD 0.8 04'!$B$18:$B$200),'Бланк OLD 2.0 04 '!$B$16:$K$200,8,0)&gt;1,0.4,
IF(AND(VLOOKUP($A129-COUNT('Шаг2.Бланк заказа NEW'!$B$19:$B$201)-COUNT('Бланк OLD 0.8 04'!$B$18:$B$200),'Бланк OLD 2.0 04 '!$B$16:$K$200,7,0)&gt;0,VLOOKUP($A129-COUNT('Шаг2.Бланк заказа NEW'!$B$19:$B$201)-COUNT('Бланк OLD 0.8 04'!$B$18:$B$200),'Бланк OLD 2.0 04 '!$B$16:$K$200,8,0)&gt;0),0.4,""))))</f>
        <v/>
      </c>
      <c r="V129" s="146" t="str">
        <f ca="1">IFERROR(VLOOKUP(C129,'Шаг1.Выбор плиты'!C:S,12,0),"")</f>
        <v/>
      </c>
      <c r="W129" s="146" t="str">
        <f ca="1">IFERROR(VLOOKUP(C129,'Шаг1.Выбор плиты'!C:S,8,0),"")</f>
        <v/>
      </c>
      <c r="X129" s="146" t="str">
        <f ca="1">IFERROR(VLOOKUP(C129,'Шаг1.Выбор плиты'!C:S,10,0),"")</f>
        <v/>
      </c>
      <c r="Y129" s="147" t="str">
        <f t="shared" ca="1" si="8"/>
        <v/>
      </c>
      <c r="AD129" s="147" t="str">
        <f t="shared" ca="1" si="11"/>
        <v/>
      </c>
      <c r="AE129" s="147" t="str">
        <f t="shared" ca="1" si="9"/>
        <v/>
      </c>
      <c r="AF129" s="25"/>
      <c r="AH129" s="147" t="str">
        <f ca="1">IF(C129="","",VLOOKUP(C129,'Шаг1.Выбор плиты'!C:Q,7,0))</f>
        <v/>
      </c>
      <c r="AI129" s="147" t="str">
        <f t="shared" ca="1" si="12"/>
        <v/>
      </c>
    </row>
    <row r="130" spans="1:35" x14ac:dyDescent="0.2">
      <c r="A130" s="151" t="str">
        <f ca="1">IF(C130="","",MAX($A$1:OFFSET(C130,-1,0))+1)</f>
        <v/>
      </c>
      <c r="B130" s="151" t="str">
        <f ca="1">IFERROR(IFERROR(IFERROR("Шаг2.Бланк заказа NEW №"&amp;VLOOKUP(A129+1,CHOOSE({1,2},'Шаг2.Бланк заказа NEW'!$B$19:$B$201,'Шаг2.Бланк заказа NEW'!$A$19:$A$201),1,0),
"Бланк OLD 0.8 04 №"&amp;VLOOKUP(A129+1-COUNT('Шаг2.Бланк заказа NEW'!$B$19:$B$201),CHOOSE({1,2},'Бланк OLD 0.8 04'!$B$18:$B$200,'Бланк OLD 0.8 04'!$A$18:$A$200),1,0)),
"Бланк OLD 2.0 04 №"&amp;VLOOKUP(A129+1-COUNT('Шаг2.Бланк заказа NEW'!$B$19:$B$201)-COUNT('Бланк OLD 0.8 04'!$B$18:$B$200),CHOOSE({1,2},'Бланк OLD 2.0 04 '!$B$18:$B$200,'Бланк OLD 2.0 04 '!$A$18:$A$200),1,0)),"")</f>
        <v/>
      </c>
      <c r="C130" s="152" t="str">
        <f ca="1">IFERROR(IFERROR(IFERROR(VLOOKUP(A129+1,CHOOSE({1,2},'Шаг2.Бланк заказа NEW'!$B$19:$B$201,'Шаг2.Бланк заказа NEW'!$A$19:$A$201),2,0),
VLOOKUP(A129+1-COUNT('Шаг2.Бланк заказа NEW'!$B$19:$B$201),CHOOSE({1,2},'Бланк OLD 0.8 04'!$B$18:$B$200,'Бланк OLD 0.8 04'!$A$18:$A$200),2,0)),
VLOOKUP(A129+1-COUNT('Шаг2.Бланк заказа NEW'!$B$19:$B$201)-COUNT('Бланк OLD 0.8 04'!$B$18:$B$200),CHOOSE({1,2},'Бланк OLD 2.0 04 '!$B$18:$B$200,'Бланк OLD 2.0 04 '!$A$18:$A$200),2,0)),"")</f>
        <v/>
      </c>
      <c r="D130" s="150" t="str">
        <f ca="1">IFERROR(VLOOKUP(C130,'Шаг1.Выбор плиты'!C:G,5,0),"")</f>
        <v/>
      </c>
      <c r="E130" s="147" t="str">
        <f ca="1">IFERROR(IFERROR(IF(VLOOKUP($A130,'Шаг2.Бланк заказа NEW'!$B$17:$N$201,2,0)="","",VLOOKUP($A130,'Шаг2.Бланк заказа NEW'!$B$17:$N$201,2,0)),
IF(VLOOKUP($A130-COUNT('Шаг2.Бланк заказа NEW'!$B$19:$B$201),'Бланк OLD 0.8 04'!$B$12:$K$200,2,0)="","",VLOOKUP($A130-COUNT('Шаг2.Бланк заказа NEW'!$B$19:$B$201),'Бланк OLD 0.8 04'!$B$12:$K$200,2,0))),
IF(VLOOKUP($A130-COUNT('Шаг2.Бланк заказа NEW'!$B$19:$B$201)-COUNT('Бланк OLD 0.8 04'!$B$18:$B$200),'Бланк OLD 2.0 04 '!$B$16:$K$200,2,0)="","",VLOOKUP($A130-COUNT('Шаг2.Бланк заказа NEW'!$B$19:$B$201)-COUNT('Бланк OLD 0.8 04'!$B$18:$B$200),'Бланк OLD 2.0 04 '!$B$16:$K$200,2,0)))</f>
        <v/>
      </c>
      <c r="F130" s="147" t="str">
        <f ca="1">IFERROR(IFERROR(IF(VLOOKUP($A130,'Шаг2.Бланк заказа NEW'!$B$17:$N$201,3,0)="","",VLOOKUP($A130,'Шаг2.Бланк заказа NEW'!$B$17:$N$201,3,0)),
IF(VLOOKUP($A130-COUNT('Шаг2.Бланк заказа NEW'!$B$19:$B$201),'Бланк OLD 0.8 04'!$B$12:$K$200,3,0)="","",VLOOKUP($A130-COUNT('Шаг2.Бланк заказа NEW'!$B$19:$B$201),'Бланк OLD 0.8 04'!$B$12:$K$200,3,0))),
IF(VLOOKUP($A130-COUNT('Шаг2.Бланк заказа NEW'!$B$19:$B$201)-COUNT('Бланк OLD 0.8 04'!$B$18:$B$200),'Бланк OLD 2.0 04 '!$B$16:$K$200,3,0)="","",VLOOKUP($A130-COUNT('Шаг2.Бланк заказа NEW'!$B$19:$B$201)-COUNT('Бланк OLD 0.8 04'!$B$18:$B$200),'Бланк OLD 2.0 04 '!$B$16:$K$200,3,0)))</f>
        <v/>
      </c>
      <c r="G130" s="176" t="str">
        <f ca="1">IF(IF(R130="","",IF(R130=1,SUMIFS('Шаг1.Выбор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плиты'!C:Q,12,0)),1))))))=0,
R130,
IF(R130="","",IF(R130=1,SUMIFS('Шаг1.Выбор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плиты'!N:N,R130,'Шаг1.Выбор плиты'!M:M,SMALL(INDIRECT("мм"&amp;VLOOKUP(C130,'Шаг1.Выбор плиты'!C:Q,12,0)),1)))))))</f>
        <v/>
      </c>
      <c r="H130" s="177" t="str">
        <f ca="1">IF(IF(S130="","",IF(S130=1,SUMIFS('Шаг1.Выбор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плиты'!C:Q,12,0)),1))))))=0,
S130,
IF(S130="","",IF(S130=1,SUMIFS('Шаг1.Выбор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плиты'!N:N,S130,'Шаг1.Выбор плиты'!M:M,SMALL(INDIRECT("мм"&amp;VLOOKUP(C130,'Шаг1.Выбор плиты'!C:Q,12,0)),1)))))))</f>
        <v/>
      </c>
      <c r="I130" s="147" t="str">
        <f ca="1">IFERROR(IFERROR(IF(VLOOKUP($A130,'Шаг2.Бланк заказа NEW'!$B$17:$N$201,6,0)="","",VLOOKUP($A130,'Шаг2.Бланк заказа NEW'!$B$17:$N$201,6,0)),
IF(VLOOKUP($A130-COUNT('Шаг2.Бланк заказа NEW'!$B$19:$B$201),'Бланк OLD 0.8 04'!$B$12:$K$200,6,0)="","",VLOOKUP($A130-COUNT('Шаг2.Бланк заказа NEW'!$B$19:$B$201),'Бланк OLD 0.8 04'!$B$12:$K$200,6,0))),
IF(VLOOKUP($A130-COUNT('Шаг2.Бланк заказа NEW'!$B$19:$B$201)-COUNT('Бланк OLD 0.8 04'!$B$18:$B$200),'Бланк OLD 2.0 04 '!$B$16:$K$200,6,0)="","",VLOOKUP($A130-COUNT('Шаг2.Бланк заказа NEW'!$B$19:$B$201)-COUNT('Бланк OLD 0.8 04'!$B$18:$B$200),'Бланк OLD 2.0 04 '!$B$16:$K$200,6,0)))</f>
        <v/>
      </c>
      <c r="J130" s="177" t="str">
        <f ca="1">IF(IF(T130="","",IF(T130=1,SUMIFS('Шаг1.Выбор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плиты'!C:Q,12,0)),1))))))=0,
T130,
IF(T130="","",IF(T130=1,SUMIFS('Шаг1.Выбор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плиты'!N:N,T130,'Шаг1.Выбор плиты'!M:M,SMALL(INDIRECT("мм"&amp;VLOOKUP(C130,'Шаг1.Выбор плиты'!C:Q,12,0)),1)))))))</f>
        <v/>
      </c>
      <c r="K130" s="177" t="str">
        <f ca="1">IF(IF(U130="","",IF(U130=1,SUMIFS('Шаг1.Выбор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плиты'!C:Q,12,0)),1))))))=0,
U130,
IF(U130="","",IF(U130=1,SUMIFS('Шаг1.Выбор плиты'!$G:$G,'Шаг1.Выбор плиты'!J:J,"*"&amp;RIGHT(VLOOKUP(C130,'Шаг1.Выбор плиты'!C:Q,8,0),4),'Шаг1.Выбор плиты'!L:L,IF(MID(C130,1,6)="ЛДСП P","TM"&amp;MID(VLOOKUP(C130,'Шаг1.Выбор плиты'!C:Q,10,0),3,2),MID(VLOOKUP(C130,'Шаг1.Выбор плиты'!C:Q,10,0),1,2)),
'Шаг1.Выбор плиты'!N:N,1),IF(SUMIFS('Шаг1.Выбор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плиты'!C:Q,12,0)),1))=0,
IF(SUMIFS('Шаг1.Выбор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плиты'!C:Q,12,0)),2))=0,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плиты'!C:Q,12,0)),3)),
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плиты'!C:Q,12,0)),2))),
(SUMIFS('Шаг1.Выбор плиты'!$G:$G,'Шаг1.Выбор плиты'!J:J,"*"&amp;RIGHT(VLOOKUP(C130,'Шаг1.Выбор плиты'!C:Q,8,0),4),'Шаг1.Выбор плиты'!L:L,VLOOKUP(C130,'Шаг1.Выбор плиты'!C:Q,10,0),'Шаг1.Выбор плиты'!N:N,U130,'Шаг1.Выбор плиты'!M:M,SMALL(INDIRECT("мм"&amp;VLOOKUP(C130,'Шаг1.Выбор плиты'!C:Q,12,0)),1)))))))</f>
        <v/>
      </c>
      <c r="L130" s="147" t="str">
        <f ca="1">IFERROR(IFERROR(IF(VLOOKUP($A130,'Шаг2.Бланк заказа NEW'!$B$17:$N$201,9,0)="","",VLOOKUP($A130,'Шаг2.Бланк заказа NEW'!$B$17:$N$201,9,0)),
IF(VLOOKUP($A130-COUNT('Шаг2.Бланк заказа NEW'!$B$19:$B$201),'Бланк OLD 0.8 04'!$B$12:$K$200,9,0)="","",VLOOKUP($A130-COUNT('Шаг2.Бланк заказа NEW'!$B$19:$B$201),'Бланк OLD 0.8 04'!$B$12:$K$200,9,0))),
IF(VLOOKUP($A130-COUNT('Шаг2.Бланк заказа NEW'!$B$19:$B$201)-COUNT('Бланк OLD 0.8 04'!$B$18:$B$200),'Бланк OLD 2.0 04 '!$B$16:$K$200,9,0)="","",VLOOKUP($A130-COUNT('Шаг2.Бланк заказа NEW'!$B$19:$B$201)-COUNT('Бланк OLD 0.8 04'!$B$18:$B$200),'Бланк OLD 2.0 04 '!$B$16:$K$200,9,0)))</f>
        <v/>
      </c>
      <c r="M130" s="154" t="str">
        <f t="shared" ca="1" si="10"/>
        <v/>
      </c>
      <c r="N130" s="153" t="str">
        <f ca="1">IFERROR(IF(VLOOKUP($A130,'Шаг2.Бланк заказа NEW'!$B$17:$N$201,11,0)="","",VLOOKUP($A130,'Шаг2.Бланк заказа NEW'!$B$17:$N$201,11,0)),
"Нет")</f>
        <v/>
      </c>
      <c r="O130" s="147" t="str">
        <f ca="1">IFERROR(IF(VLOOKUP($A130,'Шаг2.Бланк заказа NEW'!$B$17:$N$201,11,0)="","",VLOOKUP($A130,'Шаг2.Бланк заказа NEW'!$B$17:$N$201,12,0)),
"Нет")</f>
        <v/>
      </c>
      <c r="P130" s="153" t="str">
        <f ca="1">IFERROR(IF(VLOOKUP($A130,'Шаг2.Бланк заказа NEW'!$B$17:$N$201,13,0)="","",VLOOKUP($A130,'Шаг2.Бланк заказа NEW'!$B$17:$N$201,13,0)),
"Нет")</f>
        <v/>
      </c>
      <c r="Q130" s="147" t="str">
        <f ca="1">IFERROR(IF(VLOOKUP($A130,'Шаг2.Бланк заказа NEW'!$B$17:$O$201,14,0)="","",VLOOKUP($A130,'Шаг2.Бланк заказа NEW'!$B$17:$O$201,14,0)),"")</f>
        <v/>
      </c>
      <c r="R130" s="147" t="str">
        <f ca="1">IFERROR(IFERROR(IF(VLOOKUP($A130,'Шаг2.Бланк заказа NEW'!$B$17:$N$201,4,0)="","",VLOOKUP($A130,'Шаг2.Бланк заказа NEW'!$B$17:$N$201,4,0)),
IF(VLOOKUP($A130-COUNT('Шаг2.Бланк заказа NEW'!$B$19:$B$201),'Бланк OLD 0.8 04'!$B$12:$K$200,4,0)&gt;0,0.8,
IF(VLOOKUP($A130-COUNT('Шаг2.Бланк заказа NEW'!$B$19:$B$201),'Бланк OLD 0.8 04'!$B$12:$K$200,5,0)&gt;0,0.4,""))),
IF(VLOOKUP($A130-COUNT('Шаг2.Бланк заказа NEW'!$B$19:$B$201)-COUNT('Бланк OLD 0.8 04'!$B$18:$B$200),'Бланк OLD 2.0 04 '!$B$16:$K$200,4,0)&gt;0,2,IF(VLOOKUP($A130-COUNT('Шаг2.Бланк заказа NEW'!$B$19:$B$201)-COUNT('Бланк OLD 0.8 04'!$B$18:$B$200),'Бланк OLD 2.0 04 '!$B$16:$K$200,5,0)&gt;0,0.4,"")))</f>
        <v/>
      </c>
      <c r="S130" s="147" t="str">
        <f ca="1">IFERROR(IFERROR(IF(VLOOKUP($A130,'Шаг2.Бланк заказа NEW'!$B$17:$N$201,5,0)="","",VLOOKUP($A130,'Шаг2.Бланк заказа NEW'!$B$17:$N$201,5,0)),
IF(VLOOKUP($A130-COUNT('Шаг2.Бланк заказа NEW'!$B$19:$B$201),'Бланк OLD 0.8 04'!$B$12:$K$200,4,0)&gt;1,0.8,
IF(VLOOKUP($A130-COUNT('Шаг2.Бланк заказа NEW'!$B$19:$B$201),'Бланк OLD 0.8 04'!$B$12:$K$200,5,0)&gt;1,0.4,
IF(AND(VLOOKUP($A130-COUNT('Шаг2.Бланк заказа NEW'!$B$19:$B$201),'Бланк OLD 0.8 04'!$B$12:$K$200,4,0)&gt;0,VLOOKUP($A130-COUNT('Шаг2.Бланк заказа NEW'!$B$19:$B$201),'Бланк OLD 0.8 04'!$B$12:$K$200,5,0)&gt;0),0.4,"")))),
IF(VLOOKUP($A130-COUNT('Шаг2.Бланк заказа NEW'!$B$19:$B$201)-COUNT('Бланк OLD 0.8 04'!$B$18:$B$200),'Бланк OLD 2.0 04 '!$B$16:$K$200,4,0)&gt;1,2,
IF(VLOOKUP($A130-COUNT('Шаг2.Бланк заказа NEW'!$B$19:$B$201)-COUNT('Бланк OLD 0.8 04'!$B$18:$B$200),'Бланк OLD 2.0 04 '!$B$16:$K$200,5,0)&gt;1,0.4,IF(AND(VLOOKUP($A130-COUNT('Шаг2.Бланк заказа NEW'!$B$19:$B$201)-COUNT('Бланк OLD 0.8 04'!$B$18:$B$200),'Бланк OLD 2.0 04 '!$B$16:$K$200,4,0)&gt;0,VLOOKUP($A130-COUNT('Шаг2.Бланк заказа NEW'!$B$19:$B$201)-COUNT('Бланк OLD 0.8 04'!$B$18:$B$200),'Бланк OLD 2.0 04 '!$B$16:$K$200,5,0)&gt;0),0.4,""))))</f>
        <v/>
      </c>
      <c r="T130" s="147" t="str">
        <f ca="1">IFERROR(IFERROR(IF(VLOOKUP($A130,'Шаг2.Бланк заказа NEW'!$B$17:$N$201,7,0)="","",VLOOKUP($A130,'Шаг2.Бланк заказа NEW'!$B$17:$N$201,7,0)),
IF(VLOOKUP($A130-COUNT('Шаг2.Бланк заказа NEW'!$B$19:$B$201),'Бланк OLD 0.8 04'!$B$12:$K$200,7,0)&gt;0,0.8,
IF(VLOOKUP($A130-COUNT('Шаг2.Бланк заказа NEW'!$B$19:$B$201),'Бланк OLD 0.8 04'!$B$12:$K$200,8,0)&gt;0,0.4,""))),
IF(VLOOKUP($A130-COUNT('Шаг2.Бланк заказа NEW'!$B$19:$B$201)-COUNT('Бланк OLD 0.8 04'!$B$18:$B$200),'Бланк OLD 2.0 04 '!$B$16:$K$200,7,0)&gt;0,2,IF(VLOOKUP($A130-COUNT('Шаг2.Бланк заказа NEW'!$B$19:$B$201)-COUNT('Бланк OLD 0.8 04'!$B$18:$B$200),'Бланк OLD 2.0 04 '!$B$16:$K$200,8,0)&gt;0,0.4,"")))</f>
        <v/>
      </c>
      <c r="U130" s="147" t="str">
        <f ca="1">IFERROR(IFERROR(IF(VLOOKUP($A130,'Шаг2.Бланк заказа NEW'!$B$17:$N$201,8,0)="","",VLOOKUP($A130,'Шаг2.Бланк заказа NEW'!$B$17:$N$201,8,0)),
IF(VLOOKUP($A130-COUNT('Шаг2.Бланк заказа NEW'!$B$19:$B$201),'Бланк OLD 0.8 04'!$B$12:$K$200,7,0)&gt;1,0.8,
IF(VLOOKUP($A130-COUNT('Шаг2.Бланк заказа NEW'!$B$19:$B$201),'Бланк OLD 0.8 04'!$B$12:$K$200,8,0)&gt;1,0.4,
IF(AND(VLOOKUP($A130-COUNT('Шаг2.Бланк заказа NEW'!$B$19:$B$201),'Бланк OLD 0.8 04'!$B$12:$K$200,7,0)&gt;0,VLOOKUP($A130-COUNT('Шаг2.Бланк заказа NEW'!$B$19:$B$201),'Бланк OLD 0.8 04'!$B$12:$K$200,8,0)&gt;0),0.4,"")))),
IF(VLOOKUP($A130-COUNT('Шаг2.Бланк заказа NEW'!$B$19:$B$201)-COUNT('Бланк OLD 0.8 04'!$B$18:$B$200),'Бланк OLD 2.0 04 '!$B$16:$K$200,7,0)&gt;1,2,
IF(VLOOKUP($A130-COUNT('Шаг2.Бланк заказа NEW'!$B$19:$B$201)-COUNT('Бланк OLD 0.8 04'!$B$18:$B$200),'Бланк OLD 2.0 04 '!$B$16:$K$200,8,0)&gt;1,0.4,
IF(AND(VLOOKUP($A130-COUNT('Шаг2.Бланк заказа NEW'!$B$19:$B$201)-COUNT('Бланк OLD 0.8 04'!$B$18:$B$200),'Бланк OLD 2.0 04 '!$B$16:$K$200,7,0)&gt;0,VLOOKUP($A130-COUNT('Шаг2.Бланк заказа NEW'!$B$19:$B$201)-COUNT('Бланк OLD 0.8 04'!$B$18:$B$200),'Бланк OLD 2.0 04 '!$B$16:$K$200,8,0)&gt;0),0.4,""))))</f>
        <v/>
      </c>
      <c r="V130" s="146" t="str">
        <f ca="1">IFERROR(VLOOKUP(C130,'Шаг1.Выбор плиты'!C:S,12,0),"")</f>
        <v/>
      </c>
      <c r="W130" s="146" t="str">
        <f ca="1">IFERROR(VLOOKUP(C130,'Шаг1.Выбор плиты'!C:S,8,0),"")</f>
        <v/>
      </c>
      <c r="X130" s="146" t="str">
        <f ca="1">IFERROR(VLOOKUP(C130,'Шаг1.Выбор плиты'!C:S,10,0),"")</f>
        <v/>
      </c>
      <c r="Y130" s="147" t="str">
        <f t="shared" ca="1" si="8"/>
        <v/>
      </c>
      <c r="AD130" s="147" t="str">
        <f t="shared" ca="1" si="11"/>
        <v/>
      </c>
      <c r="AE130" s="147" t="str">
        <f t="shared" ca="1" si="9"/>
        <v/>
      </c>
      <c r="AF130" s="25"/>
      <c r="AH130" s="147" t="str">
        <f ca="1">IF(C130="","",VLOOKUP(C130,'Шаг1.Выбор плиты'!C:Q,7,0))</f>
        <v/>
      </c>
      <c r="AI130" s="147" t="str">
        <f t="shared" ca="1" si="12"/>
        <v/>
      </c>
    </row>
    <row r="131" spans="1:35" x14ac:dyDescent="0.2">
      <c r="A131" s="151" t="str">
        <f ca="1">IF(C131="","",MAX($A$1:OFFSET(C131,-1,0))+1)</f>
        <v/>
      </c>
      <c r="B131" s="151" t="str">
        <f ca="1">IFERROR(IFERROR(IFERROR("Шаг2.Бланк заказа NEW №"&amp;VLOOKUP(A130+1,CHOOSE({1,2},'Шаг2.Бланк заказа NEW'!$B$19:$B$201,'Шаг2.Бланк заказа NEW'!$A$19:$A$201),1,0),
"Бланк OLD 0.8 04 №"&amp;VLOOKUP(A130+1-COUNT('Шаг2.Бланк заказа NEW'!$B$19:$B$201),CHOOSE({1,2},'Бланк OLD 0.8 04'!$B$18:$B$200,'Бланк OLD 0.8 04'!$A$18:$A$200),1,0)),
"Бланк OLD 2.0 04 №"&amp;VLOOKUP(A130+1-COUNT('Шаг2.Бланк заказа NEW'!$B$19:$B$201)-COUNT('Бланк OLD 0.8 04'!$B$18:$B$200),CHOOSE({1,2},'Бланк OLD 2.0 04 '!$B$18:$B$200,'Бланк OLD 2.0 04 '!$A$18:$A$200),1,0)),"")</f>
        <v/>
      </c>
      <c r="C131" s="152" t="str">
        <f ca="1">IFERROR(IFERROR(IFERROR(VLOOKUP(A130+1,CHOOSE({1,2},'Шаг2.Бланк заказа NEW'!$B$19:$B$201,'Шаг2.Бланк заказа NEW'!$A$19:$A$201),2,0),
VLOOKUP(A130+1-COUNT('Шаг2.Бланк заказа NEW'!$B$19:$B$201),CHOOSE({1,2},'Бланк OLD 0.8 04'!$B$18:$B$200,'Бланк OLD 0.8 04'!$A$18:$A$200),2,0)),
VLOOKUP(A130+1-COUNT('Шаг2.Бланк заказа NEW'!$B$19:$B$201)-COUNT('Бланк OLD 0.8 04'!$B$18:$B$200),CHOOSE({1,2},'Бланк OLD 2.0 04 '!$B$18:$B$200,'Бланк OLD 2.0 04 '!$A$18:$A$200),2,0)),"")</f>
        <v/>
      </c>
      <c r="D131" s="150" t="str">
        <f ca="1">IFERROR(VLOOKUP(C131,'Шаг1.Выбор плиты'!C:G,5,0),"")</f>
        <v/>
      </c>
      <c r="E131" s="147" t="str">
        <f ca="1">IFERROR(IFERROR(IF(VLOOKUP($A131,'Шаг2.Бланк заказа NEW'!$B$17:$N$201,2,0)="","",VLOOKUP($A131,'Шаг2.Бланк заказа NEW'!$B$17:$N$201,2,0)),
IF(VLOOKUP($A131-COUNT('Шаг2.Бланк заказа NEW'!$B$19:$B$201),'Бланк OLD 0.8 04'!$B$12:$K$200,2,0)="","",VLOOKUP($A131-COUNT('Шаг2.Бланк заказа NEW'!$B$19:$B$201),'Бланк OLD 0.8 04'!$B$12:$K$200,2,0))),
IF(VLOOKUP($A131-COUNT('Шаг2.Бланк заказа NEW'!$B$19:$B$201)-COUNT('Бланк OLD 0.8 04'!$B$18:$B$200),'Бланк OLD 2.0 04 '!$B$16:$K$200,2,0)="","",VLOOKUP($A131-COUNT('Шаг2.Бланк заказа NEW'!$B$19:$B$201)-COUNT('Бланк OLD 0.8 04'!$B$18:$B$200),'Бланк OLD 2.0 04 '!$B$16:$K$200,2,0)))</f>
        <v/>
      </c>
      <c r="F131" s="147" t="str">
        <f ca="1">IFERROR(IFERROR(IF(VLOOKUP($A131,'Шаг2.Бланк заказа NEW'!$B$17:$N$201,3,0)="","",VLOOKUP($A131,'Шаг2.Бланк заказа NEW'!$B$17:$N$201,3,0)),
IF(VLOOKUP($A131-COUNT('Шаг2.Бланк заказа NEW'!$B$19:$B$201),'Бланк OLD 0.8 04'!$B$12:$K$200,3,0)="","",VLOOKUP($A131-COUNT('Шаг2.Бланк заказа NEW'!$B$19:$B$201),'Бланк OLD 0.8 04'!$B$12:$K$200,3,0))),
IF(VLOOKUP($A131-COUNT('Шаг2.Бланк заказа NEW'!$B$19:$B$201)-COUNT('Бланк OLD 0.8 04'!$B$18:$B$200),'Бланк OLD 2.0 04 '!$B$16:$K$200,3,0)="","",VLOOKUP($A131-COUNT('Шаг2.Бланк заказа NEW'!$B$19:$B$201)-COUNT('Бланк OLD 0.8 04'!$B$18:$B$200),'Бланк OLD 2.0 04 '!$B$16:$K$200,3,0)))</f>
        <v/>
      </c>
      <c r="G131" s="176" t="str">
        <f ca="1">IF(IF(R131="","",IF(R131=1,SUMIFS('Шаг1.Выбор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плиты'!C:Q,12,0)),1))))))=0,
R131,
IF(R131="","",IF(R131=1,SUMIFS('Шаг1.Выбор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плиты'!N:N,R131,'Шаг1.Выбор плиты'!M:M,SMALL(INDIRECT("мм"&amp;VLOOKUP(C131,'Шаг1.Выбор плиты'!C:Q,12,0)),1)))))))</f>
        <v/>
      </c>
      <c r="H131" s="177" t="str">
        <f ca="1">IF(IF(S131="","",IF(S131=1,SUMIFS('Шаг1.Выбор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плиты'!C:Q,12,0)),1))))))=0,
S131,
IF(S131="","",IF(S131=1,SUMIFS('Шаг1.Выбор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плиты'!N:N,S131,'Шаг1.Выбор плиты'!M:M,SMALL(INDIRECT("мм"&amp;VLOOKUP(C131,'Шаг1.Выбор плиты'!C:Q,12,0)),1)))))))</f>
        <v/>
      </c>
      <c r="I131" s="147" t="str">
        <f ca="1">IFERROR(IFERROR(IF(VLOOKUP($A131,'Шаг2.Бланк заказа NEW'!$B$17:$N$201,6,0)="","",VLOOKUP($A131,'Шаг2.Бланк заказа NEW'!$B$17:$N$201,6,0)),
IF(VLOOKUP($A131-COUNT('Шаг2.Бланк заказа NEW'!$B$19:$B$201),'Бланк OLD 0.8 04'!$B$12:$K$200,6,0)="","",VLOOKUP($A131-COUNT('Шаг2.Бланк заказа NEW'!$B$19:$B$201),'Бланк OLD 0.8 04'!$B$12:$K$200,6,0))),
IF(VLOOKUP($A131-COUNT('Шаг2.Бланк заказа NEW'!$B$19:$B$201)-COUNT('Бланк OLD 0.8 04'!$B$18:$B$200),'Бланк OLD 2.0 04 '!$B$16:$K$200,6,0)="","",VLOOKUP($A131-COUNT('Шаг2.Бланк заказа NEW'!$B$19:$B$201)-COUNT('Бланк OLD 0.8 04'!$B$18:$B$200),'Бланк OLD 2.0 04 '!$B$16:$K$200,6,0)))</f>
        <v/>
      </c>
      <c r="J131" s="177" t="str">
        <f ca="1">IF(IF(T131="","",IF(T131=1,SUMIFS('Шаг1.Выбор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плиты'!C:Q,12,0)),1))))))=0,
T131,
IF(T131="","",IF(T131=1,SUMIFS('Шаг1.Выбор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плиты'!N:N,T131,'Шаг1.Выбор плиты'!M:M,SMALL(INDIRECT("мм"&amp;VLOOKUP(C131,'Шаг1.Выбор плиты'!C:Q,12,0)),1)))))))</f>
        <v/>
      </c>
      <c r="K131" s="177" t="str">
        <f ca="1">IF(IF(U131="","",IF(U131=1,SUMIFS('Шаг1.Выбор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плиты'!C:Q,12,0)),1))))))=0,
U131,
IF(U131="","",IF(U131=1,SUMIFS('Шаг1.Выбор плиты'!$G:$G,'Шаг1.Выбор плиты'!J:J,"*"&amp;RIGHT(VLOOKUP(C131,'Шаг1.Выбор плиты'!C:Q,8,0),4),'Шаг1.Выбор плиты'!L:L,IF(MID(C131,1,6)="ЛДСП P","TM"&amp;MID(VLOOKUP(C131,'Шаг1.Выбор плиты'!C:Q,10,0),3,2),MID(VLOOKUP(C131,'Шаг1.Выбор плиты'!C:Q,10,0),1,2)),
'Шаг1.Выбор плиты'!N:N,1),IF(SUMIFS('Шаг1.Выбор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плиты'!C:Q,12,0)),1))=0,
IF(SUMIFS('Шаг1.Выбор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плиты'!C:Q,12,0)),2))=0,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плиты'!C:Q,12,0)),3)),
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плиты'!C:Q,12,0)),2))),
(SUMIFS('Шаг1.Выбор плиты'!$G:$G,'Шаг1.Выбор плиты'!J:J,"*"&amp;RIGHT(VLOOKUP(C131,'Шаг1.Выбор плиты'!C:Q,8,0),4),'Шаг1.Выбор плиты'!L:L,VLOOKUP(C131,'Шаг1.Выбор плиты'!C:Q,10,0),'Шаг1.Выбор плиты'!N:N,U131,'Шаг1.Выбор плиты'!M:M,SMALL(INDIRECT("мм"&amp;VLOOKUP(C131,'Шаг1.Выбор плиты'!C:Q,12,0)),1)))))))</f>
        <v/>
      </c>
      <c r="L131" s="147" t="str">
        <f ca="1">IFERROR(IFERROR(IF(VLOOKUP($A131,'Шаг2.Бланк заказа NEW'!$B$17:$N$201,9,0)="","",VLOOKUP($A131,'Шаг2.Бланк заказа NEW'!$B$17:$N$201,9,0)),
IF(VLOOKUP($A131-COUNT('Шаг2.Бланк заказа NEW'!$B$19:$B$201),'Бланк OLD 0.8 04'!$B$12:$K$200,9,0)="","",VLOOKUP($A131-COUNT('Шаг2.Бланк заказа NEW'!$B$19:$B$201),'Бланк OLD 0.8 04'!$B$12:$K$200,9,0))),
IF(VLOOKUP($A131-COUNT('Шаг2.Бланк заказа NEW'!$B$19:$B$201)-COUNT('Бланк OLD 0.8 04'!$B$18:$B$200),'Бланк OLD 2.0 04 '!$B$16:$K$200,9,0)="","",VLOOKUP($A131-COUNT('Шаг2.Бланк заказа NEW'!$B$19:$B$201)-COUNT('Бланк OLD 0.8 04'!$B$18:$B$200),'Бланк OLD 2.0 04 '!$B$16:$K$200,9,0)))</f>
        <v/>
      </c>
      <c r="M131" s="154" t="str">
        <f t="shared" ca="1" si="10"/>
        <v/>
      </c>
      <c r="N131" s="153" t="str">
        <f ca="1">IFERROR(IF(VLOOKUP($A131,'Шаг2.Бланк заказа NEW'!$B$17:$N$201,11,0)="","",VLOOKUP($A131,'Шаг2.Бланк заказа NEW'!$B$17:$N$201,11,0)),
"Нет")</f>
        <v/>
      </c>
      <c r="O131" s="147" t="str">
        <f ca="1">IFERROR(IF(VLOOKUP($A131,'Шаг2.Бланк заказа NEW'!$B$17:$N$201,11,0)="","",VLOOKUP($A131,'Шаг2.Бланк заказа NEW'!$B$17:$N$201,12,0)),
"Нет")</f>
        <v/>
      </c>
      <c r="P131" s="153" t="str">
        <f ca="1">IFERROR(IF(VLOOKUP($A131,'Шаг2.Бланк заказа NEW'!$B$17:$N$201,13,0)="","",VLOOKUP($A131,'Шаг2.Бланк заказа NEW'!$B$17:$N$201,13,0)),
"Нет")</f>
        <v/>
      </c>
      <c r="Q131" s="147" t="str">
        <f ca="1">IFERROR(IF(VLOOKUP($A131,'Шаг2.Бланк заказа NEW'!$B$17:$O$201,14,0)="","",VLOOKUP($A131,'Шаг2.Бланк заказа NEW'!$B$17:$O$201,14,0)),"")</f>
        <v/>
      </c>
      <c r="R131" s="147" t="str">
        <f ca="1">IFERROR(IFERROR(IF(VLOOKUP($A131,'Шаг2.Бланк заказа NEW'!$B$17:$N$201,4,0)="","",VLOOKUP($A131,'Шаг2.Бланк заказа NEW'!$B$17:$N$201,4,0)),
IF(VLOOKUP($A131-COUNT('Шаг2.Бланк заказа NEW'!$B$19:$B$201),'Бланк OLD 0.8 04'!$B$12:$K$200,4,0)&gt;0,0.8,
IF(VLOOKUP($A131-COUNT('Шаг2.Бланк заказа NEW'!$B$19:$B$201),'Бланк OLD 0.8 04'!$B$12:$K$200,5,0)&gt;0,0.4,""))),
IF(VLOOKUP($A131-COUNT('Шаг2.Бланк заказа NEW'!$B$19:$B$201)-COUNT('Бланк OLD 0.8 04'!$B$18:$B$200),'Бланк OLD 2.0 04 '!$B$16:$K$200,4,0)&gt;0,2,IF(VLOOKUP($A131-COUNT('Шаг2.Бланк заказа NEW'!$B$19:$B$201)-COUNT('Бланк OLD 0.8 04'!$B$18:$B$200),'Бланк OLD 2.0 04 '!$B$16:$K$200,5,0)&gt;0,0.4,"")))</f>
        <v/>
      </c>
      <c r="S131" s="147" t="str">
        <f ca="1">IFERROR(IFERROR(IF(VLOOKUP($A131,'Шаг2.Бланк заказа NEW'!$B$17:$N$201,5,0)="","",VLOOKUP($A131,'Шаг2.Бланк заказа NEW'!$B$17:$N$201,5,0)),
IF(VLOOKUP($A131-COUNT('Шаг2.Бланк заказа NEW'!$B$19:$B$201),'Бланк OLD 0.8 04'!$B$12:$K$200,4,0)&gt;1,0.8,
IF(VLOOKUP($A131-COUNT('Шаг2.Бланк заказа NEW'!$B$19:$B$201),'Бланк OLD 0.8 04'!$B$12:$K$200,5,0)&gt;1,0.4,
IF(AND(VLOOKUP($A131-COUNT('Шаг2.Бланк заказа NEW'!$B$19:$B$201),'Бланк OLD 0.8 04'!$B$12:$K$200,4,0)&gt;0,VLOOKUP($A131-COUNT('Шаг2.Бланк заказа NEW'!$B$19:$B$201),'Бланк OLD 0.8 04'!$B$12:$K$200,5,0)&gt;0),0.4,"")))),
IF(VLOOKUP($A131-COUNT('Шаг2.Бланк заказа NEW'!$B$19:$B$201)-COUNT('Бланк OLD 0.8 04'!$B$18:$B$200),'Бланк OLD 2.0 04 '!$B$16:$K$200,4,0)&gt;1,2,
IF(VLOOKUP($A131-COUNT('Шаг2.Бланк заказа NEW'!$B$19:$B$201)-COUNT('Бланк OLD 0.8 04'!$B$18:$B$200),'Бланк OLD 2.0 04 '!$B$16:$K$200,5,0)&gt;1,0.4,IF(AND(VLOOKUP($A131-COUNT('Шаг2.Бланк заказа NEW'!$B$19:$B$201)-COUNT('Бланк OLD 0.8 04'!$B$18:$B$200),'Бланк OLD 2.0 04 '!$B$16:$K$200,4,0)&gt;0,VLOOKUP($A131-COUNT('Шаг2.Бланк заказа NEW'!$B$19:$B$201)-COUNT('Бланк OLD 0.8 04'!$B$18:$B$200),'Бланк OLD 2.0 04 '!$B$16:$K$200,5,0)&gt;0),0.4,""))))</f>
        <v/>
      </c>
      <c r="T131" s="147" t="str">
        <f ca="1">IFERROR(IFERROR(IF(VLOOKUP($A131,'Шаг2.Бланк заказа NEW'!$B$17:$N$201,7,0)="","",VLOOKUP($A131,'Шаг2.Бланк заказа NEW'!$B$17:$N$201,7,0)),
IF(VLOOKUP($A131-COUNT('Шаг2.Бланк заказа NEW'!$B$19:$B$201),'Бланк OLD 0.8 04'!$B$12:$K$200,7,0)&gt;0,0.8,
IF(VLOOKUP($A131-COUNT('Шаг2.Бланк заказа NEW'!$B$19:$B$201),'Бланк OLD 0.8 04'!$B$12:$K$200,8,0)&gt;0,0.4,""))),
IF(VLOOKUP($A131-COUNT('Шаг2.Бланк заказа NEW'!$B$19:$B$201)-COUNT('Бланк OLD 0.8 04'!$B$18:$B$200),'Бланк OLD 2.0 04 '!$B$16:$K$200,7,0)&gt;0,2,IF(VLOOKUP($A131-COUNT('Шаг2.Бланк заказа NEW'!$B$19:$B$201)-COUNT('Бланк OLD 0.8 04'!$B$18:$B$200),'Бланк OLD 2.0 04 '!$B$16:$K$200,8,0)&gt;0,0.4,"")))</f>
        <v/>
      </c>
      <c r="U131" s="147" t="str">
        <f ca="1">IFERROR(IFERROR(IF(VLOOKUP($A131,'Шаг2.Бланк заказа NEW'!$B$17:$N$201,8,0)="","",VLOOKUP($A131,'Шаг2.Бланк заказа NEW'!$B$17:$N$201,8,0)),
IF(VLOOKUP($A131-COUNT('Шаг2.Бланк заказа NEW'!$B$19:$B$201),'Бланк OLD 0.8 04'!$B$12:$K$200,7,0)&gt;1,0.8,
IF(VLOOKUP($A131-COUNT('Шаг2.Бланк заказа NEW'!$B$19:$B$201),'Бланк OLD 0.8 04'!$B$12:$K$200,8,0)&gt;1,0.4,
IF(AND(VLOOKUP($A131-COUNT('Шаг2.Бланк заказа NEW'!$B$19:$B$201),'Бланк OLD 0.8 04'!$B$12:$K$200,7,0)&gt;0,VLOOKUP($A131-COUNT('Шаг2.Бланк заказа NEW'!$B$19:$B$201),'Бланк OLD 0.8 04'!$B$12:$K$200,8,0)&gt;0),0.4,"")))),
IF(VLOOKUP($A131-COUNT('Шаг2.Бланк заказа NEW'!$B$19:$B$201)-COUNT('Бланк OLD 0.8 04'!$B$18:$B$200),'Бланк OLD 2.0 04 '!$B$16:$K$200,7,0)&gt;1,2,
IF(VLOOKUP($A131-COUNT('Шаг2.Бланк заказа NEW'!$B$19:$B$201)-COUNT('Бланк OLD 0.8 04'!$B$18:$B$200),'Бланк OLD 2.0 04 '!$B$16:$K$200,8,0)&gt;1,0.4,
IF(AND(VLOOKUP($A131-COUNT('Шаг2.Бланк заказа NEW'!$B$19:$B$201)-COUNT('Бланк OLD 0.8 04'!$B$18:$B$200),'Бланк OLD 2.0 04 '!$B$16:$K$200,7,0)&gt;0,VLOOKUP($A131-COUNT('Шаг2.Бланк заказа NEW'!$B$19:$B$201)-COUNT('Бланк OLD 0.8 04'!$B$18:$B$200),'Бланк OLD 2.0 04 '!$B$16:$K$200,8,0)&gt;0),0.4,""))))</f>
        <v/>
      </c>
      <c r="V131" s="146" t="str">
        <f ca="1">IFERROR(VLOOKUP(C131,'Шаг1.Выбор плиты'!C:S,12,0),"")</f>
        <v/>
      </c>
      <c r="W131" s="146" t="str">
        <f ca="1">IFERROR(VLOOKUP(C131,'Шаг1.Выбор плиты'!C:S,8,0),"")</f>
        <v/>
      </c>
      <c r="X131" s="146" t="str">
        <f ca="1">IFERROR(VLOOKUP(C131,'Шаг1.Выбор плиты'!C:S,10,0),"")</f>
        <v/>
      </c>
      <c r="Y131" s="147" t="str">
        <f t="shared" ref="Y131:Y194" ca="1" si="13">IF(C131="","",$Z$7)</f>
        <v/>
      </c>
      <c r="AD131" s="147" t="str">
        <f t="shared" ca="1" si="11"/>
        <v/>
      </c>
      <c r="AE131" s="147" t="str">
        <f t="shared" ref="AE131:AE194" ca="1" si="14">IF(B131="","","kwadrat"&amp;(V131*1))</f>
        <v/>
      </c>
      <c r="AF131" s="25"/>
      <c r="AH131" s="147" t="str">
        <f ca="1">IF(C131="","",VLOOKUP(C131,'Шаг1.Выбор плиты'!C:Q,7,0))</f>
        <v/>
      </c>
      <c r="AI131" s="147" t="str">
        <f t="shared" ca="1" si="12"/>
        <v/>
      </c>
    </row>
    <row r="132" spans="1:35" x14ac:dyDescent="0.2">
      <c r="A132" s="151" t="str">
        <f ca="1">IF(C132="","",MAX($A$1:OFFSET(C132,-1,0))+1)</f>
        <v/>
      </c>
      <c r="B132" s="151" t="str">
        <f ca="1">IFERROR(IFERROR(IFERROR("Шаг2.Бланк заказа NEW №"&amp;VLOOKUP(A131+1,CHOOSE({1,2},'Шаг2.Бланк заказа NEW'!$B$19:$B$201,'Шаг2.Бланк заказа NEW'!$A$19:$A$201),1,0),
"Бланк OLD 0.8 04 №"&amp;VLOOKUP(A131+1-COUNT('Шаг2.Бланк заказа NEW'!$B$19:$B$201),CHOOSE({1,2},'Бланк OLD 0.8 04'!$B$18:$B$200,'Бланк OLD 0.8 04'!$A$18:$A$200),1,0)),
"Бланк OLD 2.0 04 №"&amp;VLOOKUP(A131+1-COUNT('Шаг2.Бланк заказа NEW'!$B$19:$B$201)-COUNT('Бланк OLD 0.8 04'!$B$18:$B$200),CHOOSE({1,2},'Бланк OLD 2.0 04 '!$B$18:$B$200,'Бланк OLD 2.0 04 '!$A$18:$A$200),1,0)),"")</f>
        <v/>
      </c>
      <c r="C132" s="152" t="str">
        <f ca="1">IFERROR(IFERROR(IFERROR(VLOOKUP(A131+1,CHOOSE({1,2},'Шаг2.Бланк заказа NEW'!$B$19:$B$201,'Шаг2.Бланк заказа NEW'!$A$19:$A$201),2,0),
VLOOKUP(A131+1-COUNT('Шаг2.Бланк заказа NEW'!$B$19:$B$201),CHOOSE({1,2},'Бланк OLD 0.8 04'!$B$18:$B$200,'Бланк OLD 0.8 04'!$A$18:$A$200),2,0)),
VLOOKUP(A131+1-COUNT('Шаг2.Бланк заказа NEW'!$B$19:$B$201)-COUNT('Бланк OLD 0.8 04'!$B$18:$B$200),CHOOSE({1,2},'Бланк OLD 2.0 04 '!$B$18:$B$200,'Бланк OLD 2.0 04 '!$A$18:$A$200),2,0)),"")</f>
        <v/>
      </c>
      <c r="D132" s="150" t="str">
        <f ca="1">IFERROR(VLOOKUP(C132,'Шаг1.Выбор плиты'!C:G,5,0),"")</f>
        <v/>
      </c>
      <c r="E132" s="147" t="str">
        <f ca="1">IFERROR(IFERROR(IF(VLOOKUP($A132,'Шаг2.Бланк заказа NEW'!$B$17:$N$201,2,0)="","",VLOOKUP($A132,'Шаг2.Бланк заказа NEW'!$B$17:$N$201,2,0)),
IF(VLOOKUP($A132-COUNT('Шаг2.Бланк заказа NEW'!$B$19:$B$201),'Бланк OLD 0.8 04'!$B$12:$K$200,2,0)="","",VLOOKUP($A132-COUNT('Шаг2.Бланк заказа NEW'!$B$19:$B$201),'Бланк OLD 0.8 04'!$B$12:$K$200,2,0))),
IF(VLOOKUP($A132-COUNT('Шаг2.Бланк заказа NEW'!$B$19:$B$201)-COUNT('Бланк OLD 0.8 04'!$B$18:$B$200),'Бланк OLD 2.0 04 '!$B$16:$K$200,2,0)="","",VLOOKUP($A132-COUNT('Шаг2.Бланк заказа NEW'!$B$19:$B$201)-COUNT('Бланк OLD 0.8 04'!$B$18:$B$200),'Бланк OLD 2.0 04 '!$B$16:$K$200,2,0)))</f>
        <v/>
      </c>
      <c r="F132" s="147" t="str">
        <f ca="1">IFERROR(IFERROR(IF(VLOOKUP($A132,'Шаг2.Бланк заказа NEW'!$B$17:$N$201,3,0)="","",VLOOKUP($A132,'Шаг2.Бланк заказа NEW'!$B$17:$N$201,3,0)),
IF(VLOOKUP($A132-COUNT('Шаг2.Бланк заказа NEW'!$B$19:$B$201),'Бланк OLD 0.8 04'!$B$12:$K$200,3,0)="","",VLOOKUP($A132-COUNT('Шаг2.Бланк заказа NEW'!$B$19:$B$201),'Бланк OLD 0.8 04'!$B$12:$K$200,3,0))),
IF(VLOOKUP($A132-COUNT('Шаг2.Бланк заказа NEW'!$B$19:$B$201)-COUNT('Бланк OLD 0.8 04'!$B$18:$B$200),'Бланк OLD 2.0 04 '!$B$16:$K$200,3,0)="","",VLOOKUP($A132-COUNT('Шаг2.Бланк заказа NEW'!$B$19:$B$201)-COUNT('Бланк OLD 0.8 04'!$B$18:$B$200),'Бланк OLD 2.0 04 '!$B$16:$K$200,3,0)))</f>
        <v/>
      </c>
      <c r="G132" s="176" t="str">
        <f ca="1">IF(IF(R132="","",IF(R132=1,SUMIFS('Шаг1.Выбор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плиты'!C:Q,12,0)),1))))))=0,
R132,
IF(R132="","",IF(R132=1,SUMIFS('Шаг1.Выбор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плиты'!N:N,R132,'Шаг1.Выбор плиты'!M:M,SMALL(INDIRECT("мм"&amp;VLOOKUP(C132,'Шаг1.Выбор плиты'!C:Q,12,0)),1)))))))</f>
        <v/>
      </c>
      <c r="H132" s="177" t="str">
        <f ca="1">IF(IF(S132="","",IF(S132=1,SUMIFS('Шаг1.Выбор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плиты'!C:Q,12,0)),1))))))=0,
S132,
IF(S132="","",IF(S132=1,SUMIFS('Шаг1.Выбор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плиты'!N:N,S132,'Шаг1.Выбор плиты'!M:M,SMALL(INDIRECT("мм"&amp;VLOOKUP(C132,'Шаг1.Выбор плиты'!C:Q,12,0)),1)))))))</f>
        <v/>
      </c>
      <c r="I132" s="147" t="str">
        <f ca="1">IFERROR(IFERROR(IF(VLOOKUP($A132,'Шаг2.Бланк заказа NEW'!$B$17:$N$201,6,0)="","",VLOOKUP($A132,'Шаг2.Бланк заказа NEW'!$B$17:$N$201,6,0)),
IF(VLOOKUP($A132-COUNT('Шаг2.Бланк заказа NEW'!$B$19:$B$201),'Бланк OLD 0.8 04'!$B$12:$K$200,6,0)="","",VLOOKUP($A132-COUNT('Шаг2.Бланк заказа NEW'!$B$19:$B$201),'Бланк OLD 0.8 04'!$B$12:$K$200,6,0))),
IF(VLOOKUP($A132-COUNT('Шаг2.Бланк заказа NEW'!$B$19:$B$201)-COUNT('Бланк OLD 0.8 04'!$B$18:$B$200),'Бланк OLD 2.0 04 '!$B$16:$K$200,6,0)="","",VLOOKUP($A132-COUNT('Шаг2.Бланк заказа NEW'!$B$19:$B$201)-COUNT('Бланк OLD 0.8 04'!$B$18:$B$200),'Бланк OLD 2.0 04 '!$B$16:$K$200,6,0)))</f>
        <v/>
      </c>
      <c r="J132" s="177" t="str">
        <f ca="1">IF(IF(T132="","",IF(T132=1,SUMIFS('Шаг1.Выбор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плиты'!C:Q,12,0)),1))))))=0,
T132,
IF(T132="","",IF(T132=1,SUMIFS('Шаг1.Выбор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плиты'!N:N,T132,'Шаг1.Выбор плиты'!M:M,SMALL(INDIRECT("мм"&amp;VLOOKUP(C132,'Шаг1.Выбор плиты'!C:Q,12,0)),1)))))))</f>
        <v/>
      </c>
      <c r="K132" s="177" t="str">
        <f ca="1">IF(IF(U132="","",IF(U132=1,SUMIFS('Шаг1.Выбор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плиты'!C:Q,12,0)),1))))))=0,
U132,
IF(U132="","",IF(U132=1,SUMIFS('Шаг1.Выбор плиты'!$G:$G,'Шаг1.Выбор плиты'!J:J,"*"&amp;RIGHT(VLOOKUP(C132,'Шаг1.Выбор плиты'!C:Q,8,0),4),'Шаг1.Выбор плиты'!L:L,IF(MID(C132,1,6)="ЛДСП P","TM"&amp;MID(VLOOKUP(C132,'Шаг1.Выбор плиты'!C:Q,10,0),3,2),MID(VLOOKUP(C132,'Шаг1.Выбор плиты'!C:Q,10,0),1,2)),
'Шаг1.Выбор плиты'!N:N,1),IF(SUMIFS('Шаг1.Выбор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плиты'!C:Q,12,0)),1))=0,
IF(SUMIFS('Шаг1.Выбор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плиты'!C:Q,12,0)),2))=0,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плиты'!C:Q,12,0)),3)),
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плиты'!C:Q,12,0)),2))),
(SUMIFS('Шаг1.Выбор плиты'!$G:$G,'Шаг1.Выбор плиты'!J:J,"*"&amp;RIGHT(VLOOKUP(C132,'Шаг1.Выбор плиты'!C:Q,8,0),4),'Шаг1.Выбор плиты'!L:L,VLOOKUP(C132,'Шаг1.Выбор плиты'!C:Q,10,0),'Шаг1.Выбор плиты'!N:N,U132,'Шаг1.Выбор плиты'!M:M,SMALL(INDIRECT("мм"&amp;VLOOKUP(C132,'Шаг1.Выбор плиты'!C:Q,12,0)),1)))))))</f>
        <v/>
      </c>
      <c r="L132" s="147" t="str">
        <f ca="1">IFERROR(IFERROR(IF(VLOOKUP($A132,'Шаг2.Бланк заказа NEW'!$B$17:$N$201,9,0)="","",VLOOKUP($A132,'Шаг2.Бланк заказа NEW'!$B$17:$N$201,9,0)),
IF(VLOOKUP($A132-COUNT('Шаг2.Бланк заказа NEW'!$B$19:$B$201),'Бланк OLD 0.8 04'!$B$12:$K$200,9,0)="","",VLOOKUP($A132-COUNT('Шаг2.Бланк заказа NEW'!$B$19:$B$201),'Бланк OLD 0.8 04'!$B$12:$K$200,9,0))),
IF(VLOOKUP($A132-COUNT('Шаг2.Бланк заказа NEW'!$B$19:$B$201)-COUNT('Бланк OLD 0.8 04'!$B$18:$B$200),'Бланк OLD 2.0 04 '!$B$16:$K$200,9,0)="","",VLOOKUP($A132-COUNT('Шаг2.Бланк заказа NEW'!$B$19:$B$201)-COUNT('Бланк OLD 0.8 04'!$B$18:$B$200),'Бланк OLD 2.0 04 '!$B$16:$K$200,9,0)))</f>
        <v/>
      </c>
      <c r="M132" s="154" t="str">
        <f t="shared" ca="1" si="10"/>
        <v/>
      </c>
      <c r="N132" s="153" t="str">
        <f ca="1">IFERROR(IF(VLOOKUP($A132,'Шаг2.Бланк заказа NEW'!$B$17:$N$201,11,0)="","",VLOOKUP($A132,'Шаг2.Бланк заказа NEW'!$B$17:$N$201,11,0)),
"Нет")</f>
        <v/>
      </c>
      <c r="O132" s="147" t="str">
        <f ca="1">IFERROR(IF(VLOOKUP($A132,'Шаг2.Бланк заказа NEW'!$B$17:$N$201,11,0)="","",VLOOKUP($A132,'Шаг2.Бланк заказа NEW'!$B$17:$N$201,12,0)),
"Нет")</f>
        <v/>
      </c>
      <c r="P132" s="153" t="str">
        <f ca="1">IFERROR(IF(VLOOKUP($A132,'Шаг2.Бланк заказа NEW'!$B$17:$N$201,13,0)="","",VLOOKUP($A132,'Шаг2.Бланк заказа NEW'!$B$17:$N$201,13,0)),
"Нет")</f>
        <v/>
      </c>
      <c r="Q132" s="147" t="str">
        <f ca="1">IFERROR(IF(VLOOKUP($A132,'Шаг2.Бланк заказа NEW'!$B$17:$O$201,14,0)="","",VLOOKUP($A132,'Шаг2.Бланк заказа NEW'!$B$17:$O$201,14,0)),"")</f>
        <v/>
      </c>
      <c r="R132" s="147" t="str">
        <f ca="1">IFERROR(IFERROR(IF(VLOOKUP($A132,'Шаг2.Бланк заказа NEW'!$B$17:$N$201,4,0)="","",VLOOKUP($A132,'Шаг2.Бланк заказа NEW'!$B$17:$N$201,4,0)),
IF(VLOOKUP($A132-COUNT('Шаг2.Бланк заказа NEW'!$B$19:$B$201),'Бланк OLD 0.8 04'!$B$12:$K$200,4,0)&gt;0,0.8,
IF(VLOOKUP($A132-COUNT('Шаг2.Бланк заказа NEW'!$B$19:$B$201),'Бланк OLD 0.8 04'!$B$12:$K$200,5,0)&gt;0,0.4,""))),
IF(VLOOKUP($A132-COUNT('Шаг2.Бланк заказа NEW'!$B$19:$B$201)-COUNT('Бланк OLD 0.8 04'!$B$18:$B$200),'Бланк OLD 2.0 04 '!$B$16:$K$200,4,0)&gt;0,2,IF(VLOOKUP($A132-COUNT('Шаг2.Бланк заказа NEW'!$B$19:$B$201)-COUNT('Бланк OLD 0.8 04'!$B$18:$B$200),'Бланк OLD 2.0 04 '!$B$16:$K$200,5,0)&gt;0,0.4,"")))</f>
        <v/>
      </c>
      <c r="S132" s="147" t="str">
        <f ca="1">IFERROR(IFERROR(IF(VLOOKUP($A132,'Шаг2.Бланк заказа NEW'!$B$17:$N$201,5,0)="","",VLOOKUP($A132,'Шаг2.Бланк заказа NEW'!$B$17:$N$201,5,0)),
IF(VLOOKUP($A132-COUNT('Шаг2.Бланк заказа NEW'!$B$19:$B$201),'Бланк OLD 0.8 04'!$B$12:$K$200,4,0)&gt;1,0.8,
IF(VLOOKUP($A132-COUNT('Шаг2.Бланк заказа NEW'!$B$19:$B$201),'Бланк OLD 0.8 04'!$B$12:$K$200,5,0)&gt;1,0.4,
IF(AND(VLOOKUP($A132-COUNT('Шаг2.Бланк заказа NEW'!$B$19:$B$201),'Бланк OLD 0.8 04'!$B$12:$K$200,4,0)&gt;0,VLOOKUP($A132-COUNT('Шаг2.Бланк заказа NEW'!$B$19:$B$201),'Бланк OLD 0.8 04'!$B$12:$K$200,5,0)&gt;0),0.4,"")))),
IF(VLOOKUP($A132-COUNT('Шаг2.Бланк заказа NEW'!$B$19:$B$201)-COUNT('Бланк OLD 0.8 04'!$B$18:$B$200),'Бланк OLD 2.0 04 '!$B$16:$K$200,4,0)&gt;1,2,
IF(VLOOKUP($A132-COUNT('Шаг2.Бланк заказа NEW'!$B$19:$B$201)-COUNT('Бланк OLD 0.8 04'!$B$18:$B$200),'Бланк OLD 2.0 04 '!$B$16:$K$200,5,0)&gt;1,0.4,IF(AND(VLOOKUP($A132-COUNT('Шаг2.Бланк заказа NEW'!$B$19:$B$201)-COUNT('Бланк OLD 0.8 04'!$B$18:$B$200),'Бланк OLD 2.0 04 '!$B$16:$K$200,4,0)&gt;0,VLOOKUP($A132-COUNT('Шаг2.Бланк заказа NEW'!$B$19:$B$201)-COUNT('Бланк OLD 0.8 04'!$B$18:$B$200),'Бланк OLD 2.0 04 '!$B$16:$K$200,5,0)&gt;0),0.4,""))))</f>
        <v/>
      </c>
      <c r="T132" s="147" t="str">
        <f ca="1">IFERROR(IFERROR(IF(VLOOKUP($A132,'Шаг2.Бланк заказа NEW'!$B$17:$N$201,7,0)="","",VLOOKUP($A132,'Шаг2.Бланк заказа NEW'!$B$17:$N$201,7,0)),
IF(VLOOKUP($A132-COUNT('Шаг2.Бланк заказа NEW'!$B$19:$B$201),'Бланк OLD 0.8 04'!$B$12:$K$200,7,0)&gt;0,0.8,
IF(VLOOKUP($A132-COUNT('Шаг2.Бланк заказа NEW'!$B$19:$B$201),'Бланк OLD 0.8 04'!$B$12:$K$200,8,0)&gt;0,0.4,""))),
IF(VLOOKUP($A132-COUNT('Шаг2.Бланк заказа NEW'!$B$19:$B$201)-COUNT('Бланк OLD 0.8 04'!$B$18:$B$200),'Бланк OLD 2.0 04 '!$B$16:$K$200,7,0)&gt;0,2,IF(VLOOKUP($A132-COUNT('Шаг2.Бланк заказа NEW'!$B$19:$B$201)-COUNT('Бланк OLD 0.8 04'!$B$18:$B$200),'Бланк OLD 2.0 04 '!$B$16:$K$200,8,0)&gt;0,0.4,"")))</f>
        <v/>
      </c>
      <c r="U132" s="147" t="str">
        <f ca="1">IFERROR(IFERROR(IF(VLOOKUP($A132,'Шаг2.Бланк заказа NEW'!$B$17:$N$201,8,0)="","",VLOOKUP($A132,'Шаг2.Бланк заказа NEW'!$B$17:$N$201,8,0)),
IF(VLOOKUP($A132-COUNT('Шаг2.Бланк заказа NEW'!$B$19:$B$201),'Бланк OLD 0.8 04'!$B$12:$K$200,7,0)&gt;1,0.8,
IF(VLOOKUP($A132-COUNT('Шаг2.Бланк заказа NEW'!$B$19:$B$201),'Бланк OLD 0.8 04'!$B$12:$K$200,8,0)&gt;1,0.4,
IF(AND(VLOOKUP($A132-COUNT('Шаг2.Бланк заказа NEW'!$B$19:$B$201),'Бланк OLD 0.8 04'!$B$12:$K$200,7,0)&gt;0,VLOOKUP($A132-COUNT('Шаг2.Бланк заказа NEW'!$B$19:$B$201),'Бланк OLD 0.8 04'!$B$12:$K$200,8,0)&gt;0),0.4,"")))),
IF(VLOOKUP($A132-COUNT('Шаг2.Бланк заказа NEW'!$B$19:$B$201)-COUNT('Бланк OLD 0.8 04'!$B$18:$B$200),'Бланк OLD 2.0 04 '!$B$16:$K$200,7,0)&gt;1,2,
IF(VLOOKUP($A132-COUNT('Шаг2.Бланк заказа NEW'!$B$19:$B$201)-COUNT('Бланк OLD 0.8 04'!$B$18:$B$200),'Бланк OLD 2.0 04 '!$B$16:$K$200,8,0)&gt;1,0.4,
IF(AND(VLOOKUP($A132-COUNT('Шаг2.Бланк заказа NEW'!$B$19:$B$201)-COUNT('Бланк OLD 0.8 04'!$B$18:$B$200),'Бланк OLD 2.0 04 '!$B$16:$K$200,7,0)&gt;0,VLOOKUP($A132-COUNT('Шаг2.Бланк заказа NEW'!$B$19:$B$201)-COUNT('Бланк OLD 0.8 04'!$B$18:$B$200),'Бланк OLD 2.0 04 '!$B$16:$K$200,8,0)&gt;0),0.4,""))))</f>
        <v/>
      </c>
      <c r="V132" s="146" t="str">
        <f ca="1">IFERROR(VLOOKUP(C132,'Шаг1.Выбор плиты'!C:S,12,0),"")</f>
        <v/>
      </c>
      <c r="W132" s="146" t="str">
        <f ca="1">IFERROR(VLOOKUP(C132,'Шаг1.Выбор плиты'!C:S,8,0),"")</f>
        <v/>
      </c>
      <c r="X132" s="146" t="str">
        <f ca="1">IFERROR(VLOOKUP(C132,'Шаг1.Выбор плиты'!C:S,10,0),"")</f>
        <v/>
      </c>
      <c r="Y132" s="147" t="str">
        <f t="shared" ca="1" si="13"/>
        <v/>
      </c>
      <c r="AD132" s="147" t="str">
        <f t="shared" ca="1" si="11"/>
        <v/>
      </c>
      <c r="AE132" s="147" t="str">
        <f t="shared" ca="1" si="14"/>
        <v/>
      </c>
      <c r="AF132" s="25"/>
      <c r="AH132" s="147" t="str">
        <f ca="1">IF(C132="","",VLOOKUP(C132,'Шаг1.Выбор плиты'!C:Q,7,0))</f>
        <v/>
      </c>
      <c r="AI132" s="147" t="str">
        <f t="shared" ca="1" si="12"/>
        <v/>
      </c>
    </row>
    <row r="133" spans="1:35" x14ac:dyDescent="0.2">
      <c r="A133" s="151" t="str">
        <f ca="1">IF(C133="","",MAX($A$1:OFFSET(C133,-1,0))+1)</f>
        <v/>
      </c>
      <c r="B133" s="151" t="str">
        <f ca="1">IFERROR(IFERROR(IFERROR("Шаг2.Бланк заказа NEW №"&amp;VLOOKUP(A132+1,CHOOSE({1,2},'Шаг2.Бланк заказа NEW'!$B$19:$B$201,'Шаг2.Бланк заказа NEW'!$A$19:$A$201),1,0),
"Бланк OLD 0.8 04 №"&amp;VLOOKUP(A132+1-COUNT('Шаг2.Бланк заказа NEW'!$B$19:$B$201),CHOOSE({1,2},'Бланк OLD 0.8 04'!$B$18:$B$200,'Бланк OLD 0.8 04'!$A$18:$A$200),1,0)),
"Бланк OLD 2.0 04 №"&amp;VLOOKUP(A132+1-COUNT('Шаг2.Бланк заказа NEW'!$B$19:$B$201)-COUNT('Бланк OLD 0.8 04'!$B$18:$B$200),CHOOSE({1,2},'Бланк OLD 2.0 04 '!$B$18:$B$200,'Бланк OLD 2.0 04 '!$A$18:$A$200),1,0)),"")</f>
        <v/>
      </c>
      <c r="C133" s="152" t="str">
        <f ca="1">IFERROR(IFERROR(IFERROR(VLOOKUP(A132+1,CHOOSE({1,2},'Шаг2.Бланк заказа NEW'!$B$19:$B$201,'Шаг2.Бланк заказа NEW'!$A$19:$A$201),2,0),
VLOOKUP(A132+1-COUNT('Шаг2.Бланк заказа NEW'!$B$19:$B$201),CHOOSE({1,2},'Бланк OLD 0.8 04'!$B$18:$B$200,'Бланк OLD 0.8 04'!$A$18:$A$200),2,0)),
VLOOKUP(A132+1-COUNT('Шаг2.Бланк заказа NEW'!$B$19:$B$201)-COUNT('Бланк OLD 0.8 04'!$B$18:$B$200),CHOOSE({1,2},'Бланк OLD 2.0 04 '!$B$18:$B$200,'Бланк OLD 2.0 04 '!$A$18:$A$200),2,0)),"")</f>
        <v/>
      </c>
      <c r="D133" s="150" t="str">
        <f ca="1">IFERROR(VLOOKUP(C133,'Шаг1.Выбор плиты'!C:G,5,0),"")</f>
        <v/>
      </c>
      <c r="E133" s="147" t="str">
        <f ca="1">IFERROR(IFERROR(IF(VLOOKUP($A133,'Шаг2.Бланк заказа NEW'!$B$17:$N$201,2,0)="","",VLOOKUP($A133,'Шаг2.Бланк заказа NEW'!$B$17:$N$201,2,0)),
IF(VLOOKUP($A133-COUNT('Шаг2.Бланк заказа NEW'!$B$19:$B$201),'Бланк OLD 0.8 04'!$B$12:$K$200,2,0)="","",VLOOKUP($A133-COUNT('Шаг2.Бланк заказа NEW'!$B$19:$B$201),'Бланк OLD 0.8 04'!$B$12:$K$200,2,0))),
IF(VLOOKUP($A133-COUNT('Шаг2.Бланк заказа NEW'!$B$19:$B$201)-COUNT('Бланк OLD 0.8 04'!$B$18:$B$200),'Бланк OLD 2.0 04 '!$B$16:$K$200,2,0)="","",VLOOKUP($A133-COUNT('Шаг2.Бланк заказа NEW'!$B$19:$B$201)-COUNT('Бланк OLD 0.8 04'!$B$18:$B$200),'Бланк OLD 2.0 04 '!$B$16:$K$200,2,0)))</f>
        <v/>
      </c>
      <c r="F133" s="147" t="str">
        <f ca="1">IFERROR(IFERROR(IF(VLOOKUP($A133,'Шаг2.Бланк заказа NEW'!$B$17:$N$201,3,0)="","",VLOOKUP($A133,'Шаг2.Бланк заказа NEW'!$B$17:$N$201,3,0)),
IF(VLOOKUP($A133-COUNT('Шаг2.Бланк заказа NEW'!$B$19:$B$201),'Бланк OLD 0.8 04'!$B$12:$K$200,3,0)="","",VLOOKUP($A133-COUNT('Шаг2.Бланк заказа NEW'!$B$19:$B$201),'Бланк OLD 0.8 04'!$B$12:$K$200,3,0))),
IF(VLOOKUP($A133-COUNT('Шаг2.Бланк заказа NEW'!$B$19:$B$201)-COUNT('Бланк OLD 0.8 04'!$B$18:$B$200),'Бланк OLD 2.0 04 '!$B$16:$K$200,3,0)="","",VLOOKUP($A133-COUNT('Шаг2.Бланк заказа NEW'!$B$19:$B$201)-COUNT('Бланк OLD 0.8 04'!$B$18:$B$200),'Бланк OLD 2.0 04 '!$B$16:$K$200,3,0)))</f>
        <v/>
      </c>
      <c r="G133" s="176" t="str">
        <f ca="1">IF(IF(R133="","",IF(R133=1,SUMIFS('Шаг1.Выбор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плиты'!C:Q,12,0)),1))))))=0,
R133,
IF(R133="","",IF(R133=1,SUMIFS('Шаг1.Выбор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плиты'!N:N,R133,'Шаг1.Выбор плиты'!M:M,SMALL(INDIRECT("мм"&amp;VLOOKUP(C133,'Шаг1.Выбор плиты'!C:Q,12,0)),1)))))))</f>
        <v/>
      </c>
      <c r="H133" s="177" t="str">
        <f ca="1">IF(IF(S133="","",IF(S133=1,SUMIFS('Шаг1.Выбор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плиты'!C:Q,12,0)),1))))))=0,
S133,
IF(S133="","",IF(S133=1,SUMIFS('Шаг1.Выбор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плиты'!N:N,S133,'Шаг1.Выбор плиты'!M:M,SMALL(INDIRECT("мм"&amp;VLOOKUP(C133,'Шаг1.Выбор плиты'!C:Q,12,0)),1)))))))</f>
        <v/>
      </c>
      <c r="I133" s="147" t="str">
        <f ca="1">IFERROR(IFERROR(IF(VLOOKUP($A133,'Шаг2.Бланк заказа NEW'!$B$17:$N$201,6,0)="","",VLOOKUP($A133,'Шаг2.Бланк заказа NEW'!$B$17:$N$201,6,0)),
IF(VLOOKUP($A133-COUNT('Шаг2.Бланк заказа NEW'!$B$19:$B$201),'Бланк OLD 0.8 04'!$B$12:$K$200,6,0)="","",VLOOKUP($A133-COUNT('Шаг2.Бланк заказа NEW'!$B$19:$B$201),'Бланк OLD 0.8 04'!$B$12:$K$200,6,0))),
IF(VLOOKUP($A133-COUNT('Шаг2.Бланк заказа NEW'!$B$19:$B$201)-COUNT('Бланк OLD 0.8 04'!$B$18:$B$200),'Бланк OLD 2.0 04 '!$B$16:$K$200,6,0)="","",VLOOKUP($A133-COUNT('Шаг2.Бланк заказа NEW'!$B$19:$B$201)-COUNT('Бланк OLD 0.8 04'!$B$18:$B$200),'Бланк OLD 2.0 04 '!$B$16:$K$200,6,0)))</f>
        <v/>
      </c>
      <c r="J133" s="177" t="str">
        <f ca="1">IF(IF(T133="","",IF(T133=1,SUMIFS('Шаг1.Выбор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плиты'!C:Q,12,0)),1))))))=0,
T133,
IF(T133="","",IF(T133=1,SUMIFS('Шаг1.Выбор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плиты'!N:N,T133,'Шаг1.Выбор плиты'!M:M,SMALL(INDIRECT("мм"&amp;VLOOKUP(C133,'Шаг1.Выбор плиты'!C:Q,12,0)),1)))))))</f>
        <v/>
      </c>
      <c r="K133" s="177" t="str">
        <f ca="1">IF(IF(U133="","",IF(U133=1,SUMIFS('Шаг1.Выбор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плиты'!C:Q,12,0)),1))))))=0,
U133,
IF(U133="","",IF(U133=1,SUMIFS('Шаг1.Выбор плиты'!$G:$G,'Шаг1.Выбор плиты'!J:J,"*"&amp;RIGHT(VLOOKUP(C133,'Шаг1.Выбор плиты'!C:Q,8,0),4),'Шаг1.Выбор плиты'!L:L,IF(MID(C133,1,6)="ЛДСП P","TM"&amp;MID(VLOOKUP(C133,'Шаг1.Выбор плиты'!C:Q,10,0),3,2),MID(VLOOKUP(C133,'Шаг1.Выбор плиты'!C:Q,10,0),1,2)),
'Шаг1.Выбор плиты'!N:N,1),IF(SUMIFS('Шаг1.Выбор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плиты'!C:Q,12,0)),1))=0,
IF(SUMIFS('Шаг1.Выбор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плиты'!C:Q,12,0)),2))=0,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плиты'!C:Q,12,0)),3)),
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плиты'!C:Q,12,0)),2))),
(SUMIFS('Шаг1.Выбор плиты'!$G:$G,'Шаг1.Выбор плиты'!J:J,"*"&amp;RIGHT(VLOOKUP(C133,'Шаг1.Выбор плиты'!C:Q,8,0),4),'Шаг1.Выбор плиты'!L:L,VLOOKUP(C133,'Шаг1.Выбор плиты'!C:Q,10,0),'Шаг1.Выбор плиты'!N:N,U133,'Шаг1.Выбор плиты'!M:M,SMALL(INDIRECT("мм"&amp;VLOOKUP(C133,'Шаг1.Выбор плиты'!C:Q,12,0)),1)))))))</f>
        <v/>
      </c>
      <c r="L133" s="147" t="str">
        <f ca="1">IFERROR(IFERROR(IF(VLOOKUP($A133,'Шаг2.Бланк заказа NEW'!$B$17:$N$201,9,0)="","",VLOOKUP($A133,'Шаг2.Бланк заказа NEW'!$B$17:$N$201,9,0)),
IF(VLOOKUP($A133-COUNT('Шаг2.Бланк заказа NEW'!$B$19:$B$201),'Бланк OLD 0.8 04'!$B$12:$K$200,9,0)="","",VLOOKUP($A133-COUNT('Шаг2.Бланк заказа NEW'!$B$19:$B$201),'Бланк OLD 0.8 04'!$B$12:$K$200,9,0))),
IF(VLOOKUP($A133-COUNT('Шаг2.Бланк заказа NEW'!$B$19:$B$201)-COUNT('Бланк OLD 0.8 04'!$B$18:$B$200),'Бланк OLD 2.0 04 '!$B$16:$K$200,9,0)="","",VLOOKUP($A133-COUNT('Шаг2.Бланк заказа NEW'!$B$19:$B$201)-COUNT('Бланк OLD 0.8 04'!$B$18:$B$200),'Бланк OLD 2.0 04 '!$B$16:$K$200,9,0)))</f>
        <v/>
      </c>
      <c r="M133" s="154" t="str">
        <f t="shared" ca="1" si="10"/>
        <v/>
      </c>
      <c r="N133" s="153" t="str">
        <f ca="1">IFERROR(IF(VLOOKUP($A133,'Шаг2.Бланк заказа NEW'!$B$17:$N$201,11,0)="","",VLOOKUP($A133,'Шаг2.Бланк заказа NEW'!$B$17:$N$201,11,0)),
"Нет")</f>
        <v/>
      </c>
      <c r="O133" s="147" t="str">
        <f ca="1">IFERROR(IF(VLOOKUP($A133,'Шаг2.Бланк заказа NEW'!$B$17:$N$201,11,0)="","",VLOOKUP($A133,'Шаг2.Бланк заказа NEW'!$B$17:$N$201,12,0)),
"Нет")</f>
        <v/>
      </c>
      <c r="P133" s="153" t="str">
        <f ca="1">IFERROR(IF(VLOOKUP($A133,'Шаг2.Бланк заказа NEW'!$B$17:$N$201,13,0)="","",VLOOKUP($A133,'Шаг2.Бланк заказа NEW'!$B$17:$N$201,13,0)),
"Нет")</f>
        <v/>
      </c>
      <c r="Q133" s="147" t="str">
        <f ca="1">IFERROR(IF(VLOOKUP($A133,'Шаг2.Бланк заказа NEW'!$B$17:$O$201,14,0)="","",VLOOKUP($A133,'Шаг2.Бланк заказа NEW'!$B$17:$O$201,14,0)),"")</f>
        <v/>
      </c>
      <c r="R133" s="147" t="str">
        <f ca="1">IFERROR(IFERROR(IF(VLOOKUP($A133,'Шаг2.Бланк заказа NEW'!$B$17:$N$201,4,0)="","",VLOOKUP($A133,'Шаг2.Бланк заказа NEW'!$B$17:$N$201,4,0)),
IF(VLOOKUP($A133-COUNT('Шаг2.Бланк заказа NEW'!$B$19:$B$201),'Бланк OLD 0.8 04'!$B$12:$K$200,4,0)&gt;0,0.8,
IF(VLOOKUP($A133-COUNT('Шаг2.Бланк заказа NEW'!$B$19:$B$201),'Бланк OLD 0.8 04'!$B$12:$K$200,5,0)&gt;0,0.4,""))),
IF(VLOOKUP($A133-COUNT('Шаг2.Бланк заказа NEW'!$B$19:$B$201)-COUNT('Бланк OLD 0.8 04'!$B$18:$B$200),'Бланк OLD 2.0 04 '!$B$16:$K$200,4,0)&gt;0,2,IF(VLOOKUP($A133-COUNT('Шаг2.Бланк заказа NEW'!$B$19:$B$201)-COUNT('Бланк OLD 0.8 04'!$B$18:$B$200),'Бланк OLD 2.0 04 '!$B$16:$K$200,5,0)&gt;0,0.4,"")))</f>
        <v/>
      </c>
      <c r="S133" s="147" t="str">
        <f ca="1">IFERROR(IFERROR(IF(VLOOKUP($A133,'Шаг2.Бланк заказа NEW'!$B$17:$N$201,5,0)="","",VLOOKUP($A133,'Шаг2.Бланк заказа NEW'!$B$17:$N$201,5,0)),
IF(VLOOKUP($A133-COUNT('Шаг2.Бланк заказа NEW'!$B$19:$B$201),'Бланк OLD 0.8 04'!$B$12:$K$200,4,0)&gt;1,0.8,
IF(VLOOKUP($A133-COUNT('Шаг2.Бланк заказа NEW'!$B$19:$B$201),'Бланк OLD 0.8 04'!$B$12:$K$200,5,0)&gt;1,0.4,
IF(AND(VLOOKUP($A133-COUNT('Шаг2.Бланк заказа NEW'!$B$19:$B$201),'Бланк OLD 0.8 04'!$B$12:$K$200,4,0)&gt;0,VLOOKUP($A133-COUNT('Шаг2.Бланк заказа NEW'!$B$19:$B$201),'Бланк OLD 0.8 04'!$B$12:$K$200,5,0)&gt;0),0.4,"")))),
IF(VLOOKUP($A133-COUNT('Шаг2.Бланк заказа NEW'!$B$19:$B$201)-COUNT('Бланк OLD 0.8 04'!$B$18:$B$200),'Бланк OLD 2.0 04 '!$B$16:$K$200,4,0)&gt;1,2,
IF(VLOOKUP($A133-COUNT('Шаг2.Бланк заказа NEW'!$B$19:$B$201)-COUNT('Бланк OLD 0.8 04'!$B$18:$B$200),'Бланк OLD 2.0 04 '!$B$16:$K$200,5,0)&gt;1,0.4,IF(AND(VLOOKUP($A133-COUNT('Шаг2.Бланк заказа NEW'!$B$19:$B$201)-COUNT('Бланк OLD 0.8 04'!$B$18:$B$200),'Бланк OLD 2.0 04 '!$B$16:$K$200,4,0)&gt;0,VLOOKUP($A133-COUNT('Шаг2.Бланк заказа NEW'!$B$19:$B$201)-COUNT('Бланк OLD 0.8 04'!$B$18:$B$200),'Бланк OLD 2.0 04 '!$B$16:$K$200,5,0)&gt;0),0.4,""))))</f>
        <v/>
      </c>
      <c r="T133" s="147" t="str">
        <f ca="1">IFERROR(IFERROR(IF(VLOOKUP($A133,'Шаг2.Бланк заказа NEW'!$B$17:$N$201,7,0)="","",VLOOKUP($A133,'Шаг2.Бланк заказа NEW'!$B$17:$N$201,7,0)),
IF(VLOOKUP($A133-COUNT('Шаг2.Бланк заказа NEW'!$B$19:$B$201),'Бланк OLD 0.8 04'!$B$12:$K$200,7,0)&gt;0,0.8,
IF(VLOOKUP($A133-COUNT('Шаг2.Бланк заказа NEW'!$B$19:$B$201),'Бланк OLD 0.8 04'!$B$12:$K$200,8,0)&gt;0,0.4,""))),
IF(VLOOKUP($A133-COUNT('Шаг2.Бланк заказа NEW'!$B$19:$B$201)-COUNT('Бланк OLD 0.8 04'!$B$18:$B$200),'Бланк OLD 2.0 04 '!$B$16:$K$200,7,0)&gt;0,2,IF(VLOOKUP($A133-COUNT('Шаг2.Бланк заказа NEW'!$B$19:$B$201)-COUNT('Бланк OLD 0.8 04'!$B$18:$B$200),'Бланк OLD 2.0 04 '!$B$16:$K$200,8,0)&gt;0,0.4,"")))</f>
        <v/>
      </c>
      <c r="U133" s="147" t="str">
        <f ca="1">IFERROR(IFERROR(IF(VLOOKUP($A133,'Шаг2.Бланк заказа NEW'!$B$17:$N$201,8,0)="","",VLOOKUP($A133,'Шаг2.Бланк заказа NEW'!$B$17:$N$201,8,0)),
IF(VLOOKUP($A133-COUNT('Шаг2.Бланк заказа NEW'!$B$19:$B$201),'Бланк OLD 0.8 04'!$B$12:$K$200,7,0)&gt;1,0.8,
IF(VLOOKUP($A133-COUNT('Шаг2.Бланк заказа NEW'!$B$19:$B$201),'Бланк OLD 0.8 04'!$B$12:$K$200,8,0)&gt;1,0.4,
IF(AND(VLOOKUP($A133-COUNT('Шаг2.Бланк заказа NEW'!$B$19:$B$201),'Бланк OLD 0.8 04'!$B$12:$K$200,7,0)&gt;0,VLOOKUP($A133-COUNT('Шаг2.Бланк заказа NEW'!$B$19:$B$201),'Бланк OLD 0.8 04'!$B$12:$K$200,8,0)&gt;0),0.4,"")))),
IF(VLOOKUP($A133-COUNT('Шаг2.Бланк заказа NEW'!$B$19:$B$201)-COUNT('Бланк OLD 0.8 04'!$B$18:$B$200),'Бланк OLD 2.0 04 '!$B$16:$K$200,7,0)&gt;1,2,
IF(VLOOKUP($A133-COUNT('Шаг2.Бланк заказа NEW'!$B$19:$B$201)-COUNT('Бланк OLD 0.8 04'!$B$18:$B$200),'Бланк OLD 2.0 04 '!$B$16:$K$200,8,0)&gt;1,0.4,
IF(AND(VLOOKUP($A133-COUNT('Шаг2.Бланк заказа NEW'!$B$19:$B$201)-COUNT('Бланк OLD 0.8 04'!$B$18:$B$200),'Бланк OLD 2.0 04 '!$B$16:$K$200,7,0)&gt;0,VLOOKUP($A133-COUNT('Шаг2.Бланк заказа NEW'!$B$19:$B$201)-COUNT('Бланк OLD 0.8 04'!$B$18:$B$200),'Бланк OLD 2.0 04 '!$B$16:$K$200,8,0)&gt;0),0.4,""))))</f>
        <v/>
      </c>
      <c r="V133" s="146" t="str">
        <f ca="1">IFERROR(VLOOKUP(C133,'Шаг1.Выбор плиты'!C:S,12,0),"")</f>
        <v/>
      </c>
      <c r="W133" s="146" t="str">
        <f ca="1">IFERROR(VLOOKUP(C133,'Шаг1.Выбор плиты'!C:S,8,0),"")</f>
        <v/>
      </c>
      <c r="X133" s="146" t="str">
        <f ca="1">IFERROR(VLOOKUP(C133,'Шаг1.Выбор плиты'!C:S,10,0),"")</f>
        <v/>
      </c>
      <c r="Y133" s="147" t="str">
        <f t="shared" ca="1" si="13"/>
        <v/>
      </c>
      <c r="AD133" s="147" t="str">
        <f t="shared" ca="1" si="11"/>
        <v/>
      </c>
      <c r="AE133" s="147" t="str">
        <f t="shared" ca="1" si="14"/>
        <v/>
      </c>
      <c r="AF133" s="25"/>
      <c r="AH133" s="147" t="str">
        <f ca="1">IF(C133="","",VLOOKUP(C133,'Шаг1.Выбор плиты'!C:Q,7,0))</f>
        <v/>
      </c>
      <c r="AI133" s="147" t="str">
        <f t="shared" ca="1" si="12"/>
        <v/>
      </c>
    </row>
    <row r="134" spans="1:35" x14ac:dyDescent="0.2">
      <c r="A134" s="151" t="str">
        <f ca="1">IF(C134="","",MAX($A$1:OFFSET(C134,-1,0))+1)</f>
        <v/>
      </c>
      <c r="B134" s="151" t="str">
        <f ca="1">IFERROR(IFERROR(IFERROR("Шаг2.Бланк заказа NEW №"&amp;VLOOKUP(A133+1,CHOOSE({1,2},'Шаг2.Бланк заказа NEW'!$B$19:$B$201,'Шаг2.Бланк заказа NEW'!$A$19:$A$201),1,0),
"Бланк OLD 0.8 04 №"&amp;VLOOKUP(A133+1-COUNT('Шаг2.Бланк заказа NEW'!$B$19:$B$201),CHOOSE({1,2},'Бланк OLD 0.8 04'!$B$18:$B$200,'Бланк OLD 0.8 04'!$A$18:$A$200),1,0)),
"Бланк OLD 2.0 04 №"&amp;VLOOKUP(A133+1-COUNT('Шаг2.Бланк заказа NEW'!$B$19:$B$201)-COUNT('Бланк OLD 0.8 04'!$B$18:$B$200),CHOOSE({1,2},'Бланк OLD 2.0 04 '!$B$18:$B$200,'Бланк OLD 2.0 04 '!$A$18:$A$200),1,0)),"")</f>
        <v/>
      </c>
      <c r="C134" s="152" t="str">
        <f ca="1">IFERROR(IFERROR(IFERROR(VLOOKUP(A133+1,CHOOSE({1,2},'Шаг2.Бланк заказа NEW'!$B$19:$B$201,'Шаг2.Бланк заказа NEW'!$A$19:$A$201),2,0),
VLOOKUP(A133+1-COUNT('Шаг2.Бланк заказа NEW'!$B$19:$B$201),CHOOSE({1,2},'Бланк OLD 0.8 04'!$B$18:$B$200,'Бланк OLD 0.8 04'!$A$18:$A$200),2,0)),
VLOOKUP(A133+1-COUNT('Шаг2.Бланк заказа NEW'!$B$19:$B$201)-COUNT('Бланк OLD 0.8 04'!$B$18:$B$200),CHOOSE({1,2},'Бланк OLD 2.0 04 '!$B$18:$B$200,'Бланк OLD 2.0 04 '!$A$18:$A$200),2,0)),"")</f>
        <v/>
      </c>
      <c r="D134" s="150" t="str">
        <f ca="1">IFERROR(VLOOKUP(C134,'Шаг1.Выбор плиты'!C:G,5,0),"")</f>
        <v/>
      </c>
      <c r="E134" s="147" t="str">
        <f ca="1">IFERROR(IFERROR(IF(VLOOKUP($A134,'Шаг2.Бланк заказа NEW'!$B$17:$N$201,2,0)="","",VLOOKUP($A134,'Шаг2.Бланк заказа NEW'!$B$17:$N$201,2,0)),
IF(VLOOKUP($A134-COUNT('Шаг2.Бланк заказа NEW'!$B$19:$B$201),'Бланк OLD 0.8 04'!$B$12:$K$200,2,0)="","",VLOOKUP($A134-COUNT('Шаг2.Бланк заказа NEW'!$B$19:$B$201),'Бланк OLD 0.8 04'!$B$12:$K$200,2,0))),
IF(VLOOKUP($A134-COUNT('Шаг2.Бланк заказа NEW'!$B$19:$B$201)-COUNT('Бланк OLD 0.8 04'!$B$18:$B$200),'Бланк OLD 2.0 04 '!$B$16:$K$200,2,0)="","",VLOOKUP($A134-COUNT('Шаг2.Бланк заказа NEW'!$B$19:$B$201)-COUNT('Бланк OLD 0.8 04'!$B$18:$B$200),'Бланк OLD 2.0 04 '!$B$16:$K$200,2,0)))</f>
        <v/>
      </c>
      <c r="F134" s="147" t="str">
        <f ca="1">IFERROR(IFERROR(IF(VLOOKUP($A134,'Шаг2.Бланк заказа NEW'!$B$17:$N$201,3,0)="","",VLOOKUP($A134,'Шаг2.Бланк заказа NEW'!$B$17:$N$201,3,0)),
IF(VLOOKUP($A134-COUNT('Шаг2.Бланк заказа NEW'!$B$19:$B$201),'Бланк OLD 0.8 04'!$B$12:$K$200,3,0)="","",VLOOKUP($A134-COUNT('Шаг2.Бланк заказа NEW'!$B$19:$B$201),'Бланк OLD 0.8 04'!$B$12:$K$200,3,0))),
IF(VLOOKUP($A134-COUNT('Шаг2.Бланк заказа NEW'!$B$19:$B$201)-COUNT('Бланк OLD 0.8 04'!$B$18:$B$200),'Бланк OLD 2.0 04 '!$B$16:$K$200,3,0)="","",VLOOKUP($A134-COUNT('Шаг2.Бланк заказа NEW'!$B$19:$B$201)-COUNT('Бланк OLD 0.8 04'!$B$18:$B$200),'Бланк OLD 2.0 04 '!$B$16:$K$200,3,0)))</f>
        <v/>
      </c>
      <c r="G134" s="176" t="str">
        <f ca="1">IF(IF(R134="","",IF(R134=1,SUMIFS('Шаг1.Выбор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плиты'!C:Q,12,0)),1))))))=0,
R134,
IF(R134="","",IF(R134=1,SUMIFS('Шаг1.Выбор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плиты'!N:N,R134,'Шаг1.Выбор плиты'!M:M,SMALL(INDIRECT("мм"&amp;VLOOKUP(C134,'Шаг1.Выбор плиты'!C:Q,12,0)),1)))))))</f>
        <v/>
      </c>
      <c r="H134" s="177" t="str">
        <f ca="1">IF(IF(S134="","",IF(S134=1,SUMIFS('Шаг1.Выбор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плиты'!C:Q,12,0)),1))))))=0,
S134,
IF(S134="","",IF(S134=1,SUMIFS('Шаг1.Выбор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плиты'!N:N,S134,'Шаг1.Выбор плиты'!M:M,SMALL(INDIRECT("мм"&amp;VLOOKUP(C134,'Шаг1.Выбор плиты'!C:Q,12,0)),1)))))))</f>
        <v/>
      </c>
      <c r="I134" s="147" t="str">
        <f ca="1">IFERROR(IFERROR(IF(VLOOKUP($A134,'Шаг2.Бланк заказа NEW'!$B$17:$N$201,6,0)="","",VLOOKUP($A134,'Шаг2.Бланк заказа NEW'!$B$17:$N$201,6,0)),
IF(VLOOKUP($A134-COUNT('Шаг2.Бланк заказа NEW'!$B$19:$B$201),'Бланк OLD 0.8 04'!$B$12:$K$200,6,0)="","",VLOOKUP($A134-COUNT('Шаг2.Бланк заказа NEW'!$B$19:$B$201),'Бланк OLD 0.8 04'!$B$12:$K$200,6,0))),
IF(VLOOKUP($A134-COUNT('Шаг2.Бланк заказа NEW'!$B$19:$B$201)-COUNT('Бланк OLD 0.8 04'!$B$18:$B$200),'Бланк OLD 2.0 04 '!$B$16:$K$200,6,0)="","",VLOOKUP($A134-COUNT('Шаг2.Бланк заказа NEW'!$B$19:$B$201)-COUNT('Бланк OLD 0.8 04'!$B$18:$B$200),'Бланк OLD 2.0 04 '!$B$16:$K$200,6,0)))</f>
        <v/>
      </c>
      <c r="J134" s="177" t="str">
        <f ca="1">IF(IF(T134="","",IF(T134=1,SUMIFS('Шаг1.Выбор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плиты'!C:Q,12,0)),1))))))=0,
T134,
IF(T134="","",IF(T134=1,SUMIFS('Шаг1.Выбор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плиты'!N:N,T134,'Шаг1.Выбор плиты'!M:M,SMALL(INDIRECT("мм"&amp;VLOOKUP(C134,'Шаг1.Выбор плиты'!C:Q,12,0)),1)))))))</f>
        <v/>
      </c>
      <c r="K134" s="177" t="str">
        <f ca="1">IF(IF(U134="","",IF(U134=1,SUMIFS('Шаг1.Выбор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плиты'!C:Q,12,0)),1))))))=0,
U134,
IF(U134="","",IF(U134=1,SUMIFS('Шаг1.Выбор плиты'!$G:$G,'Шаг1.Выбор плиты'!J:J,"*"&amp;RIGHT(VLOOKUP(C134,'Шаг1.Выбор плиты'!C:Q,8,0),4),'Шаг1.Выбор плиты'!L:L,IF(MID(C134,1,6)="ЛДСП P","TM"&amp;MID(VLOOKUP(C134,'Шаг1.Выбор плиты'!C:Q,10,0),3,2),MID(VLOOKUP(C134,'Шаг1.Выбор плиты'!C:Q,10,0),1,2)),
'Шаг1.Выбор плиты'!N:N,1),IF(SUMIFS('Шаг1.Выбор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плиты'!C:Q,12,0)),1))=0,
IF(SUMIFS('Шаг1.Выбор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плиты'!C:Q,12,0)),2))=0,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плиты'!C:Q,12,0)),3)),
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плиты'!C:Q,12,0)),2))),
(SUMIFS('Шаг1.Выбор плиты'!$G:$G,'Шаг1.Выбор плиты'!J:J,"*"&amp;RIGHT(VLOOKUP(C134,'Шаг1.Выбор плиты'!C:Q,8,0),4),'Шаг1.Выбор плиты'!L:L,VLOOKUP(C134,'Шаг1.Выбор плиты'!C:Q,10,0),'Шаг1.Выбор плиты'!N:N,U134,'Шаг1.Выбор плиты'!M:M,SMALL(INDIRECT("мм"&amp;VLOOKUP(C134,'Шаг1.Выбор плиты'!C:Q,12,0)),1)))))))</f>
        <v/>
      </c>
      <c r="L134" s="147" t="str">
        <f ca="1">IFERROR(IFERROR(IF(VLOOKUP($A134,'Шаг2.Бланк заказа NEW'!$B$17:$N$201,9,0)="","",VLOOKUP($A134,'Шаг2.Бланк заказа NEW'!$B$17:$N$201,9,0)),
IF(VLOOKUP($A134-COUNT('Шаг2.Бланк заказа NEW'!$B$19:$B$201),'Бланк OLD 0.8 04'!$B$12:$K$200,9,0)="","",VLOOKUP($A134-COUNT('Шаг2.Бланк заказа NEW'!$B$19:$B$201),'Бланк OLD 0.8 04'!$B$12:$K$200,9,0))),
IF(VLOOKUP($A134-COUNT('Шаг2.Бланк заказа NEW'!$B$19:$B$201)-COUNT('Бланк OLD 0.8 04'!$B$18:$B$200),'Бланк OLD 2.0 04 '!$B$16:$K$200,9,0)="","",VLOOKUP($A134-COUNT('Шаг2.Бланк заказа NEW'!$B$19:$B$201)-COUNT('Бланк OLD 0.8 04'!$B$18:$B$200),'Бланк OLD 2.0 04 '!$B$16:$K$200,9,0)))</f>
        <v/>
      </c>
      <c r="M134" s="154" t="str">
        <f t="shared" ca="1" si="10"/>
        <v/>
      </c>
      <c r="N134" s="153" t="str">
        <f ca="1">IFERROR(IF(VLOOKUP($A134,'Шаг2.Бланк заказа NEW'!$B$17:$N$201,11,0)="","",VLOOKUP($A134,'Шаг2.Бланк заказа NEW'!$B$17:$N$201,11,0)),
"Нет")</f>
        <v/>
      </c>
      <c r="O134" s="147" t="str">
        <f ca="1">IFERROR(IF(VLOOKUP($A134,'Шаг2.Бланк заказа NEW'!$B$17:$N$201,11,0)="","",VLOOKUP($A134,'Шаг2.Бланк заказа NEW'!$B$17:$N$201,12,0)),
"Нет")</f>
        <v/>
      </c>
      <c r="P134" s="153" t="str">
        <f ca="1">IFERROR(IF(VLOOKUP($A134,'Шаг2.Бланк заказа NEW'!$B$17:$N$201,13,0)="","",VLOOKUP($A134,'Шаг2.Бланк заказа NEW'!$B$17:$N$201,13,0)),
"Нет")</f>
        <v/>
      </c>
      <c r="Q134" s="147" t="str">
        <f ca="1">IFERROR(IF(VLOOKUP($A134,'Шаг2.Бланк заказа NEW'!$B$17:$O$201,14,0)="","",VLOOKUP($A134,'Шаг2.Бланк заказа NEW'!$B$17:$O$201,14,0)),"")</f>
        <v/>
      </c>
      <c r="R134" s="147" t="str">
        <f ca="1">IFERROR(IFERROR(IF(VLOOKUP($A134,'Шаг2.Бланк заказа NEW'!$B$17:$N$201,4,0)="","",VLOOKUP($A134,'Шаг2.Бланк заказа NEW'!$B$17:$N$201,4,0)),
IF(VLOOKUP($A134-COUNT('Шаг2.Бланк заказа NEW'!$B$19:$B$201),'Бланк OLD 0.8 04'!$B$12:$K$200,4,0)&gt;0,0.8,
IF(VLOOKUP($A134-COUNT('Шаг2.Бланк заказа NEW'!$B$19:$B$201),'Бланк OLD 0.8 04'!$B$12:$K$200,5,0)&gt;0,0.4,""))),
IF(VLOOKUP($A134-COUNT('Шаг2.Бланк заказа NEW'!$B$19:$B$201)-COUNT('Бланк OLD 0.8 04'!$B$18:$B$200),'Бланк OLD 2.0 04 '!$B$16:$K$200,4,0)&gt;0,2,IF(VLOOKUP($A134-COUNT('Шаг2.Бланк заказа NEW'!$B$19:$B$201)-COUNT('Бланк OLD 0.8 04'!$B$18:$B$200),'Бланк OLD 2.0 04 '!$B$16:$K$200,5,0)&gt;0,0.4,"")))</f>
        <v/>
      </c>
      <c r="S134" s="147" t="str">
        <f ca="1">IFERROR(IFERROR(IF(VLOOKUP($A134,'Шаг2.Бланк заказа NEW'!$B$17:$N$201,5,0)="","",VLOOKUP($A134,'Шаг2.Бланк заказа NEW'!$B$17:$N$201,5,0)),
IF(VLOOKUP($A134-COUNT('Шаг2.Бланк заказа NEW'!$B$19:$B$201),'Бланк OLD 0.8 04'!$B$12:$K$200,4,0)&gt;1,0.8,
IF(VLOOKUP($A134-COUNT('Шаг2.Бланк заказа NEW'!$B$19:$B$201),'Бланк OLD 0.8 04'!$B$12:$K$200,5,0)&gt;1,0.4,
IF(AND(VLOOKUP($A134-COUNT('Шаг2.Бланк заказа NEW'!$B$19:$B$201),'Бланк OLD 0.8 04'!$B$12:$K$200,4,0)&gt;0,VLOOKUP($A134-COUNT('Шаг2.Бланк заказа NEW'!$B$19:$B$201),'Бланк OLD 0.8 04'!$B$12:$K$200,5,0)&gt;0),0.4,"")))),
IF(VLOOKUP($A134-COUNT('Шаг2.Бланк заказа NEW'!$B$19:$B$201)-COUNT('Бланк OLD 0.8 04'!$B$18:$B$200),'Бланк OLD 2.0 04 '!$B$16:$K$200,4,0)&gt;1,2,
IF(VLOOKUP($A134-COUNT('Шаг2.Бланк заказа NEW'!$B$19:$B$201)-COUNT('Бланк OLD 0.8 04'!$B$18:$B$200),'Бланк OLD 2.0 04 '!$B$16:$K$200,5,0)&gt;1,0.4,IF(AND(VLOOKUP($A134-COUNT('Шаг2.Бланк заказа NEW'!$B$19:$B$201)-COUNT('Бланк OLD 0.8 04'!$B$18:$B$200),'Бланк OLD 2.0 04 '!$B$16:$K$200,4,0)&gt;0,VLOOKUP($A134-COUNT('Шаг2.Бланк заказа NEW'!$B$19:$B$201)-COUNT('Бланк OLD 0.8 04'!$B$18:$B$200),'Бланк OLD 2.0 04 '!$B$16:$K$200,5,0)&gt;0),0.4,""))))</f>
        <v/>
      </c>
      <c r="T134" s="147" t="str">
        <f ca="1">IFERROR(IFERROR(IF(VLOOKUP($A134,'Шаг2.Бланк заказа NEW'!$B$17:$N$201,7,0)="","",VLOOKUP($A134,'Шаг2.Бланк заказа NEW'!$B$17:$N$201,7,0)),
IF(VLOOKUP($A134-COUNT('Шаг2.Бланк заказа NEW'!$B$19:$B$201),'Бланк OLD 0.8 04'!$B$12:$K$200,7,0)&gt;0,0.8,
IF(VLOOKUP($A134-COUNT('Шаг2.Бланк заказа NEW'!$B$19:$B$201),'Бланк OLD 0.8 04'!$B$12:$K$200,8,0)&gt;0,0.4,""))),
IF(VLOOKUP($A134-COUNT('Шаг2.Бланк заказа NEW'!$B$19:$B$201)-COUNT('Бланк OLD 0.8 04'!$B$18:$B$200),'Бланк OLD 2.0 04 '!$B$16:$K$200,7,0)&gt;0,2,IF(VLOOKUP($A134-COUNT('Шаг2.Бланк заказа NEW'!$B$19:$B$201)-COUNT('Бланк OLD 0.8 04'!$B$18:$B$200),'Бланк OLD 2.0 04 '!$B$16:$K$200,8,0)&gt;0,0.4,"")))</f>
        <v/>
      </c>
      <c r="U134" s="147" t="str">
        <f ca="1">IFERROR(IFERROR(IF(VLOOKUP($A134,'Шаг2.Бланк заказа NEW'!$B$17:$N$201,8,0)="","",VLOOKUP($A134,'Шаг2.Бланк заказа NEW'!$B$17:$N$201,8,0)),
IF(VLOOKUP($A134-COUNT('Шаг2.Бланк заказа NEW'!$B$19:$B$201),'Бланк OLD 0.8 04'!$B$12:$K$200,7,0)&gt;1,0.8,
IF(VLOOKUP($A134-COUNT('Шаг2.Бланк заказа NEW'!$B$19:$B$201),'Бланк OLD 0.8 04'!$B$12:$K$200,8,0)&gt;1,0.4,
IF(AND(VLOOKUP($A134-COUNT('Шаг2.Бланк заказа NEW'!$B$19:$B$201),'Бланк OLD 0.8 04'!$B$12:$K$200,7,0)&gt;0,VLOOKUP($A134-COUNT('Шаг2.Бланк заказа NEW'!$B$19:$B$201),'Бланк OLD 0.8 04'!$B$12:$K$200,8,0)&gt;0),0.4,"")))),
IF(VLOOKUP($A134-COUNT('Шаг2.Бланк заказа NEW'!$B$19:$B$201)-COUNT('Бланк OLD 0.8 04'!$B$18:$B$200),'Бланк OLD 2.0 04 '!$B$16:$K$200,7,0)&gt;1,2,
IF(VLOOKUP($A134-COUNT('Шаг2.Бланк заказа NEW'!$B$19:$B$201)-COUNT('Бланк OLD 0.8 04'!$B$18:$B$200),'Бланк OLD 2.0 04 '!$B$16:$K$200,8,0)&gt;1,0.4,
IF(AND(VLOOKUP($A134-COUNT('Шаг2.Бланк заказа NEW'!$B$19:$B$201)-COUNT('Бланк OLD 0.8 04'!$B$18:$B$200),'Бланк OLD 2.0 04 '!$B$16:$K$200,7,0)&gt;0,VLOOKUP($A134-COUNT('Шаг2.Бланк заказа NEW'!$B$19:$B$201)-COUNT('Бланк OLD 0.8 04'!$B$18:$B$200),'Бланк OLD 2.0 04 '!$B$16:$K$200,8,0)&gt;0),0.4,""))))</f>
        <v/>
      </c>
      <c r="V134" s="146" t="str">
        <f ca="1">IFERROR(VLOOKUP(C134,'Шаг1.Выбор плиты'!C:S,12,0),"")</f>
        <v/>
      </c>
      <c r="W134" s="146" t="str">
        <f ca="1">IFERROR(VLOOKUP(C134,'Шаг1.Выбор плиты'!C:S,8,0),"")</f>
        <v/>
      </c>
      <c r="X134" s="146" t="str">
        <f ca="1">IFERROR(VLOOKUP(C134,'Шаг1.Выбор плиты'!C:S,10,0),"")</f>
        <v/>
      </c>
      <c r="Y134" s="147" t="str">
        <f t="shared" ca="1" si="13"/>
        <v/>
      </c>
      <c r="AD134" s="147" t="str">
        <f t="shared" ca="1" si="11"/>
        <v/>
      </c>
      <c r="AE134" s="147" t="str">
        <f t="shared" ca="1" si="14"/>
        <v/>
      </c>
      <c r="AF134" s="25"/>
      <c r="AH134" s="147" t="str">
        <f ca="1">IF(C134="","",VLOOKUP(C134,'Шаг1.Выбор плиты'!C:Q,7,0))</f>
        <v/>
      </c>
      <c r="AI134" s="147" t="str">
        <f t="shared" ca="1" si="12"/>
        <v/>
      </c>
    </row>
    <row r="135" spans="1:35" x14ac:dyDescent="0.2">
      <c r="A135" s="151" t="str">
        <f ca="1">IF(C135="","",MAX($A$1:OFFSET(C135,-1,0))+1)</f>
        <v/>
      </c>
      <c r="B135" s="151" t="str">
        <f ca="1">IFERROR(IFERROR(IFERROR("Шаг2.Бланк заказа NEW №"&amp;VLOOKUP(A134+1,CHOOSE({1,2},'Шаг2.Бланк заказа NEW'!$B$19:$B$201,'Шаг2.Бланк заказа NEW'!$A$19:$A$201),1,0),
"Бланк OLD 0.8 04 №"&amp;VLOOKUP(A134+1-COUNT('Шаг2.Бланк заказа NEW'!$B$19:$B$201),CHOOSE({1,2},'Бланк OLD 0.8 04'!$B$18:$B$200,'Бланк OLD 0.8 04'!$A$18:$A$200),1,0)),
"Бланк OLD 2.0 04 №"&amp;VLOOKUP(A134+1-COUNT('Шаг2.Бланк заказа NEW'!$B$19:$B$201)-COUNT('Бланк OLD 0.8 04'!$B$18:$B$200),CHOOSE({1,2},'Бланк OLD 2.0 04 '!$B$18:$B$200,'Бланк OLD 2.0 04 '!$A$18:$A$200),1,0)),"")</f>
        <v/>
      </c>
      <c r="C135" s="152" t="str">
        <f ca="1">IFERROR(IFERROR(IFERROR(VLOOKUP(A134+1,CHOOSE({1,2},'Шаг2.Бланк заказа NEW'!$B$19:$B$201,'Шаг2.Бланк заказа NEW'!$A$19:$A$201),2,0),
VLOOKUP(A134+1-COUNT('Шаг2.Бланк заказа NEW'!$B$19:$B$201),CHOOSE({1,2},'Бланк OLD 0.8 04'!$B$18:$B$200,'Бланк OLD 0.8 04'!$A$18:$A$200),2,0)),
VLOOKUP(A134+1-COUNT('Шаг2.Бланк заказа NEW'!$B$19:$B$201)-COUNT('Бланк OLD 0.8 04'!$B$18:$B$200),CHOOSE({1,2},'Бланк OLD 2.0 04 '!$B$18:$B$200,'Бланк OLD 2.0 04 '!$A$18:$A$200),2,0)),"")</f>
        <v/>
      </c>
      <c r="D135" s="150" t="str">
        <f ca="1">IFERROR(VLOOKUP(C135,'Шаг1.Выбор плиты'!C:G,5,0),"")</f>
        <v/>
      </c>
      <c r="E135" s="147" t="str">
        <f ca="1">IFERROR(IFERROR(IF(VLOOKUP($A135,'Шаг2.Бланк заказа NEW'!$B$17:$N$201,2,0)="","",VLOOKUP($A135,'Шаг2.Бланк заказа NEW'!$B$17:$N$201,2,0)),
IF(VLOOKUP($A135-COUNT('Шаг2.Бланк заказа NEW'!$B$19:$B$201),'Бланк OLD 0.8 04'!$B$12:$K$200,2,0)="","",VLOOKUP($A135-COUNT('Шаг2.Бланк заказа NEW'!$B$19:$B$201),'Бланк OLD 0.8 04'!$B$12:$K$200,2,0))),
IF(VLOOKUP($A135-COUNT('Шаг2.Бланк заказа NEW'!$B$19:$B$201)-COUNT('Бланк OLD 0.8 04'!$B$18:$B$200),'Бланк OLD 2.0 04 '!$B$16:$K$200,2,0)="","",VLOOKUP($A135-COUNT('Шаг2.Бланк заказа NEW'!$B$19:$B$201)-COUNT('Бланк OLD 0.8 04'!$B$18:$B$200),'Бланк OLD 2.0 04 '!$B$16:$K$200,2,0)))</f>
        <v/>
      </c>
      <c r="F135" s="147" t="str">
        <f ca="1">IFERROR(IFERROR(IF(VLOOKUP($A135,'Шаг2.Бланк заказа NEW'!$B$17:$N$201,3,0)="","",VLOOKUP($A135,'Шаг2.Бланк заказа NEW'!$B$17:$N$201,3,0)),
IF(VLOOKUP($A135-COUNT('Шаг2.Бланк заказа NEW'!$B$19:$B$201),'Бланк OLD 0.8 04'!$B$12:$K$200,3,0)="","",VLOOKUP($A135-COUNT('Шаг2.Бланк заказа NEW'!$B$19:$B$201),'Бланк OLD 0.8 04'!$B$12:$K$200,3,0))),
IF(VLOOKUP($A135-COUNT('Шаг2.Бланк заказа NEW'!$B$19:$B$201)-COUNT('Бланк OLD 0.8 04'!$B$18:$B$200),'Бланк OLD 2.0 04 '!$B$16:$K$200,3,0)="","",VLOOKUP($A135-COUNT('Шаг2.Бланк заказа NEW'!$B$19:$B$201)-COUNT('Бланк OLD 0.8 04'!$B$18:$B$200),'Бланк OLD 2.0 04 '!$B$16:$K$200,3,0)))</f>
        <v/>
      </c>
      <c r="G135" s="176" t="str">
        <f ca="1">IF(IF(R135="","",IF(R135=1,SUMIFS('Шаг1.Выбор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плиты'!C:Q,12,0)),1))))))=0,
R135,
IF(R135="","",IF(R135=1,SUMIFS('Шаг1.Выбор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плиты'!N:N,R135,'Шаг1.Выбор плиты'!M:M,SMALL(INDIRECT("мм"&amp;VLOOKUP(C135,'Шаг1.Выбор плиты'!C:Q,12,0)),1)))))))</f>
        <v/>
      </c>
      <c r="H135" s="177" t="str">
        <f ca="1">IF(IF(S135="","",IF(S135=1,SUMIFS('Шаг1.Выбор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плиты'!C:Q,12,0)),1))))))=0,
S135,
IF(S135="","",IF(S135=1,SUMIFS('Шаг1.Выбор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плиты'!N:N,S135,'Шаг1.Выбор плиты'!M:M,SMALL(INDIRECT("мм"&amp;VLOOKUP(C135,'Шаг1.Выбор плиты'!C:Q,12,0)),1)))))))</f>
        <v/>
      </c>
      <c r="I135" s="147" t="str">
        <f ca="1">IFERROR(IFERROR(IF(VLOOKUP($A135,'Шаг2.Бланк заказа NEW'!$B$17:$N$201,6,0)="","",VLOOKUP($A135,'Шаг2.Бланк заказа NEW'!$B$17:$N$201,6,0)),
IF(VLOOKUP($A135-COUNT('Шаг2.Бланк заказа NEW'!$B$19:$B$201),'Бланк OLD 0.8 04'!$B$12:$K$200,6,0)="","",VLOOKUP($A135-COUNT('Шаг2.Бланк заказа NEW'!$B$19:$B$201),'Бланк OLD 0.8 04'!$B$12:$K$200,6,0))),
IF(VLOOKUP($A135-COUNT('Шаг2.Бланк заказа NEW'!$B$19:$B$201)-COUNT('Бланк OLD 0.8 04'!$B$18:$B$200),'Бланк OLD 2.0 04 '!$B$16:$K$200,6,0)="","",VLOOKUP($A135-COUNT('Шаг2.Бланк заказа NEW'!$B$19:$B$201)-COUNT('Бланк OLD 0.8 04'!$B$18:$B$200),'Бланк OLD 2.0 04 '!$B$16:$K$200,6,0)))</f>
        <v/>
      </c>
      <c r="J135" s="177" t="str">
        <f ca="1">IF(IF(T135="","",IF(T135=1,SUMIFS('Шаг1.Выбор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плиты'!C:Q,12,0)),1))))))=0,
T135,
IF(T135="","",IF(T135=1,SUMIFS('Шаг1.Выбор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плиты'!N:N,T135,'Шаг1.Выбор плиты'!M:M,SMALL(INDIRECT("мм"&amp;VLOOKUP(C135,'Шаг1.Выбор плиты'!C:Q,12,0)),1)))))))</f>
        <v/>
      </c>
      <c r="K135" s="177" t="str">
        <f ca="1">IF(IF(U135="","",IF(U135=1,SUMIFS('Шаг1.Выбор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плиты'!C:Q,12,0)),1))))))=0,
U135,
IF(U135="","",IF(U135=1,SUMIFS('Шаг1.Выбор плиты'!$G:$G,'Шаг1.Выбор плиты'!J:J,"*"&amp;RIGHT(VLOOKUP(C135,'Шаг1.Выбор плиты'!C:Q,8,0),4),'Шаг1.Выбор плиты'!L:L,IF(MID(C135,1,6)="ЛДСП P","TM"&amp;MID(VLOOKUP(C135,'Шаг1.Выбор плиты'!C:Q,10,0),3,2),MID(VLOOKUP(C135,'Шаг1.Выбор плиты'!C:Q,10,0),1,2)),
'Шаг1.Выбор плиты'!N:N,1),IF(SUMIFS('Шаг1.Выбор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плиты'!C:Q,12,0)),1))=0,
IF(SUMIFS('Шаг1.Выбор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плиты'!C:Q,12,0)),2))=0,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плиты'!C:Q,12,0)),3)),
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плиты'!C:Q,12,0)),2))),
(SUMIFS('Шаг1.Выбор плиты'!$G:$G,'Шаг1.Выбор плиты'!J:J,"*"&amp;RIGHT(VLOOKUP(C135,'Шаг1.Выбор плиты'!C:Q,8,0),4),'Шаг1.Выбор плиты'!L:L,VLOOKUP(C135,'Шаг1.Выбор плиты'!C:Q,10,0),'Шаг1.Выбор плиты'!N:N,U135,'Шаг1.Выбор плиты'!M:M,SMALL(INDIRECT("мм"&amp;VLOOKUP(C135,'Шаг1.Выбор плиты'!C:Q,12,0)),1)))))))</f>
        <v/>
      </c>
      <c r="L135" s="147" t="str">
        <f ca="1">IFERROR(IFERROR(IF(VLOOKUP($A135,'Шаг2.Бланк заказа NEW'!$B$17:$N$201,9,0)="","",VLOOKUP($A135,'Шаг2.Бланк заказа NEW'!$B$17:$N$201,9,0)),
IF(VLOOKUP($A135-COUNT('Шаг2.Бланк заказа NEW'!$B$19:$B$201),'Бланк OLD 0.8 04'!$B$12:$K$200,9,0)="","",VLOOKUP($A135-COUNT('Шаг2.Бланк заказа NEW'!$B$19:$B$201),'Бланк OLD 0.8 04'!$B$12:$K$200,9,0))),
IF(VLOOKUP($A135-COUNT('Шаг2.Бланк заказа NEW'!$B$19:$B$201)-COUNT('Бланк OLD 0.8 04'!$B$18:$B$200),'Бланк OLD 2.0 04 '!$B$16:$K$200,9,0)="","",VLOOKUP($A135-COUNT('Шаг2.Бланк заказа NEW'!$B$19:$B$201)-COUNT('Бланк OLD 0.8 04'!$B$18:$B$200),'Бланк OLD 2.0 04 '!$B$16:$K$200,9,0)))</f>
        <v/>
      </c>
      <c r="M135" s="154" t="str">
        <f t="shared" ca="1" si="10"/>
        <v/>
      </c>
      <c r="N135" s="153" t="str">
        <f ca="1">IFERROR(IF(VLOOKUP($A135,'Шаг2.Бланк заказа NEW'!$B$17:$N$201,11,0)="","",VLOOKUP($A135,'Шаг2.Бланк заказа NEW'!$B$17:$N$201,11,0)),
"Нет")</f>
        <v/>
      </c>
      <c r="O135" s="147" t="str">
        <f ca="1">IFERROR(IF(VLOOKUP($A135,'Шаг2.Бланк заказа NEW'!$B$17:$N$201,11,0)="","",VLOOKUP($A135,'Шаг2.Бланк заказа NEW'!$B$17:$N$201,12,0)),
"Нет")</f>
        <v/>
      </c>
      <c r="P135" s="153" t="str">
        <f ca="1">IFERROR(IF(VLOOKUP($A135,'Шаг2.Бланк заказа NEW'!$B$17:$N$201,13,0)="","",VLOOKUP($A135,'Шаг2.Бланк заказа NEW'!$B$17:$N$201,13,0)),
"Нет")</f>
        <v/>
      </c>
      <c r="Q135" s="147" t="str">
        <f ca="1">IFERROR(IF(VLOOKUP($A135,'Шаг2.Бланк заказа NEW'!$B$17:$O$201,14,0)="","",VLOOKUP($A135,'Шаг2.Бланк заказа NEW'!$B$17:$O$201,14,0)),"")</f>
        <v/>
      </c>
      <c r="R135" s="147" t="str">
        <f ca="1">IFERROR(IFERROR(IF(VLOOKUP($A135,'Шаг2.Бланк заказа NEW'!$B$17:$N$201,4,0)="","",VLOOKUP($A135,'Шаг2.Бланк заказа NEW'!$B$17:$N$201,4,0)),
IF(VLOOKUP($A135-COUNT('Шаг2.Бланк заказа NEW'!$B$19:$B$201),'Бланк OLD 0.8 04'!$B$12:$K$200,4,0)&gt;0,0.8,
IF(VLOOKUP($A135-COUNT('Шаг2.Бланк заказа NEW'!$B$19:$B$201),'Бланк OLD 0.8 04'!$B$12:$K$200,5,0)&gt;0,0.4,""))),
IF(VLOOKUP($A135-COUNT('Шаг2.Бланк заказа NEW'!$B$19:$B$201)-COUNT('Бланк OLD 0.8 04'!$B$18:$B$200),'Бланк OLD 2.0 04 '!$B$16:$K$200,4,0)&gt;0,2,IF(VLOOKUP($A135-COUNT('Шаг2.Бланк заказа NEW'!$B$19:$B$201)-COUNT('Бланк OLD 0.8 04'!$B$18:$B$200),'Бланк OLD 2.0 04 '!$B$16:$K$200,5,0)&gt;0,0.4,"")))</f>
        <v/>
      </c>
      <c r="S135" s="147" t="str">
        <f ca="1">IFERROR(IFERROR(IF(VLOOKUP($A135,'Шаг2.Бланк заказа NEW'!$B$17:$N$201,5,0)="","",VLOOKUP($A135,'Шаг2.Бланк заказа NEW'!$B$17:$N$201,5,0)),
IF(VLOOKUP($A135-COUNT('Шаг2.Бланк заказа NEW'!$B$19:$B$201),'Бланк OLD 0.8 04'!$B$12:$K$200,4,0)&gt;1,0.8,
IF(VLOOKUP($A135-COUNT('Шаг2.Бланк заказа NEW'!$B$19:$B$201),'Бланк OLD 0.8 04'!$B$12:$K$200,5,0)&gt;1,0.4,
IF(AND(VLOOKUP($A135-COUNT('Шаг2.Бланк заказа NEW'!$B$19:$B$201),'Бланк OLD 0.8 04'!$B$12:$K$200,4,0)&gt;0,VLOOKUP($A135-COUNT('Шаг2.Бланк заказа NEW'!$B$19:$B$201),'Бланк OLD 0.8 04'!$B$12:$K$200,5,0)&gt;0),0.4,"")))),
IF(VLOOKUP($A135-COUNT('Шаг2.Бланк заказа NEW'!$B$19:$B$201)-COUNT('Бланк OLD 0.8 04'!$B$18:$B$200),'Бланк OLD 2.0 04 '!$B$16:$K$200,4,0)&gt;1,2,
IF(VLOOKUP($A135-COUNT('Шаг2.Бланк заказа NEW'!$B$19:$B$201)-COUNT('Бланк OLD 0.8 04'!$B$18:$B$200),'Бланк OLD 2.0 04 '!$B$16:$K$200,5,0)&gt;1,0.4,IF(AND(VLOOKUP($A135-COUNT('Шаг2.Бланк заказа NEW'!$B$19:$B$201)-COUNT('Бланк OLD 0.8 04'!$B$18:$B$200),'Бланк OLD 2.0 04 '!$B$16:$K$200,4,0)&gt;0,VLOOKUP($A135-COUNT('Шаг2.Бланк заказа NEW'!$B$19:$B$201)-COUNT('Бланк OLD 0.8 04'!$B$18:$B$200),'Бланк OLD 2.0 04 '!$B$16:$K$200,5,0)&gt;0),0.4,""))))</f>
        <v/>
      </c>
      <c r="T135" s="147" t="str">
        <f ca="1">IFERROR(IFERROR(IF(VLOOKUP($A135,'Шаг2.Бланк заказа NEW'!$B$17:$N$201,7,0)="","",VLOOKUP($A135,'Шаг2.Бланк заказа NEW'!$B$17:$N$201,7,0)),
IF(VLOOKUP($A135-COUNT('Шаг2.Бланк заказа NEW'!$B$19:$B$201),'Бланк OLD 0.8 04'!$B$12:$K$200,7,0)&gt;0,0.8,
IF(VLOOKUP($A135-COUNT('Шаг2.Бланк заказа NEW'!$B$19:$B$201),'Бланк OLD 0.8 04'!$B$12:$K$200,8,0)&gt;0,0.4,""))),
IF(VLOOKUP($A135-COUNT('Шаг2.Бланк заказа NEW'!$B$19:$B$201)-COUNT('Бланк OLD 0.8 04'!$B$18:$B$200),'Бланк OLD 2.0 04 '!$B$16:$K$200,7,0)&gt;0,2,IF(VLOOKUP($A135-COUNT('Шаг2.Бланк заказа NEW'!$B$19:$B$201)-COUNT('Бланк OLD 0.8 04'!$B$18:$B$200),'Бланк OLD 2.0 04 '!$B$16:$K$200,8,0)&gt;0,0.4,"")))</f>
        <v/>
      </c>
      <c r="U135" s="147" t="str">
        <f ca="1">IFERROR(IFERROR(IF(VLOOKUP($A135,'Шаг2.Бланк заказа NEW'!$B$17:$N$201,8,0)="","",VLOOKUP($A135,'Шаг2.Бланк заказа NEW'!$B$17:$N$201,8,0)),
IF(VLOOKUP($A135-COUNT('Шаг2.Бланк заказа NEW'!$B$19:$B$201),'Бланк OLD 0.8 04'!$B$12:$K$200,7,0)&gt;1,0.8,
IF(VLOOKUP($A135-COUNT('Шаг2.Бланк заказа NEW'!$B$19:$B$201),'Бланк OLD 0.8 04'!$B$12:$K$200,8,0)&gt;1,0.4,
IF(AND(VLOOKUP($A135-COUNT('Шаг2.Бланк заказа NEW'!$B$19:$B$201),'Бланк OLD 0.8 04'!$B$12:$K$200,7,0)&gt;0,VLOOKUP($A135-COUNT('Шаг2.Бланк заказа NEW'!$B$19:$B$201),'Бланк OLD 0.8 04'!$B$12:$K$200,8,0)&gt;0),0.4,"")))),
IF(VLOOKUP($A135-COUNT('Шаг2.Бланк заказа NEW'!$B$19:$B$201)-COUNT('Бланк OLD 0.8 04'!$B$18:$B$200),'Бланк OLD 2.0 04 '!$B$16:$K$200,7,0)&gt;1,2,
IF(VLOOKUP($A135-COUNT('Шаг2.Бланк заказа NEW'!$B$19:$B$201)-COUNT('Бланк OLD 0.8 04'!$B$18:$B$200),'Бланк OLD 2.0 04 '!$B$16:$K$200,8,0)&gt;1,0.4,
IF(AND(VLOOKUP($A135-COUNT('Шаг2.Бланк заказа NEW'!$B$19:$B$201)-COUNT('Бланк OLD 0.8 04'!$B$18:$B$200),'Бланк OLD 2.0 04 '!$B$16:$K$200,7,0)&gt;0,VLOOKUP($A135-COUNT('Шаг2.Бланк заказа NEW'!$B$19:$B$201)-COUNT('Бланк OLD 0.8 04'!$B$18:$B$200),'Бланк OLD 2.0 04 '!$B$16:$K$200,8,0)&gt;0),0.4,""))))</f>
        <v/>
      </c>
      <c r="V135" s="146" t="str">
        <f ca="1">IFERROR(VLOOKUP(C135,'Шаг1.Выбор плиты'!C:S,12,0),"")</f>
        <v/>
      </c>
      <c r="W135" s="146" t="str">
        <f ca="1">IFERROR(VLOOKUP(C135,'Шаг1.Выбор плиты'!C:S,8,0),"")</f>
        <v/>
      </c>
      <c r="X135" s="146" t="str">
        <f ca="1">IFERROR(VLOOKUP(C135,'Шаг1.Выбор плиты'!C:S,10,0),"")</f>
        <v/>
      </c>
      <c r="Y135" s="147" t="str">
        <f t="shared" ca="1" si="13"/>
        <v/>
      </c>
      <c r="AD135" s="147" t="str">
        <f t="shared" ca="1" si="11"/>
        <v/>
      </c>
      <c r="AE135" s="147" t="str">
        <f t="shared" ca="1" si="14"/>
        <v/>
      </c>
      <c r="AF135" s="25"/>
      <c r="AH135" s="147" t="str">
        <f ca="1">IF(C135="","",VLOOKUP(C135,'Шаг1.Выбор плиты'!C:Q,7,0))</f>
        <v/>
      </c>
      <c r="AI135" s="147" t="str">
        <f t="shared" ca="1" si="12"/>
        <v/>
      </c>
    </row>
    <row r="136" spans="1:35" x14ac:dyDescent="0.2">
      <c r="A136" s="151" t="str">
        <f ca="1">IF(C136="","",MAX($A$1:OFFSET(C136,-1,0))+1)</f>
        <v/>
      </c>
      <c r="B136" s="151" t="str">
        <f ca="1">IFERROR(IFERROR(IFERROR("Шаг2.Бланк заказа NEW №"&amp;VLOOKUP(A135+1,CHOOSE({1,2},'Шаг2.Бланк заказа NEW'!$B$19:$B$201,'Шаг2.Бланк заказа NEW'!$A$19:$A$201),1,0),
"Бланк OLD 0.8 04 №"&amp;VLOOKUP(A135+1-COUNT('Шаг2.Бланк заказа NEW'!$B$19:$B$201),CHOOSE({1,2},'Бланк OLD 0.8 04'!$B$18:$B$200,'Бланк OLD 0.8 04'!$A$18:$A$200),1,0)),
"Бланк OLD 2.0 04 №"&amp;VLOOKUP(A135+1-COUNT('Шаг2.Бланк заказа NEW'!$B$19:$B$201)-COUNT('Бланк OLD 0.8 04'!$B$18:$B$200),CHOOSE({1,2},'Бланк OLD 2.0 04 '!$B$18:$B$200,'Бланк OLD 2.0 04 '!$A$18:$A$200),1,0)),"")</f>
        <v/>
      </c>
      <c r="C136" s="152" t="str">
        <f ca="1">IFERROR(IFERROR(IFERROR(VLOOKUP(A135+1,CHOOSE({1,2},'Шаг2.Бланк заказа NEW'!$B$19:$B$201,'Шаг2.Бланк заказа NEW'!$A$19:$A$201),2,0),
VLOOKUP(A135+1-COUNT('Шаг2.Бланк заказа NEW'!$B$19:$B$201),CHOOSE({1,2},'Бланк OLD 0.8 04'!$B$18:$B$200,'Бланк OLD 0.8 04'!$A$18:$A$200),2,0)),
VLOOKUP(A135+1-COUNT('Шаг2.Бланк заказа NEW'!$B$19:$B$201)-COUNT('Бланк OLD 0.8 04'!$B$18:$B$200),CHOOSE({1,2},'Бланк OLD 2.0 04 '!$B$18:$B$200,'Бланк OLD 2.0 04 '!$A$18:$A$200),2,0)),"")</f>
        <v/>
      </c>
      <c r="D136" s="150" t="str">
        <f ca="1">IFERROR(VLOOKUP(C136,'Шаг1.Выбор плиты'!C:G,5,0),"")</f>
        <v/>
      </c>
      <c r="E136" s="147" t="str">
        <f ca="1">IFERROR(IFERROR(IF(VLOOKUP($A136,'Шаг2.Бланк заказа NEW'!$B$17:$N$201,2,0)="","",VLOOKUP($A136,'Шаг2.Бланк заказа NEW'!$B$17:$N$201,2,0)),
IF(VLOOKUP($A136-COUNT('Шаг2.Бланк заказа NEW'!$B$19:$B$201),'Бланк OLD 0.8 04'!$B$12:$K$200,2,0)="","",VLOOKUP($A136-COUNT('Шаг2.Бланк заказа NEW'!$B$19:$B$201),'Бланк OLD 0.8 04'!$B$12:$K$200,2,0))),
IF(VLOOKUP($A136-COUNT('Шаг2.Бланк заказа NEW'!$B$19:$B$201)-COUNT('Бланк OLD 0.8 04'!$B$18:$B$200),'Бланк OLD 2.0 04 '!$B$16:$K$200,2,0)="","",VLOOKUP($A136-COUNT('Шаг2.Бланк заказа NEW'!$B$19:$B$201)-COUNT('Бланк OLD 0.8 04'!$B$18:$B$200),'Бланк OLD 2.0 04 '!$B$16:$K$200,2,0)))</f>
        <v/>
      </c>
      <c r="F136" s="147" t="str">
        <f ca="1">IFERROR(IFERROR(IF(VLOOKUP($A136,'Шаг2.Бланк заказа NEW'!$B$17:$N$201,3,0)="","",VLOOKUP($A136,'Шаг2.Бланк заказа NEW'!$B$17:$N$201,3,0)),
IF(VLOOKUP($A136-COUNT('Шаг2.Бланк заказа NEW'!$B$19:$B$201),'Бланк OLD 0.8 04'!$B$12:$K$200,3,0)="","",VLOOKUP($A136-COUNT('Шаг2.Бланк заказа NEW'!$B$19:$B$201),'Бланк OLD 0.8 04'!$B$12:$K$200,3,0))),
IF(VLOOKUP($A136-COUNT('Шаг2.Бланк заказа NEW'!$B$19:$B$201)-COUNT('Бланк OLD 0.8 04'!$B$18:$B$200),'Бланк OLD 2.0 04 '!$B$16:$K$200,3,0)="","",VLOOKUP($A136-COUNT('Шаг2.Бланк заказа NEW'!$B$19:$B$201)-COUNT('Бланк OLD 0.8 04'!$B$18:$B$200),'Бланк OLD 2.0 04 '!$B$16:$K$200,3,0)))</f>
        <v/>
      </c>
      <c r="G136" s="176" t="str">
        <f ca="1">IF(IF(R136="","",IF(R136=1,SUMIFS('Шаг1.Выбор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плиты'!C:Q,12,0)),1))))))=0,
R136,
IF(R136="","",IF(R136=1,SUMIFS('Шаг1.Выбор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плиты'!N:N,R136,'Шаг1.Выбор плиты'!M:M,SMALL(INDIRECT("мм"&amp;VLOOKUP(C136,'Шаг1.Выбор плиты'!C:Q,12,0)),1)))))))</f>
        <v/>
      </c>
      <c r="H136" s="177" t="str">
        <f ca="1">IF(IF(S136="","",IF(S136=1,SUMIFS('Шаг1.Выбор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плиты'!C:Q,12,0)),1))))))=0,
S136,
IF(S136="","",IF(S136=1,SUMIFS('Шаг1.Выбор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плиты'!N:N,S136,'Шаг1.Выбор плиты'!M:M,SMALL(INDIRECT("мм"&amp;VLOOKUP(C136,'Шаг1.Выбор плиты'!C:Q,12,0)),1)))))))</f>
        <v/>
      </c>
      <c r="I136" s="147" t="str">
        <f ca="1">IFERROR(IFERROR(IF(VLOOKUP($A136,'Шаг2.Бланк заказа NEW'!$B$17:$N$201,6,0)="","",VLOOKUP($A136,'Шаг2.Бланк заказа NEW'!$B$17:$N$201,6,0)),
IF(VLOOKUP($A136-COUNT('Шаг2.Бланк заказа NEW'!$B$19:$B$201),'Бланк OLD 0.8 04'!$B$12:$K$200,6,0)="","",VLOOKUP($A136-COUNT('Шаг2.Бланк заказа NEW'!$B$19:$B$201),'Бланк OLD 0.8 04'!$B$12:$K$200,6,0))),
IF(VLOOKUP($A136-COUNT('Шаг2.Бланк заказа NEW'!$B$19:$B$201)-COUNT('Бланк OLD 0.8 04'!$B$18:$B$200),'Бланк OLD 2.0 04 '!$B$16:$K$200,6,0)="","",VLOOKUP($A136-COUNT('Шаг2.Бланк заказа NEW'!$B$19:$B$201)-COUNT('Бланк OLD 0.8 04'!$B$18:$B$200),'Бланк OLD 2.0 04 '!$B$16:$K$200,6,0)))</f>
        <v/>
      </c>
      <c r="J136" s="177" t="str">
        <f ca="1">IF(IF(T136="","",IF(T136=1,SUMIFS('Шаг1.Выбор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плиты'!C:Q,12,0)),1))))))=0,
T136,
IF(T136="","",IF(T136=1,SUMIFS('Шаг1.Выбор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плиты'!N:N,T136,'Шаг1.Выбор плиты'!M:M,SMALL(INDIRECT("мм"&amp;VLOOKUP(C136,'Шаг1.Выбор плиты'!C:Q,12,0)),1)))))))</f>
        <v/>
      </c>
      <c r="K136" s="177" t="str">
        <f ca="1">IF(IF(U136="","",IF(U136=1,SUMIFS('Шаг1.Выбор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плиты'!C:Q,12,0)),1))))))=0,
U136,
IF(U136="","",IF(U136=1,SUMIFS('Шаг1.Выбор плиты'!$G:$G,'Шаг1.Выбор плиты'!J:J,"*"&amp;RIGHT(VLOOKUP(C136,'Шаг1.Выбор плиты'!C:Q,8,0),4),'Шаг1.Выбор плиты'!L:L,IF(MID(C136,1,6)="ЛДСП P","TM"&amp;MID(VLOOKUP(C136,'Шаг1.Выбор плиты'!C:Q,10,0),3,2),MID(VLOOKUP(C136,'Шаг1.Выбор плиты'!C:Q,10,0),1,2)),
'Шаг1.Выбор плиты'!N:N,1),IF(SUMIFS('Шаг1.Выбор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плиты'!C:Q,12,0)),1))=0,
IF(SUMIFS('Шаг1.Выбор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плиты'!C:Q,12,0)),2))=0,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плиты'!C:Q,12,0)),3)),
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плиты'!C:Q,12,0)),2))),
(SUMIFS('Шаг1.Выбор плиты'!$G:$G,'Шаг1.Выбор плиты'!J:J,"*"&amp;RIGHT(VLOOKUP(C136,'Шаг1.Выбор плиты'!C:Q,8,0),4),'Шаг1.Выбор плиты'!L:L,VLOOKUP(C136,'Шаг1.Выбор плиты'!C:Q,10,0),'Шаг1.Выбор плиты'!N:N,U136,'Шаг1.Выбор плиты'!M:M,SMALL(INDIRECT("мм"&amp;VLOOKUP(C136,'Шаг1.Выбор плиты'!C:Q,12,0)),1)))))))</f>
        <v/>
      </c>
      <c r="L136" s="147" t="str">
        <f ca="1">IFERROR(IFERROR(IF(VLOOKUP($A136,'Шаг2.Бланк заказа NEW'!$B$17:$N$201,9,0)="","",VLOOKUP($A136,'Шаг2.Бланк заказа NEW'!$B$17:$N$201,9,0)),
IF(VLOOKUP($A136-COUNT('Шаг2.Бланк заказа NEW'!$B$19:$B$201),'Бланк OLD 0.8 04'!$B$12:$K$200,9,0)="","",VLOOKUP($A136-COUNT('Шаг2.Бланк заказа NEW'!$B$19:$B$201),'Бланк OLD 0.8 04'!$B$12:$K$200,9,0))),
IF(VLOOKUP($A136-COUNT('Шаг2.Бланк заказа NEW'!$B$19:$B$201)-COUNT('Бланк OLD 0.8 04'!$B$18:$B$200),'Бланк OLD 2.0 04 '!$B$16:$K$200,9,0)="","",VLOOKUP($A136-COUNT('Шаг2.Бланк заказа NEW'!$B$19:$B$201)-COUNT('Бланк OLD 0.8 04'!$B$18:$B$200),'Бланк OLD 2.0 04 '!$B$16:$K$200,9,0)))</f>
        <v/>
      </c>
      <c r="M136" s="154" t="str">
        <f t="shared" ca="1" si="10"/>
        <v/>
      </c>
      <c r="N136" s="153" t="str">
        <f ca="1">IFERROR(IF(VLOOKUP($A136,'Шаг2.Бланк заказа NEW'!$B$17:$N$201,11,0)="","",VLOOKUP($A136,'Шаг2.Бланк заказа NEW'!$B$17:$N$201,11,0)),
"Нет")</f>
        <v/>
      </c>
      <c r="O136" s="147" t="str">
        <f ca="1">IFERROR(IF(VLOOKUP($A136,'Шаг2.Бланк заказа NEW'!$B$17:$N$201,11,0)="","",VLOOKUP($A136,'Шаг2.Бланк заказа NEW'!$B$17:$N$201,12,0)),
"Нет")</f>
        <v/>
      </c>
      <c r="P136" s="153" t="str">
        <f ca="1">IFERROR(IF(VLOOKUP($A136,'Шаг2.Бланк заказа NEW'!$B$17:$N$201,13,0)="","",VLOOKUP($A136,'Шаг2.Бланк заказа NEW'!$B$17:$N$201,13,0)),
"Нет")</f>
        <v/>
      </c>
      <c r="Q136" s="147" t="str">
        <f ca="1">IFERROR(IF(VLOOKUP($A136,'Шаг2.Бланк заказа NEW'!$B$17:$O$201,14,0)="","",VLOOKUP($A136,'Шаг2.Бланк заказа NEW'!$B$17:$O$201,14,0)),"")</f>
        <v/>
      </c>
      <c r="R136" s="147" t="str">
        <f ca="1">IFERROR(IFERROR(IF(VLOOKUP($A136,'Шаг2.Бланк заказа NEW'!$B$17:$N$201,4,0)="","",VLOOKUP($A136,'Шаг2.Бланк заказа NEW'!$B$17:$N$201,4,0)),
IF(VLOOKUP($A136-COUNT('Шаг2.Бланк заказа NEW'!$B$19:$B$201),'Бланк OLD 0.8 04'!$B$12:$K$200,4,0)&gt;0,0.8,
IF(VLOOKUP($A136-COUNT('Шаг2.Бланк заказа NEW'!$B$19:$B$201),'Бланк OLD 0.8 04'!$B$12:$K$200,5,0)&gt;0,0.4,""))),
IF(VLOOKUP($A136-COUNT('Шаг2.Бланк заказа NEW'!$B$19:$B$201)-COUNT('Бланк OLD 0.8 04'!$B$18:$B$200),'Бланк OLD 2.0 04 '!$B$16:$K$200,4,0)&gt;0,2,IF(VLOOKUP($A136-COUNT('Шаг2.Бланк заказа NEW'!$B$19:$B$201)-COUNT('Бланк OLD 0.8 04'!$B$18:$B$200),'Бланк OLD 2.0 04 '!$B$16:$K$200,5,0)&gt;0,0.4,"")))</f>
        <v/>
      </c>
      <c r="S136" s="147" t="str">
        <f ca="1">IFERROR(IFERROR(IF(VLOOKUP($A136,'Шаг2.Бланк заказа NEW'!$B$17:$N$201,5,0)="","",VLOOKUP($A136,'Шаг2.Бланк заказа NEW'!$B$17:$N$201,5,0)),
IF(VLOOKUP($A136-COUNT('Шаг2.Бланк заказа NEW'!$B$19:$B$201),'Бланк OLD 0.8 04'!$B$12:$K$200,4,0)&gt;1,0.8,
IF(VLOOKUP($A136-COUNT('Шаг2.Бланк заказа NEW'!$B$19:$B$201),'Бланк OLD 0.8 04'!$B$12:$K$200,5,0)&gt;1,0.4,
IF(AND(VLOOKUP($A136-COUNT('Шаг2.Бланк заказа NEW'!$B$19:$B$201),'Бланк OLD 0.8 04'!$B$12:$K$200,4,0)&gt;0,VLOOKUP($A136-COUNT('Шаг2.Бланк заказа NEW'!$B$19:$B$201),'Бланк OLD 0.8 04'!$B$12:$K$200,5,0)&gt;0),0.4,"")))),
IF(VLOOKUP($A136-COUNT('Шаг2.Бланк заказа NEW'!$B$19:$B$201)-COUNT('Бланк OLD 0.8 04'!$B$18:$B$200),'Бланк OLD 2.0 04 '!$B$16:$K$200,4,0)&gt;1,2,
IF(VLOOKUP($A136-COUNT('Шаг2.Бланк заказа NEW'!$B$19:$B$201)-COUNT('Бланк OLD 0.8 04'!$B$18:$B$200),'Бланк OLD 2.0 04 '!$B$16:$K$200,5,0)&gt;1,0.4,IF(AND(VLOOKUP($A136-COUNT('Шаг2.Бланк заказа NEW'!$B$19:$B$201)-COUNT('Бланк OLD 0.8 04'!$B$18:$B$200),'Бланк OLD 2.0 04 '!$B$16:$K$200,4,0)&gt;0,VLOOKUP($A136-COUNT('Шаг2.Бланк заказа NEW'!$B$19:$B$201)-COUNT('Бланк OLD 0.8 04'!$B$18:$B$200),'Бланк OLD 2.0 04 '!$B$16:$K$200,5,0)&gt;0),0.4,""))))</f>
        <v/>
      </c>
      <c r="T136" s="147" t="str">
        <f ca="1">IFERROR(IFERROR(IF(VLOOKUP($A136,'Шаг2.Бланк заказа NEW'!$B$17:$N$201,7,0)="","",VLOOKUP($A136,'Шаг2.Бланк заказа NEW'!$B$17:$N$201,7,0)),
IF(VLOOKUP($A136-COUNT('Шаг2.Бланк заказа NEW'!$B$19:$B$201),'Бланк OLD 0.8 04'!$B$12:$K$200,7,0)&gt;0,0.8,
IF(VLOOKUP($A136-COUNT('Шаг2.Бланк заказа NEW'!$B$19:$B$201),'Бланк OLD 0.8 04'!$B$12:$K$200,8,0)&gt;0,0.4,""))),
IF(VLOOKUP($A136-COUNT('Шаг2.Бланк заказа NEW'!$B$19:$B$201)-COUNT('Бланк OLD 0.8 04'!$B$18:$B$200),'Бланк OLD 2.0 04 '!$B$16:$K$200,7,0)&gt;0,2,IF(VLOOKUP($A136-COUNT('Шаг2.Бланк заказа NEW'!$B$19:$B$201)-COUNT('Бланк OLD 0.8 04'!$B$18:$B$200),'Бланк OLD 2.0 04 '!$B$16:$K$200,8,0)&gt;0,0.4,"")))</f>
        <v/>
      </c>
      <c r="U136" s="147" t="str">
        <f ca="1">IFERROR(IFERROR(IF(VLOOKUP($A136,'Шаг2.Бланк заказа NEW'!$B$17:$N$201,8,0)="","",VLOOKUP($A136,'Шаг2.Бланк заказа NEW'!$B$17:$N$201,8,0)),
IF(VLOOKUP($A136-COUNT('Шаг2.Бланк заказа NEW'!$B$19:$B$201),'Бланк OLD 0.8 04'!$B$12:$K$200,7,0)&gt;1,0.8,
IF(VLOOKUP($A136-COUNT('Шаг2.Бланк заказа NEW'!$B$19:$B$201),'Бланк OLD 0.8 04'!$B$12:$K$200,8,0)&gt;1,0.4,
IF(AND(VLOOKUP($A136-COUNT('Шаг2.Бланк заказа NEW'!$B$19:$B$201),'Бланк OLD 0.8 04'!$B$12:$K$200,7,0)&gt;0,VLOOKUP($A136-COUNT('Шаг2.Бланк заказа NEW'!$B$19:$B$201),'Бланк OLD 0.8 04'!$B$12:$K$200,8,0)&gt;0),0.4,"")))),
IF(VLOOKUP($A136-COUNT('Шаг2.Бланк заказа NEW'!$B$19:$B$201)-COUNT('Бланк OLD 0.8 04'!$B$18:$B$200),'Бланк OLD 2.0 04 '!$B$16:$K$200,7,0)&gt;1,2,
IF(VLOOKUP($A136-COUNT('Шаг2.Бланк заказа NEW'!$B$19:$B$201)-COUNT('Бланк OLD 0.8 04'!$B$18:$B$200),'Бланк OLD 2.0 04 '!$B$16:$K$200,8,0)&gt;1,0.4,
IF(AND(VLOOKUP($A136-COUNT('Шаг2.Бланк заказа NEW'!$B$19:$B$201)-COUNT('Бланк OLD 0.8 04'!$B$18:$B$200),'Бланк OLD 2.0 04 '!$B$16:$K$200,7,0)&gt;0,VLOOKUP($A136-COUNT('Шаг2.Бланк заказа NEW'!$B$19:$B$201)-COUNT('Бланк OLD 0.8 04'!$B$18:$B$200),'Бланк OLD 2.0 04 '!$B$16:$K$200,8,0)&gt;0),0.4,""))))</f>
        <v/>
      </c>
      <c r="V136" s="146" t="str">
        <f ca="1">IFERROR(VLOOKUP(C136,'Шаг1.Выбор плиты'!C:S,12,0),"")</f>
        <v/>
      </c>
      <c r="W136" s="146" t="str">
        <f ca="1">IFERROR(VLOOKUP(C136,'Шаг1.Выбор плиты'!C:S,8,0),"")</f>
        <v/>
      </c>
      <c r="X136" s="146" t="str">
        <f ca="1">IFERROR(VLOOKUP(C136,'Шаг1.Выбор плиты'!C:S,10,0),"")</f>
        <v/>
      </c>
      <c r="Y136" s="147" t="str">
        <f t="shared" ca="1" si="13"/>
        <v/>
      </c>
      <c r="AD136" s="147" t="str">
        <f t="shared" ca="1" si="11"/>
        <v/>
      </c>
      <c r="AE136" s="147" t="str">
        <f t="shared" ca="1" si="14"/>
        <v/>
      </c>
      <c r="AF136" s="25"/>
      <c r="AH136" s="147" t="str">
        <f ca="1">IF(C136="","",VLOOKUP(C136,'Шаг1.Выбор плиты'!C:Q,7,0))</f>
        <v/>
      </c>
      <c r="AI136" s="147" t="str">
        <f t="shared" ca="1" si="12"/>
        <v/>
      </c>
    </row>
    <row r="137" spans="1:35" x14ac:dyDescent="0.2">
      <c r="A137" s="151" t="str">
        <f ca="1">IF(C137="","",MAX($A$1:OFFSET(C137,-1,0))+1)</f>
        <v/>
      </c>
      <c r="B137" s="151" t="str">
        <f ca="1">IFERROR(IFERROR(IFERROR("Шаг2.Бланк заказа NEW №"&amp;VLOOKUP(A136+1,CHOOSE({1,2},'Шаг2.Бланк заказа NEW'!$B$19:$B$201,'Шаг2.Бланк заказа NEW'!$A$19:$A$201),1,0),
"Бланк OLD 0.8 04 №"&amp;VLOOKUP(A136+1-COUNT('Шаг2.Бланк заказа NEW'!$B$19:$B$201),CHOOSE({1,2},'Бланк OLD 0.8 04'!$B$18:$B$200,'Бланк OLD 0.8 04'!$A$18:$A$200),1,0)),
"Бланк OLD 2.0 04 №"&amp;VLOOKUP(A136+1-COUNT('Шаг2.Бланк заказа NEW'!$B$19:$B$201)-COUNT('Бланк OLD 0.8 04'!$B$18:$B$200),CHOOSE({1,2},'Бланк OLD 2.0 04 '!$B$18:$B$200,'Бланк OLD 2.0 04 '!$A$18:$A$200),1,0)),"")</f>
        <v/>
      </c>
      <c r="C137" s="152" t="str">
        <f ca="1">IFERROR(IFERROR(IFERROR(VLOOKUP(A136+1,CHOOSE({1,2},'Шаг2.Бланк заказа NEW'!$B$19:$B$201,'Шаг2.Бланк заказа NEW'!$A$19:$A$201),2,0),
VLOOKUP(A136+1-COUNT('Шаг2.Бланк заказа NEW'!$B$19:$B$201),CHOOSE({1,2},'Бланк OLD 0.8 04'!$B$18:$B$200,'Бланк OLD 0.8 04'!$A$18:$A$200),2,0)),
VLOOKUP(A136+1-COUNT('Шаг2.Бланк заказа NEW'!$B$19:$B$201)-COUNT('Бланк OLD 0.8 04'!$B$18:$B$200),CHOOSE({1,2},'Бланк OLD 2.0 04 '!$B$18:$B$200,'Бланк OLD 2.0 04 '!$A$18:$A$200),2,0)),"")</f>
        <v/>
      </c>
      <c r="D137" s="150" t="str">
        <f ca="1">IFERROR(VLOOKUP(C137,'Шаг1.Выбор плиты'!C:G,5,0),"")</f>
        <v/>
      </c>
      <c r="E137" s="147" t="str">
        <f ca="1">IFERROR(IFERROR(IF(VLOOKUP($A137,'Шаг2.Бланк заказа NEW'!$B$17:$N$201,2,0)="","",VLOOKUP($A137,'Шаг2.Бланк заказа NEW'!$B$17:$N$201,2,0)),
IF(VLOOKUP($A137-COUNT('Шаг2.Бланк заказа NEW'!$B$19:$B$201),'Бланк OLD 0.8 04'!$B$12:$K$200,2,0)="","",VLOOKUP($A137-COUNT('Шаг2.Бланк заказа NEW'!$B$19:$B$201),'Бланк OLD 0.8 04'!$B$12:$K$200,2,0))),
IF(VLOOKUP($A137-COUNT('Шаг2.Бланк заказа NEW'!$B$19:$B$201)-COUNT('Бланк OLD 0.8 04'!$B$18:$B$200),'Бланк OLD 2.0 04 '!$B$16:$K$200,2,0)="","",VLOOKUP($A137-COUNT('Шаг2.Бланк заказа NEW'!$B$19:$B$201)-COUNT('Бланк OLD 0.8 04'!$B$18:$B$200),'Бланк OLD 2.0 04 '!$B$16:$K$200,2,0)))</f>
        <v/>
      </c>
      <c r="F137" s="147" t="str">
        <f ca="1">IFERROR(IFERROR(IF(VLOOKUP($A137,'Шаг2.Бланк заказа NEW'!$B$17:$N$201,3,0)="","",VLOOKUP($A137,'Шаг2.Бланк заказа NEW'!$B$17:$N$201,3,0)),
IF(VLOOKUP($A137-COUNT('Шаг2.Бланк заказа NEW'!$B$19:$B$201),'Бланк OLD 0.8 04'!$B$12:$K$200,3,0)="","",VLOOKUP($A137-COUNT('Шаг2.Бланк заказа NEW'!$B$19:$B$201),'Бланк OLD 0.8 04'!$B$12:$K$200,3,0))),
IF(VLOOKUP($A137-COUNT('Шаг2.Бланк заказа NEW'!$B$19:$B$201)-COUNT('Бланк OLD 0.8 04'!$B$18:$B$200),'Бланк OLD 2.0 04 '!$B$16:$K$200,3,0)="","",VLOOKUP($A137-COUNT('Шаг2.Бланк заказа NEW'!$B$19:$B$201)-COUNT('Бланк OLD 0.8 04'!$B$18:$B$200),'Бланк OLD 2.0 04 '!$B$16:$K$200,3,0)))</f>
        <v/>
      </c>
      <c r="G137" s="176" t="str">
        <f ca="1">IF(IF(R137="","",IF(R137=1,SUMIFS('Шаг1.Выбор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плиты'!C:Q,12,0)),1))))))=0,
R137,
IF(R137="","",IF(R137=1,SUMIFS('Шаг1.Выбор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плиты'!N:N,R137,'Шаг1.Выбор плиты'!M:M,SMALL(INDIRECT("мм"&amp;VLOOKUP(C137,'Шаг1.Выбор плиты'!C:Q,12,0)),1)))))))</f>
        <v/>
      </c>
      <c r="H137" s="177" t="str">
        <f ca="1">IF(IF(S137="","",IF(S137=1,SUMIFS('Шаг1.Выбор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плиты'!C:Q,12,0)),1))))))=0,
S137,
IF(S137="","",IF(S137=1,SUMIFS('Шаг1.Выбор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плиты'!N:N,S137,'Шаг1.Выбор плиты'!M:M,SMALL(INDIRECT("мм"&amp;VLOOKUP(C137,'Шаг1.Выбор плиты'!C:Q,12,0)),1)))))))</f>
        <v/>
      </c>
      <c r="I137" s="147" t="str">
        <f ca="1">IFERROR(IFERROR(IF(VLOOKUP($A137,'Шаг2.Бланк заказа NEW'!$B$17:$N$201,6,0)="","",VLOOKUP($A137,'Шаг2.Бланк заказа NEW'!$B$17:$N$201,6,0)),
IF(VLOOKUP($A137-COUNT('Шаг2.Бланк заказа NEW'!$B$19:$B$201),'Бланк OLD 0.8 04'!$B$12:$K$200,6,0)="","",VLOOKUP($A137-COUNT('Шаг2.Бланк заказа NEW'!$B$19:$B$201),'Бланк OLD 0.8 04'!$B$12:$K$200,6,0))),
IF(VLOOKUP($A137-COUNT('Шаг2.Бланк заказа NEW'!$B$19:$B$201)-COUNT('Бланк OLD 0.8 04'!$B$18:$B$200),'Бланк OLD 2.0 04 '!$B$16:$K$200,6,0)="","",VLOOKUP($A137-COUNT('Шаг2.Бланк заказа NEW'!$B$19:$B$201)-COUNT('Бланк OLD 0.8 04'!$B$18:$B$200),'Бланк OLD 2.0 04 '!$B$16:$K$200,6,0)))</f>
        <v/>
      </c>
      <c r="J137" s="177" t="str">
        <f ca="1">IF(IF(T137="","",IF(T137=1,SUMIFS('Шаг1.Выбор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плиты'!C:Q,12,0)),1))))))=0,
T137,
IF(T137="","",IF(T137=1,SUMIFS('Шаг1.Выбор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плиты'!N:N,T137,'Шаг1.Выбор плиты'!M:M,SMALL(INDIRECT("мм"&amp;VLOOKUP(C137,'Шаг1.Выбор плиты'!C:Q,12,0)),1)))))))</f>
        <v/>
      </c>
      <c r="K137" s="177" t="str">
        <f ca="1">IF(IF(U137="","",IF(U137=1,SUMIFS('Шаг1.Выбор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плиты'!C:Q,12,0)),1))))))=0,
U137,
IF(U137="","",IF(U137=1,SUMIFS('Шаг1.Выбор плиты'!$G:$G,'Шаг1.Выбор плиты'!J:J,"*"&amp;RIGHT(VLOOKUP(C137,'Шаг1.Выбор плиты'!C:Q,8,0),4),'Шаг1.Выбор плиты'!L:L,IF(MID(C137,1,6)="ЛДСП P","TM"&amp;MID(VLOOKUP(C137,'Шаг1.Выбор плиты'!C:Q,10,0),3,2),MID(VLOOKUP(C137,'Шаг1.Выбор плиты'!C:Q,10,0),1,2)),
'Шаг1.Выбор плиты'!N:N,1),IF(SUMIFS('Шаг1.Выбор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плиты'!C:Q,12,0)),1))=0,
IF(SUMIFS('Шаг1.Выбор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плиты'!C:Q,12,0)),2))=0,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плиты'!C:Q,12,0)),3)),
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плиты'!C:Q,12,0)),2))),
(SUMIFS('Шаг1.Выбор плиты'!$G:$G,'Шаг1.Выбор плиты'!J:J,"*"&amp;RIGHT(VLOOKUP(C137,'Шаг1.Выбор плиты'!C:Q,8,0),4),'Шаг1.Выбор плиты'!L:L,VLOOKUP(C137,'Шаг1.Выбор плиты'!C:Q,10,0),'Шаг1.Выбор плиты'!N:N,U137,'Шаг1.Выбор плиты'!M:M,SMALL(INDIRECT("мм"&amp;VLOOKUP(C137,'Шаг1.Выбор плиты'!C:Q,12,0)),1)))))))</f>
        <v/>
      </c>
      <c r="L137" s="147" t="str">
        <f ca="1">IFERROR(IFERROR(IF(VLOOKUP($A137,'Шаг2.Бланк заказа NEW'!$B$17:$N$201,9,0)="","",VLOOKUP($A137,'Шаг2.Бланк заказа NEW'!$B$17:$N$201,9,0)),
IF(VLOOKUP($A137-COUNT('Шаг2.Бланк заказа NEW'!$B$19:$B$201),'Бланк OLD 0.8 04'!$B$12:$K$200,9,0)="","",VLOOKUP($A137-COUNT('Шаг2.Бланк заказа NEW'!$B$19:$B$201),'Бланк OLD 0.8 04'!$B$12:$K$200,9,0))),
IF(VLOOKUP($A137-COUNT('Шаг2.Бланк заказа NEW'!$B$19:$B$201)-COUNT('Бланк OLD 0.8 04'!$B$18:$B$200),'Бланк OLD 2.0 04 '!$B$16:$K$200,9,0)="","",VLOOKUP($A137-COUNT('Шаг2.Бланк заказа NEW'!$B$19:$B$201)-COUNT('Бланк OLD 0.8 04'!$B$18:$B$200),'Бланк OLD 2.0 04 '!$B$16:$K$200,9,0)))</f>
        <v/>
      </c>
      <c r="M137" s="154" t="str">
        <f t="shared" ca="1" si="10"/>
        <v/>
      </c>
      <c r="N137" s="153" t="str">
        <f ca="1">IFERROR(IF(VLOOKUP($A137,'Шаг2.Бланк заказа NEW'!$B$17:$N$201,11,0)="","",VLOOKUP($A137,'Шаг2.Бланк заказа NEW'!$B$17:$N$201,11,0)),
"Нет")</f>
        <v/>
      </c>
      <c r="O137" s="147" t="str">
        <f ca="1">IFERROR(IF(VLOOKUP($A137,'Шаг2.Бланк заказа NEW'!$B$17:$N$201,11,0)="","",VLOOKUP($A137,'Шаг2.Бланк заказа NEW'!$B$17:$N$201,12,0)),
"Нет")</f>
        <v/>
      </c>
      <c r="P137" s="153" t="str">
        <f ca="1">IFERROR(IF(VLOOKUP($A137,'Шаг2.Бланк заказа NEW'!$B$17:$N$201,13,0)="","",VLOOKUP($A137,'Шаг2.Бланк заказа NEW'!$B$17:$N$201,13,0)),
"Нет")</f>
        <v/>
      </c>
      <c r="Q137" s="147" t="str">
        <f ca="1">IFERROR(IF(VLOOKUP($A137,'Шаг2.Бланк заказа NEW'!$B$17:$O$201,14,0)="","",VLOOKUP($A137,'Шаг2.Бланк заказа NEW'!$B$17:$O$201,14,0)),"")</f>
        <v/>
      </c>
      <c r="R137" s="147" t="str">
        <f ca="1">IFERROR(IFERROR(IF(VLOOKUP($A137,'Шаг2.Бланк заказа NEW'!$B$17:$N$201,4,0)="","",VLOOKUP($A137,'Шаг2.Бланк заказа NEW'!$B$17:$N$201,4,0)),
IF(VLOOKUP($A137-COUNT('Шаг2.Бланк заказа NEW'!$B$19:$B$201),'Бланк OLD 0.8 04'!$B$12:$K$200,4,0)&gt;0,0.8,
IF(VLOOKUP($A137-COUNT('Шаг2.Бланк заказа NEW'!$B$19:$B$201),'Бланк OLD 0.8 04'!$B$12:$K$200,5,0)&gt;0,0.4,""))),
IF(VLOOKUP($A137-COUNT('Шаг2.Бланк заказа NEW'!$B$19:$B$201)-COUNT('Бланк OLD 0.8 04'!$B$18:$B$200),'Бланк OLD 2.0 04 '!$B$16:$K$200,4,0)&gt;0,2,IF(VLOOKUP($A137-COUNT('Шаг2.Бланк заказа NEW'!$B$19:$B$201)-COUNT('Бланк OLD 0.8 04'!$B$18:$B$200),'Бланк OLD 2.0 04 '!$B$16:$K$200,5,0)&gt;0,0.4,"")))</f>
        <v/>
      </c>
      <c r="S137" s="147" t="str">
        <f ca="1">IFERROR(IFERROR(IF(VLOOKUP($A137,'Шаг2.Бланк заказа NEW'!$B$17:$N$201,5,0)="","",VLOOKUP($A137,'Шаг2.Бланк заказа NEW'!$B$17:$N$201,5,0)),
IF(VLOOKUP($A137-COUNT('Шаг2.Бланк заказа NEW'!$B$19:$B$201),'Бланк OLD 0.8 04'!$B$12:$K$200,4,0)&gt;1,0.8,
IF(VLOOKUP($A137-COUNT('Шаг2.Бланк заказа NEW'!$B$19:$B$201),'Бланк OLD 0.8 04'!$B$12:$K$200,5,0)&gt;1,0.4,
IF(AND(VLOOKUP($A137-COUNT('Шаг2.Бланк заказа NEW'!$B$19:$B$201),'Бланк OLD 0.8 04'!$B$12:$K$200,4,0)&gt;0,VLOOKUP($A137-COUNT('Шаг2.Бланк заказа NEW'!$B$19:$B$201),'Бланк OLD 0.8 04'!$B$12:$K$200,5,0)&gt;0),0.4,"")))),
IF(VLOOKUP($A137-COUNT('Шаг2.Бланк заказа NEW'!$B$19:$B$201)-COUNT('Бланк OLD 0.8 04'!$B$18:$B$200),'Бланк OLD 2.0 04 '!$B$16:$K$200,4,0)&gt;1,2,
IF(VLOOKUP($A137-COUNT('Шаг2.Бланк заказа NEW'!$B$19:$B$201)-COUNT('Бланк OLD 0.8 04'!$B$18:$B$200),'Бланк OLD 2.0 04 '!$B$16:$K$200,5,0)&gt;1,0.4,IF(AND(VLOOKUP($A137-COUNT('Шаг2.Бланк заказа NEW'!$B$19:$B$201)-COUNT('Бланк OLD 0.8 04'!$B$18:$B$200),'Бланк OLD 2.0 04 '!$B$16:$K$200,4,0)&gt;0,VLOOKUP($A137-COUNT('Шаг2.Бланк заказа NEW'!$B$19:$B$201)-COUNT('Бланк OLD 0.8 04'!$B$18:$B$200),'Бланк OLD 2.0 04 '!$B$16:$K$200,5,0)&gt;0),0.4,""))))</f>
        <v/>
      </c>
      <c r="T137" s="147" t="str">
        <f ca="1">IFERROR(IFERROR(IF(VLOOKUP($A137,'Шаг2.Бланк заказа NEW'!$B$17:$N$201,7,0)="","",VLOOKUP($A137,'Шаг2.Бланк заказа NEW'!$B$17:$N$201,7,0)),
IF(VLOOKUP($A137-COUNT('Шаг2.Бланк заказа NEW'!$B$19:$B$201),'Бланк OLD 0.8 04'!$B$12:$K$200,7,0)&gt;0,0.8,
IF(VLOOKUP($A137-COUNT('Шаг2.Бланк заказа NEW'!$B$19:$B$201),'Бланк OLD 0.8 04'!$B$12:$K$200,8,0)&gt;0,0.4,""))),
IF(VLOOKUP($A137-COUNT('Шаг2.Бланк заказа NEW'!$B$19:$B$201)-COUNT('Бланк OLD 0.8 04'!$B$18:$B$200),'Бланк OLD 2.0 04 '!$B$16:$K$200,7,0)&gt;0,2,IF(VLOOKUP($A137-COUNT('Шаг2.Бланк заказа NEW'!$B$19:$B$201)-COUNT('Бланк OLD 0.8 04'!$B$18:$B$200),'Бланк OLD 2.0 04 '!$B$16:$K$200,8,0)&gt;0,0.4,"")))</f>
        <v/>
      </c>
      <c r="U137" s="147" t="str">
        <f ca="1">IFERROR(IFERROR(IF(VLOOKUP($A137,'Шаг2.Бланк заказа NEW'!$B$17:$N$201,8,0)="","",VLOOKUP($A137,'Шаг2.Бланк заказа NEW'!$B$17:$N$201,8,0)),
IF(VLOOKUP($A137-COUNT('Шаг2.Бланк заказа NEW'!$B$19:$B$201),'Бланк OLD 0.8 04'!$B$12:$K$200,7,0)&gt;1,0.8,
IF(VLOOKUP($A137-COUNT('Шаг2.Бланк заказа NEW'!$B$19:$B$201),'Бланк OLD 0.8 04'!$B$12:$K$200,8,0)&gt;1,0.4,
IF(AND(VLOOKUP($A137-COUNT('Шаг2.Бланк заказа NEW'!$B$19:$B$201),'Бланк OLD 0.8 04'!$B$12:$K$200,7,0)&gt;0,VLOOKUP($A137-COUNT('Шаг2.Бланк заказа NEW'!$B$19:$B$201),'Бланк OLD 0.8 04'!$B$12:$K$200,8,0)&gt;0),0.4,"")))),
IF(VLOOKUP($A137-COUNT('Шаг2.Бланк заказа NEW'!$B$19:$B$201)-COUNT('Бланк OLD 0.8 04'!$B$18:$B$200),'Бланк OLD 2.0 04 '!$B$16:$K$200,7,0)&gt;1,2,
IF(VLOOKUP($A137-COUNT('Шаг2.Бланк заказа NEW'!$B$19:$B$201)-COUNT('Бланк OLD 0.8 04'!$B$18:$B$200),'Бланк OLD 2.0 04 '!$B$16:$K$200,8,0)&gt;1,0.4,
IF(AND(VLOOKUP($A137-COUNT('Шаг2.Бланк заказа NEW'!$B$19:$B$201)-COUNT('Бланк OLD 0.8 04'!$B$18:$B$200),'Бланк OLD 2.0 04 '!$B$16:$K$200,7,0)&gt;0,VLOOKUP($A137-COUNT('Шаг2.Бланк заказа NEW'!$B$19:$B$201)-COUNT('Бланк OLD 0.8 04'!$B$18:$B$200),'Бланк OLD 2.0 04 '!$B$16:$K$200,8,0)&gt;0),0.4,""))))</f>
        <v/>
      </c>
      <c r="V137" s="146" t="str">
        <f ca="1">IFERROR(VLOOKUP(C137,'Шаг1.Выбор плиты'!C:S,12,0),"")</f>
        <v/>
      </c>
      <c r="W137" s="146" t="str">
        <f ca="1">IFERROR(VLOOKUP(C137,'Шаг1.Выбор плиты'!C:S,8,0),"")</f>
        <v/>
      </c>
      <c r="X137" s="146" t="str">
        <f ca="1">IFERROR(VLOOKUP(C137,'Шаг1.Выбор плиты'!C:S,10,0),"")</f>
        <v/>
      </c>
      <c r="Y137" s="147" t="str">
        <f t="shared" ca="1" si="13"/>
        <v/>
      </c>
      <c r="AD137" s="147" t="str">
        <f t="shared" ca="1" si="11"/>
        <v/>
      </c>
      <c r="AE137" s="147" t="str">
        <f t="shared" ca="1" si="14"/>
        <v/>
      </c>
      <c r="AF137" s="25"/>
      <c r="AH137" s="147" t="str">
        <f ca="1">IF(C137="","",VLOOKUP(C137,'Шаг1.Выбор плиты'!C:Q,7,0))</f>
        <v/>
      </c>
      <c r="AI137" s="147" t="str">
        <f t="shared" ca="1" si="12"/>
        <v/>
      </c>
    </row>
    <row r="138" spans="1:35" x14ac:dyDescent="0.2">
      <c r="A138" s="151" t="str">
        <f ca="1">IF(C138="","",MAX($A$1:OFFSET(C138,-1,0))+1)</f>
        <v/>
      </c>
      <c r="B138" s="151" t="str">
        <f ca="1">IFERROR(IFERROR(IFERROR("Шаг2.Бланк заказа NEW №"&amp;VLOOKUP(A137+1,CHOOSE({1,2},'Шаг2.Бланк заказа NEW'!$B$19:$B$201,'Шаг2.Бланк заказа NEW'!$A$19:$A$201),1,0),
"Бланк OLD 0.8 04 №"&amp;VLOOKUP(A137+1-COUNT('Шаг2.Бланк заказа NEW'!$B$19:$B$201),CHOOSE({1,2},'Бланк OLD 0.8 04'!$B$18:$B$200,'Бланк OLD 0.8 04'!$A$18:$A$200),1,0)),
"Бланк OLD 2.0 04 №"&amp;VLOOKUP(A137+1-COUNT('Шаг2.Бланк заказа NEW'!$B$19:$B$201)-COUNT('Бланк OLD 0.8 04'!$B$18:$B$200),CHOOSE({1,2},'Бланк OLD 2.0 04 '!$B$18:$B$200,'Бланк OLD 2.0 04 '!$A$18:$A$200),1,0)),"")</f>
        <v/>
      </c>
      <c r="C138" s="152" t="str">
        <f ca="1">IFERROR(IFERROR(IFERROR(VLOOKUP(A137+1,CHOOSE({1,2},'Шаг2.Бланк заказа NEW'!$B$19:$B$201,'Шаг2.Бланк заказа NEW'!$A$19:$A$201),2,0),
VLOOKUP(A137+1-COUNT('Шаг2.Бланк заказа NEW'!$B$19:$B$201),CHOOSE({1,2},'Бланк OLD 0.8 04'!$B$18:$B$200,'Бланк OLD 0.8 04'!$A$18:$A$200),2,0)),
VLOOKUP(A137+1-COUNT('Шаг2.Бланк заказа NEW'!$B$19:$B$201)-COUNT('Бланк OLD 0.8 04'!$B$18:$B$200),CHOOSE({1,2},'Бланк OLD 2.0 04 '!$B$18:$B$200,'Бланк OLD 2.0 04 '!$A$18:$A$200),2,0)),"")</f>
        <v/>
      </c>
      <c r="D138" s="150" t="str">
        <f ca="1">IFERROR(VLOOKUP(C138,'Шаг1.Выбор плиты'!C:G,5,0),"")</f>
        <v/>
      </c>
      <c r="E138" s="147" t="str">
        <f ca="1">IFERROR(IFERROR(IF(VLOOKUP($A138,'Шаг2.Бланк заказа NEW'!$B$17:$N$201,2,0)="","",VLOOKUP($A138,'Шаг2.Бланк заказа NEW'!$B$17:$N$201,2,0)),
IF(VLOOKUP($A138-COUNT('Шаг2.Бланк заказа NEW'!$B$19:$B$201),'Бланк OLD 0.8 04'!$B$12:$K$200,2,0)="","",VLOOKUP($A138-COUNT('Шаг2.Бланк заказа NEW'!$B$19:$B$201),'Бланк OLD 0.8 04'!$B$12:$K$200,2,0))),
IF(VLOOKUP($A138-COUNT('Шаг2.Бланк заказа NEW'!$B$19:$B$201)-COUNT('Бланк OLD 0.8 04'!$B$18:$B$200),'Бланк OLD 2.0 04 '!$B$16:$K$200,2,0)="","",VLOOKUP($A138-COUNT('Шаг2.Бланк заказа NEW'!$B$19:$B$201)-COUNT('Бланк OLD 0.8 04'!$B$18:$B$200),'Бланк OLD 2.0 04 '!$B$16:$K$200,2,0)))</f>
        <v/>
      </c>
      <c r="F138" s="147" t="str">
        <f ca="1">IFERROR(IFERROR(IF(VLOOKUP($A138,'Шаг2.Бланк заказа NEW'!$B$17:$N$201,3,0)="","",VLOOKUP($A138,'Шаг2.Бланк заказа NEW'!$B$17:$N$201,3,0)),
IF(VLOOKUP($A138-COUNT('Шаг2.Бланк заказа NEW'!$B$19:$B$201),'Бланк OLD 0.8 04'!$B$12:$K$200,3,0)="","",VLOOKUP($A138-COUNT('Шаг2.Бланк заказа NEW'!$B$19:$B$201),'Бланк OLD 0.8 04'!$B$12:$K$200,3,0))),
IF(VLOOKUP($A138-COUNT('Шаг2.Бланк заказа NEW'!$B$19:$B$201)-COUNT('Бланк OLD 0.8 04'!$B$18:$B$200),'Бланк OLD 2.0 04 '!$B$16:$K$200,3,0)="","",VLOOKUP($A138-COUNT('Шаг2.Бланк заказа NEW'!$B$19:$B$201)-COUNT('Бланк OLD 0.8 04'!$B$18:$B$200),'Бланк OLD 2.0 04 '!$B$16:$K$200,3,0)))</f>
        <v/>
      </c>
      <c r="G138" s="176" t="str">
        <f ca="1">IF(IF(R138="","",IF(R138=1,SUMIFS('Шаг1.Выбор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плиты'!C:Q,12,0)),1))))))=0,
R138,
IF(R138="","",IF(R138=1,SUMIFS('Шаг1.Выбор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плиты'!N:N,R138,'Шаг1.Выбор плиты'!M:M,SMALL(INDIRECT("мм"&amp;VLOOKUP(C138,'Шаг1.Выбор плиты'!C:Q,12,0)),1)))))))</f>
        <v/>
      </c>
      <c r="H138" s="177" t="str">
        <f ca="1">IF(IF(S138="","",IF(S138=1,SUMIFS('Шаг1.Выбор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плиты'!C:Q,12,0)),1))))))=0,
S138,
IF(S138="","",IF(S138=1,SUMIFS('Шаг1.Выбор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плиты'!N:N,S138,'Шаг1.Выбор плиты'!M:M,SMALL(INDIRECT("мм"&amp;VLOOKUP(C138,'Шаг1.Выбор плиты'!C:Q,12,0)),1)))))))</f>
        <v/>
      </c>
      <c r="I138" s="147" t="str">
        <f ca="1">IFERROR(IFERROR(IF(VLOOKUP($A138,'Шаг2.Бланк заказа NEW'!$B$17:$N$201,6,0)="","",VLOOKUP($A138,'Шаг2.Бланк заказа NEW'!$B$17:$N$201,6,0)),
IF(VLOOKUP($A138-COUNT('Шаг2.Бланк заказа NEW'!$B$19:$B$201),'Бланк OLD 0.8 04'!$B$12:$K$200,6,0)="","",VLOOKUP($A138-COUNT('Шаг2.Бланк заказа NEW'!$B$19:$B$201),'Бланк OLD 0.8 04'!$B$12:$K$200,6,0))),
IF(VLOOKUP($A138-COUNT('Шаг2.Бланк заказа NEW'!$B$19:$B$201)-COUNT('Бланк OLD 0.8 04'!$B$18:$B$200),'Бланк OLD 2.0 04 '!$B$16:$K$200,6,0)="","",VLOOKUP($A138-COUNT('Шаг2.Бланк заказа NEW'!$B$19:$B$201)-COUNT('Бланк OLD 0.8 04'!$B$18:$B$200),'Бланк OLD 2.0 04 '!$B$16:$K$200,6,0)))</f>
        <v/>
      </c>
      <c r="J138" s="177" t="str">
        <f ca="1">IF(IF(T138="","",IF(T138=1,SUMIFS('Шаг1.Выбор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плиты'!C:Q,12,0)),1))))))=0,
T138,
IF(T138="","",IF(T138=1,SUMIFS('Шаг1.Выбор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плиты'!N:N,T138,'Шаг1.Выбор плиты'!M:M,SMALL(INDIRECT("мм"&amp;VLOOKUP(C138,'Шаг1.Выбор плиты'!C:Q,12,0)),1)))))))</f>
        <v/>
      </c>
      <c r="K138" s="177" t="str">
        <f ca="1">IF(IF(U138="","",IF(U138=1,SUMIFS('Шаг1.Выбор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плиты'!C:Q,12,0)),1))))))=0,
U138,
IF(U138="","",IF(U138=1,SUMIFS('Шаг1.Выбор плиты'!$G:$G,'Шаг1.Выбор плиты'!J:J,"*"&amp;RIGHT(VLOOKUP(C138,'Шаг1.Выбор плиты'!C:Q,8,0),4),'Шаг1.Выбор плиты'!L:L,IF(MID(C138,1,6)="ЛДСП P","TM"&amp;MID(VLOOKUP(C138,'Шаг1.Выбор плиты'!C:Q,10,0),3,2),MID(VLOOKUP(C138,'Шаг1.Выбор плиты'!C:Q,10,0),1,2)),
'Шаг1.Выбор плиты'!N:N,1),IF(SUMIFS('Шаг1.Выбор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плиты'!C:Q,12,0)),1))=0,
IF(SUMIFS('Шаг1.Выбор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плиты'!C:Q,12,0)),2))=0,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плиты'!C:Q,12,0)),3)),
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плиты'!C:Q,12,0)),2))),
(SUMIFS('Шаг1.Выбор плиты'!$G:$G,'Шаг1.Выбор плиты'!J:J,"*"&amp;RIGHT(VLOOKUP(C138,'Шаг1.Выбор плиты'!C:Q,8,0),4),'Шаг1.Выбор плиты'!L:L,VLOOKUP(C138,'Шаг1.Выбор плиты'!C:Q,10,0),'Шаг1.Выбор плиты'!N:N,U138,'Шаг1.Выбор плиты'!M:M,SMALL(INDIRECT("мм"&amp;VLOOKUP(C138,'Шаг1.Выбор плиты'!C:Q,12,0)),1)))))))</f>
        <v/>
      </c>
      <c r="L138" s="147" t="str">
        <f ca="1">IFERROR(IFERROR(IF(VLOOKUP($A138,'Шаг2.Бланк заказа NEW'!$B$17:$N$201,9,0)="","",VLOOKUP($A138,'Шаг2.Бланк заказа NEW'!$B$17:$N$201,9,0)),
IF(VLOOKUP($A138-COUNT('Шаг2.Бланк заказа NEW'!$B$19:$B$201),'Бланк OLD 0.8 04'!$B$12:$K$200,9,0)="","",VLOOKUP($A138-COUNT('Шаг2.Бланк заказа NEW'!$B$19:$B$201),'Бланк OLD 0.8 04'!$B$12:$K$200,9,0))),
IF(VLOOKUP($A138-COUNT('Шаг2.Бланк заказа NEW'!$B$19:$B$201)-COUNT('Бланк OLD 0.8 04'!$B$18:$B$200),'Бланк OLD 2.0 04 '!$B$16:$K$200,9,0)="","",VLOOKUP($A138-COUNT('Шаг2.Бланк заказа NEW'!$B$19:$B$201)-COUNT('Бланк OLD 0.8 04'!$B$18:$B$200),'Бланк OLD 2.0 04 '!$B$16:$K$200,9,0)))</f>
        <v/>
      </c>
      <c r="M138" s="154" t="str">
        <f t="shared" ca="1" si="10"/>
        <v/>
      </c>
      <c r="N138" s="153" t="str">
        <f ca="1">IFERROR(IF(VLOOKUP($A138,'Шаг2.Бланк заказа NEW'!$B$17:$N$201,11,0)="","",VLOOKUP($A138,'Шаг2.Бланк заказа NEW'!$B$17:$N$201,11,0)),
"Нет")</f>
        <v/>
      </c>
      <c r="O138" s="147" t="str">
        <f ca="1">IFERROR(IF(VLOOKUP($A138,'Шаг2.Бланк заказа NEW'!$B$17:$N$201,11,0)="","",VLOOKUP($A138,'Шаг2.Бланк заказа NEW'!$B$17:$N$201,12,0)),
"Нет")</f>
        <v/>
      </c>
      <c r="P138" s="153" t="str">
        <f ca="1">IFERROR(IF(VLOOKUP($A138,'Шаг2.Бланк заказа NEW'!$B$17:$N$201,13,0)="","",VLOOKUP($A138,'Шаг2.Бланк заказа NEW'!$B$17:$N$201,13,0)),
"Нет")</f>
        <v/>
      </c>
      <c r="Q138" s="147" t="str">
        <f ca="1">IFERROR(IF(VLOOKUP($A138,'Шаг2.Бланк заказа NEW'!$B$17:$O$201,14,0)="","",VLOOKUP($A138,'Шаг2.Бланк заказа NEW'!$B$17:$O$201,14,0)),"")</f>
        <v/>
      </c>
      <c r="R138" s="147" t="str">
        <f ca="1">IFERROR(IFERROR(IF(VLOOKUP($A138,'Шаг2.Бланк заказа NEW'!$B$17:$N$201,4,0)="","",VLOOKUP($A138,'Шаг2.Бланк заказа NEW'!$B$17:$N$201,4,0)),
IF(VLOOKUP($A138-COUNT('Шаг2.Бланк заказа NEW'!$B$19:$B$201),'Бланк OLD 0.8 04'!$B$12:$K$200,4,0)&gt;0,0.8,
IF(VLOOKUP($A138-COUNT('Шаг2.Бланк заказа NEW'!$B$19:$B$201),'Бланк OLD 0.8 04'!$B$12:$K$200,5,0)&gt;0,0.4,""))),
IF(VLOOKUP($A138-COUNT('Шаг2.Бланк заказа NEW'!$B$19:$B$201)-COUNT('Бланк OLD 0.8 04'!$B$18:$B$200),'Бланк OLD 2.0 04 '!$B$16:$K$200,4,0)&gt;0,2,IF(VLOOKUP($A138-COUNT('Шаг2.Бланк заказа NEW'!$B$19:$B$201)-COUNT('Бланк OLD 0.8 04'!$B$18:$B$200),'Бланк OLD 2.0 04 '!$B$16:$K$200,5,0)&gt;0,0.4,"")))</f>
        <v/>
      </c>
      <c r="S138" s="147" t="str">
        <f ca="1">IFERROR(IFERROR(IF(VLOOKUP($A138,'Шаг2.Бланк заказа NEW'!$B$17:$N$201,5,0)="","",VLOOKUP($A138,'Шаг2.Бланк заказа NEW'!$B$17:$N$201,5,0)),
IF(VLOOKUP($A138-COUNT('Шаг2.Бланк заказа NEW'!$B$19:$B$201),'Бланк OLD 0.8 04'!$B$12:$K$200,4,0)&gt;1,0.8,
IF(VLOOKUP($A138-COUNT('Шаг2.Бланк заказа NEW'!$B$19:$B$201),'Бланк OLD 0.8 04'!$B$12:$K$200,5,0)&gt;1,0.4,
IF(AND(VLOOKUP($A138-COUNT('Шаг2.Бланк заказа NEW'!$B$19:$B$201),'Бланк OLD 0.8 04'!$B$12:$K$200,4,0)&gt;0,VLOOKUP($A138-COUNT('Шаг2.Бланк заказа NEW'!$B$19:$B$201),'Бланк OLD 0.8 04'!$B$12:$K$200,5,0)&gt;0),0.4,"")))),
IF(VLOOKUP($A138-COUNT('Шаг2.Бланк заказа NEW'!$B$19:$B$201)-COUNT('Бланк OLD 0.8 04'!$B$18:$B$200),'Бланк OLD 2.0 04 '!$B$16:$K$200,4,0)&gt;1,2,
IF(VLOOKUP($A138-COUNT('Шаг2.Бланк заказа NEW'!$B$19:$B$201)-COUNT('Бланк OLD 0.8 04'!$B$18:$B$200),'Бланк OLD 2.0 04 '!$B$16:$K$200,5,0)&gt;1,0.4,IF(AND(VLOOKUP($A138-COUNT('Шаг2.Бланк заказа NEW'!$B$19:$B$201)-COUNT('Бланк OLD 0.8 04'!$B$18:$B$200),'Бланк OLD 2.0 04 '!$B$16:$K$200,4,0)&gt;0,VLOOKUP($A138-COUNT('Шаг2.Бланк заказа NEW'!$B$19:$B$201)-COUNT('Бланк OLD 0.8 04'!$B$18:$B$200),'Бланк OLD 2.0 04 '!$B$16:$K$200,5,0)&gt;0),0.4,""))))</f>
        <v/>
      </c>
      <c r="T138" s="147" t="str">
        <f ca="1">IFERROR(IFERROR(IF(VLOOKUP($A138,'Шаг2.Бланк заказа NEW'!$B$17:$N$201,7,0)="","",VLOOKUP($A138,'Шаг2.Бланк заказа NEW'!$B$17:$N$201,7,0)),
IF(VLOOKUP($A138-COUNT('Шаг2.Бланк заказа NEW'!$B$19:$B$201),'Бланк OLD 0.8 04'!$B$12:$K$200,7,0)&gt;0,0.8,
IF(VLOOKUP($A138-COUNT('Шаг2.Бланк заказа NEW'!$B$19:$B$201),'Бланк OLD 0.8 04'!$B$12:$K$200,8,0)&gt;0,0.4,""))),
IF(VLOOKUP($A138-COUNT('Шаг2.Бланк заказа NEW'!$B$19:$B$201)-COUNT('Бланк OLD 0.8 04'!$B$18:$B$200),'Бланк OLD 2.0 04 '!$B$16:$K$200,7,0)&gt;0,2,IF(VLOOKUP($A138-COUNT('Шаг2.Бланк заказа NEW'!$B$19:$B$201)-COUNT('Бланк OLD 0.8 04'!$B$18:$B$200),'Бланк OLD 2.0 04 '!$B$16:$K$200,8,0)&gt;0,0.4,"")))</f>
        <v/>
      </c>
      <c r="U138" s="147" t="str">
        <f ca="1">IFERROR(IFERROR(IF(VLOOKUP($A138,'Шаг2.Бланк заказа NEW'!$B$17:$N$201,8,0)="","",VLOOKUP($A138,'Шаг2.Бланк заказа NEW'!$B$17:$N$201,8,0)),
IF(VLOOKUP($A138-COUNT('Шаг2.Бланк заказа NEW'!$B$19:$B$201),'Бланк OLD 0.8 04'!$B$12:$K$200,7,0)&gt;1,0.8,
IF(VLOOKUP($A138-COUNT('Шаг2.Бланк заказа NEW'!$B$19:$B$201),'Бланк OLD 0.8 04'!$B$12:$K$200,8,0)&gt;1,0.4,
IF(AND(VLOOKUP($A138-COUNT('Шаг2.Бланк заказа NEW'!$B$19:$B$201),'Бланк OLD 0.8 04'!$B$12:$K$200,7,0)&gt;0,VLOOKUP($A138-COUNT('Шаг2.Бланк заказа NEW'!$B$19:$B$201),'Бланк OLD 0.8 04'!$B$12:$K$200,8,0)&gt;0),0.4,"")))),
IF(VLOOKUP($A138-COUNT('Шаг2.Бланк заказа NEW'!$B$19:$B$201)-COUNT('Бланк OLD 0.8 04'!$B$18:$B$200),'Бланк OLD 2.0 04 '!$B$16:$K$200,7,0)&gt;1,2,
IF(VLOOKUP($A138-COUNT('Шаг2.Бланк заказа NEW'!$B$19:$B$201)-COUNT('Бланк OLD 0.8 04'!$B$18:$B$200),'Бланк OLD 2.0 04 '!$B$16:$K$200,8,0)&gt;1,0.4,
IF(AND(VLOOKUP($A138-COUNT('Шаг2.Бланк заказа NEW'!$B$19:$B$201)-COUNT('Бланк OLD 0.8 04'!$B$18:$B$200),'Бланк OLD 2.0 04 '!$B$16:$K$200,7,0)&gt;0,VLOOKUP($A138-COUNT('Шаг2.Бланк заказа NEW'!$B$19:$B$201)-COUNT('Бланк OLD 0.8 04'!$B$18:$B$200),'Бланк OLD 2.0 04 '!$B$16:$K$200,8,0)&gt;0),0.4,""))))</f>
        <v/>
      </c>
      <c r="V138" s="146" t="str">
        <f ca="1">IFERROR(VLOOKUP(C138,'Шаг1.Выбор плиты'!C:S,12,0),"")</f>
        <v/>
      </c>
      <c r="W138" s="146" t="str">
        <f ca="1">IFERROR(VLOOKUP(C138,'Шаг1.Выбор плиты'!C:S,8,0),"")</f>
        <v/>
      </c>
      <c r="X138" s="146" t="str">
        <f ca="1">IFERROR(VLOOKUP(C138,'Шаг1.Выбор плиты'!C:S,10,0),"")</f>
        <v/>
      </c>
      <c r="Y138" s="147" t="str">
        <f t="shared" ca="1" si="13"/>
        <v/>
      </c>
      <c r="AD138" s="147" t="str">
        <f t="shared" ca="1" si="11"/>
        <v/>
      </c>
      <c r="AE138" s="147" t="str">
        <f t="shared" ca="1" si="14"/>
        <v/>
      </c>
      <c r="AF138" s="25"/>
      <c r="AH138" s="147" t="str">
        <f ca="1">IF(C138="","",VLOOKUP(C138,'Шаг1.Выбор плиты'!C:Q,7,0))</f>
        <v/>
      </c>
      <c r="AI138" s="147" t="str">
        <f t="shared" ca="1" si="12"/>
        <v/>
      </c>
    </row>
    <row r="139" spans="1:35" x14ac:dyDescent="0.2">
      <c r="A139" s="151" t="str">
        <f ca="1">IF(C139="","",MAX($A$1:OFFSET(C139,-1,0))+1)</f>
        <v/>
      </c>
      <c r="B139" s="151" t="str">
        <f ca="1">IFERROR(IFERROR(IFERROR("Шаг2.Бланк заказа NEW №"&amp;VLOOKUP(A138+1,CHOOSE({1,2},'Шаг2.Бланк заказа NEW'!$B$19:$B$201,'Шаг2.Бланк заказа NEW'!$A$19:$A$201),1,0),
"Бланк OLD 0.8 04 №"&amp;VLOOKUP(A138+1-COUNT('Шаг2.Бланк заказа NEW'!$B$19:$B$201),CHOOSE({1,2},'Бланк OLD 0.8 04'!$B$18:$B$200,'Бланк OLD 0.8 04'!$A$18:$A$200),1,0)),
"Бланк OLD 2.0 04 №"&amp;VLOOKUP(A138+1-COUNT('Шаг2.Бланк заказа NEW'!$B$19:$B$201)-COUNT('Бланк OLD 0.8 04'!$B$18:$B$200),CHOOSE({1,2},'Бланк OLD 2.0 04 '!$B$18:$B$200,'Бланк OLD 2.0 04 '!$A$18:$A$200),1,0)),"")</f>
        <v/>
      </c>
      <c r="C139" s="152" t="str">
        <f ca="1">IFERROR(IFERROR(IFERROR(VLOOKUP(A138+1,CHOOSE({1,2},'Шаг2.Бланк заказа NEW'!$B$19:$B$201,'Шаг2.Бланк заказа NEW'!$A$19:$A$201),2,0),
VLOOKUP(A138+1-COUNT('Шаг2.Бланк заказа NEW'!$B$19:$B$201),CHOOSE({1,2},'Бланк OLD 0.8 04'!$B$18:$B$200,'Бланк OLD 0.8 04'!$A$18:$A$200),2,0)),
VLOOKUP(A138+1-COUNT('Шаг2.Бланк заказа NEW'!$B$19:$B$201)-COUNT('Бланк OLD 0.8 04'!$B$18:$B$200),CHOOSE({1,2},'Бланк OLD 2.0 04 '!$B$18:$B$200,'Бланк OLD 2.0 04 '!$A$18:$A$200),2,0)),"")</f>
        <v/>
      </c>
      <c r="D139" s="150" t="str">
        <f ca="1">IFERROR(VLOOKUP(C139,'Шаг1.Выбор плиты'!C:G,5,0),"")</f>
        <v/>
      </c>
      <c r="E139" s="147" t="str">
        <f ca="1">IFERROR(IFERROR(IF(VLOOKUP($A139,'Шаг2.Бланк заказа NEW'!$B$17:$N$201,2,0)="","",VLOOKUP($A139,'Шаг2.Бланк заказа NEW'!$B$17:$N$201,2,0)),
IF(VLOOKUP($A139-COUNT('Шаг2.Бланк заказа NEW'!$B$19:$B$201),'Бланк OLD 0.8 04'!$B$12:$K$200,2,0)="","",VLOOKUP($A139-COUNT('Шаг2.Бланк заказа NEW'!$B$19:$B$201),'Бланк OLD 0.8 04'!$B$12:$K$200,2,0))),
IF(VLOOKUP($A139-COUNT('Шаг2.Бланк заказа NEW'!$B$19:$B$201)-COUNT('Бланк OLD 0.8 04'!$B$18:$B$200),'Бланк OLD 2.0 04 '!$B$16:$K$200,2,0)="","",VLOOKUP($A139-COUNT('Шаг2.Бланк заказа NEW'!$B$19:$B$201)-COUNT('Бланк OLD 0.8 04'!$B$18:$B$200),'Бланк OLD 2.0 04 '!$B$16:$K$200,2,0)))</f>
        <v/>
      </c>
      <c r="F139" s="147" t="str">
        <f ca="1">IFERROR(IFERROR(IF(VLOOKUP($A139,'Шаг2.Бланк заказа NEW'!$B$17:$N$201,3,0)="","",VLOOKUP($A139,'Шаг2.Бланк заказа NEW'!$B$17:$N$201,3,0)),
IF(VLOOKUP($A139-COUNT('Шаг2.Бланк заказа NEW'!$B$19:$B$201),'Бланк OLD 0.8 04'!$B$12:$K$200,3,0)="","",VLOOKUP($A139-COUNT('Шаг2.Бланк заказа NEW'!$B$19:$B$201),'Бланк OLD 0.8 04'!$B$12:$K$200,3,0))),
IF(VLOOKUP($A139-COUNT('Шаг2.Бланк заказа NEW'!$B$19:$B$201)-COUNT('Бланк OLD 0.8 04'!$B$18:$B$200),'Бланк OLD 2.0 04 '!$B$16:$K$200,3,0)="","",VLOOKUP($A139-COUNT('Шаг2.Бланк заказа NEW'!$B$19:$B$201)-COUNT('Бланк OLD 0.8 04'!$B$18:$B$200),'Бланк OLD 2.0 04 '!$B$16:$K$200,3,0)))</f>
        <v/>
      </c>
      <c r="G139" s="176" t="str">
        <f ca="1">IF(IF(R139="","",IF(R139=1,SUMIFS('Шаг1.Выбор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плиты'!C:Q,12,0)),1))))))=0,
R139,
IF(R139="","",IF(R139=1,SUMIFS('Шаг1.Выбор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плиты'!N:N,R139,'Шаг1.Выбор плиты'!M:M,SMALL(INDIRECT("мм"&amp;VLOOKUP(C139,'Шаг1.Выбор плиты'!C:Q,12,0)),1)))))))</f>
        <v/>
      </c>
      <c r="H139" s="177" t="str">
        <f ca="1">IF(IF(S139="","",IF(S139=1,SUMIFS('Шаг1.Выбор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плиты'!C:Q,12,0)),1))))))=0,
S139,
IF(S139="","",IF(S139=1,SUMIFS('Шаг1.Выбор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плиты'!N:N,S139,'Шаг1.Выбор плиты'!M:M,SMALL(INDIRECT("мм"&amp;VLOOKUP(C139,'Шаг1.Выбор плиты'!C:Q,12,0)),1)))))))</f>
        <v/>
      </c>
      <c r="I139" s="147" t="str">
        <f ca="1">IFERROR(IFERROR(IF(VLOOKUP($A139,'Шаг2.Бланк заказа NEW'!$B$17:$N$201,6,0)="","",VLOOKUP($A139,'Шаг2.Бланк заказа NEW'!$B$17:$N$201,6,0)),
IF(VLOOKUP($A139-COUNT('Шаг2.Бланк заказа NEW'!$B$19:$B$201),'Бланк OLD 0.8 04'!$B$12:$K$200,6,0)="","",VLOOKUP($A139-COUNT('Шаг2.Бланк заказа NEW'!$B$19:$B$201),'Бланк OLD 0.8 04'!$B$12:$K$200,6,0))),
IF(VLOOKUP($A139-COUNT('Шаг2.Бланк заказа NEW'!$B$19:$B$201)-COUNT('Бланк OLD 0.8 04'!$B$18:$B$200),'Бланк OLD 2.0 04 '!$B$16:$K$200,6,0)="","",VLOOKUP($A139-COUNT('Шаг2.Бланк заказа NEW'!$B$19:$B$201)-COUNT('Бланк OLD 0.8 04'!$B$18:$B$200),'Бланк OLD 2.0 04 '!$B$16:$K$200,6,0)))</f>
        <v/>
      </c>
      <c r="J139" s="177" t="str">
        <f ca="1">IF(IF(T139="","",IF(T139=1,SUMIFS('Шаг1.Выбор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плиты'!C:Q,12,0)),1))))))=0,
T139,
IF(T139="","",IF(T139=1,SUMIFS('Шаг1.Выбор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плиты'!N:N,T139,'Шаг1.Выбор плиты'!M:M,SMALL(INDIRECT("мм"&amp;VLOOKUP(C139,'Шаг1.Выбор плиты'!C:Q,12,0)),1)))))))</f>
        <v/>
      </c>
      <c r="K139" s="177" t="str">
        <f ca="1">IF(IF(U139="","",IF(U139=1,SUMIFS('Шаг1.Выбор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плиты'!C:Q,12,0)),1))))))=0,
U139,
IF(U139="","",IF(U139=1,SUMIFS('Шаг1.Выбор плиты'!$G:$G,'Шаг1.Выбор плиты'!J:J,"*"&amp;RIGHT(VLOOKUP(C139,'Шаг1.Выбор плиты'!C:Q,8,0),4),'Шаг1.Выбор плиты'!L:L,IF(MID(C139,1,6)="ЛДСП P","TM"&amp;MID(VLOOKUP(C139,'Шаг1.Выбор плиты'!C:Q,10,0),3,2),MID(VLOOKUP(C139,'Шаг1.Выбор плиты'!C:Q,10,0),1,2)),
'Шаг1.Выбор плиты'!N:N,1),IF(SUMIFS('Шаг1.Выбор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плиты'!C:Q,12,0)),1))=0,
IF(SUMIFS('Шаг1.Выбор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плиты'!C:Q,12,0)),2))=0,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плиты'!C:Q,12,0)),3)),
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плиты'!C:Q,12,0)),2))),
(SUMIFS('Шаг1.Выбор плиты'!$G:$G,'Шаг1.Выбор плиты'!J:J,"*"&amp;RIGHT(VLOOKUP(C139,'Шаг1.Выбор плиты'!C:Q,8,0),4),'Шаг1.Выбор плиты'!L:L,VLOOKUP(C139,'Шаг1.Выбор плиты'!C:Q,10,0),'Шаг1.Выбор плиты'!N:N,U139,'Шаг1.Выбор плиты'!M:M,SMALL(INDIRECT("мм"&amp;VLOOKUP(C139,'Шаг1.Выбор плиты'!C:Q,12,0)),1)))))))</f>
        <v/>
      </c>
      <c r="L139" s="147" t="str">
        <f ca="1">IFERROR(IFERROR(IF(VLOOKUP($A139,'Шаг2.Бланк заказа NEW'!$B$17:$N$201,9,0)="","",VLOOKUP($A139,'Шаг2.Бланк заказа NEW'!$B$17:$N$201,9,0)),
IF(VLOOKUP($A139-COUNT('Шаг2.Бланк заказа NEW'!$B$19:$B$201),'Бланк OLD 0.8 04'!$B$12:$K$200,9,0)="","",VLOOKUP($A139-COUNT('Шаг2.Бланк заказа NEW'!$B$19:$B$201),'Бланк OLD 0.8 04'!$B$12:$K$200,9,0))),
IF(VLOOKUP($A139-COUNT('Шаг2.Бланк заказа NEW'!$B$19:$B$201)-COUNT('Бланк OLD 0.8 04'!$B$18:$B$200),'Бланк OLD 2.0 04 '!$B$16:$K$200,9,0)="","",VLOOKUP($A139-COUNT('Шаг2.Бланк заказа NEW'!$B$19:$B$201)-COUNT('Бланк OLD 0.8 04'!$B$18:$B$200),'Бланк OLD 2.0 04 '!$B$16:$K$200,9,0)))</f>
        <v/>
      </c>
      <c r="M139" s="154" t="str">
        <f t="shared" ca="1" si="10"/>
        <v/>
      </c>
      <c r="N139" s="153" t="str">
        <f ca="1">IFERROR(IF(VLOOKUP($A139,'Шаг2.Бланк заказа NEW'!$B$17:$N$201,11,0)="","",VLOOKUP($A139,'Шаг2.Бланк заказа NEW'!$B$17:$N$201,11,0)),
"Нет")</f>
        <v/>
      </c>
      <c r="O139" s="147" t="str">
        <f ca="1">IFERROR(IF(VLOOKUP($A139,'Шаг2.Бланк заказа NEW'!$B$17:$N$201,11,0)="","",VLOOKUP($A139,'Шаг2.Бланк заказа NEW'!$B$17:$N$201,12,0)),
"Нет")</f>
        <v/>
      </c>
      <c r="P139" s="153" t="str">
        <f ca="1">IFERROR(IF(VLOOKUP($A139,'Шаг2.Бланк заказа NEW'!$B$17:$N$201,13,0)="","",VLOOKUP($A139,'Шаг2.Бланк заказа NEW'!$B$17:$N$201,13,0)),
"Нет")</f>
        <v/>
      </c>
      <c r="Q139" s="147" t="str">
        <f ca="1">IFERROR(IF(VLOOKUP($A139,'Шаг2.Бланк заказа NEW'!$B$17:$O$201,14,0)="","",VLOOKUP($A139,'Шаг2.Бланк заказа NEW'!$B$17:$O$201,14,0)),"")</f>
        <v/>
      </c>
      <c r="R139" s="147" t="str">
        <f ca="1">IFERROR(IFERROR(IF(VLOOKUP($A139,'Шаг2.Бланк заказа NEW'!$B$17:$N$201,4,0)="","",VLOOKUP($A139,'Шаг2.Бланк заказа NEW'!$B$17:$N$201,4,0)),
IF(VLOOKUP($A139-COUNT('Шаг2.Бланк заказа NEW'!$B$19:$B$201),'Бланк OLD 0.8 04'!$B$12:$K$200,4,0)&gt;0,0.8,
IF(VLOOKUP($A139-COUNT('Шаг2.Бланк заказа NEW'!$B$19:$B$201),'Бланк OLD 0.8 04'!$B$12:$K$200,5,0)&gt;0,0.4,""))),
IF(VLOOKUP($A139-COUNT('Шаг2.Бланк заказа NEW'!$B$19:$B$201)-COUNT('Бланк OLD 0.8 04'!$B$18:$B$200),'Бланк OLD 2.0 04 '!$B$16:$K$200,4,0)&gt;0,2,IF(VLOOKUP($A139-COUNT('Шаг2.Бланк заказа NEW'!$B$19:$B$201)-COUNT('Бланк OLD 0.8 04'!$B$18:$B$200),'Бланк OLD 2.0 04 '!$B$16:$K$200,5,0)&gt;0,0.4,"")))</f>
        <v/>
      </c>
      <c r="S139" s="147" t="str">
        <f ca="1">IFERROR(IFERROR(IF(VLOOKUP($A139,'Шаг2.Бланк заказа NEW'!$B$17:$N$201,5,0)="","",VLOOKUP($A139,'Шаг2.Бланк заказа NEW'!$B$17:$N$201,5,0)),
IF(VLOOKUP($A139-COUNT('Шаг2.Бланк заказа NEW'!$B$19:$B$201),'Бланк OLD 0.8 04'!$B$12:$K$200,4,0)&gt;1,0.8,
IF(VLOOKUP($A139-COUNT('Шаг2.Бланк заказа NEW'!$B$19:$B$201),'Бланк OLD 0.8 04'!$B$12:$K$200,5,0)&gt;1,0.4,
IF(AND(VLOOKUP($A139-COUNT('Шаг2.Бланк заказа NEW'!$B$19:$B$201),'Бланк OLD 0.8 04'!$B$12:$K$200,4,0)&gt;0,VLOOKUP($A139-COUNT('Шаг2.Бланк заказа NEW'!$B$19:$B$201),'Бланк OLD 0.8 04'!$B$12:$K$200,5,0)&gt;0),0.4,"")))),
IF(VLOOKUP($A139-COUNT('Шаг2.Бланк заказа NEW'!$B$19:$B$201)-COUNT('Бланк OLD 0.8 04'!$B$18:$B$200),'Бланк OLD 2.0 04 '!$B$16:$K$200,4,0)&gt;1,2,
IF(VLOOKUP($A139-COUNT('Шаг2.Бланк заказа NEW'!$B$19:$B$201)-COUNT('Бланк OLD 0.8 04'!$B$18:$B$200),'Бланк OLD 2.0 04 '!$B$16:$K$200,5,0)&gt;1,0.4,IF(AND(VLOOKUP($A139-COUNT('Шаг2.Бланк заказа NEW'!$B$19:$B$201)-COUNT('Бланк OLD 0.8 04'!$B$18:$B$200),'Бланк OLD 2.0 04 '!$B$16:$K$200,4,0)&gt;0,VLOOKUP($A139-COUNT('Шаг2.Бланк заказа NEW'!$B$19:$B$201)-COUNT('Бланк OLD 0.8 04'!$B$18:$B$200),'Бланк OLD 2.0 04 '!$B$16:$K$200,5,0)&gt;0),0.4,""))))</f>
        <v/>
      </c>
      <c r="T139" s="147" t="str">
        <f ca="1">IFERROR(IFERROR(IF(VLOOKUP($A139,'Шаг2.Бланк заказа NEW'!$B$17:$N$201,7,0)="","",VLOOKUP($A139,'Шаг2.Бланк заказа NEW'!$B$17:$N$201,7,0)),
IF(VLOOKUP($A139-COUNT('Шаг2.Бланк заказа NEW'!$B$19:$B$201),'Бланк OLD 0.8 04'!$B$12:$K$200,7,0)&gt;0,0.8,
IF(VLOOKUP($A139-COUNT('Шаг2.Бланк заказа NEW'!$B$19:$B$201),'Бланк OLD 0.8 04'!$B$12:$K$200,8,0)&gt;0,0.4,""))),
IF(VLOOKUP($A139-COUNT('Шаг2.Бланк заказа NEW'!$B$19:$B$201)-COUNT('Бланк OLD 0.8 04'!$B$18:$B$200),'Бланк OLD 2.0 04 '!$B$16:$K$200,7,0)&gt;0,2,IF(VLOOKUP($A139-COUNT('Шаг2.Бланк заказа NEW'!$B$19:$B$201)-COUNT('Бланк OLD 0.8 04'!$B$18:$B$200),'Бланк OLD 2.0 04 '!$B$16:$K$200,8,0)&gt;0,0.4,"")))</f>
        <v/>
      </c>
      <c r="U139" s="147" t="str">
        <f ca="1">IFERROR(IFERROR(IF(VLOOKUP($A139,'Шаг2.Бланк заказа NEW'!$B$17:$N$201,8,0)="","",VLOOKUP($A139,'Шаг2.Бланк заказа NEW'!$B$17:$N$201,8,0)),
IF(VLOOKUP($A139-COUNT('Шаг2.Бланк заказа NEW'!$B$19:$B$201),'Бланк OLD 0.8 04'!$B$12:$K$200,7,0)&gt;1,0.8,
IF(VLOOKUP($A139-COUNT('Шаг2.Бланк заказа NEW'!$B$19:$B$201),'Бланк OLD 0.8 04'!$B$12:$K$200,8,0)&gt;1,0.4,
IF(AND(VLOOKUP($A139-COUNT('Шаг2.Бланк заказа NEW'!$B$19:$B$201),'Бланк OLD 0.8 04'!$B$12:$K$200,7,0)&gt;0,VLOOKUP($A139-COUNT('Шаг2.Бланк заказа NEW'!$B$19:$B$201),'Бланк OLD 0.8 04'!$B$12:$K$200,8,0)&gt;0),0.4,"")))),
IF(VLOOKUP($A139-COUNT('Шаг2.Бланк заказа NEW'!$B$19:$B$201)-COUNT('Бланк OLD 0.8 04'!$B$18:$B$200),'Бланк OLD 2.0 04 '!$B$16:$K$200,7,0)&gt;1,2,
IF(VLOOKUP($A139-COUNT('Шаг2.Бланк заказа NEW'!$B$19:$B$201)-COUNT('Бланк OLD 0.8 04'!$B$18:$B$200),'Бланк OLD 2.0 04 '!$B$16:$K$200,8,0)&gt;1,0.4,
IF(AND(VLOOKUP($A139-COUNT('Шаг2.Бланк заказа NEW'!$B$19:$B$201)-COUNT('Бланк OLD 0.8 04'!$B$18:$B$200),'Бланк OLD 2.0 04 '!$B$16:$K$200,7,0)&gt;0,VLOOKUP($A139-COUNT('Шаг2.Бланк заказа NEW'!$B$19:$B$201)-COUNT('Бланк OLD 0.8 04'!$B$18:$B$200),'Бланк OLD 2.0 04 '!$B$16:$K$200,8,0)&gt;0),0.4,""))))</f>
        <v/>
      </c>
      <c r="V139" s="146" t="str">
        <f ca="1">IFERROR(VLOOKUP(C139,'Шаг1.Выбор плиты'!C:S,12,0),"")</f>
        <v/>
      </c>
      <c r="W139" s="146" t="str">
        <f ca="1">IFERROR(VLOOKUP(C139,'Шаг1.Выбор плиты'!C:S,8,0),"")</f>
        <v/>
      </c>
      <c r="X139" s="146" t="str">
        <f ca="1">IFERROR(VLOOKUP(C139,'Шаг1.Выбор плиты'!C:S,10,0),"")</f>
        <v/>
      </c>
      <c r="Y139" s="147" t="str">
        <f t="shared" ca="1" si="13"/>
        <v/>
      </c>
      <c r="AD139" s="147" t="str">
        <f t="shared" ca="1" si="11"/>
        <v/>
      </c>
      <c r="AE139" s="147" t="str">
        <f t="shared" ca="1" si="14"/>
        <v/>
      </c>
      <c r="AF139" s="25"/>
      <c r="AH139" s="147" t="str">
        <f ca="1">IF(C139="","",VLOOKUP(C139,'Шаг1.Выбор плиты'!C:Q,7,0))</f>
        <v/>
      </c>
      <c r="AI139" s="147" t="str">
        <f t="shared" ca="1" si="12"/>
        <v/>
      </c>
    </row>
    <row r="140" spans="1:35" x14ac:dyDescent="0.2">
      <c r="A140" s="151" t="str">
        <f ca="1">IF(C140="","",MAX($A$1:OFFSET(C140,-1,0))+1)</f>
        <v/>
      </c>
      <c r="B140" s="151" t="str">
        <f ca="1">IFERROR(IFERROR(IFERROR("Шаг2.Бланк заказа NEW №"&amp;VLOOKUP(A139+1,CHOOSE({1,2},'Шаг2.Бланк заказа NEW'!$B$19:$B$201,'Шаг2.Бланк заказа NEW'!$A$19:$A$201),1,0),
"Бланк OLD 0.8 04 №"&amp;VLOOKUP(A139+1-COUNT('Шаг2.Бланк заказа NEW'!$B$19:$B$201),CHOOSE({1,2},'Бланк OLD 0.8 04'!$B$18:$B$200,'Бланк OLD 0.8 04'!$A$18:$A$200),1,0)),
"Бланк OLD 2.0 04 №"&amp;VLOOKUP(A139+1-COUNT('Шаг2.Бланк заказа NEW'!$B$19:$B$201)-COUNT('Бланк OLD 0.8 04'!$B$18:$B$200),CHOOSE({1,2},'Бланк OLD 2.0 04 '!$B$18:$B$200,'Бланк OLD 2.0 04 '!$A$18:$A$200),1,0)),"")</f>
        <v/>
      </c>
      <c r="C140" s="152" t="str">
        <f ca="1">IFERROR(IFERROR(IFERROR(VLOOKUP(A139+1,CHOOSE({1,2},'Шаг2.Бланк заказа NEW'!$B$19:$B$201,'Шаг2.Бланк заказа NEW'!$A$19:$A$201),2,0),
VLOOKUP(A139+1-COUNT('Шаг2.Бланк заказа NEW'!$B$19:$B$201),CHOOSE({1,2},'Бланк OLD 0.8 04'!$B$18:$B$200,'Бланк OLD 0.8 04'!$A$18:$A$200),2,0)),
VLOOKUP(A139+1-COUNT('Шаг2.Бланк заказа NEW'!$B$19:$B$201)-COUNT('Бланк OLD 0.8 04'!$B$18:$B$200),CHOOSE({1,2},'Бланк OLD 2.0 04 '!$B$18:$B$200,'Бланк OLD 2.0 04 '!$A$18:$A$200),2,0)),"")</f>
        <v/>
      </c>
      <c r="D140" s="150" t="str">
        <f ca="1">IFERROR(VLOOKUP(C140,'Шаг1.Выбор плиты'!C:G,5,0),"")</f>
        <v/>
      </c>
      <c r="E140" s="147" t="str">
        <f ca="1">IFERROR(IFERROR(IF(VLOOKUP($A140,'Шаг2.Бланк заказа NEW'!$B$17:$N$201,2,0)="","",VLOOKUP($A140,'Шаг2.Бланк заказа NEW'!$B$17:$N$201,2,0)),
IF(VLOOKUP($A140-COUNT('Шаг2.Бланк заказа NEW'!$B$19:$B$201),'Бланк OLD 0.8 04'!$B$12:$K$200,2,0)="","",VLOOKUP($A140-COUNT('Шаг2.Бланк заказа NEW'!$B$19:$B$201),'Бланк OLD 0.8 04'!$B$12:$K$200,2,0))),
IF(VLOOKUP($A140-COUNT('Шаг2.Бланк заказа NEW'!$B$19:$B$201)-COUNT('Бланк OLD 0.8 04'!$B$18:$B$200),'Бланк OLD 2.0 04 '!$B$16:$K$200,2,0)="","",VLOOKUP($A140-COUNT('Шаг2.Бланк заказа NEW'!$B$19:$B$201)-COUNT('Бланк OLD 0.8 04'!$B$18:$B$200),'Бланк OLD 2.0 04 '!$B$16:$K$200,2,0)))</f>
        <v/>
      </c>
      <c r="F140" s="147" t="str">
        <f ca="1">IFERROR(IFERROR(IF(VLOOKUP($A140,'Шаг2.Бланк заказа NEW'!$B$17:$N$201,3,0)="","",VLOOKUP($A140,'Шаг2.Бланк заказа NEW'!$B$17:$N$201,3,0)),
IF(VLOOKUP($A140-COUNT('Шаг2.Бланк заказа NEW'!$B$19:$B$201),'Бланк OLD 0.8 04'!$B$12:$K$200,3,0)="","",VLOOKUP($A140-COUNT('Шаг2.Бланк заказа NEW'!$B$19:$B$201),'Бланк OLD 0.8 04'!$B$12:$K$200,3,0))),
IF(VLOOKUP($A140-COUNT('Шаг2.Бланк заказа NEW'!$B$19:$B$201)-COUNT('Бланк OLD 0.8 04'!$B$18:$B$200),'Бланк OLD 2.0 04 '!$B$16:$K$200,3,0)="","",VLOOKUP($A140-COUNT('Шаг2.Бланк заказа NEW'!$B$19:$B$201)-COUNT('Бланк OLD 0.8 04'!$B$18:$B$200),'Бланк OLD 2.0 04 '!$B$16:$K$200,3,0)))</f>
        <v/>
      </c>
      <c r="G140" s="176" t="str">
        <f ca="1">IF(IF(R140="","",IF(R140=1,SUMIFS('Шаг1.Выбор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плиты'!C:Q,12,0)),1))))))=0,
R140,
IF(R140="","",IF(R140=1,SUMIFS('Шаг1.Выбор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плиты'!N:N,R140,'Шаг1.Выбор плиты'!M:M,SMALL(INDIRECT("мм"&amp;VLOOKUP(C140,'Шаг1.Выбор плиты'!C:Q,12,0)),1)))))))</f>
        <v/>
      </c>
      <c r="H140" s="177" t="str">
        <f ca="1">IF(IF(S140="","",IF(S140=1,SUMIFS('Шаг1.Выбор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плиты'!C:Q,12,0)),1))))))=0,
S140,
IF(S140="","",IF(S140=1,SUMIFS('Шаг1.Выбор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плиты'!N:N,S140,'Шаг1.Выбор плиты'!M:M,SMALL(INDIRECT("мм"&amp;VLOOKUP(C140,'Шаг1.Выбор плиты'!C:Q,12,0)),1)))))))</f>
        <v/>
      </c>
      <c r="I140" s="147" t="str">
        <f ca="1">IFERROR(IFERROR(IF(VLOOKUP($A140,'Шаг2.Бланк заказа NEW'!$B$17:$N$201,6,0)="","",VLOOKUP($A140,'Шаг2.Бланк заказа NEW'!$B$17:$N$201,6,0)),
IF(VLOOKUP($A140-COUNT('Шаг2.Бланк заказа NEW'!$B$19:$B$201),'Бланк OLD 0.8 04'!$B$12:$K$200,6,0)="","",VLOOKUP($A140-COUNT('Шаг2.Бланк заказа NEW'!$B$19:$B$201),'Бланк OLD 0.8 04'!$B$12:$K$200,6,0))),
IF(VLOOKUP($A140-COUNT('Шаг2.Бланк заказа NEW'!$B$19:$B$201)-COUNT('Бланк OLD 0.8 04'!$B$18:$B$200),'Бланк OLD 2.0 04 '!$B$16:$K$200,6,0)="","",VLOOKUP($A140-COUNT('Шаг2.Бланк заказа NEW'!$B$19:$B$201)-COUNT('Бланк OLD 0.8 04'!$B$18:$B$200),'Бланк OLD 2.0 04 '!$B$16:$K$200,6,0)))</f>
        <v/>
      </c>
      <c r="J140" s="177" t="str">
        <f ca="1">IF(IF(T140="","",IF(T140=1,SUMIFS('Шаг1.Выбор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плиты'!C:Q,12,0)),1))))))=0,
T140,
IF(T140="","",IF(T140=1,SUMIFS('Шаг1.Выбор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плиты'!N:N,T140,'Шаг1.Выбор плиты'!M:M,SMALL(INDIRECT("мм"&amp;VLOOKUP(C140,'Шаг1.Выбор плиты'!C:Q,12,0)),1)))))))</f>
        <v/>
      </c>
      <c r="K140" s="177" t="str">
        <f ca="1">IF(IF(U140="","",IF(U140=1,SUMIFS('Шаг1.Выбор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плиты'!C:Q,12,0)),1))))))=0,
U140,
IF(U140="","",IF(U140=1,SUMIFS('Шаг1.Выбор плиты'!$G:$G,'Шаг1.Выбор плиты'!J:J,"*"&amp;RIGHT(VLOOKUP(C140,'Шаг1.Выбор плиты'!C:Q,8,0),4),'Шаг1.Выбор плиты'!L:L,IF(MID(C140,1,6)="ЛДСП P","TM"&amp;MID(VLOOKUP(C140,'Шаг1.Выбор плиты'!C:Q,10,0),3,2),MID(VLOOKUP(C140,'Шаг1.Выбор плиты'!C:Q,10,0),1,2)),
'Шаг1.Выбор плиты'!N:N,1),IF(SUMIFS('Шаг1.Выбор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плиты'!C:Q,12,0)),1))=0,
IF(SUMIFS('Шаг1.Выбор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плиты'!C:Q,12,0)),2))=0,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плиты'!C:Q,12,0)),3)),
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плиты'!C:Q,12,0)),2))),
(SUMIFS('Шаг1.Выбор плиты'!$G:$G,'Шаг1.Выбор плиты'!J:J,"*"&amp;RIGHT(VLOOKUP(C140,'Шаг1.Выбор плиты'!C:Q,8,0),4),'Шаг1.Выбор плиты'!L:L,VLOOKUP(C140,'Шаг1.Выбор плиты'!C:Q,10,0),'Шаг1.Выбор плиты'!N:N,U140,'Шаг1.Выбор плиты'!M:M,SMALL(INDIRECT("мм"&amp;VLOOKUP(C140,'Шаг1.Выбор плиты'!C:Q,12,0)),1)))))))</f>
        <v/>
      </c>
      <c r="L140" s="147" t="str">
        <f ca="1">IFERROR(IFERROR(IF(VLOOKUP($A140,'Шаг2.Бланк заказа NEW'!$B$17:$N$201,9,0)="","",VLOOKUP($A140,'Шаг2.Бланк заказа NEW'!$B$17:$N$201,9,0)),
IF(VLOOKUP($A140-COUNT('Шаг2.Бланк заказа NEW'!$B$19:$B$201),'Бланк OLD 0.8 04'!$B$12:$K$200,9,0)="","",VLOOKUP($A140-COUNT('Шаг2.Бланк заказа NEW'!$B$19:$B$201),'Бланк OLD 0.8 04'!$B$12:$K$200,9,0))),
IF(VLOOKUP($A140-COUNT('Шаг2.Бланк заказа NEW'!$B$19:$B$201)-COUNT('Бланк OLD 0.8 04'!$B$18:$B$200),'Бланк OLD 2.0 04 '!$B$16:$K$200,9,0)="","",VLOOKUP($A140-COUNT('Шаг2.Бланк заказа NEW'!$B$19:$B$201)-COUNT('Бланк OLD 0.8 04'!$B$18:$B$200),'Бланк OLD 2.0 04 '!$B$16:$K$200,9,0)))</f>
        <v/>
      </c>
      <c r="M140" s="154" t="str">
        <f t="shared" ca="1" si="10"/>
        <v/>
      </c>
      <c r="N140" s="153" t="str">
        <f ca="1">IFERROR(IF(VLOOKUP($A140,'Шаг2.Бланк заказа NEW'!$B$17:$N$201,11,0)="","",VLOOKUP($A140,'Шаг2.Бланк заказа NEW'!$B$17:$N$201,11,0)),
"Нет")</f>
        <v/>
      </c>
      <c r="O140" s="147" t="str">
        <f ca="1">IFERROR(IF(VLOOKUP($A140,'Шаг2.Бланк заказа NEW'!$B$17:$N$201,11,0)="","",VLOOKUP($A140,'Шаг2.Бланк заказа NEW'!$B$17:$N$201,12,0)),
"Нет")</f>
        <v/>
      </c>
      <c r="P140" s="153" t="str">
        <f ca="1">IFERROR(IF(VLOOKUP($A140,'Шаг2.Бланк заказа NEW'!$B$17:$N$201,13,0)="","",VLOOKUP($A140,'Шаг2.Бланк заказа NEW'!$B$17:$N$201,13,0)),
"Нет")</f>
        <v/>
      </c>
      <c r="Q140" s="147" t="str">
        <f ca="1">IFERROR(IF(VLOOKUP($A140,'Шаг2.Бланк заказа NEW'!$B$17:$O$201,14,0)="","",VLOOKUP($A140,'Шаг2.Бланк заказа NEW'!$B$17:$O$201,14,0)),"")</f>
        <v/>
      </c>
      <c r="R140" s="147" t="str">
        <f ca="1">IFERROR(IFERROR(IF(VLOOKUP($A140,'Шаг2.Бланк заказа NEW'!$B$17:$N$201,4,0)="","",VLOOKUP($A140,'Шаг2.Бланк заказа NEW'!$B$17:$N$201,4,0)),
IF(VLOOKUP($A140-COUNT('Шаг2.Бланк заказа NEW'!$B$19:$B$201),'Бланк OLD 0.8 04'!$B$12:$K$200,4,0)&gt;0,0.8,
IF(VLOOKUP($A140-COUNT('Шаг2.Бланк заказа NEW'!$B$19:$B$201),'Бланк OLD 0.8 04'!$B$12:$K$200,5,0)&gt;0,0.4,""))),
IF(VLOOKUP($A140-COUNT('Шаг2.Бланк заказа NEW'!$B$19:$B$201)-COUNT('Бланк OLD 0.8 04'!$B$18:$B$200),'Бланк OLD 2.0 04 '!$B$16:$K$200,4,0)&gt;0,2,IF(VLOOKUP($A140-COUNT('Шаг2.Бланк заказа NEW'!$B$19:$B$201)-COUNT('Бланк OLD 0.8 04'!$B$18:$B$200),'Бланк OLD 2.0 04 '!$B$16:$K$200,5,0)&gt;0,0.4,"")))</f>
        <v/>
      </c>
      <c r="S140" s="147" t="str">
        <f ca="1">IFERROR(IFERROR(IF(VLOOKUP($A140,'Шаг2.Бланк заказа NEW'!$B$17:$N$201,5,0)="","",VLOOKUP($A140,'Шаг2.Бланк заказа NEW'!$B$17:$N$201,5,0)),
IF(VLOOKUP($A140-COUNT('Шаг2.Бланк заказа NEW'!$B$19:$B$201),'Бланк OLD 0.8 04'!$B$12:$K$200,4,0)&gt;1,0.8,
IF(VLOOKUP($A140-COUNT('Шаг2.Бланк заказа NEW'!$B$19:$B$201),'Бланк OLD 0.8 04'!$B$12:$K$200,5,0)&gt;1,0.4,
IF(AND(VLOOKUP($A140-COUNT('Шаг2.Бланк заказа NEW'!$B$19:$B$201),'Бланк OLD 0.8 04'!$B$12:$K$200,4,0)&gt;0,VLOOKUP($A140-COUNT('Шаг2.Бланк заказа NEW'!$B$19:$B$201),'Бланк OLD 0.8 04'!$B$12:$K$200,5,0)&gt;0),0.4,"")))),
IF(VLOOKUP($A140-COUNT('Шаг2.Бланк заказа NEW'!$B$19:$B$201)-COUNT('Бланк OLD 0.8 04'!$B$18:$B$200),'Бланк OLD 2.0 04 '!$B$16:$K$200,4,0)&gt;1,2,
IF(VLOOKUP($A140-COUNT('Шаг2.Бланк заказа NEW'!$B$19:$B$201)-COUNT('Бланк OLD 0.8 04'!$B$18:$B$200),'Бланк OLD 2.0 04 '!$B$16:$K$200,5,0)&gt;1,0.4,IF(AND(VLOOKUP($A140-COUNT('Шаг2.Бланк заказа NEW'!$B$19:$B$201)-COUNT('Бланк OLD 0.8 04'!$B$18:$B$200),'Бланк OLD 2.0 04 '!$B$16:$K$200,4,0)&gt;0,VLOOKUP($A140-COUNT('Шаг2.Бланк заказа NEW'!$B$19:$B$201)-COUNT('Бланк OLD 0.8 04'!$B$18:$B$200),'Бланк OLD 2.0 04 '!$B$16:$K$200,5,0)&gt;0),0.4,""))))</f>
        <v/>
      </c>
      <c r="T140" s="147" t="str">
        <f ca="1">IFERROR(IFERROR(IF(VLOOKUP($A140,'Шаг2.Бланк заказа NEW'!$B$17:$N$201,7,0)="","",VLOOKUP($A140,'Шаг2.Бланк заказа NEW'!$B$17:$N$201,7,0)),
IF(VLOOKUP($A140-COUNT('Шаг2.Бланк заказа NEW'!$B$19:$B$201),'Бланк OLD 0.8 04'!$B$12:$K$200,7,0)&gt;0,0.8,
IF(VLOOKUP($A140-COUNT('Шаг2.Бланк заказа NEW'!$B$19:$B$201),'Бланк OLD 0.8 04'!$B$12:$K$200,8,0)&gt;0,0.4,""))),
IF(VLOOKUP($A140-COUNT('Шаг2.Бланк заказа NEW'!$B$19:$B$201)-COUNT('Бланк OLD 0.8 04'!$B$18:$B$200),'Бланк OLD 2.0 04 '!$B$16:$K$200,7,0)&gt;0,2,IF(VLOOKUP($A140-COUNT('Шаг2.Бланк заказа NEW'!$B$19:$B$201)-COUNT('Бланк OLD 0.8 04'!$B$18:$B$200),'Бланк OLD 2.0 04 '!$B$16:$K$200,8,0)&gt;0,0.4,"")))</f>
        <v/>
      </c>
      <c r="U140" s="147" t="str">
        <f ca="1">IFERROR(IFERROR(IF(VLOOKUP($A140,'Шаг2.Бланк заказа NEW'!$B$17:$N$201,8,0)="","",VLOOKUP($A140,'Шаг2.Бланк заказа NEW'!$B$17:$N$201,8,0)),
IF(VLOOKUP($A140-COUNT('Шаг2.Бланк заказа NEW'!$B$19:$B$201),'Бланк OLD 0.8 04'!$B$12:$K$200,7,0)&gt;1,0.8,
IF(VLOOKUP($A140-COUNT('Шаг2.Бланк заказа NEW'!$B$19:$B$201),'Бланк OLD 0.8 04'!$B$12:$K$200,8,0)&gt;1,0.4,
IF(AND(VLOOKUP($A140-COUNT('Шаг2.Бланк заказа NEW'!$B$19:$B$201),'Бланк OLD 0.8 04'!$B$12:$K$200,7,0)&gt;0,VLOOKUP($A140-COUNT('Шаг2.Бланк заказа NEW'!$B$19:$B$201),'Бланк OLD 0.8 04'!$B$12:$K$200,8,0)&gt;0),0.4,"")))),
IF(VLOOKUP($A140-COUNT('Шаг2.Бланк заказа NEW'!$B$19:$B$201)-COUNT('Бланк OLD 0.8 04'!$B$18:$B$200),'Бланк OLD 2.0 04 '!$B$16:$K$200,7,0)&gt;1,2,
IF(VLOOKUP($A140-COUNT('Шаг2.Бланк заказа NEW'!$B$19:$B$201)-COUNT('Бланк OLD 0.8 04'!$B$18:$B$200),'Бланк OLD 2.0 04 '!$B$16:$K$200,8,0)&gt;1,0.4,
IF(AND(VLOOKUP($A140-COUNT('Шаг2.Бланк заказа NEW'!$B$19:$B$201)-COUNT('Бланк OLD 0.8 04'!$B$18:$B$200),'Бланк OLD 2.0 04 '!$B$16:$K$200,7,0)&gt;0,VLOOKUP($A140-COUNT('Шаг2.Бланк заказа NEW'!$B$19:$B$201)-COUNT('Бланк OLD 0.8 04'!$B$18:$B$200),'Бланк OLD 2.0 04 '!$B$16:$K$200,8,0)&gt;0),0.4,""))))</f>
        <v/>
      </c>
      <c r="V140" s="146" t="str">
        <f ca="1">IFERROR(VLOOKUP(C140,'Шаг1.Выбор плиты'!C:S,12,0),"")</f>
        <v/>
      </c>
      <c r="W140" s="146" t="str">
        <f ca="1">IFERROR(VLOOKUP(C140,'Шаг1.Выбор плиты'!C:S,8,0),"")</f>
        <v/>
      </c>
      <c r="X140" s="146" t="str">
        <f ca="1">IFERROR(VLOOKUP(C140,'Шаг1.Выбор плиты'!C:S,10,0),"")</f>
        <v/>
      </c>
      <c r="Y140" s="147" t="str">
        <f t="shared" ca="1" si="13"/>
        <v/>
      </c>
      <c r="AD140" s="147" t="str">
        <f t="shared" ca="1" si="11"/>
        <v/>
      </c>
      <c r="AE140" s="147" t="str">
        <f t="shared" ca="1" si="14"/>
        <v/>
      </c>
      <c r="AF140" s="25"/>
      <c r="AH140" s="147" t="str">
        <f ca="1">IF(C140="","",VLOOKUP(C140,'Шаг1.Выбор плиты'!C:Q,7,0))</f>
        <v/>
      </c>
      <c r="AI140" s="147" t="str">
        <f t="shared" ca="1" si="12"/>
        <v/>
      </c>
    </row>
    <row r="141" spans="1:35" x14ac:dyDescent="0.2">
      <c r="A141" s="151" t="str">
        <f ca="1">IF(C141="","",MAX($A$1:OFFSET(C141,-1,0))+1)</f>
        <v/>
      </c>
      <c r="B141" s="151" t="str">
        <f ca="1">IFERROR(IFERROR(IFERROR("Шаг2.Бланк заказа NEW №"&amp;VLOOKUP(A140+1,CHOOSE({1,2},'Шаг2.Бланк заказа NEW'!$B$19:$B$201,'Шаг2.Бланк заказа NEW'!$A$19:$A$201),1,0),
"Бланк OLD 0.8 04 №"&amp;VLOOKUP(A140+1-COUNT('Шаг2.Бланк заказа NEW'!$B$19:$B$201),CHOOSE({1,2},'Бланк OLD 0.8 04'!$B$18:$B$200,'Бланк OLD 0.8 04'!$A$18:$A$200),1,0)),
"Бланк OLD 2.0 04 №"&amp;VLOOKUP(A140+1-COUNT('Шаг2.Бланк заказа NEW'!$B$19:$B$201)-COUNT('Бланк OLD 0.8 04'!$B$18:$B$200),CHOOSE({1,2},'Бланк OLD 2.0 04 '!$B$18:$B$200,'Бланк OLD 2.0 04 '!$A$18:$A$200),1,0)),"")</f>
        <v/>
      </c>
      <c r="C141" s="152" t="str">
        <f ca="1">IFERROR(IFERROR(IFERROR(VLOOKUP(A140+1,CHOOSE({1,2},'Шаг2.Бланк заказа NEW'!$B$19:$B$201,'Шаг2.Бланк заказа NEW'!$A$19:$A$201),2,0),
VLOOKUP(A140+1-COUNT('Шаг2.Бланк заказа NEW'!$B$19:$B$201),CHOOSE({1,2},'Бланк OLD 0.8 04'!$B$18:$B$200,'Бланк OLD 0.8 04'!$A$18:$A$200),2,0)),
VLOOKUP(A140+1-COUNT('Шаг2.Бланк заказа NEW'!$B$19:$B$201)-COUNT('Бланк OLD 0.8 04'!$B$18:$B$200),CHOOSE({1,2},'Бланк OLD 2.0 04 '!$B$18:$B$200,'Бланк OLD 2.0 04 '!$A$18:$A$200),2,0)),"")</f>
        <v/>
      </c>
      <c r="D141" s="150" t="str">
        <f ca="1">IFERROR(VLOOKUP(C141,'Шаг1.Выбор плиты'!C:G,5,0),"")</f>
        <v/>
      </c>
      <c r="E141" s="147" t="str">
        <f ca="1">IFERROR(IFERROR(IF(VLOOKUP($A141,'Шаг2.Бланк заказа NEW'!$B$17:$N$201,2,0)="","",VLOOKUP($A141,'Шаг2.Бланк заказа NEW'!$B$17:$N$201,2,0)),
IF(VLOOKUP($A141-COUNT('Шаг2.Бланк заказа NEW'!$B$19:$B$201),'Бланк OLD 0.8 04'!$B$12:$K$200,2,0)="","",VLOOKUP($A141-COUNT('Шаг2.Бланк заказа NEW'!$B$19:$B$201),'Бланк OLD 0.8 04'!$B$12:$K$200,2,0))),
IF(VLOOKUP($A141-COUNT('Шаг2.Бланк заказа NEW'!$B$19:$B$201)-COUNT('Бланк OLD 0.8 04'!$B$18:$B$200),'Бланк OLD 2.0 04 '!$B$16:$K$200,2,0)="","",VLOOKUP($A141-COUNT('Шаг2.Бланк заказа NEW'!$B$19:$B$201)-COUNT('Бланк OLD 0.8 04'!$B$18:$B$200),'Бланк OLD 2.0 04 '!$B$16:$K$200,2,0)))</f>
        <v/>
      </c>
      <c r="F141" s="147" t="str">
        <f ca="1">IFERROR(IFERROR(IF(VLOOKUP($A141,'Шаг2.Бланк заказа NEW'!$B$17:$N$201,3,0)="","",VLOOKUP($A141,'Шаг2.Бланк заказа NEW'!$B$17:$N$201,3,0)),
IF(VLOOKUP($A141-COUNT('Шаг2.Бланк заказа NEW'!$B$19:$B$201),'Бланк OLD 0.8 04'!$B$12:$K$200,3,0)="","",VLOOKUP($A141-COUNT('Шаг2.Бланк заказа NEW'!$B$19:$B$201),'Бланк OLD 0.8 04'!$B$12:$K$200,3,0))),
IF(VLOOKUP($A141-COUNT('Шаг2.Бланк заказа NEW'!$B$19:$B$201)-COUNT('Бланк OLD 0.8 04'!$B$18:$B$200),'Бланк OLD 2.0 04 '!$B$16:$K$200,3,0)="","",VLOOKUP($A141-COUNT('Шаг2.Бланк заказа NEW'!$B$19:$B$201)-COUNT('Бланк OLD 0.8 04'!$B$18:$B$200),'Бланк OLD 2.0 04 '!$B$16:$K$200,3,0)))</f>
        <v/>
      </c>
      <c r="G141" s="176" t="str">
        <f ca="1">IF(IF(R141="","",IF(R141=1,SUMIFS('Шаг1.Выбор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плиты'!C:Q,12,0)),1))))))=0,
R141,
IF(R141="","",IF(R141=1,SUMIFS('Шаг1.Выбор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плиты'!N:N,R141,'Шаг1.Выбор плиты'!M:M,SMALL(INDIRECT("мм"&amp;VLOOKUP(C141,'Шаг1.Выбор плиты'!C:Q,12,0)),1)))))))</f>
        <v/>
      </c>
      <c r="H141" s="177" t="str">
        <f ca="1">IF(IF(S141="","",IF(S141=1,SUMIFS('Шаг1.Выбор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плиты'!C:Q,12,0)),1))))))=0,
S141,
IF(S141="","",IF(S141=1,SUMIFS('Шаг1.Выбор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плиты'!N:N,S141,'Шаг1.Выбор плиты'!M:M,SMALL(INDIRECT("мм"&amp;VLOOKUP(C141,'Шаг1.Выбор плиты'!C:Q,12,0)),1)))))))</f>
        <v/>
      </c>
      <c r="I141" s="147" t="str">
        <f ca="1">IFERROR(IFERROR(IF(VLOOKUP($A141,'Шаг2.Бланк заказа NEW'!$B$17:$N$201,6,0)="","",VLOOKUP($A141,'Шаг2.Бланк заказа NEW'!$B$17:$N$201,6,0)),
IF(VLOOKUP($A141-COUNT('Шаг2.Бланк заказа NEW'!$B$19:$B$201),'Бланк OLD 0.8 04'!$B$12:$K$200,6,0)="","",VLOOKUP($A141-COUNT('Шаг2.Бланк заказа NEW'!$B$19:$B$201),'Бланк OLD 0.8 04'!$B$12:$K$200,6,0))),
IF(VLOOKUP($A141-COUNT('Шаг2.Бланк заказа NEW'!$B$19:$B$201)-COUNT('Бланк OLD 0.8 04'!$B$18:$B$200),'Бланк OLD 2.0 04 '!$B$16:$K$200,6,0)="","",VLOOKUP($A141-COUNT('Шаг2.Бланк заказа NEW'!$B$19:$B$201)-COUNT('Бланк OLD 0.8 04'!$B$18:$B$200),'Бланк OLD 2.0 04 '!$B$16:$K$200,6,0)))</f>
        <v/>
      </c>
      <c r="J141" s="177" t="str">
        <f ca="1">IF(IF(T141="","",IF(T141=1,SUMIFS('Шаг1.Выбор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плиты'!C:Q,12,0)),1))))))=0,
T141,
IF(T141="","",IF(T141=1,SUMIFS('Шаг1.Выбор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плиты'!N:N,T141,'Шаг1.Выбор плиты'!M:M,SMALL(INDIRECT("мм"&amp;VLOOKUP(C141,'Шаг1.Выбор плиты'!C:Q,12,0)),1)))))))</f>
        <v/>
      </c>
      <c r="K141" s="177" t="str">
        <f ca="1">IF(IF(U141="","",IF(U141=1,SUMIFS('Шаг1.Выбор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плиты'!C:Q,12,0)),1))))))=0,
U141,
IF(U141="","",IF(U141=1,SUMIFS('Шаг1.Выбор плиты'!$G:$G,'Шаг1.Выбор плиты'!J:J,"*"&amp;RIGHT(VLOOKUP(C141,'Шаг1.Выбор плиты'!C:Q,8,0),4),'Шаг1.Выбор плиты'!L:L,IF(MID(C141,1,6)="ЛДСП P","TM"&amp;MID(VLOOKUP(C141,'Шаг1.Выбор плиты'!C:Q,10,0),3,2),MID(VLOOKUP(C141,'Шаг1.Выбор плиты'!C:Q,10,0),1,2)),
'Шаг1.Выбор плиты'!N:N,1),IF(SUMIFS('Шаг1.Выбор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плиты'!C:Q,12,0)),1))=0,
IF(SUMIFS('Шаг1.Выбор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плиты'!C:Q,12,0)),2))=0,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плиты'!C:Q,12,0)),3)),
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плиты'!C:Q,12,0)),2))),
(SUMIFS('Шаг1.Выбор плиты'!$G:$G,'Шаг1.Выбор плиты'!J:J,"*"&amp;RIGHT(VLOOKUP(C141,'Шаг1.Выбор плиты'!C:Q,8,0),4),'Шаг1.Выбор плиты'!L:L,VLOOKUP(C141,'Шаг1.Выбор плиты'!C:Q,10,0),'Шаг1.Выбор плиты'!N:N,U141,'Шаг1.Выбор плиты'!M:M,SMALL(INDIRECT("мм"&amp;VLOOKUP(C141,'Шаг1.Выбор плиты'!C:Q,12,0)),1)))))))</f>
        <v/>
      </c>
      <c r="L141" s="147" t="str">
        <f ca="1">IFERROR(IFERROR(IF(VLOOKUP($A141,'Шаг2.Бланк заказа NEW'!$B$17:$N$201,9,0)="","",VLOOKUP($A141,'Шаг2.Бланк заказа NEW'!$B$17:$N$201,9,0)),
IF(VLOOKUP($A141-COUNT('Шаг2.Бланк заказа NEW'!$B$19:$B$201),'Бланк OLD 0.8 04'!$B$12:$K$200,9,0)="","",VLOOKUP($A141-COUNT('Шаг2.Бланк заказа NEW'!$B$19:$B$201),'Бланк OLD 0.8 04'!$B$12:$K$200,9,0))),
IF(VLOOKUP($A141-COUNT('Шаг2.Бланк заказа NEW'!$B$19:$B$201)-COUNT('Бланк OLD 0.8 04'!$B$18:$B$200),'Бланк OLD 2.0 04 '!$B$16:$K$200,9,0)="","",VLOOKUP($A141-COUNT('Шаг2.Бланк заказа NEW'!$B$19:$B$201)-COUNT('Бланк OLD 0.8 04'!$B$18:$B$200),'Бланк OLD 2.0 04 '!$B$16:$K$200,9,0)))</f>
        <v/>
      </c>
      <c r="M141" s="154" t="str">
        <f t="shared" ca="1" si="10"/>
        <v/>
      </c>
      <c r="N141" s="153" t="str">
        <f ca="1">IFERROR(IF(VLOOKUP($A141,'Шаг2.Бланк заказа NEW'!$B$17:$N$201,11,0)="","",VLOOKUP($A141,'Шаг2.Бланк заказа NEW'!$B$17:$N$201,11,0)),
"Нет")</f>
        <v/>
      </c>
      <c r="O141" s="147" t="str">
        <f ca="1">IFERROR(IF(VLOOKUP($A141,'Шаг2.Бланк заказа NEW'!$B$17:$N$201,11,0)="","",VLOOKUP($A141,'Шаг2.Бланк заказа NEW'!$B$17:$N$201,12,0)),
"Нет")</f>
        <v/>
      </c>
      <c r="P141" s="153" t="str">
        <f ca="1">IFERROR(IF(VLOOKUP($A141,'Шаг2.Бланк заказа NEW'!$B$17:$N$201,13,0)="","",VLOOKUP($A141,'Шаг2.Бланк заказа NEW'!$B$17:$N$201,13,0)),
"Нет")</f>
        <v/>
      </c>
      <c r="Q141" s="147" t="str">
        <f ca="1">IFERROR(IF(VLOOKUP($A141,'Шаг2.Бланк заказа NEW'!$B$17:$O$201,14,0)="","",VLOOKUP($A141,'Шаг2.Бланк заказа NEW'!$B$17:$O$201,14,0)),"")</f>
        <v/>
      </c>
      <c r="R141" s="147" t="str">
        <f ca="1">IFERROR(IFERROR(IF(VLOOKUP($A141,'Шаг2.Бланк заказа NEW'!$B$17:$N$201,4,0)="","",VLOOKUP($A141,'Шаг2.Бланк заказа NEW'!$B$17:$N$201,4,0)),
IF(VLOOKUP($A141-COUNT('Шаг2.Бланк заказа NEW'!$B$19:$B$201),'Бланк OLD 0.8 04'!$B$12:$K$200,4,0)&gt;0,0.8,
IF(VLOOKUP($A141-COUNT('Шаг2.Бланк заказа NEW'!$B$19:$B$201),'Бланк OLD 0.8 04'!$B$12:$K$200,5,0)&gt;0,0.4,""))),
IF(VLOOKUP($A141-COUNT('Шаг2.Бланк заказа NEW'!$B$19:$B$201)-COUNT('Бланк OLD 0.8 04'!$B$18:$B$200),'Бланк OLD 2.0 04 '!$B$16:$K$200,4,0)&gt;0,2,IF(VLOOKUP($A141-COUNT('Шаг2.Бланк заказа NEW'!$B$19:$B$201)-COUNT('Бланк OLD 0.8 04'!$B$18:$B$200),'Бланк OLD 2.0 04 '!$B$16:$K$200,5,0)&gt;0,0.4,"")))</f>
        <v/>
      </c>
      <c r="S141" s="147" t="str">
        <f ca="1">IFERROR(IFERROR(IF(VLOOKUP($A141,'Шаг2.Бланк заказа NEW'!$B$17:$N$201,5,0)="","",VLOOKUP($A141,'Шаг2.Бланк заказа NEW'!$B$17:$N$201,5,0)),
IF(VLOOKUP($A141-COUNT('Шаг2.Бланк заказа NEW'!$B$19:$B$201),'Бланк OLD 0.8 04'!$B$12:$K$200,4,0)&gt;1,0.8,
IF(VLOOKUP($A141-COUNT('Шаг2.Бланк заказа NEW'!$B$19:$B$201),'Бланк OLD 0.8 04'!$B$12:$K$200,5,0)&gt;1,0.4,
IF(AND(VLOOKUP($A141-COUNT('Шаг2.Бланк заказа NEW'!$B$19:$B$201),'Бланк OLD 0.8 04'!$B$12:$K$200,4,0)&gt;0,VLOOKUP($A141-COUNT('Шаг2.Бланк заказа NEW'!$B$19:$B$201),'Бланк OLD 0.8 04'!$B$12:$K$200,5,0)&gt;0),0.4,"")))),
IF(VLOOKUP($A141-COUNT('Шаг2.Бланк заказа NEW'!$B$19:$B$201)-COUNT('Бланк OLD 0.8 04'!$B$18:$B$200),'Бланк OLD 2.0 04 '!$B$16:$K$200,4,0)&gt;1,2,
IF(VLOOKUP($A141-COUNT('Шаг2.Бланк заказа NEW'!$B$19:$B$201)-COUNT('Бланк OLD 0.8 04'!$B$18:$B$200),'Бланк OLD 2.0 04 '!$B$16:$K$200,5,0)&gt;1,0.4,IF(AND(VLOOKUP($A141-COUNT('Шаг2.Бланк заказа NEW'!$B$19:$B$201)-COUNT('Бланк OLD 0.8 04'!$B$18:$B$200),'Бланк OLD 2.0 04 '!$B$16:$K$200,4,0)&gt;0,VLOOKUP($A141-COUNT('Шаг2.Бланк заказа NEW'!$B$19:$B$201)-COUNT('Бланк OLD 0.8 04'!$B$18:$B$200),'Бланк OLD 2.0 04 '!$B$16:$K$200,5,0)&gt;0),0.4,""))))</f>
        <v/>
      </c>
      <c r="T141" s="147" t="str">
        <f ca="1">IFERROR(IFERROR(IF(VLOOKUP($A141,'Шаг2.Бланк заказа NEW'!$B$17:$N$201,7,0)="","",VLOOKUP($A141,'Шаг2.Бланк заказа NEW'!$B$17:$N$201,7,0)),
IF(VLOOKUP($A141-COUNT('Шаг2.Бланк заказа NEW'!$B$19:$B$201),'Бланк OLD 0.8 04'!$B$12:$K$200,7,0)&gt;0,0.8,
IF(VLOOKUP($A141-COUNT('Шаг2.Бланк заказа NEW'!$B$19:$B$201),'Бланк OLD 0.8 04'!$B$12:$K$200,8,0)&gt;0,0.4,""))),
IF(VLOOKUP($A141-COUNT('Шаг2.Бланк заказа NEW'!$B$19:$B$201)-COUNT('Бланк OLD 0.8 04'!$B$18:$B$200),'Бланк OLD 2.0 04 '!$B$16:$K$200,7,0)&gt;0,2,IF(VLOOKUP($A141-COUNT('Шаг2.Бланк заказа NEW'!$B$19:$B$201)-COUNT('Бланк OLD 0.8 04'!$B$18:$B$200),'Бланк OLD 2.0 04 '!$B$16:$K$200,8,0)&gt;0,0.4,"")))</f>
        <v/>
      </c>
      <c r="U141" s="147" t="str">
        <f ca="1">IFERROR(IFERROR(IF(VLOOKUP($A141,'Шаг2.Бланк заказа NEW'!$B$17:$N$201,8,0)="","",VLOOKUP($A141,'Шаг2.Бланк заказа NEW'!$B$17:$N$201,8,0)),
IF(VLOOKUP($A141-COUNT('Шаг2.Бланк заказа NEW'!$B$19:$B$201),'Бланк OLD 0.8 04'!$B$12:$K$200,7,0)&gt;1,0.8,
IF(VLOOKUP($A141-COUNT('Шаг2.Бланк заказа NEW'!$B$19:$B$201),'Бланк OLD 0.8 04'!$B$12:$K$200,8,0)&gt;1,0.4,
IF(AND(VLOOKUP($A141-COUNT('Шаг2.Бланк заказа NEW'!$B$19:$B$201),'Бланк OLD 0.8 04'!$B$12:$K$200,7,0)&gt;0,VLOOKUP($A141-COUNT('Шаг2.Бланк заказа NEW'!$B$19:$B$201),'Бланк OLD 0.8 04'!$B$12:$K$200,8,0)&gt;0),0.4,"")))),
IF(VLOOKUP($A141-COUNT('Шаг2.Бланк заказа NEW'!$B$19:$B$201)-COUNT('Бланк OLD 0.8 04'!$B$18:$B$200),'Бланк OLD 2.0 04 '!$B$16:$K$200,7,0)&gt;1,2,
IF(VLOOKUP($A141-COUNT('Шаг2.Бланк заказа NEW'!$B$19:$B$201)-COUNT('Бланк OLD 0.8 04'!$B$18:$B$200),'Бланк OLD 2.0 04 '!$B$16:$K$200,8,0)&gt;1,0.4,
IF(AND(VLOOKUP($A141-COUNT('Шаг2.Бланк заказа NEW'!$B$19:$B$201)-COUNT('Бланк OLD 0.8 04'!$B$18:$B$200),'Бланк OLD 2.0 04 '!$B$16:$K$200,7,0)&gt;0,VLOOKUP($A141-COUNT('Шаг2.Бланк заказа NEW'!$B$19:$B$201)-COUNT('Бланк OLD 0.8 04'!$B$18:$B$200),'Бланк OLD 2.0 04 '!$B$16:$K$200,8,0)&gt;0),0.4,""))))</f>
        <v/>
      </c>
      <c r="V141" s="146" t="str">
        <f ca="1">IFERROR(VLOOKUP(C141,'Шаг1.Выбор плиты'!C:S,12,0),"")</f>
        <v/>
      </c>
      <c r="W141" s="146" t="str">
        <f ca="1">IFERROR(VLOOKUP(C141,'Шаг1.Выбор плиты'!C:S,8,0),"")</f>
        <v/>
      </c>
      <c r="X141" s="146" t="str">
        <f ca="1">IFERROR(VLOOKUP(C141,'Шаг1.Выбор плиты'!C:S,10,0),"")</f>
        <v/>
      </c>
      <c r="Y141" s="147" t="str">
        <f t="shared" ca="1" si="13"/>
        <v/>
      </c>
      <c r="AD141" s="147" t="str">
        <f t="shared" ca="1" si="11"/>
        <v/>
      </c>
      <c r="AE141" s="147" t="str">
        <f t="shared" ca="1" si="14"/>
        <v/>
      </c>
      <c r="AF141" s="25"/>
      <c r="AH141" s="147" t="str">
        <f ca="1">IF(C141="","",VLOOKUP(C141,'Шаг1.Выбор плиты'!C:Q,7,0))</f>
        <v/>
      </c>
      <c r="AI141" s="147" t="str">
        <f t="shared" ca="1" si="12"/>
        <v/>
      </c>
    </row>
    <row r="142" spans="1:35" x14ac:dyDescent="0.2">
      <c r="A142" s="151" t="str">
        <f ca="1">IF(C142="","",MAX($A$1:OFFSET(C142,-1,0))+1)</f>
        <v/>
      </c>
      <c r="B142" s="151" t="str">
        <f ca="1">IFERROR(IFERROR(IFERROR("Шаг2.Бланк заказа NEW №"&amp;VLOOKUP(A141+1,CHOOSE({1,2},'Шаг2.Бланк заказа NEW'!$B$19:$B$201,'Шаг2.Бланк заказа NEW'!$A$19:$A$201),1,0),
"Бланк OLD 0.8 04 №"&amp;VLOOKUP(A141+1-COUNT('Шаг2.Бланк заказа NEW'!$B$19:$B$201),CHOOSE({1,2},'Бланк OLD 0.8 04'!$B$18:$B$200,'Бланк OLD 0.8 04'!$A$18:$A$200),1,0)),
"Бланк OLD 2.0 04 №"&amp;VLOOKUP(A141+1-COUNT('Шаг2.Бланк заказа NEW'!$B$19:$B$201)-COUNT('Бланк OLD 0.8 04'!$B$18:$B$200),CHOOSE({1,2},'Бланк OLD 2.0 04 '!$B$18:$B$200,'Бланк OLD 2.0 04 '!$A$18:$A$200),1,0)),"")</f>
        <v/>
      </c>
      <c r="C142" s="152" t="str">
        <f ca="1">IFERROR(IFERROR(IFERROR(VLOOKUP(A141+1,CHOOSE({1,2},'Шаг2.Бланк заказа NEW'!$B$19:$B$201,'Шаг2.Бланк заказа NEW'!$A$19:$A$201),2,0),
VLOOKUP(A141+1-COUNT('Шаг2.Бланк заказа NEW'!$B$19:$B$201),CHOOSE({1,2},'Бланк OLD 0.8 04'!$B$18:$B$200,'Бланк OLD 0.8 04'!$A$18:$A$200),2,0)),
VLOOKUP(A141+1-COUNT('Шаг2.Бланк заказа NEW'!$B$19:$B$201)-COUNT('Бланк OLD 0.8 04'!$B$18:$B$200),CHOOSE({1,2},'Бланк OLD 2.0 04 '!$B$18:$B$200,'Бланк OLD 2.0 04 '!$A$18:$A$200),2,0)),"")</f>
        <v/>
      </c>
      <c r="D142" s="150" t="str">
        <f ca="1">IFERROR(VLOOKUP(C142,'Шаг1.Выбор плиты'!C:G,5,0),"")</f>
        <v/>
      </c>
      <c r="E142" s="147" t="str">
        <f ca="1">IFERROR(IFERROR(IF(VLOOKUP($A142,'Шаг2.Бланк заказа NEW'!$B$17:$N$201,2,0)="","",VLOOKUP($A142,'Шаг2.Бланк заказа NEW'!$B$17:$N$201,2,0)),
IF(VLOOKUP($A142-COUNT('Шаг2.Бланк заказа NEW'!$B$19:$B$201),'Бланк OLD 0.8 04'!$B$12:$K$200,2,0)="","",VLOOKUP($A142-COUNT('Шаг2.Бланк заказа NEW'!$B$19:$B$201),'Бланк OLD 0.8 04'!$B$12:$K$200,2,0))),
IF(VLOOKUP($A142-COUNT('Шаг2.Бланк заказа NEW'!$B$19:$B$201)-COUNT('Бланк OLD 0.8 04'!$B$18:$B$200),'Бланк OLD 2.0 04 '!$B$16:$K$200,2,0)="","",VLOOKUP($A142-COUNT('Шаг2.Бланк заказа NEW'!$B$19:$B$201)-COUNT('Бланк OLD 0.8 04'!$B$18:$B$200),'Бланк OLD 2.0 04 '!$B$16:$K$200,2,0)))</f>
        <v/>
      </c>
      <c r="F142" s="147" t="str">
        <f ca="1">IFERROR(IFERROR(IF(VLOOKUP($A142,'Шаг2.Бланк заказа NEW'!$B$17:$N$201,3,0)="","",VLOOKUP($A142,'Шаг2.Бланк заказа NEW'!$B$17:$N$201,3,0)),
IF(VLOOKUP($A142-COUNT('Шаг2.Бланк заказа NEW'!$B$19:$B$201),'Бланк OLD 0.8 04'!$B$12:$K$200,3,0)="","",VLOOKUP($A142-COUNT('Шаг2.Бланк заказа NEW'!$B$19:$B$201),'Бланк OLD 0.8 04'!$B$12:$K$200,3,0))),
IF(VLOOKUP($A142-COUNT('Шаг2.Бланк заказа NEW'!$B$19:$B$201)-COUNT('Бланк OLD 0.8 04'!$B$18:$B$200),'Бланк OLD 2.0 04 '!$B$16:$K$200,3,0)="","",VLOOKUP($A142-COUNT('Шаг2.Бланк заказа NEW'!$B$19:$B$201)-COUNT('Бланк OLD 0.8 04'!$B$18:$B$200),'Бланк OLD 2.0 04 '!$B$16:$K$200,3,0)))</f>
        <v/>
      </c>
      <c r="G142" s="176" t="str">
        <f ca="1">IF(IF(R142="","",IF(R142=1,SUMIFS('Шаг1.Выбор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плиты'!C:Q,12,0)),1))))))=0,
R142,
IF(R142="","",IF(R142=1,SUMIFS('Шаг1.Выбор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плиты'!N:N,R142,'Шаг1.Выбор плиты'!M:M,SMALL(INDIRECT("мм"&amp;VLOOKUP(C142,'Шаг1.Выбор плиты'!C:Q,12,0)),1)))))))</f>
        <v/>
      </c>
      <c r="H142" s="177" t="str">
        <f ca="1">IF(IF(S142="","",IF(S142=1,SUMIFS('Шаг1.Выбор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плиты'!C:Q,12,0)),1))))))=0,
S142,
IF(S142="","",IF(S142=1,SUMIFS('Шаг1.Выбор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плиты'!N:N,S142,'Шаг1.Выбор плиты'!M:M,SMALL(INDIRECT("мм"&amp;VLOOKUP(C142,'Шаг1.Выбор плиты'!C:Q,12,0)),1)))))))</f>
        <v/>
      </c>
      <c r="I142" s="147" t="str">
        <f ca="1">IFERROR(IFERROR(IF(VLOOKUP($A142,'Шаг2.Бланк заказа NEW'!$B$17:$N$201,6,0)="","",VLOOKUP($A142,'Шаг2.Бланк заказа NEW'!$B$17:$N$201,6,0)),
IF(VLOOKUP($A142-COUNT('Шаг2.Бланк заказа NEW'!$B$19:$B$201),'Бланк OLD 0.8 04'!$B$12:$K$200,6,0)="","",VLOOKUP($A142-COUNT('Шаг2.Бланк заказа NEW'!$B$19:$B$201),'Бланк OLD 0.8 04'!$B$12:$K$200,6,0))),
IF(VLOOKUP($A142-COUNT('Шаг2.Бланк заказа NEW'!$B$19:$B$201)-COUNT('Бланк OLD 0.8 04'!$B$18:$B$200),'Бланк OLD 2.0 04 '!$B$16:$K$200,6,0)="","",VLOOKUP($A142-COUNT('Шаг2.Бланк заказа NEW'!$B$19:$B$201)-COUNT('Бланк OLD 0.8 04'!$B$18:$B$200),'Бланк OLD 2.0 04 '!$B$16:$K$200,6,0)))</f>
        <v/>
      </c>
      <c r="J142" s="177" t="str">
        <f ca="1">IF(IF(T142="","",IF(T142=1,SUMIFS('Шаг1.Выбор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плиты'!C:Q,12,0)),1))))))=0,
T142,
IF(T142="","",IF(T142=1,SUMIFS('Шаг1.Выбор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плиты'!N:N,T142,'Шаг1.Выбор плиты'!M:M,SMALL(INDIRECT("мм"&amp;VLOOKUP(C142,'Шаг1.Выбор плиты'!C:Q,12,0)),1)))))))</f>
        <v/>
      </c>
      <c r="K142" s="177" t="str">
        <f ca="1">IF(IF(U142="","",IF(U142=1,SUMIFS('Шаг1.Выбор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плиты'!C:Q,12,0)),1))))))=0,
U142,
IF(U142="","",IF(U142=1,SUMIFS('Шаг1.Выбор плиты'!$G:$G,'Шаг1.Выбор плиты'!J:J,"*"&amp;RIGHT(VLOOKUP(C142,'Шаг1.Выбор плиты'!C:Q,8,0),4),'Шаг1.Выбор плиты'!L:L,IF(MID(C142,1,6)="ЛДСП P","TM"&amp;MID(VLOOKUP(C142,'Шаг1.Выбор плиты'!C:Q,10,0),3,2),MID(VLOOKUP(C142,'Шаг1.Выбор плиты'!C:Q,10,0),1,2)),
'Шаг1.Выбор плиты'!N:N,1),IF(SUMIFS('Шаг1.Выбор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плиты'!C:Q,12,0)),1))=0,
IF(SUMIFS('Шаг1.Выбор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плиты'!C:Q,12,0)),2))=0,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плиты'!C:Q,12,0)),3)),
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плиты'!C:Q,12,0)),2))),
(SUMIFS('Шаг1.Выбор плиты'!$G:$G,'Шаг1.Выбор плиты'!J:J,"*"&amp;RIGHT(VLOOKUP(C142,'Шаг1.Выбор плиты'!C:Q,8,0),4),'Шаг1.Выбор плиты'!L:L,VLOOKUP(C142,'Шаг1.Выбор плиты'!C:Q,10,0),'Шаг1.Выбор плиты'!N:N,U142,'Шаг1.Выбор плиты'!M:M,SMALL(INDIRECT("мм"&amp;VLOOKUP(C142,'Шаг1.Выбор плиты'!C:Q,12,0)),1)))))))</f>
        <v/>
      </c>
      <c r="L142" s="147" t="str">
        <f ca="1">IFERROR(IFERROR(IF(VLOOKUP($A142,'Шаг2.Бланк заказа NEW'!$B$17:$N$201,9,0)="","",VLOOKUP($A142,'Шаг2.Бланк заказа NEW'!$B$17:$N$201,9,0)),
IF(VLOOKUP($A142-COUNT('Шаг2.Бланк заказа NEW'!$B$19:$B$201),'Бланк OLD 0.8 04'!$B$12:$K$200,9,0)="","",VLOOKUP($A142-COUNT('Шаг2.Бланк заказа NEW'!$B$19:$B$201),'Бланк OLD 0.8 04'!$B$12:$K$200,9,0))),
IF(VLOOKUP($A142-COUNT('Шаг2.Бланк заказа NEW'!$B$19:$B$201)-COUNT('Бланк OLD 0.8 04'!$B$18:$B$200),'Бланк OLD 2.0 04 '!$B$16:$K$200,9,0)="","",VLOOKUP($A142-COUNT('Шаг2.Бланк заказа NEW'!$B$19:$B$201)-COUNT('Бланк OLD 0.8 04'!$B$18:$B$200),'Бланк OLD 2.0 04 '!$B$16:$K$200,9,0)))</f>
        <v/>
      </c>
      <c r="M142" s="154" t="str">
        <f t="shared" ca="1" si="10"/>
        <v/>
      </c>
      <c r="N142" s="153" t="str">
        <f ca="1">IFERROR(IF(VLOOKUP($A142,'Шаг2.Бланк заказа NEW'!$B$17:$N$201,11,0)="","",VLOOKUP($A142,'Шаг2.Бланк заказа NEW'!$B$17:$N$201,11,0)),
"Нет")</f>
        <v/>
      </c>
      <c r="O142" s="147" t="str">
        <f ca="1">IFERROR(IF(VLOOKUP($A142,'Шаг2.Бланк заказа NEW'!$B$17:$N$201,11,0)="","",VLOOKUP($A142,'Шаг2.Бланк заказа NEW'!$B$17:$N$201,12,0)),
"Нет")</f>
        <v/>
      </c>
      <c r="P142" s="153" t="str">
        <f ca="1">IFERROR(IF(VLOOKUP($A142,'Шаг2.Бланк заказа NEW'!$B$17:$N$201,13,0)="","",VLOOKUP($A142,'Шаг2.Бланк заказа NEW'!$B$17:$N$201,13,0)),
"Нет")</f>
        <v/>
      </c>
      <c r="Q142" s="147" t="str">
        <f ca="1">IFERROR(IF(VLOOKUP($A142,'Шаг2.Бланк заказа NEW'!$B$17:$O$201,14,0)="","",VLOOKUP($A142,'Шаг2.Бланк заказа NEW'!$B$17:$O$201,14,0)),"")</f>
        <v/>
      </c>
      <c r="R142" s="147" t="str">
        <f ca="1">IFERROR(IFERROR(IF(VLOOKUP($A142,'Шаг2.Бланк заказа NEW'!$B$17:$N$201,4,0)="","",VLOOKUP($A142,'Шаг2.Бланк заказа NEW'!$B$17:$N$201,4,0)),
IF(VLOOKUP($A142-COUNT('Шаг2.Бланк заказа NEW'!$B$19:$B$201),'Бланк OLD 0.8 04'!$B$12:$K$200,4,0)&gt;0,0.8,
IF(VLOOKUP($A142-COUNT('Шаг2.Бланк заказа NEW'!$B$19:$B$201),'Бланк OLD 0.8 04'!$B$12:$K$200,5,0)&gt;0,0.4,""))),
IF(VLOOKUP($A142-COUNT('Шаг2.Бланк заказа NEW'!$B$19:$B$201)-COUNT('Бланк OLD 0.8 04'!$B$18:$B$200),'Бланк OLD 2.0 04 '!$B$16:$K$200,4,0)&gt;0,2,IF(VLOOKUP($A142-COUNT('Шаг2.Бланк заказа NEW'!$B$19:$B$201)-COUNT('Бланк OLD 0.8 04'!$B$18:$B$200),'Бланк OLD 2.0 04 '!$B$16:$K$200,5,0)&gt;0,0.4,"")))</f>
        <v/>
      </c>
      <c r="S142" s="147" t="str">
        <f ca="1">IFERROR(IFERROR(IF(VLOOKUP($A142,'Шаг2.Бланк заказа NEW'!$B$17:$N$201,5,0)="","",VLOOKUP($A142,'Шаг2.Бланк заказа NEW'!$B$17:$N$201,5,0)),
IF(VLOOKUP($A142-COUNT('Шаг2.Бланк заказа NEW'!$B$19:$B$201),'Бланк OLD 0.8 04'!$B$12:$K$200,4,0)&gt;1,0.8,
IF(VLOOKUP($A142-COUNT('Шаг2.Бланк заказа NEW'!$B$19:$B$201),'Бланк OLD 0.8 04'!$B$12:$K$200,5,0)&gt;1,0.4,
IF(AND(VLOOKUP($A142-COUNT('Шаг2.Бланк заказа NEW'!$B$19:$B$201),'Бланк OLD 0.8 04'!$B$12:$K$200,4,0)&gt;0,VLOOKUP($A142-COUNT('Шаг2.Бланк заказа NEW'!$B$19:$B$201),'Бланк OLD 0.8 04'!$B$12:$K$200,5,0)&gt;0),0.4,"")))),
IF(VLOOKUP($A142-COUNT('Шаг2.Бланк заказа NEW'!$B$19:$B$201)-COUNT('Бланк OLD 0.8 04'!$B$18:$B$200),'Бланк OLD 2.0 04 '!$B$16:$K$200,4,0)&gt;1,2,
IF(VLOOKUP($A142-COUNT('Шаг2.Бланк заказа NEW'!$B$19:$B$201)-COUNT('Бланк OLD 0.8 04'!$B$18:$B$200),'Бланк OLD 2.0 04 '!$B$16:$K$200,5,0)&gt;1,0.4,IF(AND(VLOOKUP($A142-COUNT('Шаг2.Бланк заказа NEW'!$B$19:$B$201)-COUNT('Бланк OLD 0.8 04'!$B$18:$B$200),'Бланк OLD 2.0 04 '!$B$16:$K$200,4,0)&gt;0,VLOOKUP($A142-COUNT('Шаг2.Бланк заказа NEW'!$B$19:$B$201)-COUNT('Бланк OLD 0.8 04'!$B$18:$B$200),'Бланк OLD 2.0 04 '!$B$16:$K$200,5,0)&gt;0),0.4,""))))</f>
        <v/>
      </c>
      <c r="T142" s="147" t="str">
        <f ca="1">IFERROR(IFERROR(IF(VLOOKUP($A142,'Шаг2.Бланк заказа NEW'!$B$17:$N$201,7,0)="","",VLOOKUP($A142,'Шаг2.Бланк заказа NEW'!$B$17:$N$201,7,0)),
IF(VLOOKUP($A142-COUNT('Шаг2.Бланк заказа NEW'!$B$19:$B$201),'Бланк OLD 0.8 04'!$B$12:$K$200,7,0)&gt;0,0.8,
IF(VLOOKUP($A142-COUNT('Шаг2.Бланк заказа NEW'!$B$19:$B$201),'Бланк OLD 0.8 04'!$B$12:$K$200,8,0)&gt;0,0.4,""))),
IF(VLOOKUP($A142-COUNT('Шаг2.Бланк заказа NEW'!$B$19:$B$201)-COUNT('Бланк OLD 0.8 04'!$B$18:$B$200),'Бланк OLD 2.0 04 '!$B$16:$K$200,7,0)&gt;0,2,IF(VLOOKUP($A142-COUNT('Шаг2.Бланк заказа NEW'!$B$19:$B$201)-COUNT('Бланк OLD 0.8 04'!$B$18:$B$200),'Бланк OLD 2.0 04 '!$B$16:$K$200,8,0)&gt;0,0.4,"")))</f>
        <v/>
      </c>
      <c r="U142" s="147" t="str">
        <f ca="1">IFERROR(IFERROR(IF(VLOOKUP($A142,'Шаг2.Бланк заказа NEW'!$B$17:$N$201,8,0)="","",VLOOKUP($A142,'Шаг2.Бланк заказа NEW'!$B$17:$N$201,8,0)),
IF(VLOOKUP($A142-COUNT('Шаг2.Бланк заказа NEW'!$B$19:$B$201),'Бланк OLD 0.8 04'!$B$12:$K$200,7,0)&gt;1,0.8,
IF(VLOOKUP($A142-COUNT('Шаг2.Бланк заказа NEW'!$B$19:$B$201),'Бланк OLD 0.8 04'!$B$12:$K$200,8,0)&gt;1,0.4,
IF(AND(VLOOKUP($A142-COUNT('Шаг2.Бланк заказа NEW'!$B$19:$B$201),'Бланк OLD 0.8 04'!$B$12:$K$200,7,0)&gt;0,VLOOKUP($A142-COUNT('Шаг2.Бланк заказа NEW'!$B$19:$B$201),'Бланк OLD 0.8 04'!$B$12:$K$200,8,0)&gt;0),0.4,"")))),
IF(VLOOKUP($A142-COUNT('Шаг2.Бланк заказа NEW'!$B$19:$B$201)-COUNT('Бланк OLD 0.8 04'!$B$18:$B$200),'Бланк OLD 2.0 04 '!$B$16:$K$200,7,0)&gt;1,2,
IF(VLOOKUP($A142-COUNT('Шаг2.Бланк заказа NEW'!$B$19:$B$201)-COUNT('Бланк OLD 0.8 04'!$B$18:$B$200),'Бланк OLD 2.0 04 '!$B$16:$K$200,8,0)&gt;1,0.4,
IF(AND(VLOOKUP($A142-COUNT('Шаг2.Бланк заказа NEW'!$B$19:$B$201)-COUNT('Бланк OLD 0.8 04'!$B$18:$B$200),'Бланк OLD 2.0 04 '!$B$16:$K$200,7,0)&gt;0,VLOOKUP($A142-COUNT('Шаг2.Бланк заказа NEW'!$B$19:$B$201)-COUNT('Бланк OLD 0.8 04'!$B$18:$B$200),'Бланк OLD 2.0 04 '!$B$16:$K$200,8,0)&gt;0),0.4,""))))</f>
        <v/>
      </c>
      <c r="V142" s="146" t="str">
        <f ca="1">IFERROR(VLOOKUP(C142,'Шаг1.Выбор плиты'!C:S,12,0),"")</f>
        <v/>
      </c>
      <c r="W142" s="146" t="str">
        <f ca="1">IFERROR(VLOOKUP(C142,'Шаг1.Выбор плиты'!C:S,8,0),"")</f>
        <v/>
      </c>
      <c r="X142" s="146" t="str">
        <f ca="1">IFERROR(VLOOKUP(C142,'Шаг1.Выбор плиты'!C:S,10,0),"")</f>
        <v/>
      </c>
      <c r="Y142" s="147" t="str">
        <f t="shared" ca="1" si="13"/>
        <v/>
      </c>
      <c r="AD142" s="147" t="str">
        <f t="shared" ca="1" si="11"/>
        <v/>
      </c>
      <c r="AE142" s="147" t="str">
        <f t="shared" ca="1" si="14"/>
        <v/>
      </c>
      <c r="AF142" s="25"/>
      <c r="AH142" s="147" t="str">
        <f ca="1">IF(C142="","",VLOOKUP(C142,'Шаг1.Выбор плиты'!C:Q,7,0))</f>
        <v/>
      </c>
      <c r="AI142" s="147" t="str">
        <f t="shared" ca="1" si="12"/>
        <v/>
      </c>
    </row>
    <row r="143" spans="1:35" x14ac:dyDescent="0.2">
      <c r="A143" s="151" t="str">
        <f ca="1">IF(C143="","",MAX($A$1:OFFSET(C143,-1,0))+1)</f>
        <v/>
      </c>
      <c r="B143" s="151" t="str">
        <f ca="1">IFERROR(IFERROR(IFERROR("Шаг2.Бланк заказа NEW №"&amp;VLOOKUP(A142+1,CHOOSE({1,2},'Шаг2.Бланк заказа NEW'!$B$19:$B$201,'Шаг2.Бланк заказа NEW'!$A$19:$A$201),1,0),
"Бланк OLD 0.8 04 №"&amp;VLOOKUP(A142+1-COUNT('Шаг2.Бланк заказа NEW'!$B$19:$B$201),CHOOSE({1,2},'Бланк OLD 0.8 04'!$B$18:$B$200,'Бланк OLD 0.8 04'!$A$18:$A$200),1,0)),
"Бланк OLD 2.0 04 №"&amp;VLOOKUP(A142+1-COUNT('Шаг2.Бланк заказа NEW'!$B$19:$B$201)-COUNT('Бланк OLD 0.8 04'!$B$18:$B$200),CHOOSE({1,2},'Бланк OLD 2.0 04 '!$B$18:$B$200,'Бланк OLD 2.0 04 '!$A$18:$A$200),1,0)),"")</f>
        <v/>
      </c>
      <c r="C143" s="152" t="str">
        <f ca="1">IFERROR(IFERROR(IFERROR(VLOOKUP(A142+1,CHOOSE({1,2},'Шаг2.Бланк заказа NEW'!$B$19:$B$201,'Шаг2.Бланк заказа NEW'!$A$19:$A$201),2,0),
VLOOKUP(A142+1-COUNT('Шаг2.Бланк заказа NEW'!$B$19:$B$201),CHOOSE({1,2},'Бланк OLD 0.8 04'!$B$18:$B$200,'Бланк OLD 0.8 04'!$A$18:$A$200),2,0)),
VLOOKUP(A142+1-COUNT('Шаг2.Бланк заказа NEW'!$B$19:$B$201)-COUNT('Бланк OLD 0.8 04'!$B$18:$B$200),CHOOSE({1,2},'Бланк OLD 2.0 04 '!$B$18:$B$200,'Бланк OLD 2.0 04 '!$A$18:$A$200),2,0)),"")</f>
        <v/>
      </c>
      <c r="D143" s="150" t="str">
        <f ca="1">IFERROR(VLOOKUP(C143,'Шаг1.Выбор плиты'!C:G,5,0),"")</f>
        <v/>
      </c>
      <c r="E143" s="147" t="str">
        <f ca="1">IFERROR(IFERROR(IF(VLOOKUP($A143,'Шаг2.Бланк заказа NEW'!$B$17:$N$201,2,0)="","",VLOOKUP($A143,'Шаг2.Бланк заказа NEW'!$B$17:$N$201,2,0)),
IF(VLOOKUP($A143-COUNT('Шаг2.Бланк заказа NEW'!$B$19:$B$201),'Бланк OLD 0.8 04'!$B$12:$K$200,2,0)="","",VLOOKUP($A143-COUNT('Шаг2.Бланк заказа NEW'!$B$19:$B$201),'Бланк OLD 0.8 04'!$B$12:$K$200,2,0))),
IF(VLOOKUP($A143-COUNT('Шаг2.Бланк заказа NEW'!$B$19:$B$201)-COUNT('Бланк OLD 0.8 04'!$B$18:$B$200),'Бланк OLD 2.0 04 '!$B$16:$K$200,2,0)="","",VLOOKUP($A143-COUNT('Шаг2.Бланк заказа NEW'!$B$19:$B$201)-COUNT('Бланк OLD 0.8 04'!$B$18:$B$200),'Бланк OLD 2.0 04 '!$B$16:$K$200,2,0)))</f>
        <v/>
      </c>
      <c r="F143" s="147" t="str">
        <f ca="1">IFERROR(IFERROR(IF(VLOOKUP($A143,'Шаг2.Бланк заказа NEW'!$B$17:$N$201,3,0)="","",VLOOKUP($A143,'Шаг2.Бланк заказа NEW'!$B$17:$N$201,3,0)),
IF(VLOOKUP($A143-COUNT('Шаг2.Бланк заказа NEW'!$B$19:$B$201),'Бланк OLD 0.8 04'!$B$12:$K$200,3,0)="","",VLOOKUP($A143-COUNT('Шаг2.Бланк заказа NEW'!$B$19:$B$201),'Бланк OLD 0.8 04'!$B$12:$K$200,3,0))),
IF(VLOOKUP($A143-COUNT('Шаг2.Бланк заказа NEW'!$B$19:$B$201)-COUNT('Бланк OLD 0.8 04'!$B$18:$B$200),'Бланк OLD 2.0 04 '!$B$16:$K$200,3,0)="","",VLOOKUP($A143-COUNT('Шаг2.Бланк заказа NEW'!$B$19:$B$201)-COUNT('Бланк OLD 0.8 04'!$B$18:$B$200),'Бланк OLD 2.0 04 '!$B$16:$K$200,3,0)))</f>
        <v/>
      </c>
      <c r="G143" s="176" t="str">
        <f ca="1">IF(IF(R143="","",IF(R143=1,SUMIFS('Шаг1.Выбор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плиты'!C:Q,12,0)),1))))))=0,
R143,
IF(R143="","",IF(R143=1,SUMIFS('Шаг1.Выбор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плиты'!N:N,R143,'Шаг1.Выбор плиты'!M:M,SMALL(INDIRECT("мм"&amp;VLOOKUP(C143,'Шаг1.Выбор плиты'!C:Q,12,0)),1)))))))</f>
        <v/>
      </c>
      <c r="H143" s="177" t="str">
        <f ca="1">IF(IF(S143="","",IF(S143=1,SUMIFS('Шаг1.Выбор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плиты'!C:Q,12,0)),1))))))=0,
S143,
IF(S143="","",IF(S143=1,SUMIFS('Шаг1.Выбор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плиты'!N:N,S143,'Шаг1.Выбор плиты'!M:M,SMALL(INDIRECT("мм"&amp;VLOOKUP(C143,'Шаг1.Выбор плиты'!C:Q,12,0)),1)))))))</f>
        <v/>
      </c>
      <c r="I143" s="147" t="str">
        <f ca="1">IFERROR(IFERROR(IF(VLOOKUP($A143,'Шаг2.Бланк заказа NEW'!$B$17:$N$201,6,0)="","",VLOOKUP($A143,'Шаг2.Бланк заказа NEW'!$B$17:$N$201,6,0)),
IF(VLOOKUP($A143-COUNT('Шаг2.Бланк заказа NEW'!$B$19:$B$201),'Бланк OLD 0.8 04'!$B$12:$K$200,6,0)="","",VLOOKUP($A143-COUNT('Шаг2.Бланк заказа NEW'!$B$19:$B$201),'Бланк OLD 0.8 04'!$B$12:$K$200,6,0))),
IF(VLOOKUP($A143-COUNT('Шаг2.Бланк заказа NEW'!$B$19:$B$201)-COUNT('Бланк OLD 0.8 04'!$B$18:$B$200),'Бланк OLD 2.0 04 '!$B$16:$K$200,6,0)="","",VLOOKUP($A143-COUNT('Шаг2.Бланк заказа NEW'!$B$19:$B$201)-COUNT('Бланк OLD 0.8 04'!$B$18:$B$200),'Бланк OLD 2.0 04 '!$B$16:$K$200,6,0)))</f>
        <v/>
      </c>
      <c r="J143" s="177" t="str">
        <f ca="1">IF(IF(T143="","",IF(T143=1,SUMIFS('Шаг1.Выбор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плиты'!C:Q,12,0)),1))))))=0,
T143,
IF(T143="","",IF(T143=1,SUMIFS('Шаг1.Выбор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плиты'!N:N,T143,'Шаг1.Выбор плиты'!M:M,SMALL(INDIRECT("мм"&amp;VLOOKUP(C143,'Шаг1.Выбор плиты'!C:Q,12,0)),1)))))))</f>
        <v/>
      </c>
      <c r="K143" s="177" t="str">
        <f ca="1">IF(IF(U143="","",IF(U143=1,SUMIFS('Шаг1.Выбор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плиты'!C:Q,12,0)),1))))))=0,
U143,
IF(U143="","",IF(U143=1,SUMIFS('Шаг1.Выбор плиты'!$G:$G,'Шаг1.Выбор плиты'!J:J,"*"&amp;RIGHT(VLOOKUP(C143,'Шаг1.Выбор плиты'!C:Q,8,0),4),'Шаг1.Выбор плиты'!L:L,IF(MID(C143,1,6)="ЛДСП P","TM"&amp;MID(VLOOKUP(C143,'Шаг1.Выбор плиты'!C:Q,10,0),3,2),MID(VLOOKUP(C143,'Шаг1.Выбор плиты'!C:Q,10,0),1,2)),
'Шаг1.Выбор плиты'!N:N,1),IF(SUMIFS('Шаг1.Выбор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плиты'!C:Q,12,0)),1))=0,
IF(SUMIFS('Шаг1.Выбор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плиты'!C:Q,12,0)),2))=0,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плиты'!C:Q,12,0)),3)),
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плиты'!C:Q,12,0)),2))),
(SUMIFS('Шаг1.Выбор плиты'!$G:$G,'Шаг1.Выбор плиты'!J:J,"*"&amp;RIGHT(VLOOKUP(C143,'Шаг1.Выбор плиты'!C:Q,8,0),4),'Шаг1.Выбор плиты'!L:L,VLOOKUP(C143,'Шаг1.Выбор плиты'!C:Q,10,0),'Шаг1.Выбор плиты'!N:N,U143,'Шаг1.Выбор плиты'!M:M,SMALL(INDIRECT("мм"&amp;VLOOKUP(C143,'Шаг1.Выбор плиты'!C:Q,12,0)),1)))))))</f>
        <v/>
      </c>
      <c r="L143" s="147" t="str">
        <f ca="1">IFERROR(IFERROR(IF(VLOOKUP($A143,'Шаг2.Бланк заказа NEW'!$B$17:$N$201,9,0)="","",VLOOKUP($A143,'Шаг2.Бланк заказа NEW'!$B$17:$N$201,9,0)),
IF(VLOOKUP($A143-COUNT('Шаг2.Бланк заказа NEW'!$B$19:$B$201),'Бланк OLD 0.8 04'!$B$12:$K$200,9,0)="","",VLOOKUP($A143-COUNT('Шаг2.Бланк заказа NEW'!$B$19:$B$201),'Бланк OLD 0.8 04'!$B$12:$K$200,9,0))),
IF(VLOOKUP($A143-COUNT('Шаг2.Бланк заказа NEW'!$B$19:$B$201)-COUNT('Бланк OLD 0.8 04'!$B$18:$B$200),'Бланк OLD 2.0 04 '!$B$16:$K$200,9,0)="","",VLOOKUP($A143-COUNT('Шаг2.Бланк заказа NEW'!$B$19:$B$201)-COUNT('Бланк OLD 0.8 04'!$B$18:$B$200),'Бланк OLD 2.0 04 '!$B$16:$K$200,9,0)))</f>
        <v/>
      </c>
      <c r="M143" s="154" t="str">
        <f t="shared" ca="1" si="10"/>
        <v/>
      </c>
      <c r="N143" s="153" t="str">
        <f ca="1">IFERROR(IF(VLOOKUP($A143,'Шаг2.Бланк заказа NEW'!$B$17:$N$201,11,0)="","",VLOOKUP($A143,'Шаг2.Бланк заказа NEW'!$B$17:$N$201,11,0)),
"Нет")</f>
        <v/>
      </c>
      <c r="O143" s="147" t="str">
        <f ca="1">IFERROR(IF(VLOOKUP($A143,'Шаг2.Бланк заказа NEW'!$B$17:$N$201,11,0)="","",VLOOKUP($A143,'Шаг2.Бланк заказа NEW'!$B$17:$N$201,12,0)),
"Нет")</f>
        <v/>
      </c>
      <c r="P143" s="153" t="str">
        <f ca="1">IFERROR(IF(VLOOKUP($A143,'Шаг2.Бланк заказа NEW'!$B$17:$N$201,13,0)="","",VLOOKUP($A143,'Шаг2.Бланк заказа NEW'!$B$17:$N$201,13,0)),
"Нет")</f>
        <v/>
      </c>
      <c r="Q143" s="147" t="str">
        <f ca="1">IFERROR(IF(VLOOKUP($A143,'Шаг2.Бланк заказа NEW'!$B$17:$O$201,14,0)="","",VLOOKUP($A143,'Шаг2.Бланк заказа NEW'!$B$17:$O$201,14,0)),"")</f>
        <v/>
      </c>
      <c r="R143" s="147" t="str">
        <f ca="1">IFERROR(IFERROR(IF(VLOOKUP($A143,'Шаг2.Бланк заказа NEW'!$B$17:$N$201,4,0)="","",VLOOKUP($A143,'Шаг2.Бланк заказа NEW'!$B$17:$N$201,4,0)),
IF(VLOOKUP($A143-COUNT('Шаг2.Бланк заказа NEW'!$B$19:$B$201),'Бланк OLD 0.8 04'!$B$12:$K$200,4,0)&gt;0,0.8,
IF(VLOOKUP($A143-COUNT('Шаг2.Бланк заказа NEW'!$B$19:$B$201),'Бланк OLD 0.8 04'!$B$12:$K$200,5,0)&gt;0,0.4,""))),
IF(VLOOKUP($A143-COUNT('Шаг2.Бланк заказа NEW'!$B$19:$B$201)-COUNT('Бланк OLD 0.8 04'!$B$18:$B$200),'Бланк OLD 2.0 04 '!$B$16:$K$200,4,0)&gt;0,2,IF(VLOOKUP($A143-COUNT('Шаг2.Бланк заказа NEW'!$B$19:$B$201)-COUNT('Бланк OLD 0.8 04'!$B$18:$B$200),'Бланк OLD 2.0 04 '!$B$16:$K$200,5,0)&gt;0,0.4,"")))</f>
        <v/>
      </c>
      <c r="S143" s="147" t="str">
        <f ca="1">IFERROR(IFERROR(IF(VLOOKUP($A143,'Шаг2.Бланк заказа NEW'!$B$17:$N$201,5,0)="","",VLOOKUP($A143,'Шаг2.Бланк заказа NEW'!$B$17:$N$201,5,0)),
IF(VLOOKUP($A143-COUNT('Шаг2.Бланк заказа NEW'!$B$19:$B$201),'Бланк OLD 0.8 04'!$B$12:$K$200,4,0)&gt;1,0.8,
IF(VLOOKUP($A143-COUNT('Шаг2.Бланк заказа NEW'!$B$19:$B$201),'Бланк OLD 0.8 04'!$B$12:$K$200,5,0)&gt;1,0.4,
IF(AND(VLOOKUP($A143-COUNT('Шаг2.Бланк заказа NEW'!$B$19:$B$201),'Бланк OLD 0.8 04'!$B$12:$K$200,4,0)&gt;0,VLOOKUP($A143-COUNT('Шаг2.Бланк заказа NEW'!$B$19:$B$201),'Бланк OLD 0.8 04'!$B$12:$K$200,5,0)&gt;0),0.4,"")))),
IF(VLOOKUP($A143-COUNT('Шаг2.Бланк заказа NEW'!$B$19:$B$201)-COUNT('Бланк OLD 0.8 04'!$B$18:$B$200),'Бланк OLD 2.0 04 '!$B$16:$K$200,4,0)&gt;1,2,
IF(VLOOKUP($A143-COUNT('Шаг2.Бланк заказа NEW'!$B$19:$B$201)-COUNT('Бланк OLD 0.8 04'!$B$18:$B$200),'Бланк OLD 2.0 04 '!$B$16:$K$200,5,0)&gt;1,0.4,IF(AND(VLOOKUP($A143-COUNT('Шаг2.Бланк заказа NEW'!$B$19:$B$201)-COUNT('Бланк OLD 0.8 04'!$B$18:$B$200),'Бланк OLD 2.0 04 '!$B$16:$K$200,4,0)&gt;0,VLOOKUP($A143-COUNT('Шаг2.Бланк заказа NEW'!$B$19:$B$201)-COUNT('Бланк OLD 0.8 04'!$B$18:$B$200),'Бланк OLD 2.0 04 '!$B$16:$K$200,5,0)&gt;0),0.4,""))))</f>
        <v/>
      </c>
      <c r="T143" s="147" t="str">
        <f ca="1">IFERROR(IFERROR(IF(VLOOKUP($A143,'Шаг2.Бланк заказа NEW'!$B$17:$N$201,7,0)="","",VLOOKUP($A143,'Шаг2.Бланк заказа NEW'!$B$17:$N$201,7,0)),
IF(VLOOKUP($A143-COUNT('Шаг2.Бланк заказа NEW'!$B$19:$B$201),'Бланк OLD 0.8 04'!$B$12:$K$200,7,0)&gt;0,0.8,
IF(VLOOKUP($A143-COUNT('Шаг2.Бланк заказа NEW'!$B$19:$B$201),'Бланк OLD 0.8 04'!$B$12:$K$200,8,0)&gt;0,0.4,""))),
IF(VLOOKUP($A143-COUNT('Шаг2.Бланк заказа NEW'!$B$19:$B$201)-COUNT('Бланк OLD 0.8 04'!$B$18:$B$200),'Бланк OLD 2.0 04 '!$B$16:$K$200,7,0)&gt;0,2,IF(VLOOKUP($A143-COUNT('Шаг2.Бланк заказа NEW'!$B$19:$B$201)-COUNT('Бланк OLD 0.8 04'!$B$18:$B$200),'Бланк OLD 2.0 04 '!$B$16:$K$200,8,0)&gt;0,0.4,"")))</f>
        <v/>
      </c>
      <c r="U143" s="147" t="str">
        <f ca="1">IFERROR(IFERROR(IF(VLOOKUP($A143,'Шаг2.Бланк заказа NEW'!$B$17:$N$201,8,0)="","",VLOOKUP($A143,'Шаг2.Бланк заказа NEW'!$B$17:$N$201,8,0)),
IF(VLOOKUP($A143-COUNT('Шаг2.Бланк заказа NEW'!$B$19:$B$201),'Бланк OLD 0.8 04'!$B$12:$K$200,7,0)&gt;1,0.8,
IF(VLOOKUP($A143-COUNT('Шаг2.Бланк заказа NEW'!$B$19:$B$201),'Бланк OLD 0.8 04'!$B$12:$K$200,8,0)&gt;1,0.4,
IF(AND(VLOOKUP($A143-COUNT('Шаг2.Бланк заказа NEW'!$B$19:$B$201),'Бланк OLD 0.8 04'!$B$12:$K$200,7,0)&gt;0,VLOOKUP($A143-COUNT('Шаг2.Бланк заказа NEW'!$B$19:$B$201),'Бланк OLD 0.8 04'!$B$12:$K$200,8,0)&gt;0),0.4,"")))),
IF(VLOOKUP($A143-COUNT('Шаг2.Бланк заказа NEW'!$B$19:$B$201)-COUNT('Бланк OLD 0.8 04'!$B$18:$B$200),'Бланк OLD 2.0 04 '!$B$16:$K$200,7,0)&gt;1,2,
IF(VLOOKUP($A143-COUNT('Шаг2.Бланк заказа NEW'!$B$19:$B$201)-COUNT('Бланк OLD 0.8 04'!$B$18:$B$200),'Бланк OLD 2.0 04 '!$B$16:$K$200,8,0)&gt;1,0.4,
IF(AND(VLOOKUP($A143-COUNT('Шаг2.Бланк заказа NEW'!$B$19:$B$201)-COUNT('Бланк OLD 0.8 04'!$B$18:$B$200),'Бланк OLD 2.0 04 '!$B$16:$K$200,7,0)&gt;0,VLOOKUP($A143-COUNT('Шаг2.Бланк заказа NEW'!$B$19:$B$201)-COUNT('Бланк OLD 0.8 04'!$B$18:$B$200),'Бланк OLD 2.0 04 '!$B$16:$K$200,8,0)&gt;0),0.4,""))))</f>
        <v/>
      </c>
      <c r="V143" s="146" t="str">
        <f ca="1">IFERROR(VLOOKUP(C143,'Шаг1.Выбор плиты'!C:S,12,0),"")</f>
        <v/>
      </c>
      <c r="W143" s="146" t="str">
        <f ca="1">IFERROR(VLOOKUP(C143,'Шаг1.Выбор плиты'!C:S,8,0),"")</f>
        <v/>
      </c>
      <c r="X143" s="146" t="str">
        <f ca="1">IFERROR(VLOOKUP(C143,'Шаг1.Выбор плиты'!C:S,10,0),"")</f>
        <v/>
      </c>
      <c r="Y143" s="147" t="str">
        <f t="shared" ca="1" si="13"/>
        <v/>
      </c>
      <c r="AD143" s="147" t="str">
        <f t="shared" ca="1" si="11"/>
        <v/>
      </c>
      <c r="AE143" s="147" t="str">
        <f t="shared" ca="1" si="14"/>
        <v/>
      </c>
      <c r="AF143" s="25"/>
      <c r="AH143" s="147" t="str">
        <f ca="1">IF(C143="","",VLOOKUP(C143,'Шаг1.Выбор плиты'!C:Q,7,0))</f>
        <v/>
      </c>
      <c r="AI143" s="147" t="str">
        <f t="shared" ca="1" si="12"/>
        <v/>
      </c>
    </row>
    <row r="144" spans="1:35" x14ac:dyDescent="0.2">
      <c r="A144" s="151" t="str">
        <f ca="1">IF(C144="","",MAX($A$1:OFFSET(C144,-1,0))+1)</f>
        <v/>
      </c>
      <c r="B144" s="151" t="str">
        <f ca="1">IFERROR(IFERROR(IFERROR("Шаг2.Бланк заказа NEW №"&amp;VLOOKUP(A143+1,CHOOSE({1,2},'Шаг2.Бланк заказа NEW'!$B$19:$B$201,'Шаг2.Бланк заказа NEW'!$A$19:$A$201),1,0),
"Бланк OLD 0.8 04 №"&amp;VLOOKUP(A143+1-COUNT('Шаг2.Бланк заказа NEW'!$B$19:$B$201),CHOOSE({1,2},'Бланк OLD 0.8 04'!$B$18:$B$200,'Бланк OLD 0.8 04'!$A$18:$A$200),1,0)),
"Бланк OLD 2.0 04 №"&amp;VLOOKUP(A143+1-COUNT('Шаг2.Бланк заказа NEW'!$B$19:$B$201)-COUNT('Бланк OLD 0.8 04'!$B$18:$B$200),CHOOSE({1,2},'Бланк OLD 2.0 04 '!$B$18:$B$200,'Бланк OLD 2.0 04 '!$A$18:$A$200),1,0)),"")</f>
        <v/>
      </c>
      <c r="C144" s="152" t="str">
        <f ca="1">IFERROR(IFERROR(IFERROR(VLOOKUP(A143+1,CHOOSE({1,2},'Шаг2.Бланк заказа NEW'!$B$19:$B$201,'Шаг2.Бланк заказа NEW'!$A$19:$A$201),2,0),
VLOOKUP(A143+1-COUNT('Шаг2.Бланк заказа NEW'!$B$19:$B$201),CHOOSE({1,2},'Бланк OLD 0.8 04'!$B$18:$B$200,'Бланк OLD 0.8 04'!$A$18:$A$200),2,0)),
VLOOKUP(A143+1-COUNT('Шаг2.Бланк заказа NEW'!$B$19:$B$201)-COUNT('Бланк OLD 0.8 04'!$B$18:$B$200),CHOOSE({1,2},'Бланк OLD 2.0 04 '!$B$18:$B$200,'Бланк OLD 2.0 04 '!$A$18:$A$200),2,0)),"")</f>
        <v/>
      </c>
      <c r="D144" s="150" t="str">
        <f ca="1">IFERROR(VLOOKUP(C144,'Шаг1.Выбор плиты'!C:G,5,0),"")</f>
        <v/>
      </c>
      <c r="E144" s="147" t="str">
        <f ca="1">IFERROR(IFERROR(IF(VLOOKUP($A144,'Шаг2.Бланк заказа NEW'!$B$17:$N$201,2,0)="","",VLOOKUP($A144,'Шаг2.Бланк заказа NEW'!$B$17:$N$201,2,0)),
IF(VLOOKUP($A144-COUNT('Шаг2.Бланк заказа NEW'!$B$19:$B$201),'Бланк OLD 0.8 04'!$B$12:$K$200,2,0)="","",VLOOKUP($A144-COUNT('Шаг2.Бланк заказа NEW'!$B$19:$B$201),'Бланк OLD 0.8 04'!$B$12:$K$200,2,0))),
IF(VLOOKUP($A144-COUNT('Шаг2.Бланк заказа NEW'!$B$19:$B$201)-COUNT('Бланк OLD 0.8 04'!$B$18:$B$200),'Бланк OLD 2.0 04 '!$B$16:$K$200,2,0)="","",VLOOKUP($A144-COUNT('Шаг2.Бланк заказа NEW'!$B$19:$B$201)-COUNT('Бланк OLD 0.8 04'!$B$18:$B$200),'Бланк OLD 2.0 04 '!$B$16:$K$200,2,0)))</f>
        <v/>
      </c>
      <c r="F144" s="147" t="str">
        <f ca="1">IFERROR(IFERROR(IF(VLOOKUP($A144,'Шаг2.Бланк заказа NEW'!$B$17:$N$201,3,0)="","",VLOOKUP($A144,'Шаг2.Бланк заказа NEW'!$B$17:$N$201,3,0)),
IF(VLOOKUP($A144-COUNT('Шаг2.Бланк заказа NEW'!$B$19:$B$201),'Бланк OLD 0.8 04'!$B$12:$K$200,3,0)="","",VLOOKUP($A144-COUNT('Шаг2.Бланк заказа NEW'!$B$19:$B$201),'Бланк OLD 0.8 04'!$B$12:$K$200,3,0))),
IF(VLOOKUP($A144-COUNT('Шаг2.Бланк заказа NEW'!$B$19:$B$201)-COUNT('Бланк OLD 0.8 04'!$B$18:$B$200),'Бланк OLD 2.0 04 '!$B$16:$K$200,3,0)="","",VLOOKUP($A144-COUNT('Шаг2.Бланк заказа NEW'!$B$19:$B$201)-COUNT('Бланк OLD 0.8 04'!$B$18:$B$200),'Бланк OLD 2.0 04 '!$B$16:$K$200,3,0)))</f>
        <v/>
      </c>
      <c r="G144" s="176" t="str">
        <f ca="1">IF(IF(R144="","",IF(R144=1,SUMIFS('Шаг1.Выбор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плиты'!C:Q,12,0)),1))))))=0,
R144,
IF(R144="","",IF(R144=1,SUMIFS('Шаг1.Выбор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плиты'!N:N,R144,'Шаг1.Выбор плиты'!M:M,SMALL(INDIRECT("мм"&amp;VLOOKUP(C144,'Шаг1.Выбор плиты'!C:Q,12,0)),1)))))))</f>
        <v/>
      </c>
      <c r="H144" s="177" t="str">
        <f ca="1">IF(IF(S144="","",IF(S144=1,SUMIFS('Шаг1.Выбор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плиты'!C:Q,12,0)),1))))))=0,
S144,
IF(S144="","",IF(S144=1,SUMIFS('Шаг1.Выбор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плиты'!N:N,S144,'Шаг1.Выбор плиты'!M:M,SMALL(INDIRECT("мм"&amp;VLOOKUP(C144,'Шаг1.Выбор плиты'!C:Q,12,0)),1)))))))</f>
        <v/>
      </c>
      <c r="I144" s="147" t="str">
        <f ca="1">IFERROR(IFERROR(IF(VLOOKUP($A144,'Шаг2.Бланк заказа NEW'!$B$17:$N$201,6,0)="","",VLOOKUP($A144,'Шаг2.Бланк заказа NEW'!$B$17:$N$201,6,0)),
IF(VLOOKUP($A144-COUNT('Шаг2.Бланк заказа NEW'!$B$19:$B$201),'Бланк OLD 0.8 04'!$B$12:$K$200,6,0)="","",VLOOKUP($A144-COUNT('Шаг2.Бланк заказа NEW'!$B$19:$B$201),'Бланк OLD 0.8 04'!$B$12:$K$200,6,0))),
IF(VLOOKUP($A144-COUNT('Шаг2.Бланк заказа NEW'!$B$19:$B$201)-COUNT('Бланк OLD 0.8 04'!$B$18:$B$200),'Бланк OLD 2.0 04 '!$B$16:$K$200,6,0)="","",VLOOKUP($A144-COUNT('Шаг2.Бланк заказа NEW'!$B$19:$B$201)-COUNT('Бланк OLD 0.8 04'!$B$18:$B$200),'Бланк OLD 2.0 04 '!$B$16:$K$200,6,0)))</f>
        <v/>
      </c>
      <c r="J144" s="177" t="str">
        <f ca="1">IF(IF(T144="","",IF(T144=1,SUMIFS('Шаг1.Выбор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плиты'!C:Q,12,0)),1))))))=0,
T144,
IF(T144="","",IF(T144=1,SUMIFS('Шаг1.Выбор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плиты'!N:N,T144,'Шаг1.Выбор плиты'!M:M,SMALL(INDIRECT("мм"&amp;VLOOKUP(C144,'Шаг1.Выбор плиты'!C:Q,12,0)),1)))))))</f>
        <v/>
      </c>
      <c r="K144" s="177" t="str">
        <f ca="1">IF(IF(U144="","",IF(U144=1,SUMIFS('Шаг1.Выбор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плиты'!C:Q,12,0)),1))))))=0,
U144,
IF(U144="","",IF(U144=1,SUMIFS('Шаг1.Выбор плиты'!$G:$G,'Шаг1.Выбор плиты'!J:J,"*"&amp;RIGHT(VLOOKUP(C144,'Шаг1.Выбор плиты'!C:Q,8,0),4),'Шаг1.Выбор плиты'!L:L,IF(MID(C144,1,6)="ЛДСП P","TM"&amp;MID(VLOOKUP(C144,'Шаг1.Выбор плиты'!C:Q,10,0),3,2),MID(VLOOKUP(C144,'Шаг1.Выбор плиты'!C:Q,10,0),1,2)),
'Шаг1.Выбор плиты'!N:N,1),IF(SUMIFS('Шаг1.Выбор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плиты'!C:Q,12,0)),1))=0,
IF(SUMIFS('Шаг1.Выбор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плиты'!C:Q,12,0)),2))=0,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плиты'!C:Q,12,0)),3)),
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плиты'!C:Q,12,0)),2))),
(SUMIFS('Шаг1.Выбор плиты'!$G:$G,'Шаг1.Выбор плиты'!J:J,"*"&amp;RIGHT(VLOOKUP(C144,'Шаг1.Выбор плиты'!C:Q,8,0),4),'Шаг1.Выбор плиты'!L:L,VLOOKUP(C144,'Шаг1.Выбор плиты'!C:Q,10,0),'Шаг1.Выбор плиты'!N:N,U144,'Шаг1.Выбор плиты'!M:M,SMALL(INDIRECT("мм"&amp;VLOOKUP(C144,'Шаг1.Выбор плиты'!C:Q,12,0)),1)))))))</f>
        <v/>
      </c>
      <c r="L144" s="147" t="str">
        <f ca="1">IFERROR(IFERROR(IF(VLOOKUP($A144,'Шаг2.Бланк заказа NEW'!$B$17:$N$201,9,0)="","",VLOOKUP($A144,'Шаг2.Бланк заказа NEW'!$B$17:$N$201,9,0)),
IF(VLOOKUP($A144-COUNT('Шаг2.Бланк заказа NEW'!$B$19:$B$201),'Бланк OLD 0.8 04'!$B$12:$K$200,9,0)="","",VLOOKUP($A144-COUNT('Шаг2.Бланк заказа NEW'!$B$19:$B$201),'Бланк OLD 0.8 04'!$B$12:$K$200,9,0))),
IF(VLOOKUP($A144-COUNT('Шаг2.Бланк заказа NEW'!$B$19:$B$201)-COUNT('Бланк OLD 0.8 04'!$B$18:$B$200),'Бланк OLD 2.0 04 '!$B$16:$K$200,9,0)="","",VLOOKUP($A144-COUNT('Шаг2.Бланк заказа NEW'!$B$19:$B$201)-COUNT('Бланк OLD 0.8 04'!$B$18:$B$200),'Бланк OLD 2.0 04 '!$B$16:$K$200,9,0)))</f>
        <v/>
      </c>
      <c r="M144" s="154" t="str">
        <f t="shared" ca="1" si="10"/>
        <v/>
      </c>
      <c r="N144" s="153" t="str">
        <f ca="1">IFERROR(IF(VLOOKUP($A144,'Шаг2.Бланк заказа NEW'!$B$17:$N$201,11,0)="","",VLOOKUP($A144,'Шаг2.Бланк заказа NEW'!$B$17:$N$201,11,0)),
"Нет")</f>
        <v/>
      </c>
      <c r="O144" s="147" t="str">
        <f ca="1">IFERROR(IF(VLOOKUP($A144,'Шаг2.Бланк заказа NEW'!$B$17:$N$201,11,0)="","",VLOOKUP($A144,'Шаг2.Бланк заказа NEW'!$B$17:$N$201,12,0)),
"Нет")</f>
        <v/>
      </c>
      <c r="P144" s="153" t="str">
        <f ca="1">IFERROR(IF(VLOOKUP($A144,'Шаг2.Бланк заказа NEW'!$B$17:$N$201,13,0)="","",VLOOKUP($A144,'Шаг2.Бланк заказа NEW'!$B$17:$N$201,13,0)),
"Нет")</f>
        <v/>
      </c>
      <c r="Q144" s="147" t="str">
        <f ca="1">IFERROR(IF(VLOOKUP($A144,'Шаг2.Бланк заказа NEW'!$B$17:$O$201,14,0)="","",VLOOKUP($A144,'Шаг2.Бланк заказа NEW'!$B$17:$O$201,14,0)),"")</f>
        <v/>
      </c>
      <c r="R144" s="147" t="str">
        <f ca="1">IFERROR(IFERROR(IF(VLOOKUP($A144,'Шаг2.Бланк заказа NEW'!$B$17:$N$201,4,0)="","",VLOOKUP($A144,'Шаг2.Бланк заказа NEW'!$B$17:$N$201,4,0)),
IF(VLOOKUP($A144-COUNT('Шаг2.Бланк заказа NEW'!$B$19:$B$201),'Бланк OLD 0.8 04'!$B$12:$K$200,4,0)&gt;0,0.8,
IF(VLOOKUP($A144-COUNT('Шаг2.Бланк заказа NEW'!$B$19:$B$201),'Бланк OLD 0.8 04'!$B$12:$K$200,5,0)&gt;0,0.4,""))),
IF(VLOOKUP($A144-COUNT('Шаг2.Бланк заказа NEW'!$B$19:$B$201)-COUNT('Бланк OLD 0.8 04'!$B$18:$B$200),'Бланк OLD 2.0 04 '!$B$16:$K$200,4,0)&gt;0,2,IF(VLOOKUP($A144-COUNT('Шаг2.Бланк заказа NEW'!$B$19:$B$201)-COUNT('Бланк OLD 0.8 04'!$B$18:$B$200),'Бланк OLD 2.0 04 '!$B$16:$K$200,5,0)&gt;0,0.4,"")))</f>
        <v/>
      </c>
      <c r="S144" s="147" t="str">
        <f ca="1">IFERROR(IFERROR(IF(VLOOKUP($A144,'Шаг2.Бланк заказа NEW'!$B$17:$N$201,5,0)="","",VLOOKUP($A144,'Шаг2.Бланк заказа NEW'!$B$17:$N$201,5,0)),
IF(VLOOKUP($A144-COUNT('Шаг2.Бланк заказа NEW'!$B$19:$B$201),'Бланк OLD 0.8 04'!$B$12:$K$200,4,0)&gt;1,0.8,
IF(VLOOKUP($A144-COUNT('Шаг2.Бланк заказа NEW'!$B$19:$B$201),'Бланк OLD 0.8 04'!$B$12:$K$200,5,0)&gt;1,0.4,
IF(AND(VLOOKUP($A144-COUNT('Шаг2.Бланк заказа NEW'!$B$19:$B$201),'Бланк OLD 0.8 04'!$B$12:$K$200,4,0)&gt;0,VLOOKUP($A144-COUNT('Шаг2.Бланк заказа NEW'!$B$19:$B$201),'Бланк OLD 0.8 04'!$B$12:$K$200,5,0)&gt;0),0.4,"")))),
IF(VLOOKUP($A144-COUNT('Шаг2.Бланк заказа NEW'!$B$19:$B$201)-COUNT('Бланк OLD 0.8 04'!$B$18:$B$200),'Бланк OLD 2.0 04 '!$B$16:$K$200,4,0)&gt;1,2,
IF(VLOOKUP($A144-COUNT('Шаг2.Бланк заказа NEW'!$B$19:$B$201)-COUNT('Бланк OLD 0.8 04'!$B$18:$B$200),'Бланк OLD 2.0 04 '!$B$16:$K$200,5,0)&gt;1,0.4,IF(AND(VLOOKUP($A144-COUNT('Шаг2.Бланк заказа NEW'!$B$19:$B$201)-COUNT('Бланк OLD 0.8 04'!$B$18:$B$200),'Бланк OLD 2.0 04 '!$B$16:$K$200,4,0)&gt;0,VLOOKUP($A144-COUNT('Шаг2.Бланк заказа NEW'!$B$19:$B$201)-COUNT('Бланк OLD 0.8 04'!$B$18:$B$200),'Бланк OLD 2.0 04 '!$B$16:$K$200,5,0)&gt;0),0.4,""))))</f>
        <v/>
      </c>
      <c r="T144" s="147" t="str">
        <f ca="1">IFERROR(IFERROR(IF(VLOOKUP($A144,'Шаг2.Бланк заказа NEW'!$B$17:$N$201,7,0)="","",VLOOKUP($A144,'Шаг2.Бланк заказа NEW'!$B$17:$N$201,7,0)),
IF(VLOOKUP($A144-COUNT('Шаг2.Бланк заказа NEW'!$B$19:$B$201),'Бланк OLD 0.8 04'!$B$12:$K$200,7,0)&gt;0,0.8,
IF(VLOOKUP($A144-COUNT('Шаг2.Бланк заказа NEW'!$B$19:$B$201),'Бланк OLD 0.8 04'!$B$12:$K$200,8,0)&gt;0,0.4,""))),
IF(VLOOKUP($A144-COUNT('Шаг2.Бланк заказа NEW'!$B$19:$B$201)-COUNT('Бланк OLD 0.8 04'!$B$18:$B$200),'Бланк OLD 2.0 04 '!$B$16:$K$200,7,0)&gt;0,2,IF(VLOOKUP($A144-COUNT('Шаг2.Бланк заказа NEW'!$B$19:$B$201)-COUNT('Бланк OLD 0.8 04'!$B$18:$B$200),'Бланк OLD 2.0 04 '!$B$16:$K$200,8,0)&gt;0,0.4,"")))</f>
        <v/>
      </c>
      <c r="U144" s="147" t="str">
        <f ca="1">IFERROR(IFERROR(IF(VLOOKUP($A144,'Шаг2.Бланк заказа NEW'!$B$17:$N$201,8,0)="","",VLOOKUP($A144,'Шаг2.Бланк заказа NEW'!$B$17:$N$201,8,0)),
IF(VLOOKUP($A144-COUNT('Шаг2.Бланк заказа NEW'!$B$19:$B$201),'Бланк OLD 0.8 04'!$B$12:$K$200,7,0)&gt;1,0.8,
IF(VLOOKUP($A144-COUNT('Шаг2.Бланк заказа NEW'!$B$19:$B$201),'Бланк OLD 0.8 04'!$B$12:$K$200,8,0)&gt;1,0.4,
IF(AND(VLOOKUP($A144-COUNT('Шаг2.Бланк заказа NEW'!$B$19:$B$201),'Бланк OLD 0.8 04'!$B$12:$K$200,7,0)&gt;0,VLOOKUP($A144-COUNT('Шаг2.Бланк заказа NEW'!$B$19:$B$201),'Бланк OLD 0.8 04'!$B$12:$K$200,8,0)&gt;0),0.4,"")))),
IF(VLOOKUP($A144-COUNT('Шаг2.Бланк заказа NEW'!$B$19:$B$201)-COUNT('Бланк OLD 0.8 04'!$B$18:$B$200),'Бланк OLD 2.0 04 '!$B$16:$K$200,7,0)&gt;1,2,
IF(VLOOKUP($A144-COUNT('Шаг2.Бланк заказа NEW'!$B$19:$B$201)-COUNT('Бланк OLD 0.8 04'!$B$18:$B$200),'Бланк OLD 2.0 04 '!$B$16:$K$200,8,0)&gt;1,0.4,
IF(AND(VLOOKUP($A144-COUNT('Шаг2.Бланк заказа NEW'!$B$19:$B$201)-COUNT('Бланк OLD 0.8 04'!$B$18:$B$200),'Бланк OLD 2.0 04 '!$B$16:$K$200,7,0)&gt;0,VLOOKUP($A144-COUNT('Шаг2.Бланк заказа NEW'!$B$19:$B$201)-COUNT('Бланк OLD 0.8 04'!$B$18:$B$200),'Бланк OLD 2.0 04 '!$B$16:$K$200,8,0)&gt;0),0.4,""))))</f>
        <v/>
      </c>
      <c r="V144" s="146" t="str">
        <f ca="1">IFERROR(VLOOKUP(C144,'Шаг1.Выбор плиты'!C:S,12,0),"")</f>
        <v/>
      </c>
      <c r="W144" s="146" t="str">
        <f ca="1">IFERROR(VLOOKUP(C144,'Шаг1.Выбор плиты'!C:S,8,0),"")</f>
        <v/>
      </c>
      <c r="X144" s="146" t="str">
        <f ca="1">IFERROR(VLOOKUP(C144,'Шаг1.Выбор плиты'!C:S,10,0),"")</f>
        <v/>
      </c>
      <c r="Y144" s="147" t="str">
        <f t="shared" ca="1" si="13"/>
        <v/>
      </c>
      <c r="AD144" s="147" t="str">
        <f t="shared" ca="1" si="11"/>
        <v/>
      </c>
      <c r="AE144" s="147" t="str">
        <f t="shared" ca="1" si="14"/>
        <v/>
      </c>
      <c r="AF144" s="25"/>
      <c r="AH144" s="147" t="str">
        <f ca="1">IF(C144="","",VLOOKUP(C144,'Шаг1.Выбор плиты'!C:Q,7,0))</f>
        <v/>
      </c>
      <c r="AI144" s="147" t="str">
        <f t="shared" ca="1" si="12"/>
        <v/>
      </c>
    </row>
    <row r="145" spans="1:35" x14ac:dyDescent="0.2">
      <c r="A145" s="151" t="str">
        <f ca="1">IF(C145="","",MAX($A$1:OFFSET(C145,-1,0))+1)</f>
        <v/>
      </c>
      <c r="B145" s="151" t="str">
        <f ca="1">IFERROR(IFERROR(IFERROR("Шаг2.Бланк заказа NEW №"&amp;VLOOKUP(A144+1,CHOOSE({1,2},'Шаг2.Бланк заказа NEW'!$B$19:$B$201,'Шаг2.Бланк заказа NEW'!$A$19:$A$201),1,0),
"Бланк OLD 0.8 04 №"&amp;VLOOKUP(A144+1-COUNT('Шаг2.Бланк заказа NEW'!$B$19:$B$201),CHOOSE({1,2},'Бланк OLD 0.8 04'!$B$18:$B$200,'Бланк OLD 0.8 04'!$A$18:$A$200),1,0)),
"Бланк OLD 2.0 04 №"&amp;VLOOKUP(A144+1-COUNT('Шаг2.Бланк заказа NEW'!$B$19:$B$201)-COUNT('Бланк OLD 0.8 04'!$B$18:$B$200),CHOOSE({1,2},'Бланк OLD 2.0 04 '!$B$18:$B$200,'Бланк OLD 2.0 04 '!$A$18:$A$200),1,0)),"")</f>
        <v/>
      </c>
      <c r="C145" s="152" t="str">
        <f ca="1">IFERROR(IFERROR(IFERROR(VLOOKUP(A144+1,CHOOSE({1,2},'Шаг2.Бланк заказа NEW'!$B$19:$B$201,'Шаг2.Бланк заказа NEW'!$A$19:$A$201),2,0),
VLOOKUP(A144+1-COUNT('Шаг2.Бланк заказа NEW'!$B$19:$B$201),CHOOSE({1,2},'Бланк OLD 0.8 04'!$B$18:$B$200,'Бланк OLD 0.8 04'!$A$18:$A$200),2,0)),
VLOOKUP(A144+1-COUNT('Шаг2.Бланк заказа NEW'!$B$19:$B$201)-COUNT('Бланк OLD 0.8 04'!$B$18:$B$200),CHOOSE({1,2},'Бланк OLD 2.0 04 '!$B$18:$B$200,'Бланк OLD 2.0 04 '!$A$18:$A$200),2,0)),"")</f>
        <v/>
      </c>
      <c r="D145" s="150" t="str">
        <f ca="1">IFERROR(VLOOKUP(C145,'Шаг1.Выбор плиты'!C:G,5,0),"")</f>
        <v/>
      </c>
      <c r="E145" s="147" t="str">
        <f ca="1">IFERROR(IFERROR(IF(VLOOKUP($A145,'Шаг2.Бланк заказа NEW'!$B$17:$N$201,2,0)="","",VLOOKUP($A145,'Шаг2.Бланк заказа NEW'!$B$17:$N$201,2,0)),
IF(VLOOKUP($A145-COUNT('Шаг2.Бланк заказа NEW'!$B$19:$B$201),'Бланк OLD 0.8 04'!$B$12:$K$200,2,0)="","",VLOOKUP($A145-COUNT('Шаг2.Бланк заказа NEW'!$B$19:$B$201),'Бланк OLD 0.8 04'!$B$12:$K$200,2,0))),
IF(VLOOKUP($A145-COUNT('Шаг2.Бланк заказа NEW'!$B$19:$B$201)-COUNT('Бланк OLD 0.8 04'!$B$18:$B$200),'Бланк OLD 2.0 04 '!$B$16:$K$200,2,0)="","",VLOOKUP($A145-COUNT('Шаг2.Бланк заказа NEW'!$B$19:$B$201)-COUNT('Бланк OLD 0.8 04'!$B$18:$B$200),'Бланк OLD 2.0 04 '!$B$16:$K$200,2,0)))</f>
        <v/>
      </c>
      <c r="F145" s="147" t="str">
        <f ca="1">IFERROR(IFERROR(IF(VLOOKUP($A145,'Шаг2.Бланк заказа NEW'!$B$17:$N$201,3,0)="","",VLOOKUP($A145,'Шаг2.Бланк заказа NEW'!$B$17:$N$201,3,0)),
IF(VLOOKUP($A145-COUNT('Шаг2.Бланк заказа NEW'!$B$19:$B$201),'Бланк OLD 0.8 04'!$B$12:$K$200,3,0)="","",VLOOKUP($A145-COUNT('Шаг2.Бланк заказа NEW'!$B$19:$B$201),'Бланк OLD 0.8 04'!$B$12:$K$200,3,0))),
IF(VLOOKUP($A145-COUNT('Шаг2.Бланк заказа NEW'!$B$19:$B$201)-COUNT('Бланк OLD 0.8 04'!$B$18:$B$200),'Бланк OLD 2.0 04 '!$B$16:$K$200,3,0)="","",VLOOKUP($A145-COUNT('Шаг2.Бланк заказа NEW'!$B$19:$B$201)-COUNT('Бланк OLD 0.8 04'!$B$18:$B$200),'Бланк OLD 2.0 04 '!$B$16:$K$200,3,0)))</f>
        <v/>
      </c>
      <c r="G145" s="176" t="str">
        <f ca="1">IF(IF(R145="","",IF(R145=1,SUMIFS('Шаг1.Выбор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плиты'!C:Q,12,0)),1))))))=0,
R145,
IF(R145="","",IF(R145=1,SUMIFS('Шаг1.Выбор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плиты'!N:N,R145,'Шаг1.Выбор плиты'!M:M,SMALL(INDIRECT("мм"&amp;VLOOKUP(C145,'Шаг1.Выбор плиты'!C:Q,12,0)),1)))))))</f>
        <v/>
      </c>
      <c r="H145" s="177" t="str">
        <f ca="1">IF(IF(S145="","",IF(S145=1,SUMIFS('Шаг1.Выбор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плиты'!C:Q,12,0)),1))))))=0,
S145,
IF(S145="","",IF(S145=1,SUMIFS('Шаг1.Выбор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плиты'!N:N,S145,'Шаг1.Выбор плиты'!M:M,SMALL(INDIRECT("мм"&amp;VLOOKUP(C145,'Шаг1.Выбор плиты'!C:Q,12,0)),1)))))))</f>
        <v/>
      </c>
      <c r="I145" s="147" t="str">
        <f ca="1">IFERROR(IFERROR(IF(VLOOKUP($A145,'Шаг2.Бланк заказа NEW'!$B$17:$N$201,6,0)="","",VLOOKUP($A145,'Шаг2.Бланк заказа NEW'!$B$17:$N$201,6,0)),
IF(VLOOKUP($A145-COUNT('Шаг2.Бланк заказа NEW'!$B$19:$B$201),'Бланк OLD 0.8 04'!$B$12:$K$200,6,0)="","",VLOOKUP($A145-COUNT('Шаг2.Бланк заказа NEW'!$B$19:$B$201),'Бланк OLD 0.8 04'!$B$12:$K$200,6,0))),
IF(VLOOKUP($A145-COUNT('Шаг2.Бланк заказа NEW'!$B$19:$B$201)-COUNT('Бланк OLD 0.8 04'!$B$18:$B$200),'Бланк OLD 2.0 04 '!$B$16:$K$200,6,0)="","",VLOOKUP($A145-COUNT('Шаг2.Бланк заказа NEW'!$B$19:$B$201)-COUNT('Бланк OLD 0.8 04'!$B$18:$B$200),'Бланк OLD 2.0 04 '!$B$16:$K$200,6,0)))</f>
        <v/>
      </c>
      <c r="J145" s="177" t="str">
        <f ca="1">IF(IF(T145="","",IF(T145=1,SUMIFS('Шаг1.Выбор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плиты'!C:Q,12,0)),1))))))=0,
T145,
IF(T145="","",IF(T145=1,SUMIFS('Шаг1.Выбор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плиты'!N:N,T145,'Шаг1.Выбор плиты'!M:M,SMALL(INDIRECT("мм"&amp;VLOOKUP(C145,'Шаг1.Выбор плиты'!C:Q,12,0)),1)))))))</f>
        <v/>
      </c>
      <c r="K145" s="177" t="str">
        <f ca="1">IF(IF(U145="","",IF(U145=1,SUMIFS('Шаг1.Выбор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плиты'!C:Q,12,0)),1))))))=0,
U145,
IF(U145="","",IF(U145=1,SUMIFS('Шаг1.Выбор плиты'!$G:$G,'Шаг1.Выбор плиты'!J:J,"*"&amp;RIGHT(VLOOKUP(C145,'Шаг1.Выбор плиты'!C:Q,8,0),4),'Шаг1.Выбор плиты'!L:L,IF(MID(C145,1,6)="ЛДСП P","TM"&amp;MID(VLOOKUP(C145,'Шаг1.Выбор плиты'!C:Q,10,0),3,2),MID(VLOOKUP(C145,'Шаг1.Выбор плиты'!C:Q,10,0),1,2)),
'Шаг1.Выбор плиты'!N:N,1),IF(SUMIFS('Шаг1.Выбор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плиты'!C:Q,12,0)),1))=0,
IF(SUMIFS('Шаг1.Выбор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плиты'!C:Q,12,0)),2))=0,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плиты'!C:Q,12,0)),3)),
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плиты'!C:Q,12,0)),2))),
(SUMIFS('Шаг1.Выбор плиты'!$G:$G,'Шаг1.Выбор плиты'!J:J,"*"&amp;RIGHT(VLOOKUP(C145,'Шаг1.Выбор плиты'!C:Q,8,0),4),'Шаг1.Выбор плиты'!L:L,VLOOKUP(C145,'Шаг1.Выбор плиты'!C:Q,10,0),'Шаг1.Выбор плиты'!N:N,U145,'Шаг1.Выбор плиты'!M:M,SMALL(INDIRECT("мм"&amp;VLOOKUP(C145,'Шаг1.Выбор плиты'!C:Q,12,0)),1)))))))</f>
        <v/>
      </c>
      <c r="L145" s="147" t="str">
        <f ca="1">IFERROR(IFERROR(IF(VLOOKUP($A145,'Шаг2.Бланк заказа NEW'!$B$17:$N$201,9,0)="","",VLOOKUP($A145,'Шаг2.Бланк заказа NEW'!$B$17:$N$201,9,0)),
IF(VLOOKUP($A145-COUNT('Шаг2.Бланк заказа NEW'!$B$19:$B$201),'Бланк OLD 0.8 04'!$B$12:$K$200,9,0)="","",VLOOKUP($A145-COUNT('Шаг2.Бланк заказа NEW'!$B$19:$B$201),'Бланк OLD 0.8 04'!$B$12:$K$200,9,0))),
IF(VLOOKUP($A145-COUNT('Шаг2.Бланк заказа NEW'!$B$19:$B$201)-COUNT('Бланк OLD 0.8 04'!$B$18:$B$200),'Бланк OLD 2.0 04 '!$B$16:$K$200,9,0)="","",VLOOKUP($A145-COUNT('Шаг2.Бланк заказа NEW'!$B$19:$B$201)-COUNT('Бланк OLD 0.8 04'!$B$18:$B$200),'Бланк OLD 2.0 04 '!$B$16:$K$200,9,0)))</f>
        <v/>
      </c>
      <c r="M145" s="154" t="str">
        <f t="shared" ca="1" si="10"/>
        <v/>
      </c>
      <c r="N145" s="153" t="str">
        <f ca="1">IFERROR(IF(VLOOKUP($A145,'Шаг2.Бланк заказа NEW'!$B$17:$N$201,11,0)="","",VLOOKUP($A145,'Шаг2.Бланк заказа NEW'!$B$17:$N$201,11,0)),
"Нет")</f>
        <v/>
      </c>
      <c r="O145" s="147" t="str">
        <f ca="1">IFERROR(IF(VLOOKUP($A145,'Шаг2.Бланк заказа NEW'!$B$17:$N$201,11,0)="","",VLOOKUP($A145,'Шаг2.Бланк заказа NEW'!$B$17:$N$201,12,0)),
"Нет")</f>
        <v/>
      </c>
      <c r="P145" s="153" t="str">
        <f ca="1">IFERROR(IF(VLOOKUP($A145,'Шаг2.Бланк заказа NEW'!$B$17:$N$201,13,0)="","",VLOOKUP($A145,'Шаг2.Бланк заказа NEW'!$B$17:$N$201,13,0)),
"Нет")</f>
        <v/>
      </c>
      <c r="Q145" s="147" t="str">
        <f ca="1">IFERROR(IF(VLOOKUP($A145,'Шаг2.Бланк заказа NEW'!$B$17:$O$201,14,0)="","",VLOOKUP($A145,'Шаг2.Бланк заказа NEW'!$B$17:$O$201,14,0)),"")</f>
        <v/>
      </c>
      <c r="R145" s="147" t="str">
        <f ca="1">IFERROR(IFERROR(IF(VLOOKUP($A145,'Шаг2.Бланк заказа NEW'!$B$17:$N$201,4,0)="","",VLOOKUP($A145,'Шаг2.Бланк заказа NEW'!$B$17:$N$201,4,0)),
IF(VLOOKUP($A145-COUNT('Шаг2.Бланк заказа NEW'!$B$19:$B$201),'Бланк OLD 0.8 04'!$B$12:$K$200,4,0)&gt;0,0.8,
IF(VLOOKUP($A145-COUNT('Шаг2.Бланк заказа NEW'!$B$19:$B$201),'Бланк OLD 0.8 04'!$B$12:$K$200,5,0)&gt;0,0.4,""))),
IF(VLOOKUP($A145-COUNT('Шаг2.Бланк заказа NEW'!$B$19:$B$201)-COUNT('Бланк OLD 0.8 04'!$B$18:$B$200),'Бланк OLD 2.0 04 '!$B$16:$K$200,4,0)&gt;0,2,IF(VLOOKUP($A145-COUNT('Шаг2.Бланк заказа NEW'!$B$19:$B$201)-COUNT('Бланк OLD 0.8 04'!$B$18:$B$200),'Бланк OLD 2.0 04 '!$B$16:$K$200,5,0)&gt;0,0.4,"")))</f>
        <v/>
      </c>
      <c r="S145" s="147" t="str">
        <f ca="1">IFERROR(IFERROR(IF(VLOOKUP($A145,'Шаг2.Бланк заказа NEW'!$B$17:$N$201,5,0)="","",VLOOKUP($A145,'Шаг2.Бланк заказа NEW'!$B$17:$N$201,5,0)),
IF(VLOOKUP($A145-COUNT('Шаг2.Бланк заказа NEW'!$B$19:$B$201),'Бланк OLD 0.8 04'!$B$12:$K$200,4,0)&gt;1,0.8,
IF(VLOOKUP($A145-COUNT('Шаг2.Бланк заказа NEW'!$B$19:$B$201),'Бланк OLD 0.8 04'!$B$12:$K$200,5,0)&gt;1,0.4,
IF(AND(VLOOKUP($A145-COUNT('Шаг2.Бланк заказа NEW'!$B$19:$B$201),'Бланк OLD 0.8 04'!$B$12:$K$200,4,0)&gt;0,VLOOKUP($A145-COUNT('Шаг2.Бланк заказа NEW'!$B$19:$B$201),'Бланк OLD 0.8 04'!$B$12:$K$200,5,0)&gt;0),0.4,"")))),
IF(VLOOKUP($A145-COUNT('Шаг2.Бланк заказа NEW'!$B$19:$B$201)-COUNT('Бланк OLD 0.8 04'!$B$18:$B$200),'Бланк OLD 2.0 04 '!$B$16:$K$200,4,0)&gt;1,2,
IF(VLOOKUP($A145-COUNT('Шаг2.Бланк заказа NEW'!$B$19:$B$201)-COUNT('Бланк OLD 0.8 04'!$B$18:$B$200),'Бланк OLD 2.0 04 '!$B$16:$K$200,5,0)&gt;1,0.4,IF(AND(VLOOKUP($A145-COUNT('Шаг2.Бланк заказа NEW'!$B$19:$B$201)-COUNT('Бланк OLD 0.8 04'!$B$18:$B$200),'Бланк OLD 2.0 04 '!$B$16:$K$200,4,0)&gt;0,VLOOKUP($A145-COUNT('Шаг2.Бланк заказа NEW'!$B$19:$B$201)-COUNT('Бланк OLD 0.8 04'!$B$18:$B$200),'Бланк OLD 2.0 04 '!$B$16:$K$200,5,0)&gt;0),0.4,""))))</f>
        <v/>
      </c>
      <c r="T145" s="147" t="str">
        <f ca="1">IFERROR(IFERROR(IF(VLOOKUP($A145,'Шаг2.Бланк заказа NEW'!$B$17:$N$201,7,0)="","",VLOOKUP($A145,'Шаг2.Бланк заказа NEW'!$B$17:$N$201,7,0)),
IF(VLOOKUP($A145-COUNT('Шаг2.Бланк заказа NEW'!$B$19:$B$201),'Бланк OLD 0.8 04'!$B$12:$K$200,7,0)&gt;0,0.8,
IF(VLOOKUP($A145-COUNT('Шаг2.Бланк заказа NEW'!$B$19:$B$201),'Бланк OLD 0.8 04'!$B$12:$K$200,8,0)&gt;0,0.4,""))),
IF(VLOOKUP($A145-COUNT('Шаг2.Бланк заказа NEW'!$B$19:$B$201)-COUNT('Бланк OLD 0.8 04'!$B$18:$B$200),'Бланк OLD 2.0 04 '!$B$16:$K$200,7,0)&gt;0,2,IF(VLOOKUP($A145-COUNT('Шаг2.Бланк заказа NEW'!$B$19:$B$201)-COUNT('Бланк OLD 0.8 04'!$B$18:$B$200),'Бланк OLD 2.0 04 '!$B$16:$K$200,8,0)&gt;0,0.4,"")))</f>
        <v/>
      </c>
      <c r="U145" s="147" t="str">
        <f ca="1">IFERROR(IFERROR(IF(VLOOKUP($A145,'Шаг2.Бланк заказа NEW'!$B$17:$N$201,8,0)="","",VLOOKUP($A145,'Шаг2.Бланк заказа NEW'!$B$17:$N$201,8,0)),
IF(VLOOKUP($A145-COUNT('Шаг2.Бланк заказа NEW'!$B$19:$B$201),'Бланк OLD 0.8 04'!$B$12:$K$200,7,0)&gt;1,0.8,
IF(VLOOKUP($A145-COUNT('Шаг2.Бланк заказа NEW'!$B$19:$B$201),'Бланк OLD 0.8 04'!$B$12:$K$200,8,0)&gt;1,0.4,
IF(AND(VLOOKUP($A145-COUNT('Шаг2.Бланк заказа NEW'!$B$19:$B$201),'Бланк OLD 0.8 04'!$B$12:$K$200,7,0)&gt;0,VLOOKUP($A145-COUNT('Шаг2.Бланк заказа NEW'!$B$19:$B$201),'Бланк OLD 0.8 04'!$B$12:$K$200,8,0)&gt;0),0.4,"")))),
IF(VLOOKUP($A145-COUNT('Шаг2.Бланк заказа NEW'!$B$19:$B$201)-COUNT('Бланк OLD 0.8 04'!$B$18:$B$200),'Бланк OLD 2.0 04 '!$B$16:$K$200,7,0)&gt;1,2,
IF(VLOOKUP($A145-COUNT('Шаг2.Бланк заказа NEW'!$B$19:$B$201)-COUNT('Бланк OLD 0.8 04'!$B$18:$B$200),'Бланк OLD 2.0 04 '!$B$16:$K$200,8,0)&gt;1,0.4,
IF(AND(VLOOKUP($A145-COUNT('Шаг2.Бланк заказа NEW'!$B$19:$B$201)-COUNT('Бланк OLD 0.8 04'!$B$18:$B$200),'Бланк OLD 2.0 04 '!$B$16:$K$200,7,0)&gt;0,VLOOKUP($A145-COUNT('Шаг2.Бланк заказа NEW'!$B$19:$B$201)-COUNT('Бланк OLD 0.8 04'!$B$18:$B$200),'Бланк OLD 2.0 04 '!$B$16:$K$200,8,0)&gt;0),0.4,""))))</f>
        <v/>
      </c>
      <c r="V145" s="146" t="str">
        <f ca="1">IFERROR(VLOOKUP(C145,'Шаг1.Выбор плиты'!C:S,12,0),"")</f>
        <v/>
      </c>
      <c r="W145" s="146" t="str">
        <f ca="1">IFERROR(VLOOKUP(C145,'Шаг1.Выбор плиты'!C:S,8,0),"")</f>
        <v/>
      </c>
      <c r="X145" s="146" t="str">
        <f ca="1">IFERROR(VLOOKUP(C145,'Шаг1.Выбор плиты'!C:S,10,0),"")</f>
        <v/>
      </c>
      <c r="Y145" s="147" t="str">
        <f t="shared" ca="1" si="13"/>
        <v/>
      </c>
      <c r="AD145" s="147" t="str">
        <f t="shared" ca="1" si="11"/>
        <v/>
      </c>
      <c r="AE145" s="147" t="str">
        <f t="shared" ca="1" si="14"/>
        <v/>
      </c>
      <c r="AF145" s="25"/>
      <c r="AH145" s="147" t="str">
        <f ca="1">IF(C145="","",VLOOKUP(C145,'Шаг1.Выбор плиты'!C:Q,7,0))</f>
        <v/>
      </c>
      <c r="AI145" s="147" t="str">
        <f t="shared" ca="1" si="12"/>
        <v/>
      </c>
    </row>
    <row r="146" spans="1:35" x14ac:dyDescent="0.2">
      <c r="A146" s="151" t="str">
        <f ca="1">IF(C146="","",MAX($A$1:OFFSET(C146,-1,0))+1)</f>
        <v/>
      </c>
      <c r="B146" s="151" t="str">
        <f ca="1">IFERROR(IFERROR(IFERROR("Шаг2.Бланк заказа NEW №"&amp;VLOOKUP(A145+1,CHOOSE({1,2},'Шаг2.Бланк заказа NEW'!$B$19:$B$201,'Шаг2.Бланк заказа NEW'!$A$19:$A$201),1,0),
"Бланк OLD 0.8 04 №"&amp;VLOOKUP(A145+1-COUNT('Шаг2.Бланк заказа NEW'!$B$19:$B$201),CHOOSE({1,2},'Бланк OLD 0.8 04'!$B$18:$B$200,'Бланк OLD 0.8 04'!$A$18:$A$200),1,0)),
"Бланк OLD 2.0 04 №"&amp;VLOOKUP(A145+1-COUNT('Шаг2.Бланк заказа NEW'!$B$19:$B$201)-COUNT('Бланк OLD 0.8 04'!$B$18:$B$200),CHOOSE({1,2},'Бланк OLD 2.0 04 '!$B$18:$B$200,'Бланк OLD 2.0 04 '!$A$18:$A$200),1,0)),"")</f>
        <v/>
      </c>
      <c r="C146" s="152" t="str">
        <f ca="1">IFERROR(IFERROR(IFERROR(VLOOKUP(A145+1,CHOOSE({1,2},'Шаг2.Бланк заказа NEW'!$B$19:$B$201,'Шаг2.Бланк заказа NEW'!$A$19:$A$201),2,0),
VLOOKUP(A145+1-COUNT('Шаг2.Бланк заказа NEW'!$B$19:$B$201),CHOOSE({1,2},'Бланк OLD 0.8 04'!$B$18:$B$200,'Бланк OLD 0.8 04'!$A$18:$A$200),2,0)),
VLOOKUP(A145+1-COUNT('Шаг2.Бланк заказа NEW'!$B$19:$B$201)-COUNT('Бланк OLD 0.8 04'!$B$18:$B$200),CHOOSE({1,2},'Бланк OLD 2.0 04 '!$B$18:$B$200,'Бланк OLD 2.0 04 '!$A$18:$A$200),2,0)),"")</f>
        <v/>
      </c>
      <c r="D146" s="150" t="str">
        <f ca="1">IFERROR(VLOOKUP(C146,'Шаг1.Выбор плиты'!C:G,5,0),"")</f>
        <v/>
      </c>
      <c r="E146" s="147" t="str">
        <f ca="1">IFERROR(IFERROR(IF(VLOOKUP($A146,'Шаг2.Бланк заказа NEW'!$B$17:$N$201,2,0)="","",VLOOKUP($A146,'Шаг2.Бланк заказа NEW'!$B$17:$N$201,2,0)),
IF(VLOOKUP($A146-COUNT('Шаг2.Бланк заказа NEW'!$B$19:$B$201),'Бланк OLD 0.8 04'!$B$12:$K$200,2,0)="","",VLOOKUP($A146-COUNT('Шаг2.Бланк заказа NEW'!$B$19:$B$201),'Бланк OLD 0.8 04'!$B$12:$K$200,2,0))),
IF(VLOOKUP($A146-COUNT('Шаг2.Бланк заказа NEW'!$B$19:$B$201)-COUNT('Бланк OLD 0.8 04'!$B$18:$B$200),'Бланк OLD 2.0 04 '!$B$16:$K$200,2,0)="","",VLOOKUP($A146-COUNT('Шаг2.Бланк заказа NEW'!$B$19:$B$201)-COUNT('Бланк OLD 0.8 04'!$B$18:$B$200),'Бланк OLD 2.0 04 '!$B$16:$K$200,2,0)))</f>
        <v/>
      </c>
      <c r="F146" s="147" t="str">
        <f ca="1">IFERROR(IFERROR(IF(VLOOKUP($A146,'Шаг2.Бланк заказа NEW'!$B$17:$N$201,3,0)="","",VLOOKUP($A146,'Шаг2.Бланк заказа NEW'!$B$17:$N$201,3,0)),
IF(VLOOKUP($A146-COUNT('Шаг2.Бланк заказа NEW'!$B$19:$B$201),'Бланк OLD 0.8 04'!$B$12:$K$200,3,0)="","",VLOOKUP($A146-COUNT('Шаг2.Бланк заказа NEW'!$B$19:$B$201),'Бланк OLD 0.8 04'!$B$12:$K$200,3,0))),
IF(VLOOKUP($A146-COUNT('Шаг2.Бланк заказа NEW'!$B$19:$B$201)-COUNT('Бланк OLD 0.8 04'!$B$18:$B$200),'Бланк OLD 2.0 04 '!$B$16:$K$200,3,0)="","",VLOOKUP($A146-COUNT('Шаг2.Бланк заказа NEW'!$B$19:$B$201)-COUNT('Бланк OLD 0.8 04'!$B$18:$B$200),'Бланк OLD 2.0 04 '!$B$16:$K$200,3,0)))</f>
        <v/>
      </c>
      <c r="G146" s="176" t="str">
        <f ca="1">IF(IF(R146="","",IF(R146=1,SUMIFS('Шаг1.Выбор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плиты'!C:Q,12,0)),1))))))=0,
R146,
IF(R146="","",IF(R146=1,SUMIFS('Шаг1.Выбор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плиты'!N:N,R146,'Шаг1.Выбор плиты'!M:M,SMALL(INDIRECT("мм"&amp;VLOOKUP(C146,'Шаг1.Выбор плиты'!C:Q,12,0)),1)))))))</f>
        <v/>
      </c>
      <c r="H146" s="177" t="str">
        <f ca="1">IF(IF(S146="","",IF(S146=1,SUMIFS('Шаг1.Выбор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плиты'!C:Q,12,0)),1))))))=0,
S146,
IF(S146="","",IF(S146=1,SUMIFS('Шаг1.Выбор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плиты'!N:N,S146,'Шаг1.Выбор плиты'!M:M,SMALL(INDIRECT("мм"&amp;VLOOKUP(C146,'Шаг1.Выбор плиты'!C:Q,12,0)),1)))))))</f>
        <v/>
      </c>
      <c r="I146" s="147" t="str">
        <f ca="1">IFERROR(IFERROR(IF(VLOOKUP($A146,'Шаг2.Бланк заказа NEW'!$B$17:$N$201,6,0)="","",VLOOKUP($A146,'Шаг2.Бланк заказа NEW'!$B$17:$N$201,6,0)),
IF(VLOOKUP($A146-COUNT('Шаг2.Бланк заказа NEW'!$B$19:$B$201),'Бланк OLD 0.8 04'!$B$12:$K$200,6,0)="","",VLOOKUP($A146-COUNT('Шаг2.Бланк заказа NEW'!$B$19:$B$201),'Бланк OLD 0.8 04'!$B$12:$K$200,6,0))),
IF(VLOOKUP($A146-COUNT('Шаг2.Бланк заказа NEW'!$B$19:$B$201)-COUNT('Бланк OLD 0.8 04'!$B$18:$B$200),'Бланк OLD 2.0 04 '!$B$16:$K$200,6,0)="","",VLOOKUP($A146-COUNT('Шаг2.Бланк заказа NEW'!$B$19:$B$201)-COUNT('Бланк OLD 0.8 04'!$B$18:$B$200),'Бланк OLD 2.0 04 '!$B$16:$K$200,6,0)))</f>
        <v/>
      </c>
      <c r="J146" s="177" t="str">
        <f ca="1">IF(IF(T146="","",IF(T146=1,SUMIFS('Шаг1.Выбор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плиты'!C:Q,12,0)),1))))))=0,
T146,
IF(T146="","",IF(T146=1,SUMIFS('Шаг1.Выбор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плиты'!N:N,T146,'Шаг1.Выбор плиты'!M:M,SMALL(INDIRECT("мм"&amp;VLOOKUP(C146,'Шаг1.Выбор плиты'!C:Q,12,0)),1)))))))</f>
        <v/>
      </c>
      <c r="K146" s="177" t="str">
        <f ca="1">IF(IF(U146="","",IF(U146=1,SUMIFS('Шаг1.Выбор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плиты'!C:Q,12,0)),1))))))=0,
U146,
IF(U146="","",IF(U146=1,SUMIFS('Шаг1.Выбор плиты'!$G:$G,'Шаг1.Выбор плиты'!J:J,"*"&amp;RIGHT(VLOOKUP(C146,'Шаг1.Выбор плиты'!C:Q,8,0),4),'Шаг1.Выбор плиты'!L:L,IF(MID(C146,1,6)="ЛДСП P","TM"&amp;MID(VLOOKUP(C146,'Шаг1.Выбор плиты'!C:Q,10,0),3,2),MID(VLOOKUP(C146,'Шаг1.Выбор плиты'!C:Q,10,0),1,2)),
'Шаг1.Выбор плиты'!N:N,1),IF(SUMIFS('Шаг1.Выбор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плиты'!C:Q,12,0)),1))=0,
IF(SUMIFS('Шаг1.Выбор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плиты'!C:Q,12,0)),2))=0,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плиты'!C:Q,12,0)),3)),
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плиты'!C:Q,12,0)),2))),
(SUMIFS('Шаг1.Выбор плиты'!$G:$G,'Шаг1.Выбор плиты'!J:J,"*"&amp;RIGHT(VLOOKUP(C146,'Шаг1.Выбор плиты'!C:Q,8,0),4),'Шаг1.Выбор плиты'!L:L,VLOOKUP(C146,'Шаг1.Выбор плиты'!C:Q,10,0),'Шаг1.Выбор плиты'!N:N,U146,'Шаг1.Выбор плиты'!M:M,SMALL(INDIRECT("мм"&amp;VLOOKUP(C146,'Шаг1.Выбор плиты'!C:Q,12,0)),1)))))))</f>
        <v/>
      </c>
      <c r="L146" s="147" t="str">
        <f ca="1">IFERROR(IFERROR(IF(VLOOKUP($A146,'Шаг2.Бланк заказа NEW'!$B$17:$N$201,9,0)="","",VLOOKUP($A146,'Шаг2.Бланк заказа NEW'!$B$17:$N$201,9,0)),
IF(VLOOKUP($A146-COUNT('Шаг2.Бланк заказа NEW'!$B$19:$B$201),'Бланк OLD 0.8 04'!$B$12:$K$200,9,0)="","",VLOOKUP($A146-COUNT('Шаг2.Бланк заказа NEW'!$B$19:$B$201),'Бланк OLD 0.8 04'!$B$12:$K$200,9,0))),
IF(VLOOKUP($A146-COUNT('Шаг2.Бланк заказа NEW'!$B$19:$B$201)-COUNT('Бланк OLD 0.8 04'!$B$18:$B$200),'Бланк OLD 2.0 04 '!$B$16:$K$200,9,0)="","",VLOOKUP($A146-COUNT('Шаг2.Бланк заказа NEW'!$B$19:$B$201)-COUNT('Бланк OLD 0.8 04'!$B$18:$B$200),'Бланк OLD 2.0 04 '!$B$16:$K$200,9,0)))</f>
        <v/>
      </c>
      <c r="M146" s="154" t="str">
        <f t="shared" ca="1" si="10"/>
        <v/>
      </c>
      <c r="N146" s="153" t="str">
        <f ca="1">IFERROR(IF(VLOOKUP($A146,'Шаг2.Бланк заказа NEW'!$B$17:$N$201,11,0)="","",VLOOKUP($A146,'Шаг2.Бланк заказа NEW'!$B$17:$N$201,11,0)),
"Нет")</f>
        <v/>
      </c>
      <c r="O146" s="147" t="str">
        <f ca="1">IFERROR(IF(VLOOKUP($A146,'Шаг2.Бланк заказа NEW'!$B$17:$N$201,11,0)="","",VLOOKUP($A146,'Шаг2.Бланк заказа NEW'!$B$17:$N$201,12,0)),
"Нет")</f>
        <v/>
      </c>
      <c r="P146" s="153" t="str">
        <f ca="1">IFERROR(IF(VLOOKUP($A146,'Шаг2.Бланк заказа NEW'!$B$17:$N$201,13,0)="","",VLOOKUP($A146,'Шаг2.Бланк заказа NEW'!$B$17:$N$201,13,0)),
"Нет")</f>
        <v/>
      </c>
      <c r="Q146" s="147" t="str">
        <f ca="1">IFERROR(IF(VLOOKUP($A146,'Шаг2.Бланк заказа NEW'!$B$17:$O$201,14,0)="","",VLOOKUP($A146,'Шаг2.Бланк заказа NEW'!$B$17:$O$201,14,0)),"")</f>
        <v/>
      </c>
      <c r="R146" s="147" t="str">
        <f ca="1">IFERROR(IFERROR(IF(VLOOKUP($A146,'Шаг2.Бланк заказа NEW'!$B$17:$N$201,4,0)="","",VLOOKUP($A146,'Шаг2.Бланк заказа NEW'!$B$17:$N$201,4,0)),
IF(VLOOKUP($A146-COUNT('Шаг2.Бланк заказа NEW'!$B$19:$B$201),'Бланк OLD 0.8 04'!$B$12:$K$200,4,0)&gt;0,0.8,
IF(VLOOKUP($A146-COUNT('Шаг2.Бланк заказа NEW'!$B$19:$B$201),'Бланк OLD 0.8 04'!$B$12:$K$200,5,0)&gt;0,0.4,""))),
IF(VLOOKUP($A146-COUNT('Шаг2.Бланк заказа NEW'!$B$19:$B$201)-COUNT('Бланк OLD 0.8 04'!$B$18:$B$200),'Бланк OLD 2.0 04 '!$B$16:$K$200,4,0)&gt;0,2,IF(VLOOKUP($A146-COUNT('Шаг2.Бланк заказа NEW'!$B$19:$B$201)-COUNT('Бланк OLD 0.8 04'!$B$18:$B$200),'Бланк OLD 2.0 04 '!$B$16:$K$200,5,0)&gt;0,0.4,"")))</f>
        <v/>
      </c>
      <c r="S146" s="147" t="str">
        <f ca="1">IFERROR(IFERROR(IF(VLOOKUP($A146,'Шаг2.Бланк заказа NEW'!$B$17:$N$201,5,0)="","",VLOOKUP($A146,'Шаг2.Бланк заказа NEW'!$B$17:$N$201,5,0)),
IF(VLOOKUP($A146-COUNT('Шаг2.Бланк заказа NEW'!$B$19:$B$201),'Бланк OLD 0.8 04'!$B$12:$K$200,4,0)&gt;1,0.8,
IF(VLOOKUP($A146-COUNT('Шаг2.Бланк заказа NEW'!$B$19:$B$201),'Бланк OLD 0.8 04'!$B$12:$K$200,5,0)&gt;1,0.4,
IF(AND(VLOOKUP($A146-COUNT('Шаг2.Бланк заказа NEW'!$B$19:$B$201),'Бланк OLD 0.8 04'!$B$12:$K$200,4,0)&gt;0,VLOOKUP($A146-COUNT('Шаг2.Бланк заказа NEW'!$B$19:$B$201),'Бланк OLD 0.8 04'!$B$12:$K$200,5,0)&gt;0),0.4,"")))),
IF(VLOOKUP($A146-COUNT('Шаг2.Бланк заказа NEW'!$B$19:$B$201)-COUNT('Бланк OLD 0.8 04'!$B$18:$B$200),'Бланк OLD 2.0 04 '!$B$16:$K$200,4,0)&gt;1,2,
IF(VLOOKUP($A146-COUNT('Шаг2.Бланк заказа NEW'!$B$19:$B$201)-COUNT('Бланк OLD 0.8 04'!$B$18:$B$200),'Бланк OLD 2.0 04 '!$B$16:$K$200,5,0)&gt;1,0.4,IF(AND(VLOOKUP($A146-COUNT('Шаг2.Бланк заказа NEW'!$B$19:$B$201)-COUNT('Бланк OLD 0.8 04'!$B$18:$B$200),'Бланк OLD 2.0 04 '!$B$16:$K$200,4,0)&gt;0,VLOOKUP($A146-COUNT('Шаг2.Бланк заказа NEW'!$B$19:$B$201)-COUNT('Бланк OLD 0.8 04'!$B$18:$B$200),'Бланк OLD 2.0 04 '!$B$16:$K$200,5,0)&gt;0),0.4,""))))</f>
        <v/>
      </c>
      <c r="T146" s="147" t="str">
        <f ca="1">IFERROR(IFERROR(IF(VLOOKUP($A146,'Шаг2.Бланк заказа NEW'!$B$17:$N$201,7,0)="","",VLOOKUP($A146,'Шаг2.Бланк заказа NEW'!$B$17:$N$201,7,0)),
IF(VLOOKUP($A146-COUNT('Шаг2.Бланк заказа NEW'!$B$19:$B$201),'Бланк OLD 0.8 04'!$B$12:$K$200,7,0)&gt;0,0.8,
IF(VLOOKUP($A146-COUNT('Шаг2.Бланк заказа NEW'!$B$19:$B$201),'Бланк OLD 0.8 04'!$B$12:$K$200,8,0)&gt;0,0.4,""))),
IF(VLOOKUP($A146-COUNT('Шаг2.Бланк заказа NEW'!$B$19:$B$201)-COUNT('Бланк OLD 0.8 04'!$B$18:$B$200),'Бланк OLD 2.0 04 '!$B$16:$K$200,7,0)&gt;0,2,IF(VLOOKUP($A146-COUNT('Шаг2.Бланк заказа NEW'!$B$19:$B$201)-COUNT('Бланк OLD 0.8 04'!$B$18:$B$200),'Бланк OLD 2.0 04 '!$B$16:$K$200,8,0)&gt;0,0.4,"")))</f>
        <v/>
      </c>
      <c r="U146" s="147" t="str">
        <f ca="1">IFERROR(IFERROR(IF(VLOOKUP($A146,'Шаг2.Бланк заказа NEW'!$B$17:$N$201,8,0)="","",VLOOKUP($A146,'Шаг2.Бланк заказа NEW'!$B$17:$N$201,8,0)),
IF(VLOOKUP($A146-COUNT('Шаг2.Бланк заказа NEW'!$B$19:$B$201),'Бланк OLD 0.8 04'!$B$12:$K$200,7,0)&gt;1,0.8,
IF(VLOOKUP($A146-COUNT('Шаг2.Бланк заказа NEW'!$B$19:$B$201),'Бланк OLD 0.8 04'!$B$12:$K$200,8,0)&gt;1,0.4,
IF(AND(VLOOKUP($A146-COUNT('Шаг2.Бланк заказа NEW'!$B$19:$B$201),'Бланк OLD 0.8 04'!$B$12:$K$200,7,0)&gt;0,VLOOKUP($A146-COUNT('Шаг2.Бланк заказа NEW'!$B$19:$B$201),'Бланк OLD 0.8 04'!$B$12:$K$200,8,0)&gt;0),0.4,"")))),
IF(VLOOKUP($A146-COUNT('Шаг2.Бланк заказа NEW'!$B$19:$B$201)-COUNT('Бланк OLD 0.8 04'!$B$18:$B$200),'Бланк OLD 2.0 04 '!$B$16:$K$200,7,0)&gt;1,2,
IF(VLOOKUP($A146-COUNT('Шаг2.Бланк заказа NEW'!$B$19:$B$201)-COUNT('Бланк OLD 0.8 04'!$B$18:$B$200),'Бланк OLD 2.0 04 '!$B$16:$K$200,8,0)&gt;1,0.4,
IF(AND(VLOOKUP($A146-COUNT('Шаг2.Бланк заказа NEW'!$B$19:$B$201)-COUNT('Бланк OLD 0.8 04'!$B$18:$B$200),'Бланк OLD 2.0 04 '!$B$16:$K$200,7,0)&gt;0,VLOOKUP($A146-COUNT('Шаг2.Бланк заказа NEW'!$B$19:$B$201)-COUNT('Бланк OLD 0.8 04'!$B$18:$B$200),'Бланк OLD 2.0 04 '!$B$16:$K$200,8,0)&gt;0),0.4,""))))</f>
        <v/>
      </c>
      <c r="V146" s="146" t="str">
        <f ca="1">IFERROR(VLOOKUP(C146,'Шаг1.Выбор плиты'!C:S,12,0),"")</f>
        <v/>
      </c>
      <c r="W146" s="146" t="str">
        <f ca="1">IFERROR(VLOOKUP(C146,'Шаг1.Выбор плиты'!C:S,8,0),"")</f>
        <v/>
      </c>
      <c r="X146" s="146" t="str">
        <f ca="1">IFERROR(VLOOKUP(C146,'Шаг1.Выбор плиты'!C:S,10,0),"")</f>
        <v/>
      </c>
      <c r="Y146" s="147" t="str">
        <f t="shared" ca="1" si="13"/>
        <v/>
      </c>
      <c r="AD146" s="147" t="str">
        <f t="shared" ca="1" si="11"/>
        <v/>
      </c>
      <c r="AE146" s="147" t="str">
        <f t="shared" ca="1" si="14"/>
        <v/>
      </c>
      <c r="AF146" s="25"/>
      <c r="AH146" s="147" t="str">
        <f ca="1">IF(C146="","",VLOOKUP(C146,'Шаг1.Выбор плиты'!C:Q,7,0))</f>
        <v/>
      </c>
      <c r="AI146" s="147" t="str">
        <f t="shared" ca="1" si="12"/>
        <v/>
      </c>
    </row>
    <row r="147" spans="1:35" x14ac:dyDescent="0.2">
      <c r="A147" s="151" t="str">
        <f ca="1">IF(C147="","",MAX($A$1:OFFSET(C147,-1,0))+1)</f>
        <v/>
      </c>
      <c r="B147" s="151" t="str">
        <f ca="1">IFERROR(IFERROR(IFERROR("Шаг2.Бланк заказа NEW №"&amp;VLOOKUP(A146+1,CHOOSE({1,2},'Шаг2.Бланк заказа NEW'!$B$19:$B$201,'Шаг2.Бланк заказа NEW'!$A$19:$A$201),1,0),
"Бланк OLD 0.8 04 №"&amp;VLOOKUP(A146+1-COUNT('Шаг2.Бланк заказа NEW'!$B$19:$B$201),CHOOSE({1,2},'Бланк OLD 0.8 04'!$B$18:$B$200,'Бланк OLD 0.8 04'!$A$18:$A$200),1,0)),
"Бланк OLD 2.0 04 №"&amp;VLOOKUP(A146+1-COUNT('Шаг2.Бланк заказа NEW'!$B$19:$B$201)-COUNT('Бланк OLD 0.8 04'!$B$18:$B$200),CHOOSE({1,2},'Бланк OLD 2.0 04 '!$B$18:$B$200,'Бланк OLD 2.0 04 '!$A$18:$A$200),1,0)),"")</f>
        <v/>
      </c>
      <c r="C147" s="152" t="str">
        <f ca="1">IFERROR(IFERROR(IFERROR(VLOOKUP(A146+1,CHOOSE({1,2},'Шаг2.Бланк заказа NEW'!$B$19:$B$201,'Шаг2.Бланк заказа NEW'!$A$19:$A$201),2,0),
VLOOKUP(A146+1-COUNT('Шаг2.Бланк заказа NEW'!$B$19:$B$201),CHOOSE({1,2},'Бланк OLD 0.8 04'!$B$18:$B$200,'Бланк OLD 0.8 04'!$A$18:$A$200),2,0)),
VLOOKUP(A146+1-COUNT('Шаг2.Бланк заказа NEW'!$B$19:$B$201)-COUNT('Бланк OLD 0.8 04'!$B$18:$B$200),CHOOSE({1,2},'Бланк OLD 2.0 04 '!$B$18:$B$200,'Бланк OLD 2.0 04 '!$A$18:$A$200),2,0)),"")</f>
        <v/>
      </c>
      <c r="D147" s="150" t="str">
        <f ca="1">IFERROR(VLOOKUP(C147,'Шаг1.Выбор плиты'!C:G,5,0),"")</f>
        <v/>
      </c>
      <c r="E147" s="147" t="str">
        <f ca="1">IFERROR(IFERROR(IF(VLOOKUP($A147,'Шаг2.Бланк заказа NEW'!$B$17:$N$201,2,0)="","",VLOOKUP($A147,'Шаг2.Бланк заказа NEW'!$B$17:$N$201,2,0)),
IF(VLOOKUP($A147-COUNT('Шаг2.Бланк заказа NEW'!$B$19:$B$201),'Бланк OLD 0.8 04'!$B$12:$K$200,2,0)="","",VLOOKUP($A147-COUNT('Шаг2.Бланк заказа NEW'!$B$19:$B$201),'Бланк OLD 0.8 04'!$B$12:$K$200,2,0))),
IF(VLOOKUP($A147-COUNT('Шаг2.Бланк заказа NEW'!$B$19:$B$201)-COUNT('Бланк OLD 0.8 04'!$B$18:$B$200),'Бланк OLD 2.0 04 '!$B$16:$K$200,2,0)="","",VLOOKUP($A147-COUNT('Шаг2.Бланк заказа NEW'!$B$19:$B$201)-COUNT('Бланк OLD 0.8 04'!$B$18:$B$200),'Бланк OLD 2.0 04 '!$B$16:$K$200,2,0)))</f>
        <v/>
      </c>
      <c r="F147" s="147" t="str">
        <f ca="1">IFERROR(IFERROR(IF(VLOOKUP($A147,'Шаг2.Бланк заказа NEW'!$B$17:$N$201,3,0)="","",VLOOKUP($A147,'Шаг2.Бланк заказа NEW'!$B$17:$N$201,3,0)),
IF(VLOOKUP($A147-COUNT('Шаг2.Бланк заказа NEW'!$B$19:$B$201),'Бланк OLD 0.8 04'!$B$12:$K$200,3,0)="","",VLOOKUP($A147-COUNT('Шаг2.Бланк заказа NEW'!$B$19:$B$201),'Бланк OLD 0.8 04'!$B$12:$K$200,3,0))),
IF(VLOOKUP($A147-COUNT('Шаг2.Бланк заказа NEW'!$B$19:$B$201)-COUNT('Бланк OLD 0.8 04'!$B$18:$B$200),'Бланк OLD 2.0 04 '!$B$16:$K$200,3,0)="","",VLOOKUP($A147-COUNT('Шаг2.Бланк заказа NEW'!$B$19:$B$201)-COUNT('Бланк OLD 0.8 04'!$B$18:$B$200),'Бланк OLD 2.0 04 '!$B$16:$K$200,3,0)))</f>
        <v/>
      </c>
      <c r="G147" s="176" t="str">
        <f ca="1">IF(IF(R147="","",IF(R147=1,SUMIFS('Шаг1.Выбор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плиты'!C:Q,12,0)),1))))))=0,
R147,
IF(R147="","",IF(R147=1,SUMIFS('Шаг1.Выбор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плиты'!N:N,R147,'Шаг1.Выбор плиты'!M:M,SMALL(INDIRECT("мм"&amp;VLOOKUP(C147,'Шаг1.Выбор плиты'!C:Q,12,0)),1)))))))</f>
        <v/>
      </c>
      <c r="H147" s="177" t="str">
        <f ca="1">IF(IF(S147="","",IF(S147=1,SUMIFS('Шаг1.Выбор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плиты'!C:Q,12,0)),1))))))=0,
S147,
IF(S147="","",IF(S147=1,SUMIFS('Шаг1.Выбор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плиты'!N:N,S147,'Шаг1.Выбор плиты'!M:M,SMALL(INDIRECT("мм"&amp;VLOOKUP(C147,'Шаг1.Выбор плиты'!C:Q,12,0)),1)))))))</f>
        <v/>
      </c>
      <c r="I147" s="147" t="str">
        <f ca="1">IFERROR(IFERROR(IF(VLOOKUP($A147,'Шаг2.Бланк заказа NEW'!$B$17:$N$201,6,0)="","",VLOOKUP($A147,'Шаг2.Бланк заказа NEW'!$B$17:$N$201,6,0)),
IF(VLOOKUP($A147-COUNT('Шаг2.Бланк заказа NEW'!$B$19:$B$201),'Бланк OLD 0.8 04'!$B$12:$K$200,6,0)="","",VLOOKUP($A147-COUNT('Шаг2.Бланк заказа NEW'!$B$19:$B$201),'Бланк OLD 0.8 04'!$B$12:$K$200,6,0))),
IF(VLOOKUP($A147-COUNT('Шаг2.Бланк заказа NEW'!$B$19:$B$201)-COUNT('Бланк OLD 0.8 04'!$B$18:$B$200),'Бланк OLD 2.0 04 '!$B$16:$K$200,6,0)="","",VLOOKUP($A147-COUNT('Шаг2.Бланк заказа NEW'!$B$19:$B$201)-COUNT('Бланк OLD 0.8 04'!$B$18:$B$200),'Бланк OLD 2.0 04 '!$B$16:$K$200,6,0)))</f>
        <v/>
      </c>
      <c r="J147" s="177" t="str">
        <f ca="1">IF(IF(T147="","",IF(T147=1,SUMIFS('Шаг1.Выбор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плиты'!C:Q,12,0)),1))))))=0,
T147,
IF(T147="","",IF(T147=1,SUMIFS('Шаг1.Выбор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плиты'!N:N,T147,'Шаг1.Выбор плиты'!M:M,SMALL(INDIRECT("мм"&amp;VLOOKUP(C147,'Шаг1.Выбор плиты'!C:Q,12,0)),1)))))))</f>
        <v/>
      </c>
      <c r="K147" s="177" t="str">
        <f ca="1">IF(IF(U147="","",IF(U147=1,SUMIFS('Шаг1.Выбор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плиты'!C:Q,12,0)),1))))))=0,
U147,
IF(U147="","",IF(U147=1,SUMIFS('Шаг1.Выбор плиты'!$G:$G,'Шаг1.Выбор плиты'!J:J,"*"&amp;RIGHT(VLOOKUP(C147,'Шаг1.Выбор плиты'!C:Q,8,0),4),'Шаг1.Выбор плиты'!L:L,IF(MID(C147,1,6)="ЛДСП P","TM"&amp;MID(VLOOKUP(C147,'Шаг1.Выбор плиты'!C:Q,10,0),3,2),MID(VLOOKUP(C147,'Шаг1.Выбор плиты'!C:Q,10,0),1,2)),
'Шаг1.Выбор плиты'!N:N,1),IF(SUMIFS('Шаг1.Выбор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плиты'!C:Q,12,0)),1))=0,
IF(SUMIFS('Шаг1.Выбор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плиты'!C:Q,12,0)),2))=0,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плиты'!C:Q,12,0)),3)),
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плиты'!C:Q,12,0)),2))),
(SUMIFS('Шаг1.Выбор плиты'!$G:$G,'Шаг1.Выбор плиты'!J:J,"*"&amp;RIGHT(VLOOKUP(C147,'Шаг1.Выбор плиты'!C:Q,8,0),4),'Шаг1.Выбор плиты'!L:L,VLOOKUP(C147,'Шаг1.Выбор плиты'!C:Q,10,0),'Шаг1.Выбор плиты'!N:N,U147,'Шаг1.Выбор плиты'!M:M,SMALL(INDIRECT("мм"&amp;VLOOKUP(C147,'Шаг1.Выбор плиты'!C:Q,12,0)),1)))))))</f>
        <v/>
      </c>
      <c r="L147" s="147" t="str">
        <f ca="1">IFERROR(IFERROR(IF(VLOOKUP($A147,'Шаг2.Бланк заказа NEW'!$B$17:$N$201,9,0)="","",VLOOKUP($A147,'Шаг2.Бланк заказа NEW'!$B$17:$N$201,9,0)),
IF(VLOOKUP($A147-COUNT('Шаг2.Бланк заказа NEW'!$B$19:$B$201),'Бланк OLD 0.8 04'!$B$12:$K$200,9,0)="","",VLOOKUP($A147-COUNT('Шаг2.Бланк заказа NEW'!$B$19:$B$201),'Бланк OLD 0.8 04'!$B$12:$K$200,9,0))),
IF(VLOOKUP($A147-COUNT('Шаг2.Бланк заказа NEW'!$B$19:$B$201)-COUNT('Бланк OLD 0.8 04'!$B$18:$B$200),'Бланк OLD 2.0 04 '!$B$16:$K$200,9,0)="","",VLOOKUP($A147-COUNT('Шаг2.Бланк заказа NEW'!$B$19:$B$201)-COUNT('Бланк OLD 0.8 04'!$B$18:$B$200),'Бланк OLD 2.0 04 '!$B$16:$K$200,9,0)))</f>
        <v/>
      </c>
      <c r="M147" s="154" t="str">
        <f t="shared" ca="1" si="10"/>
        <v/>
      </c>
      <c r="N147" s="153" t="str">
        <f ca="1">IFERROR(IF(VLOOKUP($A147,'Шаг2.Бланк заказа NEW'!$B$17:$N$201,11,0)="","",VLOOKUP($A147,'Шаг2.Бланк заказа NEW'!$B$17:$N$201,11,0)),
"Нет")</f>
        <v/>
      </c>
      <c r="O147" s="147" t="str">
        <f ca="1">IFERROR(IF(VLOOKUP($A147,'Шаг2.Бланк заказа NEW'!$B$17:$N$201,11,0)="","",VLOOKUP($A147,'Шаг2.Бланк заказа NEW'!$B$17:$N$201,12,0)),
"Нет")</f>
        <v/>
      </c>
      <c r="P147" s="153" t="str">
        <f ca="1">IFERROR(IF(VLOOKUP($A147,'Шаг2.Бланк заказа NEW'!$B$17:$N$201,13,0)="","",VLOOKUP($A147,'Шаг2.Бланк заказа NEW'!$B$17:$N$201,13,0)),
"Нет")</f>
        <v/>
      </c>
      <c r="Q147" s="147" t="str">
        <f ca="1">IFERROR(IF(VLOOKUP($A147,'Шаг2.Бланк заказа NEW'!$B$17:$O$201,14,0)="","",VLOOKUP($A147,'Шаг2.Бланк заказа NEW'!$B$17:$O$201,14,0)),"")</f>
        <v/>
      </c>
      <c r="R147" s="147" t="str">
        <f ca="1">IFERROR(IFERROR(IF(VLOOKUP($A147,'Шаг2.Бланк заказа NEW'!$B$17:$N$201,4,0)="","",VLOOKUP($A147,'Шаг2.Бланк заказа NEW'!$B$17:$N$201,4,0)),
IF(VLOOKUP($A147-COUNT('Шаг2.Бланк заказа NEW'!$B$19:$B$201),'Бланк OLD 0.8 04'!$B$12:$K$200,4,0)&gt;0,0.8,
IF(VLOOKUP($A147-COUNT('Шаг2.Бланк заказа NEW'!$B$19:$B$201),'Бланк OLD 0.8 04'!$B$12:$K$200,5,0)&gt;0,0.4,""))),
IF(VLOOKUP($A147-COUNT('Шаг2.Бланк заказа NEW'!$B$19:$B$201)-COUNT('Бланк OLD 0.8 04'!$B$18:$B$200),'Бланк OLD 2.0 04 '!$B$16:$K$200,4,0)&gt;0,2,IF(VLOOKUP($A147-COUNT('Шаг2.Бланк заказа NEW'!$B$19:$B$201)-COUNT('Бланк OLD 0.8 04'!$B$18:$B$200),'Бланк OLD 2.0 04 '!$B$16:$K$200,5,0)&gt;0,0.4,"")))</f>
        <v/>
      </c>
      <c r="S147" s="147" t="str">
        <f ca="1">IFERROR(IFERROR(IF(VLOOKUP($A147,'Шаг2.Бланк заказа NEW'!$B$17:$N$201,5,0)="","",VLOOKUP($A147,'Шаг2.Бланк заказа NEW'!$B$17:$N$201,5,0)),
IF(VLOOKUP($A147-COUNT('Шаг2.Бланк заказа NEW'!$B$19:$B$201),'Бланк OLD 0.8 04'!$B$12:$K$200,4,0)&gt;1,0.8,
IF(VLOOKUP($A147-COUNT('Шаг2.Бланк заказа NEW'!$B$19:$B$201),'Бланк OLD 0.8 04'!$B$12:$K$200,5,0)&gt;1,0.4,
IF(AND(VLOOKUP($A147-COUNT('Шаг2.Бланк заказа NEW'!$B$19:$B$201),'Бланк OLD 0.8 04'!$B$12:$K$200,4,0)&gt;0,VLOOKUP($A147-COUNT('Шаг2.Бланк заказа NEW'!$B$19:$B$201),'Бланк OLD 0.8 04'!$B$12:$K$200,5,0)&gt;0),0.4,"")))),
IF(VLOOKUP($A147-COUNT('Шаг2.Бланк заказа NEW'!$B$19:$B$201)-COUNT('Бланк OLD 0.8 04'!$B$18:$B$200),'Бланк OLD 2.0 04 '!$B$16:$K$200,4,0)&gt;1,2,
IF(VLOOKUP($A147-COUNT('Шаг2.Бланк заказа NEW'!$B$19:$B$201)-COUNT('Бланк OLD 0.8 04'!$B$18:$B$200),'Бланк OLD 2.0 04 '!$B$16:$K$200,5,0)&gt;1,0.4,IF(AND(VLOOKUP($A147-COUNT('Шаг2.Бланк заказа NEW'!$B$19:$B$201)-COUNT('Бланк OLD 0.8 04'!$B$18:$B$200),'Бланк OLD 2.0 04 '!$B$16:$K$200,4,0)&gt;0,VLOOKUP($A147-COUNT('Шаг2.Бланк заказа NEW'!$B$19:$B$201)-COUNT('Бланк OLD 0.8 04'!$B$18:$B$200),'Бланк OLD 2.0 04 '!$B$16:$K$200,5,0)&gt;0),0.4,""))))</f>
        <v/>
      </c>
      <c r="T147" s="147" t="str">
        <f ca="1">IFERROR(IFERROR(IF(VLOOKUP($A147,'Шаг2.Бланк заказа NEW'!$B$17:$N$201,7,0)="","",VLOOKUP($A147,'Шаг2.Бланк заказа NEW'!$B$17:$N$201,7,0)),
IF(VLOOKUP($A147-COUNT('Шаг2.Бланк заказа NEW'!$B$19:$B$201),'Бланк OLD 0.8 04'!$B$12:$K$200,7,0)&gt;0,0.8,
IF(VLOOKUP($A147-COUNT('Шаг2.Бланк заказа NEW'!$B$19:$B$201),'Бланк OLD 0.8 04'!$B$12:$K$200,8,0)&gt;0,0.4,""))),
IF(VLOOKUP($A147-COUNT('Шаг2.Бланк заказа NEW'!$B$19:$B$201)-COUNT('Бланк OLD 0.8 04'!$B$18:$B$200),'Бланк OLD 2.0 04 '!$B$16:$K$200,7,0)&gt;0,2,IF(VLOOKUP($A147-COUNT('Шаг2.Бланк заказа NEW'!$B$19:$B$201)-COUNT('Бланк OLD 0.8 04'!$B$18:$B$200),'Бланк OLD 2.0 04 '!$B$16:$K$200,8,0)&gt;0,0.4,"")))</f>
        <v/>
      </c>
      <c r="U147" s="147" t="str">
        <f ca="1">IFERROR(IFERROR(IF(VLOOKUP($A147,'Шаг2.Бланк заказа NEW'!$B$17:$N$201,8,0)="","",VLOOKUP($A147,'Шаг2.Бланк заказа NEW'!$B$17:$N$201,8,0)),
IF(VLOOKUP($A147-COUNT('Шаг2.Бланк заказа NEW'!$B$19:$B$201),'Бланк OLD 0.8 04'!$B$12:$K$200,7,0)&gt;1,0.8,
IF(VLOOKUP($A147-COUNT('Шаг2.Бланк заказа NEW'!$B$19:$B$201),'Бланк OLD 0.8 04'!$B$12:$K$200,8,0)&gt;1,0.4,
IF(AND(VLOOKUP($A147-COUNT('Шаг2.Бланк заказа NEW'!$B$19:$B$201),'Бланк OLD 0.8 04'!$B$12:$K$200,7,0)&gt;0,VLOOKUP($A147-COUNT('Шаг2.Бланк заказа NEW'!$B$19:$B$201),'Бланк OLD 0.8 04'!$B$12:$K$200,8,0)&gt;0),0.4,"")))),
IF(VLOOKUP($A147-COUNT('Шаг2.Бланк заказа NEW'!$B$19:$B$201)-COUNT('Бланк OLD 0.8 04'!$B$18:$B$200),'Бланк OLD 2.0 04 '!$B$16:$K$200,7,0)&gt;1,2,
IF(VLOOKUP($A147-COUNT('Шаг2.Бланк заказа NEW'!$B$19:$B$201)-COUNT('Бланк OLD 0.8 04'!$B$18:$B$200),'Бланк OLD 2.0 04 '!$B$16:$K$200,8,0)&gt;1,0.4,
IF(AND(VLOOKUP($A147-COUNT('Шаг2.Бланк заказа NEW'!$B$19:$B$201)-COUNT('Бланк OLD 0.8 04'!$B$18:$B$200),'Бланк OLD 2.0 04 '!$B$16:$K$200,7,0)&gt;0,VLOOKUP($A147-COUNT('Шаг2.Бланк заказа NEW'!$B$19:$B$201)-COUNT('Бланк OLD 0.8 04'!$B$18:$B$200),'Бланк OLD 2.0 04 '!$B$16:$K$200,8,0)&gt;0),0.4,""))))</f>
        <v/>
      </c>
      <c r="V147" s="146" t="str">
        <f ca="1">IFERROR(VLOOKUP(C147,'Шаг1.Выбор плиты'!C:S,12,0),"")</f>
        <v/>
      </c>
      <c r="W147" s="146" t="str">
        <f ca="1">IFERROR(VLOOKUP(C147,'Шаг1.Выбор плиты'!C:S,8,0),"")</f>
        <v/>
      </c>
      <c r="X147" s="146" t="str">
        <f ca="1">IFERROR(VLOOKUP(C147,'Шаг1.Выбор плиты'!C:S,10,0),"")</f>
        <v/>
      </c>
      <c r="Y147" s="147" t="str">
        <f t="shared" ca="1" si="13"/>
        <v/>
      </c>
      <c r="AD147" s="147" t="str">
        <f t="shared" ca="1" si="11"/>
        <v/>
      </c>
      <c r="AE147" s="147" t="str">
        <f t="shared" ca="1" si="14"/>
        <v/>
      </c>
      <c r="AF147" s="25"/>
      <c r="AH147" s="147" t="str">
        <f ca="1">IF(C147="","",VLOOKUP(C147,'Шаг1.Выбор плиты'!C:Q,7,0))</f>
        <v/>
      </c>
      <c r="AI147" s="147" t="str">
        <f t="shared" ca="1" si="12"/>
        <v/>
      </c>
    </row>
    <row r="148" spans="1:35" x14ac:dyDescent="0.2">
      <c r="A148" s="151" t="str">
        <f ca="1">IF(C148="","",MAX($A$1:OFFSET(C148,-1,0))+1)</f>
        <v/>
      </c>
      <c r="B148" s="151" t="str">
        <f ca="1">IFERROR(IFERROR(IFERROR("Шаг2.Бланк заказа NEW №"&amp;VLOOKUP(A147+1,CHOOSE({1,2},'Шаг2.Бланк заказа NEW'!$B$19:$B$201,'Шаг2.Бланк заказа NEW'!$A$19:$A$201),1,0),
"Бланк OLD 0.8 04 №"&amp;VLOOKUP(A147+1-COUNT('Шаг2.Бланк заказа NEW'!$B$19:$B$201),CHOOSE({1,2},'Бланк OLD 0.8 04'!$B$18:$B$200,'Бланк OLD 0.8 04'!$A$18:$A$200),1,0)),
"Бланк OLD 2.0 04 №"&amp;VLOOKUP(A147+1-COUNT('Шаг2.Бланк заказа NEW'!$B$19:$B$201)-COUNT('Бланк OLD 0.8 04'!$B$18:$B$200),CHOOSE({1,2},'Бланк OLD 2.0 04 '!$B$18:$B$200,'Бланк OLD 2.0 04 '!$A$18:$A$200),1,0)),"")</f>
        <v/>
      </c>
      <c r="C148" s="152" t="str">
        <f ca="1">IFERROR(IFERROR(IFERROR(VLOOKUP(A147+1,CHOOSE({1,2},'Шаг2.Бланк заказа NEW'!$B$19:$B$201,'Шаг2.Бланк заказа NEW'!$A$19:$A$201),2,0),
VLOOKUP(A147+1-COUNT('Шаг2.Бланк заказа NEW'!$B$19:$B$201),CHOOSE({1,2},'Бланк OLD 0.8 04'!$B$18:$B$200,'Бланк OLD 0.8 04'!$A$18:$A$200),2,0)),
VLOOKUP(A147+1-COUNT('Шаг2.Бланк заказа NEW'!$B$19:$B$201)-COUNT('Бланк OLD 0.8 04'!$B$18:$B$200),CHOOSE({1,2},'Бланк OLD 2.0 04 '!$B$18:$B$200,'Бланк OLD 2.0 04 '!$A$18:$A$200),2,0)),"")</f>
        <v/>
      </c>
      <c r="D148" s="150" t="str">
        <f ca="1">IFERROR(VLOOKUP(C148,'Шаг1.Выбор плиты'!C:G,5,0),"")</f>
        <v/>
      </c>
      <c r="E148" s="147" t="str">
        <f ca="1">IFERROR(IFERROR(IF(VLOOKUP($A148,'Шаг2.Бланк заказа NEW'!$B$17:$N$201,2,0)="","",VLOOKUP($A148,'Шаг2.Бланк заказа NEW'!$B$17:$N$201,2,0)),
IF(VLOOKUP($A148-COUNT('Шаг2.Бланк заказа NEW'!$B$19:$B$201),'Бланк OLD 0.8 04'!$B$12:$K$200,2,0)="","",VLOOKUP($A148-COUNT('Шаг2.Бланк заказа NEW'!$B$19:$B$201),'Бланк OLD 0.8 04'!$B$12:$K$200,2,0))),
IF(VLOOKUP($A148-COUNT('Шаг2.Бланк заказа NEW'!$B$19:$B$201)-COUNT('Бланк OLD 0.8 04'!$B$18:$B$200),'Бланк OLD 2.0 04 '!$B$16:$K$200,2,0)="","",VLOOKUP($A148-COUNT('Шаг2.Бланк заказа NEW'!$B$19:$B$201)-COUNT('Бланк OLD 0.8 04'!$B$18:$B$200),'Бланк OLD 2.0 04 '!$B$16:$K$200,2,0)))</f>
        <v/>
      </c>
      <c r="F148" s="147" t="str">
        <f ca="1">IFERROR(IFERROR(IF(VLOOKUP($A148,'Шаг2.Бланк заказа NEW'!$B$17:$N$201,3,0)="","",VLOOKUP($A148,'Шаг2.Бланк заказа NEW'!$B$17:$N$201,3,0)),
IF(VLOOKUP($A148-COUNT('Шаг2.Бланк заказа NEW'!$B$19:$B$201),'Бланк OLD 0.8 04'!$B$12:$K$200,3,0)="","",VLOOKUP($A148-COUNT('Шаг2.Бланк заказа NEW'!$B$19:$B$201),'Бланк OLD 0.8 04'!$B$12:$K$200,3,0))),
IF(VLOOKUP($A148-COUNT('Шаг2.Бланк заказа NEW'!$B$19:$B$201)-COUNT('Бланк OLD 0.8 04'!$B$18:$B$200),'Бланк OLD 2.0 04 '!$B$16:$K$200,3,0)="","",VLOOKUP($A148-COUNT('Шаг2.Бланк заказа NEW'!$B$19:$B$201)-COUNT('Бланк OLD 0.8 04'!$B$18:$B$200),'Бланк OLD 2.0 04 '!$B$16:$K$200,3,0)))</f>
        <v/>
      </c>
      <c r="G148" s="176" t="str">
        <f ca="1">IF(IF(R148="","",IF(R148=1,SUMIFS('Шаг1.Выбор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плиты'!C:Q,12,0)),1))))))=0,
R148,
IF(R148="","",IF(R148=1,SUMIFS('Шаг1.Выбор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плиты'!N:N,R148,'Шаг1.Выбор плиты'!M:M,SMALL(INDIRECT("мм"&amp;VLOOKUP(C148,'Шаг1.Выбор плиты'!C:Q,12,0)),1)))))))</f>
        <v/>
      </c>
      <c r="H148" s="177" t="str">
        <f ca="1">IF(IF(S148="","",IF(S148=1,SUMIFS('Шаг1.Выбор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плиты'!C:Q,12,0)),1))))))=0,
S148,
IF(S148="","",IF(S148=1,SUMIFS('Шаг1.Выбор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плиты'!N:N,S148,'Шаг1.Выбор плиты'!M:M,SMALL(INDIRECT("мм"&amp;VLOOKUP(C148,'Шаг1.Выбор плиты'!C:Q,12,0)),1)))))))</f>
        <v/>
      </c>
      <c r="I148" s="147" t="str">
        <f ca="1">IFERROR(IFERROR(IF(VLOOKUP($A148,'Шаг2.Бланк заказа NEW'!$B$17:$N$201,6,0)="","",VLOOKUP($A148,'Шаг2.Бланк заказа NEW'!$B$17:$N$201,6,0)),
IF(VLOOKUP($A148-COUNT('Шаг2.Бланк заказа NEW'!$B$19:$B$201),'Бланк OLD 0.8 04'!$B$12:$K$200,6,0)="","",VLOOKUP($A148-COUNT('Шаг2.Бланк заказа NEW'!$B$19:$B$201),'Бланк OLD 0.8 04'!$B$12:$K$200,6,0))),
IF(VLOOKUP($A148-COUNT('Шаг2.Бланк заказа NEW'!$B$19:$B$201)-COUNT('Бланк OLD 0.8 04'!$B$18:$B$200),'Бланк OLD 2.0 04 '!$B$16:$K$200,6,0)="","",VLOOKUP($A148-COUNT('Шаг2.Бланк заказа NEW'!$B$19:$B$201)-COUNT('Бланк OLD 0.8 04'!$B$18:$B$200),'Бланк OLD 2.0 04 '!$B$16:$K$200,6,0)))</f>
        <v/>
      </c>
      <c r="J148" s="177" t="str">
        <f ca="1">IF(IF(T148="","",IF(T148=1,SUMIFS('Шаг1.Выбор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плиты'!C:Q,12,0)),1))))))=0,
T148,
IF(T148="","",IF(T148=1,SUMIFS('Шаг1.Выбор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плиты'!N:N,T148,'Шаг1.Выбор плиты'!M:M,SMALL(INDIRECT("мм"&amp;VLOOKUP(C148,'Шаг1.Выбор плиты'!C:Q,12,0)),1)))))))</f>
        <v/>
      </c>
      <c r="K148" s="177" t="str">
        <f ca="1">IF(IF(U148="","",IF(U148=1,SUMIFS('Шаг1.Выбор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плиты'!C:Q,12,0)),1))))))=0,
U148,
IF(U148="","",IF(U148=1,SUMIFS('Шаг1.Выбор плиты'!$G:$G,'Шаг1.Выбор плиты'!J:J,"*"&amp;RIGHT(VLOOKUP(C148,'Шаг1.Выбор плиты'!C:Q,8,0),4),'Шаг1.Выбор плиты'!L:L,IF(MID(C148,1,6)="ЛДСП P","TM"&amp;MID(VLOOKUP(C148,'Шаг1.Выбор плиты'!C:Q,10,0),3,2),MID(VLOOKUP(C148,'Шаг1.Выбор плиты'!C:Q,10,0),1,2)),
'Шаг1.Выбор плиты'!N:N,1),IF(SUMIFS('Шаг1.Выбор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плиты'!C:Q,12,0)),1))=0,
IF(SUMIFS('Шаг1.Выбор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плиты'!C:Q,12,0)),2))=0,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плиты'!C:Q,12,0)),3)),
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плиты'!C:Q,12,0)),2))),
(SUMIFS('Шаг1.Выбор плиты'!$G:$G,'Шаг1.Выбор плиты'!J:J,"*"&amp;RIGHT(VLOOKUP(C148,'Шаг1.Выбор плиты'!C:Q,8,0),4),'Шаг1.Выбор плиты'!L:L,VLOOKUP(C148,'Шаг1.Выбор плиты'!C:Q,10,0),'Шаг1.Выбор плиты'!N:N,U148,'Шаг1.Выбор плиты'!M:M,SMALL(INDIRECT("мм"&amp;VLOOKUP(C148,'Шаг1.Выбор плиты'!C:Q,12,0)),1)))))))</f>
        <v/>
      </c>
      <c r="L148" s="147" t="str">
        <f ca="1">IFERROR(IFERROR(IF(VLOOKUP($A148,'Шаг2.Бланк заказа NEW'!$B$17:$N$201,9,0)="","",VLOOKUP($A148,'Шаг2.Бланк заказа NEW'!$B$17:$N$201,9,0)),
IF(VLOOKUP($A148-COUNT('Шаг2.Бланк заказа NEW'!$B$19:$B$201),'Бланк OLD 0.8 04'!$B$12:$K$200,9,0)="","",VLOOKUP($A148-COUNT('Шаг2.Бланк заказа NEW'!$B$19:$B$201),'Бланк OLD 0.8 04'!$B$12:$K$200,9,0))),
IF(VLOOKUP($A148-COUNT('Шаг2.Бланк заказа NEW'!$B$19:$B$201)-COUNT('Бланк OLD 0.8 04'!$B$18:$B$200),'Бланк OLD 2.0 04 '!$B$16:$K$200,9,0)="","",VLOOKUP($A148-COUNT('Шаг2.Бланк заказа NEW'!$B$19:$B$201)-COUNT('Бланк OLD 0.8 04'!$B$18:$B$200),'Бланк OLD 2.0 04 '!$B$16:$K$200,9,0)))</f>
        <v/>
      </c>
      <c r="M148" s="154" t="str">
        <f t="shared" ref="M148:M211" ca="1" si="15">IFERROR((F148/1000)*(I148/1000)*L148,"")</f>
        <v/>
      </c>
      <c r="N148" s="153" t="str">
        <f ca="1">IFERROR(IF(VLOOKUP($A148,'Шаг2.Бланк заказа NEW'!$B$17:$N$201,11,0)="","",VLOOKUP($A148,'Шаг2.Бланк заказа NEW'!$B$17:$N$201,11,0)),
"Нет")</f>
        <v/>
      </c>
      <c r="O148" s="147" t="str">
        <f ca="1">IFERROR(IF(VLOOKUP($A148,'Шаг2.Бланк заказа NEW'!$B$17:$N$201,11,0)="","",VLOOKUP($A148,'Шаг2.Бланк заказа NEW'!$B$17:$N$201,12,0)),
"Нет")</f>
        <v/>
      </c>
      <c r="P148" s="153" t="str">
        <f ca="1">IFERROR(IF(VLOOKUP($A148,'Шаг2.Бланк заказа NEW'!$B$17:$N$201,13,0)="","",VLOOKUP($A148,'Шаг2.Бланк заказа NEW'!$B$17:$N$201,13,0)),
"Нет")</f>
        <v/>
      </c>
      <c r="Q148" s="147" t="str">
        <f ca="1">IFERROR(IF(VLOOKUP($A148,'Шаг2.Бланк заказа NEW'!$B$17:$O$201,14,0)="","",VLOOKUP($A148,'Шаг2.Бланк заказа NEW'!$B$17:$O$201,14,0)),"")</f>
        <v/>
      </c>
      <c r="R148" s="147" t="str">
        <f ca="1">IFERROR(IFERROR(IF(VLOOKUP($A148,'Шаг2.Бланк заказа NEW'!$B$17:$N$201,4,0)="","",VLOOKUP($A148,'Шаг2.Бланк заказа NEW'!$B$17:$N$201,4,0)),
IF(VLOOKUP($A148-COUNT('Шаг2.Бланк заказа NEW'!$B$19:$B$201),'Бланк OLD 0.8 04'!$B$12:$K$200,4,0)&gt;0,0.8,
IF(VLOOKUP($A148-COUNT('Шаг2.Бланк заказа NEW'!$B$19:$B$201),'Бланк OLD 0.8 04'!$B$12:$K$200,5,0)&gt;0,0.4,""))),
IF(VLOOKUP($A148-COUNT('Шаг2.Бланк заказа NEW'!$B$19:$B$201)-COUNT('Бланк OLD 0.8 04'!$B$18:$B$200),'Бланк OLD 2.0 04 '!$B$16:$K$200,4,0)&gt;0,2,IF(VLOOKUP($A148-COUNT('Шаг2.Бланк заказа NEW'!$B$19:$B$201)-COUNT('Бланк OLD 0.8 04'!$B$18:$B$200),'Бланк OLD 2.0 04 '!$B$16:$K$200,5,0)&gt;0,0.4,"")))</f>
        <v/>
      </c>
      <c r="S148" s="147" t="str">
        <f ca="1">IFERROR(IFERROR(IF(VLOOKUP($A148,'Шаг2.Бланк заказа NEW'!$B$17:$N$201,5,0)="","",VLOOKUP($A148,'Шаг2.Бланк заказа NEW'!$B$17:$N$201,5,0)),
IF(VLOOKUP($A148-COUNT('Шаг2.Бланк заказа NEW'!$B$19:$B$201),'Бланк OLD 0.8 04'!$B$12:$K$200,4,0)&gt;1,0.8,
IF(VLOOKUP($A148-COUNT('Шаг2.Бланк заказа NEW'!$B$19:$B$201),'Бланк OLD 0.8 04'!$B$12:$K$200,5,0)&gt;1,0.4,
IF(AND(VLOOKUP($A148-COUNT('Шаг2.Бланк заказа NEW'!$B$19:$B$201),'Бланк OLD 0.8 04'!$B$12:$K$200,4,0)&gt;0,VLOOKUP($A148-COUNT('Шаг2.Бланк заказа NEW'!$B$19:$B$201),'Бланк OLD 0.8 04'!$B$12:$K$200,5,0)&gt;0),0.4,"")))),
IF(VLOOKUP($A148-COUNT('Шаг2.Бланк заказа NEW'!$B$19:$B$201)-COUNT('Бланк OLD 0.8 04'!$B$18:$B$200),'Бланк OLD 2.0 04 '!$B$16:$K$200,4,0)&gt;1,2,
IF(VLOOKUP($A148-COUNT('Шаг2.Бланк заказа NEW'!$B$19:$B$201)-COUNT('Бланк OLD 0.8 04'!$B$18:$B$200),'Бланк OLD 2.0 04 '!$B$16:$K$200,5,0)&gt;1,0.4,IF(AND(VLOOKUP($A148-COUNT('Шаг2.Бланк заказа NEW'!$B$19:$B$201)-COUNT('Бланк OLD 0.8 04'!$B$18:$B$200),'Бланк OLD 2.0 04 '!$B$16:$K$200,4,0)&gt;0,VLOOKUP($A148-COUNT('Шаг2.Бланк заказа NEW'!$B$19:$B$201)-COUNT('Бланк OLD 0.8 04'!$B$18:$B$200),'Бланк OLD 2.0 04 '!$B$16:$K$200,5,0)&gt;0),0.4,""))))</f>
        <v/>
      </c>
      <c r="T148" s="147" t="str">
        <f ca="1">IFERROR(IFERROR(IF(VLOOKUP($A148,'Шаг2.Бланк заказа NEW'!$B$17:$N$201,7,0)="","",VLOOKUP($A148,'Шаг2.Бланк заказа NEW'!$B$17:$N$201,7,0)),
IF(VLOOKUP($A148-COUNT('Шаг2.Бланк заказа NEW'!$B$19:$B$201),'Бланк OLD 0.8 04'!$B$12:$K$200,7,0)&gt;0,0.8,
IF(VLOOKUP($A148-COUNT('Шаг2.Бланк заказа NEW'!$B$19:$B$201),'Бланк OLD 0.8 04'!$B$12:$K$200,8,0)&gt;0,0.4,""))),
IF(VLOOKUP($A148-COUNT('Шаг2.Бланк заказа NEW'!$B$19:$B$201)-COUNT('Бланк OLD 0.8 04'!$B$18:$B$200),'Бланк OLD 2.0 04 '!$B$16:$K$200,7,0)&gt;0,2,IF(VLOOKUP($A148-COUNT('Шаг2.Бланк заказа NEW'!$B$19:$B$201)-COUNT('Бланк OLD 0.8 04'!$B$18:$B$200),'Бланк OLD 2.0 04 '!$B$16:$K$200,8,0)&gt;0,0.4,"")))</f>
        <v/>
      </c>
      <c r="U148" s="147" t="str">
        <f ca="1">IFERROR(IFERROR(IF(VLOOKUP($A148,'Шаг2.Бланк заказа NEW'!$B$17:$N$201,8,0)="","",VLOOKUP($A148,'Шаг2.Бланк заказа NEW'!$B$17:$N$201,8,0)),
IF(VLOOKUP($A148-COUNT('Шаг2.Бланк заказа NEW'!$B$19:$B$201),'Бланк OLD 0.8 04'!$B$12:$K$200,7,0)&gt;1,0.8,
IF(VLOOKUP($A148-COUNT('Шаг2.Бланк заказа NEW'!$B$19:$B$201),'Бланк OLD 0.8 04'!$B$12:$K$200,8,0)&gt;1,0.4,
IF(AND(VLOOKUP($A148-COUNT('Шаг2.Бланк заказа NEW'!$B$19:$B$201),'Бланк OLD 0.8 04'!$B$12:$K$200,7,0)&gt;0,VLOOKUP($A148-COUNT('Шаг2.Бланк заказа NEW'!$B$19:$B$201),'Бланк OLD 0.8 04'!$B$12:$K$200,8,0)&gt;0),0.4,"")))),
IF(VLOOKUP($A148-COUNT('Шаг2.Бланк заказа NEW'!$B$19:$B$201)-COUNT('Бланк OLD 0.8 04'!$B$18:$B$200),'Бланк OLD 2.0 04 '!$B$16:$K$200,7,0)&gt;1,2,
IF(VLOOKUP($A148-COUNT('Шаг2.Бланк заказа NEW'!$B$19:$B$201)-COUNT('Бланк OLD 0.8 04'!$B$18:$B$200),'Бланк OLD 2.0 04 '!$B$16:$K$200,8,0)&gt;1,0.4,
IF(AND(VLOOKUP($A148-COUNT('Шаг2.Бланк заказа NEW'!$B$19:$B$201)-COUNT('Бланк OLD 0.8 04'!$B$18:$B$200),'Бланк OLD 2.0 04 '!$B$16:$K$200,7,0)&gt;0,VLOOKUP($A148-COUNT('Шаг2.Бланк заказа NEW'!$B$19:$B$201)-COUNT('Бланк OLD 0.8 04'!$B$18:$B$200),'Бланк OLD 2.0 04 '!$B$16:$K$200,8,0)&gt;0),0.4,""))))</f>
        <v/>
      </c>
      <c r="V148" s="146" t="str">
        <f ca="1">IFERROR(VLOOKUP(C148,'Шаг1.Выбор плиты'!C:S,12,0),"")</f>
        <v/>
      </c>
      <c r="W148" s="146" t="str">
        <f ca="1">IFERROR(VLOOKUP(C148,'Шаг1.Выбор плиты'!C:S,8,0),"")</f>
        <v/>
      </c>
      <c r="X148" s="146" t="str">
        <f ca="1">IFERROR(VLOOKUP(C148,'Шаг1.Выбор плиты'!C:S,10,0),"")</f>
        <v/>
      </c>
      <c r="Y148" s="147" t="str">
        <f t="shared" ca="1" si="13"/>
        <v/>
      </c>
      <c r="AD148" s="147" t="str">
        <f t="shared" ref="AD148:AD211" ca="1" si="16">IF(C148="","",0)</f>
        <v/>
      </c>
      <c r="AE148" s="147" t="str">
        <f t="shared" ca="1" si="14"/>
        <v/>
      </c>
      <c r="AF148" s="25"/>
      <c r="AH148" s="147" t="str">
        <f ca="1">IF(C148="","",VLOOKUP(C148,'Шаг1.Выбор плиты'!C:Q,7,0))</f>
        <v/>
      </c>
      <c r="AI148" s="147" t="str">
        <f t="shared" ref="AI148:AI211" ca="1" si="17">IF(N148="","",IF(N148="да",1,0))</f>
        <v/>
      </c>
    </row>
    <row r="149" spans="1:35" x14ac:dyDescent="0.2">
      <c r="A149" s="151" t="str">
        <f ca="1">IF(C149="","",MAX($A$1:OFFSET(C149,-1,0))+1)</f>
        <v/>
      </c>
      <c r="B149" s="151" t="str">
        <f ca="1">IFERROR(IFERROR(IFERROR("Шаг2.Бланк заказа NEW №"&amp;VLOOKUP(A148+1,CHOOSE({1,2},'Шаг2.Бланк заказа NEW'!$B$19:$B$201,'Шаг2.Бланк заказа NEW'!$A$19:$A$201),1,0),
"Бланк OLD 0.8 04 №"&amp;VLOOKUP(A148+1-COUNT('Шаг2.Бланк заказа NEW'!$B$19:$B$201),CHOOSE({1,2},'Бланк OLD 0.8 04'!$B$18:$B$200,'Бланк OLD 0.8 04'!$A$18:$A$200),1,0)),
"Бланк OLD 2.0 04 №"&amp;VLOOKUP(A148+1-COUNT('Шаг2.Бланк заказа NEW'!$B$19:$B$201)-COUNT('Бланк OLD 0.8 04'!$B$18:$B$200),CHOOSE({1,2},'Бланк OLD 2.0 04 '!$B$18:$B$200,'Бланк OLD 2.0 04 '!$A$18:$A$200),1,0)),"")</f>
        <v/>
      </c>
      <c r="C149" s="152" t="str">
        <f ca="1">IFERROR(IFERROR(IFERROR(VLOOKUP(A148+1,CHOOSE({1,2},'Шаг2.Бланк заказа NEW'!$B$19:$B$201,'Шаг2.Бланк заказа NEW'!$A$19:$A$201),2,0),
VLOOKUP(A148+1-COUNT('Шаг2.Бланк заказа NEW'!$B$19:$B$201),CHOOSE({1,2},'Бланк OLD 0.8 04'!$B$18:$B$200,'Бланк OLD 0.8 04'!$A$18:$A$200),2,0)),
VLOOKUP(A148+1-COUNT('Шаг2.Бланк заказа NEW'!$B$19:$B$201)-COUNT('Бланк OLD 0.8 04'!$B$18:$B$200),CHOOSE({1,2},'Бланк OLD 2.0 04 '!$B$18:$B$200,'Бланк OLD 2.0 04 '!$A$18:$A$200),2,0)),"")</f>
        <v/>
      </c>
      <c r="D149" s="150" t="str">
        <f ca="1">IFERROR(VLOOKUP(C149,'Шаг1.Выбор плиты'!C:G,5,0),"")</f>
        <v/>
      </c>
      <c r="E149" s="147" t="str">
        <f ca="1">IFERROR(IFERROR(IF(VLOOKUP($A149,'Шаг2.Бланк заказа NEW'!$B$17:$N$201,2,0)="","",VLOOKUP($A149,'Шаг2.Бланк заказа NEW'!$B$17:$N$201,2,0)),
IF(VLOOKUP($A149-COUNT('Шаг2.Бланк заказа NEW'!$B$19:$B$201),'Бланк OLD 0.8 04'!$B$12:$K$200,2,0)="","",VLOOKUP($A149-COUNT('Шаг2.Бланк заказа NEW'!$B$19:$B$201),'Бланк OLD 0.8 04'!$B$12:$K$200,2,0))),
IF(VLOOKUP($A149-COUNT('Шаг2.Бланк заказа NEW'!$B$19:$B$201)-COUNT('Бланк OLD 0.8 04'!$B$18:$B$200),'Бланк OLD 2.0 04 '!$B$16:$K$200,2,0)="","",VLOOKUP($A149-COUNT('Шаг2.Бланк заказа NEW'!$B$19:$B$201)-COUNT('Бланк OLD 0.8 04'!$B$18:$B$200),'Бланк OLD 2.0 04 '!$B$16:$K$200,2,0)))</f>
        <v/>
      </c>
      <c r="F149" s="147" t="str">
        <f ca="1">IFERROR(IFERROR(IF(VLOOKUP($A149,'Шаг2.Бланк заказа NEW'!$B$17:$N$201,3,0)="","",VLOOKUP($A149,'Шаг2.Бланк заказа NEW'!$B$17:$N$201,3,0)),
IF(VLOOKUP($A149-COUNT('Шаг2.Бланк заказа NEW'!$B$19:$B$201),'Бланк OLD 0.8 04'!$B$12:$K$200,3,0)="","",VLOOKUP($A149-COUNT('Шаг2.Бланк заказа NEW'!$B$19:$B$201),'Бланк OLD 0.8 04'!$B$12:$K$200,3,0))),
IF(VLOOKUP($A149-COUNT('Шаг2.Бланк заказа NEW'!$B$19:$B$201)-COUNT('Бланк OLD 0.8 04'!$B$18:$B$200),'Бланк OLD 2.0 04 '!$B$16:$K$200,3,0)="","",VLOOKUP($A149-COUNT('Шаг2.Бланк заказа NEW'!$B$19:$B$201)-COUNT('Бланк OLD 0.8 04'!$B$18:$B$200),'Бланк OLD 2.0 04 '!$B$16:$K$200,3,0)))</f>
        <v/>
      </c>
      <c r="G149" s="176" t="str">
        <f ca="1">IF(IF(R149="","",IF(R149=1,SUMIFS('Шаг1.Выбор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плиты'!C:Q,12,0)),1))))))=0,
R149,
IF(R149="","",IF(R149=1,SUMIFS('Шаг1.Выбор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плиты'!N:N,R149,'Шаг1.Выбор плиты'!M:M,SMALL(INDIRECT("мм"&amp;VLOOKUP(C149,'Шаг1.Выбор плиты'!C:Q,12,0)),1)))))))</f>
        <v/>
      </c>
      <c r="H149" s="177" t="str">
        <f ca="1">IF(IF(S149="","",IF(S149=1,SUMIFS('Шаг1.Выбор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плиты'!C:Q,12,0)),1))))))=0,
S149,
IF(S149="","",IF(S149=1,SUMIFS('Шаг1.Выбор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плиты'!N:N,S149,'Шаг1.Выбор плиты'!M:M,SMALL(INDIRECT("мм"&amp;VLOOKUP(C149,'Шаг1.Выбор плиты'!C:Q,12,0)),1)))))))</f>
        <v/>
      </c>
      <c r="I149" s="147" t="str">
        <f ca="1">IFERROR(IFERROR(IF(VLOOKUP($A149,'Шаг2.Бланк заказа NEW'!$B$17:$N$201,6,0)="","",VLOOKUP($A149,'Шаг2.Бланк заказа NEW'!$B$17:$N$201,6,0)),
IF(VLOOKUP($A149-COUNT('Шаг2.Бланк заказа NEW'!$B$19:$B$201),'Бланк OLD 0.8 04'!$B$12:$K$200,6,0)="","",VLOOKUP($A149-COUNT('Шаг2.Бланк заказа NEW'!$B$19:$B$201),'Бланк OLD 0.8 04'!$B$12:$K$200,6,0))),
IF(VLOOKUP($A149-COUNT('Шаг2.Бланк заказа NEW'!$B$19:$B$201)-COUNT('Бланк OLD 0.8 04'!$B$18:$B$200),'Бланк OLD 2.0 04 '!$B$16:$K$200,6,0)="","",VLOOKUP($A149-COUNT('Шаг2.Бланк заказа NEW'!$B$19:$B$201)-COUNT('Бланк OLD 0.8 04'!$B$18:$B$200),'Бланк OLD 2.0 04 '!$B$16:$K$200,6,0)))</f>
        <v/>
      </c>
      <c r="J149" s="177" t="str">
        <f ca="1">IF(IF(T149="","",IF(T149=1,SUMIFS('Шаг1.Выбор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плиты'!C:Q,12,0)),1))))))=0,
T149,
IF(T149="","",IF(T149=1,SUMIFS('Шаг1.Выбор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плиты'!N:N,T149,'Шаг1.Выбор плиты'!M:M,SMALL(INDIRECT("мм"&amp;VLOOKUP(C149,'Шаг1.Выбор плиты'!C:Q,12,0)),1)))))))</f>
        <v/>
      </c>
      <c r="K149" s="177" t="str">
        <f ca="1">IF(IF(U149="","",IF(U149=1,SUMIFS('Шаг1.Выбор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плиты'!C:Q,12,0)),1))))))=0,
U149,
IF(U149="","",IF(U149=1,SUMIFS('Шаг1.Выбор плиты'!$G:$G,'Шаг1.Выбор плиты'!J:J,"*"&amp;RIGHT(VLOOKUP(C149,'Шаг1.Выбор плиты'!C:Q,8,0),4),'Шаг1.Выбор плиты'!L:L,IF(MID(C149,1,6)="ЛДСП P","TM"&amp;MID(VLOOKUP(C149,'Шаг1.Выбор плиты'!C:Q,10,0),3,2),MID(VLOOKUP(C149,'Шаг1.Выбор плиты'!C:Q,10,0),1,2)),
'Шаг1.Выбор плиты'!N:N,1),IF(SUMIFS('Шаг1.Выбор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плиты'!C:Q,12,0)),1))=0,
IF(SUMIFS('Шаг1.Выбор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плиты'!C:Q,12,0)),2))=0,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плиты'!C:Q,12,0)),3)),
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плиты'!C:Q,12,0)),2))),
(SUMIFS('Шаг1.Выбор плиты'!$G:$G,'Шаг1.Выбор плиты'!J:J,"*"&amp;RIGHT(VLOOKUP(C149,'Шаг1.Выбор плиты'!C:Q,8,0),4),'Шаг1.Выбор плиты'!L:L,VLOOKUP(C149,'Шаг1.Выбор плиты'!C:Q,10,0),'Шаг1.Выбор плиты'!N:N,U149,'Шаг1.Выбор плиты'!M:M,SMALL(INDIRECT("мм"&amp;VLOOKUP(C149,'Шаг1.Выбор плиты'!C:Q,12,0)),1)))))))</f>
        <v/>
      </c>
      <c r="L149" s="147" t="str">
        <f ca="1">IFERROR(IFERROR(IF(VLOOKUP($A149,'Шаг2.Бланк заказа NEW'!$B$17:$N$201,9,0)="","",VLOOKUP($A149,'Шаг2.Бланк заказа NEW'!$B$17:$N$201,9,0)),
IF(VLOOKUP($A149-COUNT('Шаг2.Бланк заказа NEW'!$B$19:$B$201),'Бланк OLD 0.8 04'!$B$12:$K$200,9,0)="","",VLOOKUP($A149-COUNT('Шаг2.Бланк заказа NEW'!$B$19:$B$201),'Бланк OLD 0.8 04'!$B$12:$K$200,9,0))),
IF(VLOOKUP($A149-COUNT('Шаг2.Бланк заказа NEW'!$B$19:$B$201)-COUNT('Бланк OLD 0.8 04'!$B$18:$B$200),'Бланк OLD 2.0 04 '!$B$16:$K$200,9,0)="","",VLOOKUP($A149-COUNT('Шаг2.Бланк заказа NEW'!$B$19:$B$201)-COUNT('Бланк OLD 0.8 04'!$B$18:$B$200),'Бланк OLD 2.0 04 '!$B$16:$K$200,9,0)))</f>
        <v/>
      </c>
      <c r="M149" s="154" t="str">
        <f t="shared" ca="1" si="15"/>
        <v/>
      </c>
      <c r="N149" s="153" t="str">
        <f ca="1">IFERROR(IF(VLOOKUP($A149,'Шаг2.Бланк заказа NEW'!$B$17:$N$201,11,0)="","",VLOOKUP($A149,'Шаг2.Бланк заказа NEW'!$B$17:$N$201,11,0)),
"Нет")</f>
        <v/>
      </c>
      <c r="O149" s="147" t="str">
        <f ca="1">IFERROR(IF(VLOOKUP($A149,'Шаг2.Бланк заказа NEW'!$B$17:$N$201,11,0)="","",VLOOKUP($A149,'Шаг2.Бланк заказа NEW'!$B$17:$N$201,12,0)),
"Нет")</f>
        <v/>
      </c>
      <c r="P149" s="153" t="str">
        <f ca="1">IFERROR(IF(VLOOKUP($A149,'Шаг2.Бланк заказа NEW'!$B$17:$N$201,13,0)="","",VLOOKUP($A149,'Шаг2.Бланк заказа NEW'!$B$17:$N$201,13,0)),
"Нет")</f>
        <v/>
      </c>
      <c r="Q149" s="147" t="str">
        <f ca="1">IFERROR(IF(VLOOKUP($A149,'Шаг2.Бланк заказа NEW'!$B$17:$O$201,14,0)="","",VLOOKUP($A149,'Шаг2.Бланк заказа NEW'!$B$17:$O$201,14,0)),"")</f>
        <v/>
      </c>
      <c r="R149" s="147" t="str">
        <f ca="1">IFERROR(IFERROR(IF(VLOOKUP($A149,'Шаг2.Бланк заказа NEW'!$B$17:$N$201,4,0)="","",VLOOKUP($A149,'Шаг2.Бланк заказа NEW'!$B$17:$N$201,4,0)),
IF(VLOOKUP($A149-COUNT('Шаг2.Бланк заказа NEW'!$B$19:$B$201),'Бланк OLD 0.8 04'!$B$12:$K$200,4,0)&gt;0,0.8,
IF(VLOOKUP($A149-COUNT('Шаг2.Бланк заказа NEW'!$B$19:$B$201),'Бланк OLD 0.8 04'!$B$12:$K$200,5,0)&gt;0,0.4,""))),
IF(VLOOKUP($A149-COUNT('Шаг2.Бланк заказа NEW'!$B$19:$B$201)-COUNT('Бланк OLD 0.8 04'!$B$18:$B$200),'Бланк OLD 2.0 04 '!$B$16:$K$200,4,0)&gt;0,2,IF(VLOOKUP($A149-COUNT('Шаг2.Бланк заказа NEW'!$B$19:$B$201)-COUNT('Бланк OLD 0.8 04'!$B$18:$B$200),'Бланк OLD 2.0 04 '!$B$16:$K$200,5,0)&gt;0,0.4,"")))</f>
        <v/>
      </c>
      <c r="S149" s="147" t="str">
        <f ca="1">IFERROR(IFERROR(IF(VLOOKUP($A149,'Шаг2.Бланк заказа NEW'!$B$17:$N$201,5,0)="","",VLOOKUP($A149,'Шаг2.Бланк заказа NEW'!$B$17:$N$201,5,0)),
IF(VLOOKUP($A149-COUNT('Шаг2.Бланк заказа NEW'!$B$19:$B$201),'Бланк OLD 0.8 04'!$B$12:$K$200,4,0)&gt;1,0.8,
IF(VLOOKUP($A149-COUNT('Шаг2.Бланк заказа NEW'!$B$19:$B$201),'Бланк OLD 0.8 04'!$B$12:$K$200,5,0)&gt;1,0.4,
IF(AND(VLOOKUP($A149-COUNT('Шаг2.Бланк заказа NEW'!$B$19:$B$201),'Бланк OLD 0.8 04'!$B$12:$K$200,4,0)&gt;0,VLOOKUP($A149-COUNT('Шаг2.Бланк заказа NEW'!$B$19:$B$201),'Бланк OLD 0.8 04'!$B$12:$K$200,5,0)&gt;0),0.4,"")))),
IF(VLOOKUP($A149-COUNT('Шаг2.Бланк заказа NEW'!$B$19:$B$201)-COUNT('Бланк OLD 0.8 04'!$B$18:$B$200),'Бланк OLD 2.0 04 '!$B$16:$K$200,4,0)&gt;1,2,
IF(VLOOKUP($A149-COUNT('Шаг2.Бланк заказа NEW'!$B$19:$B$201)-COUNT('Бланк OLD 0.8 04'!$B$18:$B$200),'Бланк OLD 2.0 04 '!$B$16:$K$200,5,0)&gt;1,0.4,IF(AND(VLOOKUP($A149-COUNT('Шаг2.Бланк заказа NEW'!$B$19:$B$201)-COUNT('Бланк OLD 0.8 04'!$B$18:$B$200),'Бланк OLD 2.0 04 '!$B$16:$K$200,4,0)&gt;0,VLOOKUP($A149-COUNT('Шаг2.Бланк заказа NEW'!$B$19:$B$201)-COUNT('Бланк OLD 0.8 04'!$B$18:$B$200),'Бланк OLD 2.0 04 '!$B$16:$K$200,5,0)&gt;0),0.4,""))))</f>
        <v/>
      </c>
      <c r="T149" s="147" t="str">
        <f ca="1">IFERROR(IFERROR(IF(VLOOKUP($A149,'Шаг2.Бланк заказа NEW'!$B$17:$N$201,7,0)="","",VLOOKUP($A149,'Шаг2.Бланк заказа NEW'!$B$17:$N$201,7,0)),
IF(VLOOKUP($A149-COUNT('Шаг2.Бланк заказа NEW'!$B$19:$B$201),'Бланк OLD 0.8 04'!$B$12:$K$200,7,0)&gt;0,0.8,
IF(VLOOKUP($A149-COUNT('Шаг2.Бланк заказа NEW'!$B$19:$B$201),'Бланк OLD 0.8 04'!$B$12:$K$200,8,0)&gt;0,0.4,""))),
IF(VLOOKUP($A149-COUNT('Шаг2.Бланк заказа NEW'!$B$19:$B$201)-COUNT('Бланк OLD 0.8 04'!$B$18:$B$200),'Бланк OLD 2.0 04 '!$B$16:$K$200,7,0)&gt;0,2,IF(VLOOKUP($A149-COUNT('Шаг2.Бланк заказа NEW'!$B$19:$B$201)-COUNT('Бланк OLD 0.8 04'!$B$18:$B$200),'Бланк OLD 2.0 04 '!$B$16:$K$200,8,0)&gt;0,0.4,"")))</f>
        <v/>
      </c>
      <c r="U149" s="147" t="str">
        <f ca="1">IFERROR(IFERROR(IF(VLOOKUP($A149,'Шаг2.Бланк заказа NEW'!$B$17:$N$201,8,0)="","",VLOOKUP($A149,'Шаг2.Бланк заказа NEW'!$B$17:$N$201,8,0)),
IF(VLOOKUP($A149-COUNT('Шаг2.Бланк заказа NEW'!$B$19:$B$201),'Бланк OLD 0.8 04'!$B$12:$K$200,7,0)&gt;1,0.8,
IF(VLOOKUP($A149-COUNT('Шаг2.Бланк заказа NEW'!$B$19:$B$201),'Бланк OLD 0.8 04'!$B$12:$K$200,8,0)&gt;1,0.4,
IF(AND(VLOOKUP($A149-COUNT('Шаг2.Бланк заказа NEW'!$B$19:$B$201),'Бланк OLD 0.8 04'!$B$12:$K$200,7,0)&gt;0,VLOOKUP($A149-COUNT('Шаг2.Бланк заказа NEW'!$B$19:$B$201),'Бланк OLD 0.8 04'!$B$12:$K$200,8,0)&gt;0),0.4,"")))),
IF(VLOOKUP($A149-COUNT('Шаг2.Бланк заказа NEW'!$B$19:$B$201)-COUNT('Бланк OLD 0.8 04'!$B$18:$B$200),'Бланк OLD 2.0 04 '!$B$16:$K$200,7,0)&gt;1,2,
IF(VLOOKUP($A149-COUNT('Шаг2.Бланк заказа NEW'!$B$19:$B$201)-COUNT('Бланк OLD 0.8 04'!$B$18:$B$200),'Бланк OLD 2.0 04 '!$B$16:$K$200,8,0)&gt;1,0.4,
IF(AND(VLOOKUP($A149-COUNT('Шаг2.Бланк заказа NEW'!$B$19:$B$201)-COUNT('Бланк OLD 0.8 04'!$B$18:$B$200),'Бланк OLD 2.0 04 '!$B$16:$K$200,7,0)&gt;0,VLOOKUP($A149-COUNT('Шаг2.Бланк заказа NEW'!$B$19:$B$201)-COUNT('Бланк OLD 0.8 04'!$B$18:$B$200),'Бланк OLD 2.0 04 '!$B$16:$K$200,8,0)&gt;0),0.4,""))))</f>
        <v/>
      </c>
      <c r="V149" s="146" t="str">
        <f ca="1">IFERROR(VLOOKUP(C149,'Шаг1.Выбор плиты'!C:S,12,0),"")</f>
        <v/>
      </c>
      <c r="W149" s="146" t="str">
        <f ca="1">IFERROR(VLOOKUP(C149,'Шаг1.Выбор плиты'!C:S,8,0),"")</f>
        <v/>
      </c>
      <c r="X149" s="146" t="str">
        <f ca="1">IFERROR(VLOOKUP(C149,'Шаг1.Выбор плиты'!C:S,10,0),"")</f>
        <v/>
      </c>
      <c r="Y149" s="147" t="str">
        <f t="shared" ca="1" si="13"/>
        <v/>
      </c>
      <c r="AD149" s="147" t="str">
        <f t="shared" ca="1" si="16"/>
        <v/>
      </c>
      <c r="AE149" s="147" t="str">
        <f t="shared" ca="1" si="14"/>
        <v/>
      </c>
      <c r="AF149" s="25"/>
      <c r="AH149" s="147" t="str">
        <f ca="1">IF(C149="","",VLOOKUP(C149,'Шаг1.Выбор плиты'!C:Q,7,0))</f>
        <v/>
      </c>
      <c r="AI149" s="147" t="str">
        <f t="shared" ca="1" si="17"/>
        <v/>
      </c>
    </row>
    <row r="150" spans="1:35" x14ac:dyDescent="0.2">
      <c r="A150" s="151" t="str">
        <f ca="1">IF(C150="","",MAX($A$1:OFFSET(C150,-1,0))+1)</f>
        <v/>
      </c>
      <c r="B150" s="151" t="str">
        <f ca="1">IFERROR(IFERROR(IFERROR("Шаг2.Бланк заказа NEW №"&amp;VLOOKUP(A149+1,CHOOSE({1,2},'Шаг2.Бланк заказа NEW'!$B$19:$B$201,'Шаг2.Бланк заказа NEW'!$A$19:$A$201),1,0),
"Бланк OLD 0.8 04 №"&amp;VLOOKUP(A149+1-COUNT('Шаг2.Бланк заказа NEW'!$B$19:$B$201),CHOOSE({1,2},'Бланк OLD 0.8 04'!$B$18:$B$200,'Бланк OLD 0.8 04'!$A$18:$A$200),1,0)),
"Бланк OLD 2.0 04 №"&amp;VLOOKUP(A149+1-COUNT('Шаг2.Бланк заказа NEW'!$B$19:$B$201)-COUNT('Бланк OLD 0.8 04'!$B$18:$B$200),CHOOSE({1,2},'Бланк OLD 2.0 04 '!$B$18:$B$200,'Бланк OLD 2.0 04 '!$A$18:$A$200),1,0)),"")</f>
        <v/>
      </c>
      <c r="C150" s="152" t="str">
        <f ca="1">IFERROR(IFERROR(IFERROR(VLOOKUP(A149+1,CHOOSE({1,2},'Шаг2.Бланк заказа NEW'!$B$19:$B$201,'Шаг2.Бланк заказа NEW'!$A$19:$A$201),2,0),
VLOOKUP(A149+1-COUNT('Шаг2.Бланк заказа NEW'!$B$19:$B$201),CHOOSE({1,2},'Бланк OLD 0.8 04'!$B$18:$B$200,'Бланк OLD 0.8 04'!$A$18:$A$200),2,0)),
VLOOKUP(A149+1-COUNT('Шаг2.Бланк заказа NEW'!$B$19:$B$201)-COUNT('Бланк OLD 0.8 04'!$B$18:$B$200),CHOOSE({1,2},'Бланк OLD 2.0 04 '!$B$18:$B$200,'Бланк OLD 2.0 04 '!$A$18:$A$200),2,0)),"")</f>
        <v/>
      </c>
      <c r="D150" s="150" t="str">
        <f ca="1">IFERROR(VLOOKUP(C150,'Шаг1.Выбор плиты'!C:G,5,0),"")</f>
        <v/>
      </c>
      <c r="E150" s="147" t="str">
        <f ca="1">IFERROR(IFERROR(IF(VLOOKUP($A150,'Шаг2.Бланк заказа NEW'!$B$17:$N$201,2,0)="","",VLOOKUP($A150,'Шаг2.Бланк заказа NEW'!$B$17:$N$201,2,0)),
IF(VLOOKUP($A150-COUNT('Шаг2.Бланк заказа NEW'!$B$19:$B$201),'Бланк OLD 0.8 04'!$B$12:$K$200,2,0)="","",VLOOKUP($A150-COUNT('Шаг2.Бланк заказа NEW'!$B$19:$B$201),'Бланк OLD 0.8 04'!$B$12:$K$200,2,0))),
IF(VLOOKUP($A150-COUNT('Шаг2.Бланк заказа NEW'!$B$19:$B$201)-COUNT('Бланк OLD 0.8 04'!$B$18:$B$200),'Бланк OLD 2.0 04 '!$B$16:$K$200,2,0)="","",VLOOKUP($A150-COUNT('Шаг2.Бланк заказа NEW'!$B$19:$B$201)-COUNT('Бланк OLD 0.8 04'!$B$18:$B$200),'Бланк OLD 2.0 04 '!$B$16:$K$200,2,0)))</f>
        <v/>
      </c>
      <c r="F150" s="147" t="str">
        <f ca="1">IFERROR(IFERROR(IF(VLOOKUP($A150,'Шаг2.Бланк заказа NEW'!$B$17:$N$201,3,0)="","",VLOOKUP($A150,'Шаг2.Бланк заказа NEW'!$B$17:$N$201,3,0)),
IF(VLOOKUP($A150-COUNT('Шаг2.Бланк заказа NEW'!$B$19:$B$201),'Бланк OLD 0.8 04'!$B$12:$K$200,3,0)="","",VLOOKUP($A150-COUNT('Шаг2.Бланк заказа NEW'!$B$19:$B$201),'Бланк OLD 0.8 04'!$B$12:$K$200,3,0))),
IF(VLOOKUP($A150-COUNT('Шаг2.Бланк заказа NEW'!$B$19:$B$201)-COUNT('Бланк OLD 0.8 04'!$B$18:$B$200),'Бланк OLD 2.0 04 '!$B$16:$K$200,3,0)="","",VLOOKUP($A150-COUNT('Шаг2.Бланк заказа NEW'!$B$19:$B$201)-COUNT('Бланк OLD 0.8 04'!$B$18:$B$200),'Бланк OLD 2.0 04 '!$B$16:$K$200,3,0)))</f>
        <v/>
      </c>
      <c r="G150" s="176" t="str">
        <f ca="1">IF(IF(R150="","",IF(R150=1,SUMIFS('Шаг1.Выбор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плиты'!C:Q,12,0)),1))))))=0,
R150,
IF(R150="","",IF(R150=1,SUMIFS('Шаг1.Выбор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плиты'!N:N,R150,'Шаг1.Выбор плиты'!M:M,SMALL(INDIRECT("мм"&amp;VLOOKUP(C150,'Шаг1.Выбор плиты'!C:Q,12,0)),1)))))))</f>
        <v/>
      </c>
      <c r="H150" s="177" t="str">
        <f ca="1">IF(IF(S150="","",IF(S150=1,SUMIFS('Шаг1.Выбор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плиты'!C:Q,12,0)),1))))))=0,
S150,
IF(S150="","",IF(S150=1,SUMIFS('Шаг1.Выбор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плиты'!N:N,S150,'Шаг1.Выбор плиты'!M:M,SMALL(INDIRECT("мм"&amp;VLOOKUP(C150,'Шаг1.Выбор плиты'!C:Q,12,0)),1)))))))</f>
        <v/>
      </c>
      <c r="I150" s="147" t="str">
        <f ca="1">IFERROR(IFERROR(IF(VLOOKUP($A150,'Шаг2.Бланк заказа NEW'!$B$17:$N$201,6,0)="","",VLOOKUP($A150,'Шаг2.Бланк заказа NEW'!$B$17:$N$201,6,0)),
IF(VLOOKUP($A150-COUNT('Шаг2.Бланк заказа NEW'!$B$19:$B$201),'Бланк OLD 0.8 04'!$B$12:$K$200,6,0)="","",VLOOKUP($A150-COUNT('Шаг2.Бланк заказа NEW'!$B$19:$B$201),'Бланк OLD 0.8 04'!$B$12:$K$200,6,0))),
IF(VLOOKUP($A150-COUNT('Шаг2.Бланк заказа NEW'!$B$19:$B$201)-COUNT('Бланк OLD 0.8 04'!$B$18:$B$200),'Бланк OLD 2.0 04 '!$B$16:$K$200,6,0)="","",VLOOKUP($A150-COUNT('Шаг2.Бланк заказа NEW'!$B$19:$B$201)-COUNT('Бланк OLD 0.8 04'!$B$18:$B$200),'Бланк OLD 2.0 04 '!$B$16:$K$200,6,0)))</f>
        <v/>
      </c>
      <c r="J150" s="177" t="str">
        <f ca="1">IF(IF(T150="","",IF(T150=1,SUMIFS('Шаг1.Выбор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плиты'!C:Q,12,0)),1))))))=0,
T150,
IF(T150="","",IF(T150=1,SUMIFS('Шаг1.Выбор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плиты'!N:N,T150,'Шаг1.Выбор плиты'!M:M,SMALL(INDIRECT("мм"&amp;VLOOKUP(C150,'Шаг1.Выбор плиты'!C:Q,12,0)),1)))))))</f>
        <v/>
      </c>
      <c r="K150" s="177" t="str">
        <f ca="1">IF(IF(U150="","",IF(U150=1,SUMIFS('Шаг1.Выбор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плиты'!C:Q,12,0)),1))))))=0,
U150,
IF(U150="","",IF(U150=1,SUMIFS('Шаг1.Выбор плиты'!$G:$G,'Шаг1.Выбор плиты'!J:J,"*"&amp;RIGHT(VLOOKUP(C150,'Шаг1.Выбор плиты'!C:Q,8,0),4),'Шаг1.Выбор плиты'!L:L,IF(MID(C150,1,6)="ЛДСП P","TM"&amp;MID(VLOOKUP(C150,'Шаг1.Выбор плиты'!C:Q,10,0),3,2),MID(VLOOKUP(C150,'Шаг1.Выбор плиты'!C:Q,10,0),1,2)),
'Шаг1.Выбор плиты'!N:N,1),IF(SUMIFS('Шаг1.Выбор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плиты'!C:Q,12,0)),1))=0,
IF(SUMIFS('Шаг1.Выбор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плиты'!C:Q,12,0)),2))=0,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плиты'!C:Q,12,0)),3)),
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плиты'!C:Q,12,0)),2))),
(SUMIFS('Шаг1.Выбор плиты'!$G:$G,'Шаг1.Выбор плиты'!J:J,"*"&amp;RIGHT(VLOOKUP(C150,'Шаг1.Выбор плиты'!C:Q,8,0),4),'Шаг1.Выбор плиты'!L:L,VLOOKUP(C150,'Шаг1.Выбор плиты'!C:Q,10,0),'Шаг1.Выбор плиты'!N:N,U150,'Шаг1.Выбор плиты'!M:M,SMALL(INDIRECT("мм"&amp;VLOOKUP(C150,'Шаг1.Выбор плиты'!C:Q,12,0)),1)))))))</f>
        <v/>
      </c>
      <c r="L150" s="147" t="str">
        <f ca="1">IFERROR(IFERROR(IF(VLOOKUP($A150,'Шаг2.Бланк заказа NEW'!$B$17:$N$201,9,0)="","",VLOOKUP($A150,'Шаг2.Бланк заказа NEW'!$B$17:$N$201,9,0)),
IF(VLOOKUP($A150-COUNT('Шаг2.Бланк заказа NEW'!$B$19:$B$201),'Бланк OLD 0.8 04'!$B$12:$K$200,9,0)="","",VLOOKUP($A150-COUNT('Шаг2.Бланк заказа NEW'!$B$19:$B$201),'Бланк OLD 0.8 04'!$B$12:$K$200,9,0))),
IF(VLOOKUP($A150-COUNT('Шаг2.Бланк заказа NEW'!$B$19:$B$201)-COUNT('Бланк OLD 0.8 04'!$B$18:$B$200),'Бланк OLD 2.0 04 '!$B$16:$K$200,9,0)="","",VLOOKUP($A150-COUNT('Шаг2.Бланк заказа NEW'!$B$19:$B$201)-COUNT('Бланк OLD 0.8 04'!$B$18:$B$200),'Бланк OLD 2.0 04 '!$B$16:$K$200,9,0)))</f>
        <v/>
      </c>
      <c r="M150" s="154" t="str">
        <f t="shared" ca="1" si="15"/>
        <v/>
      </c>
      <c r="N150" s="153" t="str">
        <f ca="1">IFERROR(IF(VLOOKUP($A150,'Шаг2.Бланк заказа NEW'!$B$17:$N$201,11,0)="","",VLOOKUP($A150,'Шаг2.Бланк заказа NEW'!$B$17:$N$201,11,0)),
"Нет")</f>
        <v/>
      </c>
      <c r="O150" s="147" t="str">
        <f ca="1">IFERROR(IF(VLOOKUP($A150,'Шаг2.Бланк заказа NEW'!$B$17:$N$201,11,0)="","",VLOOKUP($A150,'Шаг2.Бланк заказа NEW'!$B$17:$N$201,12,0)),
"Нет")</f>
        <v/>
      </c>
      <c r="P150" s="153" t="str">
        <f ca="1">IFERROR(IF(VLOOKUP($A150,'Шаг2.Бланк заказа NEW'!$B$17:$N$201,13,0)="","",VLOOKUP($A150,'Шаг2.Бланк заказа NEW'!$B$17:$N$201,13,0)),
"Нет")</f>
        <v/>
      </c>
      <c r="Q150" s="147" t="str">
        <f ca="1">IFERROR(IF(VLOOKUP($A150,'Шаг2.Бланк заказа NEW'!$B$17:$O$201,14,0)="","",VLOOKUP($A150,'Шаг2.Бланк заказа NEW'!$B$17:$O$201,14,0)),"")</f>
        <v/>
      </c>
      <c r="R150" s="147" t="str">
        <f ca="1">IFERROR(IFERROR(IF(VLOOKUP($A150,'Шаг2.Бланк заказа NEW'!$B$17:$N$201,4,0)="","",VLOOKUP($A150,'Шаг2.Бланк заказа NEW'!$B$17:$N$201,4,0)),
IF(VLOOKUP($A150-COUNT('Шаг2.Бланк заказа NEW'!$B$19:$B$201),'Бланк OLD 0.8 04'!$B$12:$K$200,4,0)&gt;0,0.8,
IF(VLOOKUP($A150-COUNT('Шаг2.Бланк заказа NEW'!$B$19:$B$201),'Бланк OLD 0.8 04'!$B$12:$K$200,5,0)&gt;0,0.4,""))),
IF(VLOOKUP($A150-COUNT('Шаг2.Бланк заказа NEW'!$B$19:$B$201)-COUNT('Бланк OLD 0.8 04'!$B$18:$B$200),'Бланк OLD 2.0 04 '!$B$16:$K$200,4,0)&gt;0,2,IF(VLOOKUP($A150-COUNT('Шаг2.Бланк заказа NEW'!$B$19:$B$201)-COUNT('Бланк OLD 0.8 04'!$B$18:$B$200),'Бланк OLD 2.0 04 '!$B$16:$K$200,5,0)&gt;0,0.4,"")))</f>
        <v/>
      </c>
      <c r="S150" s="147" t="str">
        <f ca="1">IFERROR(IFERROR(IF(VLOOKUP($A150,'Шаг2.Бланк заказа NEW'!$B$17:$N$201,5,0)="","",VLOOKUP($A150,'Шаг2.Бланк заказа NEW'!$B$17:$N$201,5,0)),
IF(VLOOKUP($A150-COUNT('Шаг2.Бланк заказа NEW'!$B$19:$B$201),'Бланк OLD 0.8 04'!$B$12:$K$200,4,0)&gt;1,0.8,
IF(VLOOKUP($A150-COUNT('Шаг2.Бланк заказа NEW'!$B$19:$B$201),'Бланк OLD 0.8 04'!$B$12:$K$200,5,0)&gt;1,0.4,
IF(AND(VLOOKUP($A150-COUNT('Шаг2.Бланк заказа NEW'!$B$19:$B$201),'Бланк OLD 0.8 04'!$B$12:$K$200,4,0)&gt;0,VLOOKUP($A150-COUNT('Шаг2.Бланк заказа NEW'!$B$19:$B$201),'Бланк OLD 0.8 04'!$B$12:$K$200,5,0)&gt;0),0.4,"")))),
IF(VLOOKUP($A150-COUNT('Шаг2.Бланк заказа NEW'!$B$19:$B$201)-COUNT('Бланк OLD 0.8 04'!$B$18:$B$200),'Бланк OLD 2.0 04 '!$B$16:$K$200,4,0)&gt;1,2,
IF(VLOOKUP($A150-COUNT('Шаг2.Бланк заказа NEW'!$B$19:$B$201)-COUNT('Бланк OLD 0.8 04'!$B$18:$B$200),'Бланк OLD 2.0 04 '!$B$16:$K$200,5,0)&gt;1,0.4,IF(AND(VLOOKUP($A150-COUNT('Шаг2.Бланк заказа NEW'!$B$19:$B$201)-COUNT('Бланк OLD 0.8 04'!$B$18:$B$200),'Бланк OLD 2.0 04 '!$B$16:$K$200,4,0)&gt;0,VLOOKUP($A150-COUNT('Шаг2.Бланк заказа NEW'!$B$19:$B$201)-COUNT('Бланк OLD 0.8 04'!$B$18:$B$200),'Бланк OLD 2.0 04 '!$B$16:$K$200,5,0)&gt;0),0.4,""))))</f>
        <v/>
      </c>
      <c r="T150" s="147" t="str">
        <f ca="1">IFERROR(IFERROR(IF(VLOOKUP($A150,'Шаг2.Бланк заказа NEW'!$B$17:$N$201,7,0)="","",VLOOKUP($A150,'Шаг2.Бланк заказа NEW'!$B$17:$N$201,7,0)),
IF(VLOOKUP($A150-COUNT('Шаг2.Бланк заказа NEW'!$B$19:$B$201),'Бланк OLD 0.8 04'!$B$12:$K$200,7,0)&gt;0,0.8,
IF(VLOOKUP($A150-COUNT('Шаг2.Бланк заказа NEW'!$B$19:$B$201),'Бланк OLD 0.8 04'!$B$12:$K$200,8,0)&gt;0,0.4,""))),
IF(VLOOKUP($A150-COUNT('Шаг2.Бланк заказа NEW'!$B$19:$B$201)-COUNT('Бланк OLD 0.8 04'!$B$18:$B$200),'Бланк OLD 2.0 04 '!$B$16:$K$200,7,0)&gt;0,2,IF(VLOOKUP($A150-COUNT('Шаг2.Бланк заказа NEW'!$B$19:$B$201)-COUNT('Бланк OLD 0.8 04'!$B$18:$B$200),'Бланк OLD 2.0 04 '!$B$16:$K$200,8,0)&gt;0,0.4,"")))</f>
        <v/>
      </c>
      <c r="U150" s="147" t="str">
        <f ca="1">IFERROR(IFERROR(IF(VLOOKUP($A150,'Шаг2.Бланк заказа NEW'!$B$17:$N$201,8,0)="","",VLOOKUP($A150,'Шаг2.Бланк заказа NEW'!$B$17:$N$201,8,0)),
IF(VLOOKUP($A150-COUNT('Шаг2.Бланк заказа NEW'!$B$19:$B$201),'Бланк OLD 0.8 04'!$B$12:$K$200,7,0)&gt;1,0.8,
IF(VLOOKUP($A150-COUNT('Шаг2.Бланк заказа NEW'!$B$19:$B$201),'Бланк OLD 0.8 04'!$B$12:$K$200,8,0)&gt;1,0.4,
IF(AND(VLOOKUP($A150-COUNT('Шаг2.Бланк заказа NEW'!$B$19:$B$201),'Бланк OLD 0.8 04'!$B$12:$K$200,7,0)&gt;0,VLOOKUP($A150-COUNT('Шаг2.Бланк заказа NEW'!$B$19:$B$201),'Бланк OLD 0.8 04'!$B$12:$K$200,8,0)&gt;0),0.4,"")))),
IF(VLOOKUP($A150-COUNT('Шаг2.Бланк заказа NEW'!$B$19:$B$201)-COUNT('Бланк OLD 0.8 04'!$B$18:$B$200),'Бланк OLD 2.0 04 '!$B$16:$K$200,7,0)&gt;1,2,
IF(VLOOKUP($A150-COUNT('Шаг2.Бланк заказа NEW'!$B$19:$B$201)-COUNT('Бланк OLD 0.8 04'!$B$18:$B$200),'Бланк OLD 2.0 04 '!$B$16:$K$200,8,0)&gt;1,0.4,
IF(AND(VLOOKUP($A150-COUNT('Шаг2.Бланк заказа NEW'!$B$19:$B$201)-COUNT('Бланк OLD 0.8 04'!$B$18:$B$200),'Бланк OLD 2.0 04 '!$B$16:$K$200,7,0)&gt;0,VLOOKUP($A150-COUNT('Шаг2.Бланк заказа NEW'!$B$19:$B$201)-COUNT('Бланк OLD 0.8 04'!$B$18:$B$200),'Бланк OLD 2.0 04 '!$B$16:$K$200,8,0)&gt;0),0.4,""))))</f>
        <v/>
      </c>
      <c r="V150" s="146" t="str">
        <f ca="1">IFERROR(VLOOKUP(C150,'Шаг1.Выбор плиты'!C:S,12,0),"")</f>
        <v/>
      </c>
      <c r="W150" s="146" t="str">
        <f ca="1">IFERROR(VLOOKUP(C150,'Шаг1.Выбор плиты'!C:S,8,0),"")</f>
        <v/>
      </c>
      <c r="X150" s="146" t="str">
        <f ca="1">IFERROR(VLOOKUP(C150,'Шаг1.Выбор плиты'!C:S,10,0),"")</f>
        <v/>
      </c>
      <c r="Y150" s="147" t="str">
        <f t="shared" ca="1" si="13"/>
        <v/>
      </c>
      <c r="AD150" s="147" t="str">
        <f t="shared" ca="1" si="16"/>
        <v/>
      </c>
      <c r="AE150" s="147" t="str">
        <f t="shared" ca="1" si="14"/>
        <v/>
      </c>
      <c r="AF150" s="25"/>
      <c r="AH150" s="147" t="str">
        <f ca="1">IF(C150="","",VLOOKUP(C150,'Шаг1.Выбор плиты'!C:Q,7,0))</f>
        <v/>
      </c>
      <c r="AI150" s="147" t="str">
        <f t="shared" ca="1" si="17"/>
        <v/>
      </c>
    </row>
    <row r="151" spans="1:35" x14ac:dyDescent="0.2">
      <c r="A151" s="151" t="str">
        <f ca="1">IF(C151="","",MAX($A$1:OFFSET(C151,-1,0))+1)</f>
        <v/>
      </c>
      <c r="B151" s="151" t="str">
        <f ca="1">IFERROR(IFERROR(IFERROR("Шаг2.Бланк заказа NEW №"&amp;VLOOKUP(A150+1,CHOOSE({1,2},'Шаг2.Бланк заказа NEW'!$B$19:$B$201,'Шаг2.Бланк заказа NEW'!$A$19:$A$201),1,0),
"Бланк OLD 0.8 04 №"&amp;VLOOKUP(A150+1-COUNT('Шаг2.Бланк заказа NEW'!$B$19:$B$201),CHOOSE({1,2},'Бланк OLD 0.8 04'!$B$18:$B$200,'Бланк OLD 0.8 04'!$A$18:$A$200),1,0)),
"Бланк OLD 2.0 04 №"&amp;VLOOKUP(A150+1-COUNT('Шаг2.Бланк заказа NEW'!$B$19:$B$201)-COUNT('Бланк OLD 0.8 04'!$B$18:$B$200),CHOOSE({1,2},'Бланк OLD 2.0 04 '!$B$18:$B$200,'Бланк OLD 2.0 04 '!$A$18:$A$200),1,0)),"")</f>
        <v/>
      </c>
      <c r="C151" s="152" t="str">
        <f ca="1">IFERROR(IFERROR(IFERROR(VLOOKUP(A150+1,CHOOSE({1,2},'Шаг2.Бланк заказа NEW'!$B$19:$B$201,'Шаг2.Бланк заказа NEW'!$A$19:$A$201),2,0),
VLOOKUP(A150+1-COUNT('Шаг2.Бланк заказа NEW'!$B$19:$B$201),CHOOSE({1,2},'Бланк OLD 0.8 04'!$B$18:$B$200,'Бланк OLD 0.8 04'!$A$18:$A$200),2,0)),
VLOOKUP(A150+1-COUNT('Шаг2.Бланк заказа NEW'!$B$19:$B$201)-COUNT('Бланк OLD 0.8 04'!$B$18:$B$200),CHOOSE({1,2},'Бланк OLD 2.0 04 '!$B$18:$B$200,'Бланк OLD 2.0 04 '!$A$18:$A$200),2,0)),"")</f>
        <v/>
      </c>
      <c r="D151" s="150" t="str">
        <f ca="1">IFERROR(VLOOKUP(C151,'Шаг1.Выбор плиты'!C:G,5,0),"")</f>
        <v/>
      </c>
      <c r="E151" s="147" t="str">
        <f ca="1">IFERROR(IFERROR(IF(VLOOKUP($A151,'Шаг2.Бланк заказа NEW'!$B$17:$N$201,2,0)="","",VLOOKUP($A151,'Шаг2.Бланк заказа NEW'!$B$17:$N$201,2,0)),
IF(VLOOKUP($A151-COUNT('Шаг2.Бланк заказа NEW'!$B$19:$B$201),'Бланк OLD 0.8 04'!$B$12:$K$200,2,0)="","",VLOOKUP($A151-COUNT('Шаг2.Бланк заказа NEW'!$B$19:$B$201),'Бланк OLD 0.8 04'!$B$12:$K$200,2,0))),
IF(VLOOKUP($A151-COUNT('Шаг2.Бланк заказа NEW'!$B$19:$B$201)-COUNT('Бланк OLD 0.8 04'!$B$18:$B$200),'Бланк OLD 2.0 04 '!$B$16:$K$200,2,0)="","",VLOOKUP($A151-COUNT('Шаг2.Бланк заказа NEW'!$B$19:$B$201)-COUNT('Бланк OLD 0.8 04'!$B$18:$B$200),'Бланк OLD 2.0 04 '!$B$16:$K$200,2,0)))</f>
        <v/>
      </c>
      <c r="F151" s="147" t="str">
        <f ca="1">IFERROR(IFERROR(IF(VLOOKUP($A151,'Шаг2.Бланк заказа NEW'!$B$17:$N$201,3,0)="","",VLOOKUP($A151,'Шаг2.Бланк заказа NEW'!$B$17:$N$201,3,0)),
IF(VLOOKUP($A151-COUNT('Шаг2.Бланк заказа NEW'!$B$19:$B$201),'Бланк OLD 0.8 04'!$B$12:$K$200,3,0)="","",VLOOKUP($A151-COUNT('Шаг2.Бланк заказа NEW'!$B$19:$B$201),'Бланк OLD 0.8 04'!$B$12:$K$200,3,0))),
IF(VLOOKUP($A151-COUNT('Шаг2.Бланк заказа NEW'!$B$19:$B$201)-COUNT('Бланк OLD 0.8 04'!$B$18:$B$200),'Бланк OLD 2.0 04 '!$B$16:$K$200,3,0)="","",VLOOKUP($A151-COUNT('Шаг2.Бланк заказа NEW'!$B$19:$B$201)-COUNT('Бланк OLD 0.8 04'!$B$18:$B$200),'Бланк OLD 2.0 04 '!$B$16:$K$200,3,0)))</f>
        <v/>
      </c>
      <c r="G151" s="176" t="str">
        <f ca="1">IF(IF(R151="","",IF(R151=1,SUMIFS('Шаг1.Выбор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плиты'!C:Q,12,0)),1))))))=0,
R151,
IF(R151="","",IF(R151=1,SUMIFS('Шаг1.Выбор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плиты'!N:N,R151,'Шаг1.Выбор плиты'!M:M,SMALL(INDIRECT("мм"&amp;VLOOKUP(C151,'Шаг1.Выбор плиты'!C:Q,12,0)),1)))))))</f>
        <v/>
      </c>
      <c r="H151" s="177" t="str">
        <f ca="1">IF(IF(S151="","",IF(S151=1,SUMIFS('Шаг1.Выбор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плиты'!C:Q,12,0)),1))))))=0,
S151,
IF(S151="","",IF(S151=1,SUMIFS('Шаг1.Выбор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плиты'!N:N,S151,'Шаг1.Выбор плиты'!M:M,SMALL(INDIRECT("мм"&amp;VLOOKUP(C151,'Шаг1.Выбор плиты'!C:Q,12,0)),1)))))))</f>
        <v/>
      </c>
      <c r="I151" s="147" t="str">
        <f ca="1">IFERROR(IFERROR(IF(VLOOKUP($A151,'Шаг2.Бланк заказа NEW'!$B$17:$N$201,6,0)="","",VLOOKUP($A151,'Шаг2.Бланк заказа NEW'!$B$17:$N$201,6,0)),
IF(VLOOKUP($A151-COUNT('Шаг2.Бланк заказа NEW'!$B$19:$B$201),'Бланк OLD 0.8 04'!$B$12:$K$200,6,0)="","",VLOOKUP($A151-COUNT('Шаг2.Бланк заказа NEW'!$B$19:$B$201),'Бланк OLD 0.8 04'!$B$12:$K$200,6,0))),
IF(VLOOKUP($A151-COUNT('Шаг2.Бланк заказа NEW'!$B$19:$B$201)-COUNT('Бланк OLD 0.8 04'!$B$18:$B$200),'Бланк OLD 2.0 04 '!$B$16:$K$200,6,0)="","",VLOOKUP($A151-COUNT('Шаг2.Бланк заказа NEW'!$B$19:$B$201)-COUNT('Бланк OLD 0.8 04'!$B$18:$B$200),'Бланк OLD 2.0 04 '!$B$16:$K$200,6,0)))</f>
        <v/>
      </c>
      <c r="J151" s="177" t="str">
        <f ca="1">IF(IF(T151="","",IF(T151=1,SUMIFS('Шаг1.Выбор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плиты'!C:Q,12,0)),1))))))=0,
T151,
IF(T151="","",IF(T151=1,SUMIFS('Шаг1.Выбор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плиты'!N:N,T151,'Шаг1.Выбор плиты'!M:M,SMALL(INDIRECT("мм"&amp;VLOOKUP(C151,'Шаг1.Выбор плиты'!C:Q,12,0)),1)))))))</f>
        <v/>
      </c>
      <c r="K151" s="177" t="str">
        <f ca="1">IF(IF(U151="","",IF(U151=1,SUMIFS('Шаг1.Выбор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плиты'!C:Q,12,0)),1))))))=0,
U151,
IF(U151="","",IF(U151=1,SUMIFS('Шаг1.Выбор плиты'!$G:$G,'Шаг1.Выбор плиты'!J:J,"*"&amp;RIGHT(VLOOKUP(C151,'Шаг1.Выбор плиты'!C:Q,8,0),4),'Шаг1.Выбор плиты'!L:L,IF(MID(C151,1,6)="ЛДСП P","TM"&amp;MID(VLOOKUP(C151,'Шаг1.Выбор плиты'!C:Q,10,0),3,2),MID(VLOOKUP(C151,'Шаг1.Выбор плиты'!C:Q,10,0),1,2)),
'Шаг1.Выбор плиты'!N:N,1),IF(SUMIFS('Шаг1.Выбор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плиты'!C:Q,12,0)),1))=0,
IF(SUMIFS('Шаг1.Выбор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плиты'!C:Q,12,0)),2))=0,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плиты'!C:Q,12,0)),3)),
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плиты'!C:Q,12,0)),2))),
(SUMIFS('Шаг1.Выбор плиты'!$G:$G,'Шаг1.Выбор плиты'!J:J,"*"&amp;RIGHT(VLOOKUP(C151,'Шаг1.Выбор плиты'!C:Q,8,0),4),'Шаг1.Выбор плиты'!L:L,VLOOKUP(C151,'Шаг1.Выбор плиты'!C:Q,10,0),'Шаг1.Выбор плиты'!N:N,U151,'Шаг1.Выбор плиты'!M:M,SMALL(INDIRECT("мм"&amp;VLOOKUP(C151,'Шаг1.Выбор плиты'!C:Q,12,0)),1)))))))</f>
        <v/>
      </c>
      <c r="L151" s="147" t="str">
        <f ca="1">IFERROR(IFERROR(IF(VLOOKUP($A151,'Шаг2.Бланк заказа NEW'!$B$17:$N$201,9,0)="","",VLOOKUP($A151,'Шаг2.Бланк заказа NEW'!$B$17:$N$201,9,0)),
IF(VLOOKUP($A151-COUNT('Шаг2.Бланк заказа NEW'!$B$19:$B$201),'Бланк OLD 0.8 04'!$B$12:$K$200,9,0)="","",VLOOKUP($A151-COUNT('Шаг2.Бланк заказа NEW'!$B$19:$B$201),'Бланк OLD 0.8 04'!$B$12:$K$200,9,0))),
IF(VLOOKUP($A151-COUNT('Шаг2.Бланк заказа NEW'!$B$19:$B$201)-COUNT('Бланк OLD 0.8 04'!$B$18:$B$200),'Бланк OLD 2.0 04 '!$B$16:$K$200,9,0)="","",VLOOKUP($A151-COUNT('Шаг2.Бланк заказа NEW'!$B$19:$B$201)-COUNT('Бланк OLD 0.8 04'!$B$18:$B$200),'Бланк OLD 2.0 04 '!$B$16:$K$200,9,0)))</f>
        <v/>
      </c>
      <c r="M151" s="154" t="str">
        <f t="shared" ca="1" si="15"/>
        <v/>
      </c>
      <c r="N151" s="153" t="str">
        <f ca="1">IFERROR(IF(VLOOKUP($A151,'Шаг2.Бланк заказа NEW'!$B$17:$N$201,11,0)="","",VLOOKUP($A151,'Шаг2.Бланк заказа NEW'!$B$17:$N$201,11,0)),
"Нет")</f>
        <v/>
      </c>
      <c r="O151" s="147" t="str">
        <f ca="1">IFERROR(IF(VLOOKUP($A151,'Шаг2.Бланк заказа NEW'!$B$17:$N$201,11,0)="","",VLOOKUP($A151,'Шаг2.Бланк заказа NEW'!$B$17:$N$201,12,0)),
"Нет")</f>
        <v/>
      </c>
      <c r="P151" s="153" t="str">
        <f ca="1">IFERROR(IF(VLOOKUP($A151,'Шаг2.Бланк заказа NEW'!$B$17:$N$201,13,0)="","",VLOOKUP($A151,'Шаг2.Бланк заказа NEW'!$B$17:$N$201,13,0)),
"Нет")</f>
        <v/>
      </c>
      <c r="Q151" s="147" t="str">
        <f ca="1">IFERROR(IF(VLOOKUP($A151,'Шаг2.Бланк заказа NEW'!$B$17:$O$201,14,0)="","",VLOOKUP($A151,'Шаг2.Бланк заказа NEW'!$B$17:$O$201,14,0)),"")</f>
        <v/>
      </c>
      <c r="R151" s="147" t="str">
        <f ca="1">IFERROR(IFERROR(IF(VLOOKUP($A151,'Шаг2.Бланк заказа NEW'!$B$17:$N$201,4,0)="","",VLOOKUP($A151,'Шаг2.Бланк заказа NEW'!$B$17:$N$201,4,0)),
IF(VLOOKUP($A151-COUNT('Шаг2.Бланк заказа NEW'!$B$19:$B$201),'Бланк OLD 0.8 04'!$B$12:$K$200,4,0)&gt;0,0.8,
IF(VLOOKUP($A151-COUNT('Шаг2.Бланк заказа NEW'!$B$19:$B$201),'Бланк OLD 0.8 04'!$B$12:$K$200,5,0)&gt;0,0.4,""))),
IF(VLOOKUP($A151-COUNT('Шаг2.Бланк заказа NEW'!$B$19:$B$201)-COUNT('Бланк OLD 0.8 04'!$B$18:$B$200),'Бланк OLD 2.0 04 '!$B$16:$K$200,4,0)&gt;0,2,IF(VLOOKUP($A151-COUNT('Шаг2.Бланк заказа NEW'!$B$19:$B$201)-COUNT('Бланк OLD 0.8 04'!$B$18:$B$200),'Бланк OLD 2.0 04 '!$B$16:$K$200,5,0)&gt;0,0.4,"")))</f>
        <v/>
      </c>
      <c r="S151" s="147" t="str">
        <f ca="1">IFERROR(IFERROR(IF(VLOOKUP($A151,'Шаг2.Бланк заказа NEW'!$B$17:$N$201,5,0)="","",VLOOKUP($A151,'Шаг2.Бланк заказа NEW'!$B$17:$N$201,5,0)),
IF(VLOOKUP($A151-COUNT('Шаг2.Бланк заказа NEW'!$B$19:$B$201),'Бланк OLD 0.8 04'!$B$12:$K$200,4,0)&gt;1,0.8,
IF(VLOOKUP($A151-COUNT('Шаг2.Бланк заказа NEW'!$B$19:$B$201),'Бланк OLD 0.8 04'!$B$12:$K$200,5,0)&gt;1,0.4,
IF(AND(VLOOKUP($A151-COUNT('Шаг2.Бланк заказа NEW'!$B$19:$B$201),'Бланк OLD 0.8 04'!$B$12:$K$200,4,0)&gt;0,VLOOKUP($A151-COUNT('Шаг2.Бланк заказа NEW'!$B$19:$B$201),'Бланк OLD 0.8 04'!$B$12:$K$200,5,0)&gt;0),0.4,"")))),
IF(VLOOKUP($A151-COUNT('Шаг2.Бланк заказа NEW'!$B$19:$B$201)-COUNT('Бланк OLD 0.8 04'!$B$18:$B$200),'Бланк OLD 2.0 04 '!$B$16:$K$200,4,0)&gt;1,2,
IF(VLOOKUP($A151-COUNT('Шаг2.Бланк заказа NEW'!$B$19:$B$201)-COUNT('Бланк OLD 0.8 04'!$B$18:$B$200),'Бланк OLD 2.0 04 '!$B$16:$K$200,5,0)&gt;1,0.4,IF(AND(VLOOKUP($A151-COUNT('Шаг2.Бланк заказа NEW'!$B$19:$B$201)-COUNT('Бланк OLD 0.8 04'!$B$18:$B$200),'Бланк OLD 2.0 04 '!$B$16:$K$200,4,0)&gt;0,VLOOKUP($A151-COUNT('Шаг2.Бланк заказа NEW'!$B$19:$B$201)-COUNT('Бланк OLD 0.8 04'!$B$18:$B$200),'Бланк OLD 2.0 04 '!$B$16:$K$200,5,0)&gt;0),0.4,""))))</f>
        <v/>
      </c>
      <c r="T151" s="147" t="str">
        <f ca="1">IFERROR(IFERROR(IF(VLOOKUP($A151,'Шаг2.Бланк заказа NEW'!$B$17:$N$201,7,0)="","",VLOOKUP($A151,'Шаг2.Бланк заказа NEW'!$B$17:$N$201,7,0)),
IF(VLOOKUP($A151-COUNT('Шаг2.Бланк заказа NEW'!$B$19:$B$201),'Бланк OLD 0.8 04'!$B$12:$K$200,7,0)&gt;0,0.8,
IF(VLOOKUP($A151-COUNT('Шаг2.Бланк заказа NEW'!$B$19:$B$201),'Бланк OLD 0.8 04'!$B$12:$K$200,8,0)&gt;0,0.4,""))),
IF(VLOOKUP($A151-COUNT('Шаг2.Бланк заказа NEW'!$B$19:$B$201)-COUNT('Бланк OLD 0.8 04'!$B$18:$B$200),'Бланк OLD 2.0 04 '!$B$16:$K$200,7,0)&gt;0,2,IF(VLOOKUP($A151-COUNT('Шаг2.Бланк заказа NEW'!$B$19:$B$201)-COUNT('Бланк OLD 0.8 04'!$B$18:$B$200),'Бланк OLD 2.0 04 '!$B$16:$K$200,8,0)&gt;0,0.4,"")))</f>
        <v/>
      </c>
      <c r="U151" s="147" t="str">
        <f ca="1">IFERROR(IFERROR(IF(VLOOKUP($A151,'Шаг2.Бланк заказа NEW'!$B$17:$N$201,8,0)="","",VLOOKUP($A151,'Шаг2.Бланк заказа NEW'!$B$17:$N$201,8,0)),
IF(VLOOKUP($A151-COUNT('Шаг2.Бланк заказа NEW'!$B$19:$B$201),'Бланк OLD 0.8 04'!$B$12:$K$200,7,0)&gt;1,0.8,
IF(VLOOKUP($A151-COUNT('Шаг2.Бланк заказа NEW'!$B$19:$B$201),'Бланк OLD 0.8 04'!$B$12:$K$200,8,0)&gt;1,0.4,
IF(AND(VLOOKUP($A151-COUNT('Шаг2.Бланк заказа NEW'!$B$19:$B$201),'Бланк OLD 0.8 04'!$B$12:$K$200,7,0)&gt;0,VLOOKUP($A151-COUNT('Шаг2.Бланк заказа NEW'!$B$19:$B$201),'Бланк OLD 0.8 04'!$B$12:$K$200,8,0)&gt;0),0.4,"")))),
IF(VLOOKUP($A151-COUNT('Шаг2.Бланк заказа NEW'!$B$19:$B$201)-COUNT('Бланк OLD 0.8 04'!$B$18:$B$200),'Бланк OLD 2.0 04 '!$B$16:$K$200,7,0)&gt;1,2,
IF(VLOOKUP($A151-COUNT('Шаг2.Бланк заказа NEW'!$B$19:$B$201)-COUNT('Бланк OLD 0.8 04'!$B$18:$B$200),'Бланк OLD 2.0 04 '!$B$16:$K$200,8,0)&gt;1,0.4,
IF(AND(VLOOKUP($A151-COUNT('Шаг2.Бланк заказа NEW'!$B$19:$B$201)-COUNT('Бланк OLD 0.8 04'!$B$18:$B$200),'Бланк OLD 2.0 04 '!$B$16:$K$200,7,0)&gt;0,VLOOKUP($A151-COUNT('Шаг2.Бланк заказа NEW'!$B$19:$B$201)-COUNT('Бланк OLD 0.8 04'!$B$18:$B$200),'Бланк OLD 2.0 04 '!$B$16:$K$200,8,0)&gt;0),0.4,""))))</f>
        <v/>
      </c>
      <c r="V151" s="146" t="str">
        <f ca="1">IFERROR(VLOOKUP(C151,'Шаг1.Выбор плиты'!C:S,12,0),"")</f>
        <v/>
      </c>
      <c r="W151" s="146" t="str">
        <f ca="1">IFERROR(VLOOKUP(C151,'Шаг1.Выбор плиты'!C:S,8,0),"")</f>
        <v/>
      </c>
      <c r="X151" s="146" t="str">
        <f ca="1">IFERROR(VLOOKUP(C151,'Шаг1.Выбор плиты'!C:S,10,0),"")</f>
        <v/>
      </c>
      <c r="Y151" s="147" t="str">
        <f t="shared" ca="1" si="13"/>
        <v/>
      </c>
      <c r="AD151" s="147" t="str">
        <f t="shared" ca="1" si="16"/>
        <v/>
      </c>
      <c r="AE151" s="147" t="str">
        <f t="shared" ca="1" si="14"/>
        <v/>
      </c>
      <c r="AF151" s="25"/>
      <c r="AH151" s="147" t="str">
        <f ca="1">IF(C151="","",VLOOKUP(C151,'Шаг1.Выбор плиты'!C:Q,7,0))</f>
        <v/>
      </c>
      <c r="AI151" s="147" t="str">
        <f t="shared" ca="1" si="17"/>
        <v/>
      </c>
    </row>
    <row r="152" spans="1:35" x14ac:dyDescent="0.2">
      <c r="A152" s="151" t="str">
        <f ca="1">IF(C152="","",MAX($A$1:OFFSET(C152,-1,0))+1)</f>
        <v/>
      </c>
      <c r="B152" s="151" t="str">
        <f ca="1">IFERROR(IFERROR(IFERROR("Шаг2.Бланк заказа NEW №"&amp;VLOOKUP(A151+1,CHOOSE({1,2},'Шаг2.Бланк заказа NEW'!$B$19:$B$201,'Шаг2.Бланк заказа NEW'!$A$19:$A$201),1,0),
"Бланк OLD 0.8 04 №"&amp;VLOOKUP(A151+1-COUNT('Шаг2.Бланк заказа NEW'!$B$19:$B$201),CHOOSE({1,2},'Бланк OLD 0.8 04'!$B$18:$B$200,'Бланк OLD 0.8 04'!$A$18:$A$200),1,0)),
"Бланк OLD 2.0 04 №"&amp;VLOOKUP(A151+1-COUNT('Шаг2.Бланк заказа NEW'!$B$19:$B$201)-COUNT('Бланк OLD 0.8 04'!$B$18:$B$200),CHOOSE({1,2},'Бланк OLD 2.0 04 '!$B$18:$B$200,'Бланк OLD 2.0 04 '!$A$18:$A$200),1,0)),"")</f>
        <v/>
      </c>
      <c r="C152" s="152" t="str">
        <f ca="1">IFERROR(IFERROR(IFERROR(VLOOKUP(A151+1,CHOOSE({1,2},'Шаг2.Бланк заказа NEW'!$B$19:$B$201,'Шаг2.Бланк заказа NEW'!$A$19:$A$201),2,0),
VLOOKUP(A151+1-COUNT('Шаг2.Бланк заказа NEW'!$B$19:$B$201),CHOOSE({1,2},'Бланк OLD 0.8 04'!$B$18:$B$200,'Бланк OLD 0.8 04'!$A$18:$A$200),2,0)),
VLOOKUP(A151+1-COUNT('Шаг2.Бланк заказа NEW'!$B$19:$B$201)-COUNT('Бланк OLD 0.8 04'!$B$18:$B$200),CHOOSE({1,2},'Бланк OLD 2.0 04 '!$B$18:$B$200,'Бланк OLD 2.0 04 '!$A$18:$A$200),2,0)),"")</f>
        <v/>
      </c>
      <c r="D152" s="150" t="str">
        <f ca="1">IFERROR(VLOOKUP(C152,'Шаг1.Выбор плиты'!C:G,5,0),"")</f>
        <v/>
      </c>
      <c r="E152" s="147" t="str">
        <f ca="1">IFERROR(IFERROR(IF(VLOOKUP($A152,'Шаг2.Бланк заказа NEW'!$B$17:$N$201,2,0)="","",VLOOKUP($A152,'Шаг2.Бланк заказа NEW'!$B$17:$N$201,2,0)),
IF(VLOOKUP($A152-COUNT('Шаг2.Бланк заказа NEW'!$B$19:$B$201),'Бланк OLD 0.8 04'!$B$12:$K$200,2,0)="","",VLOOKUP($A152-COUNT('Шаг2.Бланк заказа NEW'!$B$19:$B$201),'Бланк OLD 0.8 04'!$B$12:$K$200,2,0))),
IF(VLOOKUP($A152-COUNT('Шаг2.Бланк заказа NEW'!$B$19:$B$201)-COUNT('Бланк OLD 0.8 04'!$B$18:$B$200),'Бланк OLD 2.0 04 '!$B$16:$K$200,2,0)="","",VLOOKUP($A152-COUNT('Шаг2.Бланк заказа NEW'!$B$19:$B$201)-COUNT('Бланк OLD 0.8 04'!$B$18:$B$200),'Бланк OLD 2.0 04 '!$B$16:$K$200,2,0)))</f>
        <v/>
      </c>
      <c r="F152" s="147" t="str">
        <f ca="1">IFERROR(IFERROR(IF(VLOOKUP($A152,'Шаг2.Бланк заказа NEW'!$B$17:$N$201,3,0)="","",VLOOKUP($A152,'Шаг2.Бланк заказа NEW'!$B$17:$N$201,3,0)),
IF(VLOOKUP($A152-COUNT('Шаг2.Бланк заказа NEW'!$B$19:$B$201),'Бланк OLD 0.8 04'!$B$12:$K$200,3,0)="","",VLOOKUP($A152-COUNT('Шаг2.Бланк заказа NEW'!$B$19:$B$201),'Бланк OLD 0.8 04'!$B$12:$K$200,3,0))),
IF(VLOOKUP($A152-COUNT('Шаг2.Бланк заказа NEW'!$B$19:$B$201)-COUNT('Бланк OLD 0.8 04'!$B$18:$B$200),'Бланк OLD 2.0 04 '!$B$16:$K$200,3,0)="","",VLOOKUP($A152-COUNT('Шаг2.Бланк заказа NEW'!$B$19:$B$201)-COUNT('Бланк OLD 0.8 04'!$B$18:$B$200),'Бланк OLD 2.0 04 '!$B$16:$K$200,3,0)))</f>
        <v/>
      </c>
      <c r="G152" s="176" t="str">
        <f ca="1">IF(IF(R152="","",IF(R152=1,SUMIFS('Шаг1.Выбор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плиты'!C:Q,12,0)),1))))))=0,
R152,
IF(R152="","",IF(R152=1,SUMIFS('Шаг1.Выбор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плиты'!N:N,R152,'Шаг1.Выбор плиты'!M:M,SMALL(INDIRECT("мм"&amp;VLOOKUP(C152,'Шаг1.Выбор плиты'!C:Q,12,0)),1)))))))</f>
        <v/>
      </c>
      <c r="H152" s="177" t="str">
        <f ca="1">IF(IF(S152="","",IF(S152=1,SUMIFS('Шаг1.Выбор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плиты'!C:Q,12,0)),1))))))=0,
S152,
IF(S152="","",IF(S152=1,SUMIFS('Шаг1.Выбор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плиты'!N:N,S152,'Шаг1.Выбор плиты'!M:M,SMALL(INDIRECT("мм"&amp;VLOOKUP(C152,'Шаг1.Выбор плиты'!C:Q,12,0)),1)))))))</f>
        <v/>
      </c>
      <c r="I152" s="147" t="str">
        <f ca="1">IFERROR(IFERROR(IF(VLOOKUP($A152,'Шаг2.Бланк заказа NEW'!$B$17:$N$201,6,0)="","",VLOOKUP($A152,'Шаг2.Бланк заказа NEW'!$B$17:$N$201,6,0)),
IF(VLOOKUP($A152-COUNT('Шаг2.Бланк заказа NEW'!$B$19:$B$201),'Бланк OLD 0.8 04'!$B$12:$K$200,6,0)="","",VLOOKUP($A152-COUNT('Шаг2.Бланк заказа NEW'!$B$19:$B$201),'Бланк OLD 0.8 04'!$B$12:$K$200,6,0))),
IF(VLOOKUP($A152-COUNT('Шаг2.Бланк заказа NEW'!$B$19:$B$201)-COUNT('Бланк OLD 0.8 04'!$B$18:$B$200),'Бланк OLD 2.0 04 '!$B$16:$K$200,6,0)="","",VLOOKUP($A152-COUNT('Шаг2.Бланк заказа NEW'!$B$19:$B$201)-COUNT('Бланк OLD 0.8 04'!$B$18:$B$200),'Бланк OLD 2.0 04 '!$B$16:$K$200,6,0)))</f>
        <v/>
      </c>
      <c r="J152" s="177" t="str">
        <f ca="1">IF(IF(T152="","",IF(T152=1,SUMIFS('Шаг1.Выбор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плиты'!C:Q,12,0)),1))))))=0,
T152,
IF(T152="","",IF(T152=1,SUMIFS('Шаг1.Выбор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плиты'!N:N,T152,'Шаг1.Выбор плиты'!M:M,SMALL(INDIRECT("мм"&amp;VLOOKUP(C152,'Шаг1.Выбор плиты'!C:Q,12,0)),1)))))))</f>
        <v/>
      </c>
      <c r="K152" s="177" t="str">
        <f ca="1">IF(IF(U152="","",IF(U152=1,SUMIFS('Шаг1.Выбор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плиты'!C:Q,12,0)),1))))))=0,
U152,
IF(U152="","",IF(U152=1,SUMIFS('Шаг1.Выбор плиты'!$G:$G,'Шаг1.Выбор плиты'!J:J,"*"&amp;RIGHT(VLOOKUP(C152,'Шаг1.Выбор плиты'!C:Q,8,0),4),'Шаг1.Выбор плиты'!L:L,IF(MID(C152,1,6)="ЛДСП P","TM"&amp;MID(VLOOKUP(C152,'Шаг1.Выбор плиты'!C:Q,10,0),3,2),MID(VLOOKUP(C152,'Шаг1.Выбор плиты'!C:Q,10,0),1,2)),
'Шаг1.Выбор плиты'!N:N,1),IF(SUMIFS('Шаг1.Выбор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плиты'!C:Q,12,0)),1))=0,
IF(SUMIFS('Шаг1.Выбор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плиты'!C:Q,12,0)),2))=0,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плиты'!C:Q,12,0)),3)),
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плиты'!C:Q,12,0)),2))),
(SUMIFS('Шаг1.Выбор плиты'!$G:$G,'Шаг1.Выбор плиты'!J:J,"*"&amp;RIGHT(VLOOKUP(C152,'Шаг1.Выбор плиты'!C:Q,8,0),4),'Шаг1.Выбор плиты'!L:L,VLOOKUP(C152,'Шаг1.Выбор плиты'!C:Q,10,0),'Шаг1.Выбор плиты'!N:N,U152,'Шаг1.Выбор плиты'!M:M,SMALL(INDIRECT("мм"&amp;VLOOKUP(C152,'Шаг1.Выбор плиты'!C:Q,12,0)),1)))))))</f>
        <v/>
      </c>
      <c r="L152" s="147" t="str">
        <f ca="1">IFERROR(IFERROR(IF(VLOOKUP($A152,'Шаг2.Бланк заказа NEW'!$B$17:$N$201,9,0)="","",VLOOKUP($A152,'Шаг2.Бланк заказа NEW'!$B$17:$N$201,9,0)),
IF(VLOOKUP($A152-COUNT('Шаг2.Бланк заказа NEW'!$B$19:$B$201),'Бланк OLD 0.8 04'!$B$12:$K$200,9,0)="","",VLOOKUP($A152-COUNT('Шаг2.Бланк заказа NEW'!$B$19:$B$201),'Бланк OLD 0.8 04'!$B$12:$K$200,9,0))),
IF(VLOOKUP($A152-COUNT('Шаг2.Бланк заказа NEW'!$B$19:$B$201)-COUNT('Бланк OLD 0.8 04'!$B$18:$B$200),'Бланк OLD 2.0 04 '!$B$16:$K$200,9,0)="","",VLOOKUP($A152-COUNT('Шаг2.Бланк заказа NEW'!$B$19:$B$201)-COUNT('Бланк OLD 0.8 04'!$B$18:$B$200),'Бланк OLD 2.0 04 '!$B$16:$K$200,9,0)))</f>
        <v/>
      </c>
      <c r="M152" s="154" t="str">
        <f t="shared" ca="1" si="15"/>
        <v/>
      </c>
      <c r="N152" s="153" t="str">
        <f ca="1">IFERROR(IF(VLOOKUP($A152,'Шаг2.Бланк заказа NEW'!$B$17:$N$201,11,0)="","",VLOOKUP($A152,'Шаг2.Бланк заказа NEW'!$B$17:$N$201,11,0)),
"Нет")</f>
        <v/>
      </c>
      <c r="O152" s="147" t="str">
        <f ca="1">IFERROR(IF(VLOOKUP($A152,'Шаг2.Бланк заказа NEW'!$B$17:$N$201,11,0)="","",VLOOKUP($A152,'Шаг2.Бланк заказа NEW'!$B$17:$N$201,12,0)),
"Нет")</f>
        <v/>
      </c>
      <c r="P152" s="153" t="str">
        <f ca="1">IFERROR(IF(VLOOKUP($A152,'Шаг2.Бланк заказа NEW'!$B$17:$N$201,13,0)="","",VLOOKUP($A152,'Шаг2.Бланк заказа NEW'!$B$17:$N$201,13,0)),
"Нет")</f>
        <v/>
      </c>
      <c r="Q152" s="147" t="str">
        <f ca="1">IFERROR(IF(VLOOKUP($A152,'Шаг2.Бланк заказа NEW'!$B$17:$O$201,14,0)="","",VLOOKUP($A152,'Шаг2.Бланк заказа NEW'!$B$17:$O$201,14,0)),"")</f>
        <v/>
      </c>
      <c r="R152" s="147" t="str">
        <f ca="1">IFERROR(IFERROR(IF(VLOOKUP($A152,'Шаг2.Бланк заказа NEW'!$B$17:$N$201,4,0)="","",VLOOKUP($A152,'Шаг2.Бланк заказа NEW'!$B$17:$N$201,4,0)),
IF(VLOOKUP($A152-COUNT('Шаг2.Бланк заказа NEW'!$B$19:$B$201),'Бланк OLD 0.8 04'!$B$12:$K$200,4,0)&gt;0,0.8,
IF(VLOOKUP($A152-COUNT('Шаг2.Бланк заказа NEW'!$B$19:$B$201),'Бланк OLD 0.8 04'!$B$12:$K$200,5,0)&gt;0,0.4,""))),
IF(VLOOKUP($A152-COUNT('Шаг2.Бланк заказа NEW'!$B$19:$B$201)-COUNT('Бланк OLD 0.8 04'!$B$18:$B$200),'Бланк OLD 2.0 04 '!$B$16:$K$200,4,0)&gt;0,2,IF(VLOOKUP($A152-COUNT('Шаг2.Бланк заказа NEW'!$B$19:$B$201)-COUNT('Бланк OLD 0.8 04'!$B$18:$B$200),'Бланк OLD 2.0 04 '!$B$16:$K$200,5,0)&gt;0,0.4,"")))</f>
        <v/>
      </c>
      <c r="S152" s="147" t="str">
        <f ca="1">IFERROR(IFERROR(IF(VLOOKUP($A152,'Шаг2.Бланк заказа NEW'!$B$17:$N$201,5,0)="","",VLOOKUP($A152,'Шаг2.Бланк заказа NEW'!$B$17:$N$201,5,0)),
IF(VLOOKUP($A152-COUNT('Шаг2.Бланк заказа NEW'!$B$19:$B$201),'Бланк OLD 0.8 04'!$B$12:$K$200,4,0)&gt;1,0.8,
IF(VLOOKUP($A152-COUNT('Шаг2.Бланк заказа NEW'!$B$19:$B$201),'Бланк OLD 0.8 04'!$B$12:$K$200,5,0)&gt;1,0.4,
IF(AND(VLOOKUP($A152-COUNT('Шаг2.Бланк заказа NEW'!$B$19:$B$201),'Бланк OLD 0.8 04'!$B$12:$K$200,4,0)&gt;0,VLOOKUP($A152-COUNT('Шаг2.Бланк заказа NEW'!$B$19:$B$201),'Бланк OLD 0.8 04'!$B$12:$K$200,5,0)&gt;0),0.4,"")))),
IF(VLOOKUP($A152-COUNT('Шаг2.Бланк заказа NEW'!$B$19:$B$201)-COUNT('Бланк OLD 0.8 04'!$B$18:$B$200),'Бланк OLD 2.0 04 '!$B$16:$K$200,4,0)&gt;1,2,
IF(VLOOKUP($A152-COUNT('Шаг2.Бланк заказа NEW'!$B$19:$B$201)-COUNT('Бланк OLD 0.8 04'!$B$18:$B$200),'Бланк OLD 2.0 04 '!$B$16:$K$200,5,0)&gt;1,0.4,IF(AND(VLOOKUP($A152-COUNT('Шаг2.Бланк заказа NEW'!$B$19:$B$201)-COUNT('Бланк OLD 0.8 04'!$B$18:$B$200),'Бланк OLD 2.0 04 '!$B$16:$K$200,4,0)&gt;0,VLOOKUP($A152-COUNT('Шаг2.Бланк заказа NEW'!$B$19:$B$201)-COUNT('Бланк OLD 0.8 04'!$B$18:$B$200),'Бланк OLD 2.0 04 '!$B$16:$K$200,5,0)&gt;0),0.4,""))))</f>
        <v/>
      </c>
      <c r="T152" s="147" t="str">
        <f ca="1">IFERROR(IFERROR(IF(VLOOKUP($A152,'Шаг2.Бланк заказа NEW'!$B$17:$N$201,7,0)="","",VLOOKUP($A152,'Шаг2.Бланк заказа NEW'!$B$17:$N$201,7,0)),
IF(VLOOKUP($A152-COUNT('Шаг2.Бланк заказа NEW'!$B$19:$B$201),'Бланк OLD 0.8 04'!$B$12:$K$200,7,0)&gt;0,0.8,
IF(VLOOKUP($A152-COUNT('Шаг2.Бланк заказа NEW'!$B$19:$B$201),'Бланк OLD 0.8 04'!$B$12:$K$200,8,0)&gt;0,0.4,""))),
IF(VLOOKUP($A152-COUNT('Шаг2.Бланк заказа NEW'!$B$19:$B$201)-COUNT('Бланк OLD 0.8 04'!$B$18:$B$200),'Бланк OLD 2.0 04 '!$B$16:$K$200,7,0)&gt;0,2,IF(VLOOKUP($A152-COUNT('Шаг2.Бланк заказа NEW'!$B$19:$B$201)-COUNT('Бланк OLD 0.8 04'!$B$18:$B$200),'Бланк OLD 2.0 04 '!$B$16:$K$200,8,0)&gt;0,0.4,"")))</f>
        <v/>
      </c>
      <c r="U152" s="147" t="str">
        <f ca="1">IFERROR(IFERROR(IF(VLOOKUP($A152,'Шаг2.Бланк заказа NEW'!$B$17:$N$201,8,0)="","",VLOOKUP($A152,'Шаг2.Бланк заказа NEW'!$B$17:$N$201,8,0)),
IF(VLOOKUP($A152-COUNT('Шаг2.Бланк заказа NEW'!$B$19:$B$201),'Бланк OLD 0.8 04'!$B$12:$K$200,7,0)&gt;1,0.8,
IF(VLOOKUP($A152-COUNT('Шаг2.Бланк заказа NEW'!$B$19:$B$201),'Бланк OLD 0.8 04'!$B$12:$K$200,8,0)&gt;1,0.4,
IF(AND(VLOOKUP($A152-COUNT('Шаг2.Бланк заказа NEW'!$B$19:$B$201),'Бланк OLD 0.8 04'!$B$12:$K$200,7,0)&gt;0,VLOOKUP($A152-COUNT('Шаг2.Бланк заказа NEW'!$B$19:$B$201),'Бланк OLD 0.8 04'!$B$12:$K$200,8,0)&gt;0),0.4,"")))),
IF(VLOOKUP($A152-COUNT('Шаг2.Бланк заказа NEW'!$B$19:$B$201)-COUNT('Бланк OLD 0.8 04'!$B$18:$B$200),'Бланк OLD 2.0 04 '!$B$16:$K$200,7,0)&gt;1,2,
IF(VLOOKUP($A152-COUNT('Шаг2.Бланк заказа NEW'!$B$19:$B$201)-COUNT('Бланк OLD 0.8 04'!$B$18:$B$200),'Бланк OLD 2.0 04 '!$B$16:$K$200,8,0)&gt;1,0.4,
IF(AND(VLOOKUP($A152-COUNT('Шаг2.Бланк заказа NEW'!$B$19:$B$201)-COUNT('Бланк OLD 0.8 04'!$B$18:$B$200),'Бланк OLD 2.0 04 '!$B$16:$K$200,7,0)&gt;0,VLOOKUP($A152-COUNT('Шаг2.Бланк заказа NEW'!$B$19:$B$201)-COUNT('Бланк OLD 0.8 04'!$B$18:$B$200),'Бланк OLD 2.0 04 '!$B$16:$K$200,8,0)&gt;0),0.4,""))))</f>
        <v/>
      </c>
      <c r="V152" s="146" t="str">
        <f ca="1">IFERROR(VLOOKUP(C152,'Шаг1.Выбор плиты'!C:S,12,0),"")</f>
        <v/>
      </c>
      <c r="W152" s="146" t="str">
        <f ca="1">IFERROR(VLOOKUP(C152,'Шаг1.Выбор плиты'!C:S,8,0),"")</f>
        <v/>
      </c>
      <c r="X152" s="146" t="str">
        <f ca="1">IFERROR(VLOOKUP(C152,'Шаг1.Выбор плиты'!C:S,10,0),"")</f>
        <v/>
      </c>
      <c r="Y152" s="147" t="str">
        <f t="shared" ca="1" si="13"/>
        <v/>
      </c>
      <c r="AD152" s="147" t="str">
        <f t="shared" ca="1" si="16"/>
        <v/>
      </c>
      <c r="AE152" s="147" t="str">
        <f t="shared" ca="1" si="14"/>
        <v/>
      </c>
      <c r="AF152" s="25"/>
      <c r="AH152" s="147" t="str">
        <f ca="1">IF(C152="","",VLOOKUP(C152,'Шаг1.Выбор плиты'!C:Q,7,0))</f>
        <v/>
      </c>
      <c r="AI152" s="147" t="str">
        <f t="shared" ca="1" si="17"/>
        <v/>
      </c>
    </row>
    <row r="153" spans="1:35" x14ac:dyDescent="0.2">
      <c r="A153" s="151" t="str">
        <f ca="1">IF(C153="","",MAX($A$1:OFFSET(C153,-1,0))+1)</f>
        <v/>
      </c>
      <c r="B153" s="151" t="str">
        <f ca="1">IFERROR(IFERROR(IFERROR("Шаг2.Бланк заказа NEW №"&amp;VLOOKUP(A152+1,CHOOSE({1,2},'Шаг2.Бланк заказа NEW'!$B$19:$B$201,'Шаг2.Бланк заказа NEW'!$A$19:$A$201),1,0),
"Бланк OLD 0.8 04 №"&amp;VLOOKUP(A152+1-COUNT('Шаг2.Бланк заказа NEW'!$B$19:$B$201),CHOOSE({1,2},'Бланк OLD 0.8 04'!$B$18:$B$200,'Бланк OLD 0.8 04'!$A$18:$A$200),1,0)),
"Бланк OLD 2.0 04 №"&amp;VLOOKUP(A152+1-COUNT('Шаг2.Бланк заказа NEW'!$B$19:$B$201)-COUNT('Бланк OLD 0.8 04'!$B$18:$B$200),CHOOSE({1,2},'Бланк OLD 2.0 04 '!$B$18:$B$200,'Бланк OLD 2.0 04 '!$A$18:$A$200),1,0)),"")</f>
        <v/>
      </c>
      <c r="C153" s="152" t="str">
        <f ca="1">IFERROR(IFERROR(IFERROR(VLOOKUP(A152+1,CHOOSE({1,2},'Шаг2.Бланк заказа NEW'!$B$19:$B$201,'Шаг2.Бланк заказа NEW'!$A$19:$A$201),2,0),
VLOOKUP(A152+1-COUNT('Шаг2.Бланк заказа NEW'!$B$19:$B$201),CHOOSE({1,2},'Бланк OLD 0.8 04'!$B$18:$B$200,'Бланк OLD 0.8 04'!$A$18:$A$200),2,0)),
VLOOKUP(A152+1-COUNT('Шаг2.Бланк заказа NEW'!$B$19:$B$201)-COUNT('Бланк OLD 0.8 04'!$B$18:$B$200),CHOOSE({1,2},'Бланк OLD 2.0 04 '!$B$18:$B$200,'Бланк OLD 2.0 04 '!$A$18:$A$200),2,0)),"")</f>
        <v/>
      </c>
      <c r="D153" s="150" t="str">
        <f ca="1">IFERROR(VLOOKUP(C153,'Шаг1.Выбор плиты'!C:G,5,0),"")</f>
        <v/>
      </c>
      <c r="E153" s="147" t="str">
        <f ca="1">IFERROR(IFERROR(IF(VLOOKUP($A153,'Шаг2.Бланк заказа NEW'!$B$17:$N$201,2,0)="","",VLOOKUP($A153,'Шаг2.Бланк заказа NEW'!$B$17:$N$201,2,0)),
IF(VLOOKUP($A153-COUNT('Шаг2.Бланк заказа NEW'!$B$19:$B$201),'Бланк OLD 0.8 04'!$B$12:$K$200,2,0)="","",VLOOKUP($A153-COUNT('Шаг2.Бланк заказа NEW'!$B$19:$B$201),'Бланк OLD 0.8 04'!$B$12:$K$200,2,0))),
IF(VLOOKUP($A153-COUNT('Шаг2.Бланк заказа NEW'!$B$19:$B$201)-COUNT('Бланк OLD 0.8 04'!$B$18:$B$200),'Бланк OLD 2.0 04 '!$B$16:$K$200,2,0)="","",VLOOKUP($A153-COUNT('Шаг2.Бланк заказа NEW'!$B$19:$B$201)-COUNT('Бланк OLD 0.8 04'!$B$18:$B$200),'Бланк OLD 2.0 04 '!$B$16:$K$200,2,0)))</f>
        <v/>
      </c>
      <c r="F153" s="147" t="str">
        <f ca="1">IFERROR(IFERROR(IF(VLOOKUP($A153,'Шаг2.Бланк заказа NEW'!$B$17:$N$201,3,0)="","",VLOOKUP($A153,'Шаг2.Бланк заказа NEW'!$B$17:$N$201,3,0)),
IF(VLOOKUP($A153-COUNT('Шаг2.Бланк заказа NEW'!$B$19:$B$201),'Бланк OLD 0.8 04'!$B$12:$K$200,3,0)="","",VLOOKUP($A153-COUNT('Шаг2.Бланк заказа NEW'!$B$19:$B$201),'Бланк OLD 0.8 04'!$B$12:$K$200,3,0))),
IF(VLOOKUP($A153-COUNT('Шаг2.Бланк заказа NEW'!$B$19:$B$201)-COUNT('Бланк OLD 0.8 04'!$B$18:$B$200),'Бланк OLD 2.0 04 '!$B$16:$K$200,3,0)="","",VLOOKUP($A153-COUNT('Шаг2.Бланк заказа NEW'!$B$19:$B$201)-COUNT('Бланк OLD 0.8 04'!$B$18:$B$200),'Бланк OLD 2.0 04 '!$B$16:$K$200,3,0)))</f>
        <v/>
      </c>
      <c r="G153" s="176" t="str">
        <f ca="1">IF(IF(R153="","",IF(R153=1,SUMIFS('Шаг1.Выбор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плиты'!C:Q,12,0)),1))))))=0,
R153,
IF(R153="","",IF(R153=1,SUMIFS('Шаг1.Выбор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плиты'!N:N,R153,'Шаг1.Выбор плиты'!M:M,SMALL(INDIRECT("мм"&amp;VLOOKUP(C153,'Шаг1.Выбор плиты'!C:Q,12,0)),1)))))))</f>
        <v/>
      </c>
      <c r="H153" s="177" t="str">
        <f ca="1">IF(IF(S153="","",IF(S153=1,SUMIFS('Шаг1.Выбор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плиты'!C:Q,12,0)),1))))))=0,
S153,
IF(S153="","",IF(S153=1,SUMIFS('Шаг1.Выбор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плиты'!N:N,S153,'Шаг1.Выбор плиты'!M:M,SMALL(INDIRECT("мм"&amp;VLOOKUP(C153,'Шаг1.Выбор плиты'!C:Q,12,0)),1)))))))</f>
        <v/>
      </c>
      <c r="I153" s="147" t="str">
        <f ca="1">IFERROR(IFERROR(IF(VLOOKUP($A153,'Шаг2.Бланк заказа NEW'!$B$17:$N$201,6,0)="","",VLOOKUP($A153,'Шаг2.Бланк заказа NEW'!$B$17:$N$201,6,0)),
IF(VLOOKUP($A153-COUNT('Шаг2.Бланк заказа NEW'!$B$19:$B$201),'Бланк OLD 0.8 04'!$B$12:$K$200,6,0)="","",VLOOKUP($A153-COUNT('Шаг2.Бланк заказа NEW'!$B$19:$B$201),'Бланк OLD 0.8 04'!$B$12:$K$200,6,0))),
IF(VLOOKUP($A153-COUNT('Шаг2.Бланк заказа NEW'!$B$19:$B$201)-COUNT('Бланк OLD 0.8 04'!$B$18:$B$200),'Бланк OLD 2.0 04 '!$B$16:$K$200,6,0)="","",VLOOKUP($A153-COUNT('Шаг2.Бланк заказа NEW'!$B$19:$B$201)-COUNT('Бланк OLD 0.8 04'!$B$18:$B$200),'Бланк OLD 2.0 04 '!$B$16:$K$200,6,0)))</f>
        <v/>
      </c>
      <c r="J153" s="177" t="str">
        <f ca="1">IF(IF(T153="","",IF(T153=1,SUMIFS('Шаг1.Выбор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плиты'!C:Q,12,0)),1))))))=0,
T153,
IF(T153="","",IF(T153=1,SUMIFS('Шаг1.Выбор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плиты'!N:N,T153,'Шаг1.Выбор плиты'!M:M,SMALL(INDIRECT("мм"&amp;VLOOKUP(C153,'Шаг1.Выбор плиты'!C:Q,12,0)),1)))))))</f>
        <v/>
      </c>
      <c r="K153" s="177" t="str">
        <f ca="1">IF(IF(U153="","",IF(U153=1,SUMIFS('Шаг1.Выбор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плиты'!C:Q,12,0)),1))))))=0,
U153,
IF(U153="","",IF(U153=1,SUMIFS('Шаг1.Выбор плиты'!$G:$G,'Шаг1.Выбор плиты'!J:J,"*"&amp;RIGHT(VLOOKUP(C153,'Шаг1.Выбор плиты'!C:Q,8,0),4),'Шаг1.Выбор плиты'!L:L,IF(MID(C153,1,6)="ЛДСП P","TM"&amp;MID(VLOOKUP(C153,'Шаг1.Выбор плиты'!C:Q,10,0),3,2),MID(VLOOKUP(C153,'Шаг1.Выбор плиты'!C:Q,10,0),1,2)),
'Шаг1.Выбор плиты'!N:N,1),IF(SUMIFS('Шаг1.Выбор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плиты'!C:Q,12,0)),1))=0,
IF(SUMIFS('Шаг1.Выбор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плиты'!C:Q,12,0)),2))=0,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плиты'!C:Q,12,0)),3)),
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плиты'!C:Q,12,0)),2))),
(SUMIFS('Шаг1.Выбор плиты'!$G:$G,'Шаг1.Выбор плиты'!J:J,"*"&amp;RIGHT(VLOOKUP(C153,'Шаг1.Выбор плиты'!C:Q,8,0),4),'Шаг1.Выбор плиты'!L:L,VLOOKUP(C153,'Шаг1.Выбор плиты'!C:Q,10,0),'Шаг1.Выбор плиты'!N:N,U153,'Шаг1.Выбор плиты'!M:M,SMALL(INDIRECT("мм"&amp;VLOOKUP(C153,'Шаг1.Выбор плиты'!C:Q,12,0)),1)))))))</f>
        <v/>
      </c>
      <c r="L153" s="147" t="str">
        <f ca="1">IFERROR(IFERROR(IF(VLOOKUP($A153,'Шаг2.Бланк заказа NEW'!$B$17:$N$201,9,0)="","",VLOOKUP($A153,'Шаг2.Бланк заказа NEW'!$B$17:$N$201,9,0)),
IF(VLOOKUP($A153-COUNT('Шаг2.Бланк заказа NEW'!$B$19:$B$201),'Бланк OLD 0.8 04'!$B$12:$K$200,9,0)="","",VLOOKUP($A153-COUNT('Шаг2.Бланк заказа NEW'!$B$19:$B$201),'Бланк OLD 0.8 04'!$B$12:$K$200,9,0))),
IF(VLOOKUP($A153-COUNT('Шаг2.Бланк заказа NEW'!$B$19:$B$201)-COUNT('Бланк OLD 0.8 04'!$B$18:$B$200),'Бланк OLD 2.0 04 '!$B$16:$K$200,9,0)="","",VLOOKUP($A153-COUNT('Шаг2.Бланк заказа NEW'!$B$19:$B$201)-COUNT('Бланк OLD 0.8 04'!$B$18:$B$200),'Бланк OLD 2.0 04 '!$B$16:$K$200,9,0)))</f>
        <v/>
      </c>
      <c r="M153" s="154" t="str">
        <f t="shared" ca="1" si="15"/>
        <v/>
      </c>
      <c r="N153" s="153" t="str">
        <f ca="1">IFERROR(IF(VLOOKUP($A153,'Шаг2.Бланк заказа NEW'!$B$17:$N$201,11,0)="","",VLOOKUP($A153,'Шаг2.Бланк заказа NEW'!$B$17:$N$201,11,0)),
"Нет")</f>
        <v/>
      </c>
      <c r="O153" s="147" t="str">
        <f ca="1">IFERROR(IF(VLOOKUP($A153,'Шаг2.Бланк заказа NEW'!$B$17:$N$201,11,0)="","",VLOOKUP($A153,'Шаг2.Бланк заказа NEW'!$B$17:$N$201,12,0)),
"Нет")</f>
        <v/>
      </c>
      <c r="P153" s="153" t="str">
        <f ca="1">IFERROR(IF(VLOOKUP($A153,'Шаг2.Бланк заказа NEW'!$B$17:$N$201,13,0)="","",VLOOKUP($A153,'Шаг2.Бланк заказа NEW'!$B$17:$N$201,13,0)),
"Нет")</f>
        <v/>
      </c>
      <c r="Q153" s="147" t="str">
        <f ca="1">IFERROR(IF(VLOOKUP($A153,'Шаг2.Бланк заказа NEW'!$B$17:$O$201,14,0)="","",VLOOKUP($A153,'Шаг2.Бланк заказа NEW'!$B$17:$O$201,14,0)),"")</f>
        <v/>
      </c>
      <c r="R153" s="147" t="str">
        <f ca="1">IFERROR(IFERROR(IF(VLOOKUP($A153,'Шаг2.Бланк заказа NEW'!$B$17:$N$201,4,0)="","",VLOOKUP($A153,'Шаг2.Бланк заказа NEW'!$B$17:$N$201,4,0)),
IF(VLOOKUP($A153-COUNT('Шаг2.Бланк заказа NEW'!$B$19:$B$201),'Бланк OLD 0.8 04'!$B$12:$K$200,4,0)&gt;0,0.8,
IF(VLOOKUP($A153-COUNT('Шаг2.Бланк заказа NEW'!$B$19:$B$201),'Бланк OLD 0.8 04'!$B$12:$K$200,5,0)&gt;0,0.4,""))),
IF(VLOOKUP($A153-COUNT('Шаг2.Бланк заказа NEW'!$B$19:$B$201)-COUNT('Бланк OLD 0.8 04'!$B$18:$B$200),'Бланк OLD 2.0 04 '!$B$16:$K$200,4,0)&gt;0,2,IF(VLOOKUP($A153-COUNT('Шаг2.Бланк заказа NEW'!$B$19:$B$201)-COUNT('Бланк OLD 0.8 04'!$B$18:$B$200),'Бланк OLD 2.0 04 '!$B$16:$K$200,5,0)&gt;0,0.4,"")))</f>
        <v/>
      </c>
      <c r="S153" s="147" t="str">
        <f ca="1">IFERROR(IFERROR(IF(VLOOKUP($A153,'Шаг2.Бланк заказа NEW'!$B$17:$N$201,5,0)="","",VLOOKUP($A153,'Шаг2.Бланк заказа NEW'!$B$17:$N$201,5,0)),
IF(VLOOKUP($A153-COUNT('Шаг2.Бланк заказа NEW'!$B$19:$B$201),'Бланк OLD 0.8 04'!$B$12:$K$200,4,0)&gt;1,0.8,
IF(VLOOKUP($A153-COUNT('Шаг2.Бланк заказа NEW'!$B$19:$B$201),'Бланк OLD 0.8 04'!$B$12:$K$200,5,0)&gt;1,0.4,
IF(AND(VLOOKUP($A153-COUNT('Шаг2.Бланк заказа NEW'!$B$19:$B$201),'Бланк OLD 0.8 04'!$B$12:$K$200,4,0)&gt;0,VLOOKUP($A153-COUNT('Шаг2.Бланк заказа NEW'!$B$19:$B$201),'Бланк OLD 0.8 04'!$B$12:$K$200,5,0)&gt;0),0.4,"")))),
IF(VLOOKUP($A153-COUNT('Шаг2.Бланк заказа NEW'!$B$19:$B$201)-COUNT('Бланк OLD 0.8 04'!$B$18:$B$200),'Бланк OLD 2.0 04 '!$B$16:$K$200,4,0)&gt;1,2,
IF(VLOOKUP($A153-COUNT('Шаг2.Бланк заказа NEW'!$B$19:$B$201)-COUNT('Бланк OLD 0.8 04'!$B$18:$B$200),'Бланк OLD 2.0 04 '!$B$16:$K$200,5,0)&gt;1,0.4,IF(AND(VLOOKUP($A153-COUNT('Шаг2.Бланк заказа NEW'!$B$19:$B$201)-COUNT('Бланк OLD 0.8 04'!$B$18:$B$200),'Бланк OLD 2.0 04 '!$B$16:$K$200,4,0)&gt;0,VLOOKUP($A153-COUNT('Шаг2.Бланк заказа NEW'!$B$19:$B$201)-COUNT('Бланк OLD 0.8 04'!$B$18:$B$200),'Бланк OLD 2.0 04 '!$B$16:$K$200,5,0)&gt;0),0.4,""))))</f>
        <v/>
      </c>
      <c r="T153" s="147" t="str">
        <f ca="1">IFERROR(IFERROR(IF(VLOOKUP($A153,'Шаг2.Бланк заказа NEW'!$B$17:$N$201,7,0)="","",VLOOKUP($A153,'Шаг2.Бланк заказа NEW'!$B$17:$N$201,7,0)),
IF(VLOOKUP($A153-COUNT('Шаг2.Бланк заказа NEW'!$B$19:$B$201),'Бланк OLD 0.8 04'!$B$12:$K$200,7,0)&gt;0,0.8,
IF(VLOOKUP($A153-COUNT('Шаг2.Бланк заказа NEW'!$B$19:$B$201),'Бланк OLD 0.8 04'!$B$12:$K$200,8,0)&gt;0,0.4,""))),
IF(VLOOKUP($A153-COUNT('Шаг2.Бланк заказа NEW'!$B$19:$B$201)-COUNT('Бланк OLD 0.8 04'!$B$18:$B$200),'Бланк OLD 2.0 04 '!$B$16:$K$200,7,0)&gt;0,2,IF(VLOOKUP($A153-COUNT('Шаг2.Бланк заказа NEW'!$B$19:$B$201)-COUNT('Бланк OLD 0.8 04'!$B$18:$B$200),'Бланк OLD 2.0 04 '!$B$16:$K$200,8,0)&gt;0,0.4,"")))</f>
        <v/>
      </c>
      <c r="U153" s="147" t="str">
        <f ca="1">IFERROR(IFERROR(IF(VLOOKUP($A153,'Шаг2.Бланк заказа NEW'!$B$17:$N$201,8,0)="","",VLOOKUP($A153,'Шаг2.Бланк заказа NEW'!$B$17:$N$201,8,0)),
IF(VLOOKUP($A153-COUNT('Шаг2.Бланк заказа NEW'!$B$19:$B$201),'Бланк OLD 0.8 04'!$B$12:$K$200,7,0)&gt;1,0.8,
IF(VLOOKUP($A153-COUNT('Шаг2.Бланк заказа NEW'!$B$19:$B$201),'Бланк OLD 0.8 04'!$B$12:$K$200,8,0)&gt;1,0.4,
IF(AND(VLOOKUP($A153-COUNT('Шаг2.Бланк заказа NEW'!$B$19:$B$201),'Бланк OLD 0.8 04'!$B$12:$K$200,7,0)&gt;0,VLOOKUP($A153-COUNT('Шаг2.Бланк заказа NEW'!$B$19:$B$201),'Бланк OLD 0.8 04'!$B$12:$K$200,8,0)&gt;0),0.4,"")))),
IF(VLOOKUP($A153-COUNT('Шаг2.Бланк заказа NEW'!$B$19:$B$201)-COUNT('Бланк OLD 0.8 04'!$B$18:$B$200),'Бланк OLD 2.0 04 '!$B$16:$K$200,7,0)&gt;1,2,
IF(VLOOKUP($A153-COUNT('Шаг2.Бланк заказа NEW'!$B$19:$B$201)-COUNT('Бланк OLD 0.8 04'!$B$18:$B$200),'Бланк OLD 2.0 04 '!$B$16:$K$200,8,0)&gt;1,0.4,
IF(AND(VLOOKUP($A153-COUNT('Шаг2.Бланк заказа NEW'!$B$19:$B$201)-COUNT('Бланк OLD 0.8 04'!$B$18:$B$200),'Бланк OLD 2.0 04 '!$B$16:$K$200,7,0)&gt;0,VLOOKUP($A153-COUNT('Шаг2.Бланк заказа NEW'!$B$19:$B$201)-COUNT('Бланк OLD 0.8 04'!$B$18:$B$200),'Бланк OLD 2.0 04 '!$B$16:$K$200,8,0)&gt;0),0.4,""))))</f>
        <v/>
      </c>
      <c r="V153" s="146" t="str">
        <f ca="1">IFERROR(VLOOKUP(C153,'Шаг1.Выбор плиты'!C:S,12,0),"")</f>
        <v/>
      </c>
      <c r="W153" s="146" t="str">
        <f ca="1">IFERROR(VLOOKUP(C153,'Шаг1.Выбор плиты'!C:S,8,0),"")</f>
        <v/>
      </c>
      <c r="X153" s="146" t="str">
        <f ca="1">IFERROR(VLOOKUP(C153,'Шаг1.Выбор плиты'!C:S,10,0),"")</f>
        <v/>
      </c>
      <c r="Y153" s="147" t="str">
        <f t="shared" ca="1" si="13"/>
        <v/>
      </c>
      <c r="AD153" s="147" t="str">
        <f t="shared" ca="1" si="16"/>
        <v/>
      </c>
      <c r="AE153" s="147" t="str">
        <f t="shared" ca="1" si="14"/>
        <v/>
      </c>
      <c r="AF153" s="25"/>
      <c r="AH153" s="147" t="str">
        <f ca="1">IF(C153="","",VLOOKUP(C153,'Шаг1.Выбор плиты'!C:Q,7,0))</f>
        <v/>
      </c>
      <c r="AI153" s="147" t="str">
        <f t="shared" ca="1" si="17"/>
        <v/>
      </c>
    </row>
    <row r="154" spans="1:35" x14ac:dyDescent="0.2">
      <c r="A154" s="151" t="str">
        <f ca="1">IF(C154="","",MAX($A$1:OFFSET(C154,-1,0))+1)</f>
        <v/>
      </c>
      <c r="B154" s="151" t="str">
        <f ca="1">IFERROR(IFERROR(IFERROR("Шаг2.Бланк заказа NEW №"&amp;VLOOKUP(A153+1,CHOOSE({1,2},'Шаг2.Бланк заказа NEW'!$B$19:$B$201,'Шаг2.Бланк заказа NEW'!$A$19:$A$201),1,0),
"Бланк OLD 0.8 04 №"&amp;VLOOKUP(A153+1-COUNT('Шаг2.Бланк заказа NEW'!$B$19:$B$201),CHOOSE({1,2},'Бланк OLD 0.8 04'!$B$18:$B$200,'Бланк OLD 0.8 04'!$A$18:$A$200),1,0)),
"Бланк OLD 2.0 04 №"&amp;VLOOKUP(A153+1-COUNT('Шаг2.Бланк заказа NEW'!$B$19:$B$201)-COUNT('Бланк OLD 0.8 04'!$B$18:$B$200),CHOOSE({1,2},'Бланк OLD 2.0 04 '!$B$18:$B$200,'Бланк OLD 2.0 04 '!$A$18:$A$200),1,0)),"")</f>
        <v/>
      </c>
      <c r="C154" s="152" t="str">
        <f ca="1">IFERROR(IFERROR(IFERROR(VLOOKUP(A153+1,CHOOSE({1,2},'Шаг2.Бланк заказа NEW'!$B$19:$B$201,'Шаг2.Бланк заказа NEW'!$A$19:$A$201),2,0),
VLOOKUP(A153+1-COUNT('Шаг2.Бланк заказа NEW'!$B$19:$B$201),CHOOSE({1,2},'Бланк OLD 0.8 04'!$B$18:$B$200,'Бланк OLD 0.8 04'!$A$18:$A$200),2,0)),
VLOOKUP(A153+1-COUNT('Шаг2.Бланк заказа NEW'!$B$19:$B$201)-COUNT('Бланк OLD 0.8 04'!$B$18:$B$200),CHOOSE({1,2},'Бланк OLD 2.0 04 '!$B$18:$B$200,'Бланк OLD 2.0 04 '!$A$18:$A$200),2,0)),"")</f>
        <v/>
      </c>
      <c r="D154" s="150" t="str">
        <f ca="1">IFERROR(VLOOKUP(C154,'Шаг1.Выбор плиты'!C:G,5,0),"")</f>
        <v/>
      </c>
      <c r="E154" s="147" t="str">
        <f ca="1">IFERROR(IFERROR(IF(VLOOKUP($A154,'Шаг2.Бланк заказа NEW'!$B$17:$N$201,2,0)="","",VLOOKUP($A154,'Шаг2.Бланк заказа NEW'!$B$17:$N$201,2,0)),
IF(VLOOKUP($A154-COUNT('Шаг2.Бланк заказа NEW'!$B$19:$B$201),'Бланк OLD 0.8 04'!$B$12:$K$200,2,0)="","",VLOOKUP($A154-COUNT('Шаг2.Бланк заказа NEW'!$B$19:$B$201),'Бланк OLD 0.8 04'!$B$12:$K$200,2,0))),
IF(VLOOKUP($A154-COUNT('Шаг2.Бланк заказа NEW'!$B$19:$B$201)-COUNT('Бланк OLD 0.8 04'!$B$18:$B$200),'Бланк OLD 2.0 04 '!$B$16:$K$200,2,0)="","",VLOOKUP($A154-COUNT('Шаг2.Бланк заказа NEW'!$B$19:$B$201)-COUNT('Бланк OLD 0.8 04'!$B$18:$B$200),'Бланк OLD 2.0 04 '!$B$16:$K$200,2,0)))</f>
        <v/>
      </c>
      <c r="F154" s="147" t="str">
        <f ca="1">IFERROR(IFERROR(IF(VLOOKUP($A154,'Шаг2.Бланк заказа NEW'!$B$17:$N$201,3,0)="","",VLOOKUP($A154,'Шаг2.Бланк заказа NEW'!$B$17:$N$201,3,0)),
IF(VLOOKUP($A154-COUNT('Шаг2.Бланк заказа NEW'!$B$19:$B$201),'Бланк OLD 0.8 04'!$B$12:$K$200,3,0)="","",VLOOKUP($A154-COUNT('Шаг2.Бланк заказа NEW'!$B$19:$B$201),'Бланк OLD 0.8 04'!$B$12:$K$200,3,0))),
IF(VLOOKUP($A154-COUNT('Шаг2.Бланк заказа NEW'!$B$19:$B$201)-COUNT('Бланк OLD 0.8 04'!$B$18:$B$200),'Бланк OLD 2.0 04 '!$B$16:$K$200,3,0)="","",VLOOKUP($A154-COUNT('Шаг2.Бланк заказа NEW'!$B$19:$B$201)-COUNT('Бланк OLD 0.8 04'!$B$18:$B$200),'Бланк OLD 2.0 04 '!$B$16:$K$200,3,0)))</f>
        <v/>
      </c>
      <c r="G154" s="176" t="str">
        <f ca="1">IF(IF(R154="","",IF(R154=1,SUMIFS('Шаг1.Выбор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плиты'!C:Q,12,0)),1))))))=0,
R154,
IF(R154="","",IF(R154=1,SUMIFS('Шаг1.Выбор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плиты'!N:N,R154,'Шаг1.Выбор плиты'!M:M,SMALL(INDIRECT("мм"&amp;VLOOKUP(C154,'Шаг1.Выбор плиты'!C:Q,12,0)),1)))))))</f>
        <v/>
      </c>
      <c r="H154" s="177" t="str">
        <f ca="1">IF(IF(S154="","",IF(S154=1,SUMIFS('Шаг1.Выбор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плиты'!C:Q,12,0)),1))))))=0,
S154,
IF(S154="","",IF(S154=1,SUMIFS('Шаг1.Выбор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плиты'!N:N,S154,'Шаг1.Выбор плиты'!M:M,SMALL(INDIRECT("мм"&amp;VLOOKUP(C154,'Шаг1.Выбор плиты'!C:Q,12,0)),1)))))))</f>
        <v/>
      </c>
      <c r="I154" s="147" t="str">
        <f ca="1">IFERROR(IFERROR(IF(VLOOKUP($A154,'Шаг2.Бланк заказа NEW'!$B$17:$N$201,6,0)="","",VLOOKUP($A154,'Шаг2.Бланк заказа NEW'!$B$17:$N$201,6,0)),
IF(VLOOKUP($A154-COUNT('Шаг2.Бланк заказа NEW'!$B$19:$B$201),'Бланк OLD 0.8 04'!$B$12:$K$200,6,0)="","",VLOOKUP($A154-COUNT('Шаг2.Бланк заказа NEW'!$B$19:$B$201),'Бланк OLD 0.8 04'!$B$12:$K$200,6,0))),
IF(VLOOKUP($A154-COUNT('Шаг2.Бланк заказа NEW'!$B$19:$B$201)-COUNT('Бланк OLD 0.8 04'!$B$18:$B$200),'Бланк OLD 2.0 04 '!$B$16:$K$200,6,0)="","",VLOOKUP($A154-COUNT('Шаг2.Бланк заказа NEW'!$B$19:$B$201)-COUNT('Бланк OLD 0.8 04'!$B$18:$B$200),'Бланк OLD 2.0 04 '!$B$16:$K$200,6,0)))</f>
        <v/>
      </c>
      <c r="J154" s="177" t="str">
        <f ca="1">IF(IF(T154="","",IF(T154=1,SUMIFS('Шаг1.Выбор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плиты'!C:Q,12,0)),1))))))=0,
T154,
IF(T154="","",IF(T154=1,SUMIFS('Шаг1.Выбор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плиты'!N:N,T154,'Шаг1.Выбор плиты'!M:M,SMALL(INDIRECT("мм"&amp;VLOOKUP(C154,'Шаг1.Выбор плиты'!C:Q,12,0)),1)))))))</f>
        <v/>
      </c>
      <c r="K154" s="177" t="str">
        <f ca="1">IF(IF(U154="","",IF(U154=1,SUMIFS('Шаг1.Выбор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плиты'!C:Q,12,0)),1))))))=0,
U154,
IF(U154="","",IF(U154=1,SUMIFS('Шаг1.Выбор плиты'!$G:$G,'Шаг1.Выбор плиты'!J:J,"*"&amp;RIGHT(VLOOKUP(C154,'Шаг1.Выбор плиты'!C:Q,8,0),4),'Шаг1.Выбор плиты'!L:L,IF(MID(C154,1,6)="ЛДСП P","TM"&amp;MID(VLOOKUP(C154,'Шаг1.Выбор плиты'!C:Q,10,0),3,2),MID(VLOOKUP(C154,'Шаг1.Выбор плиты'!C:Q,10,0),1,2)),
'Шаг1.Выбор плиты'!N:N,1),IF(SUMIFS('Шаг1.Выбор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плиты'!C:Q,12,0)),1))=0,
IF(SUMIFS('Шаг1.Выбор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плиты'!C:Q,12,0)),2))=0,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плиты'!C:Q,12,0)),3)),
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плиты'!C:Q,12,0)),2))),
(SUMIFS('Шаг1.Выбор плиты'!$G:$G,'Шаг1.Выбор плиты'!J:J,"*"&amp;RIGHT(VLOOKUP(C154,'Шаг1.Выбор плиты'!C:Q,8,0),4),'Шаг1.Выбор плиты'!L:L,VLOOKUP(C154,'Шаг1.Выбор плиты'!C:Q,10,0),'Шаг1.Выбор плиты'!N:N,U154,'Шаг1.Выбор плиты'!M:M,SMALL(INDIRECT("мм"&amp;VLOOKUP(C154,'Шаг1.Выбор плиты'!C:Q,12,0)),1)))))))</f>
        <v/>
      </c>
      <c r="L154" s="147" t="str">
        <f ca="1">IFERROR(IFERROR(IF(VLOOKUP($A154,'Шаг2.Бланк заказа NEW'!$B$17:$N$201,9,0)="","",VLOOKUP($A154,'Шаг2.Бланк заказа NEW'!$B$17:$N$201,9,0)),
IF(VLOOKUP($A154-COUNT('Шаг2.Бланк заказа NEW'!$B$19:$B$201),'Бланк OLD 0.8 04'!$B$12:$K$200,9,0)="","",VLOOKUP($A154-COUNT('Шаг2.Бланк заказа NEW'!$B$19:$B$201),'Бланк OLD 0.8 04'!$B$12:$K$200,9,0))),
IF(VLOOKUP($A154-COUNT('Шаг2.Бланк заказа NEW'!$B$19:$B$201)-COUNT('Бланк OLD 0.8 04'!$B$18:$B$200),'Бланк OLD 2.0 04 '!$B$16:$K$200,9,0)="","",VLOOKUP($A154-COUNT('Шаг2.Бланк заказа NEW'!$B$19:$B$201)-COUNT('Бланк OLD 0.8 04'!$B$18:$B$200),'Бланк OLD 2.0 04 '!$B$16:$K$200,9,0)))</f>
        <v/>
      </c>
      <c r="M154" s="154" t="str">
        <f t="shared" ca="1" si="15"/>
        <v/>
      </c>
      <c r="N154" s="153" t="str">
        <f ca="1">IFERROR(IF(VLOOKUP($A154,'Шаг2.Бланк заказа NEW'!$B$17:$N$201,11,0)="","",VLOOKUP($A154,'Шаг2.Бланк заказа NEW'!$B$17:$N$201,11,0)),
"Нет")</f>
        <v/>
      </c>
      <c r="O154" s="147" t="str">
        <f ca="1">IFERROR(IF(VLOOKUP($A154,'Шаг2.Бланк заказа NEW'!$B$17:$N$201,11,0)="","",VLOOKUP($A154,'Шаг2.Бланк заказа NEW'!$B$17:$N$201,12,0)),
"Нет")</f>
        <v/>
      </c>
      <c r="P154" s="153" t="str">
        <f ca="1">IFERROR(IF(VLOOKUP($A154,'Шаг2.Бланк заказа NEW'!$B$17:$N$201,13,0)="","",VLOOKUP($A154,'Шаг2.Бланк заказа NEW'!$B$17:$N$201,13,0)),
"Нет")</f>
        <v/>
      </c>
      <c r="Q154" s="147" t="str">
        <f ca="1">IFERROR(IF(VLOOKUP($A154,'Шаг2.Бланк заказа NEW'!$B$17:$O$201,14,0)="","",VLOOKUP($A154,'Шаг2.Бланк заказа NEW'!$B$17:$O$201,14,0)),"")</f>
        <v/>
      </c>
      <c r="R154" s="147" t="str">
        <f ca="1">IFERROR(IFERROR(IF(VLOOKUP($A154,'Шаг2.Бланк заказа NEW'!$B$17:$N$201,4,0)="","",VLOOKUP($A154,'Шаг2.Бланк заказа NEW'!$B$17:$N$201,4,0)),
IF(VLOOKUP($A154-COUNT('Шаг2.Бланк заказа NEW'!$B$19:$B$201),'Бланк OLD 0.8 04'!$B$12:$K$200,4,0)&gt;0,0.8,
IF(VLOOKUP($A154-COUNT('Шаг2.Бланк заказа NEW'!$B$19:$B$201),'Бланк OLD 0.8 04'!$B$12:$K$200,5,0)&gt;0,0.4,""))),
IF(VLOOKUP($A154-COUNT('Шаг2.Бланк заказа NEW'!$B$19:$B$201)-COUNT('Бланк OLD 0.8 04'!$B$18:$B$200),'Бланк OLD 2.0 04 '!$B$16:$K$200,4,0)&gt;0,2,IF(VLOOKUP($A154-COUNT('Шаг2.Бланк заказа NEW'!$B$19:$B$201)-COUNT('Бланк OLD 0.8 04'!$B$18:$B$200),'Бланк OLD 2.0 04 '!$B$16:$K$200,5,0)&gt;0,0.4,"")))</f>
        <v/>
      </c>
      <c r="S154" s="147" t="str">
        <f ca="1">IFERROR(IFERROR(IF(VLOOKUP($A154,'Шаг2.Бланк заказа NEW'!$B$17:$N$201,5,0)="","",VLOOKUP($A154,'Шаг2.Бланк заказа NEW'!$B$17:$N$201,5,0)),
IF(VLOOKUP($A154-COUNT('Шаг2.Бланк заказа NEW'!$B$19:$B$201),'Бланк OLD 0.8 04'!$B$12:$K$200,4,0)&gt;1,0.8,
IF(VLOOKUP($A154-COUNT('Шаг2.Бланк заказа NEW'!$B$19:$B$201),'Бланк OLD 0.8 04'!$B$12:$K$200,5,0)&gt;1,0.4,
IF(AND(VLOOKUP($A154-COUNT('Шаг2.Бланк заказа NEW'!$B$19:$B$201),'Бланк OLD 0.8 04'!$B$12:$K$200,4,0)&gt;0,VLOOKUP($A154-COUNT('Шаг2.Бланк заказа NEW'!$B$19:$B$201),'Бланк OLD 0.8 04'!$B$12:$K$200,5,0)&gt;0),0.4,"")))),
IF(VLOOKUP($A154-COUNT('Шаг2.Бланк заказа NEW'!$B$19:$B$201)-COUNT('Бланк OLD 0.8 04'!$B$18:$B$200),'Бланк OLD 2.0 04 '!$B$16:$K$200,4,0)&gt;1,2,
IF(VLOOKUP($A154-COUNT('Шаг2.Бланк заказа NEW'!$B$19:$B$201)-COUNT('Бланк OLD 0.8 04'!$B$18:$B$200),'Бланк OLD 2.0 04 '!$B$16:$K$200,5,0)&gt;1,0.4,IF(AND(VLOOKUP($A154-COUNT('Шаг2.Бланк заказа NEW'!$B$19:$B$201)-COUNT('Бланк OLD 0.8 04'!$B$18:$B$200),'Бланк OLD 2.0 04 '!$B$16:$K$200,4,0)&gt;0,VLOOKUP($A154-COUNT('Шаг2.Бланк заказа NEW'!$B$19:$B$201)-COUNT('Бланк OLD 0.8 04'!$B$18:$B$200),'Бланк OLD 2.0 04 '!$B$16:$K$200,5,0)&gt;0),0.4,""))))</f>
        <v/>
      </c>
      <c r="T154" s="147" t="str">
        <f ca="1">IFERROR(IFERROR(IF(VLOOKUP($A154,'Шаг2.Бланк заказа NEW'!$B$17:$N$201,7,0)="","",VLOOKUP($A154,'Шаг2.Бланк заказа NEW'!$B$17:$N$201,7,0)),
IF(VLOOKUP($A154-COUNT('Шаг2.Бланк заказа NEW'!$B$19:$B$201),'Бланк OLD 0.8 04'!$B$12:$K$200,7,0)&gt;0,0.8,
IF(VLOOKUP($A154-COUNT('Шаг2.Бланк заказа NEW'!$B$19:$B$201),'Бланк OLD 0.8 04'!$B$12:$K$200,8,0)&gt;0,0.4,""))),
IF(VLOOKUP($A154-COUNT('Шаг2.Бланк заказа NEW'!$B$19:$B$201)-COUNT('Бланк OLD 0.8 04'!$B$18:$B$200),'Бланк OLD 2.0 04 '!$B$16:$K$200,7,0)&gt;0,2,IF(VLOOKUP($A154-COUNT('Шаг2.Бланк заказа NEW'!$B$19:$B$201)-COUNT('Бланк OLD 0.8 04'!$B$18:$B$200),'Бланк OLD 2.0 04 '!$B$16:$K$200,8,0)&gt;0,0.4,"")))</f>
        <v/>
      </c>
      <c r="U154" s="147" t="str">
        <f ca="1">IFERROR(IFERROR(IF(VLOOKUP($A154,'Шаг2.Бланк заказа NEW'!$B$17:$N$201,8,0)="","",VLOOKUP($A154,'Шаг2.Бланк заказа NEW'!$B$17:$N$201,8,0)),
IF(VLOOKUP($A154-COUNT('Шаг2.Бланк заказа NEW'!$B$19:$B$201),'Бланк OLD 0.8 04'!$B$12:$K$200,7,0)&gt;1,0.8,
IF(VLOOKUP($A154-COUNT('Шаг2.Бланк заказа NEW'!$B$19:$B$201),'Бланк OLD 0.8 04'!$B$12:$K$200,8,0)&gt;1,0.4,
IF(AND(VLOOKUP($A154-COUNT('Шаг2.Бланк заказа NEW'!$B$19:$B$201),'Бланк OLD 0.8 04'!$B$12:$K$200,7,0)&gt;0,VLOOKUP($A154-COUNT('Шаг2.Бланк заказа NEW'!$B$19:$B$201),'Бланк OLD 0.8 04'!$B$12:$K$200,8,0)&gt;0),0.4,"")))),
IF(VLOOKUP($A154-COUNT('Шаг2.Бланк заказа NEW'!$B$19:$B$201)-COUNT('Бланк OLD 0.8 04'!$B$18:$B$200),'Бланк OLD 2.0 04 '!$B$16:$K$200,7,0)&gt;1,2,
IF(VLOOKUP($A154-COUNT('Шаг2.Бланк заказа NEW'!$B$19:$B$201)-COUNT('Бланк OLD 0.8 04'!$B$18:$B$200),'Бланк OLD 2.0 04 '!$B$16:$K$200,8,0)&gt;1,0.4,
IF(AND(VLOOKUP($A154-COUNT('Шаг2.Бланк заказа NEW'!$B$19:$B$201)-COUNT('Бланк OLD 0.8 04'!$B$18:$B$200),'Бланк OLD 2.0 04 '!$B$16:$K$200,7,0)&gt;0,VLOOKUP($A154-COUNT('Шаг2.Бланк заказа NEW'!$B$19:$B$201)-COUNT('Бланк OLD 0.8 04'!$B$18:$B$200),'Бланк OLD 2.0 04 '!$B$16:$K$200,8,0)&gt;0),0.4,""))))</f>
        <v/>
      </c>
      <c r="V154" s="146" t="str">
        <f ca="1">IFERROR(VLOOKUP(C154,'Шаг1.Выбор плиты'!C:S,12,0),"")</f>
        <v/>
      </c>
      <c r="W154" s="146" t="str">
        <f ca="1">IFERROR(VLOOKUP(C154,'Шаг1.Выбор плиты'!C:S,8,0),"")</f>
        <v/>
      </c>
      <c r="X154" s="146" t="str">
        <f ca="1">IFERROR(VLOOKUP(C154,'Шаг1.Выбор плиты'!C:S,10,0),"")</f>
        <v/>
      </c>
      <c r="Y154" s="147" t="str">
        <f t="shared" ca="1" si="13"/>
        <v/>
      </c>
      <c r="AD154" s="147" t="str">
        <f t="shared" ca="1" si="16"/>
        <v/>
      </c>
      <c r="AE154" s="147" t="str">
        <f t="shared" ca="1" si="14"/>
        <v/>
      </c>
      <c r="AF154" s="25"/>
      <c r="AH154" s="147" t="str">
        <f ca="1">IF(C154="","",VLOOKUP(C154,'Шаг1.Выбор плиты'!C:Q,7,0))</f>
        <v/>
      </c>
      <c r="AI154" s="147" t="str">
        <f t="shared" ca="1" si="17"/>
        <v/>
      </c>
    </row>
    <row r="155" spans="1:35" x14ac:dyDescent="0.2">
      <c r="A155" s="151" t="str">
        <f ca="1">IF(C155="","",MAX($A$1:OFFSET(C155,-1,0))+1)</f>
        <v/>
      </c>
      <c r="B155" s="151" t="str">
        <f ca="1">IFERROR(IFERROR(IFERROR("Шаг2.Бланк заказа NEW №"&amp;VLOOKUP(A154+1,CHOOSE({1,2},'Шаг2.Бланк заказа NEW'!$B$19:$B$201,'Шаг2.Бланк заказа NEW'!$A$19:$A$201),1,0),
"Бланк OLD 0.8 04 №"&amp;VLOOKUP(A154+1-COUNT('Шаг2.Бланк заказа NEW'!$B$19:$B$201),CHOOSE({1,2},'Бланк OLD 0.8 04'!$B$18:$B$200,'Бланк OLD 0.8 04'!$A$18:$A$200),1,0)),
"Бланк OLD 2.0 04 №"&amp;VLOOKUP(A154+1-COUNT('Шаг2.Бланк заказа NEW'!$B$19:$B$201)-COUNT('Бланк OLD 0.8 04'!$B$18:$B$200),CHOOSE({1,2},'Бланк OLD 2.0 04 '!$B$18:$B$200,'Бланк OLD 2.0 04 '!$A$18:$A$200),1,0)),"")</f>
        <v/>
      </c>
      <c r="C155" s="152" t="str">
        <f ca="1">IFERROR(IFERROR(IFERROR(VLOOKUP(A154+1,CHOOSE({1,2},'Шаг2.Бланк заказа NEW'!$B$19:$B$201,'Шаг2.Бланк заказа NEW'!$A$19:$A$201),2,0),
VLOOKUP(A154+1-COUNT('Шаг2.Бланк заказа NEW'!$B$19:$B$201),CHOOSE({1,2},'Бланк OLD 0.8 04'!$B$18:$B$200,'Бланк OLD 0.8 04'!$A$18:$A$200),2,0)),
VLOOKUP(A154+1-COUNT('Шаг2.Бланк заказа NEW'!$B$19:$B$201)-COUNT('Бланк OLD 0.8 04'!$B$18:$B$200),CHOOSE({1,2},'Бланк OLD 2.0 04 '!$B$18:$B$200,'Бланк OLD 2.0 04 '!$A$18:$A$200),2,0)),"")</f>
        <v/>
      </c>
      <c r="D155" s="150" t="str">
        <f ca="1">IFERROR(VLOOKUP(C155,'Шаг1.Выбор плиты'!C:G,5,0),"")</f>
        <v/>
      </c>
      <c r="E155" s="147" t="str">
        <f ca="1">IFERROR(IFERROR(IF(VLOOKUP($A155,'Шаг2.Бланк заказа NEW'!$B$17:$N$201,2,0)="","",VLOOKUP($A155,'Шаг2.Бланк заказа NEW'!$B$17:$N$201,2,0)),
IF(VLOOKUP($A155-COUNT('Шаг2.Бланк заказа NEW'!$B$19:$B$201),'Бланк OLD 0.8 04'!$B$12:$K$200,2,0)="","",VLOOKUP($A155-COUNT('Шаг2.Бланк заказа NEW'!$B$19:$B$201),'Бланк OLD 0.8 04'!$B$12:$K$200,2,0))),
IF(VLOOKUP($A155-COUNT('Шаг2.Бланк заказа NEW'!$B$19:$B$201)-COUNT('Бланк OLD 0.8 04'!$B$18:$B$200),'Бланк OLD 2.0 04 '!$B$16:$K$200,2,0)="","",VLOOKUP($A155-COUNT('Шаг2.Бланк заказа NEW'!$B$19:$B$201)-COUNT('Бланк OLD 0.8 04'!$B$18:$B$200),'Бланк OLD 2.0 04 '!$B$16:$K$200,2,0)))</f>
        <v/>
      </c>
      <c r="F155" s="147" t="str">
        <f ca="1">IFERROR(IFERROR(IF(VLOOKUP($A155,'Шаг2.Бланк заказа NEW'!$B$17:$N$201,3,0)="","",VLOOKUP($A155,'Шаг2.Бланк заказа NEW'!$B$17:$N$201,3,0)),
IF(VLOOKUP($A155-COUNT('Шаг2.Бланк заказа NEW'!$B$19:$B$201),'Бланк OLD 0.8 04'!$B$12:$K$200,3,0)="","",VLOOKUP($A155-COUNT('Шаг2.Бланк заказа NEW'!$B$19:$B$201),'Бланк OLD 0.8 04'!$B$12:$K$200,3,0))),
IF(VLOOKUP($A155-COUNT('Шаг2.Бланк заказа NEW'!$B$19:$B$201)-COUNT('Бланк OLD 0.8 04'!$B$18:$B$200),'Бланк OLD 2.0 04 '!$B$16:$K$200,3,0)="","",VLOOKUP($A155-COUNT('Шаг2.Бланк заказа NEW'!$B$19:$B$201)-COUNT('Бланк OLD 0.8 04'!$B$18:$B$200),'Бланк OLD 2.0 04 '!$B$16:$K$200,3,0)))</f>
        <v/>
      </c>
      <c r="G155" s="176" t="str">
        <f ca="1">IF(IF(R155="","",IF(R155=1,SUMIFS('Шаг1.Выбор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плиты'!C:Q,12,0)),1))))))=0,
R155,
IF(R155="","",IF(R155=1,SUMIFS('Шаг1.Выбор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плиты'!N:N,R155,'Шаг1.Выбор плиты'!M:M,SMALL(INDIRECT("мм"&amp;VLOOKUP(C155,'Шаг1.Выбор плиты'!C:Q,12,0)),1)))))))</f>
        <v/>
      </c>
      <c r="H155" s="177" t="str">
        <f ca="1">IF(IF(S155="","",IF(S155=1,SUMIFS('Шаг1.Выбор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плиты'!C:Q,12,0)),1))))))=0,
S155,
IF(S155="","",IF(S155=1,SUMIFS('Шаг1.Выбор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плиты'!N:N,S155,'Шаг1.Выбор плиты'!M:M,SMALL(INDIRECT("мм"&amp;VLOOKUP(C155,'Шаг1.Выбор плиты'!C:Q,12,0)),1)))))))</f>
        <v/>
      </c>
      <c r="I155" s="147" t="str">
        <f ca="1">IFERROR(IFERROR(IF(VLOOKUP($A155,'Шаг2.Бланк заказа NEW'!$B$17:$N$201,6,0)="","",VLOOKUP($A155,'Шаг2.Бланк заказа NEW'!$B$17:$N$201,6,0)),
IF(VLOOKUP($A155-COUNT('Шаг2.Бланк заказа NEW'!$B$19:$B$201),'Бланк OLD 0.8 04'!$B$12:$K$200,6,0)="","",VLOOKUP($A155-COUNT('Шаг2.Бланк заказа NEW'!$B$19:$B$201),'Бланк OLD 0.8 04'!$B$12:$K$200,6,0))),
IF(VLOOKUP($A155-COUNT('Шаг2.Бланк заказа NEW'!$B$19:$B$201)-COUNT('Бланк OLD 0.8 04'!$B$18:$B$200),'Бланк OLD 2.0 04 '!$B$16:$K$200,6,0)="","",VLOOKUP($A155-COUNT('Шаг2.Бланк заказа NEW'!$B$19:$B$201)-COUNT('Бланк OLD 0.8 04'!$B$18:$B$200),'Бланк OLD 2.0 04 '!$B$16:$K$200,6,0)))</f>
        <v/>
      </c>
      <c r="J155" s="177" t="str">
        <f ca="1">IF(IF(T155="","",IF(T155=1,SUMIFS('Шаг1.Выбор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плиты'!C:Q,12,0)),1))))))=0,
T155,
IF(T155="","",IF(T155=1,SUMIFS('Шаг1.Выбор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плиты'!N:N,T155,'Шаг1.Выбор плиты'!M:M,SMALL(INDIRECT("мм"&amp;VLOOKUP(C155,'Шаг1.Выбор плиты'!C:Q,12,0)),1)))))))</f>
        <v/>
      </c>
      <c r="K155" s="177" t="str">
        <f ca="1">IF(IF(U155="","",IF(U155=1,SUMIFS('Шаг1.Выбор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плиты'!C:Q,12,0)),1))))))=0,
U155,
IF(U155="","",IF(U155=1,SUMIFS('Шаг1.Выбор плиты'!$G:$G,'Шаг1.Выбор плиты'!J:J,"*"&amp;RIGHT(VLOOKUP(C155,'Шаг1.Выбор плиты'!C:Q,8,0),4),'Шаг1.Выбор плиты'!L:L,IF(MID(C155,1,6)="ЛДСП P","TM"&amp;MID(VLOOKUP(C155,'Шаг1.Выбор плиты'!C:Q,10,0),3,2),MID(VLOOKUP(C155,'Шаг1.Выбор плиты'!C:Q,10,0),1,2)),
'Шаг1.Выбор плиты'!N:N,1),IF(SUMIFS('Шаг1.Выбор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плиты'!C:Q,12,0)),1))=0,
IF(SUMIFS('Шаг1.Выбор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плиты'!C:Q,12,0)),2))=0,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плиты'!C:Q,12,0)),3)),
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плиты'!C:Q,12,0)),2))),
(SUMIFS('Шаг1.Выбор плиты'!$G:$G,'Шаг1.Выбор плиты'!J:J,"*"&amp;RIGHT(VLOOKUP(C155,'Шаг1.Выбор плиты'!C:Q,8,0),4),'Шаг1.Выбор плиты'!L:L,VLOOKUP(C155,'Шаг1.Выбор плиты'!C:Q,10,0),'Шаг1.Выбор плиты'!N:N,U155,'Шаг1.Выбор плиты'!M:M,SMALL(INDIRECT("мм"&amp;VLOOKUP(C155,'Шаг1.Выбор плиты'!C:Q,12,0)),1)))))))</f>
        <v/>
      </c>
      <c r="L155" s="147" t="str">
        <f ca="1">IFERROR(IFERROR(IF(VLOOKUP($A155,'Шаг2.Бланк заказа NEW'!$B$17:$N$201,9,0)="","",VLOOKUP($A155,'Шаг2.Бланк заказа NEW'!$B$17:$N$201,9,0)),
IF(VLOOKUP($A155-COUNT('Шаг2.Бланк заказа NEW'!$B$19:$B$201),'Бланк OLD 0.8 04'!$B$12:$K$200,9,0)="","",VLOOKUP($A155-COUNT('Шаг2.Бланк заказа NEW'!$B$19:$B$201),'Бланк OLD 0.8 04'!$B$12:$K$200,9,0))),
IF(VLOOKUP($A155-COUNT('Шаг2.Бланк заказа NEW'!$B$19:$B$201)-COUNT('Бланк OLD 0.8 04'!$B$18:$B$200),'Бланк OLD 2.0 04 '!$B$16:$K$200,9,0)="","",VLOOKUP($A155-COUNT('Шаг2.Бланк заказа NEW'!$B$19:$B$201)-COUNT('Бланк OLD 0.8 04'!$B$18:$B$200),'Бланк OLD 2.0 04 '!$B$16:$K$200,9,0)))</f>
        <v/>
      </c>
      <c r="M155" s="154" t="str">
        <f t="shared" ca="1" si="15"/>
        <v/>
      </c>
      <c r="N155" s="153" t="str">
        <f ca="1">IFERROR(IF(VLOOKUP($A155,'Шаг2.Бланк заказа NEW'!$B$17:$N$201,11,0)="","",VLOOKUP($A155,'Шаг2.Бланк заказа NEW'!$B$17:$N$201,11,0)),
"Нет")</f>
        <v/>
      </c>
      <c r="O155" s="147" t="str">
        <f ca="1">IFERROR(IF(VLOOKUP($A155,'Шаг2.Бланк заказа NEW'!$B$17:$N$201,11,0)="","",VLOOKUP($A155,'Шаг2.Бланк заказа NEW'!$B$17:$N$201,12,0)),
"Нет")</f>
        <v/>
      </c>
      <c r="P155" s="153" t="str">
        <f ca="1">IFERROR(IF(VLOOKUP($A155,'Шаг2.Бланк заказа NEW'!$B$17:$N$201,13,0)="","",VLOOKUP($A155,'Шаг2.Бланк заказа NEW'!$B$17:$N$201,13,0)),
"Нет")</f>
        <v/>
      </c>
      <c r="Q155" s="147" t="str">
        <f ca="1">IFERROR(IF(VLOOKUP($A155,'Шаг2.Бланк заказа NEW'!$B$17:$O$201,14,0)="","",VLOOKUP($A155,'Шаг2.Бланк заказа NEW'!$B$17:$O$201,14,0)),"")</f>
        <v/>
      </c>
      <c r="R155" s="147" t="str">
        <f ca="1">IFERROR(IFERROR(IF(VLOOKUP($A155,'Шаг2.Бланк заказа NEW'!$B$17:$N$201,4,0)="","",VLOOKUP($A155,'Шаг2.Бланк заказа NEW'!$B$17:$N$201,4,0)),
IF(VLOOKUP($A155-COUNT('Шаг2.Бланк заказа NEW'!$B$19:$B$201),'Бланк OLD 0.8 04'!$B$12:$K$200,4,0)&gt;0,0.8,
IF(VLOOKUP($A155-COUNT('Шаг2.Бланк заказа NEW'!$B$19:$B$201),'Бланк OLD 0.8 04'!$B$12:$K$200,5,0)&gt;0,0.4,""))),
IF(VLOOKUP($A155-COUNT('Шаг2.Бланк заказа NEW'!$B$19:$B$201)-COUNT('Бланк OLD 0.8 04'!$B$18:$B$200),'Бланк OLD 2.0 04 '!$B$16:$K$200,4,0)&gt;0,2,IF(VLOOKUP($A155-COUNT('Шаг2.Бланк заказа NEW'!$B$19:$B$201)-COUNT('Бланк OLD 0.8 04'!$B$18:$B$200),'Бланк OLD 2.0 04 '!$B$16:$K$200,5,0)&gt;0,0.4,"")))</f>
        <v/>
      </c>
      <c r="S155" s="147" t="str">
        <f ca="1">IFERROR(IFERROR(IF(VLOOKUP($A155,'Шаг2.Бланк заказа NEW'!$B$17:$N$201,5,0)="","",VLOOKUP($A155,'Шаг2.Бланк заказа NEW'!$B$17:$N$201,5,0)),
IF(VLOOKUP($A155-COUNT('Шаг2.Бланк заказа NEW'!$B$19:$B$201),'Бланк OLD 0.8 04'!$B$12:$K$200,4,0)&gt;1,0.8,
IF(VLOOKUP($A155-COUNT('Шаг2.Бланк заказа NEW'!$B$19:$B$201),'Бланк OLD 0.8 04'!$B$12:$K$200,5,0)&gt;1,0.4,
IF(AND(VLOOKUP($A155-COUNT('Шаг2.Бланк заказа NEW'!$B$19:$B$201),'Бланк OLD 0.8 04'!$B$12:$K$200,4,0)&gt;0,VLOOKUP($A155-COUNT('Шаг2.Бланк заказа NEW'!$B$19:$B$201),'Бланк OLD 0.8 04'!$B$12:$K$200,5,0)&gt;0),0.4,"")))),
IF(VLOOKUP($A155-COUNT('Шаг2.Бланк заказа NEW'!$B$19:$B$201)-COUNT('Бланк OLD 0.8 04'!$B$18:$B$200),'Бланк OLD 2.0 04 '!$B$16:$K$200,4,0)&gt;1,2,
IF(VLOOKUP($A155-COUNT('Шаг2.Бланк заказа NEW'!$B$19:$B$201)-COUNT('Бланк OLD 0.8 04'!$B$18:$B$200),'Бланк OLD 2.0 04 '!$B$16:$K$200,5,0)&gt;1,0.4,IF(AND(VLOOKUP($A155-COUNT('Шаг2.Бланк заказа NEW'!$B$19:$B$201)-COUNT('Бланк OLD 0.8 04'!$B$18:$B$200),'Бланк OLD 2.0 04 '!$B$16:$K$200,4,0)&gt;0,VLOOKUP($A155-COUNT('Шаг2.Бланк заказа NEW'!$B$19:$B$201)-COUNT('Бланк OLD 0.8 04'!$B$18:$B$200),'Бланк OLD 2.0 04 '!$B$16:$K$200,5,0)&gt;0),0.4,""))))</f>
        <v/>
      </c>
      <c r="T155" s="147" t="str">
        <f ca="1">IFERROR(IFERROR(IF(VLOOKUP($A155,'Шаг2.Бланк заказа NEW'!$B$17:$N$201,7,0)="","",VLOOKUP($A155,'Шаг2.Бланк заказа NEW'!$B$17:$N$201,7,0)),
IF(VLOOKUP($A155-COUNT('Шаг2.Бланк заказа NEW'!$B$19:$B$201),'Бланк OLD 0.8 04'!$B$12:$K$200,7,0)&gt;0,0.8,
IF(VLOOKUP($A155-COUNT('Шаг2.Бланк заказа NEW'!$B$19:$B$201),'Бланк OLD 0.8 04'!$B$12:$K$200,8,0)&gt;0,0.4,""))),
IF(VLOOKUP($A155-COUNT('Шаг2.Бланк заказа NEW'!$B$19:$B$201)-COUNT('Бланк OLD 0.8 04'!$B$18:$B$200),'Бланк OLD 2.0 04 '!$B$16:$K$200,7,0)&gt;0,2,IF(VLOOKUP($A155-COUNT('Шаг2.Бланк заказа NEW'!$B$19:$B$201)-COUNT('Бланк OLD 0.8 04'!$B$18:$B$200),'Бланк OLD 2.0 04 '!$B$16:$K$200,8,0)&gt;0,0.4,"")))</f>
        <v/>
      </c>
      <c r="U155" s="147" t="str">
        <f ca="1">IFERROR(IFERROR(IF(VLOOKUP($A155,'Шаг2.Бланк заказа NEW'!$B$17:$N$201,8,0)="","",VLOOKUP($A155,'Шаг2.Бланк заказа NEW'!$B$17:$N$201,8,0)),
IF(VLOOKUP($A155-COUNT('Шаг2.Бланк заказа NEW'!$B$19:$B$201),'Бланк OLD 0.8 04'!$B$12:$K$200,7,0)&gt;1,0.8,
IF(VLOOKUP($A155-COUNT('Шаг2.Бланк заказа NEW'!$B$19:$B$201),'Бланк OLD 0.8 04'!$B$12:$K$200,8,0)&gt;1,0.4,
IF(AND(VLOOKUP($A155-COUNT('Шаг2.Бланк заказа NEW'!$B$19:$B$201),'Бланк OLD 0.8 04'!$B$12:$K$200,7,0)&gt;0,VLOOKUP($A155-COUNT('Шаг2.Бланк заказа NEW'!$B$19:$B$201),'Бланк OLD 0.8 04'!$B$12:$K$200,8,0)&gt;0),0.4,"")))),
IF(VLOOKUP($A155-COUNT('Шаг2.Бланк заказа NEW'!$B$19:$B$201)-COUNT('Бланк OLD 0.8 04'!$B$18:$B$200),'Бланк OLD 2.0 04 '!$B$16:$K$200,7,0)&gt;1,2,
IF(VLOOKUP($A155-COUNT('Шаг2.Бланк заказа NEW'!$B$19:$B$201)-COUNT('Бланк OLD 0.8 04'!$B$18:$B$200),'Бланк OLD 2.0 04 '!$B$16:$K$200,8,0)&gt;1,0.4,
IF(AND(VLOOKUP($A155-COUNT('Шаг2.Бланк заказа NEW'!$B$19:$B$201)-COUNT('Бланк OLD 0.8 04'!$B$18:$B$200),'Бланк OLD 2.0 04 '!$B$16:$K$200,7,0)&gt;0,VLOOKUP($A155-COUNT('Шаг2.Бланк заказа NEW'!$B$19:$B$201)-COUNT('Бланк OLD 0.8 04'!$B$18:$B$200),'Бланк OLD 2.0 04 '!$B$16:$K$200,8,0)&gt;0),0.4,""))))</f>
        <v/>
      </c>
      <c r="V155" s="146" t="str">
        <f ca="1">IFERROR(VLOOKUP(C155,'Шаг1.Выбор плиты'!C:S,12,0),"")</f>
        <v/>
      </c>
      <c r="W155" s="146" t="str">
        <f ca="1">IFERROR(VLOOKUP(C155,'Шаг1.Выбор плиты'!C:S,8,0),"")</f>
        <v/>
      </c>
      <c r="X155" s="146" t="str">
        <f ca="1">IFERROR(VLOOKUP(C155,'Шаг1.Выбор плиты'!C:S,10,0),"")</f>
        <v/>
      </c>
      <c r="Y155" s="147" t="str">
        <f t="shared" ca="1" si="13"/>
        <v/>
      </c>
      <c r="AD155" s="147" t="str">
        <f t="shared" ca="1" si="16"/>
        <v/>
      </c>
      <c r="AE155" s="147" t="str">
        <f t="shared" ca="1" si="14"/>
        <v/>
      </c>
      <c r="AF155" s="25"/>
      <c r="AH155" s="147" t="str">
        <f ca="1">IF(C155="","",VLOOKUP(C155,'Шаг1.Выбор плиты'!C:Q,7,0))</f>
        <v/>
      </c>
      <c r="AI155" s="147" t="str">
        <f t="shared" ca="1" si="17"/>
        <v/>
      </c>
    </row>
    <row r="156" spans="1:35" x14ac:dyDescent="0.2">
      <c r="A156" s="151" t="str">
        <f ca="1">IF(C156="","",MAX($A$1:OFFSET(C156,-1,0))+1)</f>
        <v/>
      </c>
      <c r="B156" s="151" t="str">
        <f ca="1">IFERROR(IFERROR(IFERROR("Шаг2.Бланк заказа NEW №"&amp;VLOOKUP(A155+1,CHOOSE({1,2},'Шаг2.Бланк заказа NEW'!$B$19:$B$201,'Шаг2.Бланк заказа NEW'!$A$19:$A$201),1,0),
"Бланк OLD 0.8 04 №"&amp;VLOOKUP(A155+1-COUNT('Шаг2.Бланк заказа NEW'!$B$19:$B$201),CHOOSE({1,2},'Бланк OLD 0.8 04'!$B$18:$B$200,'Бланк OLD 0.8 04'!$A$18:$A$200),1,0)),
"Бланк OLD 2.0 04 №"&amp;VLOOKUP(A155+1-COUNT('Шаг2.Бланк заказа NEW'!$B$19:$B$201)-COUNT('Бланк OLD 0.8 04'!$B$18:$B$200),CHOOSE({1,2},'Бланк OLD 2.0 04 '!$B$18:$B$200,'Бланк OLD 2.0 04 '!$A$18:$A$200),1,0)),"")</f>
        <v/>
      </c>
      <c r="C156" s="152" t="str">
        <f ca="1">IFERROR(IFERROR(IFERROR(VLOOKUP(A155+1,CHOOSE({1,2},'Шаг2.Бланк заказа NEW'!$B$19:$B$201,'Шаг2.Бланк заказа NEW'!$A$19:$A$201),2,0),
VLOOKUP(A155+1-COUNT('Шаг2.Бланк заказа NEW'!$B$19:$B$201),CHOOSE({1,2},'Бланк OLD 0.8 04'!$B$18:$B$200,'Бланк OLD 0.8 04'!$A$18:$A$200),2,0)),
VLOOKUP(A155+1-COUNT('Шаг2.Бланк заказа NEW'!$B$19:$B$201)-COUNT('Бланк OLD 0.8 04'!$B$18:$B$200),CHOOSE({1,2},'Бланк OLD 2.0 04 '!$B$18:$B$200,'Бланк OLD 2.0 04 '!$A$18:$A$200),2,0)),"")</f>
        <v/>
      </c>
      <c r="D156" s="150" t="str">
        <f ca="1">IFERROR(VLOOKUP(C156,'Шаг1.Выбор плиты'!C:G,5,0),"")</f>
        <v/>
      </c>
      <c r="E156" s="147" t="str">
        <f ca="1">IFERROR(IFERROR(IF(VLOOKUP($A156,'Шаг2.Бланк заказа NEW'!$B$17:$N$201,2,0)="","",VLOOKUP($A156,'Шаг2.Бланк заказа NEW'!$B$17:$N$201,2,0)),
IF(VLOOKUP($A156-COUNT('Шаг2.Бланк заказа NEW'!$B$19:$B$201),'Бланк OLD 0.8 04'!$B$12:$K$200,2,0)="","",VLOOKUP($A156-COUNT('Шаг2.Бланк заказа NEW'!$B$19:$B$201),'Бланк OLD 0.8 04'!$B$12:$K$200,2,0))),
IF(VLOOKUP($A156-COUNT('Шаг2.Бланк заказа NEW'!$B$19:$B$201)-COUNT('Бланк OLD 0.8 04'!$B$18:$B$200),'Бланк OLD 2.0 04 '!$B$16:$K$200,2,0)="","",VLOOKUP($A156-COUNT('Шаг2.Бланк заказа NEW'!$B$19:$B$201)-COUNT('Бланк OLD 0.8 04'!$B$18:$B$200),'Бланк OLD 2.0 04 '!$B$16:$K$200,2,0)))</f>
        <v/>
      </c>
      <c r="F156" s="147" t="str">
        <f ca="1">IFERROR(IFERROR(IF(VLOOKUP($A156,'Шаг2.Бланк заказа NEW'!$B$17:$N$201,3,0)="","",VLOOKUP($A156,'Шаг2.Бланк заказа NEW'!$B$17:$N$201,3,0)),
IF(VLOOKUP($A156-COUNT('Шаг2.Бланк заказа NEW'!$B$19:$B$201),'Бланк OLD 0.8 04'!$B$12:$K$200,3,0)="","",VLOOKUP($A156-COUNT('Шаг2.Бланк заказа NEW'!$B$19:$B$201),'Бланк OLD 0.8 04'!$B$12:$K$200,3,0))),
IF(VLOOKUP($A156-COUNT('Шаг2.Бланк заказа NEW'!$B$19:$B$201)-COUNT('Бланк OLD 0.8 04'!$B$18:$B$200),'Бланк OLD 2.0 04 '!$B$16:$K$200,3,0)="","",VLOOKUP($A156-COUNT('Шаг2.Бланк заказа NEW'!$B$19:$B$201)-COUNT('Бланк OLD 0.8 04'!$B$18:$B$200),'Бланк OLD 2.0 04 '!$B$16:$K$200,3,0)))</f>
        <v/>
      </c>
      <c r="G156" s="176" t="str">
        <f ca="1">IF(IF(R156="","",IF(R156=1,SUMIFS('Шаг1.Выбор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плиты'!C:Q,12,0)),1))))))=0,
R156,
IF(R156="","",IF(R156=1,SUMIFS('Шаг1.Выбор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плиты'!N:N,R156,'Шаг1.Выбор плиты'!M:M,SMALL(INDIRECT("мм"&amp;VLOOKUP(C156,'Шаг1.Выбор плиты'!C:Q,12,0)),1)))))))</f>
        <v/>
      </c>
      <c r="H156" s="177" t="str">
        <f ca="1">IF(IF(S156="","",IF(S156=1,SUMIFS('Шаг1.Выбор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плиты'!C:Q,12,0)),1))))))=0,
S156,
IF(S156="","",IF(S156=1,SUMIFS('Шаг1.Выбор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плиты'!N:N,S156,'Шаг1.Выбор плиты'!M:M,SMALL(INDIRECT("мм"&amp;VLOOKUP(C156,'Шаг1.Выбор плиты'!C:Q,12,0)),1)))))))</f>
        <v/>
      </c>
      <c r="I156" s="147" t="str">
        <f ca="1">IFERROR(IFERROR(IF(VLOOKUP($A156,'Шаг2.Бланк заказа NEW'!$B$17:$N$201,6,0)="","",VLOOKUP($A156,'Шаг2.Бланк заказа NEW'!$B$17:$N$201,6,0)),
IF(VLOOKUP($A156-COUNT('Шаг2.Бланк заказа NEW'!$B$19:$B$201),'Бланк OLD 0.8 04'!$B$12:$K$200,6,0)="","",VLOOKUP($A156-COUNT('Шаг2.Бланк заказа NEW'!$B$19:$B$201),'Бланк OLD 0.8 04'!$B$12:$K$200,6,0))),
IF(VLOOKUP($A156-COUNT('Шаг2.Бланк заказа NEW'!$B$19:$B$201)-COUNT('Бланк OLD 0.8 04'!$B$18:$B$200),'Бланк OLD 2.0 04 '!$B$16:$K$200,6,0)="","",VLOOKUP($A156-COUNT('Шаг2.Бланк заказа NEW'!$B$19:$B$201)-COUNT('Бланк OLD 0.8 04'!$B$18:$B$200),'Бланк OLD 2.0 04 '!$B$16:$K$200,6,0)))</f>
        <v/>
      </c>
      <c r="J156" s="177" t="str">
        <f ca="1">IF(IF(T156="","",IF(T156=1,SUMIFS('Шаг1.Выбор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плиты'!C:Q,12,0)),1))))))=0,
T156,
IF(T156="","",IF(T156=1,SUMIFS('Шаг1.Выбор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плиты'!N:N,T156,'Шаг1.Выбор плиты'!M:M,SMALL(INDIRECT("мм"&amp;VLOOKUP(C156,'Шаг1.Выбор плиты'!C:Q,12,0)),1)))))))</f>
        <v/>
      </c>
      <c r="K156" s="177" t="str">
        <f ca="1">IF(IF(U156="","",IF(U156=1,SUMIFS('Шаг1.Выбор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плиты'!C:Q,12,0)),1))))))=0,
U156,
IF(U156="","",IF(U156=1,SUMIFS('Шаг1.Выбор плиты'!$G:$G,'Шаг1.Выбор плиты'!J:J,"*"&amp;RIGHT(VLOOKUP(C156,'Шаг1.Выбор плиты'!C:Q,8,0),4),'Шаг1.Выбор плиты'!L:L,IF(MID(C156,1,6)="ЛДСП P","TM"&amp;MID(VLOOKUP(C156,'Шаг1.Выбор плиты'!C:Q,10,0),3,2),MID(VLOOKUP(C156,'Шаг1.Выбор плиты'!C:Q,10,0),1,2)),
'Шаг1.Выбор плиты'!N:N,1),IF(SUMIFS('Шаг1.Выбор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плиты'!C:Q,12,0)),1))=0,
IF(SUMIFS('Шаг1.Выбор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плиты'!C:Q,12,0)),2))=0,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плиты'!C:Q,12,0)),3)),
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плиты'!C:Q,12,0)),2))),
(SUMIFS('Шаг1.Выбор плиты'!$G:$G,'Шаг1.Выбор плиты'!J:J,"*"&amp;RIGHT(VLOOKUP(C156,'Шаг1.Выбор плиты'!C:Q,8,0),4),'Шаг1.Выбор плиты'!L:L,VLOOKUP(C156,'Шаг1.Выбор плиты'!C:Q,10,0),'Шаг1.Выбор плиты'!N:N,U156,'Шаг1.Выбор плиты'!M:M,SMALL(INDIRECT("мм"&amp;VLOOKUP(C156,'Шаг1.Выбор плиты'!C:Q,12,0)),1)))))))</f>
        <v/>
      </c>
      <c r="L156" s="147" t="str">
        <f ca="1">IFERROR(IFERROR(IF(VLOOKUP($A156,'Шаг2.Бланк заказа NEW'!$B$17:$N$201,9,0)="","",VLOOKUP($A156,'Шаг2.Бланк заказа NEW'!$B$17:$N$201,9,0)),
IF(VLOOKUP($A156-COUNT('Шаг2.Бланк заказа NEW'!$B$19:$B$201),'Бланк OLD 0.8 04'!$B$12:$K$200,9,0)="","",VLOOKUP($A156-COUNT('Шаг2.Бланк заказа NEW'!$B$19:$B$201),'Бланк OLD 0.8 04'!$B$12:$K$200,9,0))),
IF(VLOOKUP($A156-COUNT('Шаг2.Бланк заказа NEW'!$B$19:$B$201)-COUNT('Бланк OLD 0.8 04'!$B$18:$B$200),'Бланк OLD 2.0 04 '!$B$16:$K$200,9,0)="","",VLOOKUP($A156-COUNT('Шаг2.Бланк заказа NEW'!$B$19:$B$201)-COUNT('Бланк OLD 0.8 04'!$B$18:$B$200),'Бланк OLD 2.0 04 '!$B$16:$K$200,9,0)))</f>
        <v/>
      </c>
      <c r="M156" s="154" t="str">
        <f t="shared" ca="1" si="15"/>
        <v/>
      </c>
      <c r="N156" s="153" t="str">
        <f ca="1">IFERROR(IF(VLOOKUP($A156,'Шаг2.Бланк заказа NEW'!$B$17:$N$201,11,0)="","",VLOOKUP($A156,'Шаг2.Бланк заказа NEW'!$B$17:$N$201,11,0)),
"Нет")</f>
        <v/>
      </c>
      <c r="O156" s="147" t="str">
        <f ca="1">IFERROR(IF(VLOOKUP($A156,'Шаг2.Бланк заказа NEW'!$B$17:$N$201,11,0)="","",VLOOKUP($A156,'Шаг2.Бланк заказа NEW'!$B$17:$N$201,12,0)),
"Нет")</f>
        <v/>
      </c>
      <c r="P156" s="153" t="str">
        <f ca="1">IFERROR(IF(VLOOKUP($A156,'Шаг2.Бланк заказа NEW'!$B$17:$N$201,13,0)="","",VLOOKUP($A156,'Шаг2.Бланк заказа NEW'!$B$17:$N$201,13,0)),
"Нет")</f>
        <v/>
      </c>
      <c r="Q156" s="147" t="str">
        <f ca="1">IFERROR(IF(VLOOKUP($A156,'Шаг2.Бланк заказа NEW'!$B$17:$O$201,14,0)="","",VLOOKUP($A156,'Шаг2.Бланк заказа NEW'!$B$17:$O$201,14,0)),"")</f>
        <v/>
      </c>
      <c r="R156" s="147" t="str">
        <f ca="1">IFERROR(IFERROR(IF(VLOOKUP($A156,'Шаг2.Бланк заказа NEW'!$B$17:$N$201,4,0)="","",VLOOKUP($A156,'Шаг2.Бланк заказа NEW'!$B$17:$N$201,4,0)),
IF(VLOOKUP($A156-COUNT('Шаг2.Бланк заказа NEW'!$B$19:$B$201),'Бланк OLD 0.8 04'!$B$12:$K$200,4,0)&gt;0,0.8,
IF(VLOOKUP($A156-COUNT('Шаг2.Бланк заказа NEW'!$B$19:$B$201),'Бланк OLD 0.8 04'!$B$12:$K$200,5,0)&gt;0,0.4,""))),
IF(VLOOKUP($A156-COUNT('Шаг2.Бланк заказа NEW'!$B$19:$B$201)-COUNT('Бланк OLD 0.8 04'!$B$18:$B$200),'Бланк OLD 2.0 04 '!$B$16:$K$200,4,0)&gt;0,2,IF(VLOOKUP($A156-COUNT('Шаг2.Бланк заказа NEW'!$B$19:$B$201)-COUNT('Бланк OLD 0.8 04'!$B$18:$B$200),'Бланк OLD 2.0 04 '!$B$16:$K$200,5,0)&gt;0,0.4,"")))</f>
        <v/>
      </c>
      <c r="S156" s="147" t="str">
        <f ca="1">IFERROR(IFERROR(IF(VLOOKUP($A156,'Шаг2.Бланк заказа NEW'!$B$17:$N$201,5,0)="","",VLOOKUP($A156,'Шаг2.Бланк заказа NEW'!$B$17:$N$201,5,0)),
IF(VLOOKUP($A156-COUNT('Шаг2.Бланк заказа NEW'!$B$19:$B$201),'Бланк OLD 0.8 04'!$B$12:$K$200,4,0)&gt;1,0.8,
IF(VLOOKUP($A156-COUNT('Шаг2.Бланк заказа NEW'!$B$19:$B$201),'Бланк OLD 0.8 04'!$B$12:$K$200,5,0)&gt;1,0.4,
IF(AND(VLOOKUP($A156-COUNT('Шаг2.Бланк заказа NEW'!$B$19:$B$201),'Бланк OLD 0.8 04'!$B$12:$K$200,4,0)&gt;0,VLOOKUP($A156-COUNT('Шаг2.Бланк заказа NEW'!$B$19:$B$201),'Бланк OLD 0.8 04'!$B$12:$K$200,5,0)&gt;0),0.4,"")))),
IF(VLOOKUP($A156-COUNT('Шаг2.Бланк заказа NEW'!$B$19:$B$201)-COUNT('Бланк OLD 0.8 04'!$B$18:$B$200),'Бланк OLD 2.0 04 '!$B$16:$K$200,4,0)&gt;1,2,
IF(VLOOKUP($A156-COUNT('Шаг2.Бланк заказа NEW'!$B$19:$B$201)-COUNT('Бланк OLD 0.8 04'!$B$18:$B$200),'Бланк OLD 2.0 04 '!$B$16:$K$200,5,0)&gt;1,0.4,IF(AND(VLOOKUP($A156-COUNT('Шаг2.Бланк заказа NEW'!$B$19:$B$201)-COUNT('Бланк OLD 0.8 04'!$B$18:$B$200),'Бланк OLD 2.0 04 '!$B$16:$K$200,4,0)&gt;0,VLOOKUP($A156-COUNT('Шаг2.Бланк заказа NEW'!$B$19:$B$201)-COUNT('Бланк OLD 0.8 04'!$B$18:$B$200),'Бланк OLD 2.0 04 '!$B$16:$K$200,5,0)&gt;0),0.4,""))))</f>
        <v/>
      </c>
      <c r="T156" s="147" t="str">
        <f ca="1">IFERROR(IFERROR(IF(VLOOKUP($A156,'Шаг2.Бланк заказа NEW'!$B$17:$N$201,7,0)="","",VLOOKUP($A156,'Шаг2.Бланк заказа NEW'!$B$17:$N$201,7,0)),
IF(VLOOKUP($A156-COUNT('Шаг2.Бланк заказа NEW'!$B$19:$B$201),'Бланк OLD 0.8 04'!$B$12:$K$200,7,0)&gt;0,0.8,
IF(VLOOKUP($A156-COUNT('Шаг2.Бланк заказа NEW'!$B$19:$B$201),'Бланк OLD 0.8 04'!$B$12:$K$200,8,0)&gt;0,0.4,""))),
IF(VLOOKUP($A156-COUNT('Шаг2.Бланк заказа NEW'!$B$19:$B$201)-COUNT('Бланк OLD 0.8 04'!$B$18:$B$200),'Бланк OLD 2.0 04 '!$B$16:$K$200,7,0)&gt;0,2,IF(VLOOKUP($A156-COUNT('Шаг2.Бланк заказа NEW'!$B$19:$B$201)-COUNT('Бланк OLD 0.8 04'!$B$18:$B$200),'Бланк OLD 2.0 04 '!$B$16:$K$200,8,0)&gt;0,0.4,"")))</f>
        <v/>
      </c>
      <c r="U156" s="147" t="str">
        <f ca="1">IFERROR(IFERROR(IF(VLOOKUP($A156,'Шаг2.Бланк заказа NEW'!$B$17:$N$201,8,0)="","",VLOOKUP($A156,'Шаг2.Бланк заказа NEW'!$B$17:$N$201,8,0)),
IF(VLOOKUP($A156-COUNT('Шаг2.Бланк заказа NEW'!$B$19:$B$201),'Бланк OLD 0.8 04'!$B$12:$K$200,7,0)&gt;1,0.8,
IF(VLOOKUP($A156-COUNT('Шаг2.Бланк заказа NEW'!$B$19:$B$201),'Бланк OLD 0.8 04'!$B$12:$K$200,8,0)&gt;1,0.4,
IF(AND(VLOOKUP($A156-COUNT('Шаг2.Бланк заказа NEW'!$B$19:$B$201),'Бланк OLD 0.8 04'!$B$12:$K$200,7,0)&gt;0,VLOOKUP($A156-COUNT('Шаг2.Бланк заказа NEW'!$B$19:$B$201),'Бланк OLD 0.8 04'!$B$12:$K$200,8,0)&gt;0),0.4,"")))),
IF(VLOOKUP($A156-COUNT('Шаг2.Бланк заказа NEW'!$B$19:$B$201)-COUNT('Бланк OLD 0.8 04'!$B$18:$B$200),'Бланк OLD 2.0 04 '!$B$16:$K$200,7,0)&gt;1,2,
IF(VLOOKUP($A156-COUNT('Шаг2.Бланк заказа NEW'!$B$19:$B$201)-COUNT('Бланк OLD 0.8 04'!$B$18:$B$200),'Бланк OLD 2.0 04 '!$B$16:$K$200,8,0)&gt;1,0.4,
IF(AND(VLOOKUP($A156-COUNT('Шаг2.Бланк заказа NEW'!$B$19:$B$201)-COUNT('Бланк OLD 0.8 04'!$B$18:$B$200),'Бланк OLD 2.0 04 '!$B$16:$K$200,7,0)&gt;0,VLOOKUP($A156-COUNT('Шаг2.Бланк заказа NEW'!$B$19:$B$201)-COUNT('Бланк OLD 0.8 04'!$B$18:$B$200),'Бланк OLD 2.0 04 '!$B$16:$K$200,8,0)&gt;0),0.4,""))))</f>
        <v/>
      </c>
      <c r="V156" s="146" t="str">
        <f ca="1">IFERROR(VLOOKUP(C156,'Шаг1.Выбор плиты'!C:S,12,0),"")</f>
        <v/>
      </c>
      <c r="W156" s="146" t="str">
        <f ca="1">IFERROR(VLOOKUP(C156,'Шаг1.Выбор плиты'!C:S,8,0),"")</f>
        <v/>
      </c>
      <c r="X156" s="146" t="str">
        <f ca="1">IFERROR(VLOOKUP(C156,'Шаг1.Выбор плиты'!C:S,10,0),"")</f>
        <v/>
      </c>
      <c r="Y156" s="147" t="str">
        <f t="shared" ca="1" si="13"/>
        <v/>
      </c>
      <c r="AD156" s="147" t="str">
        <f t="shared" ca="1" si="16"/>
        <v/>
      </c>
      <c r="AE156" s="147" t="str">
        <f t="shared" ca="1" si="14"/>
        <v/>
      </c>
      <c r="AF156" s="25"/>
      <c r="AH156" s="147" t="str">
        <f ca="1">IF(C156="","",VLOOKUP(C156,'Шаг1.Выбор плиты'!C:Q,7,0))</f>
        <v/>
      </c>
      <c r="AI156" s="147" t="str">
        <f t="shared" ca="1" si="17"/>
        <v/>
      </c>
    </row>
    <row r="157" spans="1:35" x14ac:dyDescent="0.2">
      <c r="A157" s="151" t="str">
        <f ca="1">IF(C157="","",MAX($A$1:OFFSET(C157,-1,0))+1)</f>
        <v/>
      </c>
      <c r="B157" s="151" t="str">
        <f ca="1">IFERROR(IFERROR(IFERROR("Шаг2.Бланк заказа NEW №"&amp;VLOOKUP(A156+1,CHOOSE({1,2},'Шаг2.Бланк заказа NEW'!$B$19:$B$201,'Шаг2.Бланк заказа NEW'!$A$19:$A$201),1,0),
"Бланк OLD 0.8 04 №"&amp;VLOOKUP(A156+1-COUNT('Шаг2.Бланк заказа NEW'!$B$19:$B$201),CHOOSE({1,2},'Бланк OLD 0.8 04'!$B$18:$B$200,'Бланк OLD 0.8 04'!$A$18:$A$200),1,0)),
"Бланк OLD 2.0 04 №"&amp;VLOOKUP(A156+1-COUNT('Шаг2.Бланк заказа NEW'!$B$19:$B$201)-COUNT('Бланк OLD 0.8 04'!$B$18:$B$200),CHOOSE({1,2},'Бланк OLD 2.0 04 '!$B$18:$B$200,'Бланк OLD 2.0 04 '!$A$18:$A$200),1,0)),"")</f>
        <v/>
      </c>
      <c r="C157" s="152" t="str">
        <f ca="1">IFERROR(IFERROR(IFERROR(VLOOKUP(A156+1,CHOOSE({1,2},'Шаг2.Бланк заказа NEW'!$B$19:$B$201,'Шаг2.Бланк заказа NEW'!$A$19:$A$201),2,0),
VLOOKUP(A156+1-COUNT('Шаг2.Бланк заказа NEW'!$B$19:$B$201),CHOOSE({1,2},'Бланк OLD 0.8 04'!$B$18:$B$200,'Бланк OLD 0.8 04'!$A$18:$A$200),2,0)),
VLOOKUP(A156+1-COUNT('Шаг2.Бланк заказа NEW'!$B$19:$B$201)-COUNT('Бланк OLD 0.8 04'!$B$18:$B$200),CHOOSE({1,2},'Бланк OLD 2.0 04 '!$B$18:$B$200,'Бланк OLD 2.0 04 '!$A$18:$A$200),2,0)),"")</f>
        <v/>
      </c>
      <c r="D157" s="150" t="str">
        <f ca="1">IFERROR(VLOOKUP(C157,'Шаг1.Выбор плиты'!C:G,5,0),"")</f>
        <v/>
      </c>
      <c r="E157" s="147" t="str">
        <f ca="1">IFERROR(IFERROR(IF(VLOOKUP($A157,'Шаг2.Бланк заказа NEW'!$B$17:$N$201,2,0)="","",VLOOKUP($A157,'Шаг2.Бланк заказа NEW'!$B$17:$N$201,2,0)),
IF(VLOOKUP($A157-COUNT('Шаг2.Бланк заказа NEW'!$B$19:$B$201),'Бланк OLD 0.8 04'!$B$12:$K$200,2,0)="","",VLOOKUP($A157-COUNT('Шаг2.Бланк заказа NEW'!$B$19:$B$201),'Бланк OLD 0.8 04'!$B$12:$K$200,2,0))),
IF(VLOOKUP($A157-COUNT('Шаг2.Бланк заказа NEW'!$B$19:$B$201)-COUNT('Бланк OLD 0.8 04'!$B$18:$B$200),'Бланк OLD 2.0 04 '!$B$16:$K$200,2,0)="","",VLOOKUP($A157-COUNT('Шаг2.Бланк заказа NEW'!$B$19:$B$201)-COUNT('Бланк OLD 0.8 04'!$B$18:$B$200),'Бланк OLD 2.0 04 '!$B$16:$K$200,2,0)))</f>
        <v/>
      </c>
      <c r="F157" s="147" t="str">
        <f ca="1">IFERROR(IFERROR(IF(VLOOKUP($A157,'Шаг2.Бланк заказа NEW'!$B$17:$N$201,3,0)="","",VLOOKUP($A157,'Шаг2.Бланк заказа NEW'!$B$17:$N$201,3,0)),
IF(VLOOKUP($A157-COUNT('Шаг2.Бланк заказа NEW'!$B$19:$B$201),'Бланк OLD 0.8 04'!$B$12:$K$200,3,0)="","",VLOOKUP($A157-COUNT('Шаг2.Бланк заказа NEW'!$B$19:$B$201),'Бланк OLD 0.8 04'!$B$12:$K$200,3,0))),
IF(VLOOKUP($A157-COUNT('Шаг2.Бланк заказа NEW'!$B$19:$B$201)-COUNT('Бланк OLD 0.8 04'!$B$18:$B$200),'Бланк OLD 2.0 04 '!$B$16:$K$200,3,0)="","",VLOOKUP($A157-COUNT('Шаг2.Бланк заказа NEW'!$B$19:$B$201)-COUNT('Бланк OLD 0.8 04'!$B$18:$B$200),'Бланк OLD 2.0 04 '!$B$16:$K$200,3,0)))</f>
        <v/>
      </c>
      <c r="G157" s="176" t="str">
        <f ca="1">IF(IF(R157="","",IF(R157=1,SUMIFS('Шаг1.Выбор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плиты'!C:Q,12,0)),1))))))=0,
R157,
IF(R157="","",IF(R157=1,SUMIFS('Шаг1.Выбор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плиты'!N:N,R157,'Шаг1.Выбор плиты'!M:M,SMALL(INDIRECT("мм"&amp;VLOOKUP(C157,'Шаг1.Выбор плиты'!C:Q,12,0)),1)))))))</f>
        <v/>
      </c>
      <c r="H157" s="177" t="str">
        <f ca="1">IF(IF(S157="","",IF(S157=1,SUMIFS('Шаг1.Выбор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плиты'!C:Q,12,0)),1))))))=0,
S157,
IF(S157="","",IF(S157=1,SUMIFS('Шаг1.Выбор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плиты'!N:N,S157,'Шаг1.Выбор плиты'!M:M,SMALL(INDIRECT("мм"&amp;VLOOKUP(C157,'Шаг1.Выбор плиты'!C:Q,12,0)),1)))))))</f>
        <v/>
      </c>
      <c r="I157" s="147" t="str">
        <f ca="1">IFERROR(IFERROR(IF(VLOOKUP($A157,'Шаг2.Бланк заказа NEW'!$B$17:$N$201,6,0)="","",VLOOKUP($A157,'Шаг2.Бланк заказа NEW'!$B$17:$N$201,6,0)),
IF(VLOOKUP($A157-COUNT('Шаг2.Бланк заказа NEW'!$B$19:$B$201),'Бланк OLD 0.8 04'!$B$12:$K$200,6,0)="","",VLOOKUP($A157-COUNT('Шаг2.Бланк заказа NEW'!$B$19:$B$201),'Бланк OLD 0.8 04'!$B$12:$K$200,6,0))),
IF(VLOOKUP($A157-COUNT('Шаг2.Бланк заказа NEW'!$B$19:$B$201)-COUNT('Бланк OLD 0.8 04'!$B$18:$B$200),'Бланк OLD 2.0 04 '!$B$16:$K$200,6,0)="","",VLOOKUP($A157-COUNT('Шаг2.Бланк заказа NEW'!$B$19:$B$201)-COUNT('Бланк OLD 0.8 04'!$B$18:$B$200),'Бланк OLD 2.0 04 '!$B$16:$K$200,6,0)))</f>
        <v/>
      </c>
      <c r="J157" s="177" t="str">
        <f ca="1">IF(IF(T157="","",IF(T157=1,SUMIFS('Шаг1.Выбор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плиты'!C:Q,12,0)),1))))))=0,
T157,
IF(T157="","",IF(T157=1,SUMIFS('Шаг1.Выбор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плиты'!N:N,T157,'Шаг1.Выбор плиты'!M:M,SMALL(INDIRECT("мм"&amp;VLOOKUP(C157,'Шаг1.Выбор плиты'!C:Q,12,0)),1)))))))</f>
        <v/>
      </c>
      <c r="K157" s="177" t="str">
        <f ca="1">IF(IF(U157="","",IF(U157=1,SUMIFS('Шаг1.Выбор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плиты'!C:Q,12,0)),1))))))=0,
U157,
IF(U157="","",IF(U157=1,SUMIFS('Шаг1.Выбор плиты'!$G:$G,'Шаг1.Выбор плиты'!J:J,"*"&amp;RIGHT(VLOOKUP(C157,'Шаг1.Выбор плиты'!C:Q,8,0),4),'Шаг1.Выбор плиты'!L:L,IF(MID(C157,1,6)="ЛДСП P","TM"&amp;MID(VLOOKUP(C157,'Шаг1.Выбор плиты'!C:Q,10,0),3,2),MID(VLOOKUP(C157,'Шаг1.Выбор плиты'!C:Q,10,0),1,2)),
'Шаг1.Выбор плиты'!N:N,1),IF(SUMIFS('Шаг1.Выбор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плиты'!C:Q,12,0)),1))=0,
IF(SUMIFS('Шаг1.Выбор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плиты'!C:Q,12,0)),2))=0,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плиты'!C:Q,12,0)),3)),
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плиты'!C:Q,12,0)),2))),
(SUMIFS('Шаг1.Выбор плиты'!$G:$G,'Шаг1.Выбор плиты'!J:J,"*"&amp;RIGHT(VLOOKUP(C157,'Шаг1.Выбор плиты'!C:Q,8,0),4),'Шаг1.Выбор плиты'!L:L,VLOOKUP(C157,'Шаг1.Выбор плиты'!C:Q,10,0),'Шаг1.Выбор плиты'!N:N,U157,'Шаг1.Выбор плиты'!M:M,SMALL(INDIRECT("мм"&amp;VLOOKUP(C157,'Шаг1.Выбор плиты'!C:Q,12,0)),1)))))))</f>
        <v/>
      </c>
      <c r="L157" s="147" t="str">
        <f ca="1">IFERROR(IFERROR(IF(VLOOKUP($A157,'Шаг2.Бланк заказа NEW'!$B$17:$N$201,9,0)="","",VLOOKUP($A157,'Шаг2.Бланк заказа NEW'!$B$17:$N$201,9,0)),
IF(VLOOKUP($A157-COUNT('Шаг2.Бланк заказа NEW'!$B$19:$B$201),'Бланк OLD 0.8 04'!$B$12:$K$200,9,0)="","",VLOOKUP($A157-COUNT('Шаг2.Бланк заказа NEW'!$B$19:$B$201),'Бланк OLD 0.8 04'!$B$12:$K$200,9,0))),
IF(VLOOKUP($A157-COUNT('Шаг2.Бланк заказа NEW'!$B$19:$B$201)-COUNT('Бланк OLD 0.8 04'!$B$18:$B$200),'Бланк OLD 2.0 04 '!$B$16:$K$200,9,0)="","",VLOOKUP($A157-COUNT('Шаг2.Бланк заказа NEW'!$B$19:$B$201)-COUNT('Бланк OLD 0.8 04'!$B$18:$B$200),'Бланк OLD 2.0 04 '!$B$16:$K$200,9,0)))</f>
        <v/>
      </c>
      <c r="M157" s="154" t="str">
        <f t="shared" ca="1" si="15"/>
        <v/>
      </c>
      <c r="N157" s="153" t="str">
        <f ca="1">IFERROR(IF(VLOOKUP($A157,'Шаг2.Бланк заказа NEW'!$B$17:$N$201,11,0)="","",VLOOKUP($A157,'Шаг2.Бланк заказа NEW'!$B$17:$N$201,11,0)),
"Нет")</f>
        <v/>
      </c>
      <c r="O157" s="147" t="str">
        <f ca="1">IFERROR(IF(VLOOKUP($A157,'Шаг2.Бланк заказа NEW'!$B$17:$N$201,11,0)="","",VLOOKUP($A157,'Шаг2.Бланк заказа NEW'!$B$17:$N$201,12,0)),
"Нет")</f>
        <v/>
      </c>
      <c r="P157" s="153" t="str">
        <f ca="1">IFERROR(IF(VLOOKUP($A157,'Шаг2.Бланк заказа NEW'!$B$17:$N$201,13,0)="","",VLOOKUP($A157,'Шаг2.Бланк заказа NEW'!$B$17:$N$201,13,0)),
"Нет")</f>
        <v/>
      </c>
      <c r="Q157" s="147" t="str">
        <f ca="1">IFERROR(IF(VLOOKUP($A157,'Шаг2.Бланк заказа NEW'!$B$17:$O$201,14,0)="","",VLOOKUP($A157,'Шаг2.Бланк заказа NEW'!$B$17:$O$201,14,0)),"")</f>
        <v/>
      </c>
      <c r="R157" s="147" t="str">
        <f ca="1">IFERROR(IFERROR(IF(VLOOKUP($A157,'Шаг2.Бланк заказа NEW'!$B$17:$N$201,4,0)="","",VLOOKUP($A157,'Шаг2.Бланк заказа NEW'!$B$17:$N$201,4,0)),
IF(VLOOKUP($A157-COUNT('Шаг2.Бланк заказа NEW'!$B$19:$B$201),'Бланк OLD 0.8 04'!$B$12:$K$200,4,0)&gt;0,0.8,
IF(VLOOKUP($A157-COUNT('Шаг2.Бланк заказа NEW'!$B$19:$B$201),'Бланк OLD 0.8 04'!$B$12:$K$200,5,0)&gt;0,0.4,""))),
IF(VLOOKUP($A157-COUNT('Шаг2.Бланк заказа NEW'!$B$19:$B$201)-COUNT('Бланк OLD 0.8 04'!$B$18:$B$200),'Бланк OLD 2.0 04 '!$B$16:$K$200,4,0)&gt;0,2,IF(VLOOKUP($A157-COUNT('Шаг2.Бланк заказа NEW'!$B$19:$B$201)-COUNT('Бланк OLD 0.8 04'!$B$18:$B$200),'Бланк OLD 2.0 04 '!$B$16:$K$200,5,0)&gt;0,0.4,"")))</f>
        <v/>
      </c>
      <c r="S157" s="147" t="str">
        <f ca="1">IFERROR(IFERROR(IF(VLOOKUP($A157,'Шаг2.Бланк заказа NEW'!$B$17:$N$201,5,0)="","",VLOOKUP($A157,'Шаг2.Бланк заказа NEW'!$B$17:$N$201,5,0)),
IF(VLOOKUP($A157-COUNT('Шаг2.Бланк заказа NEW'!$B$19:$B$201),'Бланк OLD 0.8 04'!$B$12:$K$200,4,0)&gt;1,0.8,
IF(VLOOKUP($A157-COUNT('Шаг2.Бланк заказа NEW'!$B$19:$B$201),'Бланк OLD 0.8 04'!$B$12:$K$200,5,0)&gt;1,0.4,
IF(AND(VLOOKUP($A157-COUNT('Шаг2.Бланк заказа NEW'!$B$19:$B$201),'Бланк OLD 0.8 04'!$B$12:$K$200,4,0)&gt;0,VLOOKUP($A157-COUNT('Шаг2.Бланк заказа NEW'!$B$19:$B$201),'Бланк OLD 0.8 04'!$B$12:$K$200,5,0)&gt;0),0.4,"")))),
IF(VLOOKUP($A157-COUNT('Шаг2.Бланк заказа NEW'!$B$19:$B$201)-COUNT('Бланк OLD 0.8 04'!$B$18:$B$200),'Бланк OLD 2.0 04 '!$B$16:$K$200,4,0)&gt;1,2,
IF(VLOOKUP($A157-COUNT('Шаг2.Бланк заказа NEW'!$B$19:$B$201)-COUNT('Бланк OLD 0.8 04'!$B$18:$B$200),'Бланк OLD 2.0 04 '!$B$16:$K$200,5,0)&gt;1,0.4,IF(AND(VLOOKUP($A157-COUNT('Шаг2.Бланк заказа NEW'!$B$19:$B$201)-COUNT('Бланк OLD 0.8 04'!$B$18:$B$200),'Бланк OLD 2.0 04 '!$B$16:$K$200,4,0)&gt;0,VLOOKUP($A157-COUNT('Шаг2.Бланк заказа NEW'!$B$19:$B$201)-COUNT('Бланк OLD 0.8 04'!$B$18:$B$200),'Бланк OLD 2.0 04 '!$B$16:$K$200,5,0)&gt;0),0.4,""))))</f>
        <v/>
      </c>
      <c r="T157" s="147" t="str">
        <f ca="1">IFERROR(IFERROR(IF(VLOOKUP($A157,'Шаг2.Бланк заказа NEW'!$B$17:$N$201,7,0)="","",VLOOKUP($A157,'Шаг2.Бланк заказа NEW'!$B$17:$N$201,7,0)),
IF(VLOOKUP($A157-COUNT('Шаг2.Бланк заказа NEW'!$B$19:$B$201),'Бланк OLD 0.8 04'!$B$12:$K$200,7,0)&gt;0,0.8,
IF(VLOOKUP($A157-COUNT('Шаг2.Бланк заказа NEW'!$B$19:$B$201),'Бланк OLD 0.8 04'!$B$12:$K$200,8,0)&gt;0,0.4,""))),
IF(VLOOKUP($A157-COUNT('Шаг2.Бланк заказа NEW'!$B$19:$B$201)-COUNT('Бланк OLD 0.8 04'!$B$18:$B$200),'Бланк OLD 2.0 04 '!$B$16:$K$200,7,0)&gt;0,2,IF(VLOOKUP($A157-COUNT('Шаг2.Бланк заказа NEW'!$B$19:$B$201)-COUNT('Бланк OLD 0.8 04'!$B$18:$B$200),'Бланк OLD 2.0 04 '!$B$16:$K$200,8,0)&gt;0,0.4,"")))</f>
        <v/>
      </c>
      <c r="U157" s="147" t="str">
        <f ca="1">IFERROR(IFERROR(IF(VLOOKUP($A157,'Шаг2.Бланк заказа NEW'!$B$17:$N$201,8,0)="","",VLOOKUP($A157,'Шаг2.Бланк заказа NEW'!$B$17:$N$201,8,0)),
IF(VLOOKUP($A157-COUNT('Шаг2.Бланк заказа NEW'!$B$19:$B$201),'Бланк OLD 0.8 04'!$B$12:$K$200,7,0)&gt;1,0.8,
IF(VLOOKUP($A157-COUNT('Шаг2.Бланк заказа NEW'!$B$19:$B$201),'Бланк OLD 0.8 04'!$B$12:$K$200,8,0)&gt;1,0.4,
IF(AND(VLOOKUP($A157-COUNT('Шаг2.Бланк заказа NEW'!$B$19:$B$201),'Бланк OLD 0.8 04'!$B$12:$K$200,7,0)&gt;0,VLOOKUP($A157-COUNT('Шаг2.Бланк заказа NEW'!$B$19:$B$201),'Бланк OLD 0.8 04'!$B$12:$K$200,8,0)&gt;0),0.4,"")))),
IF(VLOOKUP($A157-COUNT('Шаг2.Бланк заказа NEW'!$B$19:$B$201)-COUNT('Бланк OLD 0.8 04'!$B$18:$B$200),'Бланк OLD 2.0 04 '!$B$16:$K$200,7,0)&gt;1,2,
IF(VLOOKUP($A157-COUNT('Шаг2.Бланк заказа NEW'!$B$19:$B$201)-COUNT('Бланк OLD 0.8 04'!$B$18:$B$200),'Бланк OLD 2.0 04 '!$B$16:$K$200,8,0)&gt;1,0.4,
IF(AND(VLOOKUP($A157-COUNT('Шаг2.Бланк заказа NEW'!$B$19:$B$201)-COUNT('Бланк OLD 0.8 04'!$B$18:$B$200),'Бланк OLD 2.0 04 '!$B$16:$K$200,7,0)&gt;0,VLOOKUP($A157-COUNT('Шаг2.Бланк заказа NEW'!$B$19:$B$201)-COUNT('Бланк OLD 0.8 04'!$B$18:$B$200),'Бланк OLD 2.0 04 '!$B$16:$K$200,8,0)&gt;0),0.4,""))))</f>
        <v/>
      </c>
      <c r="V157" s="146" t="str">
        <f ca="1">IFERROR(VLOOKUP(C157,'Шаг1.Выбор плиты'!C:S,12,0),"")</f>
        <v/>
      </c>
      <c r="W157" s="146" t="str">
        <f ca="1">IFERROR(VLOOKUP(C157,'Шаг1.Выбор плиты'!C:S,8,0),"")</f>
        <v/>
      </c>
      <c r="X157" s="146" t="str">
        <f ca="1">IFERROR(VLOOKUP(C157,'Шаг1.Выбор плиты'!C:S,10,0),"")</f>
        <v/>
      </c>
      <c r="Y157" s="147" t="str">
        <f t="shared" ca="1" si="13"/>
        <v/>
      </c>
      <c r="AD157" s="147" t="str">
        <f t="shared" ca="1" si="16"/>
        <v/>
      </c>
      <c r="AE157" s="147" t="str">
        <f t="shared" ca="1" si="14"/>
        <v/>
      </c>
      <c r="AF157" s="25"/>
      <c r="AH157" s="147" t="str">
        <f ca="1">IF(C157="","",VLOOKUP(C157,'Шаг1.Выбор плиты'!C:Q,7,0))</f>
        <v/>
      </c>
      <c r="AI157" s="147" t="str">
        <f t="shared" ca="1" si="17"/>
        <v/>
      </c>
    </row>
    <row r="158" spans="1:35" x14ac:dyDescent="0.2">
      <c r="A158" s="151" t="str">
        <f ca="1">IF(C158="","",MAX($A$1:OFFSET(C158,-1,0))+1)</f>
        <v/>
      </c>
      <c r="B158" s="151" t="str">
        <f ca="1">IFERROR(IFERROR(IFERROR("Шаг2.Бланк заказа NEW №"&amp;VLOOKUP(A157+1,CHOOSE({1,2},'Шаг2.Бланк заказа NEW'!$B$19:$B$201,'Шаг2.Бланк заказа NEW'!$A$19:$A$201),1,0),
"Бланк OLD 0.8 04 №"&amp;VLOOKUP(A157+1-COUNT('Шаг2.Бланк заказа NEW'!$B$19:$B$201),CHOOSE({1,2},'Бланк OLD 0.8 04'!$B$18:$B$200,'Бланк OLD 0.8 04'!$A$18:$A$200),1,0)),
"Бланк OLD 2.0 04 №"&amp;VLOOKUP(A157+1-COUNT('Шаг2.Бланк заказа NEW'!$B$19:$B$201)-COUNT('Бланк OLD 0.8 04'!$B$18:$B$200),CHOOSE({1,2},'Бланк OLD 2.0 04 '!$B$18:$B$200,'Бланк OLD 2.0 04 '!$A$18:$A$200),1,0)),"")</f>
        <v/>
      </c>
      <c r="C158" s="152" t="str">
        <f ca="1">IFERROR(IFERROR(IFERROR(VLOOKUP(A157+1,CHOOSE({1,2},'Шаг2.Бланк заказа NEW'!$B$19:$B$201,'Шаг2.Бланк заказа NEW'!$A$19:$A$201),2,0),
VLOOKUP(A157+1-COUNT('Шаг2.Бланк заказа NEW'!$B$19:$B$201),CHOOSE({1,2},'Бланк OLD 0.8 04'!$B$18:$B$200,'Бланк OLD 0.8 04'!$A$18:$A$200),2,0)),
VLOOKUP(A157+1-COUNT('Шаг2.Бланк заказа NEW'!$B$19:$B$201)-COUNT('Бланк OLD 0.8 04'!$B$18:$B$200),CHOOSE({1,2},'Бланк OLD 2.0 04 '!$B$18:$B$200,'Бланк OLD 2.0 04 '!$A$18:$A$200),2,0)),"")</f>
        <v/>
      </c>
      <c r="D158" s="150" t="str">
        <f ca="1">IFERROR(VLOOKUP(C158,'Шаг1.Выбор плиты'!C:G,5,0),"")</f>
        <v/>
      </c>
      <c r="E158" s="147" t="str">
        <f ca="1">IFERROR(IFERROR(IF(VLOOKUP($A158,'Шаг2.Бланк заказа NEW'!$B$17:$N$201,2,0)="","",VLOOKUP($A158,'Шаг2.Бланк заказа NEW'!$B$17:$N$201,2,0)),
IF(VLOOKUP($A158-COUNT('Шаг2.Бланк заказа NEW'!$B$19:$B$201),'Бланк OLD 0.8 04'!$B$12:$K$200,2,0)="","",VLOOKUP($A158-COUNT('Шаг2.Бланк заказа NEW'!$B$19:$B$201),'Бланк OLD 0.8 04'!$B$12:$K$200,2,0))),
IF(VLOOKUP($A158-COUNT('Шаг2.Бланк заказа NEW'!$B$19:$B$201)-COUNT('Бланк OLD 0.8 04'!$B$18:$B$200),'Бланк OLD 2.0 04 '!$B$16:$K$200,2,0)="","",VLOOKUP($A158-COUNT('Шаг2.Бланк заказа NEW'!$B$19:$B$201)-COUNT('Бланк OLD 0.8 04'!$B$18:$B$200),'Бланк OLD 2.0 04 '!$B$16:$K$200,2,0)))</f>
        <v/>
      </c>
      <c r="F158" s="147" t="str">
        <f ca="1">IFERROR(IFERROR(IF(VLOOKUP($A158,'Шаг2.Бланк заказа NEW'!$B$17:$N$201,3,0)="","",VLOOKUP($A158,'Шаг2.Бланк заказа NEW'!$B$17:$N$201,3,0)),
IF(VLOOKUP($A158-COUNT('Шаг2.Бланк заказа NEW'!$B$19:$B$201),'Бланк OLD 0.8 04'!$B$12:$K$200,3,0)="","",VLOOKUP($A158-COUNT('Шаг2.Бланк заказа NEW'!$B$19:$B$201),'Бланк OLD 0.8 04'!$B$12:$K$200,3,0))),
IF(VLOOKUP($A158-COUNT('Шаг2.Бланк заказа NEW'!$B$19:$B$201)-COUNT('Бланк OLD 0.8 04'!$B$18:$B$200),'Бланк OLD 2.0 04 '!$B$16:$K$200,3,0)="","",VLOOKUP($A158-COUNT('Шаг2.Бланк заказа NEW'!$B$19:$B$201)-COUNT('Бланк OLD 0.8 04'!$B$18:$B$200),'Бланк OLD 2.0 04 '!$B$16:$K$200,3,0)))</f>
        <v/>
      </c>
      <c r="G158" s="176" t="str">
        <f ca="1">IF(IF(R158="","",IF(R158=1,SUMIFS('Шаг1.Выбор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плиты'!C:Q,12,0)),1))))))=0,
R158,
IF(R158="","",IF(R158=1,SUMIFS('Шаг1.Выбор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плиты'!N:N,R158,'Шаг1.Выбор плиты'!M:M,SMALL(INDIRECT("мм"&amp;VLOOKUP(C158,'Шаг1.Выбор плиты'!C:Q,12,0)),1)))))))</f>
        <v/>
      </c>
      <c r="H158" s="177" t="str">
        <f ca="1">IF(IF(S158="","",IF(S158=1,SUMIFS('Шаг1.Выбор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плиты'!C:Q,12,0)),1))))))=0,
S158,
IF(S158="","",IF(S158=1,SUMIFS('Шаг1.Выбор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плиты'!N:N,S158,'Шаг1.Выбор плиты'!M:M,SMALL(INDIRECT("мм"&amp;VLOOKUP(C158,'Шаг1.Выбор плиты'!C:Q,12,0)),1)))))))</f>
        <v/>
      </c>
      <c r="I158" s="147" t="str">
        <f ca="1">IFERROR(IFERROR(IF(VLOOKUP($A158,'Шаг2.Бланк заказа NEW'!$B$17:$N$201,6,0)="","",VLOOKUP($A158,'Шаг2.Бланк заказа NEW'!$B$17:$N$201,6,0)),
IF(VLOOKUP($A158-COUNT('Шаг2.Бланк заказа NEW'!$B$19:$B$201),'Бланк OLD 0.8 04'!$B$12:$K$200,6,0)="","",VLOOKUP($A158-COUNT('Шаг2.Бланк заказа NEW'!$B$19:$B$201),'Бланк OLD 0.8 04'!$B$12:$K$200,6,0))),
IF(VLOOKUP($A158-COUNT('Шаг2.Бланк заказа NEW'!$B$19:$B$201)-COUNT('Бланк OLD 0.8 04'!$B$18:$B$200),'Бланк OLD 2.0 04 '!$B$16:$K$200,6,0)="","",VLOOKUP($A158-COUNT('Шаг2.Бланк заказа NEW'!$B$19:$B$201)-COUNT('Бланк OLD 0.8 04'!$B$18:$B$200),'Бланк OLD 2.0 04 '!$B$16:$K$200,6,0)))</f>
        <v/>
      </c>
      <c r="J158" s="177" t="str">
        <f ca="1">IF(IF(T158="","",IF(T158=1,SUMIFS('Шаг1.Выбор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плиты'!C:Q,12,0)),1))))))=0,
T158,
IF(T158="","",IF(T158=1,SUMIFS('Шаг1.Выбор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плиты'!N:N,T158,'Шаг1.Выбор плиты'!M:M,SMALL(INDIRECT("мм"&amp;VLOOKUP(C158,'Шаг1.Выбор плиты'!C:Q,12,0)),1)))))))</f>
        <v/>
      </c>
      <c r="K158" s="177" t="str">
        <f ca="1">IF(IF(U158="","",IF(U158=1,SUMIFS('Шаг1.Выбор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плиты'!C:Q,12,0)),1))))))=0,
U158,
IF(U158="","",IF(U158=1,SUMIFS('Шаг1.Выбор плиты'!$G:$G,'Шаг1.Выбор плиты'!J:J,"*"&amp;RIGHT(VLOOKUP(C158,'Шаг1.Выбор плиты'!C:Q,8,0),4),'Шаг1.Выбор плиты'!L:L,IF(MID(C158,1,6)="ЛДСП P","TM"&amp;MID(VLOOKUP(C158,'Шаг1.Выбор плиты'!C:Q,10,0),3,2),MID(VLOOKUP(C158,'Шаг1.Выбор плиты'!C:Q,10,0),1,2)),
'Шаг1.Выбор плиты'!N:N,1),IF(SUMIFS('Шаг1.Выбор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плиты'!C:Q,12,0)),1))=0,
IF(SUMIFS('Шаг1.Выбор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плиты'!C:Q,12,0)),2))=0,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плиты'!C:Q,12,0)),3)),
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плиты'!C:Q,12,0)),2))),
(SUMIFS('Шаг1.Выбор плиты'!$G:$G,'Шаг1.Выбор плиты'!J:J,"*"&amp;RIGHT(VLOOKUP(C158,'Шаг1.Выбор плиты'!C:Q,8,0),4),'Шаг1.Выбор плиты'!L:L,VLOOKUP(C158,'Шаг1.Выбор плиты'!C:Q,10,0),'Шаг1.Выбор плиты'!N:N,U158,'Шаг1.Выбор плиты'!M:M,SMALL(INDIRECT("мм"&amp;VLOOKUP(C158,'Шаг1.Выбор плиты'!C:Q,12,0)),1)))))))</f>
        <v/>
      </c>
      <c r="L158" s="147" t="str">
        <f ca="1">IFERROR(IFERROR(IF(VLOOKUP($A158,'Шаг2.Бланк заказа NEW'!$B$17:$N$201,9,0)="","",VLOOKUP($A158,'Шаг2.Бланк заказа NEW'!$B$17:$N$201,9,0)),
IF(VLOOKUP($A158-COUNT('Шаг2.Бланк заказа NEW'!$B$19:$B$201),'Бланк OLD 0.8 04'!$B$12:$K$200,9,0)="","",VLOOKUP($A158-COUNT('Шаг2.Бланк заказа NEW'!$B$19:$B$201),'Бланк OLD 0.8 04'!$B$12:$K$200,9,0))),
IF(VLOOKUP($A158-COUNT('Шаг2.Бланк заказа NEW'!$B$19:$B$201)-COUNT('Бланк OLD 0.8 04'!$B$18:$B$200),'Бланк OLD 2.0 04 '!$B$16:$K$200,9,0)="","",VLOOKUP($A158-COUNT('Шаг2.Бланк заказа NEW'!$B$19:$B$201)-COUNT('Бланк OLD 0.8 04'!$B$18:$B$200),'Бланк OLD 2.0 04 '!$B$16:$K$200,9,0)))</f>
        <v/>
      </c>
      <c r="M158" s="154" t="str">
        <f t="shared" ca="1" si="15"/>
        <v/>
      </c>
      <c r="N158" s="153" t="str">
        <f ca="1">IFERROR(IF(VLOOKUP($A158,'Шаг2.Бланк заказа NEW'!$B$17:$N$201,11,0)="","",VLOOKUP($A158,'Шаг2.Бланк заказа NEW'!$B$17:$N$201,11,0)),
"Нет")</f>
        <v/>
      </c>
      <c r="O158" s="147" t="str">
        <f ca="1">IFERROR(IF(VLOOKUP($A158,'Шаг2.Бланк заказа NEW'!$B$17:$N$201,11,0)="","",VLOOKUP($A158,'Шаг2.Бланк заказа NEW'!$B$17:$N$201,12,0)),
"Нет")</f>
        <v/>
      </c>
      <c r="P158" s="153" t="str">
        <f ca="1">IFERROR(IF(VLOOKUP($A158,'Шаг2.Бланк заказа NEW'!$B$17:$N$201,13,0)="","",VLOOKUP($A158,'Шаг2.Бланк заказа NEW'!$B$17:$N$201,13,0)),
"Нет")</f>
        <v/>
      </c>
      <c r="Q158" s="147" t="str">
        <f ca="1">IFERROR(IF(VLOOKUP($A158,'Шаг2.Бланк заказа NEW'!$B$17:$O$201,14,0)="","",VLOOKUP($A158,'Шаг2.Бланк заказа NEW'!$B$17:$O$201,14,0)),"")</f>
        <v/>
      </c>
      <c r="R158" s="147" t="str">
        <f ca="1">IFERROR(IFERROR(IF(VLOOKUP($A158,'Шаг2.Бланк заказа NEW'!$B$17:$N$201,4,0)="","",VLOOKUP($A158,'Шаг2.Бланк заказа NEW'!$B$17:$N$201,4,0)),
IF(VLOOKUP($A158-COUNT('Шаг2.Бланк заказа NEW'!$B$19:$B$201),'Бланк OLD 0.8 04'!$B$12:$K$200,4,0)&gt;0,0.8,
IF(VLOOKUP($A158-COUNT('Шаг2.Бланк заказа NEW'!$B$19:$B$201),'Бланк OLD 0.8 04'!$B$12:$K$200,5,0)&gt;0,0.4,""))),
IF(VLOOKUP($A158-COUNT('Шаг2.Бланк заказа NEW'!$B$19:$B$201)-COUNT('Бланк OLD 0.8 04'!$B$18:$B$200),'Бланк OLD 2.0 04 '!$B$16:$K$200,4,0)&gt;0,2,IF(VLOOKUP($A158-COUNT('Шаг2.Бланк заказа NEW'!$B$19:$B$201)-COUNT('Бланк OLD 0.8 04'!$B$18:$B$200),'Бланк OLD 2.0 04 '!$B$16:$K$200,5,0)&gt;0,0.4,"")))</f>
        <v/>
      </c>
      <c r="S158" s="147" t="str">
        <f ca="1">IFERROR(IFERROR(IF(VLOOKUP($A158,'Шаг2.Бланк заказа NEW'!$B$17:$N$201,5,0)="","",VLOOKUP($A158,'Шаг2.Бланк заказа NEW'!$B$17:$N$201,5,0)),
IF(VLOOKUP($A158-COUNT('Шаг2.Бланк заказа NEW'!$B$19:$B$201),'Бланк OLD 0.8 04'!$B$12:$K$200,4,0)&gt;1,0.8,
IF(VLOOKUP($A158-COUNT('Шаг2.Бланк заказа NEW'!$B$19:$B$201),'Бланк OLD 0.8 04'!$B$12:$K$200,5,0)&gt;1,0.4,
IF(AND(VLOOKUP($A158-COUNT('Шаг2.Бланк заказа NEW'!$B$19:$B$201),'Бланк OLD 0.8 04'!$B$12:$K$200,4,0)&gt;0,VLOOKUP($A158-COUNT('Шаг2.Бланк заказа NEW'!$B$19:$B$201),'Бланк OLD 0.8 04'!$B$12:$K$200,5,0)&gt;0),0.4,"")))),
IF(VLOOKUP($A158-COUNT('Шаг2.Бланк заказа NEW'!$B$19:$B$201)-COUNT('Бланк OLD 0.8 04'!$B$18:$B$200),'Бланк OLD 2.0 04 '!$B$16:$K$200,4,0)&gt;1,2,
IF(VLOOKUP($A158-COUNT('Шаг2.Бланк заказа NEW'!$B$19:$B$201)-COUNT('Бланк OLD 0.8 04'!$B$18:$B$200),'Бланк OLD 2.0 04 '!$B$16:$K$200,5,0)&gt;1,0.4,IF(AND(VLOOKUP($A158-COUNT('Шаг2.Бланк заказа NEW'!$B$19:$B$201)-COUNT('Бланк OLD 0.8 04'!$B$18:$B$200),'Бланк OLD 2.0 04 '!$B$16:$K$200,4,0)&gt;0,VLOOKUP($A158-COUNT('Шаг2.Бланк заказа NEW'!$B$19:$B$201)-COUNT('Бланк OLD 0.8 04'!$B$18:$B$200),'Бланк OLD 2.0 04 '!$B$16:$K$200,5,0)&gt;0),0.4,""))))</f>
        <v/>
      </c>
      <c r="T158" s="147" t="str">
        <f ca="1">IFERROR(IFERROR(IF(VLOOKUP($A158,'Шаг2.Бланк заказа NEW'!$B$17:$N$201,7,0)="","",VLOOKUP($A158,'Шаг2.Бланк заказа NEW'!$B$17:$N$201,7,0)),
IF(VLOOKUP($A158-COUNT('Шаг2.Бланк заказа NEW'!$B$19:$B$201),'Бланк OLD 0.8 04'!$B$12:$K$200,7,0)&gt;0,0.8,
IF(VLOOKUP($A158-COUNT('Шаг2.Бланк заказа NEW'!$B$19:$B$201),'Бланк OLD 0.8 04'!$B$12:$K$200,8,0)&gt;0,0.4,""))),
IF(VLOOKUP($A158-COUNT('Шаг2.Бланк заказа NEW'!$B$19:$B$201)-COUNT('Бланк OLD 0.8 04'!$B$18:$B$200),'Бланк OLD 2.0 04 '!$B$16:$K$200,7,0)&gt;0,2,IF(VLOOKUP($A158-COUNT('Шаг2.Бланк заказа NEW'!$B$19:$B$201)-COUNT('Бланк OLD 0.8 04'!$B$18:$B$200),'Бланк OLD 2.0 04 '!$B$16:$K$200,8,0)&gt;0,0.4,"")))</f>
        <v/>
      </c>
      <c r="U158" s="147" t="str">
        <f ca="1">IFERROR(IFERROR(IF(VLOOKUP($A158,'Шаг2.Бланк заказа NEW'!$B$17:$N$201,8,0)="","",VLOOKUP($A158,'Шаг2.Бланк заказа NEW'!$B$17:$N$201,8,0)),
IF(VLOOKUP($A158-COUNT('Шаг2.Бланк заказа NEW'!$B$19:$B$201),'Бланк OLD 0.8 04'!$B$12:$K$200,7,0)&gt;1,0.8,
IF(VLOOKUP($A158-COUNT('Шаг2.Бланк заказа NEW'!$B$19:$B$201),'Бланк OLD 0.8 04'!$B$12:$K$200,8,0)&gt;1,0.4,
IF(AND(VLOOKUP($A158-COUNT('Шаг2.Бланк заказа NEW'!$B$19:$B$201),'Бланк OLD 0.8 04'!$B$12:$K$200,7,0)&gt;0,VLOOKUP($A158-COUNT('Шаг2.Бланк заказа NEW'!$B$19:$B$201),'Бланк OLD 0.8 04'!$B$12:$K$200,8,0)&gt;0),0.4,"")))),
IF(VLOOKUP($A158-COUNT('Шаг2.Бланк заказа NEW'!$B$19:$B$201)-COUNT('Бланк OLD 0.8 04'!$B$18:$B$200),'Бланк OLD 2.0 04 '!$B$16:$K$200,7,0)&gt;1,2,
IF(VLOOKUP($A158-COUNT('Шаг2.Бланк заказа NEW'!$B$19:$B$201)-COUNT('Бланк OLD 0.8 04'!$B$18:$B$200),'Бланк OLD 2.0 04 '!$B$16:$K$200,8,0)&gt;1,0.4,
IF(AND(VLOOKUP($A158-COUNT('Шаг2.Бланк заказа NEW'!$B$19:$B$201)-COUNT('Бланк OLD 0.8 04'!$B$18:$B$200),'Бланк OLD 2.0 04 '!$B$16:$K$200,7,0)&gt;0,VLOOKUP($A158-COUNT('Шаг2.Бланк заказа NEW'!$B$19:$B$201)-COUNT('Бланк OLD 0.8 04'!$B$18:$B$200),'Бланк OLD 2.0 04 '!$B$16:$K$200,8,0)&gt;0),0.4,""))))</f>
        <v/>
      </c>
      <c r="V158" s="146" t="str">
        <f ca="1">IFERROR(VLOOKUP(C158,'Шаг1.Выбор плиты'!C:S,12,0),"")</f>
        <v/>
      </c>
      <c r="W158" s="146" t="str">
        <f ca="1">IFERROR(VLOOKUP(C158,'Шаг1.Выбор плиты'!C:S,8,0),"")</f>
        <v/>
      </c>
      <c r="X158" s="146" t="str">
        <f ca="1">IFERROR(VLOOKUP(C158,'Шаг1.Выбор плиты'!C:S,10,0),"")</f>
        <v/>
      </c>
      <c r="Y158" s="147" t="str">
        <f t="shared" ca="1" si="13"/>
        <v/>
      </c>
      <c r="AD158" s="147" t="str">
        <f t="shared" ca="1" si="16"/>
        <v/>
      </c>
      <c r="AE158" s="147" t="str">
        <f t="shared" ca="1" si="14"/>
        <v/>
      </c>
      <c r="AF158" s="25"/>
      <c r="AH158" s="147" t="str">
        <f ca="1">IF(C158="","",VLOOKUP(C158,'Шаг1.Выбор плиты'!C:Q,7,0))</f>
        <v/>
      </c>
      <c r="AI158" s="147" t="str">
        <f t="shared" ca="1" si="17"/>
        <v/>
      </c>
    </row>
    <row r="159" spans="1:35" x14ac:dyDescent="0.2">
      <c r="A159" s="151" t="str">
        <f ca="1">IF(C159="","",MAX($A$1:OFFSET(C159,-1,0))+1)</f>
        <v/>
      </c>
      <c r="B159" s="151" t="str">
        <f ca="1">IFERROR(IFERROR(IFERROR("Шаг2.Бланк заказа NEW №"&amp;VLOOKUP(A158+1,CHOOSE({1,2},'Шаг2.Бланк заказа NEW'!$B$19:$B$201,'Шаг2.Бланк заказа NEW'!$A$19:$A$201),1,0),
"Бланк OLD 0.8 04 №"&amp;VLOOKUP(A158+1-COUNT('Шаг2.Бланк заказа NEW'!$B$19:$B$201),CHOOSE({1,2},'Бланк OLD 0.8 04'!$B$18:$B$200,'Бланк OLD 0.8 04'!$A$18:$A$200),1,0)),
"Бланк OLD 2.0 04 №"&amp;VLOOKUP(A158+1-COUNT('Шаг2.Бланк заказа NEW'!$B$19:$B$201)-COUNT('Бланк OLD 0.8 04'!$B$18:$B$200),CHOOSE({1,2},'Бланк OLD 2.0 04 '!$B$18:$B$200,'Бланк OLD 2.0 04 '!$A$18:$A$200),1,0)),"")</f>
        <v/>
      </c>
      <c r="C159" s="152" t="str">
        <f ca="1">IFERROR(IFERROR(IFERROR(VLOOKUP(A158+1,CHOOSE({1,2},'Шаг2.Бланк заказа NEW'!$B$19:$B$201,'Шаг2.Бланк заказа NEW'!$A$19:$A$201),2,0),
VLOOKUP(A158+1-COUNT('Шаг2.Бланк заказа NEW'!$B$19:$B$201),CHOOSE({1,2},'Бланк OLD 0.8 04'!$B$18:$B$200,'Бланк OLD 0.8 04'!$A$18:$A$200),2,0)),
VLOOKUP(A158+1-COUNT('Шаг2.Бланк заказа NEW'!$B$19:$B$201)-COUNT('Бланк OLD 0.8 04'!$B$18:$B$200),CHOOSE({1,2},'Бланк OLD 2.0 04 '!$B$18:$B$200,'Бланк OLD 2.0 04 '!$A$18:$A$200),2,0)),"")</f>
        <v/>
      </c>
      <c r="D159" s="150" t="str">
        <f ca="1">IFERROR(VLOOKUP(C159,'Шаг1.Выбор плиты'!C:G,5,0),"")</f>
        <v/>
      </c>
      <c r="E159" s="147" t="str">
        <f ca="1">IFERROR(IFERROR(IF(VLOOKUP($A159,'Шаг2.Бланк заказа NEW'!$B$17:$N$201,2,0)="","",VLOOKUP($A159,'Шаг2.Бланк заказа NEW'!$B$17:$N$201,2,0)),
IF(VLOOKUP($A159-COUNT('Шаг2.Бланк заказа NEW'!$B$19:$B$201),'Бланк OLD 0.8 04'!$B$12:$K$200,2,0)="","",VLOOKUP($A159-COUNT('Шаг2.Бланк заказа NEW'!$B$19:$B$201),'Бланк OLD 0.8 04'!$B$12:$K$200,2,0))),
IF(VLOOKUP($A159-COUNT('Шаг2.Бланк заказа NEW'!$B$19:$B$201)-COUNT('Бланк OLD 0.8 04'!$B$18:$B$200),'Бланк OLD 2.0 04 '!$B$16:$K$200,2,0)="","",VLOOKUP($A159-COUNT('Шаг2.Бланк заказа NEW'!$B$19:$B$201)-COUNT('Бланк OLD 0.8 04'!$B$18:$B$200),'Бланк OLD 2.0 04 '!$B$16:$K$200,2,0)))</f>
        <v/>
      </c>
      <c r="F159" s="147" t="str">
        <f ca="1">IFERROR(IFERROR(IF(VLOOKUP($A159,'Шаг2.Бланк заказа NEW'!$B$17:$N$201,3,0)="","",VLOOKUP($A159,'Шаг2.Бланк заказа NEW'!$B$17:$N$201,3,0)),
IF(VLOOKUP($A159-COUNT('Шаг2.Бланк заказа NEW'!$B$19:$B$201),'Бланк OLD 0.8 04'!$B$12:$K$200,3,0)="","",VLOOKUP($A159-COUNT('Шаг2.Бланк заказа NEW'!$B$19:$B$201),'Бланк OLD 0.8 04'!$B$12:$K$200,3,0))),
IF(VLOOKUP($A159-COUNT('Шаг2.Бланк заказа NEW'!$B$19:$B$201)-COUNT('Бланк OLD 0.8 04'!$B$18:$B$200),'Бланк OLD 2.0 04 '!$B$16:$K$200,3,0)="","",VLOOKUP($A159-COUNT('Шаг2.Бланк заказа NEW'!$B$19:$B$201)-COUNT('Бланк OLD 0.8 04'!$B$18:$B$200),'Бланк OLD 2.0 04 '!$B$16:$K$200,3,0)))</f>
        <v/>
      </c>
      <c r="G159" s="176" t="str">
        <f ca="1">IF(IF(R159="","",IF(R159=1,SUMIFS('Шаг1.Выбор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плиты'!C:Q,12,0)),1))))))=0,
R159,
IF(R159="","",IF(R159=1,SUMIFS('Шаг1.Выбор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плиты'!N:N,R159,'Шаг1.Выбор плиты'!M:M,SMALL(INDIRECT("мм"&amp;VLOOKUP(C159,'Шаг1.Выбор плиты'!C:Q,12,0)),1)))))))</f>
        <v/>
      </c>
      <c r="H159" s="177" t="str">
        <f ca="1">IF(IF(S159="","",IF(S159=1,SUMIFS('Шаг1.Выбор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плиты'!C:Q,12,0)),1))))))=0,
S159,
IF(S159="","",IF(S159=1,SUMIFS('Шаг1.Выбор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плиты'!N:N,S159,'Шаг1.Выбор плиты'!M:M,SMALL(INDIRECT("мм"&amp;VLOOKUP(C159,'Шаг1.Выбор плиты'!C:Q,12,0)),1)))))))</f>
        <v/>
      </c>
      <c r="I159" s="147" t="str">
        <f ca="1">IFERROR(IFERROR(IF(VLOOKUP($A159,'Шаг2.Бланк заказа NEW'!$B$17:$N$201,6,0)="","",VLOOKUP($A159,'Шаг2.Бланк заказа NEW'!$B$17:$N$201,6,0)),
IF(VLOOKUP($A159-COUNT('Шаг2.Бланк заказа NEW'!$B$19:$B$201),'Бланк OLD 0.8 04'!$B$12:$K$200,6,0)="","",VLOOKUP($A159-COUNT('Шаг2.Бланк заказа NEW'!$B$19:$B$201),'Бланк OLD 0.8 04'!$B$12:$K$200,6,0))),
IF(VLOOKUP($A159-COUNT('Шаг2.Бланк заказа NEW'!$B$19:$B$201)-COUNT('Бланк OLD 0.8 04'!$B$18:$B$200),'Бланк OLD 2.0 04 '!$B$16:$K$200,6,0)="","",VLOOKUP($A159-COUNT('Шаг2.Бланк заказа NEW'!$B$19:$B$201)-COUNT('Бланк OLD 0.8 04'!$B$18:$B$200),'Бланк OLD 2.0 04 '!$B$16:$K$200,6,0)))</f>
        <v/>
      </c>
      <c r="J159" s="177" t="str">
        <f ca="1">IF(IF(T159="","",IF(T159=1,SUMIFS('Шаг1.Выбор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плиты'!C:Q,12,0)),1))))))=0,
T159,
IF(T159="","",IF(T159=1,SUMIFS('Шаг1.Выбор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плиты'!N:N,T159,'Шаг1.Выбор плиты'!M:M,SMALL(INDIRECT("мм"&amp;VLOOKUP(C159,'Шаг1.Выбор плиты'!C:Q,12,0)),1)))))))</f>
        <v/>
      </c>
      <c r="K159" s="177" t="str">
        <f ca="1">IF(IF(U159="","",IF(U159=1,SUMIFS('Шаг1.Выбор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плиты'!C:Q,12,0)),1))))))=0,
U159,
IF(U159="","",IF(U159=1,SUMIFS('Шаг1.Выбор плиты'!$G:$G,'Шаг1.Выбор плиты'!J:J,"*"&amp;RIGHT(VLOOKUP(C159,'Шаг1.Выбор плиты'!C:Q,8,0),4),'Шаг1.Выбор плиты'!L:L,IF(MID(C159,1,6)="ЛДСП P","TM"&amp;MID(VLOOKUP(C159,'Шаг1.Выбор плиты'!C:Q,10,0),3,2),MID(VLOOKUP(C159,'Шаг1.Выбор плиты'!C:Q,10,0),1,2)),
'Шаг1.Выбор плиты'!N:N,1),IF(SUMIFS('Шаг1.Выбор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плиты'!C:Q,12,0)),1))=0,
IF(SUMIFS('Шаг1.Выбор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плиты'!C:Q,12,0)),2))=0,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плиты'!C:Q,12,0)),3)),
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плиты'!C:Q,12,0)),2))),
(SUMIFS('Шаг1.Выбор плиты'!$G:$G,'Шаг1.Выбор плиты'!J:J,"*"&amp;RIGHT(VLOOKUP(C159,'Шаг1.Выбор плиты'!C:Q,8,0),4),'Шаг1.Выбор плиты'!L:L,VLOOKUP(C159,'Шаг1.Выбор плиты'!C:Q,10,0),'Шаг1.Выбор плиты'!N:N,U159,'Шаг1.Выбор плиты'!M:M,SMALL(INDIRECT("мм"&amp;VLOOKUP(C159,'Шаг1.Выбор плиты'!C:Q,12,0)),1)))))))</f>
        <v/>
      </c>
      <c r="L159" s="147" t="str">
        <f ca="1">IFERROR(IFERROR(IF(VLOOKUP($A159,'Шаг2.Бланк заказа NEW'!$B$17:$N$201,9,0)="","",VLOOKUP($A159,'Шаг2.Бланк заказа NEW'!$B$17:$N$201,9,0)),
IF(VLOOKUP($A159-COUNT('Шаг2.Бланк заказа NEW'!$B$19:$B$201),'Бланк OLD 0.8 04'!$B$12:$K$200,9,0)="","",VLOOKUP($A159-COUNT('Шаг2.Бланк заказа NEW'!$B$19:$B$201),'Бланк OLD 0.8 04'!$B$12:$K$200,9,0))),
IF(VLOOKUP($A159-COUNT('Шаг2.Бланк заказа NEW'!$B$19:$B$201)-COUNT('Бланк OLD 0.8 04'!$B$18:$B$200),'Бланк OLD 2.0 04 '!$B$16:$K$200,9,0)="","",VLOOKUP($A159-COUNT('Шаг2.Бланк заказа NEW'!$B$19:$B$201)-COUNT('Бланк OLD 0.8 04'!$B$18:$B$200),'Бланк OLD 2.0 04 '!$B$16:$K$200,9,0)))</f>
        <v/>
      </c>
      <c r="M159" s="154" t="str">
        <f t="shared" ca="1" si="15"/>
        <v/>
      </c>
      <c r="N159" s="153" t="str">
        <f ca="1">IFERROR(IF(VLOOKUP($A159,'Шаг2.Бланк заказа NEW'!$B$17:$N$201,11,0)="","",VLOOKUP($A159,'Шаг2.Бланк заказа NEW'!$B$17:$N$201,11,0)),
"Нет")</f>
        <v/>
      </c>
      <c r="O159" s="147" t="str">
        <f ca="1">IFERROR(IF(VLOOKUP($A159,'Шаг2.Бланк заказа NEW'!$B$17:$N$201,11,0)="","",VLOOKUP($A159,'Шаг2.Бланк заказа NEW'!$B$17:$N$201,12,0)),
"Нет")</f>
        <v/>
      </c>
      <c r="P159" s="153" t="str">
        <f ca="1">IFERROR(IF(VLOOKUP($A159,'Шаг2.Бланк заказа NEW'!$B$17:$N$201,13,0)="","",VLOOKUP($A159,'Шаг2.Бланк заказа NEW'!$B$17:$N$201,13,0)),
"Нет")</f>
        <v/>
      </c>
      <c r="Q159" s="147" t="str">
        <f ca="1">IFERROR(IF(VLOOKUP($A159,'Шаг2.Бланк заказа NEW'!$B$17:$O$201,14,0)="","",VLOOKUP($A159,'Шаг2.Бланк заказа NEW'!$B$17:$O$201,14,0)),"")</f>
        <v/>
      </c>
      <c r="R159" s="147" t="str">
        <f ca="1">IFERROR(IFERROR(IF(VLOOKUP($A159,'Шаг2.Бланк заказа NEW'!$B$17:$N$201,4,0)="","",VLOOKUP($A159,'Шаг2.Бланк заказа NEW'!$B$17:$N$201,4,0)),
IF(VLOOKUP($A159-COUNT('Шаг2.Бланк заказа NEW'!$B$19:$B$201),'Бланк OLD 0.8 04'!$B$12:$K$200,4,0)&gt;0,0.8,
IF(VLOOKUP($A159-COUNT('Шаг2.Бланк заказа NEW'!$B$19:$B$201),'Бланк OLD 0.8 04'!$B$12:$K$200,5,0)&gt;0,0.4,""))),
IF(VLOOKUP($A159-COUNT('Шаг2.Бланк заказа NEW'!$B$19:$B$201)-COUNT('Бланк OLD 0.8 04'!$B$18:$B$200),'Бланк OLD 2.0 04 '!$B$16:$K$200,4,0)&gt;0,2,IF(VLOOKUP($A159-COUNT('Шаг2.Бланк заказа NEW'!$B$19:$B$201)-COUNT('Бланк OLD 0.8 04'!$B$18:$B$200),'Бланк OLD 2.0 04 '!$B$16:$K$200,5,0)&gt;0,0.4,"")))</f>
        <v/>
      </c>
      <c r="S159" s="147" t="str">
        <f ca="1">IFERROR(IFERROR(IF(VLOOKUP($A159,'Шаг2.Бланк заказа NEW'!$B$17:$N$201,5,0)="","",VLOOKUP($A159,'Шаг2.Бланк заказа NEW'!$B$17:$N$201,5,0)),
IF(VLOOKUP($A159-COUNT('Шаг2.Бланк заказа NEW'!$B$19:$B$201),'Бланк OLD 0.8 04'!$B$12:$K$200,4,0)&gt;1,0.8,
IF(VLOOKUP($A159-COUNT('Шаг2.Бланк заказа NEW'!$B$19:$B$201),'Бланк OLD 0.8 04'!$B$12:$K$200,5,0)&gt;1,0.4,
IF(AND(VLOOKUP($A159-COUNT('Шаг2.Бланк заказа NEW'!$B$19:$B$201),'Бланк OLD 0.8 04'!$B$12:$K$200,4,0)&gt;0,VLOOKUP($A159-COUNT('Шаг2.Бланк заказа NEW'!$B$19:$B$201),'Бланк OLD 0.8 04'!$B$12:$K$200,5,0)&gt;0),0.4,"")))),
IF(VLOOKUP($A159-COUNT('Шаг2.Бланк заказа NEW'!$B$19:$B$201)-COUNT('Бланк OLD 0.8 04'!$B$18:$B$200),'Бланк OLD 2.0 04 '!$B$16:$K$200,4,0)&gt;1,2,
IF(VLOOKUP($A159-COUNT('Шаг2.Бланк заказа NEW'!$B$19:$B$201)-COUNT('Бланк OLD 0.8 04'!$B$18:$B$200),'Бланк OLD 2.0 04 '!$B$16:$K$200,5,0)&gt;1,0.4,IF(AND(VLOOKUP($A159-COUNT('Шаг2.Бланк заказа NEW'!$B$19:$B$201)-COUNT('Бланк OLD 0.8 04'!$B$18:$B$200),'Бланк OLD 2.0 04 '!$B$16:$K$200,4,0)&gt;0,VLOOKUP($A159-COUNT('Шаг2.Бланк заказа NEW'!$B$19:$B$201)-COUNT('Бланк OLD 0.8 04'!$B$18:$B$200),'Бланк OLD 2.0 04 '!$B$16:$K$200,5,0)&gt;0),0.4,""))))</f>
        <v/>
      </c>
      <c r="T159" s="147" t="str">
        <f ca="1">IFERROR(IFERROR(IF(VLOOKUP($A159,'Шаг2.Бланк заказа NEW'!$B$17:$N$201,7,0)="","",VLOOKUP($A159,'Шаг2.Бланк заказа NEW'!$B$17:$N$201,7,0)),
IF(VLOOKUP($A159-COUNT('Шаг2.Бланк заказа NEW'!$B$19:$B$201),'Бланк OLD 0.8 04'!$B$12:$K$200,7,0)&gt;0,0.8,
IF(VLOOKUP($A159-COUNT('Шаг2.Бланк заказа NEW'!$B$19:$B$201),'Бланк OLD 0.8 04'!$B$12:$K$200,8,0)&gt;0,0.4,""))),
IF(VLOOKUP($A159-COUNT('Шаг2.Бланк заказа NEW'!$B$19:$B$201)-COUNT('Бланк OLD 0.8 04'!$B$18:$B$200),'Бланк OLD 2.0 04 '!$B$16:$K$200,7,0)&gt;0,2,IF(VLOOKUP($A159-COUNT('Шаг2.Бланк заказа NEW'!$B$19:$B$201)-COUNT('Бланк OLD 0.8 04'!$B$18:$B$200),'Бланк OLD 2.0 04 '!$B$16:$K$200,8,0)&gt;0,0.4,"")))</f>
        <v/>
      </c>
      <c r="U159" s="147" t="str">
        <f ca="1">IFERROR(IFERROR(IF(VLOOKUP($A159,'Шаг2.Бланк заказа NEW'!$B$17:$N$201,8,0)="","",VLOOKUP($A159,'Шаг2.Бланк заказа NEW'!$B$17:$N$201,8,0)),
IF(VLOOKUP($A159-COUNT('Шаг2.Бланк заказа NEW'!$B$19:$B$201),'Бланк OLD 0.8 04'!$B$12:$K$200,7,0)&gt;1,0.8,
IF(VLOOKUP($A159-COUNT('Шаг2.Бланк заказа NEW'!$B$19:$B$201),'Бланк OLD 0.8 04'!$B$12:$K$200,8,0)&gt;1,0.4,
IF(AND(VLOOKUP($A159-COUNT('Шаг2.Бланк заказа NEW'!$B$19:$B$201),'Бланк OLD 0.8 04'!$B$12:$K$200,7,0)&gt;0,VLOOKUP($A159-COUNT('Шаг2.Бланк заказа NEW'!$B$19:$B$201),'Бланк OLD 0.8 04'!$B$12:$K$200,8,0)&gt;0),0.4,"")))),
IF(VLOOKUP($A159-COUNT('Шаг2.Бланк заказа NEW'!$B$19:$B$201)-COUNT('Бланк OLD 0.8 04'!$B$18:$B$200),'Бланк OLD 2.0 04 '!$B$16:$K$200,7,0)&gt;1,2,
IF(VLOOKUP($A159-COUNT('Шаг2.Бланк заказа NEW'!$B$19:$B$201)-COUNT('Бланк OLD 0.8 04'!$B$18:$B$200),'Бланк OLD 2.0 04 '!$B$16:$K$200,8,0)&gt;1,0.4,
IF(AND(VLOOKUP($A159-COUNT('Шаг2.Бланк заказа NEW'!$B$19:$B$201)-COUNT('Бланк OLD 0.8 04'!$B$18:$B$200),'Бланк OLD 2.0 04 '!$B$16:$K$200,7,0)&gt;0,VLOOKUP($A159-COUNT('Шаг2.Бланк заказа NEW'!$B$19:$B$201)-COUNT('Бланк OLD 0.8 04'!$B$18:$B$200),'Бланк OLD 2.0 04 '!$B$16:$K$200,8,0)&gt;0),0.4,""))))</f>
        <v/>
      </c>
      <c r="V159" s="146" t="str">
        <f ca="1">IFERROR(VLOOKUP(C159,'Шаг1.Выбор плиты'!C:S,12,0),"")</f>
        <v/>
      </c>
      <c r="W159" s="146" t="str">
        <f ca="1">IFERROR(VLOOKUP(C159,'Шаг1.Выбор плиты'!C:S,8,0),"")</f>
        <v/>
      </c>
      <c r="X159" s="146" t="str">
        <f ca="1">IFERROR(VLOOKUP(C159,'Шаг1.Выбор плиты'!C:S,10,0),"")</f>
        <v/>
      </c>
      <c r="Y159" s="147" t="str">
        <f t="shared" ca="1" si="13"/>
        <v/>
      </c>
      <c r="AD159" s="147" t="str">
        <f t="shared" ca="1" si="16"/>
        <v/>
      </c>
      <c r="AE159" s="147" t="str">
        <f t="shared" ca="1" si="14"/>
        <v/>
      </c>
      <c r="AF159" s="25"/>
      <c r="AH159" s="147" t="str">
        <f ca="1">IF(C159="","",VLOOKUP(C159,'Шаг1.Выбор плиты'!C:Q,7,0))</f>
        <v/>
      </c>
      <c r="AI159" s="147" t="str">
        <f t="shared" ca="1" si="17"/>
        <v/>
      </c>
    </row>
    <row r="160" spans="1:35" x14ac:dyDescent="0.2">
      <c r="A160" s="151" t="str">
        <f ca="1">IF(C160="","",MAX($A$1:OFFSET(C160,-1,0))+1)</f>
        <v/>
      </c>
      <c r="B160" s="151" t="str">
        <f ca="1">IFERROR(IFERROR(IFERROR("Шаг2.Бланк заказа NEW №"&amp;VLOOKUP(A159+1,CHOOSE({1,2},'Шаг2.Бланк заказа NEW'!$B$19:$B$201,'Шаг2.Бланк заказа NEW'!$A$19:$A$201),1,0),
"Бланк OLD 0.8 04 №"&amp;VLOOKUP(A159+1-COUNT('Шаг2.Бланк заказа NEW'!$B$19:$B$201),CHOOSE({1,2},'Бланк OLD 0.8 04'!$B$18:$B$200,'Бланк OLD 0.8 04'!$A$18:$A$200),1,0)),
"Бланк OLD 2.0 04 №"&amp;VLOOKUP(A159+1-COUNT('Шаг2.Бланк заказа NEW'!$B$19:$B$201)-COUNT('Бланк OLD 0.8 04'!$B$18:$B$200),CHOOSE({1,2},'Бланк OLD 2.0 04 '!$B$18:$B$200,'Бланк OLD 2.0 04 '!$A$18:$A$200),1,0)),"")</f>
        <v/>
      </c>
      <c r="C160" s="152" t="str">
        <f ca="1">IFERROR(IFERROR(IFERROR(VLOOKUP(A159+1,CHOOSE({1,2},'Шаг2.Бланк заказа NEW'!$B$19:$B$201,'Шаг2.Бланк заказа NEW'!$A$19:$A$201),2,0),
VLOOKUP(A159+1-COUNT('Шаг2.Бланк заказа NEW'!$B$19:$B$201),CHOOSE({1,2},'Бланк OLD 0.8 04'!$B$18:$B$200,'Бланк OLD 0.8 04'!$A$18:$A$200),2,0)),
VLOOKUP(A159+1-COUNT('Шаг2.Бланк заказа NEW'!$B$19:$B$201)-COUNT('Бланк OLD 0.8 04'!$B$18:$B$200),CHOOSE({1,2},'Бланк OLD 2.0 04 '!$B$18:$B$200,'Бланк OLD 2.0 04 '!$A$18:$A$200),2,0)),"")</f>
        <v/>
      </c>
      <c r="D160" s="150" t="str">
        <f ca="1">IFERROR(VLOOKUP(C160,'Шаг1.Выбор плиты'!C:G,5,0),"")</f>
        <v/>
      </c>
      <c r="E160" s="147" t="str">
        <f ca="1">IFERROR(IFERROR(IF(VLOOKUP($A160,'Шаг2.Бланк заказа NEW'!$B$17:$N$201,2,0)="","",VLOOKUP($A160,'Шаг2.Бланк заказа NEW'!$B$17:$N$201,2,0)),
IF(VLOOKUP($A160-COUNT('Шаг2.Бланк заказа NEW'!$B$19:$B$201),'Бланк OLD 0.8 04'!$B$12:$K$200,2,0)="","",VLOOKUP($A160-COUNT('Шаг2.Бланк заказа NEW'!$B$19:$B$201),'Бланк OLD 0.8 04'!$B$12:$K$200,2,0))),
IF(VLOOKUP($A160-COUNT('Шаг2.Бланк заказа NEW'!$B$19:$B$201)-COUNT('Бланк OLD 0.8 04'!$B$18:$B$200),'Бланк OLD 2.0 04 '!$B$16:$K$200,2,0)="","",VLOOKUP($A160-COUNT('Шаг2.Бланк заказа NEW'!$B$19:$B$201)-COUNT('Бланк OLD 0.8 04'!$B$18:$B$200),'Бланк OLD 2.0 04 '!$B$16:$K$200,2,0)))</f>
        <v/>
      </c>
      <c r="F160" s="147" t="str">
        <f ca="1">IFERROR(IFERROR(IF(VLOOKUP($A160,'Шаг2.Бланк заказа NEW'!$B$17:$N$201,3,0)="","",VLOOKUP($A160,'Шаг2.Бланк заказа NEW'!$B$17:$N$201,3,0)),
IF(VLOOKUP($A160-COUNT('Шаг2.Бланк заказа NEW'!$B$19:$B$201),'Бланк OLD 0.8 04'!$B$12:$K$200,3,0)="","",VLOOKUP($A160-COUNT('Шаг2.Бланк заказа NEW'!$B$19:$B$201),'Бланк OLD 0.8 04'!$B$12:$K$200,3,0))),
IF(VLOOKUP($A160-COUNT('Шаг2.Бланк заказа NEW'!$B$19:$B$201)-COUNT('Бланк OLD 0.8 04'!$B$18:$B$200),'Бланк OLD 2.0 04 '!$B$16:$K$200,3,0)="","",VLOOKUP($A160-COUNT('Шаг2.Бланк заказа NEW'!$B$19:$B$201)-COUNT('Бланк OLD 0.8 04'!$B$18:$B$200),'Бланк OLD 2.0 04 '!$B$16:$K$200,3,0)))</f>
        <v/>
      </c>
      <c r="G160" s="176" t="str">
        <f ca="1">IF(IF(R160="","",IF(R160=1,SUMIFS('Шаг1.Выбор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плиты'!C:Q,12,0)),1))))))=0,
R160,
IF(R160="","",IF(R160=1,SUMIFS('Шаг1.Выбор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плиты'!N:N,R160,'Шаг1.Выбор плиты'!M:M,SMALL(INDIRECT("мм"&amp;VLOOKUP(C160,'Шаг1.Выбор плиты'!C:Q,12,0)),1)))))))</f>
        <v/>
      </c>
      <c r="H160" s="177" t="str">
        <f ca="1">IF(IF(S160="","",IF(S160=1,SUMIFS('Шаг1.Выбор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плиты'!C:Q,12,0)),1))))))=0,
S160,
IF(S160="","",IF(S160=1,SUMIFS('Шаг1.Выбор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плиты'!N:N,S160,'Шаг1.Выбор плиты'!M:M,SMALL(INDIRECT("мм"&amp;VLOOKUP(C160,'Шаг1.Выбор плиты'!C:Q,12,0)),1)))))))</f>
        <v/>
      </c>
      <c r="I160" s="147" t="str">
        <f ca="1">IFERROR(IFERROR(IF(VLOOKUP($A160,'Шаг2.Бланк заказа NEW'!$B$17:$N$201,6,0)="","",VLOOKUP($A160,'Шаг2.Бланк заказа NEW'!$B$17:$N$201,6,0)),
IF(VLOOKUP($A160-COUNT('Шаг2.Бланк заказа NEW'!$B$19:$B$201),'Бланк OLD 0.8 04'!$B$12:$K$200,6,0)="","",VLOOKUP($A160-COUNT('Шаг2.Бланк заказа NEW'!$B$19:$B$201),'Бланк OLD 0.8 04'!$B$12:$K$200,6,0))),
IF(VLOOKUP($A160-COUNT('Шаг2.Бланк заказа NEW'!$B$19:$B$201)-COUNT('Бланк OLD 0.8 04'!$B$18:$B$200),'Бланк OLD 2.0 04 '!$B$16:$K$200,6,0)="","",VLOOKUP($A160-COUNT('Шаг2.Бланк заказа NEW'!$B$19:$B$201)-COUNT('Бланк OLD 0.8 04'!$B$18:$B$200),'Бланк OLD 2.0 04 '!$B$16:$K$200,6,0)))</f>
        <v/>
      </c>
      <c r="J160" s="177" t="str">
        <f ca="1">IF(IF(T160="","",IF(T160=1,SUMIFS('Шаг1.Выбор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плиты'!C:Q,12,0)),1))))))=0,
T160,
IF(T160="","",IF(T160=1,SUMIFS('Шаг1.Выбор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плиты'!N:N,T160,'Шаг1.Выбор плиты'!M:M,SMALL(INDIRECT("мм"&amp;VLOOKUP(C160,'Шаг1.Выбор плиты'!C:Q,12,0)),1)))))))</f>
        <v/>
      </c>
      <c r="K160" s="177" t="str">
        <f ca="1">IF(IF(U160="","",IF(U160=1,SUMIFS('Шаг1.Выбор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плиты'!C:Q,12,0)),1))))))=0,
U160,
IF(U160="","",IF(U160=1,SUMIFS('Шаг1.Выбор плиты'!$G:$G,'Шаг1.Выбор плиты'!J:J,"*"&amp;RIGHT(VLOOKUP(C160,'Шаг1.Выбор плиты'!C:Q,8,0),4),'Шаг1.Выбор плиты'!L:L,IF(MID(C160,1,6)="ЛДСП P","TM"&amp;MID(VLOOKUP(C160,'Шаг1.Выбор плиты'!C:Q,10,0),3,2),MID(VLOOKUP(C160,'Шаг1.Выбор плиты'!C:Q,10,0),1,2)),
'Шаг1.Выбор плиты'!N:N,1),IF(SUMIFS('Шаг1.Выбор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плиты'!C:Q,12,0)),1))=0,
IF(SUMIFS('Шаг1.Выбор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плиты'!C:Q,12,0)),2))=0,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плиты'!C:Q,12,0)),3)),
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плиты'!C:Q,12,0)),2))),
(SUMIFS('Шаг1.Выбор плиты'!$G:$G,'Шаг1.Выбор плиты'!J:J,"*"&amp;RIGHT(VLOOKUP(C160,'Шаг1.Выбор плиты'!C:Q,8,0),4),'Шаг1.Выбор плиты'!L:L,VLOOKUP(C160,'Шаг1.Выбор плиты'!C:Q,10,0),'Шаг1.Выбор плиты'!N:N,U160,'Шаг1.Выбор плиты'!M:M,SMALL(INDIRECT("мм"&amp;VLOOKUP(C160,'Шаг1.Выбор плиты'!C:Q,12,0)),1)))))))</f>
        <v/>
      </c>
      <c r="L160" s="147" t="str">
        <f ca="1">IFERROR(IFERROR(IF(VLOOKUP($A160,'Шаг2.Бланк заказа NEW'!$B$17:$N$201,9,0)="","",VLOOKUP($A160,'Шаг2.Бланк заказа NEW'!$B$17:$N$201,9,0)),
IF(VLOOKUP($A160-COUNT('Шаг2.Бланк заказа NEW'!$B$19:$B$201),'Бланк OLD 0.8 04'!$B$12:$K$200,9,0)="","",VLOOKUP($A160-COUNT('Шаг2.Бланк заказа NEW'!$B$19:$B$201),'Бланк OLD 0.8 04'!$B$12:$K$200,9,0))),
IF(VLOOKUP($A160-COUNT('Шаг2.Бланк заказа NEW'!$B$19:$B$201)-COUNT('Бланк OLD 0.8 04'!$B$18:$B$200),'Бланк OLD 2.0 04 '!$B$16:$K$200,9,0)="","",VLOOKUP($A160-COUNT('Шаг2.Бланк заказа NEW'!$B$19:$B$201)-COUNT('Бланк OLD 0.8 04'!$B$18:$B$200),'Бланк OLD 2.0 04 '!$B$16:$K$200,9,0)))</f>
        <v/>
      </c>
      <c r="M160" s="154" t="str">
        <f t="shared" ca="1" si="15"/>
        <v/>
      </c>
      <c r="N160" s="153" t="str">
        <f ca="1">IFERROR(IF(VLOOKUP($A160,'Шаг2.Бланк заказа NEW'!$B$17:$N$201,11,0)="","",VLOOKUP($A160,'Шаг2.Бланк заказа NEW'!$B$17:$N$201,11,0)),
"Нет")</f>
        <v/>
      </c>
      <c r="O160" s="147" t="str">
        <f ca="1">IFERROR(IF(VLOOKUP($A160,'Шаг2.Бланк заказа NEW'!$B$17:$N$201,11,0)="","",VLOOKUP($A160,'Шаг2.Бланк заказа NEW'!$B$17:$N$201,12,0)),
"Нет")</f>
        <v/>
      </c>
      <c r="P160" s="153" t="str">
        <f ca="1">IFERROR(IF(VLOOKUP($A160,'Шаг2.Бланк заказа NEW'!$B$17:$N$201,13,0)="","",VLOOKUP($A160,'Шаг2.Бланк заказа NEW'!$B$17:$N$201,13,0)),
"Нет")</f>
        <v/>
      </c>
      <c r="Q160" s="147" t="str">
        <f ca="1">IFERROR(IF(VLOOKUP($A160,'Шаг2.Бланк заказа NEW'!$B$17:$O$201,14,0)="","",VLOOKUP($A160,'Шаг2.Бланк заказа NEW'!$B$17:$O$201,14,0)),"")</f>
        <v/>
      </c>
      <c r="R160" s="147" t="str">
        <f ca="1">IFERROR(IFERROR(IF(VLOOKUP($A160,'Шаг2.Бланк заказа NEW'!$B$17:$N$201,4,0)="","",VLOOKUP($A160,'Шаг2.Бланк заказа NEW'!$B$17:$N$201,4,0)),
IF(VLOOKUP($A160-COUNT('Шаг2.Бланк заказа NEW'!$B$19:$B$201),'Бланк OLD 0.8 04'!$B$12:$K$200,4,0)&gt;0,0.8,
IF(VLOOKUP($A160-COUNT('Шаг2.Бланк заказа NEW'!$B$19:$B$201),'Бланк OLD 0.8 04'!$B$12:$K$200,5,0)&gt;0,0.4,""))),
IF(VLOOKUP($A160-COUNT('Шаг2.Бланк заказа NEW'!$B$19:$B$201)-COUNT('Бланк OLD 0.8 04'!$B$18:$B$200),'Бланк OLD 2.0 04 '!$B$16:$K$200,4,0)&gt;0,2,IF(VLOOKUP($A160-COUNT('Шаг2.Бланк заказа NEW'!$B$19:$B$201)-COUNT('Бланк OLD 0.8 04'!$B$18:$B$200),'Бланк OLD 2.0 04 '!$B$16:$K$200,5,0)&gt;0,0.4,"")))</f>
        <v/>
      </c>
      <c r="S160" s="147" t="str">
        <f ca="1">IFERROR(IFERROR(IF(VLOOKUP($A160,'Шаг2.Бланк заказа NEW'!$B$17:$N$201,5,0)="","",VLOOKUP($A160,'Шаг2.Бланк заказа NEW'!$B$17:$N$201,5,0)),
IF(VLOOKUP($A160-COUNT('Шаг2.Бланк заказа NEW'!$B$19:$B$201),'Бланк OLD 0.8 04'!$B$12:$K$200,4,0)&gt;1,0.8,
IF(VLOOKUP($A160-COUNT('Шаг2.Бланк заказа NEW'!$B$19:$B$201),'Бланк OLD 0.8 04'!$B$12:$K$200,5,0)&gt;1,0.4,
IF(AND(VLOOKUP($A160-COUNT('Шаг2.Бланк заказа NEW'!$B$19:$B$201),'Бланк OLD 0.8 04'!$B$12:$K$200,4,0)&gt;0,VLOOKUP($A160-COUNT('Шаг2.Бланк заказа NEW'!$B$19:$B$201),'Бланк OLD 0.8 04'!$B$12:$K$200,5,0)&gt;0),0.4,"")))),
IF(VLOOKUP($A160-COUNT('Шаг2.Бланк заказа NEW'!$B$19:$B$201)-COUNT('Бланк OLD 0.8 04'!$B$18:$B$200),'Бланк OLD 2.0 04 '!$B$16:$K$200,4,0)&gt;1,2,
IF(VLOOKUP($A160-COUNT('Шаг2.Бланк заказа NEW'!$B$19:$B$201)-COUNT('Бланк OLD 0.8 04'!$B$18:$B$200),'Бланк OLD 2.0 04 '!$B$16:$K$200,5,0)&gt;1,0.4,IF(AND(VLOOKUP($A160-COUNT('Шаг2.Бланк заказа NEW'!$B$19:$B$201)-COUNT('Бланк OLD 0.8 04'!$B$18:$B$200),'Бланк OLD 2.0 04 '!$B$16:$K$200,4,0)&gt;0,VLOOKUP($A160-COUNT('Шаг2.Бланк заказа NEW'!$B$19:$B$201)-COUNT('Бланк OLD 0.8 04'!$B$18:$B$200),'Бланк OLD 2.0 04 '!$B$16:$K$200,5,0)&gt;0),0.4,""))))</f>
        <v/>
      </c>
      <c r="T160" s="147" t="str">
        <f ca="1">IFERROR(IFERROR(IF(VLOOKUP($A160,'Шаг2.Бланк заказа NEW'!$B$17:$N$201,7,0)="","",VLOOKUP($A160,'Шаг2.Бланк заказа NEW'!$B$17:$N$201,7,0)),
IF(VLOOKUP($A160-COUNT('Шаг2.Бланк заказа NEW'!$B$19:$B$201),'Бланк OLD 0.8 04'!$B$12:$K$200,7,0)&gt;0,0.8,
IF(VLOOKUP($A160-COUNT('Шаг2.Бланк заказа NEW'!$B$19:$B$201),'Бланк OLD 0.8 04'!$B$12:$K$200,8,0)&gt;0,0.4,""))),
IF(VLOOKUP($A160-COUNT('Шаг2.Бланк заказа NEW'!$B$19:$B$201)-COUNT('Бланк OLD 0.8 04'!$B$18:$B$200),'Бланк OLD 2.0 04 '!$B$16:$K$200,7,0)&gt;0,2,IF(VLOOKUP($A160-COUNT('Шаг2.Бланк заказа NEW'!$B$19:$B$201)-COUNT('Бланк OLD 0.8 04'!$B$18:$B$200),'Бланк OLD 2.0 04 '!$B$16:$K$200,8,0)&gt;0,0.4,"")))</f>
        <v/>
      </c>
      <c r="U160" s="147" t="str">
        <f ca="1">IFERROR(IFERROR(IF(VLOOKUP($A160,'Шаг2.Бланк заказа NEW'!$B$17:$N$201,8,0)="","",VLOOKUP($A160,'Шаг2.Бланк заказа NEW'!$B$17:$N$201,8,0)),
IF(VLOOKUP($A160-COUNT('Шаг2.Бланк заказа NEW'!$B$19:$B$201),'Бланк OLD 0.8 04'!$B$12:$K$200,7,0)&gt;1,0.8,
IF(VLOOKUP($A160-COUNT('Шаг2.Бланк заказа NEW'!$B$19:$B$201),'Бланк OLD 0.8 04'!$B$12:$K$200,8,0)&gt;1,0.4,
IF(AND(VLOOKUP($A160-COUNT('Шаг2.Бланк заказа NEW'!$B$19:$B$201),'Бланк OLD 0.8 04'!$B$12:$K$200,7,0)&gt;0,VLOOKUP($A160-COUNT('Шаг2.Бланк заказа NEW'!$B$19:$B$201),'Бланк OLD 0.8 04'!$B$12:$K$200,8,0)&gt;0),0.4,"")))),
IF(VLOOKUP($A160-COUNT('Шаг2.Бланк заказа NEW'!$B$19:$B$201)-COUNT('Бланк OLD 0.8 04'!$B$18:$B$200),'Бланк OLD 2.0 04 '!$B$16:$K$200,7,0)&gt;1,2,
IF(VLOOKUP($A160-COUNT('Шаг2.Бланк заказа NEW'!$B$19:$B$201)-COUNT('Бланк OLD 0.8 04'!$B$18:$B$200),'Бланк OLD 2.0 04 '!$B$16:$K$200,8,0)&gt;1,0.4,
IF(AND(VLOOKUP($A160-COUNT('Шаг2.Бланк заказа NEW'!$B$19:$B$201)-COUNT('Бланк OLD 0.8 04'!$B$18:$B$200),'Бланк OLD 2.0 04 '!$B$16:$K$200,7,0)&gt;0,VLOOKUP($A160-COUNT('Шаг2.Бланк заказа NEW'!$B$19:$B$201)-COUNT('Бланк OLD 0.8 04'!$B$18:$B$200),'Бланк OLD 2.0 04 '!$B$16:$K$200,8,0)&gt;0),0.4,""))))</f>
        <v/>
      </c>
      <c r="V160" s="146" t="str">
        <f ca="1">IFERROR(VLOOKUP(C160,'Шаг1.Выбор плиты'!C:S,12,0),"")</f>
        <v/>
      </c>
      <c r="W160" s="146" t="str">
        <f ca="1">IFERROR(VLOOKUP(C160,'Шаг1.Выбор плиты'!C:S,8,0),"")</f>
        <v/>
      </c>
      <c r="X160" s="146" t="str">
        <f ca="1">IFERROR(VLOOKUP(C160,'Шаг1.Выбор плиты'!C:S,10,0),"")</f>
        <v/>
      </c>
      <c r="Y160" s="147" t="str">
        <f t="shared" ca="1" si="13"/>
        <v/>
      </c>
      <c r="AD160" s="147" t="str">
        <f t="shared" ca="1" si="16"/>
        <v/>
      </c>
      <c r="AE160" s="147" t="str">
        <f t="shared" ca="1" si="14"/>
        <v/>
      </c>
      <c r="AF160" s="25"/>
      <c r="AH160" s="147" t="str">
        <f ca="1">IF(C160="","",VLOOKUP(C160,'Шаг1.Выбор плиты'!C:Q,7,0))</f>
        <v/>
      </c>
      <c r="AI160" s="147" t="str">
        <f t="shared" ca="1" si="17"/>
        <v/>
      </c>
    </row>
    <row r="161" spans="1:35" x14ac:dyDescent="0.2">
      <c r="A161" s="151" t="str">
        <f ca="1">IF(C161="","",MAX($A$1:OFFSET(C161,-1,0))+1)</f>
        <v/>
      </c>
      <c r="B161" s="151" t="str">
        <f ca="1">IFERROR(IFERROR(IFERROR("Шаг2.Бланк заказа NEW №"&amp;VLOOKUP(A160+1,CHOOSE({1,2},'Шаг2.Бланк заказа NEW'!$B$19:$B$201,'Шаг2.Бланк заказа NEW'!$A$19:$A$201),1,0),
"Бланк OLD 0.8 04 №"&amp;VLOOKUP(A160+1-COUNT('Шаг2.Бланк заказа NEW'!$B$19:$B$201),CHOOSE({1,2},'Бланк OLD 0.8 04'!$B$18:$B$200,'Бланк OLD 0.8 04'!$A$18:$A$200),1,0)),
"Бланк OLD 2.0 04 №"&amp;VLOOKUP(A160+1-COUNT('Шаг2.Бланк заказа NEW'!$B$19:$B$201)-COUNT('Бланк OLD 0.8 04'!$B$18:$B$200),CHOOSE({1,2},'Бланк OLD 2.0 04 '!$B$18:$B$200,'Бланк OLD 2.0 04 '!$A$18:$A$200),1,0)),"")</f>
        <v/>
      </c>
      <c r="C161" s="152" t="str">
        <f ca="1">IFERROR(IFERROR(IFERROR(VLOOKUP(A160+1,CHOOSE({1,2},'Шаг2.Бланк заказа NEW'!$B$19:$B$201,'Шаг2.Бланк заказа NEW'!$A$19:$A$201),2,0),
VLOOKUP(A160+1-COUNT('Шаг2.Бланк заказа NEW'!$B$19:$B$201),CHOOSE({1,2},'Бланк OLD 0.8 04'!$B$18:$B$200,'Бланк OLD 0.8 04'!$A$18:$A$200),2,0)),
VLOOKUP(A160+1-COUNT('Шаг2.Бланк заказа NEW'!$B$19:$B$201)-COUNT('Бланк OLD 0.8 04'!$B$18:$B$200),CHOOSE({1,2},'Бланк OLD 2.0 04 '!$B$18:$B$200,'Бланк OLD 2.0 04 '!$A$18:$A$200),2,0)),"")</f>
        <v/>
      </c>
      <c r="D161" s="150" t="str">
        <f ca="1">IFERROR(VLOOKUP(C161,'Шаг1.Выбор плиты'!C:G,5,0),"")</f>
        <v/>
      </c>
      <c r="E161" s="147" t="str">
        <f ca="1">IFERROR(IFERROR(IF(VLOOKUP($A161,'Шаг2.Бланк заказа NEW'!$B$17:$N$201,2,0)="","",VLOOKUP($A161,'Шаг2.Бланк заказа NEW'!$B$17:$N$201,2,0)),
IF(VLOOKUP($A161-COUNT('Шаг2.Бланк заказа NEW'!$B$19:$B$201),'Бланк OLD 0.8 04'!$B$12:$K$200,2,0)="","",VLOOKUP($A161-COUNT('Шаг2.Бланк заказа NEW'!$B$19:$B$201),'Бланк OLD 0.8 04'!$B$12:$K$200,2,0))),
IF(VLOOKUP($A161-COUNT('Шаг2.Бланк заказа NEW'!$B$19:$B$201)-COUNT('Бланк OLD 0.8 04'!$B$18:$B$200),'Бланк OLD 2.0 04 '!$B$16:$K$200,2,0)="","",VLOOKUP($A161-COUNT('Шаг2.Бланк заказа NEW'!$B$19:$B$201)-COUNT('Бланк OLD 0.8 04'!$B$18:$B$200),'Бланк OLD 2.0 04 '!$B$16:$K$200,2,0)))</f>
        <v/>
      </c>
      <c r="F161" s="147" t="str">
        <f ca="1">IFERROR(IFERROR(IF(VLOOKUP($A161,'Шаг2.Бланк заказа NEW'!$B$17:$N$201,3,0)="","",VLOOKUP($A161,'Шаг2.Бланк заказа NEW'!$B$17:$N$201,3,0)),
IF(VLOOKUP($A161-COUNT('Шаг2.Бланк заказа NEW'!$B$19:$B$201),'Бланк OLD 0.8 04'!$B$12:$K$200,3,0)="","",VLOOKUP($A161-COUNT('Шаг2.Бланк заказа NEW'!$B$19:$B$201),'Бланк OLD 0.8 04'!$B$12:$K$200,3,0))),
IF(VLOOKUP($A161-COUNT('Шаг2.Бланк заказа NEW'!$B$19:$B$201)-COUNT('Бланк OLD 0.8 04'!$B$18:$B$200),'Бланк OLD 2.0 04 '!$B$16:$K$200,3,0)="","",VLOOKUP($A161-COUNT('Шаг2.Бланк заказа NEW'!$B$19:$B$201)-COUNT('Бланк OLD 0.8 04'!$B$18:$B$200),'Бланк OLD 2.0 04 '!$B$16:$K$200,3,0)))</f>
        <v/>
      </c>
      <c r="G161" s="176" t="str">
        <f ca="1">IF(IF(R161="","",IF(R161=1,SUMIFS('Шаг1.Выбор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плиты'!C:Q,12,0)),1))))))=0,
R161,
IF(R161="","",IF(R161=1,SUMIFS('Шаг1.Выбор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плиты'!N:N,R161,'Шаг1.Выбор плиты'!M:M,SMALL(INDIRECT("мм"&amp;VLOOKUP(C161,'Шаг1.Выбор плиты'!C:Q,12,0)),1)))))))</f>
        <v/>
      </c>
      <c r="H161" s="177" t="str">
        <f ca="1">IF(IF(S161="","",IF(S161=1,SUMIFS('Шаг1.Выбор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плиты'!C:Q,12,0)),1))))))=0,
S161,
IF(S161="","",IF(S161=1,SUMIFS('Шаг1.Выбор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плиты'!N:N,S161,'Шаг1.Выбор плиты'!M:M,SMALL(INDIRECT("мм"&amp;VLOOKUP(C161,'Шаг1.Выбор плиты'!C:Q,12,0)),1)))))))</f>
        <v/>
      </c>
      <c r="I161" s="147" t="str">
        <f ca="1">IFERROR(IFERROR(IF(VLOOKUP($A161,'Шаг2.Бланк заказа NEW'!$B$17:$N$201,6,0)="","",VLOOKUP($A161,'Шаг2.Бланк заказа NEW'!$B$17:$N$201,6,0)),
IF(VLOOKUP($A161-COUNT('Шаг2.Бланк заказа NEW'!$B$19:$B$201),'Бланк OLD 0.8 04'!$B$12:$K$200,6,0)="","",VLOOKUP($A161-COUNT('Шаг2.Бланк заказа NEW'!$B$19:$B$201),'Бланк OLD 0.8 04'!$B$12:$K$200,6,0))),
IF(VLOOKUP($A161-COUNT('Шаг2.Бланк заказа NEW'!$B$19:$B$201)-COUNT('Бланк OLD 0.8 04'!$B$18:$B$200),'Бланк OLD 2.0 04 '!$B$16:$K$200,6,0)="","",VLOOKUP($A161-COUNT('Шаг2.Бланк заказа NEW'!$B$19:$B$201)-COUNT('Бланк OLD 0.8 04'!$B$18:$B$200),'Бланк OLD 2.0 04 '!$B$16:$K$200,6,0)))</f>
        <v/>
      </c>
      <c r="J161" s="177" t="str">
        <f ca="1">IF(IF(T161="","",IF(T161=1,SUMIFS('Шаг1.Выбор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плиты'!C:Q,12,0)),1))))))=0,
T161,
IF(T161="","",IF(T161=1,SUMIFS('Шаг1.Выбор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плиты'!N:N,T161,'Шаг1.Выбор плиты'!M:M,SMALL(INDIRECT("мм"&amp;VLOOKUP(C161,'Шаг1.Выбор плиты'!C:Q,12,0)),1)))))))</f>
        <v/>
      </c>
      <c r="K161" s="177" t="str">
        <f ca="1">IF(IF(U161="","",IF(U161=1,SUMIFS('Шаг1.Выбор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плиты'!C:Q,12,0)),1))))))=0,
U161,
IF(U161="","",IF(U161=1,SUMIFS('Шаг1.Выбор плиты'!$G:$G,'Шаг1.Выбор плиты'!J:J,"*"&amp;RIGHT(VLOOKUP(C161,'Шаг1.Выбор плиты'!C:Q,8,0),4),'Шаг1.Выбор плиты'!L:L,IF(MID(C161,1,6)="ЛДСП P","TM"&amp;MID(VLOOKUP(C161,'Шаг1.Выбор плиты'!C:Q,10,0),3,2),MID(VLOOKUP(C161,'Шаг1.Выбор плиты'!C:Q,10,0),1,2)),
'Шаг1.Выбор плиты'!N:N,1),IF(SUMIFS('Шаг1.Выбор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плиты'!C:Q,12,0)),1))=0,
IF(SUMIFS('Шаг1.Выбор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плиты'!C:Q,12,0)),2))=0,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плиты'!C:Q,12,0)),3)),
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плиты'!C:Q,12,0)),2))),
(SUMIFS('Шаг1.Выбор плиты'!$G:$G,'Шаг1.Выбор плиты'!J:J,"*"&amp;RIGHT(VLOOKUP(C161,'Шаг1.Выбор плиты'!C:Q,8,0),4),'Шаг1.Выбор плиты'!L:L,VLOOKUP(C161,'Шаг1.Выбор плиты'!C:Q,10,0),'Шаг1.Выбор плиты'!N:N,U161,'Шаг1.Выбор плиты'!M:M,SMALL(INDIRECT("мм"&amp;VLOOKUP(C161,'Шаг1.Выбор плиты'!C:Q,12,0)),1)))))))</f>
        <v/>
      </c>
      <c r="L161" s="147" t="str">
        <f ca="1">IFERROR(IFERROR(IF(VLOOKUP($A161,'Шаг2.Бланк заказа NEW'!$B$17:$N$201,9,0)="","",VLOOKUP($A161,'Шаг2.Бланк заказа NEW'!$B$17:$N$201,9,0)),
IF(VLOOKUP($A161-COUNT('Шаг2.Бланк заказа NEW'!$B$19:$B$201),'Бланк OLD 0.8 04'!$B$12:$K$200,9,0)="","",VLOOKUP($A161-COUNT('Шаг2.Бланк заказа NEW'!$B$19:$B$201),'Бланк OLD 0.8 04'!$B$12:$K$200,9,0))),
IF(VLOOKUP($A161-COUNT('Шаг2.Бланк заказа NEW'!$B$19:$B$201)-COUNT('Бланк OLD 0.8 04'!$B$18:$B$200),'Бланк OLD 2.0 04 '!$B$16:$K$200,9,0)="","",VLOOKUP($A161-COUNT('Шаг2.Бланк заказа NEW'!$B$19:$B$201)-COUNT('Бланк OLD 0.8 04'!$B$18:$B$200),'Бланк OLD 2.0 04 '!$B$16:$K$200,9,0)))</f>
        <v/>
      </c>
      <c r="M161" s="154" t="str">
        <f t="shared" ca="1" si="15"/>
        <v/>
      </c>
      <c r="N161" s="153" t="str">
        <f ca="1">IFERROR(IF(VLOOKUP($A161,'Шаг2.Бланк заказа NEW'!$B$17:$N$201,11,0)="","",VLOOKUP($A161,'Шаг2.Бланк заказа NEW'!$B$17:$N$201,11,0)),
"Нет")</f>
        <v/>
      </c>
      <c r="O161" s="147" t="str">
        <f ca="1">IFERROR(IF(VLOOKUP($A161,'Шаг2.Бланк заказа NEW'!$B$17:$N$201,11,0)="","",VLOOKUP($A161,'Шаг2.Бланк заказа NEW'!$B$17:$N$201,12,0)),
"Нет")</f>
        <v/>
      </c>
      <c r="P161" s="153" t="str">
        <f ca="1">IFERROR(IF(VLOOKUP($A161,'Шаг2.Бланк заказа NEW'!$B$17:$N$201,13,0)="","",VLOOKUP($A161,'Шаг2.Бланк заказа NEW'!$B$17:$N$201,13,0)),
"Нет")</f>
        <v/>
      </c>
      <c r="Q161" s="147" t="str">
        <f ca="1">IFERROR(IF(VLOOKUP($A161,'Шаг2.Бланк заказа NEW'!$B$17:$O$201,14,0)="","",VLOOKUP($A161,'Шаг2.Бланк заказа NEW'!$B$17:$O$201,14,0)),"")</f>
        <v/>
      </c>
      <c r="R161" s="147" t="str">
        <f ca="1">IFERROR(IFERROR(IF(VLOOKUP($A161,'Шаг2.Бланк заказа NEW'!$B$17:$N$201,4,0)="","",VLOOKUP($A161,'Шаг2.Бланк заказа NEW'!$B$17:$N$201,4,0)),
IF(VLOOKUP($A161-COUNT('Шаг2.Бланк заказа NEW'!$B$19:$B$201),'Бланк OLD 0.8 04'!$B$12:$K$200,4,0)&gt;0,0.8,
IF(VLOOKUP($A161-COUNT('Шаг2.Бланк заказа NEW'!$B$19:$B$201),'Бланк OLD 0.8 04'!$B$12:$K$200,5,0)&gt;0,0.4,""))),
IF(VLOOKUP($A161-COUNT('Шаг2.Бланк заказа NEW'!$B$19:$B$201)-COUNT('Бланк OLD 0.8 04'!$B$18:$B$200),'Бланк OLD 2.0 04 '!$B$16:$K$200,4,0)&gt;0,2,IF(VLOOKUP($A161-COUNT('Шаг2.Бланк заказа NEW'!$B$19:$B$201)-COUNT('Бланк OLD 0.8 04'!$B$18:$B$200),'Бланк OLD 2.0 04 '!$B$16:$K$200,5,0)&gt;0,0.4,"")))</f>
        <v/>
      </c>
      <c r="S161" s="147" t="str">
        <f ca="1">IFERROR(IFERROR(IF(VLOOKUP($A161,'Шаг2.Бланк заказа NEW'!$B$17:$N$201,5,0)="","",VLOOKUP($A161,'Шаг2.Бланк заказа NEW'!$B$17:$N$201,5,0)),
IF(VLOOKUP($A161-COUNT('Шаг2.Бланк заказа NEW'!$B$19:$B$201),'Бланк OLD 0.8 04'!$B$12:$K$200,4,0)&gt;1,0.8,
IF(VLOOKUP($A161-COUNT('Шаг2.Бланк заказа NEW'!$B$19:$B$201),'Бланк OLD 0.8 04'!$B$12:$K$200,5,0)&gt;1,0.4,
IF(AND(VLOOKUP($A161-COUNT('Шаг2.Бланк заказа NEW'!$B$19:$B$201),'Бланк OLD 0.8 04'!$B$12:$K$200,4,0)&gt;0,VLOOKUP($A161-COUNT('Шаг2.Бланк заказа NEW'!$B$19:$B$201),'Бланк OLD 0.8 04'!$B$12:$K$200,5,0)&gt;0),0.4,"")))),
IF(VLOOKUP($A161-COUNT('Шаг2.Бланк заказа NEW'!$B$19:$B$201)-COUNT('Бланк OLD 0.8 04'!$B$18:$B$200),'Бланк OLD 2.0 04 '!$B$16:$K$200,4,0)&gt;1,2,
IF(VLOOKUP($A161-COUNT('Шаг2.Бланк заказа NEW'!$B$19:$B$201)-COUNT('Бланк OLD 0.8 04'!$B$18:$B$200),'Бланк OLD 2.0 04 '!$B$16:$K$200,5,0)&gt;1,0.4,IF(AND(VLOOKUP($A161-COUNT('Шаг2.Бланк заказа NEW'!$B$19:$B$201)-COUNT('Бланк OLD 0.8 04'!$B$18:$B$200),'Бланк OLD 2.0 04 '!$B$16:$K$200,4,0)&gt;0,VLOOKUP($A161-COUNT('Шаг2.Бланк заказа NEW'!$B$19:$B$201)-COUNT('Бланк OLD 0.8 04'!$B$18:$B$200),'Бланк OLD 2.0 04 '!$B$16:$K$200,5,0)&gt;0),0.4,""))))</f>
        <v/>
      </c>
      <c r="T161" s="147" t="str">
        <f ca="1">IFERROR(IFERROR(IF(VLOOKUP($A161,'Шаг2.Бланк заказа NEW'!$B$17:$N$201,7,0)="","",VLOOKUP($A161,'Шаг2.Бланк заказа NEW'!$B$17:$N$201,7,0)),
IF(VLOOKUP($A161-COUNT('Шаг2.Бланк заказа NEW'!$B$19:$B$201),'Бланк OLD 0.8 04'!$B$12:$K$200,7,0)&gt;0,0.8,
IF(VLOOKUP($A161-COUNT('Шаг2.Бланк заказа NEW'!$B$19:$B$201),'Бланк OLD 0.8 04'!$B$12:$K$200,8,0)&gt;0,0.4,""))),
IF(VLOOKUP($A161-COUNT('Шаг2.Бланк заказа NEW'!$B$19:$B$201)-COUNT('Бланк OLD 0.8 04'!$B$18:$B$200),'Бланк OLD 2.0 04 '!$B$16:$K$200,7,0)&gt;0,2,IF(VLOOKUP($A161-COUNT('Шаг2.Бланк заказа NEW'!$B$19:$B$201)-COUNT('Бланк OLD 0.8 04'!$B$18:$B$200),'Бланк OLD 2.0 04 '!$B$16:$K$200,8,0)&gt;0,0.4,"")))</f>
        <v/>
      </c>
      <c r="U161" s="147" t="str">
        <f ca="1">IFERROR(IFERROR(IF(VLOOKUP($A161,'Шаг2.Бланк заказа NEW'!$B$17:$N$201,8,0)="","",VLOOKUP($A161,'Шаг2.Бланк заказа NEW'!$B$17:$N$201,8,0)),
IF(VLOOKUP($A161-COUNT('Шаг2.Бланк заказа NEW'!$B$19:$B$201),'Бланк OLD 0.8 04'!$B$12:$K$200,7,0)&gt;1,0.8,
IF(VLOOKUP($A161-COUNT('Шаг2.Бланк заказа NEW'!$B$19:$B$201),'Бланк OLD 0.8 04'!$B$12:$K$200,8,0)&gt;1,0.4,
IF(AND(VLOOKUP($A161-COUNT('Шаг2.Бланк заказа NEW'!$B$19:$B$201),'Бланк OLD 0.8 04'!$B$12:$K$200,7,0)&gt;0,VLOOKUP($A161-COUNT('Шаг2.Бланк заказа NEW'!$B$19:$B$201),'Бланк OLD 0.8 04'!$B$12:$K$200,8,0)&gt;0),0.4,"")))),
IF(VLOOKUP($A161-COUNT('Шаг2.Бланк заказа NEW'!$B$19:$B$201)-COUNT('Бланк OLD 0.8 04'!$B$18:$B$200),'Бланк OLD 2.0 04 '!$B$16:$K$200,7,0)&gt;1,2,
IF(VLOOKUP($A161-COUNT('Шаг2.Бланк заказа NEW'!$B$19:$B$201)-COUNT('Бланк OLD 0.8 04'!$B$18:$B$200),'Бланк OLD 2.0 04 '!$B$16:$K$200,8,0)&gt;1,0.4,
IF(AND(VLOOKUP($A161-COUNT('Шаг2.Бланк заказа NEW'!$B$19:$B$201)-COUNT('Бланк OLD 0.8 04'!$B$18:$B$200),'Бланк OLD 2.0 04 '!$B$16:$K$200,7,0)&gt;0,VLOOKUP($A161-COUNT('Шаг2.Бланк заказа NEW'!$B$19:$B$201)-COUNT('Бланк OLD 0.8 04'!$B$18:$B$200),'Бланк OLD 2.0 04 '!$B$16:$K$200,8,0)&gt;0),0.4,""))))</f>
        <v/>
      </c>
      <c r="V161" s="146" t="str">
        <f ca="1">IFERROR(VLOOKUP(C161,'Шаг1.Выбор плиты'!C:S,12,0),"")</f>
        <v/>
      </c>
      <c r="W161" s="146" t="str">
        <f ca="1">IFERROR(VLOOKUP(C161,'Шаг1.Выбор плиты'!C:S,8,0),"")</f>
        <v/>
      </c>
      <c r="X161" s="146" t="str">
        <f ca="1">IFERROR(VLOOKUP(C161,'Шаг1.Выбор плиты'!C:S,10,0),"")</f>
        <v/>
      </c>
      <c r="Y161" s="147" t="str">
        <f t="shared" ca="1" si="13"/>
        <v/>
      </c>
      <c r="AD161" s="147" t="str">
        <f t="shared" ca="1" si="16"/>
        <v/>
      </c>
      <c r="AE161" s="147" t="str">
        <f t="shared" ca="1" si="14"/>
        <v/>
      </c>
      <c r="AF161" s="25"/>
      <c r="AH161" s="147" t="str">
        <f ca="1">IF(C161="","",VLOOKUP(C161,'Шаг1.Выбор плиты'!C:Q,7,0))</f>
        <v/>
      </c>
      <c r="AI161" s="147" t="str">
        <f t="shared" ca="1" si="17"/>
        <v/>
      </c>
    </row>
    <row r="162" spans="1:35" x14ac:dyDescent="0.2">
      <c r="A162" s="151" t="str">
        <f ca="1">IF(C162="","",MAX($A$1:OFFSET(C162,-1,0))+1)</f>
        <v/>
      </c>
      <c r="B162" s="151" t="str">
        <f ca="1">IFERROR(IFERROR(IFERROR("Шаг2.Бланк заказа NEW №"&amp;VLOOKUP(A161+1,CHOOSE({1,2},'Шаг2.Бланк заказа NEW'!$B$19:$B$201,'Шаг2.Бланк заказа NEW'!$A$19:$A$201),1,0),
"Бланк OLD 0.8 04 №"&amp;VLOOKUP(A161+1-COUNT('Шаг2.Бланк заказа NEW'!$B$19:$B$201),CHOOSE({1,2},'Бланк OLD 0.8 04'!$B$18:$B$200,'Бланк OLD 0.8 04'!$A$18:$A$200),1,0)),
"Бланк OLD 2.0 04 №"&amp;VLOOKUP(A161+1-COUNT('Шаг2.Бланк заказа NEW'!$B$19:$B$201)-COUNT('Бланк OLD 0.8 04'!$B$18:$B$200),CHOOSE({1,2},'Бланк OLD 2.0 04 '!$B$18:$B$200,'Бланк OLD 2.0 04 '!$A$18:$A$200),1,0)),"")</f>
        <v/>
      </c>
      <c r="C162" s="152" t="str">
        <f ca="1">IFERROR(IFERROR(IFERROR(VLOOKUP(A161+1,CHOOSE({1,2},'Шаг2.Бланк заказа NEW'!$B$19:$B$201,'Шаг2.Бланк заказа NEW'!$A$19:$A$201),2,0),
VLOOKUP(A161+1-COUNT('Шаг2.Бланк заказа NEW'!$B$19:$B$201),CHOOSE({1,2},'Бланк OLD 0.8 04'!$B$18:$B$200,'Бланк OLD 0.8 04'!$A$18:$A$200),2,0)),
VLOOKUP(A161+1-COUNT('Шаг2.Бланк заказа NEW'!$B$19:$B$201)-COUNT('Бланк OLD 0.8 04'!$B$18:$B$200),CHOOSE({1,2},'Бланк OLD 2.0 04 '!$B$18:$B$200,'Бланк OLD 2.0 04 '!$A$18:$A$200),2,0)),"")</f>
        <v/>
      </c>
      <c r="D162" s="150" t="str">
        <f ca="1">IFERROR(VLOOKUP(C162,'Шаг1.Выбор плиты'!C:G,5,0),"")</f>
        <v/>
      </c>
      <c r="E162" s="147" t="str">
        <f ca="1">IFERROR(IFERROR(IF(VLOOKUP($A162,'Шаг2.Бланк заказа NEW'!$B$17:$N$201,2,0)="","",VLOOKUP($A162,'Шаг2.Бланк заказа NEW'!$B$17:$N$201,2,0)),
IF(VLOOKUP($A162-COUNT('Шаг2.Бланк заказа NEW'!$B$19:$B$201),'Бланк OLD 0.8 04'!$B$12:$K$200,2,0)="","",VLOOKUP($A162-COUNT('Шаг2.Бланк заказа NEW'!$B$19:$B$201),'Бланк OLD 0.8 04'!$B$12:$K$200,2,0))),
IF(VLOOKUP($A162-COUNT('Шаг2.Бланк заказа NEW'!$B$19:$B$201)-COUNT('Бланк OLD 0.8 04'!$B$18:$B$200),'Бланк OLD 2.0 04 '!$B$16:$K$200,2,0)="","",VLOOKUP($A162-COUNT('Шаг2.Бланк заказа NEW'!$B$19:$B$201)-COUNT('Бланк OLD 0.8 04'!$B$18:$B$200),'Бланк OLD 2.0 04 '!$B$16:$K$200,2,0)))</f>
        <v/>
      </c>
      <c r="F162" s="147" t="str">
        <f ca="1">IFERROR(IFERROR(IF(VLOOKUP($A162,'Шаг2.Бланк заказа NEW'!$B$17:$N$201,3,0)="","",VLOOKUP($A162,'Шаг2.Бланк заказа NEW'!$B$17:$N$201,3,0)),
IF(VLOOKUP($A162-COUNT('Шаг2.Бланк заказа NEW'!$B$19:$B$201),'Бланк OLD 0.8 04'!$B$12:$K$200,3,0)="","",VLOOKUP($A162-COUNT('Шаг2.Бланк заказа NEW'!$B$19:$B$201),'Бланк OLD 0.8 04'!$B$12:$K$200,3,0))),
IF(VLOOKUP($A162-COUNT('Шаг2.Бланк заказа NEW'!$B$19:$B$201)-COUNT('Бланк OLD 0.8 04'!$B$18:$B$200),'Бланк OLD 2.0 04 '!$B$16:$K$200,3,0)="","",VLOOKUP($A162-COUNT('Шаг2.Бланк заказа NEW'!$B$19:$B$201)-COUNT('Бланк OLD 0.8 04'!$B$18:$B$200),'Бланк OLD 2.0 04 '!$B$16:$K$200,3,0)))</f>
        <v/>
      </c>
      <c r="G162" s="176" t="str">
        <f ca="1">IF(IF(R162="","",IF(R162=1,SUMIFS('Шаг1.Выбор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плиты'!C:Q,12,0)),1))))))=0,
R162,
IF(R162="","",IF(R162=1,SUMIFS('Шаг1.Выбор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плиты'!N:N,R162,'Шаг1.Выбор плиты'!M:M,SMALL(INDIRECT("мм"&amp;VLOOKUP(C162,'Шаг1.Выбор плиты'!C:Q,12,0)),1)))))))</f>
        <v/>
      </c>
      <c r="H162" s="177" t="str">
        <f ca="1">IF(IF(S162="","",IF(S162=1,SUMIFS('Шаг1.Выбор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плиты'!C:Q,12,0)),1))))))=0,
S162,
IF(S162="","",IF(S162=1,SUMIFS('Шаг1.Выбор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плиты'!N:N,S162,'Шаг1.Выбор плиты'!M:M,SMALL(INDIRECT("мм"&amp;VLOOKUP(C162,'Шаг1.Выбор плиты'!C:Q,12,0)),1)))))))</f>
        <v/>
      </c>
      <c r="I162" s="147" t="str">
        <f ca="1">IFERROR(IFERROR(IF(VLOOKUP($A162,'Шаг2.Бланк заказа NEW'!$B$17:$N$201,6,0)="","",VLOOKUP($A162,'Шаг2.Бланк заказа NEW'!$B$17:$N$201,6,0)),
IF(VLOOKUP($A162-COUNT('Шаг2.Бланк заказа NEW'!$B$19:$B$201),'Бланк OLD 0.8 04'!$B$12:$K$200,6,0)="","",VLOOKUP($A162-COUNT('Шаг2.Бланк заказа NEW'!$B$19:$B$201),'Бланк OLD 0.8 04'!$B$12:$K$200,6,0))),
IF(VLOOKUP($A162-COUNT('Шаг2.Бланк заказа NEW'!$B$19:$B$201)-COUNT('Бланк OLD 0.8 04'!$B$18:$B$200),'Бланк OLD 2.0 04 '!$B$16:$K$200,6,0)="","",VLOOKUP($A162-COUNT('Шаг2.Бланк заказа NEW'!$B$19:$B$201)-COUNT('Бланк OLD 0.8 04'!$B$18:$B$200),'Бланк OLD 2.0 04 '!$B$16:$K$200,6,0)))</f>
        <v/>
      </c>
      <c r="J162" s="177" t="str">
        <f ca="1">IF(IF(T162="","",IF(T162=1,SUMIFS('Шаг1.Выбор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плиты'!C:Q,12,0)),1))))))=0,
T162,
IF(T162="","",IF(T162=1,SUMIFS('Шаг1.Выбор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плиты'!N:N,T162,'Шаг1.Выбор плиты'!M:M,SMALL(INDIRECT("мм"&amp;VLOOKUP(C162,'Шаг1.Выбор плиты'!C:Q,12,0)),1)))))))</f>
        <v/>
      </c>
      <c r="K162" s="177" t="str">
        <f ca="1">IF(IF(U162="","",IF(U162=1,SUMIFS('Шаг1.Выбор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плиты'!C:Q,12,0)),1))))))=0,
U162,
IF(U162="","",IF(U162=1,SUMIFS('Шаг1.Выбор плиты'!$G:$G,'Шаг1.Выбор плиты'!J:J,"*"&amp;RIGHT(VLOOKUP(C162,'Шаг1.Выбор плиты'!C:Q,8,0),4),'Шаг1.Выбор плиты'!L:L,IF(MID(C162,1,6)="ЛДСП P","TM"&amp;MID(VLOOKUP(C162,'Шаг1.Выбор плиты'!C:Q,10,0),3,2),MID(VLOOKUP(C162,'Шаг1.Выбор плиты'!C:Q,10,0),1,2)),
'Шаг1.Выбор плиты'!N:N,1),IF(SUMIFS('Шаг1.Выбор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плиты'!C:Q,12,0)),1))=0,
IF(SUMIFS('Шаг1.Выбор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плиты'!C:Q,12,0)),2))=0,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плиты'!C:Q,12,0)),3)),
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плиты'!C:Q,12,0)),2))),
(SUMIFS('Шаг1.Выбор плиты'!$G:$G,'Шаг1.Выбор плиты'!J:J,"*"&amp;RIGHT(VLOOKUP(C162,'Шаг1.Выбор плиты'!C:Q,8,0),4),'Шаг1.Выбор плиты'!L:L,VLOOKUP(C162,'Шаг1.Выбор плиты'!C:Q,10,0),'Шаг1.Выбор плиты'!N:N,U162,'Шаг1.Выбор плиты'!M:M,SMALL(INDIRECT("мм"&amp;VLOOKUP(C162,'Шаг1.Выбор плиты'!C:Q,12,0)),1)))))))</f>
        <v/>
      </c>
      <c r="L162" s="147" t="str">
        <f ca="1">IFERROR(IFERROR(IF(VLOOKUP($A162,'Шаг2.Бланк заказа NEW'!$B$17:$N$201,9,0)="","",VLOOKUP($A162,'Шаг2.Бланк заказа NEW'!$B$17:$N$201,9,0)),
IF(VLOOKUP($A162-COUNT('Шаг2.Бланк заказа NEW'!$B$19:$B$201),'Бланк OLD 0.8 04'!$B$12:$K$200,9,0)="","",VLOOKUP($A162-COUNT('Шаг2.Бланк заказа NEW'!$B$19:$B$201),'Бланк OLD 0.8 04'!$B$12:$K$200,9,0))),
IF(VLOOKUP($A162-COUNT('Шаг2.Бланк заказа NEW'!$B$19:$B$201)-COUNT('Бланк OLD 0.8 04'!$B$18:$B$200),'Бланк OLD 2.0 04 '!$B$16:$K$200,9,0)="","",VLOOKUP($A162-COUNT('Шаг2.Бланк заказа NEW'!$B$19:$B$201)-COUNT('Бланк OLD 0.8 04'!$B$18:$B$200),'Бланк OLD 2.0 04 '!$B$16:$K$200,9,0)))</f>
        <v/>
      </c>
      <c r="M162" s="154" t="str">
        <f t="shared" ca="1" si="15"/>
        <v/>
      </c>
      <c r="N162" s="153" t="str">
        <f ca="1">IFERROR(IF(VLOOKUP($A162,'Шаг2.Бланк заказа NEW'!$B$17:$N$201,11,0)="","",VLOOKUP($A162,'Шаг2.Бланк заказа NEW'!$B$17:$N$201,11,0)),
"Нет")</f>
        <v/>
      </c>
      <c r="O162" s="147" t="str">
        <f ca="1">IFERROR(IF(VLOOKUP($A162,'Шаг2.Бланк заказа NEW'!$B$17:$N$201,11,0)="","",VLOOKUP($A162,'Шаг2.Бланк заказа NEW'!$B$17:$N$201,12,0)),
"Нет")</f>
        <v/>
      </c>
      <c r="P162" s="153" t="str">
        <f ca="1">IFERROR(IF(VLOOKUP($A162,'Шаг2.Бланк заказа NEW'!$B$17:$N$201,13,0)="","",VLOOKUP($A162,'Шаг2.Бланк заказа NEW'!$B$17:$N$201,13,0)),
"Нет")</f>
        <v/>
      </c>
      <c r="Q162" s="147" t="str">
        <f ca="1">IFERROR(IF(VLOOKUP($A162,'Шаг2.Бланк заказа NEW'!$B$17:$O$201,14,0)="","",VLOOKUP($A162,'Шаг2.Бланк заказа NEW'!$B$17:$O$201,14,0)),"")</f>
        <v/>
      </c>
      <c r="R162" s="147" t="str">
        <f ca="1">IFERROR(IFERROR(IF(VLOOKUP($A162,'Шаг2.Бланк заказа NEW'!$B$17:$N$201,4,0)="","",VLOOKUP($A162,'Шаг2.Бланк заказа NEW'!$B$17:$N$201,4,0)),
IF(VLOOKUP($A162-COUNT('Шаг2.Бланк заказа NEW'!$B$19:$B$201),'Бланк OLD 0.8 04'!$B$12:$K$200,4,0)&gt;0,0.8,
IF(VLOOKUP($A162-COUNT('Шаг2.Бланк заказа NEW'!$B$19:$B$201),'Бланк OLD 0.8 04'!$B$12:$K$200,5,0)&gt;0,0.4,""))),
IF(VLOOKUP($A162-COUNT('Шаг2.Бланк заказа NEW'!$B$19:$B$201)-COUNT('Бланк OLD 0.8 04'!$B$18:$B$200),'Бланк OLD 2.0 04 '!$B$16:$K$200,4,0)&gt;0,2,IF(VLOOKUP($A162-COUNT('Шаг2.Бланк заказа NEW'!$B$19:$B$201)-COUNT('Бланк OLD 0.8 04'!$B$18:$B$200),'Бланк OLD 2.0 04 '!$B$16:$K$200,5,0)&gt;0,0.4,"")))</f>
        <v/>
      </c>
      <c r="S162" s="147" t="str">
        <f ca="1">IFERROR(IFERROR(IF(VLOOKUP($A162,'Шаг2.Бланк заказа NEW'!$B$17:$N$201,5,0)="","",VLOOKUP($A162,'Шаг2.Бланк заказа NEW'!$B$17:$N$201,5,0)),
IF(VLOOKUP($A162-COUNT('Шаг2.Бланк заказа NEW'!$B$19:$B$201),'Бланк OLD 0.8 04'!$B$12:$K$200,4,0)&gt;1,0.8,
IF(VLOOKUP($A162-COUNT('Шаг2.Бланк заказа NEW'!$B$19:$B$201),'Бланк OLD 0.8 04'!$B$12:$K$200,5,0)&gt;1,0.4,
IF(AND(VLOOKUP($A162-COUNT('Шаг2.Бланк заказа NEW'!$B$19:$B$201),'Бланк OLD 0.8 04'!$B$12:$K$200,4,0)&gt;0,VLOOKUP($A162-COUNT('Шаг2.Бланк заказа NEW'!$B$19:$B$201),'Бланк OLD 0.8 04'!$B$12:$K$200,5,0)&gt;0),0.4,"")))),
IF(VLOOKUP($A162-COUNT('Шаг2.Бланк заказа NEW'!$B$19:$B$201)-COUNT('Бланк OLD 0.8 04'!$B$18:$B$200),'Бланк OLD 2.0 04 '!$B$16:$K$200,4,0)&gt;1,2,
IF(VLOOKUP($A162-COUNT('Шаг2.Бланк заказа NEW'!$B$19:$B$201)-COUNT('Бланк OLD 0.8 04'!$B$18:$B$200),'Бланк OLD 2.0 04 '!$B$16:$K$200,5,0)&gt;1,0.4,IF(AND(VLOOKUP($A162-COUNT('Шаг2.Бланк заказа NEW'!$B$19:$B$201)-COUNT('Бланк OLD 0.8 04'!$B$18:$B$200),'Бланк OLD 2.0 04 '!$B$16:$K$200,4,0)&gt;0,VLOOKUP($A162-COUNT('Шаг2.Бланк заказа NEW'!$B$19:$B$201)-COUNT('Бланк OLD 0.8 04'!$B$18:$B$200),'Бланк OLD 2.0 04 '!$B$16:$K$200,5,0)&gt;0),0.4,""))))</f>
        <v/>
      </c>
      <c r="T162" s="147" t="str">
        <f ca="1">IFERROR(IFERROR(IF(VLOOKUP($A162,'Шаг2.Бланк заказа NEW'!$B$17:$N$201,7,0)="","",VLOOKUP($A162,'Шаг2.Бланк заказа NEW'!$B$17:$N$201,7,0)),
IF(VLOOKUP($A162-COUNT('Шаг2.Бланк заказа NEW'!$B$19:$B$201),'Бланк OLD 0.8 04'!$B$12:$K$200,7,0)&gt;0,0.8,
IF(VLOOKUP($A162-COUNT('Шаг2.Бланк заказа NEW'!$B$19:$B$201),'Бланк OLD 0.8 04'!$B$12:$K$200,8,0)&gt;0,0.4,""))),
IF(VLOOKUP($A162-COUNT('Шаг2.Бланк заказа NEW'!$B$19:$B$201)-COUNT('Бланк OLD 0.8 04'!$B$18:$B$200),'Бланк OLD 2.0 04 '!$B$16:$K$200,7,0)&gt;0,2,IF(VLOOKUP($A162-COUNT('Шаг2.Бланк заказа NEW'!$B$19:$B$201)-COUNT('Бланк OLD 0.8 04'!$B$18:$B$200),'Бланк OLD 2.0 04 '!$B$16:$K$200,8,0)&gt;0,0.4,"")))</f>
        <v/>
      </c>
      <c r="U162" s="147" t="str">
        <f ca="1">IFERROR(IFERROR(IF(VLOOKUP($A162,'Шаг2.Бланк заказа NEW'!$B$17:$N$201,8,0)="","",VLOOKUP($A162,'Шаг2.Бланк заказа NEW'!$B$17:$N$201,8,0)),
IF(VLOOKUP($A162-COUNT('Шаг2.Бланк заказа NEW'!$B$19:$B$201),'Бланк OLD 0.8 04'!$B$12:$K$200,7,0)&gt;1,0.8,
IF(VLOOKUP($A162-COUNT('Шаг2.Бланк заказа NEW'!$B$19:$B$201),'Бланк OLD 0.8 04'!$B$12:$K$200,8,0)&gt;1,0.4,
IF(AND(VLOOKUP($A162-COUNT('Шаг2.Бланк заказа NEW'!$B$19:$B$201),'Бланк OLD 0.8 04'!$B$12:$K$200,7,0)&gt;0,VLOOKUP($A162-COUNT('Шаг2.Бланк заказа NEW'!$B$19:$B$201),'Бланк OLD 0.8 04'!$B$12:$K$200,8,0)&gt;0),0.4,"")))),
IF(VLOOKUP($A162-COUNT('Шаг2.Бланк заказа NEW'!$B$19:$B$201)-COUNT('Бланк OLD 0.8 04'!$B$18:$B$200),'Бланк OLD 2.0 04 '!$B$16:$K$200,7,0)&gt;1,2,
IF(VLOOKUP($A162-COUNT('Шаг2.Бланк заказа NEW'!$B$19:$B$201)-COUNT('Бланк OLD 0.8 04'!$B$18:$B$200),'Бланк OLD 2.0 04 '!$B$16:$K$200,8,0)&gt;1,0.4,
IF(AND(VLOOKUP($A162-COUNT('Шаг2.Бланк заказа NEW'!$B$19:$B$201)-COUNT('Бланк OLD 0.8 04'!$B$18:$B$200),'Бланк OLD 2.0 04 '!$B$16:$K$200,7,0)&gt;0,VLOOKUP($A162-COUNT('Шаг2.Бланк заказа NEW'!$B$19:$B$201)-COUNT('Бланк OLD 0.8 04'!$B$18:$B$200),'Бланк OLD 2.0 04 '!$B$16:$K$200,8,0)&gt;0),0.4,""))))</f>
        <v/>
      </c>
      <c r="V162" s="146" t="str">
        <f ca="1">IFERROR(VLOOKUP(C162,'Шаг1.Выбор плиты'!C:S,12,0),"")</f>
        <v/>
      </c>
      <c r="W162" s="146" t="str">
        <f ca="1">IFERROR(VLOOKUP(C162,'Шаг1.Выбор плиты'!C:S,8,0),"")</f>
        <v/>
      </c>
      <c r="X162" s="146" t="str">
        <f ca="1">IFERROR(VLOOKUP(C162,'Шаг1.Выбор плиты'!C:S,10,0),"")</f>
        <v/>
      </c>
      <c r="Y162" s="147" t="str">
        <f t="shared" ca="1" si="13"/>
        <v/>
      </c>
      <c r="AD162" s="147" t="str">
        <f t="shared" ca="1" si="16"/>
        <v/>
      </c>
      <c r="AE162" s="147" t="str">
        <f t="shared" ca="1" si="14"/>
        <v/>
      </c>
      <c r="AF162" s="25"/>
      <c r="AH162" s="147" t="str">
        <f ca="1">IF(C162="","",VLOOKUP(C162,'Шаг1.Выбор плиты'!C:Q,7,0))</f>
        <v/>
      </c>
      <c r="AI162" s="147" t="str">
        <f t="shared" ca="1" si="17"/>
        <v/>
      </c>
    </row>
    <row r="163" spans="1:35" x14ac:dyDescent="0.2">
      <c r="A163" s="151" t="str">
        <f ca="1">IF(C163="","",MAX($A$1:OFFSET(C163,-1,0))+1)</f>
        <v/>
      </c>
      <c r="B163" s="151" t="str">
        <f ca="1">IFERROR(IFERROR(IFERROR("Шаг2.Бланк заказа NEW №"&amp;VLOOKUP(A162+1,CHOOSE({1,2},'Шаг2.Бланк заказа NEW'!$B$19:$B$201,'Шаг2.Бланк заказа NEW'!$A$19:$A$201),1,0),
"Бланк OLD 0.8 04 №"&amp;VLOOKUP(A162+1-COUNT('Шаг2.Бланк заказа NEW'!$B$19:$B$201),CHOOSE({1,2},'Бланк OLD 0.8 04'!$B$18:$B$200,'Бланк OLD 0.8 04'!$A$18:$A$200),1,0)),
"Бланк OLD 2.0 04 №"&amp;VLOOKUP(A162+1-COUNT('Шаг2.Бланк заказа NEW'!$B$19:$B$201)-COUNT('Бланк OLD 0.8 04'!$B$18:$B$200),CHOOSE({1,2},'Бланк OLD 2.0 04 '!$B$18:$B$200,'Бланк OLD 2.0 04 '!$A$18:$A$200),1,0)),"")</f>
        <v/>
      </c>
      <c r="C163" s="152" t="str">
        <f ca="1">IFERROR(IFERROR(IFERROR(VLOOKUP(A162+1,CHOOSE({1,2},'Шаг2.Бланк заказа NEW'!$B$19:$B$201,'Шаг2.Бланк заказа NEW'!$A$19:$A$201),2,0),
VLOOKUP(A162+1-COUNT('Шаг2.Бланк заказа NEW'!$B$19:$B$201),CHOOSE({1,2},'Бланк OLD 0.8 04'!$B$18:$B$200,'Бланк OLD 0.8 04'!$A$18:$A$200),2,0)),
VLOOKUP(A162+1-COUNT('Шаг2.Бланк заказа NEW'!$B$19:$B$201)-COUNT('Бланк OLD 0.8 04'!$B$18:$B$200),CHOOSE({1,2},'Бланк OLD 2.0 04 '!$B$18:$B$200,'Бланк OLD 2.0 04 '!$A$18:$A$200),2,0)),"")</f>
        <v/>
      </c>
      <c r="D163" s="150" t="str">
        <f ca="1">IFERROR(VLOOKUP(C163,'Шаг1.Выбор плиты'!C:G,5,0),"")</f>
        <v/>
      </c>
      <c r="E163" s="147" t="str">
        <f ca="1">IFERROR(IFERROR(IF(VLOOKUP($A163,'Шаг2.Бланк заказа NEW'!$B$17:$N$201,2,0)="","",VLOOKUP($A163,'Шаг2.Бланк заказа NEW'!$B$17:$N$201,2,0)),
IF(VLOOKUP($A163-COUNT('Шаг2.Бланк заказа NEW'!$B$19:$B$201),'Бланк OLD 0.8 04'!$B$12:$K$200,2,0)="","",VLOOKUP($A163-COUNT('Шаг2.Бланк заказа NEW'!$B$19:$B$201),'Бланк OLD 0.8 04'!$B$12:$K$200,2,0))),
IF(VLOOKUP($A163-COUNT('Шаг2.Бланк заказа NEW'!$B$19:$B$201)-COUNT('Бланк OLD 0.8 04'!$B$18:$B$200),'Бланк OLD 2.0 04 '!$B$16:$K$200,2,0)="","",VLOOKUP($A163-COUNT('Шаг2.Бланк заказа NEW'!$B$19:$B$201)-COUNT('Бланк OLD 0.8 04'!$B$18:$B$200),'Бланк OLD 2.0 04 '!$B$16:$K$200,2,0)))</f>
        <v/>
      </c>
      <c r="F163" s="147" t="str">
        <f ca="1">IFERROR(IFERROR(IF(VLOOKUP($A163,'Шаг2.Бланк заказа NEW'!$B$17:$N$201,3,0)="","",VLOOKUP($A163,'Шаг2.Бланк заказа NEW'!$B$17:$N$201,3,0)),
IF(VLOOKUP($A163-COUNT('Шаг2.Бланк заказа NEW'!$B$19:$B$201),'Бланк OLD 0.8 04'!$B$12:$K$200,3,0)="","",VLOOKUP($A163-COUNT('Шаг2.Бланк заказа NEW'!$B$19:$B$201),'Бланк OLD 0.8 04'!$B$12:$K$200,3,0))),
IF(VLOOKUP($A163-COUNT('Шаг2.Бланк заказа NEW'!$B$19:$B$201)-COUNT('Бланк OLD 0.8 04'!$B$18:$B$200),'Бланк OLD 2.0 04 '!$B$16:$K$200,3,0)="","",VLOOKUP($A163-COUNT('Шаг2.Бланк заказа NEW'!$B$19:$B$201)-COUNT('Бланк OLD 0.8 04'!$B$18:$B$200),'Бланк OLD 2.0 04 '!$B$16:$K$200,3,0)))</f>
        <v/>
      </c>
      <c r="G163" s="176" t="str">
        <f ca="1">IF(IF(R163="","",IF(R163=1,SUMIFS('Шаг1.Выбор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плиты'!C:Q,12,0)),1))))))=0,
R163,
IF(R163="","",IF(R163=1,SUMIFS('Шаг1.Выбор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плиты'!N:N,R163,'Шаг1.Выбор плиты'!M:M,SMALL(INDIRECT("мм"&amp;VLOOKUP(C163,'Шаг1.Выбор плиты'!C:Q,12,0)),1)))))))</f>
        <v/>
      </c>
      <c r="H163" s="177" t="str">
        <f ca="1">IF(IF(S163="","",IF(S163=1,SUMIFS('Шаг1.Выбор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плиты'!C:Q,12,0)),1))))))=0,
S163,
IF(S163="","",IF(S163=1,SUMIFS('Шаг1.Выбор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плиты'!N:N,S163,'Шаг1.Выбор плиты'!M:M,SMALL(INDIRECT("мм"&amp;VLOOKUP(C163,'Шаг1.Выбор плиты'!C:Q,12,0)),1)))))))</f>
        <v/>
      </c>
      <c r="I163" s="147" t="str">
        <f ca="1">IFERROR(IFERROR(IF(VLOOKUP($A163,'Шаг2.Бланк заказа NEW'!$B$17:$N$201,6,0)="","",VLOOKUP($A163,'Шаг2.Бланк заказа NEW'!$B$17:$N$201,6,0)),
IF(VLOOKUP($A163-COUNT('Шаг2.Бланк заказа NEW'!$B$19:$B$201),'Бланк OLD 0.8 04'!$B$12:$K$200,6,0)="","",VLOOKUP($A163-COUNT('Шаг2.Бланк заказа NEW'!$B$19:$B$201),'Бланк OLD 0.8 04'!$B$12:$K$200,6,0))),
IF(VLOOKUP($A163-COUNT('Шаг2.Бланк заказа NEW'!$B$19:$B$201)-COUNT('Бланк OLD 0.8 04'!$B$18:$B$200),'Бланк OLD 2.0 04 '!$B$16:$K$200,6,0)="","",VLOOKUP($A163-COUNT('Шаг2.Бланк заказа NEW'!$B$19:$B$201)-COUNT('Бланк OLD 0.8 04'!$B$18:$B$200),'Бланк OLD 2.0 04 '!$B$16:$K$200,6,0)))</f>
        <v/>
      </c>
      <c r="J163" s="177" t="str">
        <f ca="1">IF(IF(T163="","",IF(T163=1,SUMIFS('Шаг1.Выбор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плиты'!C:Q,12,0)),1))))))=0,
T163,
IF(T163="","",IF(T163=1,SUMIFS('Шаг1.Выбор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плиты'!N:N,T163,'Шаг1.Выбор плиты'!M:M,SMALL(INDIRECT("мм"&amp;VLOOKUP(C163,'Шаг1.Выбор плиты'!C:Q,12,0)),1)))))))</f>
        <v/>
      </c>
      <c r="K163" s="177" t="str">
        <f ca="1">IF(IF(U163="","",IF(U163=1,SUMIFS('Шаг1.Выбор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плиты'!C:Q,12,0)),1))))))=0,
U163,
IF(U163="","",IF(U163=1,SUMIFS('Шаг1.Выбор плиты'!$G:$G,'Шаг1.Выбор плиты'!J:J,"*"&amp;RIGHT(VLOOKUP(C163,'Шаг1.Выбор плиты'!C:Q,8,0),4),'Шаг1.Выбор плиты'!L:L,IF(MID(C163,1,6)="ЛДСП P","TM"&amp;MID(VLOOKUP(C163,'Шаг1.Выбор плиты'!C:Q,10,0),3,2),MID(VLOOKUP(C163,'Шаг1.Выбор плиты'!C:Q,10,0),1,2)),
'Шаг1.Выбор плиты'!N:N,1),IF(SUMIFS('Шаг1.Выбор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плиты'!C:Q,12,0)),1))=0,
IF(SUMIFS('Шаг1.Выбор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плиты'!C:Q,12,0)),2))=0,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плиты'!C:Q,12,0)),3)),
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плиты'!C:Q,12,0)),2))),
(SUMIFS('Шаг1.Выбор плиты'!$G:$G,'Шаг1.Выбор плиты'!J:J,"*"&amp;RIGHT(VLOOKUP(C163,'Шаг1.Выбор плиты'!C:Q,8,0),4),'Шаг1.Выбор плиты'!L:L,VLOOKUP(C163,'Шаг1.Выбор плиты'!C:Q,10,0),'Шаг1.Выбор плиты'!N:N,U163,'Шаг1.Выбор плиты'!M:M,SMALL(INDIRECT("мм"&amp;VLOOKUP(C163,'Шаг1.Выбор плиты'!C:Q,12,0)),1)))))))</f>
        <v/>
      </c>
      <c r="L163" s="147" t="str">
        <f ca="1">IFERROR(IFERROR(IF(VLOOKUP($A163,'Шаг2.Бланк заказа NEW'!$B$17:$N$201,9,0)="","",VLOOKUP($A163,'Шаг2.Бланк заказа NEW'!$B$17:$N$201,9,0)),
IF(VLOOKUP($A163-COUNT('Шаг2.Бланк заказа NEW'!$B$19:$B$201),'Бланк OLD 0.8 04'!$B$12:$K$200,9,0)="","",VLOOKUP($A163-COUNT('Шаг2.Бланк заказа NEW'!$B$19:$B$201),'Бланк OLD 0.8 04'!$B$12:$K$200,9,0))),
IF(VLOOKUP($A163-COUNT('Шаг2.Бланк заказа NEW'!$B$19:$B$201)-COUNT('Бланк OLD 0.8 04'!$B$18:$B$200),'Бланк OLD 2.0 04 '!$B$16:$K$200,9,0)="","",VLOOKUP($A163-COUNT('Шаг2.Бланк заказа NEW'!$B$19:$B$201)-COUNT('Бланк OLD 0.8 04'!$B$18:$B$200),'Бланк OLD 2.0 04 '!$B$16:$K$200,9,0)))</f>
        <v/>
      </c>
      <c r="M163" s="154" t="str">
        <f t="shared" ca="1" si="15"/>
        <v/>
      </c>
      <c r="N163" s="153" t="str">
        <f ca="1">IFERROR(IF(VLOOKUP($A163,'Шаг2.Бланк заказа NEW'!$B$17:$N$201,11,0)="","",VLOOKUP($A163,'Шаг2.Бланк заказа NEW'!$B$17:$N$201,11,0)),
"Нет")</f>
        <v/>
      </c>
      <c r="O163" s="147" t="str">
        <f ca="1">IFERROR(IF(VLOOKUP($A163,'Шаг2.Бланк заказа NEW'!$B$17:$N$201,11,0)="","",VLOOKUP($A163,'Шаг2.Бланк заказа NEW'!$B$17:$N$201,12,0)),
"Нет")</f>
        <v/>
      </c>
      <c r="P163" s="153" t="str">
        <f ca="1">IFERROR(IF(VLOOKUP($A163,'Шаг2.Бланк заказа NEW'!$B$17:$N$201,13,0)="","",VLOOKUP($A163,'Шаг2.Бланк заказа NEW'!$B$17:$N$201,13,0)),
"Нет")</f>
        <v/>
      </c>
      <c r="Q163" s="147" t="str">
        <f ca="1">IFERROR(IF(VLOOKUP($A163,'Шаг2.Бланк заказа NEW'!$B$17:$O$201,14,0)="","",VLOOKUP($A163,'Шаг2.Бланк заказа NEW'!$B$17:$O$201,14,0)),"")</f>
        <v/>
      </c>
      <c r="R163" s="147" t="str">
        <f ca="1">IFERROR(IFERROR(IF(VLOOKUP($A163,'Шаг2.Бланк заказа NEW'!$B$17:$N$201,4,0)="","",VLOOKUP($A163,'Шаг2.Бланк заказа NEW'!$B$17:$N$201,4,0)),
IF(VLOOKUP($A163-COUNT('Шаг2.Бланк заказа NEW'!$B$19:$B$201),'Бланк OLD 0.8 04'!$B$12:$K$200,4,0)&gt;0,0.8,
IF(VLOOKUP($A163-COUNT('Шаг2.Бланк заказа NEW'!$B$19:$B$201),'Бланк OLD 0.8 04'!$B$12:$K$200,5,0)&gt;0,0.4,""))),
IF(VLOOKUP($A163-COUNT('Шаг2.Бланк заказа NEW'!$B$19:$B$201)-COUNT('Бланк OLD 0.8 04'!$B$18:$B$200),'Бланк OLD 2.0 04 '!$B$16:$K$200,4,0)&gt;0,2,IF(VLOOKUP($A163-COUNT('Шаг2.Бланк заказа NEW'!$B$19:$B$201)-COUNT('Бланк OLD 0.8 04'!$B$18:$B$200),'Бланк OLD 2.0 04 '!$B$16:$K$200,5,0)&gt;0,0.4,"")))</f>
        <v/>
      </c>
      <c r="S163" s="147" t="str">
        <f ca="1">IFERROR(IFERROR(IF(VLOOKUP($A163,'Шаг2.Бланк заказа NEW'!$B$17:$N$201,5,0)="","",VLOOKUP($A163,'Шаг2.Бланк заказа NEW'!$B$17:$N$201,5,0)),
IF(VLOOKUP($A163-COUNT('Шаг2.Бланк заказа NEW'!$B$19:$B$201),'Бланк OLD 0.8 04'!$B$12:$K$200,4,0)&gt;1,0.8,
IF(VLOOKUP($A163-COUNT('Шаг2.Бланк заказа NEW'!$B$19:$B$201),'Бланк OLD 0.8 04'!$B$12:$K$200,5,0)&gt;1,0.4,
IF(AND(VLOOKUP($A163-COUNT('Шаг2.Бланк заказа NEW'!$B$19:$B$201),'Бланк OLD 0.8 04'!$B$12:$K$200,4,0)&gt;0,VLOOKUP($A163-COUNT('Шаг2.Бланк заказа NEW'!$B$19:$B$201),'Бланк OLD 0.8 04'!$B$12:$K$200,5,0)&gt;0),0.4,"")))),
IF(VLOOKUP($A163-COUNT('Шаг2.Бланк заказа NEW'!$B$19:$B$201)-COUNT('Бланк OLD 0.8 04'!$B$18:$B$200),'Бланк OLD 2.0 04 '!$B$16:$K$200,4,0)&gt;1,2,
IF(VLOOKUP($A163-COUNT('Шаг2.Бланк заказа NEW'!$B$19:$B$201)-COUNT('Бланк OLD 0.8 04'!$B$18:$B$200),'Бланк OLD 2.0 04 '!$B$16:$K$200,5,0)&gt;1,0.4,IF(AND(VLOOKUP($A163-COUNT('Шаг2.Бланк заказа NEW'!$B$19:$B$201)-COUNT('Бланк OLD 0.8 04'!$B$18:$B$200),'Бланк OLD 2.0 04 '!$B$16:$K$200,4,0)&gt;0,VLOOKUP($A163-COUNT('Шаг2.Бланк заказа NEW'!$B$19:$B$201)-COUNT('Бланк OLD 0.8 04'!$B$18:$B$200),'Бланк OLD 2.0 04 '!$B$16:$K$200,5,0)&gt;0),0.4,""))))</f>
        <v/>
      </c>
      <c r="T163" s="147" t="str">
        <f ca="1">IFERROR(IFERROR(IF(VLOOKUP($A163,'Шаг2.Бланк заказа NEW'!$B$17:$N$201,7,0)="","",VLOOKUP($A163,'Шаг2.Бланк заказа NEW'!$B$17:$N$201,7,0)),
IF(VLOOKUP($A163-COUNT('Шаг2.Бланк заказа NEW'!$B$19:$B$201),'Бланк OLD 0.8 04'!$B$12:$K$200,7,0)&gt;0,0.8,
IF(VLOOKUP($A163-COUNT('Шаг2.Бланк заказа NEW'!$B$19:$B$201),'Бланк OLD 0.8 04'!$B$12:$K$200,8,0)&gt;0,0.4,""))),
IF(VLOOKUP($A163-COUNT('Шаг2.Бланк заказа NEW'!$B$19:$B$201)-COUNT('Бланк OLD 0.8 04'!$B$18:$B$200),'Бланк OLD 2.0 04 '!$B$16:$K$200,7,0)&gt;0,2,IF(VLOOKUP($A163-COUNT('Шаг2.Бланк заказа NEW'!$B$19:$B$201)-COUNT('Бланк OLD 0.8 04'!$B$18:$B$200),'Бланк OLD 2.0 04 '!$B$16:$K$200,8,0)&gt;0,0.4,"")))</f>
        <v/>
      </c>
      <c r="U163" s="147" t="str">
        <f ca="1">IFERROR(IFERROR(IF(VLOOKUP($A163,'Шаг2.Бланк заказа NEW'!$B$17:$N$201,8,0)="","",VLOOKUP($A163,'Шаг2.Бланк заказа NEW'!$B$17:$N$201,8,0)),
IF(VLOOKUP($A163-COUNT('Шаг2.Бланк заказа NEW'!$B$19:$B$201),'Бланк OLD 0.8 04'!$B$12:$K$200,7,0)&gt;1,0.8,
IF(VLOOKUP($A163-COUNT('Шаг2.Бланк заказа NEW'!$B$19:$B$201),'Бланк OLD 0.8 04'!$B$12:$K$200,8,0)&gt;1,0.4,
IF(AND(VLOOKUP($A163-COUNT('Шаг2.Бланк заказа NEW'!$B$19:$B$201),'Бланк OLD 0.8 04'!$B$12:$K$200,7,0)&gt;0,VLOOKUP($A163-COUNT('Шаг2.Бланк заказа NEW'!$B$19:$B$201),'Бланк OLD 0.8 04'!$B$12:$K$200,8,0)&gt;0),0.4,"")))),
IF(VLOOKUP($A163-COUNT('Шаг2.Бланк заказа NEW'!$B$19:$B$201)-COUNT('Бланк OLD 0.8 04'!$B$18:$B$200),'Бланк OLD 2.0 04 '!$B$16:$K$200,7,0)&gt;1,2,
IF(VLOOKUP($A163-COUNT('Шаг2.Бланк заказа NEW'!$B$19:$B$201)-COUNT('Бланк OLD 0.8 04'!$B$18:$B$200),'Бланк OLD 2.0 04 '!$B$16:$K$200,8,0)&gt;1,0.4,
IF(AND(VLOOKUP($A163-COUNT('Шаг2.Бланк заказа NEW'!$B$19:$B$201)-COUNT('Бланк OLD 0.8 04'!$B$18:$B$200),'Бланк OLD 2.0 04 '!$B$16:$K$200,7,0)&gt;0,VLOOKUP($A163-COUNT('Шаг2.Бланк заказа NEW'!$B$19:$B$201)-COUNT('Бланк OLD 0.8 04'!$B$18:$B$200),'Бланк OLD 2.0 04 '!$B$16:$K$200,8,0)&gt;0),0.4,""))))</f>
        <v/>
      </c>
      <c r="V163" s="146" t="str">
        <f ca="1">IFERROR(VLOOKUP(C163,'Шаг1.Выбор плиты'!C:S,12,0),"")</f>
        <v/>
      </c>
      <c r="W163" s="146" t="str">
        <f ca="1">IFERROR(VLOOKUP(C163,'Шаг1.Выбор плиты'!C:S,8,0),"")</f>
        <v/>
      </c>
      <c r="X163" s="146" t="str">
        <f ca="1">IFERROR(VLOOKUP(C163,'Шаг1.Выбор плиты'!C:S,10,0),"")</f>
        <v/>
      </c>
      <c r="Y163" s="147" t="str">
        <f t="shared" ca="1" si="13"/>
        <v/>
      </c>
      <c r="AD163" s="147" t="str">
        <f t="shared" ca="1" si="16"/>
        <v/>
      </c>
      <c r="AE163" s="147" t="str">
        <f t="shared" ca="1" si="14"/>
        <v/>
      </c>
      <c r="AF163" s="25"/>
      <c r="AH163" s="147" t="str">
        <f ca="1">IF(C163="","",VLOOKUP(C163,'Шаг1.Выбор плиты'!C:Q,7,0))</f>
        <v/>
      </c>
      <c r="AI163" s="147" t="str">
        <f t="shared" ca="1" si="17"/>
        <v/>
      </c>
    </row>
    <row r="164" spans="1:35" x14ac:dyDescent="0.2">
      <c r="A164" s="151" t="str">
        <f ca="1">IF(C164="","",MAX($A$1:OFFSET(C164,-1,0))+1)</f>
        <v/>
      </c>
      <c r="B164" s="151" t="str">
        <f ca="1">IFERROR(IFERROR(IFERROR("Шаг2.Бланк заказа NEW №"&amp;VLOOKUP(A163+1,CHOOSE({1,2},'Шаг2.Бланк заказа NEW'!$B$19:$B$201,'Шаг2.Бланк заказа NEW'!$A$19:$A$201),1,0),
"Бланк OLD 0.8 04 №"&amp;VLOOKUP(A163+1-COUNT('Шаг2.Бланк заказа NEW'!$B$19:$B$201),CHOOSE({1,2},'Бланк OLD 0.8 04'!$B$18:$B$200,'Бланк OLD 0.8 04'!$A$18:$A$200),1,0)),
"Бланк OLD 2.0 04 №"&amp;VLOOKUP(A163+1-COUNT('Шаг2.Бланк заказа NEW'!$B$19:$B$201)-COUNT('Бланк OLD 0.8 04'!$B$18:$B$200),CHOOSE({1,2},'Бланк OLD 2.0 04 '!$B$18:$B$200,'Бланк OLD 2.0 04 '!$A$18:$A$200),1,0)),"")</f>
        <v/>
      </c>
      <c r="C164" s="152" t="str">
        <f ca="1">IFERROR(IFERROR(IFERROR(VLOOKUP(A163+1,CHOOSE({1,2},'Шаг2.Бланк заказа NEW'!$B$19:$B$201,'Шаг2.Бланк заказа NEW'!$A$19:$A$201),2,0),
VLOOKUP(A163+1-COUNT('Шаг2.Бланк заказа NEW'!$B$19:$B$201),CHOOSE({1,2},'Бланк OLD 0.8 04'!$B$18:$B$200,'Бланк OLD 0.8 04'!$A$18:$A$200),2,0)),
VLOOKUP(A163+1-COUNT('Шаг2.Бланк заказа NEW'!$B$19:$B$201)-COUNT('Бланк OLD 0.8 04'!$B$18:$B$200),CHOOSE({1,2},'Бланк OLD 2.0 04 '!$B$18:$B$200,'Бланк OLD 2.0 04 '!$A$18:$A$200),2,0)),"")</f>
        <v/>
      </c>
      <c r="D164" s="150" t="str">
        <f ca="1">IFERROR(VLOOKUP(C164,'Шаг1.Выбор плиты'!C:G,5,0),"")</f>
        <v/>
      </c>
      <c r="E164" s="147" t="str">
        <f ca="1">IFERROR(IFERROR(IF(VLOOKUP($A164,'Шаг2.Бланк заказа NEW'!$B$17:$N$201,2,0)="","",VLOOKUP($A164,'Шаг2.Бланк заказа NEW'!$B$17:$N$201,2,0)),
IF(VLOOKUP($A164-COUNT('Шаг2.Бланк заказа NEW'!$B$19:$B$201),'Бланк OLD 0.8 04'!$B$12:$K$200,2,0)="","",VLOOKUP($A164-COUNT('Шаг2.Бланк заказа NEW'!$B$19:$B$201),'Бланк OLD 0.8 04'!$B$12:$K$200,2,0))),
IF(VLOOKUP($A164-COUNT('Шаг2.Бланк заказа NEW'!$B$19:$B$201)-COUNT('Бланк OLD 0.8 04'!$B$18:$B$200),'Бланк OLD 2.0 04 '!$B$16:$K$200,2,0)="","",VLOOKUP($A164-COUNT('Шаг2.Бланк заказа NEW'!$B$19:$B$201)-COUNT('Бланк OLD 0.8 04'!$B$18:$B$200),'Бланк OLD 2.0 04 '!$B$16:$K$200,2,0)))</f>
        <v/>
      </c>
      <c r="F164" s="147" t="str">
        <f ca="1">IFERROR(IFERROR(IF(VLOOKUP($A164,'Шаг2.Бланк заказа NEW'!$B$17:$N$201,3,0)="","",VLOOKUP($A164,'Шаг2.Бланк заказа NEW'!$B$17:$N$201,3,0)),
IF(VLOOKUP($A164-COUNT('Шаг2.Бланк заказа NEW'!$B$19:$B$201),'Бланк OLD 0.8 04'!$B$12:$K$200,3,0)="","",VLOOKUP($A164-COUNT('Шаг2.Бланк заказа NEW'!$B$19:$B$201),'Бланк OLD 0.8 04'!$B$12:$K$200,3,0))),
IF(VLOOKUP($A164-COUNT('Шаг2.Бланк заказа NEW'!$B$19:$B$201)-COUNT('Бланк OLD 0.8 04'!$B$18:$B$200),'Бланк OLD 2.0 04 '!$B$16:$K$200,3,0)="","",VLOOKUP($A164-COUNT('Шаг2.Бланк заказа NEW'!$B$19:$B$201)-COUNT('Бланк OLD 0.8 04'!$B$18:$B$200),'Бланк OLD 2.0 04 '!$B$16:$K$200,3,0)))</f>
        <v/>
      </c>
      <c r="G164" s="176" t="str">
        <f ca="1">IF(IF(R164="","",IF(R164=1,SUMIFS('Шаг1.Выбор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плиты'!C:Q,12,0)),1))))))=0,
R164,
IF(R164="","",IF(R164=1,SUMIFS('Шаг1.Выбор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плиты'!N:N,R164,'Шаг1.Выбор плиты'!M:M,SMALL(INDIRECT("мм"&amp;VLOOKUP(C164,'Шаг1.Выбор плиты'!C:Q,12,0)),1)))))))</f>
        <v/>
      </c>
      <c r="H164" s="177" t="str">
        <f ca="1">IF(IF(S164="","",IF(S164=1,SUMIFS('Шаг1.Выбор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плиты'!C:Q,12,0)),1))))))=0,
S164,
IF(S164="","",IF(S164=1,SUMIFS('Шаг1.Выбор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плиты'!N:N,S164,'Шаг1.Выбор плиты'!M:M,SMALL(INDIRECT("мм"&amp;VLOOKUP(C164,'Шаг1.Выбор плиты'!C:Q,12,0)),1)))))))</f>
        <v/>
      </c>
      <c r="I164" s="147" t="str">
        <f ca="1">IFERROR(IFERROR(IF(VLOOKUP($A164,'Шаг2.Бланк заказа NEW'!$B$17:$N$201,6,0)="","",VLOOKUP($A164,'Шаг2.Бланк заказа NEW'!$B$17:$N$201,6,0)),
IF(VLOOKUP($A164-COUNT('Шаг2.Бланк заказа NEW'!$B$19:$B$201),'Бланк OLD 0.8 04'!$B$12:$K$200,6,0)="","",VLOOKUP($A164-COUNT('Шаг2.Бланк заказа NEW'!$B$19:$B$201),'Бланк OLD 0.8 04'!$B$12:$K$200,6,0))),
IF(VLOOKUP($A164-COUNT('Шаг2.Бланк заказа NEW'!$B$19:$B$201)-COUNT('Бланк OLD 0.8 04'!$B$18:$B$200),'Бланк OLD 2.0 04 '!$B$16:$K$200,6,0)="","",VLOOKUP($A164-COUNT('Шаг2.Бланк заказа NEW'!$B$19:$B$201)-COUNT('Бланк OLD 0.8 04'!$B$18:$B$200),'Бланк OLD 2.0 04 '!$B$16:$K$200,6,0)))</f>
        <v/>
      </c>
      <c r="J164" s="177" t="str">
        <f ca="1">IF(IF(T164="","",IF(T164=1,SUMIFS('Шаг1.Выбор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плиты'!C:Q,12,0)),1))))))=0,
T164,
IF(T164="","",IF(T164=1,SUMIFS('Шаг1.Выбор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плиты'!N:N,T164,'Шаг1.Выбор плиты'!M:M,SMALL(INDIRECT("мм"&amp;VLOOKUP(C164,'Шаг1.Выбор плиты'!C:Q,12,0)),1)))))))</f>
        <v/>
      </c>
      <c r="K164" s="177" t="str">
        <f ca="1">IF(IF(U164="","",IF(U164=1,SUMIFS('Шаг1.Выбор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плиты'!C:Q,12,0)),1))))))=0,
U164,
IF(U164="","",IF(U164=1,SUMIFS('Шаг1.Выбор плиты'!$G:$G,'Шаг1.Выбор плиты'!J:J,"*"&amp;RIGHT(VLOOKUP(C164,'Шаг1.Выбор плиты'!C:Q,8,0),4),'Шаг1.Выбор плиты'!L:L,IF(MID(C164,1,6)="ЛДСП P","TM"&amp;MID(VLOOKUP(C164,'Шаг1.Выбор плиты'!C:Q,10,0),3,2),MID(VLOOKUP(C164,'Шаг1.Выбор плиты'!C:Q,10,0),1,2)),
'Шаг1.Выбор плиты'!N:N,1),IF(SUMIFS('Шаг1.Выбор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плиты'!C:Q,12,0)),1))=0,
IF(SUMIFS('Шаг1.Выбор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плиты'!C:Q,12,0)),2))=0,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плиты'!C:Q,12,0)),3)),
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плиты'!C:Q,12,0)),2))),
(SUMIFS('Шаг1.Выбор плиты'!$G:$G,'Шаг1.Выбор плиты'!J:J,"*"&amp;RIGHT(VLOOKUP(C164,'Шаг1.Выбор плиты'!C:Q,8,0),4),'Шаг1.Выбор плиты'!L:L,VLOOKUP(C164,'Шаг1.Выбор плиты'!C:Q,10,0),'Шаг1.Выбор плиты'!N:N,U164,'Шаг1.Выбор плиты'!M:M,SMALL(INDIRECT("мм"&amp;VLOOKUP(C164,'Шаг1.Выбор плиты'!C:Q,12,0)),1)))))))</f>
        <v/>
      </c>
      <c r="L164" s="147" t="str">
        <f ca="1">IFERROR(IFERROR(IF(VLOOKUP($A164,'Шаг2.Бланк заказа NEW'!$B$17:$N$201,9,0)="","",VLOOKUP($A164,'Шаг2.Бланк заказа NEW'!$B$17:$N$201,9,0)),
IF(VLOOKUP($A164-COUNT('Шаг2.Бланк заказа NEW'!$B$19:$B$201),'Бланк OLD 0.8 04'!$B$12:$K$200,9,0)="","",VLOOKUP($A164-COUNT('Шаг2.Бланк заказа NEW'!$B$19:$B$201),'Бланк OLD 0.8 04'!$B$12:$K$200,9,0))),
IF(VLOOKUP($A164-COUNT('Шаг2.Бланк заказа NEW'!$B$19:$B$201)-COUNT('Бланк OLD 0.8 04'!$B$18:$B$200),'Бланк OLD 2.0 04 '!$B$16:$K$200,9,0)="","",VLOOKUP($A164-COUNT('Шаг2.Бланк заказа NEW'!$B$19:$B$201)-COUNT('Бланк OLD 0.8 04'!$B$18:$B$200),'Бланк OLD 2.0 04 '!$B$16:$K$200,9,0)))</f>
        <v/>
      </c>
      <c r="M164" s="154" t="str">
        <f t="shared" ca="1" si="15"/>
        <v/>
      </c>
      <c r="N164" s="153" t="str">
        <f ca="1">IFERROR(IF(VLOOKUP($A164,'Шаг2.Бланк заказа NEW'!$B$17:$N$201,11,0)="","",VLOOKUP($A164,'Шаг2.Бланк заказа NEW'!$B$17:$N$201,11,0)),
"Нет")</f>
        <v/>
      </c>
      <c r="O164" s="147" t="str">
        <f ca="1">IFERROR(IF(VLOOKUP($A164,'Шаг2.Бланк заказа NEW'!$B$17:$N$201,11,0)="","",VLOOKUP($A164,'Шаг2.Бланк заказа NEW'!$B$17:$N$201,12,0)),
"Нет")</f>
        <v/>
      </c>
      <c r="P164" s="153" t="str">
        <f ca="1">IFERROR(IF(VLOOKUP($A164,'Шаг2.Бланк заказа NEW'!$B$17:$N$201,13,0)="","",VLOOKUP($A164,'Шаг2.Бланк заказа NEW'!$B$17:$N$201,13,0)),
"Нет")</f>
        <v/>
      </c>
      <c r="Q164" s="147" t="str">
        <f ca="1">IFERROR(IF(VLOOKUP($A164,'Шаг2.Бланк заказа NEW'!$B$17:$O$201,14,0)="","",VLOOKUP($A164,'Шаг2.Бланк заказа NEW'!$B$17:$O$201,14,0)),"")</f>
        <v/>
      </c>
      <c r="R164" s="147" t="str">
        <f ca="1">IFERROR(IFERROR(IF(VLOOKUP($A164,'Шаг2.Бланк заказа NEW'!$B$17:$N$201,4,0)="","",VLOOKUP($A164,'Шаг2.Бланк заказа NEW'!$B$17:$N$201,4,0)),
IF(VLOOKUP($A164-COUNT('Шаг2.Бланк заказа NEW'!$B$19:$B$201),'Бланк OLD 0.8 04'!$B$12:$K$200,4,0)&gt;0,0.8,
IF(VLOOKUP($A164-COUNT('Шаг2.Бланк заказа NEW'!$B$19:$B$201),'Бланк OLD 0.8 04'!$B$12:$K$200,5,0)&gt;0,0.4,""))),
IF(VLOOKUP($A164-COUNT('Шаг2.Бланк заказа NEW'!$B$19:$B$201)-COUNT('Бланк OLD 0.8 04'!$B$18:$B$200),'Бланк OLD 2.0 04 '!$B$16:$K$200,4,0)&gt;0,2,IF(VLOOKUP($A164-COUNT('Шаг2.Бланк заказа NEW'!$B$19:$B$201)-COUNT('Бланк OLD 0.8 04'!$B$18:$B$200),'Бланк OLD 2.0 04 '!$B$16:$K$200,5,0)&gt;0,0.4,"")))</f>
        <v/>
      </c>
      <c r="S164" s="147" t="str">
        <f ca="1">IFERROR(IFERROR(IF(VLOOKUP($A164,'Шаг2.Бланк заказа NEW'!$B$17:$N$201,5,0)="","",VLOOKUP($A164,'Шаг2.Бланк заказа NEW'!$B$17:$N$201,5,0)),
IF(VLOOKUP($A164-COUNT('Шаг2.Бланк заказа NEW'!$B$19:$B$201),'Бланк OLD 0.8 04'!$B$12:$K$200,4,0)&gt;1,0.8,
IF(VLOOKUP($A164-COUNT('Шаг2.Бланк заказа NEW'!$B$19:$B$201),'Бланк OLD 0.8 04'!$B$12:$K$200,5,0)&gt;1,0.4,
IF(AND(VLOOKUP($A164-COUNT('Шаг2.Бланк заказа NEW'!$B$19:$B$201),'Бланк OLD 0.8 04'!$B$12:$K$200,4,0)&gt;0,VLOOKUP($A164-COUNT('Шаг2.Бланк заказа NEW'!$B$19:$B$201),'Бланк OLD 0.8 04'!$B$12:$K$200,5,0)&gt;0),0.4,"")))),
IF(VLOOKUP($A164-COUNT('Шаг2.Бланк заказа NEW'!$B$19:$B$201)-COUNT('Бланк OLD 0.8 04'!$B$18:$B$200),'Бланк OLD 2.0 04 '!$B$16:$K$200,4,0)&gt;1,2,
IF(VLOOKUP($A164-COUNT('Шаг2.Бланк заказа NEW'!$B$19:$B$201)-COUNT('Бланк OLD 0.8 04'!$B$18:$B$200),'Бланк OLD 2.0 04 '!$B$16:$K$200,5,0)&gt;1,0.4,IF(AND(VLOOKUP($A164-COUNT('Шаг2.Бланк заказа NEW'!$B$19:$B$201)-COUNT('Бланк OLD 0.8 04'!$B$18:$B$200),'Бланк OLD 2.0 04 '!$B$16:$K$200,4,0)&gt;0,VLOOKUP($A164-COUNT('Шаг2.Бланк заказа NEW'!$B$19:$B$201)-COUNT('Бланк OLD 0.8 04'!$B$18:$B$200),'Бланк OLD 2.0 04 '!$B$16:$K$200,5,0)&gt;0),0.4,""))))</f>
        <v/>
      </c>
      <c r="T164" s="147" t="str">
        <f ca="1">IFERROR(IFERROR(IF(VLOOKUP($A164,'Шаг2.Бланк заказа NEW'!$B$17:$N$201,7,0)="","",VLOOKUP($A164,'Шаг2.Бланк заказа NEW'!$B$17:$N$201,7,0)),
IF(VLOOKUP($A164-COUNT('Шаг2.Бланк заказа NEW'!$B$19:$B$201),'Бланк OLD 0.8 04'!$B$12:$K$200,7,0)&gt;0,0.8,
IF(VLOOKUP($A164-COUNT('Шаг2.Бланк заказа NEW'!$B$19:$B$201),'Бланк OLD 0.8 04'!$B$12:$K$200,8,0)&gt;0,0.4,""))),
IF(VLOOKUP($A164-COUNT('Шаг2.Бланк заказа NEW'!$B$19:$B$201)-COUNT('Бланк OLD 0.8 04'!$B$18:$B$200),'Бланк OLD 2.0 04 '!$B$16:$K$200,7,0)&gt;0,2,IF(VLOOKUP($A164-COUNT('Шаг2.Бланк заказа NEW'!$B$19:$B$201)-COUNT('Бланк OLD 0.8 04'!$B$18:$B$200),'Бланк OLD 2.0 04 '!$B$16:$K$200,8,0)&gt;0,0.4,"")))</f>
        <v/>
      </c>
      <c r="U164" s="147" t="str">
        <f ca="1">IFERROR(IFERROR(IF(VLOOKUP($A164,'Шаг2.Бланк заказа NEW'!$B$17:$N$201,8,0)="","",VLOOKUP($A164,'Шаг2.Бланк заказа NEW'!$B$17:$N$201,8,0)),
IF(VLOOKUP($A164-COUNT('Шаг2.Бланк заказа NEW'!$B$19:$B$201),'Бланк OLD 0.8 04'!$B$12:$K$200,7,0)&gt;1,0.8,
IF(VLOOKUP($A164-COUNT('Шаг2.Бланк заказа NEW'!$B$19:$B$201),'Бланк OLD 0.8 04'!$B$12:$K$200,8,0)&gt;1,0.4,
IF(AND(VLOOKUP($A164-COUNT('Шаг2.Бланк заказа NEW'!$B$19:$B$201),'Бланк OLD 0.8 04'!$B$12:$K$200,7,0)&gt;0,VLOOKUP($A164-COUNT('Шаг2.Бланк заказа NEW'!$B$19:$B$201),'Бланк OLD 0.8 04'!$B$12:$K$200,8,0)&gt;0),0.4,"")))),
IF(VLOOKUP($A164-COUNT('Шаг2.Бланк заказа NEW'!$B$19:$B$201)-COUNT('Бланк OLD 0.8 04'!$B$18:$B$200),'Бланк OLD 2.0 04 '!$B$16:$K$200,7,0)&gt;1,2,
IF(VLOOKUP($A164-COUNT('Шаг2.Бланк заказа NEW'!$B$19:$B$201)-COUNT('Бланк OLD 0.8 04'!$B$18:$B$200),'Бланк OLD 2.0 04 '!$B$16:$K$200,8,0)&gt;1,0.4,
IF(AND(VLOOKUP($A164-COUNT('Шаг2.Бланк заказа NEW'!$B$19:$B$201)-COUNT('Бланк OLD 0.8 04'!$B$18:$B$200),'Бланк OLD 2.0 04 '!$B$16:$K$200,7,0)&gt;0,VLOOKUP($A164-COUNT('Шаг2.Бланк заказа NEW'!$B$19:$B$201)-COUNT('Бланк OLD 0.8 04'!$B$18:$B$200),'Бланк OLD 2.0 04 '!$B$16:$K$200,8,0)&gt;0),0.4,""))))</f>
        <v/>
      </c>
      <c r="V164" s="146" t="str">
        <f ca="1">IFERROR(VLOOKUP(C164,'Шаг1.Выбор плиты'!C:S,12,0),"")</f>
        <v/>
      </c>
      <c r="W164" s="146" t="str">
        <f ca="1">IFERROR(VLOOKUP(C164,'Шаг1.Выбор плиты'!C:S,8,0),"")</f>
        <v/>
      </c>
      <c r="X164" s="146" t="str">
        <f ca="1">IFERROR(VLOOKUP(C164,'Шаг1.Выбор плиты'!C:S,10,0),"")</f>
        <v/>
      </c>
      <c r="Y164" s="147" t="str">
        <f t="shared" ca="1" si="13"/>
        <v/>
      </c>
      <c r="AD164" s="147" t="str">
        <f t="shared" ca="1" si="16"/>
        <v/>
      </c>
      <c r="AE164" s="147" t="str">
        <f t="shared" ca="1" si="14"/>
        <v/>
      </c>
      <c r="AF164" s="25"/>
      <c r="AH164" s="147" t="str">
        <f ca="1">IF(C164="","",VLOOKUP(C164,'Шаг1.Выбор плиты'!C:Q,7,0))</f>
        <v/>
      </c>
      <c r="AI164" s="147" t="str">
        <f t="shared" ca="1" si="17"/>
        <v/>
      </c>
    </row>
    <row r="165" spans="1:35" x14ac:dyDescent="0.2">
      <c r="A165" s="151" t="str">
        <f ca="1">IF(C165="","",MAX($A$1:OFFSET(C165,-1,0))+1)</f>
        <v/>
      </c>
      <c r="B165" s="151" t="str">
        <f ca="1">IFERROR(IFERROR(IFERROR("Шаг2.Бланк заказа NEW №"&amp;VLOOKUP(A164+1,CHOOSE({1,2},'Шаг2.Бланк заказа NEW'!$B$19:$B$201,'Шаг2.Бланк заказа NEW'!$A$19:$A$201),1,0),
"Бланк OLD 0.8 04 №"&amp;VLOOKUP(A164+1-COUNT('Шаг2.Бланк заказа NEW'!$B$19:$B$201),CHOOSE({1,2},'Бланк OLD 0.8 04'!$B$18:$B$200,'Бланк OLD 0.8 04'!$A$18:$A$200),1,0)),
"Бланк OLD 2.0 04 №"&amp;VLOOKUP(A164+1-COUNT('Шаг2.Бланк заказа NEW'!$B$19:$B$201)-COUNT('Бланк OLD 0.8 04'!$B$18:$B$200),CHOOSE({1,2},'Бланк OLD 2.0 04 '!$B$18:$B$200,'Бланк OLD 2.0 04 '!$A$18:$A$200),1,0)),"")</f>
        <v/>
      </c>
      <c r="C165" s="152" t="str">
        <f ca="1">IFERROR(IFERROR(IFERROR(VLOOKUP(A164+1,CHOOSE({1,2},'Шаг2.Бланк заказа NEW'!$B$19:$B$201,'Шаг2.Бланк заказа NEW'!$A$19:$A$201),2,0),
VLOOKUP(A164+1-COUNT('Шаг2.Бланк заказа NEW'!$B$19:$B$201),CHOOSE({1,2},'Бланк OLD 0.8 04'!$B$18:$B$200,'Бланк OLD 0.8 04'!$A$18:$A$200),2,0)),
VLOOKUP(A164+1-COUNT('Шаг2.Бланк заказа NEW'!$B$19:$B$201)-COUNT('Бланк OLD 0.8 04'!$B$18:$B$200),CHOOSE({1,2},'Бланк OLD 2.0 04 '!$B$18:$B$200,'Бланк OLD 2.0 04 '!$A$18:$A$200),2,0)),"")</f>
        <v/>
      </c>
      <c r="D165" s="150" t="str">
        <f ca="1">IFERROR(VLOOKUP(C165,'Шаг1.Выбор плиты'!C:G,5,0),"")</f>
        <v/>
      </c>
      <c r="E165" s="147" t="str">
        <f ca="1">IFERROR(IFERROR(IF(VLOOKUP($A165,'Шаг2.Бланк заказа NEW'!$B$17:$N$201,2,0)="","",VLOOKUP($A165,'Шаг2.Бланк заказа NEW'!$B$17:$N$201,2,0)),
IF(VLOOKUP($A165-COUNT('Шаг2.Бланк заказа NEW'!$B$19:$B$201),'Бланк OLD 0.8 04'!$B$12:$K$200,2,0)="","",VLOOKUP($A165-COUNT('Шаг2.Бланк заказа NEW'!$B$19:$B$201),'Бланк OLD 0.8 04'!$B$12:$K$200,2,0))),
IF(VLOOKUP($A165-COUNT('Шаг2.Бланк заказа NEW'!$B$19:$B$201)-COUNT('Бланк OLD 0.8 04'!$B$18:$B$200),'Бланк OLD 2.0 04 '!$B$16:$K$200,2,0)="","",VLOOKUP($A165-COUNT('Шаг2.Бланк заказа NEW'!$B$19:$B$201)-COUNT('Бланк OLD 0.8 04'!$B$18:$B$200),'Бланк OLD 2.0 04 '!$B$16:$K$200,2,0)))</f>
        <v/>
      </c>
      <c r="F165" s="147" t="str">
        <f ca="1">IFERROR(IFERROR(IF(VLOOKUP($A165,'Шаг2.Бланк заказа NEW'!$B$17:$N$201,3,0)="","",VLOOKUP($A165,'Шаг2.Бланк заказа NEW'!$B$17:$N$201,3,0)),
IF(VLOOKUP($A165-COUNT('Шаг2.Бланк заказа NEW'!$B$19:$B$201),'Бланк OLD 0.8 04'!$B$12:$K$200,3,0)="","",VLOOKUP($A165-COUNT('Шаг2.Бланк заказа NEW'!$B$19:$B$201),'Бланк OLD 0.8 04'!$B$12:$K$200,3,0))),
IF(VLOOKUP($A165-COUNT('Шаг2.Бланк заказа NEW'!$B$19:$B$201)-COUNT('Бланк OLD 0.8 04'!$B$18:$B$200),'Бланк OLD 2.0 04 '!$B$16:$K$200,3,0)="","",VLOOKUP($A165-COUNT('Шаг2.Бланк заказа NEW'!$B$19:$B$201)-COUNT('Бланк OLD 0.8 04'!$B$18:$B$200),'Бланк OLD 2.0 04 '!$B$16:$K$200,3,0)))</f>
        <v/>
      </c>
      <c r="G165" s="176" t="str">
        <f ca="1">IF(IF(R165="","",IF(R165=1,SUMIFS('Шаг1.Выбор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плиты'!C:Q,12,0)),1))))))=0,
R165,
IF(R165="","",IF(R165=1,SUMIFS('Шаг1.Выбор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плиты'!N:N,R165,'Шаг1.Выбор плиты'!M:M,SMALL(INDIRECT("мм"&amp;VLOOKUP(C165,'Шаг1.Выбор плиты'!C:Q,12,0)),1)))))))</f>
        <v/>
      </c>
      <c r="H165" s="177" t="str">
        <f ca="1">IF(IF(S165="","",IF(S165=1,SUMIFS('Шаг1.Выбор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плиты'!C:Q,12,0)),1))))))=0,
S165,
IF(S165="","",IF(S165=1,SUMIFS('Шаг1.Выбор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плиты'!N:N,S165,'Шаг1.Выбор плиты'!M:M,SMALL(INDIRECT("мм"&amp;VLOOKUP(C165,'Шаг1.Выбор плиты'!C:Q,12,0)),1)))))))</f>
        <v/>
      </c>
      <c r="I165" s="147" t="str">
        <f ca="1">IFERROR(IFERROR(IF(VLOOKUP($A165,'Шаг2.Бланк заказа NEW'!$B$17:$N$201,6,0)="","",VLOOKUP($A165,'Шаг2.Бланк заказа NEW'!$B$17:$N$201,6,0)),
IF(VLOOKUP($A165-COUNT('Шаг2.Бланк заказа NEW'!$B$19:$B$201),'Бланк OLD 0.8 04'!$B$12:$K$200,6,0)="","",VLOOKUP($A165-COUNT('Шаг2.Бланк заказа NEW'!$B$19:$B$201),'Бланк OLD 0.8 04'!$B$12:$K$200,6,0))),
IF(VLOOKUP($A165-COUNT('Шаг2.Бланк заказа NEW'!$B$19:$B$201)-COUNT('Бланк OLD 0.8 04'!$B$18:$B$200),'Бланк OLD 2.0 04 '!$B$16:$K$200,6,0)="","",VLOOKUP($A165-COUNT('Шаг2.Бланк заказа NEW'!$B$19:$B$201)-COUNT('Бланк OLD 0.8 04'!$B$18:$B$200),'Бланк OLD 2.0 04 '!$B$16:$K$200,6,0)))</f>
        <v/>
      </c>
      <c r="J165" s="177" t="str">
        <f ca="1">IF(IF(T165="","",IF(T165=1,SUMIFS('Шаг1.Выбор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плиты'!C:Q,12,0)),1))))))=0,
T165,
IF(T165="","",IF(T165=1,SUMIFS('Шаг1.Выбор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плиты'!N:N,T165,'Шаг1.Выбор плиты'!M:M,SMALL(INDIRECT("мм"&amp;VLOOKUP(C165,'Шаг1.Выбор плиты'!C:Q,12,0)),1)))))))</f>
        <v/>
      </c>
      <c r="K165" s="177" t="str">
        <f ca="1">IF(IF(U165="","",IF(U165=1,SUMIFS('Шаг1.Выбор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плиты'!C:Q,12,0)),1))))))=0,
U165,
IF(U165="","",IF(U165=1,SUMIFS('Шаг1.Выбор плиты'!$G:$G,'Шаг1.Выбор плиты'!J:J,"*"&amp;RIGHT(VLOOKUP(C165,'Шаг1.Выбор плиты'!C:Q,8,0),4),'Шаг1.Выбор плиты'!L:L,IF(MID(C165,1,6)="ЛДСП P","TM"&amp;MID(VLOOKUP(C165,'Шаг1.Выбор плиты'!C:Q,10,0),3,2),MID(VLOOKUP(C165,'Шаг1.Выбор плиты'!C:Q,10,0),1,2)),
'Шаг1.Выбор плиты'!N:N,1),IF(SUMIFS('Шаг1.Выбор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плиты'!C:Q,12,0)),1))=0,
IF(SUMIFS('Шаг1.Выбор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плиты'!C:Q,12,0)),2))=0,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плиты'!C:Q,12,0)),3)),
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плиты'!C:Q,12,0)),2))),
(SUMIFS('Шаг1.Выбор плиты'!$G:$G,'Шаг1.Выбор плиты'!J:J,"*"&amp;RIGHT(VLOOKUP(C165,'Шаг1.Выбор плиты'!C:Q,8,0),4),'Шаг1.Выбор плиты'!L:L,VLOOKUP(C165,'Шаг1.Выбор плиты'!C:Q,10,0),'Шаг1.Выбор плиты'!N:N,U165,'Шаг1.Выбор плиты'!M:M,SMALL(INDIRECT("мм"&amp;VLOOKUP(C165,'Шаг1.Выбор плиты'!C:Q,12,0)),1)))))))</f>
        <v/>
      </c>
      <c r="L165" s="147" t="str">
        <f ca="1">IFERROR(IFERROR(IF(VLOOKUP($A165,'Шаг2.Бланк заказа NEW'!$B$17:$N$201,9,0)="","",VLOOKUP($A165,'Шаг2.Бланк заказа NEW'!$B$17:$N$201,9,0)),
IF(VLOOKUP($A165-COUNT('Шаг2.Бланк заказа NEW'!$B$19:$B$201),'Бланк OLD 0.8 04'!$B$12:$K$200,9,0)="","",VLOOKUP($A165-COUNT('Шаг2.Бланк заказа NEW'!$B$19:$B$201),'Бланк OLD 0.8 04'!$B$12:$K$200,9,0))),
IF(VLOOKUP($A165-COUNT('Шаг2.Бланк заказа NEW'!$B$19:$B$201)-COUNT('Бланк OLD 0.8 04'!$B$18:$B$200),'Бланк OLD 2.0 04 '!$B$16:$K$200,9,0)="","",VLOOKUP($A165-COUNT('Шаг2.Бланк заказа NEW'!$B$19:$B$201)-COUNT('Бланк OLD 0.8 04'!$B$18:$B$200),'Бланк OLD 2.0 04 '!$B$16:$K$200,9,0)))</f>
        <v/>
      </c>
      <c r="M165" s="154" t="str">
        <f t="shared" ca="1" si="15"/>
        <v/>
      </c>
      <c r="N165" s="153" t="str">
        <f ca="1">IFERROR(IF(VLOOKUP($A165,'Шаг2.Бланк заказа NEW'!$B$17:$N$201,11,0)="","",VLOOKUP($A165,'Шаг2.Бланк заказа NEW'!$B$17:$N$201,11,0)),
"Нет")</f>
        <v/>
      </c>
      <c r="O165" s="147" t="str">
        <f ca="1">IFERROR(IF(VLOOKUP($A165,'Шаг2.Бланк заказа NEW'!$B$17:$N$201,11,0)="","",VLOOKUP($A165,'Шаг2.Бланк заказа NEW'!$B$17:$N$201,12,0)),
"Нет")</f>
        <v/>
      </c>
      <c r="P165" s="153" t="str">
        <f ca="1">IFERROR(IF(VLOOKUP($A165,'Шаг2.Бланк заказа NEW'!$B$17:$N$201,13,0)="","",VLOOKUP($A165,'Шаг2.Бланк заказа NEW'!$B$17:$N$201,13,0)),
"Нет")</f>
        <v/>
      </c>
      <c r="Q165" s="147" t="str">
        <f ca="1">IFERROR(IF(VLOOKUP($A165,'Шаг2.Бланк заказа NEW'!$B$17:$O$201,14,0)="","",VLOOKUP($A165,'Шаг2.Бланк заказа NEW'!$B$17:$O$201,14,0)),"")</f>
        <v/>
      </c>
      <c r="R165" s="147" t="str">
        <f ca="1">IFERROR(IFERROR(IF(VLOOKUP($A165,'Шаг2.Бланк заказа NEW'!$B$17:$N$201,4,0)="","",VLOOKUP($A165,'Шаг2.Бланк заказа NEW'!$B$17:$N$201,4,0)),
IF(VLOOKUP($A165-COUNT('Шаг2.Бланк заказа NEW'!$B$19:$B$201),'Бланк OLD 0.8 04'!$B$12:$K$200,4,0)&gt;0,0.8,
IF(VLOOKUP($A165-COUNT('Шаг2.Бланк заказа NEW'!$B$19:$B$201),'Бланк OLD 0.8 04'!$B$12:$K$200,5,0)&gt;0,0.4,""))),
IF(VLOOKUP($A165-COUNT('Шаг2.Бланк заказа NEW'!$B$19:$B$201)-COUNT('Бланк OLD 0.8 04'!$B$18:$B$200),'Бланк OLD 2.0 04 '!$B$16:$K$200,4,0)&gt;0,2,IF(VLOOKUP($A165-COUNT('Шаг2.Бланк заказа NEW'!$B$19:$B$201)-COUNT('Бланк OLD 0.8 04'!$B$18:$B$200),'Бланк OLD 2.0 04 '!$B$16:$K$200,5,0)&gt;0,0.4,"")))</f>
        <v/>
      </c>
      <c r="S165" s="147" t="str">
        <f ca="1">IFERROR(IFERROR(IF(VLOOKUP($A165,'Шаг2.Бланк заказа NEW'!$B$17:$N$201,5,0)="","",VLOOKUP($A165,'Шаг2.Бланк заказа NEW'!$B$17:$N$201,5,0)),
IF(VLOOKUP($A165-COUNT('Шаг2.Бланк заказа NEW'!$B$19:$B$201),'Бланк OLD 0.8 04'!$B$12:$K$200,4,0)&gt;1,0.8,
IF(VLOOKUP($A165-COUNT('Шаг2.Бланк заказа NEW'!$B$19:$B$201),'Бланк OLD 0.8 04'!$B$12:$K$200,5,0)&gt;1,0.4,
IF(AND(VLOOKUP($A165-COUNT('Шаг2.Бланк заказа NEW'!$B$19:$B$201),'Бланк OLD 0.8 04'!$B$12:$K$200,4,0)&gt;0,VLOOKUP($A165-COUNT('Шаг2.Бланк заказа NEW'!$B$19:$B$201),'Бланк OLD 0.8 04'!$B$12:$K$200,5,0)&gt;0),0.4,"")))),
IF(VLOOKUP($A165-COUNT('Шаг2.Бланк заказа NEW'!$B$19:$B$201)-COUNT('Бланк OLD 0.8 04'!$B$18:$B$200),'Бланк OLD 2.0 04 '!$B$16:$K$200,4,0)&gt;1,2,
IF(VLOOKUP($A165-COUNT('Шаг2.Бланк заказа NEW'!$B$19:$B$201)-COUNT('Бланк OLD 0.8 04'!$B$18:$B$200),'Бланк OLD 2.0 04 '!$B$16:$K$200,5,0)&gt;1,0.4,IF(AND(VLOOKUP($A165-COUNT('Шаг2.Бланк заказа NEW'!$B$19:$B$201)-COUNT('Бланк OLD 0.8 04'!$B$18:$B$200),'Бланк OLD 2.0 04 '!$B$16:$K$200,4,0)&gt;0,VLOOKUP($A165-COUNT('Шаг2.Бланк заказа NEW'!$B$19:$B$201)-COUNT('Бланк OLD 0.8 04'!$B$18:$B$200),'Бланк OLD 2.0 04 '!$B$16:$K$200,5,0)&gt;0),0.4,""))))</f>
        <v/>
      </c>
      <c r="T165" s="147" t="str">
        <f ca="1">IFERROR(IFERROR(IF(VLOOKUP($A165,'Шаг2.Бланк заказа NEW'!$B$17:$N$201,7,0)="","",VLOOKUP($A165,'Шаг2.Бланк заказа NEW'!$B$17:$N$201,7,0)),
IF(VLOOKUP($A165-COUNT('Шаг2.Бланк заказа NEW'!$B$19:$B$201),'Бланк OLD 0.8 04'!$B$12:$K$200,7,0)&gt;0,0.8,
IF(VLOOKUP($A165-COUNT('Шаг2.Бланк заказа NEW'!$B$19:$B$201),'Бланк OLD 0.8 04'!$B$12:$K$200,8,0)&gt;0,0.4,""))),
IF(VLOOKUP($A165-COUNT('Шаг2.Бланк заказа NEW'!$B$19:$B$201)-COUNT('Бланк OLD 0.8 04'!$B$18:$B$200),'Бланк OLD 2.0 04 '!$B$16:$K$200,7,0)&gt;0,2,IF(VLOOKUP($A165-COUNT('Шаг2.Бланк заказа NEW'!$B$19:$B$201)-COUNT('Бланк OLD 0.8 04'!$B$18:$B$200),'Бланк OLD 2.0 04 '!$B$16:$K$200,8,0)&gt;0,0.4,"")))</f>
        <v/>
      </c>
      <c r="U165" s="147" t="str">
        <f ca="1">IFERROR(IFERROR(IF(VLOOKUP($A165,'Шаг2.Бланк заказа NEW'!$B$17:$N$201,8,0)="","",VLOOKUP($A165,'Шаг2.Бланк заказа NEW'!$B$17:$N$201,8,0)),
IF(VLOOKUP($A165-COUNT('Шаг2.Бланк заказа NEW'!$B$19:$B$201),'Бланк OLD 0.8 04'!$B$12:$K$200,7,0)&gt;1,0.8,
IF(VLOOKUP($A165-COUNT('Шаг2.Бланк заказа NEW'!$B$19:$B$201),'Бланк OLD 0.8 04'!$B$12:$K$200,8,0)&gt;1,0.4,
IF(AND(VLOOKUP($A165-COUNT('Шаг2.Бланк заказа NEW'!$B$19:$B$201),'Бланк OLD 0.8 04'!$B$12:$K$200,7,0)&gt;0,VLOOKUP($A165-COUNT('Шаг2.Бланк заказа NEW'!$B$19:$B$201),'Бланк OLD 0.8 04'!$B$12:$K$200,8,0)&gt;0),0.4,"")))),
IF(VLOOKUP($A165-COUNT('Шаг2.Бланк заказа NEW'!$B$19:$B$201)-COUNT('Бланк OLD 0.8 04'!$B$18:$B$200),'Бланк OLD 2.0 04 '!$B$16:$K$200,7,0)&gt;1,2,
IF(VLOOKUP($A165-COUNT('Шаг2.Бланк заказа NEW'!$B$19:$B$201)-COUNT('Бланк OLD 0.8 04'!$B$18:$B$200),'Бланк OLD 2.0 04 '!$B$16:$K$200,8,0)&gt;1,0.4,
IF(AND(VLOOKUP($A165-COUNT('Шаг2.Бланк заказа NEW'!$B$19:$B$201)-COUNT('Бланк OLD 0.8 04'!$B$18:$B$200),'Бланк OLD 2.0 04 '!$B$16:$K$200,7,0)&gt;0,VLOOKUP($A165-COUNT('Шаг2.Бланк заказа NEW'!$B$19:$B$201)-COUNT('Бланк OLD 0.8 04'!$B$18:$B$200),'Бланк OLD 2.0 04 '!$B$16:$K$200,8,0)&gt;0),0.4,""))))</f>
        <v/>
      </c>
      <c r="V165" s="146" t="str">
        <f ca="1">IFERROR(VLOOKUP(C165,'Шаг1.Выбор плиты'!C:S,12,0),"")</f>
        <v/>
      </c>
      <c r="W165" s="146" t="str">
        <f ca="1">IFERROR(VLOOKUP(C165,'Шаг1.Выбор плиты'!C:S,8,0),"")</f>
        <v/>
      </c>
      <c r="X165" s="146" t="str">
        <f ca="1">IFERROR(VLOOKUP(C165,'Шаг1.Выбор плиты'!C:S,10,0),"")</f>
        <v/>
      </c>
      <c r="Y165" s="147" t="str">
        <f t="shared" ca="1" si="13"/>
        <v/>
      </c>
      <c r="AD165" s="147" t="str">
        <f t="shared" ca="1" si="16"/>
        <v/>
      </c>
      <c r="AE165" s="147" t="str">
        <f t="shared" ca="1" si="14"/>
        <v/>
      </c>
      <c r="AF165" s="25"/>
      <c r="AH165" s="147" t="str">
        <f ca="1">IF(C165="","",VLOOKUP(C165,'Шаг1.Выбор плиты'!C:Q,7,0))</f>
        <v/>
      </c>
      <c r="AI165" s="147" t="str">
        <f t="shared" ca="1" si="17"/>
        <v/>
      </c>
    </row>
    <row r="166" spans="1:35" x14ac:dyDescent="0.2">
      <c r="A166" s="151" t="str">
        <f ca="1">IF(C166="","",MAX($A$1:OFFSET(C166,-1,0))+1)</f>
        <v/>
      </c>
      <c r="B166" s="151" t="str">
        <f ca="1">IFERROR(IFERROR(IFERROR("Шаг2.Бланк заказа NEW №"&amp;VLOOKUP(A165+1,CHOOSE({1,2},'Шаг2.Бланк заказа NEW'!$B$19:$B$201,'Шаг2.Бланк заказа NEW'!$A$19:$A$201),1,0),
"Бланк OLD 0.8 04 №"&amp;VLOOKUP(A165+1-COUNT('Шаг2.Бланк заказа NEW'!$B$19:$B$201),CHOOSE({1,2},'Бланк OLD 0.8 04'!$B$18:$B$200,'Бланк OLD 0.8 04'!$A$18:$A$200),1,0)),
"Бланк OLD 2.0 04 №"&amp;VLOOKUP(A165+1-COUNT('Шаг2.Бланк заказа NEW'!$B$19:$B$201)-COUNT('Бланк OLD 0.8 04'!$B$18:$B$200),CHOOSE({1,2},'Бланк OLD 2.0 04 '!$B$18:$B$200,'Бланк OLD 2.0 04 '!$A$18:$A$200),1,0)),"")</f>
        <v/>
      </c>
      <c r="C166" s="152" t="str">
        <f ca="1">IFERROR(IFERROR(IFERROR(VLOOKUP(A165+1,CHOOSE({1,2},'Шаг2.Бланк заказа NEW'!$B$19:$B$201,'Шаг2.Бланк заказа NEW'!$A$19:$A$201),2,0),
VLOOKUP(A165+1-COUNT('Шаг2.Бланк заказа NEW'!$B$19:$B$201),CHOOSE({1,2},'Бланк OLD 0.8 04'!$B$18:$B$200,'Бланк OLD 0.8 04'!$A$18:$A$200),2,0)),
VLOOKUP(A165+1-COUNT('Шаг2.Бланк заказа NEW'!$B$19:$B$201)-COUNT('Бланк OLD 0.8 04'!$B$18:$B$200),CHOOSE({1,2},'Бланк OLD 2.0 04 '!$B$18:$B$200,'Бланк OLD 2.0 04 '!$A$18:$A$200),2,0)),"")</f>
        <v/>
      </c>
      <c r="D166" s="150" t="str">
        <f ca="1">IFERROR(VLOOKUP(C166,'Шаг1.Выбор плиты'!C:G,5,0),"")</f>
        <v/>
      </c>
      <c r="E166" s="147" t="str">
        <f ca="1">IFERROR(IFERROR(IF(VLOOKUP($A166,'Шаг2.Бланк заказа NEW'!$B$17:$N$201,2,0)="","",VLOOKUP($A166,'Шаг2.Бланк заказа NEW'!$B$17:$N$201,2,0)),
IF(VLOOKUP($A166-COUNT('Шаг2.Бланк заказа NEW'!$B$19:$B$201),'Бланк OLD 0.8 04'!$B$12:$K$200,2,0)="","",VLOOKUP($A166-COUNT('Шаг2.Бланк заказа NEW'!$B$19:$B$201),'Бланк OLD 0.8 04'!$B$12:$K$200,2,0))),
IF(VLOOKUP($A166-COUNT('Шаг2.Бланк заказа NEW'!$B$19:$B$201)-COUNT('Бланк OLD 0.8 04'!$B$18:$B$200),'Бланк OLD 2.0 04 '!$B$16:$K$200,2,0)="","",VLOOKUP($A166-COUNT('Шаг2.Бланк заказа NEW'!$B$19:$B$201)-COUNT('Бланк OLD 0.8 04'!$B$18:$B$200),'Бланк OLD 2.0 04 '!$B$16:$K$200,2,0)))</f>
        <v/>
      </c>
      <c r="F166" s="147" t="str">
        <f ca="1">IFERROR(IFERROR(IF(VLOOKUP($A166,'Шаг2.Бланк заказа NEW'!$B$17:$N$201,3,0)="","",VLOOKUP($A166,'Шаг2.Бланк заказа NEW'!$B$17:$N$201,3,0)),
IF(VLOOKUP($A166-COUNT('Шаг2.Бланк заказа NEW'!$B$19:$B$201),'Бланк OLD 0.8 04'!$B$12:$K$200,3,0)="","",VLOOKUP($A166-COUNT('Шаг2.Бланк заказа NEW'!$B$19:$B$201),'Бланк OLD 0.8 04'!$B$12:$K$200,3,0))),
IF(VLOOKUP($A166-COUNT('Шаг2.Бланк заказа NEW'!$B$19:$B$201)-COUNT('Бланк OLD 0.8 04'!$B$18:$B$200),'Бланк OLD 2.0 04 '!$B$16:$K$200,3,0)="","",VLOOKUP($A166-COUNT('Шаг2.Бланк заказа NEW'!$B$19:$B$201)-COUNT('Бланк OLD 0.8 04'!$B$18:$B$200),'Бланк OLD 2.0 04 '!$B$16:$K$200,3,0)))</f>
        <v/>
      </c>
      <c r="G166" s="176" t="str">
        <f ca="1">IF(IF(R166="","",IF(R166=1,SUMIFS('Шаг1.Выбор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плиты'!C:Q,12,0)),1))))))=0,
R166,
IF(R166="","",IF(R166=1,SUMIFS('Шаг1.Выбор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плиты'!N:N,R166,'Шаг1.Выбор плиты'!M:M,SMALL(INDIRECT("мм"&amp;VLOOKUP(C166,'Шаг1.Выбор плиты'!C:Q,12,0)),1)))))))</f>
        <v/>
      </c>
      <c r="H166" s="177" t="str">
        <f ca="1">IF(IF(S166="","",IF(S166=1,SUMIFS('Шаг1.Выбор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плиты'!C:Q,12,0)),1))))))=0,
S166,
IF(S166="","",IF(S166=1,SUMIFS('Шаг1.Выбор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плиты'!N:N,S166,'Шаг1.Выбор плиты'!M:M,SMALL(INDIRECT("мм"&amp;VLOOKUP(C166,'Шаг1.Выбор плиты'!C:Q,12,0)),1)))))))</f>
        <v/>
      </c>
      <c r="I166" s="147" t="str">
        <f ca="1">IFERROR(IFERROR(IF(VLOOKUP($A166,'Шаг2.Бланк заказа NEW'!$B$17:$N$201,6,0)="","",VLOOKUP($A166,'Шаг2.Бланк заказа NEW'!$B$17:$N$201,6,0)),
IF(VLOOKUP($A166-COUNT('Шаг2.Бланк заказа NEW'!$B$19:$B$201),'Бланк OLD 0.8 04'!$B$12:$K$200,6,0)="","",VLOOKUP($A166-COUNT('Шаг2.Бланк заказа NEW'!$B$19:$B$201),'Бланк OLD 0.8 04'!$B$12:$K$200,6,0))),
IF(VLOOKUP($A166-COUNT('Шаг2.Бланк заказа NEW'!$B$19:$B$201)-COUNT('Бланк OLD 0.8 04'!$B$18:$B$200),'Бланк OLD 2.0 04 '!$B$16:$K$200,6,0)="","",VLOOKUP($A166-COUNT('Шаг2.Бланк заказа NEW'!$B$19:$B$201)-COUNT('Бланк OLD 0.8 04'!$B$18:$B$200),'Бланк OLD 2.0 04 '!$B$16:$K$200,6,0)))</f>
        <v/>
      </c>
      <c r="J166" s="177" t="str">
        <f ca="1">IF(IF(T166="","",IF(T166=1,SUMIFS('Шаг1.Выбор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плиты'!C:Q,12,0)),1))))))=0,
T166,
IF(T166="","",IF(T166=1,SUMIFS('Шаг1.Выбор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плиты'!N:N,T166,'Шаг1.Выбор плиты'!M:M,SMALL(INDIRECT("мм"&amp;VLOOKUP(C166,'Шаг1.Выбор плиты'!C:Q,12,0)),1)))))))</f>
        <v/>
      </c>
      <c r="K166" s="177" t="str">
        <f ca="1">IF(IF(U166="","",IF(U166=1,SUMIFS('Шаг1.Выбор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плиты'!C:Q,12,0)),1))))))=0,
U166,
IF(U166="","",IF(U166=1,SUMIFS('Шаг1.Выбор плиты'!$G:$G,'Шаг1.Выбор плиты'!J:J,"*"&amp;RIGHT(VLOOKUP(C166,'Шаг1.Выбор плиты'!C:Q,8,0),4),'Шаг1.Выбор плиты'!L:L,IF(MID(C166,1,6)="ЛДСП P","TM"&amp;MID(VLOOKUP(C166,'Шаг1.Выбор плиты'!C:Q,10,0),3,2),MID(VLOOKUP(C166,'Шаг1.Выбор плиты'!C:Q,10,0),1,2)),
'Шаг1.Выбор плиты'!N:N,1),IF(SUMIFS('Шаг1.Выбор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плиты'!C:Q,12,0)),1))=0,
IF(SUMIFS('Шаг1.Выбор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плиты'!C:Q,12,0)),2))=0,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плиты'!C:Q,12,0)),3)),
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плиты'!C:Q,12,0)),2))),
(SUMIFS('Шаг1.Выбор плиты'!$G:$G,'Шаг1.Выбор плиты'!J:J,"*"&amp;RIGHT(VLOOKUP(C166,'Шаг1.Выбор плиты'!C:Q,8,0),4),'Шаг1.Выбор плиты'!L:L,VLOOKUP(C166,'Шаг1.Выбор плиты'!C:Q,10,0),'Шаг1.Выбор плиты'!N:N,U166,'Шаг1.Выбор плиты'!M:M,SMALL(INDIRECT("мм"&amp;VLOOKUP(C166,'Шаг1.Выбор плиты'!C:Q,12,0)),1)))))))</f>
        <v/>
      </c>
      <c r="L166" s="147" t="str">
        <f ca="1">IFERROR(IFERROR(IF(VLOOKUP($A166,'Шаг2.Бланк заказа NEW'!$B$17:$N$201,9,0)="","",VLOOKUP($A166,'Шаг2.Бланк заказа NEW'!$B$17:$N$201,9,0)),
IF(VLOOKUP($A166-COUNT('Шаг2.Бланк заказа NEW'!$B$19:$B$201),'Бланк OLD 0.8 04'!$B$12:$K$200,9,0)="","",VLOOKUP($A166-COUNT('Шаг2.Бланк заказа NEW'!$B$19:$B$201),'Бланк OLD 0.8 04'!$B$12:$K$200,9,0))),
IF(VLOOKUP($A166-COUNT('Шаг2.Бланк заказа NEW'!$B$19:$B$201)-COUNT('Бланк OLD 0.8 04'!$B$18:$B$200),'Бланк OLD 2.0 04 '!$B$16:$K$200,9,0)="","",VLOOKUP($A166-COUNT('Шаг2.Бланк заказа NEW'!$B$19:$B$201)-COUNT('Бланк OLD 0.8 04'!$B$18:$B$200),'Бланк OLD 2.0 04 '!$B$16:$K$200,9,0)))</f>
        <v/>
      </c>
      <c r="M166" s="154" t="str">
        <f t="shared" ca="1" si="15"/>
        <v/>
      </c>
      <c r="N166" s="153" t="str">
        <f ca="1">IFERROR(IF(VLOOKUP($A166,'Шаг2.Бланк заказа NEW'!$B$17:$N$201,11,0)="","",VLOOKUP($A166,'Шаг2.Бланк заказа NEW'!$B$17:$N$201,11,0)),
"Нет")</f>
        <v/>
      </c>
      <c r="O166" s="147" t="str">
        <f ca="1">IFERROR(IF(VLOOKUP($A166,'Шаг2.Бланк заказа NEW'!$B$17:$N$201,11,0)="","",VLOOKUP($A166,'Шаг2.Бланк заказа NEW'!$B$17:$N$201,12,0)),
"Нет")</f>
        <v/>
      </c>
      <c r="P166" s="153" t="str">
        <f ca="1">IFERROR(IF(VLOOKUP($A166,'Шаг2.Бланк заказа NEW'!$B$17:$N$201,13,0)="","",VLOOKUP($A166,'Шаг2.Бланк заказа NEW'!$B$17:$N$201,13,0)),
"Нет")</f>
        <v/>
      </c>
      <c r="Q166" s="147" t="str">
        <f ca="1">IFERROR(IF(VLOOKUP($A166,'Шаг2.Бланк заказа NEW'!$B$17:$O$201,14,0)="","",VLOOKUP($A166,'Шаг2.Бланк заказа NEW'!$B$17:$O$201,14,0)),"")</f>
        <v/>
      </c>
      <c r="R166" s="147" t="str">
        <f ca="1">IFERROR(IFERROR(IF(VLOOKUP($A166,'Шаг2.Бланк заказа NEW'!$B$17:$N$201,4,0)="","",VLOOKUP($A166,'Шаг2.Бланк заказа NEW'!$B$17:$N$201,4,0)),
IF(VLOOKUP($A166-COUNT('Шаг2.Бланк заказа NEW'!$B$19:$B$201),'Бланк OLD 0.8 04'!$B$12:$K$200,4,0)&gt;0,0.8,
IF(VLOOKUP($A166-COUNT('Шаг2.Бланк заказа NEW'!$B$19:$B$201),'Бланк OLD 0.8 04'!$B$12:$K$200,5,0)&gt;0,0.4,""))),
IF(VLOOKUP($A166-COUNT('Шаг2.Бланк заказа NEW'!$B$19:$B$201)-COUNT('Бланк OLD 0.8 04'!$B$18:$B$200),'Бланк OLD 2.0 04 '!$B$16:$K$200,4,0)&gt;0,2,IF(VLOOKUP($A166-COUNT('Шаг2.Бланк заказа NEW'!$B$19:$B$201)-COUNT('Бланк OLD 0.8 04'!$B$18:$B$200),'Бланк OLD 2.0 04 '!$B$16:$K$200,5,0)&gt;0,0.4,"")))</f>
        <v/>
      </c>
      <c r="S166" s="147" t="str">
        <f ca="1">IFERROR(IFERROR(IF(VLOOKUP($A166,'Шаг2.Бланк заказа NEW'!$B$17:$N$201,5,0)="","",VLOOKUP($A166,'Шаг2.Бланк заказа NEW'!$B$17:$N$201,5,0)),
IF(VLOOKUP($A166-COUNT('Шаг2.Бланк заказа NEW'!$B$19:$B$201),'Бланк OLD 0.8 04'!$B$12:$K$200,4,0)&gt;1,0.8,
IF(VLOOKUP($A166-COUNT('Шаг2.Бланк заказа NEW'!$B$19:$B$201),'Бланк OLD 0.8 04'!$B$12:$K$200,5,0)&gt;1,0.4,
IF(AND(VLOOKUP($A166-COUNT('Шаг2.Бланк заказа NEW'!$B$19:$B$201),'Бланк OLD 0.8 04'!$B$12:$K$200,4,0)&gt;0,VLOOKUP($A166-COUNT('Шаг2.Бланк заказа NEW'!$B$19:$B$201),'Бланк OLD 0.8 04'!$B$12:$K$200,5,0)&gt;0),0.4,"")))),
IF(VLOOKUP($A166-COUNT('Шаг2.Бланк заказа NEW'!$B$19:$B$201)-COUNT('Бланк OLD 0.8 04'!$B$18:$B$200),'Бланк OLD 2.0 04 '!$B$16:$K$200,4,0)&gt;1,2,
IF(VLOOKUP($A166-COUNT('Шаг2.Бланк заказа NEW'!$B$19:$B$201)-COUNT('Бланк OLD 0.8 04'!$B$18:$B$200),'Бланк OLD 2.0 04 '!$B$16:$K$200,5,0)&gt;1,0.4,IF(AND(VLOOKUP($A166-COUNT('Шаг2.Бланк заказа NEW'!$B$19:$B$201)-COUNT('Бланк OLD 0.8 04'!$B$18:$B$200),'Бланк OLD 2.0 04 '!$B$16:$K$200,4,0)&gt;0,VLOOKUP($A166-COUNT('Шаг2.Бланк заказа NEW'!$B$19:$B$201)-COUNT('Бланк OLD 0.8 04'!$B$18:$B$200),'Бланк OLD 2.0 04 '!$B$16:$K$200,5,0)&gt;0),0.4,""))))</f>
        <v/>
      </c>
      <c r="T166" s="147" t="str">
        <f ca="1">IFERROR(IFERROR(IF(VLOOKUP($A166,'Шаг2.Бланк заказа NEW'!$B$17:$N$201,7,0)="","",VLOOKUP($A166,'Шаг2.Бланк заказа NEW'!$B$17:$N$201,7,0)),
IF(VLOOKUP($A166-COUNT('Шаг2.Бланк заказа NEW'!$B$19:$B$201),'Бланк OLD 0.8 04'!$B$12:$K$200,7,0)&gt;0,0.8,
IF(VLOOKUP($A166-COUNT('Шаг2.Бланк заказа NEW'!$B$19:$B$201),'Бланк OLD 0.8 04'!$B$12:$K$200,8,0)&gt;0,0.4,""))),
IF(VLOOKUP($A166-COUNT('Шаг2.Бланк заказа NEW'!$B$19:$B$201)-COUNT('Бланк OLD 0.8 04'!$B$18:$B$200),'Бланк OLD 2.0 04 '!$B$16:$K$200,7,0)&gt;0,2,IF(VLOOKUP($A166-COUNT('Шаг2.Бланк заказа NEW'!$B$19:$B$201)-COUNT('Бланк OLD 0.8 04'!$B$18:$B$200),'Бланк OLD 2.0 04 '!$B$16:$K$200,8,0)&gt;0,0.4,"")))</f>
        <v/>
      </c>
      <c r="U166" s="147" t="str">
        <f ca="1">IFERROR(IFERROR(IF(VLOOKUP($A166,'Шаг2.Бланк заказа NEW'!$B$17:$N$201,8,0)="","",VLOOKUP($A166,'Шаг2.Бланк заказа NEW'!$B$17:$N$201,8,0)),
IF(VLOOKUP($A166-COUNT('Шаг2.Бланк заказа NEW'!$B$19:$B$201),'Бланк OLD 0.8 04'!$B$12:$K$200,7,0)&gt;1,0.8,
IF(VLOOKUP($A166-COUNT('Шаг2.Бланк заказа NEW'!$B$19:$B$201),'Бланк OLD 0.8 04'!$B$12:$K$200,8,0)&gt;1,0.4,
IF(AND(VLOOKUP($A166-COUNT('Шаг2.Бланк заказа NEW'!$B$19:$B$201),'Бланк OLD 0.8 04'!$B$12:$K$200,7,0)&gt;0,VLOOKUP($A166-COUNT('Шаг2.Бланк заказа NEW'!$B$19:$B$201),'Бланк OLD 0.8 04'!$B$12:$K$200,8,0)&gt;0),0.4,"")))),
IF(VLOOKUP($A166-COUNT('Шаг2.Бланк заказа NEW'!$B$19:$B$201)-COUNT('Бланк OLD 0.8 04'!$B$18:$B$200),'Бланк OLD 2.0 04 '!$B$16:$K$200,7,0)&gt;1,2,
IF(VLOOKUP($A166-COUNT('Шаг2.Бланк заказа NEW'!$B$19:$B$201)-COUNT('Бланк OLD 0.8 04'!$B$18:$B$200),'Бланк OLD 2.0 04 '!$B$16:$K$200,8,0)&gt;1,0.4,
IF(AND(VLOOKUP($A166-COUNT('Шаг2.Бланк заказа NEW'!$B$19:$B$201)-COUNT('Бланк OLD 0.8 04'!$B$18:$B$200),'Бланк OLD 2.0 04 '!$B$16:$K$200,7,0)&gt;0,VLOOKUP($A166-COUNT('Шаг2.Бланк заказа NEW'!$B$19:$B$201)-COUNT('Бланк OLD 0.8 04'!$B$18:$B$200),'Бланк OLD 2.0 04 '!$B$16:$K$200,8,0)&gt;0),0.4,""))))</f>
        <v/>
      </c>
      <c r="V166" s="146" t="str">
        <f ca="1">IFERROR(VLOOKUP(C166,'Шаг1.Выбор плиты'!C:S,12,0),"")</f>
        <v/>
      </c>
      <c r="W166" s="146" t="str">
        <f ca="1">IFERROR(VLOOKUP(C166,'Шаг1.Выбор плиты'!C:S,8,0),"")</f>
        <v/>
      </c>
      <c r="X166" s="146" t="str">
        <f ca="1">IFERROR(VLOOKUP(C166,'Шаг1.Выбор плиты'!C:S,10,0),"")</f>
        <v/>
      </c>
      <c r="Y166" s="147" t="str">
        <f t="shared" ca="1" si="13"/>
        <v/>
      </c>
      <c r="AD166" s="147" t="str">
        <f t="shared" ca="1" si="16"/>
        <v/>
      </c>
      <c r="AE166" s="147" t="str">
        <f t="shared" ca="1" si="14"/>
        <v/>
      </c>
      <c r="AF166" s="25"/>
      <c r="AH166" s="147" t="str">
        <f ca="1">IF(C166="","",VLOOKUP(C166,'Шаг1.Выбор плиты'!C:Q,7,0))</f>
        <v/>
      </c>
      <c r="AI166" s="147" t="str">
        <f t="shared" ca="1" si="17"/>
        <v/>
      </c>
    </row>
    <row r="167" spans="1:35" x14ac:dyDescent="0.2">
      <c r="A167" s="151" t="str">
        <f ca="1">IF(C167="","",MAX($A$1:OFFSET(C167,-1,0))+1)</f>
        <v/>
      </c>
      <c r="B167" s="151" t="str">
        <f ca="1">IFERROR(IFERROR(IFERROR("Шаг2.Бланк заказа NEW №"&amp;VLOOKUP(A166+1,CHOOSE({1,2},'Шаг2.Бланк заказа NEW'!$B$19:$B$201,'Шаг2.Бланк заказа NEW'!$A$19:$A$201),1,0),
"Бланк OLD 0.8 04 №"&amp;VLOOKUP(A166+1-COUNT('Шаг2.Бланк заказа NEW'!$B$19:$B$201),CHOOSE({1,2},'Бланк OLD 0.8 04'!$B$18:$B$200,'Бланк OLD 0.8 04'!$A$18:$A$200),1,0)),
"Бланк OLD 2.0 04 №"&amp;VLOOKUP(A166+1-COUNT('Шаг2.Бланк заказа NEW'!$B$19:$B$201)-COUNT('Бланк OLD 0.8 04'!$B$18:$B$200),CHOOSE({1,2},'Бланк OLD 2.0 04 '!$B$18:$B$200,'Бланк OLD 2.0 04 '!$A$18:$A$200),1,0)),"")</f>
        <v/>
      </c>
      <c r="C167" s="152" t="str">
        <f ca="1">IFERROR(IFERROR(IFERROR(VLOOKUP(A166+1,CHOOSE({1,2},'Шаг2.Бланк заказа NEW'!$B$19:$B$201,'Шаг2.Бланк заказа NEW'!$A$19:$A$201),2,0),
VLOOKUP(A166+1-COUNT('Шаг2.Бланк заказа NEW'!$B$19:$B$201),CHOOSE({1,2},'Бланк OLD 0.8 04'!$B$18:$B$200,'Бланк OLD 0.8 04'!$A$18:$A$200),2,0)),
VLOOKUP(A166+1-COUNT('Шаг2.Бланк заказа NEW'!$B$19:$B$201)-COUNT('Бланк OLD 0.8 04'!$B$18:$B$200),CHOOSE({1,2},'Бланк OLD 2.0 04 '!$B$18:$B$200,'Бланк OLD 2.0 04 '!$A$18:$A$200),2,0)),"")</f>
        <v/>
      </c>
      <c r="D167" s="150" t="str">
        <f ca="1">IFERROR(VLOOKUP(C167,'Шаг1.Выбор плиты'!C:G,5,0),"")</f>
        <v/>
      </c>
      <c r="E167" s="147" t="str">
        <f ca="1">IFERROR(IFERROR(IF(VLOOKUP($A167,'Шаг2.Бланк заказа NEW'!$B$17:$N$201,2,0)="","",VLOOKUP($A167,'Шаг2.Бланк заказа NEW'!$B$17:$N$201,2,0)),
IF(VLOOKUP($A167-COUNT('Шаг2.Бланк заказа NEW'!$B$19:$B$201),'Бланк OLD 0.8 04'!$B$12:$K$200,2,0)="","",VLOOKUP($A167-COUNT('Шаг2.Бланк заказа NEW'!$B$19:$B$201),'Бланк OLD 0.8 04'!$B$12:$K$200,2,0))),
IF(VLOOKUP($A167-COUNT('Шаг2.Бланк заказа NEW'!$B$19:$B$201)-COUNT('Бланк OLD 0.8 04'!$B$18:$B$200),'Бланк OLD 2.0 04 '!$B$16:$K$200,2,0)="","",VLOOKUP($A167-COUNT('Шаг2.Бланк заказа NEW'!$B$19:$B$201)-COUNT('Бланк OLD 0.8 04'!$B$18:$B$200),'Бланк OLD 2.0 04 '!$B$16:$K$200,2,0)))</f>
        <v/>
      </c>
      <c r="F167" s="147" t="str">
        <f ca="1">IFERROR(IFERROR(IF(VLOOKUP($A167,'Шаг2.Бланк заказа NEW'!$B$17:$N$201,3,0)="","",VLOOKUP($A167,'Шаг2.Бланк заказа NEW'!$B$17:$N$201,3,0)),
IF(VLOOKUP($A167-COUNT('Шаг2.Бланк заказа NEW'!$B$19:$B$201),'Бланк OLD 0.8 04'!$B$12:$K$200,3,0)="","",VLOOKUP($A167-COUNT('Шаг2.Бланк заказа NEW'!$B$19:$B$201),'Бланк OLD 0.8 04'!$B$12:$K$200,3,0))),
IF(VLOOKUP($A167-COUNT('Шаг2.Бланк заказа NEW'!$B$19:$B$201)-COUNT('Бланк OLD 0.8 04'!$B$18:$B$200),'Бланк OLD 2.0 04 '!$B$16:$K$200,3,0)="","",VLOOKUP($A167-COUNT('Шаг2.Бланк заказа NEW'!$B$19:$B$201)-COUNT('Бланк OLD 0.8 04'!$B$18:$B$200),'Бланк OLD 2.0 04 '!$B$16:$K$200,3,0)))</f>
        <v/>
      </c>
      <c r="G167" s="176" t="str">
        <f ca="1">IF(IF(R167="","",IF(R167=1,SUMIFS('Шаг1.Выбор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плиты'!C:Q,12,0)),1))))))=0,
R167,
IF(R167="","",IF(R167=1,SUMIFS('Шаг1.Выбор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плиты'!N:N,R167,'Шаг1.Выбор плиты'!M:M,SMALL(INDIRECT("мм"&amp;VLOOKUP(C167,'Шаг1.Выбор плиты'!C:Q,12,0)),1)))))))</f>
        <v/>
      </c>
      <c r="H167" s="177" t="str">
        <f ca="1">IF(IF(S167="","",IF(S167=1,SUMIFS('Шаг1.Выбор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плиты'!C:Q,12,0)),1))))))=0,
S167,
IF(S167="","",IF(S167=1,SUMIFS('Шаг1.Выбор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плиты'!N:N,S167,'Шаг1.Выбор плиты'!M:M,SMALL(INDIRECT("мм"&amp;VLOOKUP(C167,'Шаг1.Выбор плиты'!C:Q,12,0)),1)))))))</f>
        <v/>
      </c>
      <c r="I167" s="147" t="str">
        <f ca="1">IFERROR(IFERROR(IF(VLOOKUP($A167,'Шаг2.Бланк заказа NEW'!$B$17:$N$201,6,0)="","",VLOOKUP($A167,'Шаг2.Бланк заказа NEW'!$B$17:$N$201,6,0)),
IF(VLOOKUP($A167-COUNT('Шаг2.Бланк заказа NEW'!$B$19:$B$201),'Бланк OLD 0.8 04'!$B$12:$K$200,6,0)="","",VLOOKUP($A167-COUNT('Шаг2.Бланк заказа NEW'!$B$19:$B$201),'Бланк OLD 0.8 04'!$B$12:$K$200,6,0))),
IF(VLOOKUP($A167-COUNT('Шаг2.Бланк заказа NEW'!$B$19:$B$201)-COUNT('Бланк OLD 0.8 04'!$B$18:$B$200),'Бланк OLD 2.0 04 '!$B$16:$K$200,6,0)="","",VLOOKUP($A167-COUNT('Шаг2.Бланк заказа NEW'!$B$19:$B$201)-COUNT('Бланк OLD 0.8 04'!$B$18:$B$200),'Бланк OLD 2.0 04 '!$B$16:$K$200,6,0)))</f>
        <v/>
      </c>
      <c r="J167" s="177" t="str">
        <f ca="1">IF(IF(T167="","",IF(T167=1,SUMIFS('Шаг1.Выбор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плиты'!C:Q,12,0)),1))))))=0,
T167,
IF(T167="","",IF(T167=1,SUMIFS('Шаг1.Выбор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плиты'!N:N,T167,'Шаг1.Выбор плиты'!M:M,SMALL(INDIRECT("мм"&amp;VLOOKUP(C167,'Шаг1.Выбор плиты'!C:Q,12,0)),1)))))))</f>
        <v/>
      </c>
      <c r="K167" s="177" t="str">
        <f ca="1">IF(IF(U167="","",IF(U167=1,SUMIFS('Шаг1.Выбор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плиты'!C:Q,12,0)),1))))))=0,
U167,
IF(U167="","",IF(U167=1,SUMIFS('Шаг1.Выбор плиты'!$G:$G,'Шаг1.Выбор плиты'!J:J,"*"&amp;RIGHT(VLOOKUP(C167,'Шаг1.Выбор плиты'!C:Q,8,0),4),'Шаг1.Выбор плиты'!L:L,IF(MID(C167,1,6)="ЛДСП P","TM"&amp;MID(VLOOKUP(C167,'Шаг1.Выбор плиты'!C:Q,10,0),3,2),MID(VLOOKUP(C167,'Шаг1.Выбор плиты'!C:Q,10,0),1,2)),
'Шаг1.Выбор плиты'!N:N,1),IF(SUMIFS('Шаг1.Выбор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плиты'!C:Q,12,0)),1))=0,
IF(SUMIFS('Шаг1.Выбор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плиты'!C:Q,12,0)),2))=0,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плиты'!C:Q,12,0)),3)),
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плиты'!C:Q,12,0)),2))),
(SUMIFS('Шаг1.Выбор плиты'!$G:$G,'Шаг1.Выбор плиты'!J:J,"*"&amp;RIGHT(VLOOKUP(C167,'Шаг1.Выбор плиты'!C:Q,8,0),4),'Шаг1.Выбор плиты'!L:L,VLOOKUP(C167,'Шаг1.Выбор плиты'!C:Q,10,0),'Шаг1.Выбор плиты'!N:N,U167,'Шаг1.Выбор плиты'!M:M,SMALL(INDIRECT("мм"&amp;VLOOKUP(C167,'Шаг1.Выбор плиты'!C:Q,12,0)),1)))))))</f>
        <v/>
      </c>
      <c r="L167" s="147" t="str">
        <f ca="1">IFERROR(IFERROR(IF(VLOOKUP($A167,'Шаг2.Бланк заказа NEW'!$B$17:$N$201,9,0)="","",VLOOKUP($A167,'Шаг2.Бланк заказа NEW'!$B$17:$N$201,9,0)),
IF(VLOOKUP($A167-COUNT('Шаг2.Бланк заказа NEW'!$B$19:$B$201),'Бланк OLD 0.8 04'!$B$12:$K$200,9,0)="","",VLOOKUP($A167-COUNT('Шаг2.Бланк заказа NEW'!$B$19:$B$201),'Бланк OLD 0.8 04'!$B$12:$K$200,9,0))),
IF(VLOOKUP($A167-COUNT('Шаг2.Бланк заказа NEW'!$B$19:$B$201)-COUNT('Бланк OLD 0.8 04'!$B$18:$B$200),'Бланк OLD 2.0 04 '!$B$16:$K$200,9,0)="","",VLOOKUP($A167-COUNT('Шаг2.Бланк заказа NEW'!$B$19:$B$201)-COUNT('Бланк OLD 0.8 04'!$B$18:$B$200),'Бланк OLD 2.0 04 '!$B$16:$K$200,9,0)))</f>
        <v/>
      </c>
      <c r="M167" s="154" t="str">
        <f t="shared" ca="1" si="15"/>
        <v/>
      </c>
      <c r="N167" s="153" t="str">
        <f ca="1">IFERROR(IF(VLOOKUP($A167,'Шаг2.Бланк заказа NEW'!$B$17:$N$201,11,0)="","",VLOOKUP($A167,'Шаг2.Бланк заказа NEW'!$B$17:$N$201,11,0)),
"Нет")</f>
        <v/>
      </c>
      <c r="O167" s="147" t="str">
        <f ca="1">IFERROR(IF(VLOOKUP($A167,'Шаг2.Бланк заказа NEW'!$B$17:$N$201,11,0)="","",VLOOKUP($A167,'Шаг2.Бланк заказа NEW'!$B$17:$N$201,12,0)),
"Нет")</f>
        <v/>
      </c>
      <c r="P167" s="153" t="str">
        <f ca="1">IFERROR(IF(VLOOKUP($A167,'Шаг2.Бланк заказа NEW'!$B$17:$N$201,13,0)="","",VLOOKUP($A167,'Шаг2.Бланк заказа NEW'!$B$17:$N$201,13,0)),
"Нет")</f>
        <v/>
      </c>
      <c r="Q167" s="147" t="str">
        <f ca="1">IFERROR(IF(VLOOKUP($A167,'Шаг2.Бланк заказа NEW'!$B$17:$O$201,14,0)="","",VLOOKUP($A167,'Шаг2.Бланк заказа NEW'!$B$17:$O$201,14,0)),"")</f>
        <v/>
      </c>
      <c r="R167" s="147" t="str">
        <f ca="1">IFERROR(IFERROR(IF(VLOOKUP($A167,'Шаг2.Бланк заказа NEW'!$B$17:$N$201,4,0)="","",VLOOKUP($A167,'Шаг2.Бланк заказа NEW'!$B$17:$N$201,4,0)),
IF(VLOOKUP($A167-COUNT('Шаг2.Бланк заказа NEW'!$B$19:$B$201),'Бланк OLD 0.8 04'!$B$12:$K$200,4,0)&gt;0,0.8,
IF(VLOOKUP($A167-COUNT('Шаг2.Бланк заказа NEW'!$B$19:$B$201),'Бланк OLD 0.8 04'!$B$12:$K$200,5,0)&gt;0,0.4,""))),
IF(VLOOKUP($A167-COUNT('Шаг2.Бланк заказа NEW'!$B$19:$B$201)-COUNT('Бланк OLD 0.8 04'!$B$18:$B$200),'Бланк OLD 2.0 04 '!$B$16:$K$200,4,0)&gt;0,2,IF(VLOOKUP($A167-COUNT('Шаг2.Бланк заказа NEW'!$B$19:$B$201)-COUNT('Бланк OLD 0.8 04'!$B$18:$B$200),'Бланк OLD 2.0 04 '!$B$16:$K$200,5,0)&gt;0,0.4,"")))</f>
        <v/>
      </c>
      <c r="S167" s="147" t="str">
        <f ca="1">IFERROR(IFERROR(IF(VLOOKUP($A167,'Шаг2.Бланк заказа NEW'!$B$17:$N$201,5,0)="","",VLOOKUP($A167,'Шаг2.Бланк заказа NEW'!$B$17:$N$201,5,0)),
IF(VLOOKUP($A167-COUNT('Шаг2.Бланк заказа NEW'!$B$19:$B$201),'Бланк OLD 0.8 04'!$B$12:$K$200,4,0)&gt;1,0.8,
IF(VLOOKUP($A167-COUNT('Шаг2.Бланк заказа NEW'!$B$19:$B$201),'Бланк OLD 0.8 04'!$B$12:$K$200,5,0)&gt;1,0.4,
IF(AND(VLOOKUP($A167-COUNT('Шаг2.Бланк заказа NEW'!$B$19:$B$201),'Бланк OLD 0.8 04'!$B$12:$K$200,4,0)&gt;0,VLOOKUP($A167-COUNT('Шаг2.Бланк заказа NEW'!$B$19:$B$201),'Бланк OLD 0.8 04'!$B$12:$K$200,5,0)&gt;0),0.4,"")))),
IF(VLOOKUP($A167-COUNT('Шаг2.Бланк заказа NEW'!$B$19:$B$201)-COUNT('Бланк OLD 0.8 04'!$B$18:$B$200),'Бланк OLD 2.0 04 '!$B$16:$K$200,4,0)&gt;1,2,
IF(VLOOKUP($A167-COUNT('Шаг2.Бланк заказа NEW'!$B$19:$B$201)-COUNT('Бланк OLD 0.8 04'!$B$18:$B$200),'Бланк OLD 2.0 04 '!$B$16:$K$200,5,0)&gt;1,0.4,IF(AND(VLOOKUP($A167-COUNT('Шаг2.Бланк заказа NEW'!$B$19:$B$201)-COUNT('Бланк OLD 0.8 04'!$B$18:$B$200),'Бланк OLD 2.0 04 '!$B$16:$K$200,4,0)&gt;0,VLOOKUP($A167-COUNT('Шаг2.Бланк заказа NEW'!$B$19:$B$201)-COUNT('Бланк OLD 0.8 04'!$B$18:$B$200),'Бланк OLD 2.0 04 '!$B$16:$K$200,5,0)&gt;0),0.4,""))))</f>
        <v/>
      </c>
      <c r="T167" s="147" t="str">
        <f ca="1">IFERROR(IFERROR(IF(VLOOKUP($A167,'Шаг2.Бланк заказа NEW'!$B$17:$N$201,7,0)="","",VLOOKUP($A167,'Шаг2.Бланк заказа NEW'!$B$17:$N$201,7,0)),
IF(VLOOKUP($A167-COUNT('Шаг2.Бланк заказа NEW'!$B$19:$B$201),'Бланк OLD 0.8 04'!$B$12:$K$200,7,0)&gt;0,0.8,
IF(VLOOKUP($A167-COUNT('Шаг2.Бланк заказа NEW'!$B$19:$B$201),'Бланк OLD 0.8 04'!$B$12:$K$200,8,0)&gt;0,0.4,""))),
IF(VLOOKUP($A167-COUNT('Шаг2.Бланк заказа NEW'!$B$19:$B$201)-COUNT('Бланк OLD 0.8 04'!$B$18:$B$200),'Бланк OLD 2.0 04 '!$B$16:$K$200,7,0)&gt;0,2,IF(VLOOKUP($A167-COUNT('Шаг2.Бланк заказа NEW'!$B$19:$B$201)-COUNT('Бланк OLD 0.8 04'!$B$18:$B$200),'Бланк OLD 2.0 04 '!$B$16:$K$200,8,0)&gt;0,0.4,"")))</f>
        <v/>
      </c>
      <c r="U167" s="147" t="str">
        <f ca="1">IFERROR(IFERROR(IF(VLOOKUP($A167,'Шаг2.Бланк заказа NEW'!$B$17:$N$201,8,0)="","",VLOOKUP($A167,'Шаг2.Бланк заказа NEW'!$B$17:$N$201,8,0)),
IF(VLOOKUP($A167-COUNT('Шаг2.Бланк заказа NEW'!$B$19:$B$201),'Бланк OLD 0.8 04'!$B$12:$K$200,7,0)&gt;1,0.8,
IF(VLOOKUP($A167-COUNT('Шаг2.Бланк заказа NEW'!$B$19:$B$201),'Бланк OLD 0.8 04'!$B$12:$K$200,8,0)&gt;1,0.4,
IF(AND(VLOOKUP($A167-COUNT('Шаг2.Бланк заказа NEW'!$B$19:$B$201),'Бланк OLD 0.8 04'!$B$12:$K$200,7,0)&gt;0,VLOOKUP($A167-COUNT('Шаг2.Бланк заказа NEW'!$B$19:$B$201),'Бланк OLD 0.8 04'!$B$12:$K$200,8,0)&gt;0),0.4,"")))),
IF(VLOOKUP($A167-COUNT('Шаг2.Бланк заказа NEW'!$B$19:$B$201)-COUNT('Бланк OLD 0.8 04'!$B$18:$B$200),'Бланк OLD 2.0 04 '!$B$16:$K$200,7,0)&gt;1,2,
IF(VLOOKUP($A167-COUNT('Шаг2.Бланк заказа NEW'!$B$19:$B$201)-COUNT('Бланк OLD 0.8 04'!$B$18:$B$200),'Бланк OLD 2.0 04 '!$B$16:$K$200,8,0)&gt;1,0.4,
IF(AND(VLOOKUP($A167-COUNT('Шаг2.Бланк заказа NEW'!$B$19:$B$201)-COUNT('Бланк OLD 0.8 04'!$B$18:$B$200),'Бланк OLD 2.0 04 '!$B$16:$K$200,7,0)&gt;0,VLOOKUP($A167-COUNT('Шаг2.Бланк заказа NEW'!$B$19:$B$201)-COUNT('Бланк OLD 0.8 04'!$B$18:$B$200),'Бланк OLD 2.0 04 '!$B$16:$K$200,8,0)&gt;0),0.4,""))))</f>
        <v/>
      </c>
      <c r="V167" s="146" t="str">
        <f ca="1">IFERROR(VLOOKUP(C167,'Шаг1.Выбор плиты'!C:S,12,0),"")</f>
        <v/>
      </c>
      <c r="W167" s="146" t="str">
        <f ca="1">IFERROR(VLOOKUP(C167,'Шаг1.Выбор плиты'!C:S,8,0),"")</f>
        <v/>
      </c>
      <c r="X167" s="146" t="str">
        <f ca="1">IFERROR(VLOOKUP(C167,'Шаг1.Выбор плиты'!C:S,10,0),"")</f>
        <v/>
      </c>
      <c r="Y167" s="147" t="str">
        <f t="shared" ca="1" si="13"/>
        <v/>
      </c>
      <c r="AD167" s="147" t="str">
        <f t="shared" ca="1" si="16"/>
        <v/>
      </c>
      <c r="AE167" s="147" t="str">
        <f t="shared" ca="1" si="14"/>
        <v/>
      </c>
      <c r="AF167" s="25"/>
      <c r="AH167" s="147" t="str">
        <f ca="1">IF(C167="","",VLOOKUP(C167,'Шаг1.Выбор плиты'!C:Q,7,0))</f>
        <v/>
      </c>
      <c r="AI167" s="147" t="str">
        <f t="shared" ca="1" si="17"/>
        <v/>
      </c>
    </row>
    <row r="168" spans="1:35" x14ac:dyDescent="0.2">
      <c r="A168" s="151" t="str">
        <f ca="1">IF(C168="","",MAX($A$1:OFFSET(C168,-1,0))+1)</f>
        <v/>
      </c>
      <c r="B168" s="151" t="str">
        <f ca="1">IFERROR(IFERROR(IFERROR("Шаг2.Бланк заказа NEW №"&amp;VLOOKUP(A167+1,CHOOSE({1,2},'Шаг2.Бланк заказа NEW'!$B$19:$B$201,'Шаг2.Бланк заказа NEW'!$A$19:$A$201),1,0),
"Бланк OLD 0.8 04 №"&amp;VLOOKUP(A167+1-COUNT('Шаг2.Бланк заказа NEW'!$B$19:$B$201),CHOOSE({1,2},'Бланк OLD 0.8 04'!$B$18:$B$200,'Бланк OLD 0.8 04'!$A$18:$A$200),1,0)),
"Бланк OLD 2.0 04 №"&amp;VLOOKUP(A167+1-COUNT('Шаг2.Бланк заказа NEW'!$B$19:$B$201)-COUNT('Бланк OLD 0.8 04'!$B$18:$B$200),CHOOSE({1,2},'Бланк OLD 2.0 04 '!$B$18:$B$200,'Бланк OLD 2.0 04 '!$A$18:$A$200),1,0)),"")</f>
        <v/>
      </c>
      <c r="C168" s="152" t="str">
        <f ca="1">IFERROR(IFERROR(IFERROR(VLOOKUP(A167+1,CHOOSE({1,2},'Шаг2.Бланк заказа NEW'!$B$19:$B$201,'Шаг2.Бланк заказа NEW'!$A$19:$A$201),2,0),
VLOOKUP(A167+1-COUNT('Шаг2.Бланк заказа NEW'!$B$19:$B$201),CHOOSE({1,2},'Бланк OLD 0.8 04'!$B$18:$B$200,'Бланк OLD 0.8 04'!$A$18:$A$200),2,0)),
VLOOKUP(A167+1-COUNT('Шаг2.Бланк заказа NEW'!$B$19:$B$201)-COUNT('Бланк OLD 0.8 04'!$B$18:$B$200),CHOOSE({1,2},'Бланк OLD 2.0 04 '!$B$18:$B$200,'Бланк OLD 2.0 04 '!$A$18:$A$200),2,0)),"")</f>
        <v/>
      </c>
      <c r="D168" s="150" t="str">
        <f ca="1">IFERROR(VLOOKUP(C168,'Шаг1.Выбор плиты'!C:G,5,0),"")</f>
        <v/>
      </c>
      <c r="E168" s="147" t="str">
        <f ca="1">IFERROR(IFERROR(IF(VLOOKUP($A168,'Шаг2.Бланк заказа NEW'!$B$17:$N$201,2,0)="","",VLOOKUP($A168,'Шаг2.Бланк заказа NEW'!$B$17:$N$201,2,0)),
IF(VLOOKUP($A168-COUNT('Шаг2.Бланк заказа NEW'!$B$19:$B$201),'Бланк OLD 0.8 04'!$B$12:$K$200,2,0)="","",VLOOKUP($A168-COUNT('Шаг2.Бланк заказа NEW'!$B$19:$B$201),'Бланк OLD 0.8 04'!$B$12:$K$200,2,0))),
IF(VLOOKUP($A168-COUNT('Шаг2.Бланк заказа NEW'!$B$19:$B$201)-COUNT('Бланк OLD 0.8 04'!$B$18:$B$200),'Бланк OLD 2.0 04 '!$B$16:$K$200,2,0)="","",VLOOKUP($A168-COUNT('Шаг2.Бланк заказа NEW'!$B$19:$B$201)-COUNT('Бланк OLD 0.8 04'!$B$18:$B$200),'Бланк OLD 2.0 04 '!$B$16:$K$200,2,0)))</f>
        <v/>
      </c>
      <c r="F168" s="147" t="str">
        <f ca="1">IFERROR(IFERROR(IF(VLOOKUP($A168,'Шаг2.Бланк заказа NEW'!$B$17:$N$201,3,0)="","",VLOOKUP($A168,'Шаг2.Бланк заказа NEW'!$B$17:$N$201,3,0)),
IF(VLOOKUP($A168-COUNT('Шаг2.Бланк заказа NEW'!$B$19:$B$201),'Бланк OLD 0.8 04'!$B$12:$K$200,3,0)="","",VLOOKUP($A168-COUNT('Шаг2.Бланк заказа NEW'!$B$19:$B$201),'Бланк OLD 0.8 04'!$B$12:$K$200,3,0))),
IF(VLOOKUP($A168-COUNT('Шаг2.Бланк заказа NEW'!$B$19:$B$201)-COUNT('Бланк OLD 0.8 04'!$B$18:$B$200),'Бланк OLD 2.0 04 '!$B$16:$K$200,3,0)="","",VLOOKUP($A168-COUNT('Шаг2.Бланк заказа NEW'!$B$19:$B$201)-COUNT('Бланк OLD 0.8 04'!$B$18:$B$200),'Бланк OLD 2.0 04 '!$B$16:$K$200,3,0)))</f>
        <v/>
      </c>
      <c r="G168" s="176" t="str">
        <f ca="1">IF(IF(R168="","",IF(R168=1,SUMIFS('Шаг1.Выбор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плиты'!C:Q,12,0)),1))))))=0,
R168,
IF(R168="","",IF(R168=1,SUMIFS('Шаг1.Выбор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плиты'!N:N,R168,'Шаг1.Выбор плиты'!M:M,SMALL(INDIRECT("мм"&amp;VLOOKUP(C168,'Шаг1.Выбор плиты'!C:Q,12,0)),1)))))))</f>
        <v/>
      </c>
      <c r="H168" s="177" t="str">
        <f ca="1">IF(IF(S168="","",IF(S168=1,SUMIFS('Шаг1.Выбор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плиты'!C:Q,12,0)),1))))))=0,
S168,
IF(S168="","",IF(S168=1,SUMIFS('Шаг1.Выбор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плиты'!N:N,S168,'Шаг1.Выбор плиты'!M:M,SMALL(INDIRECT("мм"&amp;VLOOKUP(C168,'Шаг1.Выбор плиты'!C:Q,12,0)),1)))))))</f>
        <v/>
      </c>
      <c r="I168" s="147" t="str">
        <f ca="1">IFERROR(IFERROR(IF(VLOOKUP($A168,'Шаг2.Бланк заказа NEW'!$B$17:$N$201,6,0)="","",VLOOKUP($A168,'Шаг2.Бланк заказа NEW'!$B$17:$N$201,6,0)),
IF(VLOOKUP($A168-COUNT('Шаг2.Бланк заказа NEW'!$B$19:$B$201),'Бланк OLD 0.8 04'!$B$12:$K$200,6,0)="","",VLOOKUP($A168-COUNT('Шаг2.Бланк заказа NEW'!$B$19:$B$201),'Бланк OLD 0.8 04'!$B$12:$K$200,6,0))),
IF(VLOOKUP($A168-COUNT('Шаг2.Бланк заказа NEW'!$B$19:$B$201)-COUNT('Бланк OLD 0.8 04'!$B$18:$B$200),'Бланк OLD 2.0 04 '!$B$16:$K$200,6,0)="","",VLOOKUP($A168-COUNT('Шаг2.Бланк заказа NEW'!$B$19:$B$201)-COUNT('Бланк OLD 0.8 04'!$B$18:$B$200),'Бланк OLD 2.0 04 '!$B$16:$K$200,6,0)))</f>
        <v/>
      </c>
      <c r="J168" s="177" t="str">
        <f ca="1">IF(IF(T168="","",IF(T168=1,SUMIFS('Шаг1.Выбор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плиты'!C:Q,12,0)),1))))))=0,
T168,
IF(T168="","",IF(T168=1,SUMIFS('Шаг1.Выбор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плиты'!N:N,T168,'Шаг1.Выбор плиты'!M:M,SMALL(INDIRECT("мм"&amp;VLOOKUP(C168,'Шаг1.Выбор плиты'!C:Q,12,0)),1)))))))</f>
        <v/>
      </c>
      <c r="K168" s="177" t="str">
        <f ca="1">IF(IF(U168="","",IF(U168=1,SUMIFS('Шаг1.Выбор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плиты'!C:Q,12,0)),1))))))=0,
U168,
IF(U168="","",IF(U168=1,SUMIFS('Шаг1.Выбор плиты'!$G:$G,'Шаг1.Выбор плиты'!J:J,"*"&amp;RIGHT(VLOOKUP(C168,'Шаг1.Выбор плиты'!C:Q,8,0),4),'Шаг1.Выбор плиты'!L:L,IF(MID(C168,1,6)="ЛДСП P","TM"&amp;MID(VLOOKUP(C168,'Шаг1.Выбор плиты'!C:Q,10,0),3,2),MID(VLOOKUP(C168,'Шаг1.Выбор плиты'!C:Q,10,0),1,2)),
'Шаг1.Выбор плиты'!N:N,1),IF(SUMIFS('Шаг1.Выбор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плиты'!C:Q,12,0)),1))=0,
IF(SUMIFS('Шаг1.Выбор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плиты'!C:Q,12,0)),2))=0,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плиты'!C:Q,12,0)),3)),
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плиты'!C:Q,12,0)),2))),
(SUMIFS('Шаг1.Выбор плиты'!$G:$G,'Шаг1.Выбор плиты'!J:J,"*"&amp;RIGHT(VLOOKUP(C168,'Шаг1.Выбор плиты'!C:Q,8,0),4),'Шаг1.Выбор плиты'!L:L,VLOOKUP(C168,'Шаг1.Выбор плиты'!C:Q,10,0),'Шаг1.Выбор плиты'!N:N,U168,'Шаг1.Выбор плиты'!M:M,SMALL(INDIRECT("мм"&amp;VLOOKUP(C168,'Шаг1.Выбор плиты'!C:Q,12,0)),1)))))))</f>
        <v/>
      </c>
      <c r="L168" s="147" t="str">
        <f ca="1">IFERROR(IFERROR(IF(VLOOKUP($A168,'Шаг2.Бланк заказа NEW'!$B$17:$N$201,9,0)="","",VLOOKUP($A168,'Шаг2.Бланк заказа NEW'!$B$17:$N$201,9,0)),
IF(VLOOKUP($A168-COUNT('Шаг2.Бланк заказа NEW'!$B$19:$B$201),'Бланк OLD 0.8 04'!$B$12:$K$200,9,0)="","",VLOOKUP($A168-COUNT('Шаг2.Бланк заказа NEW'!$B$19:$B$201),'Бланк OLD 0.8 04'!$B$12:$K$200,9,0))),
IF(VLOOKUP($A168-COUNT('Шаг2.Бланк заказа NEW'!$B$19:$B$201)-COUNT('Бланк OLD 0.8 04'!$B$18:$B$200),'Бланк OLD 2.0 04 '!$B$16:$K$200,9,0)="","",VLOOKUP($A168-COUNT('Шаг2.Бланк заказа NEW'!$B$19:$B$201)-COUNT('Бланк OLD 0.8 04'!$B$18:$B$200),'Бланк OLD 2.0 04 '!$B$16:$K$200,9,0)))</f>
        <v/>
      </c>
      <c r="M168" s="154" t="str">
        <f t="shared" ca="1" si="15"/>
        <v/>
      </c>
      <c r="N168" s="153" t="str">
        <f ca="1">IFERROR(IF(VLOOKUP($A168,'Шаг2.Бланк заказа NEW'!$B$17:$N$201,11,0)="","",VLOOKUP($A168,'Шаг2.Бланк заказа NEW'!$B$17:$N$201,11,0)),
"Нет")</f>
        <v/>
      </c>
      <c r="O168" s="147" t="str">
        <f ca="1">IFERROR(IF(VLOOKUP($A168,'Шаг2.Бланк заказа NEW'!$B$17:$N$201,11,0)="","",VLOOKUP($A168,'Шаг2.Бланк заказа NEW'!$B$17:$N$201,12,0)),
"Нет")</f>
        <v/>
      </c>
      <c r="P168" s="153" t="str">
        <f ca="1">IFERROR(IF(VLOOKUP($A168,'Шаг2.Бланк заказа NEW'!$B$17:$N$201,13,0)="","",VLOOKUP($A168,'Шаг2.Бланк заказа NEW'!$B$17:$N$201,13,0)),
"Нет")</f>
        <v/>
      </c>
      <c r="Q168" s="147" t="str">
        <f ca="1">IFERROR(IF(VLOOKUP($A168,'Шаг2.Бланк заказа NEW'!$B$17:$O$201,14,0)="","",VLOOKUP($A168,'Шаг2.Бланк заказа NEW'!$B$17:$O$201,14,0)),"")</f>
        <v/>
      </c>
      <c r="R168" s="147" t="str">
        <f ca="1">IFERROR(IFERROR(IF(VLOOKUP($A168,'Шаг2.Бланк заказа NEW'!$B$17:$N$201,4,0)="","",VLOOKUP($A168,'Шаг2.Бланк заказа NEW'!$B$17:$N$201,4,0)),
IF(VLOOKUP($A168-COUNT('Шаг2.Бланк заказа NEW'!$B$19:$B$201),'Бланк OLD 0.8 04'!$B$12:$K$200,4,0)&gt;0,0.8,
IF(VLOOKUP($A168-COUNT('Шаг2.Бланк заказа NEW'!$B$19:$B$201),'Бланк OLD 0.8 04'!$B$12:$K$200,5,0)&gt;0,0.4,""))),
IF(VLOOKUP($A168-COUNT('Шаг2.Бланк заказа NEW'!$B$19:$B$201)-COUNT('Бланк OLD 0.8 04'!$B$18:$B$200),'Бланк OLD 2.0 04 '!$B$16:$K$200,4,0)&gt;0,2,IF(VLOOKUP($A168-COUNT('Шаг2.Бланк заказа NEW'!$B$19:$B$201)-COUNT('Бланк OLD 0.8 04'!$B$18:$B$200),'Бланк OLD 2.0 04 '!$B$16:$K$200,5,0)&gt;0,0.4,"")))</f>
        <v/>
      </c>
      <c r="S168" s="147" t="str">
        <f ca="1">IFERROR(IFERROR(IF(VLOOKUP($A168,'Шаг2.Бланк заказа NEW'!$B$17:$N$201,5,0)="","",VLOOKUP($A168,'Шаг2.Бланк заказа NEW'!$B$17:$N$201,5,0)),
IF(VLOOKUP($A168-COUNT('Шаг2.Бланк заказа NEW'!$B$19:$B$201),'Бланк OLD 0.8 04'!$B$12:$K$200,4,0)&gt;1,0.8,
IF(VLOOKUP($A168-COUNT('Шаг2.Бланк заказа NEW'!$B$19:$B$201),'Бланк OLD 0.8 04'!$B$12:$K$200,5,0)&gt;1,0.4,
IF(AND(VLOOKUP($A168-COUNT('Шаг2.Бланк заказа NEW'!$B$19:$B$201),'Бланк OLD 0.8 04'!$B$12:$K$200,4,0)&gt;0,VLOOKUP($A168-COUNT('Шаг2.Бланк заказа NEW'!$B$19:$B$201),'Бланк OLD 0.8 04'!$B$12:$K$200,5,0)&gt;0),0.4,"")))),
IF(VLOOKUP($A168-COUNT('Шаг2.Бланк заказа NEW'!$B$19:$B$201)-COUNT('Бланк OLD 0.8 04'!$B$18:$B$200),'Бланк OLD 2.0 04 '!$B$16:$K$200,4,0)&gt;1,2,
IF(VLOOKUP($A168-COUNT('Шаг2.Бланк заказа NEW'!$B$19:$B$201)-COUNT('Бланк OLD 0.8 04'!$B$18:$B$200),'Бланк OLD 2.0 04 '!$B$16:$K$200,5,0)&gt;1,0.4,IF(AND(VLOOKUP($A168-COUNT('Шаг2.Бланк заказа NEW'!$B$19:$B$201)-COUNT('Бланк OLD 0.8 04'!$B$18:$B$200),'Бланк OLD 2.0 04 '!$B$16:$K$200,4,0)&gt;0,VLOOKUP($A168-COUNT('Шаг2.Бланк заказа NEW'!$B$19:$B$201)-COUNT('Бланк OLD 0.8 04'!$B$18:$B$200),'Бланк OLD 2.0 04 '!$B$16:$K$200,5,0)&gt;0),0.4,""))))</f>
        <v/>
      </c>
      <c r="T168" s="147" t="str">
        <f ca="1">IFERROR(IFERROR(IF(VLOOKUP($A168,'Шаг2.Бланк заказа NEW'!$B$17:$N$201,7,0)="","",VLOOKUP($A168,'Шаг2.Бланк заказа NEW'!$B$17:$N$201,7,0)),
IF(VLOOKUP($A168-COUNT('Шаг2.Бланк заказа NEW'!$B$19:$B$201),'Бланк OLD 0.8 04'!$B$12:$K$200,7,0)&gt;0,0.8,
IF(VLOOKUP($A168-COUNT('Шаг2.Бланк заказа NEW'!$B$19:$B$201),'Бланк OLD 0.8 04'!$B$12:$K$200,8,0)&gt;0,0.4,""))),
IF(VLOOKUP($A168-COUNT('Шаг2.Бланк заказа NEW'!$B$19:$B$201)-COUNT('Бланк OLD 0.8 04'!$B$18:$B$200),'Бланк OLD 2.0 04 '!$B$16:$K$200,7,0)&gt;0,2,IF(VLOOKUP($A168-COUNT('Шаг2.Бланк заказа NEW'!$B$19:$B$201)-COUNT('Бланк OLD 0.8 04'!$B$18:$B$200),'Бланк OLD 2.0 04 '!$B$16:$K$200,8,0)&gt;0,0.4,"")))</f>
        <v/>
      </c>
      <c r="U168" s="147" t="str">
        <f ca="1">IFERROR(IFERROR(IF(VLOOKUP($A168,'Шаг2.Бланк заказа NEW'!$B$17:$N$201,8,0)="","",VLOOKUP($A168,'Шаг2.Бланк заказа NEW'!$B$17:$N$201,8,0)),
IF(VLOOKUP($A168-COUNT('Шаг2.Бланк заказа NEW'!$B$19:$B$201),'Бланк OLD 0.8 04'!$B$12:$K$200,7,0)&gt;1,0.8,
IF(VLOOKUP($A168-COUNT('Шаг2.Бланк заказа NEW'!$B$19:$B$201),'Бланк OLD 0.8 04'!$B$12:$K$200,8,0)&gt;1,0.4,
IF(AND(VLOOKUP($A168-COUNT('Шаг2.Бланк заказа NEW'!$B$19:$B$201),'Бланк OLD 0.8 04'!$B$12:$K$200,7,0)&gt;0,VLOOKUP($A168-COUNT('Шаг2.Бланк заказа NEW'!$B$19:$B$201),'Бланк OLD 0.8 04'!$B$12:$K$200,8,0)&gt;0),0.4,"")))),
IF(VLOOKUP($A168-COUNT('Шаг2.Бланк заказа NEW'!$B$19:$B$201)-COUNT('Бланк OLD 0.8 04'!$B$18:$B$200),'Бланк OLD 2.0 04 '!$B$16:$K$200,7,0)&gt;1,2,
IF(VLOOKUP($A168-COUNT('Шаг2.Бланк заказа NEW'!$B$19:$B$201)-COUNT('Бланк OLD 0.8 04'!$B$18:$B$200),'Бланк OLD 2.0 04 '!$B$16:$K$200,8,0)&gt;1,0.4,
IF(AND(VLOOKUP($A168-COUNT('Шаг2.Бланк заказа NEW'!$B$19:$B$201)-COUNT('Бланк OLD 0.8 04'!$B$18:$B$200),'Бланк OLD 2.0 04 '!$B$16:$K$200,7,0)&gt;0,VLOOKUP($A168-COUNT('Шаг2.Бланк заказа NEW'!$B$19:$B$201)-COUNT('Бланк OLD 0.8 04'!$B$18:$B$200),'Бланк OLD 2.0 04 '!$B$16:$K$200,8,0)&gt;0),0.4,""))))</f>
        <v/>
      </c>
      <c r="V168" s="146" t="str">
        <f ca="1">IFERROR(VLOOKUP(C168,'Шаг1.Выбор плиты'!C:S,12,0),"")</f>
        <v/>
      </c>
      <c r="W168" s="146" t="str">
        <f ca="1">IFERROR(VLOOKUP(C168,'Шаг1.Выбор плиты'!C:S,8,0),"")</f>
        <v/>
      </c>
      <c r="X168" s="146" t="str">
        <f ca="1">IFERROR(VLOOKUP(C168,'Шаг1.Выбор плиты'!C:S,10,0),"")</f>
        <v/>
      </c>
      <c r="Y168" s="147" t="str">
        <f t="shared" ca="1" si="13"/>
        <v/>
      </c>
      <c r="AD168" s="147" t="str">
        <f t="shared" ca="1" si="16"/>
        <v/>
      </c>
      <c r="AE168" s="147" t="str">
        <f t="shared" ca="1" si="14"/>
        <v/>
      </c>
      <c r="AF168" s="25"/>
      <c r="AH168" s="147" t="str">
        <f ca="1">IF(C168="","",VLOOKUP(C168,'Шаг1.Выбор плиты'!C:Q,7,0))</f>
        <v/>
      </c>
      <c r="AI168" s="147" t="str">
        <f t="shared" ca="1" si="17"/>
        <v/>
      </c>
    </row>
    <row r="169" spans="1:35" x14ac:dyDescent="0.2">
      <c r="A169" s="151" t="str">
        <f ca="1">IF(C169="","",MAX($A$1:OFFSET(C169,-1,0))+1)</f>
        <v/>
      </c>
      <c r="B169" s="151" t="str">
        <f ca="1">IFERROR(IFERROR(IFERROR("Шаг2.Бланк заказа NEW №"&amp;VLOOKUP(A168+1,CHOOSE({1,2},'Шаг2.Бланк заказа NEW'!$B$19:$B$201,'Шаг2.Бланк заказа NEW'!$A$19:$A$201),1,0),
"Бланк OLD 0.8 04 №"&amp;VLOOKUP(A168+1-COUNT('Шаг2.Бланк заказа NEW'!$B$19:$B$201),CHOOSE({1,2},'Бланк OLD 0.8 04'!$B$18:$B$200,'Бланк OLD 0.8 04'!$A$18:$A$200),1,0)),
"Бланк OLD 2.0 04 №"&amp;VLOOKUP(A168+1-COUNT('Шаг2.Бланк заказа NEW'!$B$19:$B$201)-COUNT('Бланк OLD 0.8 04'!$B$18:$B$200),CHOOSE({1,2},'Бланк OLD 2.0 04 '!$B$18:$B$200,'Бланк OLD 2.0 04 '!$A$18:$A$200),1,0)),"")</f>
        <v/>
      </c>
      <c r="C169" s="152" t="str">
        <f ca="1">IFERROR(IFERROR(IFERROR(VLOOKUP(A168+1,CHOOSE({1,2},'Шаг2.Бланк заказа NEW'!$B$19:$B$201,'Шаг2.Бланк заказа NEW'!$A$19:$A$201),2,0),
VLOOKUP(A168+1-COUNT('Шаг2.Бланк заказа NEW'!$B$19:$B$201),CHOOSE({1,2},'Бланк OLD 0.8 04'!$B$18:$B$200,'Бланк OLD 0.8 04'!$A$18:$A$200),2,0)),
VLOOKUP(A168+1-COUNT('Шаг2.Бланк заказа NEW'!$B$19:$B$201)-COUNT('Бланк OLD 0.8 04'!$B$18:$B$200),CHOOSE({1,2},'Бланк OLD 2.0 04 '!$B$18:$B$200,'Бланк OLD 2.0 04 '!$A$18:$A$200),2,0)),"")</f>
        <v/>
      </c>
      <c r="D169" s="150" t="str">
        <f ca="1">IFERROR(VLOOKUP(C169,'Шаг1.Выбор плиты'!C:G,5,0),"")</f>
        <v/>
      </c>
      <c r="E169" s="147" t="str">
        <f ca="1">IFERROR(IFERROR(IF(VLOOKUP($A169,'Шаг2.Бланк заказа NEW'!$B$17:$N$201,2,0)="","",VLOOKUP($A169,'Шаг2.Бланк заказа NEW'!$B$17:$N$201,2,0)),
IF(VLOOKUP($A169-COUNT('Шаг2.Бланк заказа NEW'!$B$19:$B$201),'Бланк OLD 0.8 04'!$B$12:$K$200,2,0)="","",VLOOKUP($A169-COUNT('Шаг2.Бланк заказа NEW'!$B$19:$B$201),'Бланк OLD 0.8 04'!$B$12:$K$200,2,0))),
IF(VLOOKUP($A169-COUNT('Шаг2.Бланк заказа NEW'!$B$19:$B$201)-COUNT('Бланк OLD 0.8 04'!$B$18:$B$200),'Бланк OLD 2.0 04 '!$B$16:$K$200,2,0)="","",VLOOKUP($A169-COUNT('Шаг2.Бланк заказа NEW'!$B$19:$B$201)-COUNT('Бланк OLD 0.8 04'!$B$18:$B$200),'Бланк OLD 2.0 04 '!$B$16:$K$200,2,0)))</f>
        <v/>
      </c>
      <c r="F169" s="147" t="str">
        <f ca="1">IFERROR(IFERROR(IF(VLOOKUP($A169,'Шаг2.Бланк заказа NEW'!$B$17:$N$201,3,0)="","",VLOOKUP($A169,'Шаг2.Бланк заказа NEW'!$B$17:$N$201,3,0)),
IF(VLOOKUP($A169-COUNT('Шаг2.Бланк заказа NEW'!$B$19:$B$201),'Бланк OLD 0.8 04'!$B$12:$K$200,3,0)="","",VLOOKUP($A169-COUNT('Шаг2.Бланк заказа NEW'!$B$19:$B$201),'Бланк OLD 0.8 04'!$B$12:$K$200,3,0))),
IF(VLOOKUP($A169-COUNT('Шаг2.Бланк заказа NEW'!$B$19:$B$201)-COUNT('Бланк OLD 0.8 04'!$B$18:$B$200),'Бланк OLD 2.0 04 '!$B$16:$K$200,3,0)="","",VLOOKUP($A169-COUNT('Шаг2.Бланк заказа NEW'!$B$19:$B$201)-COUNT('Бланк OLD 0.8 04'!$B$18:$B$200),'Бланк OLD 2.0 04 '!$B$16:$K$200,3,0)))</f>
        <v/>
      </c>
      <c r="G169" s="176" t="str">
        <f ca="1">IF(IF(R169="","",IF(R169=1,SUMIFS('Шаг1.Выбор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плиты'!C:Q,12,0)),1))))))=0,
R169,
IF(R169="","",IF(R169=1,SUMIFS('Шаг1.Выбор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плиты'!N:N,R169,'Шаг1.Выбор плиты'!M:M,SMALL(INDIRECT("мм"&amp;VLOOKUP(C169,'Шаг1.Выбор плиты'!C:Q,12,0)),1)))))))</f>
        <v/>
      </c>
      <c r="H169" s="177" t="str">
        <f ca="1">IF(IF(S169="","",IF(S169=1,SUMIFS('Шаг1.Выбор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плиты'!C:Q,12,0)),1))))))=0,
S169,
IF(S169="","",IF(S169=1,SUMIFS('Шаг1.Выбор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плиты'!N:N,S169,'Шаг1.Выбор плиты'!M:M,SMALL(INDIRECT("мм"&amp;VLOOKUP(C169,'Шаг1.Выбор плиты'!C:Q,12,0)),1)))))))</f>
        <v/>
      </c>
      <c r="I169" s="147" t="str">
        <f ca="1">IFERROR(IFERROR(IF(VLOOKUP($A169,'Шаг2.Бланк заказа NEW'!$B$17:$N$201,6,0)="","",VLOOKUP($A169,'Шаг2.Бланк заказа NEW'!$B$17:$N$201,6,0)),
IF(VLOOKUP($A169-COUNT('Шаг2.Бланк заказа NEW'!$B$19:$B$201),'Бланк OLD 0.8 04'!$B$12:$K$200,6,0)="","",VLOOKUP($A169-COUNT('Шаг2.Бланк заказа NEW'!$B$19:$B$201),'Бланк OLD 0.8 04'!$B$12:$K$200,6,0))),
IF(VLOOKUP($A169-COUNT('Шаг2.Бланк заказа NEW'!$B$19:$B$201)-COUNT('Бланк OLD 0.8 04'!$B$18:$B$200),'Бланк OLD 2.0 04 '!$B$16:$K$200,6,0)="","",VLOOKUP($A169-COUNT('Шаг2.Бланк заказа NEW'!$B$19:$B$201)-COUNT('Бланк OLD 0.8 04'!$B$18:$B$200),'Бланк OLD 2.0 04 '!$B$16:$K$200,6,0)))</f>
        <v/>
      </c>
      <c r="J169" s="177" t="str">
        <f ca="1">IF(IF(T169="","",IF(T169=1,SUMIFS('Шаг1.Выбор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плиты'!C:Q,12,0)),1))))))=0,
T169,
IF(T169="","",IF(T169=1,SUMIFS('Шаг1.Выбор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плиты'!N:N,T169,'Шаг1.Выбор плиты'!M:M,SMALL(INDIRECT("мм"&amp;VLOOKUP(C169,'Шаг1.Выбор плиты'!C:Q,12,0)),1)))))))</f>
        <v/>
      </c>
      <c r="K169" s="177" t="str">
        <f ca="1">IF(IF(U169="","",IF(U169=1,SUMIFS('Шаг1.Выбор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плиты'!C:Q,12,0)),1))))))=0,
U169,
IF(U169="","",IF(U169=1,SUMIFS('Шаг1.Выбор плиты'!$G:$G,'Шаг1.Выбор плиты'!J:J,"*"&amp;RIGHT(VLOOKUP(C169,'Шаг1.Выбор плиты'!C:Q,8,0),4),'Шаг1.Выбор плиты'!L:L,IF(MID(C169,1,6)="ЛДСП P","TM"&amp;MID(VLOOKUP(C169,'Шаг1.Выбор плиты'!C:Q,10,0),3,2),MID(VLOOKUP(C169,'Шаг1.Выбор плиты'!C:Q,10,0),1,2)),
'Шаг1.Выбор плиты'!N:N,1),IF(SUMIFS('Шаг1.Выбор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плиты'!C:Q,12,0)),1))=0,
IF(SUMIFS('Шаг1.Выбор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плиты'!C:Q,12,0)),2))=0,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плиты'!C:Q,12,0)),3)),
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плиты'!C:Q,12,0)),2))),
(SUMIFS('Шаг1.Выбор плиты'!$G:$G,'Шаг1.Выбор плиты'!J:J,"*"&amp;RIGHT(VLOOKUP(C169,'Шаг1.Выбор плиты'!C:Q,8,0),4),'Шаг1.Выбор плиты'!L:L,VLOOKUP(C169,'Шаг1.Выбор плиты'!C:Q,10,0),'Шаг1.Выбор плиты'!N:N,U169,'Шаг1.Выбор плиты'!M:M,SMALL(INDIRECT("мм"&amp;VLOOKUP(C169,'Шаг1.Выбор плиты'!C:Q,12,0)),1)))))))</f>
        <v/>
      </c>
      <c r="L169" s="147" t="str">
        <f ca="1">IFERROR(IFERROR(IF(VLOOKUP($A169,'Шаг2.Бланк заказа NEW'!$B$17:$N$201,9,0)="","",VLOOKUP($A169,'Шаг2.Бланк заказа NEW'!$B$17:$N$201,9,0)),
IF(VLOOKUP($A169-COUNT('Шаг2.Бланк заказа NEW'!$B$19:$B$201),'Бланк OLD 0.8 04'!$B$12:$K$200,9,0)="","",VLOOKUP($A169-COUNT('Шаг2.Бланк заказа NEW'!$B$19:$B$201),'Бланк OLD 0.8 04'!$B$12:$K$200,9,0))),
IF(VLOOKUP($A169-COUNT('Шаг2.Бланк заказа NEW'!$B$19:$B$201)-COUNT('Бланк OLD 0.8 04'!$B$18:$B$200),'Бланк OLD 2.0 04 '!$B$16:$K$200,9,0)="","",VLOOKUP($A169-COUNT('Шаг2.Бланк заказа NEW'!$B$19:$B$201)-COUNT('Бланк OLD 0.8 04'!$B$18:$B$200),'Бланк OLD 2.0 04 '!$B$16:$K$200,9,0)))</f>
        <v/>
      </c>
      <c r="M169" s="154" t="str">
        <f t="shared" ca="1" si="15"/>
        <v/>
      </c>
      <c r="N169" s="153" t="str">
        <f ca="1">IFERROR(IF(VLOOKUP($A169,'Шаг2.Бланк заказа NEW'!$B$17:$N$201,11,0)="","",VLOOKUP($A169,'Шаг2.Бланк заказа NEW'!$B$17:$N$201,11,0)),
"Нет")</f>
        <v/>
      </c>
      <c r="O169" s="147" t="str">
        <f ca="1">IFERROR(IF(VLOOKUP($A169,'Шаг2.Бланк заказа NEW'!$B$17:$N$201,11,0)="","",VLOOKUP($A169,'Шаг2.Бланк заказа NEW'!$B$17:$N$201,12,0)),
"Нет")</f>
        <v/>
      </c>
      <c r="P169" s="153" t="str">
        <f ca="1">IFERROR(IF(VLOOKUP($A169,'Шаг2.Бланк заказа NEW'!$B$17:$N$201,13,0)="","",VLOOKUP($A169,'Шаг2.Бланк заказа NEW'!$B$17:$N$201,13,0)),
"Нет")</f>
        <v/>
      </c>
      <c r="Q169" s="147" t="str">
        <f ca="1">IFERROR(IF(VLOOKUP($A169,'Шаг2.Бланк заказа NEW'!$B$17:$O$201,14,0)="","",VLOOKUP($A169,'Шаг2.Бланк заказа NEW'!$B$17:$O$201,14,0)),"")</f>
        <v/>
      </c>
      <c r="R169" s="147" t="str">
        <f ca="1">IFERROR(IFERROR(IF(VLOOKUP($A169,'Шаг2.Бланк заказа NEW'!$B$17:$N$201,4,0)="","",VLOOKUP($A169,'Шаг2.Бланк заказа NEW'!$B$17:$N$201,4,0)),
IF(VLOOKUP($A169-COUNT('Шаг2.Бланк заказа NEW'!$B$19:$B$201),'Бланк OLD 0.8 04'!$B$12:$K$200,4,0)&gt;0,0.8,
IF(VLOOKUP($A169-COUNT('Шаг2.Бланк заказа NEW'!$B$19:$B$201),'Бланк OLD 0.8 04'!$B$12:$K$200,5,0)&gt;0,0.4,""))),
IF(VLOOKUP($A169-COUNT('Шаг2.Бланк заказа NEW'!$B$19:$B$201)-COUNT('Бланк OLD 0.8 04'!$B$18:$B$200),'Бланк OLD 2.0 04 '!$B$16:$K$200,4,0)&gt;0,2,IF(VLOOKUP($A169-COUNT('Шаг2.Бланк заказа NEW'!$B$19:$B$201)-COUNT('Бланк OLD 0.8 04'!$B$18:$B$200),'Бланк OLD 2.0 04 '!$B$16:$K$200,5,0)&gt;0,0.4,"")))</f>
        <v/>
      </c>
      <c r="S169" s="147" t="str">
        <f ca="1">IFERROR(IFERROR(IF(VLOOKUP($A169,'Шаг2.Бланк заказа NEW'!$B$17:$N$201,5,0)="","",VLOOKUP($A169,'Шаг2.Бланк заказа NEW'!$B$17:$N$201,5,0)),
IF(VLOOKUP($A169-COUNT('Шаг2.Бланк заказа NEW'!$B$19:$B$201),'Бланк OLD 0.8 04'!$B$12:$K$200,4,0)&gt;1,0.8,
IF(VLOOKUP($A169-COUNT('Шаг2.Бланк заказа NEW'!$B$19:$B$201),'Бланк OLD 0.8 04'!$B$12:$K$200,5,0)&gt;1,0.4,
IF(AND(VLOOKUP($A169-COUNT('Шаг2.Бланк заказа NEW'!$B$19:$B$201),'Бланк OLD 0.8 04'!$B$12:$K$200,4,0)&gt;0,VLOOKUP($A169-COUNT('Шаг2.Бланк заказа NEW'!$B$19:$B$201),'Бланк OLD 0.8 04'!$B$12:$K$200,5,0)&gt;0),0.4,"")))),
IF(VLOOKUP($A169-COUNT('Шаг2.Бланк заказа NEW'!$B$19:$B$201)-COUNT('Бланк OLD 0.8 04'!$B$18:$B$200),'Бланк OLD 2.0 04 '!$B$16:$K$200,4,0)&gt;1,2,
IF(VLOOKUP($A169-COUNT('Шаг2.Бланк заказа NEW'!$B$19:$B$201)-COUNT('Бланк OLD 0.8 04'!$B$18:$B$200),'Бланк OLD 2.0 04 '!$B$16:$K$200,5,0)&gt;1,0.4,IF(AND(VLOOKUP($A169-COUNT('Шаг2.Бланк заказа NEW'!$B$19:$B$201)-COUNT('Бланк OLD 0.8 04'!$B$18:$B$200),'Бланк OLD 2.0 04 '!$B$16:$K$200,4,0)&gt;0,VLOOKUP($A169-COUNT('Шаг2.Бланк заказа NEW'!$B$19:$B$201)-COUNT('Бланк OLD 0.8 04'!$B$18:$B$200),'Бланк OLD 2.0 04 '!$B$16:$K$200,5,0)&gt;0),0.4,""))))</f>
        <v/>
      </c>
      <c r="T169" s="147" t="str">
        <f ca="1">IFERROR(IFERROR(IF(VLOOKUP($A169,'Шаг2.Бланк заказа NEW'!$B$17:$N$201,7,0)="","",VLOOKUP($A169,'Шаг2.Бланк заказа NEW'!$B$17:$N$201,7,0)),
IF(VLOOKUP($A169-COUNT('Шаг2.Бланк заказа NEW'!$B$19:$B$201),'Бланк OLD 0.8 04'!$B$12:$K$200,7,0)&gt;0,0.8,
IF(VLOOKUP($A169-COUNT('Шаг2.Бланк заказа NEW'!$B$19:$B$201),'Бланк OLD 0.8 04'!$B$12:$K$200,8,0)&gt;0,0.4,""))),
IF(VLOOKUP($A169-COUNT('Шаг2.Бланк заказа NEW'!$B$19:$B$201)-COUNT('Бланк OLD 0.8 04'!$B$18:$B$200),'Бланк OLD 2.0 04 '!$B$16:$K$200,7,0)&gt;0,2,IF(VLOOKUP($A169-COUNT('Шаг2.Бланк заказа NEW'!$B$19:$B$201)-COUNT('Бланк OLD 0.8 04'!$B$18:$B$200),'Бланк OLD 2.0 04 '!$B$16:$K$200,8,0)&gt;0,0.4,"")))</f>
        <v/>
      </c>
      <c r="U169" s="147" t="str">
        <f ca="1">IFERROR(IFERROR(IF(VLOOKUP($A169,'Шаг2.Бланк заказа NEW'!$B$17:$N$201,8,0)="","",VLOOKUP($A169,'Шаг2.Бланк заказа NEW'!$B$17:$N$201,8,0)),
IF(VLOOKUP($A169-COUNT('Шаг2.Бланк заказа NEW'!$B$19:$B$201),'Бланк OLD 0.8 04'!$B$12:$K$200,7,0)&gt;1,0.8,
IF(VLOOKUP($A169-COUNT('Шаг2.Бланк заказа NEW'!$B$19:$B$201),'Бланк OLD 0.8 04'!$B$12:$K$200,8,0)&gt;1,0.4,
IF(AND(VLOOKUP($A169-COUNT('Шаг2.Бланк заказа NEW'!$B$19:$B$201),'Бланк OLD 0.8 04'!$B$12:$K$200,7,0)&gt;0,VLOOKUP($A169-COUNT('Шаг2.Бланк заказа NEW'!$B$19:$B$201),'Бланк OLD 0.8 04'!$B$12:$K$200,8,0)&gt;0),0.4,"")))),
IF(VLOOKUP($A169-COUNT('Шаг2.Бланк заказа NEW'!$B$19:$B$201)-COUNT('Бланк OLD 0.8 04'!$B$18:$B$200),'Бланк OLD 2.0 04 '!$B$16:$K$200,7,0)&gt;1,2,
IF(VLOOKUP($A169-COUNT('Шаг2.Бланк заказа NEW'!$B$19:$B$201)-COUNT('Бланк OLD 0.8 04'!$B$18:$B$200),'Бланк OLD 2.0 04 '!$B$16:$K$200,8,0)&gt;1,0.4,
IF(AND(VLOOKUP($A169-COUNT('Шаг2.Бланк заказа NEW'!$B$19:$B$201)-COUNT('Бланк OLD 0.8 04'!$B$18:$B$200),'Бланк OLD 2.0 04 '!$B$16:$K$200,7,0)&gt;0,VLOOKUP($A169-COUNT('Шаг2.Бланк заказа NEW'!$B$19:$B$201)-COUNT('Бланк OLD 0.8 04'!$B$18:$B$200),'Бланк OLD 2.0 04 '!$B$16:$K$200,8,0)&gt;0),0.4,""))))</f>
        <v/>
      </c>
      <c r="V169" s="146" t="str">
        <f ca="1">IFERROR(VLOOKUP(C169,'Шаг1.Выбор плиты'!C:S,12,0),"")</f>
        <v/>
      </c>
      <c r="W169" s="146" t="str">
        <f ca="1">IFERROR(VLOOKUP(C169,'Шаг1.Выбор плиты'!C:S,8,0),"")</f>
        <v/>
      </c>
      <c r="X169" s="146" t="str">
        <f ca="1">IFERROR(VLOOKUP(C169,'Шаг1.Выбор плиты'!C:S,10,0),"")</f>
        <v/>
      </c>
      <c r="Y169" s="147" t="str">
        <f t="shared" ca="1" si="13"/>
        <v/>
      </c>
      <c r="AD169" s="147" t="str">
        <f t="shared" ca="1" si="16"/>
        <v/>
      </c>
      <c r="AE169" s="147" t="str">
        <f t="shared" ca="1" si="14"/>
        <v/>
      </c>
      <c r="AF169" s="25"/>
      <c r="AH169" s="147" t="str">
        <f ca="1">IF(C169="","",VLOOKUP(C169,'Шаг1.Выбор плиты'!C:Q,7,0))</f>
        <v/>
      </c>
      <c r="AI169" s="147" t="str">
        <f t="shared" ca="1" si="17"/>
        <v/>
      </c>
    </row>
    <row r="170" spans="1:35" x14ac:dyDescent="0.2">
      <c r="A170" s="151" t="str">
        <f ca="1">IF(C170="","",MAX($A$1:OFFSET(C170,-1,0))+1)</f>
        <v/>
      </c>
      <c r="B170" s="151" t="str">
        <f ca="1">IFERROR(IFERROR(IFERROR("Шаг2.Бланк заказа NEW №"&amp;VLOOKUP(A169+1,CHOOSE({1,2},'Шаг2.Бланк заказа NEW'!$B$19:$B$201,'Шаг2.Бланк заказа NEW'!$A$19:$A$201),1,0),
"Бланк OLD 0.8 04 №"&amp;VLOOKUP(A169+1-COUNT('Шаг2.Бланк заказа NEW'!$B$19:$B$201),CHOOSE({1,2},'Бланк OLD 0.8 04'!$B$18:$B$200,'Бланк OLD 0.8 04'!$A$18:$A$200),1,0)),
"Бланк OLD 2.0 04 №"&amp;VLOOKUP(A169+1-COUNT('Шаг2.Бланк заказа NEW'!$B$19:$B$201)-COUNT('Бланк OLD 0.8 04'!$B$18:$B$200),CHOOSE({1,2},'Бланк OLD 2.0 04 '!$B$18:$B$200,'Бланк OLD 2.0 04 '!$A$18:$A$200),1,0)),"")</f>
        <v/>
      </c>
      <c r="C170" s="152" t="str">
        <f ca="1">IFERROR(IFERROR(IFERROR(VLOOKUP(A169+1,CHOOSE({1,2},'Шаг2.Бланк заказа NEW'!$B$19:$B$201,'Шаг2.Бланк заказа NEW'!$A$19:$A$201),2,0),
VLOOKUP(A169+1-COUNT('Шаг2.Бланк заказа NEW'!$B$19:$B$201),CHOOSE({1,2},'Бланк OLD 0.8 04'!$B$18:$B$200,'Бланк OLD 0.8 04'!$A$18:$A$200),2,0)),
VLOOKUP(A169+1-COUNT('Шаг2.Бланк заказа NEW'!$B$19:$B$201)-COUNT('Бланк OLD 0.8 04'!$B$18:$B$200),CHOOSE({1,2},'Бланк OLD 2.0 04 '!$B$18:$B$200,'Бланк OLD 2.0 04 '!$A$18:$A$200),2,0)),"")</f>
        <v/>
      </c>
      <c r="D170" s="150" t="str">
        <f ca="1">IFERROR(VLOOKUP(C170,'Шаг1.Выбор плиты'!C:G,5,0),"")</f>
        <v/>
      </c>
      <c r="E170" s="147" t="str">
        <f ca="1">IFERROR(IFERROR(IF(VLOOKUP($A170,'Шаг2.Бланк заказа NEW'!$B$17:$N$201,2,0)="","",VLOOKUP($A170,'Шаг2.Бланк заказа NEW'!$B$17:$N$201,2,0)),
IF(VLOOKUP($A170-COUNT('Шаг2.Бланк заказа NEW'!$B$19:$B$201),'Бланк OLD 0.8 04'!$B$12:$K$200,2,0)="","",VLOOKUP($A170-COUNT('Шаг2.Бланк заказа NEW'!$B$19:$B$201),'Бланк OLD 0.8 04'!$B$12:$K$200,2,0))),
IF(VLOOKUP($A170-COUNT('Шаг2.Бланк заказа NEW'!$B$19:$B$201)-COUNT('Бланк OLD 0.8 04'!$B$18:$B$200),'Бланк OLD 2.0 04 '!$B$16:$K$200,2,0)="","",VLOOKUP($A170-COUNT('Шаг2.Бланк заказа NEW'!$B$19:$B$201)-COUNT('Бланк OLD 0.8 04'!$B$18:$B$200),'Бланк OLD 2.0 04 '!$B$16:$K$200,2,0)))</f>
        <v/>
      </c>
      <c r="F170" s="147" t="str">
        <f ca="1">IFERROR(IFERROR(IF(VLOOKUP($A170,'Шаг2.Бланк заказа NEW'!$B$17:$N$201,3,0)="","",VLOOKUP($A170,'Шаг2.Бланк заказа NEW'!$B$17:$N$201,3,0)),
IF(VLOOKUP($A170-COUNT('Шаг2.Бланк заказа NEW'!$B$19:$B$201),'Бланк OLD 0.8 04'!$B$12:$K$200,3,0)="","",VLOOKUP($A170-COUNT('Шаг2.Бланк заказа NEW'!$B$19:$B$201),'Бланк OLD 0.8 04'!$B$12:$K$200,3,0))),
IF(VLOOKUP($A170-COUNT('Шаг2.Бланк заказа NEW'!$B$19:$B$201)-COUNT('Бланк OLD 0.8 04'!$B$18:$B$200),'Бланк OLD 2.0 04 '!$B$16:$K$200,3,0)="","",VLOOKUP($A170-COUNT('Шаг2.Бланк заказа NEW'!$B$19:$B$201)-COUNT('Бланк OLD 0.8 04'!$B$18:$B$200),'Бланк OLD 2.0 04 '!$B$16:$K$200,3,0)))</f>
        <v/>
      </c>
      <c r="G170" s="176" t="str">
        <f ca="1">IF(IF(R170="","",IF(R170=1,SUMIFS('Шаг1.Выбор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плиты'!C:Q,12,0)),1))))))=0,
R170,
IF(R170="","",IF(R170=1,SUMIFS('Шаг1.Выбор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плиты'!N:N,R170,'Шаг1.Выбор плиты'!M:M,SMALL(INDIRECT("мм"&amp;VLOOKUP(C170,'Шаг1.Выбор плиты'!C:Q,12,0)),1)))))))</f>
        <v/>
      </c>
      <c r="H170" s="177" t="str">
        <f ca="1">IF(IF(S170="","",IF(S170=1,SUMIFS('Шаг1.Выбор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плиты'!C:Q,12,0)),1))))))=0,
S170,
IF(S170="","",IF(S170=1,SUMIFS('Шаг1.Выбор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плиты'!N:N,S170,'Шаг1.Выбор плиты'!M:M,SMALL(INDIRECT("мм"&amp;VLOOKUP(C170,'Шаг1.Выбор плиты'!C:Q,12,0)),1)))))))</f>
        <v/>
      </c>
      <c r="I170" s="147" t="str">
        <f ca="1">IFERROR(IFERROR(IF(VLOOKUP($A170,'Шаг2.Бланк заказа NEW'!$B$17:$N$201,6,0)="","",VLOOKUP($A170,'Шаг2.Бланк заказа NEW'!$B$17:$N$201,6,0)),
IF(VLOOKUP($A170-COUNT('Шаг2.Бланк заказа NEW'!$B$19:$B$201),'Бланк OLD 0.8 04'!$B$12:$K$200,6,0)="","",VLOOKUP($A170-COUNT('Шаг2.Бланк заказа NEW'!$B$19:$B$201),'Бланк OLD 0.8 04'!$B$12:$K$200,6,0))),
IF(VLOOKUP($A170-COUNT('Шаг2.Бланк заказа NEW'!$B$19:$B$201)-COUNT('Бланк OLD 0.8 04'!$B$18:$B$200),'Бланк OLD 2.0 04 '!$B$16:$K$200,6,0)="","",VLOOKUP($A170-COUNT('Шаг2.Бланк заказа NEW'!$B$19:$B$201)-COUNT('Бланк OLD 0.8 04'!$B$18:$B$200),'Бланк OLD 2.0 04 '!$B$16:$K$200,6,0)))</f>
        <v/>
      </c>
      <c r="J170" s="177" t="str">
        <f ca="1">IF(IF(T170="","",IF(T170=1,SUMIFS('Шаг1.Выбор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плиты'!C:Q,12,0)),1))))))=0,
T170,
IF(T170="","",IF(T170=1,SUMIFS('Шаг1.Выбор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плиты'!N:N,T170,'Шаг1.Выбор плиты'!M:M,SMALL(INDIRECT("мм"&amp;VLOOKUP(C170,'Шаг1.Выбор плиты'!C:Q,12,0)),1)))))))</f>
        <v/>
      </c>
      <c r="K170" s="177" t="str">
        <f ca="1">IF(IF(U170="","",IF(U170=1,SUMIFS('Шаг1.Выбор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плиты'!C:Q,12,0)),1))))))=0,
U170,
IF(U170="","",IF(U170=1,SUMIFS('Шаг1.Выбор плиты'!$G:$G,'Шаг1.Выбор плиты'!J:J,"*"&amp;RIGHT(VLOOKUP(C170,'Шаг1.Выбор плиты'!C:Q,8,0),4),'Шаг1.Выбор плиты'!L:L,IF(MID(C170,1,6)="ЛДСП P","TM"&amp;MID(VLOOKUP(C170,'Шаг1.Выбор плиты'!C:Q,10,0),3,2),MID(VLOOKUP(C170,'Шаг1.Выбор плиты'!C:Q,10,0),1,2)),
'Шаг1.Выбор плиты'!N:N,1),IF(SUMIFS('Шаг1.Выбор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плиты'!C:Q,12,0)),1))=0,
IF(SUMIFS('Шаг1.Выбор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плиты'!C:Q,12,0)),2))=0,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плиты'!C:Q,12,0)),3)),
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плиты'!C:Q,12,0)),2))),
(SUMIFS('Шаг1.Выбор плиты'!$G:$G,'Шаг1.Выбор плиты'!J:J,"*"&amp;RIGHT(VLOOKUP(C170,'Шаг1.Выбор плиты'!C:Q,8,0),4),'Шаг1.Выбор плиты'!L:L,VLOOKUP(C170,'Шаг1.Выбор плиты'!C:Q,10,0),'Шаг1.Выбор плиты'!N:N,U170,'Шаг1.Выбор плиты'!M:M,SMALL(INDIRECT("мм"&amp;VLOOKUP(C170,'Шаг1.Выбор плиты'!C:Q,12,0)),1)))))))</f>
        <v/>
      </c>
      <c r="L170" s="147" t="str">
        <f ca="1">IFERROR(IFERROR(IF(VLOOKUP($A170,'Шаг2.Бланк заказа NEW'!$B$17:$N$201,9,0)="","",VLOOKUP($A170,'Шаг2.Бланк заказа NEW'!$B$17:$N$201,9,0)),
IF(VLOOKUP($A170-COUNT('Шаг2.Бланк заказа NEW'!$B$19:$B$201),'Бланк OLD 0.8 04'!$B$12:$K$200,9,0)="","",VLOOKUP($A170-COUNT('Шаг2.Бланк заказа NEW'!$B$19:$B$201),'Бланк OLD 0.8 04'!$B$12:$K$200,9,0))),
IF(VLOOKUP($A170-COUNT('Шаг2.Бланк заказа NEW'!$B$19:$B$201)-COUNT('Бланк OLD 0.8 04'!$B$18:$B$200),'Бланк OLD 2.0 04 '!$B$16:$K$200,9,0)="","",VLOOKUP($A170-COUNT('Шаг2.Бланк заказа NEW'!$B$19:$B$201)-COUNT('Бланк OLD 0.8 04'!$B$18:$B$200),'Бланк OLD 2.0 04 '!$B$16:$K$200,9,0)))</f>
        <v/>
      </c>
      <c r="M170" s="154" t="str">
        <f t="shared" ca="1" si="15"/>
        <v/>
      </c>
      <c r="N170" s="153" t="str">
        <f ca="1">IFERROR(IF(VLOOKUP($A170,'Шаг2.Бланк заказа NEW'!$B$17:$N$201,11,0)="","",VLOOKUP($A170,'Шаг2.Бланк заказа NEW'!$B$17:$N$201,11,0)),
"Нет")</f>
        <v/>
      </c>
      <c r="O170" s="147" t="str">
        <f ca="1">IFERROR(IF(VLOOKUP($A170,'Шаг2.Бланк заказа NEW'!$B$17:$N$201,11,0)="","",VLOOKUP($A170,'Шаг2.Бланк заказа NEW'!$B$17:$N$201,12,0)),
"Нет")</f>
        <v/>
      </c>
      <c r="P170" s="153" t="str">
        <f ca="1">IFERROR(IF(VLOOKUP($A170,'Шаг2.Бланк заказа NEW'!$B$17:$N$201,13,0)="","",VLOOKUP($A170,'Шаг2.Бланк заказа NEW'!$B$17:$N$201,13,0)),
"Нет")</f>
        <v/>
      </c>
      <c r="Q170" s="147" t="str">
        <f ca="1">IFERROR(IF(VLOOKUP($A170,'Шаг2.Бланк заказа NEW'!$B$17:$O$201,14,0)="","",VLOOKUP($A170,'Шаг2.Бланк заказа NEW'!$B$17:$O$201,14,0)),"")</f>
        <v/>
      </c>
      <c r="R170" s="147" t="str">
        <f ca="1">IFERROR(IFERROR(IF(VLOOKUP($A170,'Шаг2.Бланк заказа NEW'!$B$17:$N$201,4,0)="","",VLOOKUP($A170,'Шаг2.Бланк заказа NEW'!$B$17:$N$201,4,0)),
IF(VLOOKUP($A170-COUNT('Шаг2.Бланк заказа NEW'!$B$19:$B$201),'Бланк OLD 0.8 04'!$B$12:$K$200,4,0)&gt;0,0.8,
IF(VLOOKUP($A170-COUNT('Шаг2.Бланк заказа NEW'!$B$19:$B$201),'Бланк OLD 0.8 04'!$B$12:$K$200,5,0)&gt;0,0.4,""))),
IF(VLOOKUP($A170-COUNT('Шаг2.Бланк заказа NEW'!$B$19:$B$201)-COUNT('Бланк OLD 0.8 04'!$B$18:$B$200),'Бланк OLD 2.0 04 '!$B$16:$K$200,4,0)&gt;0,2,IF(VLOOKUP($A170-COUNT('Шаг2.Бланк заказа NEW'!$B$19:$B$201)-COUNT('Бланк OLD 0.8 04'!$B$18:$B$200),'Бланк OLD 2.0 04 '!$B$16:$K$200,5,0)&gt;0,0.4,"")))</f>
        <v/>
      </c>
      <c r="S170" s="147" t="str">
        <f ca="1">IFERROR(IFERROR(IF(VLOOKUP($A170,'Шаг2.Бланк заказа NEW'!$B$17:$N$201,5,0)="","",VLOOKUP($A170,'Шаг2.Бланк заказа NEW'!$B$17:$N$201,5,0)),
IF(VLOOKUP($A170-COUNT('Шаг2.Бланк заказа NEW'!$B$19:$B$201),'Бланк OLD 0.8 04'!$B$12:$K$200,4,0)&gt;1,0.8,
IF(VLOOKUP($A170-COUNT('Шаг2.Бланк заказа NEW'!$B$19:$B$201),'Бланк OLD 0.8 04'!$B$12:$K$200,5,0)&gt;1,0.4,
IF(AND(VLOOKUP($A170-COUNT('Шаг2.Бланк заказа NEW'!$B$19:$B$201),'Бланк OLD 0.8 04'!$B$12:$K$200,4,0)&gt;0,VLOOKUP($A170-COUNT('Шаг2.Бланк заказа NEW'!$B$19:$B$201),'Бланк OLD 0.8 04'!$B$12:$K$200,5,0)&gt;0),0.4,"")))),
IF(VLOOKUP($A170-COUNT('Шаг2.Бланк заказа NEW'!$B$19:$B$201)-COUNT('Бланк OLD 0.8 04'!$B$18:$B$200),'Бланк OLD 2.0 04 '!$B$16:$K$200,4,0)&gt;1,2,
IF(VLOOKUP($A170-COUNT('Шаг2.Бланк заказа NEW'!$B$19:$B$201)-COUNT('Бланк OLD 0.8 04'!$B$18:$B$200),'Бланк OLD 2.0 04 '!$B$16:$K$200,5,0)&gt;1,0.4,IF(AND(VLOOKUP($A170-COUNT('Шаг2.Бланк заказа NEW'!$B$19:$B$201)-COUNT('Бланк OLD 0.8 04'!$B$18:$B$200),'Бланк OLD 2.0 04 '!$B$16:$K$200,4,0)&gt;0,VLOOKUP($A170-COUNT('Шаг2.Бланк заказа NEW'!$B$19:$B$201)-COUNT('Бланк OLD 0.8 04'!$B$18:$B$200),'Бланк OLD 2.0 04 '!$B$16:$K$200,5,0)&gt;0),0.4,""))))</f>
        <v/>
      </c>
      <c r="T170" s="147" t="str">
        <f ca="1">IFERROR(IFERROR(IF(VLOOKUP($A170,'Шаг2.Бланк заказа NEW'!$B$17:$N$201,7,0)="","",VLOOKUP($A170,'Шаг2.Бланк заказа NEW'!$B$17:$N$201,7,0)),
IF(VLOOKUP($A170-COUNT('Шаг2.Бланк заказа NEW'!$B$19:$B$201),'Бланк OLD 0.8 04'!$B$12:$K$200,7,0)&gt;0,0.8,
IF(VLOOKUP($A170-COUNT('Шаг2.Бланк заказа NEW'!$B$19:$B$201),'Бланк OLD 0.8 04'!$B$12:$K$200,8,0)&gt;0,0.4,""))),
IF(VLOOKUP($A170-COUNT('Шаг2.Бланк заказа NEW'!$B$19:$B$201)-COUNT('Бланк OLD 0.8 04'!$B$18:$B$200),'Бланк OLD 2.0 04 '!$B$16:$K$200,7,0)&gt;0,2,IF(VLOOKUP($A170-COUNT('Шаг2.Бланк заказа NEW'!$B$19:$B$201)-COUNT('Бланк OLD 0.8 04'!$B$18:$B$200),'Бланк OLD 2.0 04 '!$B$16:$K$200,8,0)&gt;0,0.4,"")))</f>
        <v/>
      </c>
      <c r="U170" s="147" t="str">
        <f ca="1">IFERROR(IFERROR(IF(VLOOKUP($A170,'Шаг2.Бланк заказа NEW'!$B$17:$N$201,8,0)="","",VLOOKUP($A170,'Шаг2.Бланк заказа NEW'!$B$17:$N$201,8,0)),
IF(VLOOKUP($A170-COUNT('Шаг2.Бланк заказа NEW'!$B$19:$B$201),'Бланк OLD 0.8 04'!$B$12:$K$200,7,0)&gt;1,0.8,
IF(VLOOKUP($A170-COUNT('Шаг2.Бланк заказа NEW'!$B$19:$B$201),'Бланк OLD 0.8 04'!$B$12:$K$200,8,0)&gt;1,0.4,
IF(AND(VLOOKUP($A170-COUNT('Шаг2.Бланк заказа NEW'!$B$19:$B$201),'Бланк OLD 0.8 04'!$B$12:$K$200,7,0)&gt;0,VLOOKUP($A170-COUNT('Шаг2.Бланк заказа NEW'!$B$19:$B$201),'Бланк OLD 0.8 04'!$B$12:$K$200,8,0)&gt;0),0.4,"")))),
IF(VLOOKUP($A170-COUNT('Шаг2.Бланк заказа NEW'!$B$19:$B$201)-COUNT('Бланк OLD 0.8 04'!$B$18:$B$200),'Бланк OLD 2.0 04 '!$B$16:$K$200,7,0)&gt;1,2,
IF(VLOOKUP($A170-COUNT('Шаг2.Бланк заказа NEW'!$B$19:$B$201)-COUNT('Бланк OLD 0.8 04'!$B$18:$B$200),'Бланк OLD 2.0 04 '!$B$16:$K$200,8,0)&gt;1,0.4,
IF(AND(VLOOKUP($A170-COUNT('Шаг2.Бланк заказа NEW'!$B$19:$B$201)-COUNT('Бланк OLD 0.8 04'!$B$18:$B$200),'Бланк OLD 2.0 04 '!$B$16:$K$200,7,0)&gt;0,VLOOKUP($A170-COUNT('Шаг2.Бланк заказа NEW'!$B$19:$B$201)-COUNT('Бланк OLD 0.8 04'!$B$18:$B$200),'Бланк OLD 2.0 04 '!$B$16:$K$200,8,0)&gt;0),0.4,""))))</f>
        <v/>
      </c>
      <c r="V170" s="146" t="str">
        <f ca="1">IFERROR(VLOOKUP(C170,'Шаг1.Выбор плиты'!C:S,12,0),"")</f>
        <v/>
      </c>
      <c r="W170" s="146" t="str">
        <f ca="1">IFERROR(VLOOKUP(C170,'Шаг1.Выбор плиты'!C:S,8,0),"")</f>
        <v/>
      </c>
      <c r="X170" s="146" t="str">
        <f ca="1">IFERROR(VLOOKUP(C170,'Шаг1.Выбор плиты'!C:S,10,0),"")</f>
        <v/>
      </c>
      <c r="Y170" s="147" t="str">
        <f t="shared" ca="1" si="13"/>
        <v/>
      </c>
      <c r="AD170" s="147" t="str">
        <f t="shared" ca="1" si="16"/>
        <v/>
      </c>
      <c r="AE170" s="147" t="str">
        <f t="shared" ca="1" si="14"/>
        <v/>
      </c>
      <c r="AF170" s="25"/>
      <c r="AH170" s="147" t="str">
        <f ca="1">IF(C170="","",VLOOKUP(C170,'Шаг1.Выбор плиты'!C:Q,7,0))</f>
        <v/>
      </c>
      <c r="AI170" s="147" t="str">
        <f t="shared" ca="1" si="17"/>
        <v/>
      </c>
    </row>
    <row r="171" spans="1:35" x14ac:dyDescent="0.2">
      <c r="A171" s="151" t="str">
        <f ca="1">IF(C171="","",MAX($A$1:OFFSET(C171,-1,0))+1)</f>
        <v/>
      </c>
      <c r="B171" s="151" t="str">
        <f ca="1">IFERROR(IFERROR(IFERROR("Шаг2.Бланк заказа NEW №"&amp;VLOOKUP(A170+1,CHOOSE({1,2},'Шаг2.Бланк заказа NEW'!$B$19:$B$201,'Шаг2.Бланк заказа NEW'!$A$19:$A$201),1,0),
"Бланк OLD 0.8 04 №"&amp;VLOOKUP(A170+1-COUNT('Шаг2.Бланк заказа NEW'!$B$19:$B$201),CHOOSE({1,2},'Бланк OLD 0.8 04'!$B$18:$B$200,'Бланк OLD 0.8 04'!$A$18:$A$200),1,0)),
"Бланк OLD 2.0 04 №"&amp;VLOOKUP(A170+1-COUNT('Шаг2.Бланк заказа NEW'!$B$19:$B$201)-COUNT('Бланк OLD 0.8 04'!$B$18:$B$200),CHOOSE({1,2},'Бланк OLD 2.0 04 '!$B$18:$B$200,'Бланк OLD 2.0 04 '!$A$18:$A$200),1,0)),"")</f>
        <v/>
      </c>
      <c r="C171" s="152" t="str">
        <f ca="1">IFERROR(IFERROR(IFERROR(VLOOKUP(A170+1,CHOOSE({1,2},'Шаг2.Бланк заказа NEW'!$B$19:$B$201,'Шаг2.Бланк заказа NEW'!$A$19:$A$201),2,0),
VLOOKUP(A170+1-COUNT('Шаг2.Бланк заказа NEW'!$B$19:$B$201),CHOOSE({1,2},'Бланк OLD 0.8 04'!$B$18:$B$200,'Бланк OLD 0.8 04'!$A$18:$A$200),2,0)),
VLOOKUP(A170+1-COUNT('Шаг2.Бланк заказа NEW'!$B$19:$B$201)-COUNT('Бланк OLD 0.8 04'!$B$18:$B$200),CHOOSE({1,2},'Бланк OLD 2.0 04 '!$B$18:$B$200,'Бланк OLD 2.0 04 '!$A$18:$A$200),2,0)),"")</f>
        <v/>
      </c>
      <c r="D171" s="150" t="str">
        <f ca="1">IFERROR(VLOOKUP(C171,'Шаг1.Выбор плиты'!C:G,5,0),"")</f>
        <v/>
      </c>
      <c r="E171" s="147" t="str">
        <f ca="1">IFERROR(IFERROR(IF(VLOOKUP($A171,'Шаг2.Бланк заказа NEW'!$B$17:$N$201,2,0)="","",VLOOKUP($A171,'Шаг2.Бланк заказа NEW'!$B$17:$N$201,2,0)),
IF(VLOOKUP($A171-COUNT('Шаг2.Бланк заказа NEW'!$B$19:$B$201),'Бланк OLD 0.8 04'!$B$12:$K$200,2,0)="","",VLOOKUP($A171-COUNT('Шаг2.Бланк заказа NEW'!$B$19:$B$201),'Бланк OLD 0.8 04'!$B$12:$K$200,2,0))),
IF(VLOOKUP($A171-COUNT('Шаг2.Бланк заказа NEW'!$B$19:$B$201)-COUNT('Бланк OLD 0.8 04'!$B$18:$B$200),'Бланк OLD 2.0 04 '!$B$16:$K$200,2,0)="","",VLOOKUP($A171-COUNT('Шаг2.Бланк заказа NEW'!$B$19:$B$201)-COUNT('Бланк OLD 0.8 04'!$B$18:$B$200),'Бланк OLD 2.0 04 '!$B$16:$K$200,2,0)))</f>
        <v/>
      </c>
      <c r="F171" s="147" t="str">
        <f ca="1">IFERROR(IFERROR(IF(VLOOKUP($A171,'Шаг2.Бланк заказа NEW'!$B$17:$N$201,3,0)="","",VLOOKUP($A171,'Шаг2.Бланк заказа NEW'!$B$17:$N$201,3,0)),
IF(VLOOKUP($A171-COUNT('Шаг2.Бланк заказа NEW'!$B$19:$B$201),'Бланк OLD 0.8 04'!$B$12:$K$200,3,0)="","",VLOOKUP($A171-COUNT('Шаг2.Бланк заказа NEW'!$B$19:$B$201),'Бланк OLD 0.8 04'!$B$12:$K$200,3,0))),
IF(VLOOKUP($A171-COUNT('Шаг2.Бланк заказа NEW'!$B$19:$B$201)-COUNT('Бланк OLD 0.8 04'!$B$18:$B$200),'Бланк OLD 2.0 04 '!$B$16:$K$200,3,0)="","",VLOOKUP($A171-COUNT('Шаг2.Бланк заказа NEW'!$B$19:$B$201)-COUNT('Бланк OLD 0.8 04'!$B$18:$B$200),'Бланк OLD 2.0 04 '!$B$16:$K$200,3,0)))</f>
        <v/>
      </c>
      <c r="G171" s="176" t="str">
        <f ca="1">IF(IF(R171="","",IF(R171=1,SUMIFS('Шаг1.Выбор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плиты'!C:Q,12,0)),1))))))=0,
R171,
IF(R171="","",IF(R171=1,SUMIFS('Шаг1.Выбор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плиты'!N:N,R171,'Шаг1.Выбор плиты'!M:M,SMALL(INDIRECT("мм"&amp;VLOOKUP(C171,'Шаг1.Выбор плиты'!C:Q,12,0)),1)))))))</f>
        <v/>
      </c>
      <c r="H171" s="177" t="str">
        <f ca="1">IF(IF(S171="","",IF(S171=1,SUMIFS('Шаг1.Выбор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плиты'!C:Q,12,0)),1))))))=0,
S171,
IF(S171="","",IF(S171=1,SUMIFS('Шаг1.Выбор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плиты'!N:N,S171,'Шаг1.Выбор плиты'!M:M,SMALL(INDIRECT("мм"&amp;VLOOKUP(C171,'Шаг1.Выбор плиты'!C:Q,12,0)),1)))))))</f>
        <v/>
      </c>
      <c r="I171" s="147" t="str">
        <f ca="1">IFERROR(IFERROR(IF(VLOOKUP($A171,'Шаг2.Бланк заказа NEW'!$B$17:$N$201,6,0)="","",VLOOKUP($A171,'Шаг2.Бланк заказа NEW'!$B$17:$N$201,6,0)),
IF(VLOOKUP($A171-COUNT('Шаг2.Бланк заказа NEW'!$B$19:$B$201),'Бланк OLD 0.8 04'!$B$12:$K$200,6,0)="","",VLOOKUP($A171-COUNT('Шаг2.Бланк заказа NEW'!$B$19:$B$201),'Бланк OLD 0.8 04'!$B$12:$K$200,6,0))),
IF(VLOOKUP($A171-COUNT('Шаг2.Бланк заказа NEW'!$B$19:$B$201)-COUNT('Бланк OLD 0.8 04'!$B$18:$B$200),'Бланк OLD 2.0 04 '!$B$16:$K$200,6,0)="","",VLOOKUP($A171-COUNT('Шаг2.Бланк заказа NEW'!$B$19:$B$201)-COUNT('Бланк OLD 0.8 04'!$B$18:$B$200),'Бланк OLD 2.0 04 '!$B$16:$K$200,6,0)))</f>
        <v/>
      </c>
      <c r="J171" s="177" t="str">
        <f ca="1">IF(IF(T171="","",IF(T171=1,SUMIFS('Шаг1.Выбор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плиты'!C:Q,12,0)),1))))))=0,
T171,
IF(T171="","",IF(T171=1,SUMIFS('Шаг1.Выбор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плиты'!N:N,T171,'Шаг1.Выбор плиты'!M:M,SMALL(INDIRECT("мм"&amp;VLOOKUP(C171,'Шаг1.Выбор плиты'!C:Q,12,0)),1)))))))</f>
        <v/>
      </c>
      <c r="K171" s="177" t="str">
        <f ca="1">IF(IF(U171="","",IF(U171=1,SUMIFS('Шаг1.Выбор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плиты'!C:Q,12,0)),1))))))=0,
U171,
IF(U171="","",IF(U171=1,SUMIFS('Шаг1.Выбор плиты'!$G:$G,'Шаг1.Выбор плиты'!J:J,"*"&amp;RIGHT(VLOOKUP(C171,'Шаг1.Выбор плиты'!C:Q,8,0),4),'Шаг1.Выбор плиты'!L:L,IF(MID(C171,1,6)="ЛДСП P","TM"&amp;MID(VLOOKUP(C171,'Шаг1.Выбор плиты'!C:Q,10,0),3,2),MID(VLOOKUP(C171,'Шаг1.Выбор плиты'!C:Q,10,0),1,2)),
'Шаг1.Выбор плиты'!N:N,1),IF(SUMIFS('Шаг1.Выбор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плиты'!C:Q,12,0)),1))=0,
IF(SUMIFS('Шаг1.Выбор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плиты'!C:Q,12,0)),2))=0,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плиты'!C:Q,12,0)),3)),
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плиты'!C:Q,12,0)),2))),
(SUMIFS('Шаг1.Выбор плиты'!$G:$G,'Шаг1.Выбор плиты'!J:J,"*"&amp;RIGHT(VLOOKUP(C171,'Шаг1.Выбор плиты'!C:Q,8,0),4),'Шаг1.Выбор плиты'!L:L,VLOOKUP(C171,'Шаг1.Выбор плиты'!C:Q,10,0),'Шаг1.Выбор плиты'!N:N,U171,'Шаг1.Выбор плиты'!M:M,SMALL(INDIRECT("мм"&amp;VLOOKUP(C171,'Шаг1.Выбор плиты'!C:Q,12,0)),1)))))))</f>
        <v/>
      </c>
      <c r="L171" s="147" t="str">
        <f ca="1">IFERROR(IFERROR(IF(VLOOKUP($A171,'Шаг2.Бланк заказа NEW'!$B$17:$N$201,9,0)="","",VLOOKUP($A171,'Шаг2.Бланк заказа NEW'!$B$17:$N$201,9,0)),
IF(VLOOKUP($A171-COUNT('Шаг2.Бланк заказа NEW'!$B$19:$B$201),'Бланк OLD 0.8 04'!$B$12:$K$200,9,0)="","",VLOOKUP($A171-COUNT('Шаг2.Бланк заказа NEW'!$B$19:$B$201),'Бланк OLD 0.8 04'!$B$12:$K$200,9,0))),
IF(VLOOKUP($A171-COUNT('Шаг2.Бланк заказа NEW'!$B$19:$B$201)-COUNT('Бланк OLD 0.8 04'!$B$18:$B$200),'Бланк OLD 2.0 04 '!$B$16:$K$200,9,0)="","",VLOOKUP($A171-COUNT('Шаг2.Бланк заказа NEW'!$B$19:$B$201)-COUNT('Бланк OLD 0.8 04'!$B$18:$B$200),'Бланк OLD 2.0 04 '!$B$16:$K$200,9,0)))</f>
        <v/>
      </c>
      <c r="M171" s="154" t="str">
        <f t="shared" ca="1" si="15"/>
        <v/>
      </c>
      <c r="N171" s="153" t="str">
        <f ca="1">IFERROR(IF(VLOOKUP($A171,'Шаг2.Бланк заказа NEW'!$B$17:$N$201,11,0)="","",VLOOKUP($A171,'Шаг2.Бланк заказа NEW'!$B$17:$N$201,11,0)),
"Нет")</f>
        <v/>
      </c>
      <c r="O171" s="147" t="str">
        <f ca="1">IFERROR(IF(VLOOKUP($A171,'Шаг2.Бланк заказа NEW'!$B$17:$N$201,11,0)="","",VLOOKUP($A171,'Шаг2.Бланк заказа NEW'!$B$17:$N$201,12,0)),
"Нет")</f>
        <v/>
      </c>
      <c r="P171" s="153" t="str">
        <f ca="1">IFERROR(IF(VLOOKUP($A171,'Шаг2.Бланк заказа NEW'!$B$17:$N$201,13,0)="","",VLOOKUP($A171,'Шаг2.Бланк заказа NEW'!$B$17:$N$201,13,0)),
"Нет")</f>
        <v/>
      </c>
      <c r="Q171" s="147" t="str">
        <f ca="1">IFERROR(IF(VLOOKUP($A171,'Шаг2.Бланк заказа NEW'!$B$17:$O$201,14,0)="","",VLOOKUP($A171,'Шаг2.Бланк заказа NEW'!$B$17:$O$201,14,0)),"")</f>
        <v/>
      </c>
      <c r="R171" s="147" t="str">
        <f ca="1">IFERROR(IFERROR(IF(VLOOKUP($A171,'Шаг2.Бланк заказа NEW'!$B$17:$N$201,4,0)="","",VLOOKUP($A171,'Шаг2.Бланк заказа NEW'!$B$17:$N$201,4,0)),
IF(VLOOKUP($A171-COUNT('Шаг2.Бланк заказа NEW'!$B$19:$B$201),'Бланк OLD 0.8 04'!$B$12:$K$200,4,0)&gt;0,0.8,
IF(VLOOKUP($A171-COUNT('Шаг2.Бланк заказа NEW'!$B$19:$B$201),'Бланк OLD 0.8 04'!$B$12:$K$200,5,0)&gt;0,0.4,""))),
IF(VLOOKUP($A171-COUNT('Шаг2.Бланк заказа NEW'!$B$19:$B$201)-COUNT('Бланк OLD 0.8 04'!$B$18:$B$200),'Бланк OLD 2.0 04 '!$B$16:$K$200,4,0)&gt;0,2,IF(VLOOKUP($A171-COUNT('Шаг2.Бланк заказа NEW'!$B$19:$B$201)-COUNT('Бланк OLD 0.8 04'!$B$18:$B$200),'Бланк OLD 2.0 04 '!$B$16:$K$200,5,0)&gt;0,0.4,"")))</f>
        <v/>
      </c>
      <c r="S171" s="147" t="str">
        <f ca="1">IFERROR(IFERROR(IF(VLOOKUP($A171,'Шаг2.Бланк заказа NEW'!$B$17:$N$201,5,0)="","",VLOOKUP($A171,'Шаг2.Бланк заказа NEW'!$B$17:$N$201,5,0)),
IF(VLOOKUP($A171-COUNT('Шаг2.Бланк заказа NEW'!$B$19:$B$201),'Бланк OLD 0.8 04'!$B$12:$K$200,4,0)&gt;1,0.8,
IF(VLOOKUP($A171-COUNT('Шаг2.Бланк заказа NEW'!$B$19:$B$201),'Бланк OLD 0.8 04'!$B$12:$K$200,5,0)&gt;1,0.4,
IF(AND(VLOOKUP($A171-COUNT('Шаг2.Бланк заказа NEW'!$B$19:$B$201),'Бланк OLD 0.8 04'!$B$12:$K$200,4,0)&gt;0,VLOOKUP($A171-COUNT('Шаг2.Бланк заказа NEW'!$B$19:$B$201),'Бланк OLD 0.8 04'!$B$12:$K$200,5,0)&gt;0),0.4,"")))),
IF(VLOOKUP($A171-COUNT('Шаг2.Бланк заказа NEW'!$B$19:$B$201)-COUNT('Бланк OLD 0.8 04'!$B$18:$B$200),'Бланк OLD 2.0 04 '!$B$16:$K$200,4,0)&gt;1,2,
IF(VLOOKUP($A171-COUNT('Шаг2.Бланк заказа NEW'!$B$19:$B$201)-COUNT('Бланк OLD 0.8 04'!$B$18:$B$200),'Бланк OLD 2.0 04 '!$B$16:$K$200,5,0)&gt;1,0.4,IF(AND(VLOOKUP($A171-COUNT('Шаг2.Бланк заказа NEW'!$B$19:$B$201)-COUNT('Бланк OLD 0.8 04'!$B$18:$B$200),'Бланк OLD 2.0 04 '!$B$16:$K$200,4,0)&gt;0,VLOOKUP($A171-COUNT('Шаг2.Бланк заказа NEW'!$B$19:$B$201)-COUNT('Бланк OLD 0.8 04'!$B$18:$B$200),'Бланк OLD 2.0 04 '!$B$16:$K$200,5,0)&gt;0),0.4,""))))</f>
        <v/>
      </c>
      <c r="T171" s="147" t="str">
        <f ca="1">IFERROR(IFERROR(IF(VLOOKUP($A171,'Шаг2.Бланк заказа NEW'!$B$17:$N$201,7,0)="","",VLOOKUP($A171,'Шаг2.Бланк заказа NEW'!$B$17:$N$201,7,0)),
IF(VLOOKUP($A171-COUNT('Шаг2.Бланк заказа NEW'!$B$19:$B$201),'Бланк OLD 0.8 04'!$B$12:$K$200,7,0)&gt;0,0.8,
IF(VLOOKUP($A171-COUNT('Шаг2.Бланк заказа NEW'!$B$19:$B$201),'Бланк OLD 0.8 04'!$B$12:$K$200,8,0)&gt;0,0.4,""))),
IF(VLOOKUP($A171-COUNT('Шаг2.Бланк заказа NEW'!$B$19:$B$201)-COUNT('Бланк OLD 0.8 04'!$B$18:$B$200),'Бланк OLD 2.0 04 '!$B$16:$K$200,7,0)&gt;0,2,IF(VLOOKUP($A171-COUNT('Шаг2.Бланк заказа NEW'!$B$19:$B$201)-COUNT('Бланк OLD 0.8 04'!$B$18:$B$200),'Бланк OLD 2.0 04 '!$B$16:$K$200,8,0)&gt;0,0.4,"")))</f>
        <v/>
      </c>
      <c r="U171" s="147" t="str">
        <f ca="1">IFERROR(IFERROR(IF(VLOOKUP($A171,'Шаг2.Бланк заказа NEW'!$B$17:$N$201,8,0)="","",VLOOKUP($A171,'Шаг2.Бланк заказа NEW'!$B$17:$N$201,8,0)),
IF(VLOOKUP($A171-COUNT('Шаг2.Бланк заказа NEW'!$B$19:$B$201),'Бланк OLD 0.8 04'!$B$12:$K$200,7,0)&gt;1,0.8,
IF(VLOOKUP($A171-COUNT('Шаг2.Бланк заказа NEW'!$B$19:$B$201),'Бланк OLD 0.8 04'!$B$12:$K$200,8,0)&gt;1,0.4,
IF(AND(VLOOKUP($A171-COUNT('Шаг2.Бланк заказа NEW'!$B$19:$B$201),'Бланк OLD 0.8 04'!$B$12:$K$200,7,0)&gt;0,VLOOKUP($A171-COUNT('Шаг2.Бланк заказа NEW'!$B$19:$B$201),'Бланк OLD 0.8 04'!$B$12:$K$200,8,0)&gt;0),0.4,"")))),
IF(VLOOKUP($A171-COUNT('Шаг2.Бланк заказа NEW'!$B$19:$B$201)-COUNT('Бланк OLD 0.8 04'!$B$18:$B$200),'Бланк OLD 2.0 04 '!$B$16:$K$200,7,0)&gt;1,2,
IF(VLOOKUP($A171-COUNT('Шаг2.Бланк заказа NEW'!$B$19:$B$201)-COUNT('Бланк OLD 0.8 04'!$B$18:$B$200),'Бланк OLD 2.0 04 '!$B$16:$K$200,8,0)&gt;1,0.4,
IF(AND(VLOOKUP($A171-COUNT('Шаг2.Бланк заказа NEW'!$B$19:$B$201)-COUNT('Бланк OLD 0.8 04'!$B$18:$B$200),'Бланк OLD 2.0 04 '!$B$16:$K$200,7,0)&gt;0,VLOOKUP($A171-COUNT('Шаг2.Бланк заказа NEW'!$B$19:$B$201)-COUNT('Бланк OLD 0.8 04'!$B$18:$B$200),'Бланк OLD 2.0 04 '!$B$16:$K$200,8,0)&gt;0),0.4,""))))</f>
        <v/>
      </c>
      <c r="V171" s="146" t="str">
        <f ca="1">IFERROR(VLOOKUP(C171,'Шаг1.Выбор плиты'!C:S,12,0),"")</f>
        <v/>
      </c>
      <c r="W171" s="146" t="str">
        <f ca="1">IFERROR(VLOOKUP(C171,'Шаг1.Выбор плиты'!C:S,8,0),"")</f>
        <v/>
      </c>
      <c r="X171" s="146" t="str">
        <f ca="1">IFERROR(VLOOKUP(C171,'Шаг1.Выбор плиты'!C:S,10,0),"")</f>
        <v/>
      </c>
      <c r="Y171" s="147" t="str">
        <f t="shared" ca="1" si="13"/>
        <v/>
      </c>
      <c r="AD171" s="147" t="str">
        <f t="shared" ca="1" si="16"/>
        <v/>
      </c>
      <c r="AE171" s="147" t="str">
        <f t="shared" ca="1" si="14"/>
        <v/>
      </c>
      <c r="AF171" s="25"/>
      <c r="AH171" s="147" t="str">
        <f ca="1">IF(C171="","",VLOOKUP(C171,'Шаг1.Выбор плиты'!C:Q,7,0))</f>
        <v/>
      </c>
      <c r="AI171" s="147" t="str">
        <f t="shared" ca="1" si="17"/>
        <v/>
      </c>
    </row>
    <row r="172" spans="1:35" x14ac:dyDescent="0.2">
      <c r="A172" s="151" t="str">
        <f ca="1">IF(C172="","",MAX($A$1:OFFSET(C172,-1,0))+1)</f>
        <v/>
      </c>
      <c r="B172" s="151" t="str">
        <f ca="1">IFERROR(IFERROR(IFERROR("Шаг2.Бланк заказа NEW №"&amp;VLOOKUP(A171+1,CHOOSE({1,2},'Шаг2.Бланк заказа NEW'!$B$19:$B$201,'Шаг2.Бланк заказа NEW'!$A$19:$A$201),1,0),
"Бланк OLD 0.8 04 №"&amp;VLOOKUP(A171+1-COUNT('Шаг2.Бланк заказа NEW'!$B$19:$B$201),CHOOSE({1,2},'Бланк OLD 0.8 04'!$B$18:$B$200,'Бланк OLD 0.8 04'!$A$18:$A$200),1,0)),
"Бланк OLD 2.0 04 №"&amp;VLOOKUP(A171+1-COUNT('Шаг2.Бланк заказа NEW'!$B$19:$B$201)-COUNT('Бланк OLD 0.8 04'!$B$18:$B$200),CHOOSE({1,2},'Бланк OLD 2.0 04 '!$B$18:$B$200,'Бланк OLD 2.0 04 '!$A$18:$A$200),1,0)),"")</f>
        <v/>
      </c>
      <c r="C172" s="152" t="str">
        <f ca="1">IFERROR(IFERROR(IFERROR(VLOOKUP(A171+1,CHOOSE({1,2},'Шаг2.Бланк заказа NEW'!$B$19:$B$201,'Шаг2.Бланк заказа NEW'!$A$19:$A$201),2,0),
VLOOKUP(A171+1-COUNT('Шаг2.Бланк заказа NEW'!$B$19:$B$201),CHOOSE({1,2},'Бланк OLD 0.8 04'!$B$18:$B$200,'Бланк OLD 0.8 04'!$A$18:$A$200),2,0)),
VLOOKUP(A171+1-COUNT('Шаг2.Бланк заказа NEW'!$B$19:$B$201)-COUNT('Бланк OLD 0.8 04'!$B$18:$B$200),CHOOSE({1,2},'Бланк OLD 2.0 04 '!$B$18:$B$200,'Бланк OLD 2.0 04 '!$A$18:$A$200),2,0)),"")</f>
        <v/>
      </c>
      <c r="D172" s="150" t="str">
        <f ca="1">IFERROR(VLOOKUP(C172,'Шаг1.Выбор плиты'!C:G,5,0),"")</f>
        <v/>
      </c>
      <c r="E172" s="147" t="str">
        <f ca="1">IFERROR(IFERROR(IF(VLOOKUP($A172,'Шаг2.Бланк заказа NEW'!$B$17:$N$201,2,0)="","",VLOOKUP($A172,'Шаг2.Бланк заказа NEW'!$B$17:$N$201,2,0)),
IF(VLOOKUP($A172-COUNT('Шаг2.Бланк заказа NEW'!$B$19:$B$201),'Бланк OLD 0.8 04'!$B$12:$K$200,2,0)="","",VLOOKUP($A172-COUNT('Шаг2.Бланк заказа NEW'!$B$19:$B$201),'Бланк OLD 0.8 04'!$B$12:$K$200,2,0))),
IF(VLOOKUP($A172-COUNT('Шаг2.Бланк заказа NEW'!$B$19:$B$201)-COUNT('Бланк OLD 0.8 04'!$B$18:$B$200),'Бланк OLD 2.0 04 '!$B$16:$K$200,2,0)="","",VLOOKUP($A172-COUNT('Шаг2.Бланк заказа NEW'!$B$19:$B$201)-COUNT('Бланк OLD 0.8 04'!$B$18:$B$200),'Бланк OLD 2.0 04 '!$B$16:$K$200,2,0)))</f>
        <v/>
      </c>
      <c r="F172" s="147" t="str">
        <f ca="1">IFERROR(IFERROR(IF(VLOOKUP($A172,'Шаг2.Бланк заказа NEW'!$B$17:$N$201,3,0)="","",VLOOKUP($A172,'Шаг2.Бланк заказа NEW'!$B$17:$N$201,3,0)),
IF(VLOOKUP($A172-COUNT('Шаг2.Бланк заказа NEW'!$B$19:$B$201),'Бланк OLD 0.8 04'!$B$12:$K$200,3,0)="","",VLOOKUP($A172-COUNT('Шаг2.Бланк заказа NEW'!$B$19:$B$201),'Бланк OLD 0.8 04'!$B$12:$K$200,3,0))),
IF(VLOOKUP($A172-COUNT('Шаг2.Бланк заказа NEW'!$B$19:$B$201)-COUNT('Бланк OLD 0.8 04'!$B$18:$B$200),'Бланк OLD 2.0 04 '!$B$16:$K$200,3,0)="","",VLOOKUP($A172-COUNT('Шаг2.Бланк заказа NEW'!$B$19:$B$201)-COUNT('Бланк OLD 0.8 04'!$B$18:$B$200),'Бланк OLD 2.0 04 '!$B$16:$K$200,3,0)))</f>
        <v/>
      </c>
      <c r="G172" s="176" t="str">
        <f ca="1">IF(IF(R172="","",IF(R172=1,SUMIFS('Шаг1.Выбор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плиты'!C:Q,12,0)),1))))))=0,
R172,
IF(R172="","",IF(R172=1,SUMIFS('Шаг1.Выбор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плиты'!N:N,R172,'Шаг1.Выбор плиты'!M:M,SMALL(INDIRECT("мм"&amp;VLOOKUP(C172,'Шаг1.Выбор плиты'!C:Q,12,0)),1)))))))</f>
        <v/>
      </c>
      <c r="H172" s="177" t="str">
        <f ca="1">IF(IF(S172="","",IF(S172=1,SUMIFS('Шаг1.Выбор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плиты'!C:Q,12,0)),1))))))=0,
S172,
IF(S172="","",IF(S172=1,SUMIFS('Шаг1.Выбор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плиты'!N:N,S172,'Шаг1.Выбор плиты'!M:M,SMALL(INDIRECT("мм"&amp;VLOOKUP(C172,'Шаг1.Выбор плиты'!C:Q,12,0)),1)))))))</f>
        <v/>
      </c>
      <c r="I172" s="147" t="str">
        <f ca="1">IFERROR(IFERROR(IF(VLOOKUP($A172,'Шаг2.Бланк заказа NEW'!$B$17:$N$201,6,0)="","",VLOOKUP($A172,'Шаг2.Бланк заказа NEW'!$B$17:$N$201,6,0)),
IF(VLOOKUP($A172-COUNT('Шаг2.Бланк заказа NEW'!$B$19:$B$201),'Бланк OLD 0.8 04'!$B$12:$K$200,6,0)="","",VLOOKUP($A172-COUNT('Шаг2.Бланк заказа NEW'!$B$19:$B$201),'Бланк OLD 0.8 04'!$B$12:$K$200,6,0))),
IF(VLOOKUP($A172-COUNT('Шаг2.Бланк заказа NEW'!$B$19:$B$201)-COUNT('Бланк OLD 0.8 04'!$B$18:$B$200),'Бланк OLD 2.0 04 '!$B$16:$K$200,6,0)="","",VLOOKUP($A172-COUNT('Шаг2.Бланк заказа NEW'!$B$19:$B$201)-COUNT('Бланк OLD 0.8 04'!$B$18:$B$200),'Бланк OLD 2.0 04 '!$B$16:$K$200,6,0)))</f>
        <v/>
      </c>
      <c r="J172" s="177" t="str">
        <f ca="1">IF(IF(T172="","",IF(T172=1,SUMIFS('Шаг1.Выбор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плиты'!C:Q,12,0)),1))))))=0,
T172,
IF(T172="","",IF(T172=1,SUMIFS('Шаг1.Выбор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плиты'!N:N,T172,'Шаг1.Выбор плиты'!M:M,SMALL(INDIRECT("мм"&amp;VLOOKUP(C172,'Шаг1.Выбор плиты'!C:Q,12,0)),1)))))))</f>
        <v/>
      </c>
      <c r="K172" s="177" t="str">
        <f ca="1">IF(IF(U172="","",IF(U172=1,SUMIFS('Шаг1.Выбор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плиты'!C:Q,12,0)),1))))))=0,
U172,
IF(U172="","",IF(U172=1,SUMIFS('Шаг1.Выбор плиты'!$G:$G,'Шаг1.Выбор плиты'!J:J,"*"&amp;RIGHT(VLOOKUP(C172,'Шаг1.Выбор плиты'!C:Q,8,0),4),'Шаг1.Выбор плиты'!L:L,IF(MID(C172,1,6)="ЛДСП P","TM"&amp;MID(VLOOKUP(C172,'Шаг1.Выбор плиты'!C:Q,10,0),3,2),MID(VLOOKUP(C172,'Шаг1.Выбор плиты'!C:Q,10,0),1,2)),
'Шаг1.Выбор плиты'!N:N,1),IF(SUMIFS('Шаг1.Выбор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плиты'!C:Q,12,0)),1))=0,
IF(SUMIFS('Шаг1.Выбор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плиты'!C:Q,12,0)),2))=0,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плиты'!C:Q,12,0)),3)),
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плиты'!C:Q,12,0)),2))),
(SUMIFS('Шаг1.Выбор плиты'!$G:$G,'Шаг1.Выбор плиты'!J:J,"*"&amp;RIGHT(VLOOKUP(C172,'Шаг1.Выбор плиты'!C:Q,8,0),4),'Шаг1.Выбор плиты'!L:L,VLOOKUP(C172,'Шаг1.Выбор плиты'!C:Q,10,0),'Шаг1.Выбор плиты'!N:N,U172,'Шаг1.Выбор плиты'!M:M,SMALL(INDIRECT("мм"&amp;VLOOKUP(C172,'Шаг1.Выбор плиты'!C:Q,12,0)),1)))))))</f>
        <v/>
      </c>
      <c r="L172" s="147" t="str">
        <f ca="1">IFERROR(IFERROR(IF(VLOOKUP($A172,'Шаг2.Бланк заказа NEW'!$B$17:$N$201,9,0)="","",VLOOKUP($A172,'Шаг2.Бланк заказа NEW'!$B$17:$N$201,9,0)),
IF(VLOOKUP($A172-COUNT('Шаг2.Бланк заказа NEW'!$B$19:$B$201),'Бланк OLD 0.8 04'!$B$12:$K$200,9,0)="","",VLOOKUP($A172-COUNT('Шаг2.Бланк заказа NEW'!$B$19:$B$201),'Бланк OLD 0.8 04'!$B$12:$K$200,9,0))),
IF(VLOOKUP($A172-COUNT('Шаг2.Бланк заказа NEW'!$B$19:$B$201)-COUNT('Бланк OLD 0.8 04'!$B$18:$B$200),'Бланк OLD 2.0 04 '!$B$16:$K$200,9,0)="","",VLOOKUP($A172-COUNT('Шаг2.Бланк заказа NEW'!$B$19:$B$201)-COUNT('Бланк OLD 0.8 04'!$B$18:$B$200),'Бланк OLD 2.0 04 '!$B$16:$K$200,9,0)))</f>
        <v/>
      </c>
      <c r="M172" s="154" t="str">
        <f t="shared" ca="1" si="15"/>
        <v/>
      </c>
      <c r="N172" s="153" t="str">
        <f ca="1">IFERROR(IF(VLOOKUP($A172,'Шаг2.Бланк заказа NEW'!$B$17:$N$201,11,0)="","",VLOOKUP($A172,'Шаг2.Бланк заказа NEW'!$B$17:$N$201,11,0)),
"Нет")</f>
        <v/>
      </c>
      <c r="O172" s="147" t="str">
        <f ca="1">IFERROR(IF(VLOOKUP($A172,'Шаг2.Бланк заказа NEW'!$B$17:$N$201,11,0)="","",VLOOKUP($A172,'Шаг2.Бланк заказа NEW'!$B$17:$N$201,12,0)),
"Нет")</f>
        <v/>
      </c>
      <c r="P172" s="153" t="str">
        <f ca="1">IFERROR(IF(VLOOKUP($A172,'Шаг2.Бланк заказа NEW'!$B$17:$N$201,13,0)="","",VLOOKUP($A172,'Шаг2.Бланк заказа NEW'!$B$17:$N$201,13,0)),
"Нет")</f>
        <v/>
      </c>
      <c r="Q172" s="147" t="str">
        <f ca="1">IFERROR(IF(VLOOKUP($A172,'Шаг2.Бланк заказа NEW'!$B$17:$O$201,14,0)="","",VLOOKUP($A172,'Шаг2.Бланк заказа NEW'!$B$17:$O$201,14,0)),"")</f>
        <v/>
      </c>
      <c r="R172" s="147" t="str">
        <f ca="1">IFERROR(IFERROR(IF(VLOOKUP($A172,'Шаг2.Бланк заказа NEW'!$B$17:$N$201,4,0)="","",VLOOKUP($A172,'Шаг2.Бланк заказа NEW'!$B$17:$N$201,4,0)),
IF(VLOOKUP($A172-COUNT('Шаг2.Бланк заказа NEW'!$B$19:$B$201),'Бланк OLD 0.8 04'!$B$12:$K$200,4,0)&gt;0,0.8,
IF(VLOOKUP($A172-COUNT('Шаг2.Бланк заказа NEW'!$B$19:$B$201),'Бланк OLD 0.8 04'!$B$12:$K$200,5,0)&gt;0,0.4,""))),
IF(VLOOKUP($A172-COUNT('Шаг2.Бланк заказа NEW'!$B$19:$B$201)-COUNT('Бланк OLD 0.8 04'!$B$18:$B$200),'Бланк OLD 2.0 04 '!$B$16:$K$200,4,0)&gt;0,2,IF(VLOOKUP($A172-COUNT('Шаг2.Бланк заказа NEW'!$B$19:$B$201)-COUNT('Бланк OLD 0.8 04'!$B$18:$B$200),'Бланк OLD 2.0 04 '!$B$16:$K$200,5,0)&gt;0,0.4,"")))</f>
        <v/>
      </c>
      <c r="S172" s="147" t="str">
        <f ca="1">IFERROR(IFERROR(IF(VLOOKUP($A172,'Шаг2.Бланк заказа NEW'!$B$17:$N$201,5,0)="","",VLOOKUP($A172,'Шаг2.Бланк заказа NEW'!$B$17:$N$201,5,0)),
IF(VLOOKUP($A172-COUNT('Шаг2.Бланк заказа NEW'!$B$19:$B$201),'Бланк OLD 0.8 04'!$B$12:$K$200,4,0)&gt;1,0.8,
IF(VLOOKUP($A172-COUNT('Шаг2.Бланк заказа NEW'!$B$19:$B$201),'Бланк OLD 0.8 04'!$B$12:$K$200,5,0)&gt;1,0.4,
IF(AND(VLOOKUP($A172-COUNT('Шаг2.Бланк заказа NEW'!$B$19:$B$201),'Бланк OLD 0.8 04'!$B$12:$K$200,4,0)&gt;0,VLOOKUP($A172-COUNT('Шаг2.Бланк заказа NEW'!$B$19:$B$201),'Бланк OLD 0.8 04'!$B$12:$K$200,5,0)&gt;0),0.4,"")))),
IF(VLOOKUP($A172-COUNT('Шаг2.Бланк заказа NEW'!$B$19:$B$201)-COUNT('Бланк OLD 0.8 04'!$B$18:$B$200),'Бланк OLD 2.0 04 '!$B$16:$K$200,4,0)&gt;1,2,
IF(VLOOKUP($A172-COUNT('Шаг2.Бланк заказа NEW'!$B$19:$B$201)-COUNT('Бланк OLD 0.8 04'!$B$18:$B$200),'Бланк OLD 2.0 04 '!$B$16:$K$200,5,0)&gt;1,0.4,IF(AND(VLOOKUP($A172-COUNT('Шаг2.Бланк заказа NEW'!$B$19:$B$201)-COUNT('Бланк OLD 0.8 04'!$B$18:$B$200),'Бланк OLD 2.0 04 '!$B$16:$K$200,4,0)&gt;0,VLOOKUP($A172-COUNT('Шаг2.Бланк заказа NEW'!$B$19:$B$201)-COUNT('Бланк OLD 0.8 04'!$B$18:$B$200),'Бланк OLD 2.0 04 '!$B$16:$K$200,5,0)&gt;0),0.4,""))))</f>
        <v/>
      </c>
      <c r="T172" s="147" t="str">
        <f ca="1">IFERROR(IFERROR(IF(VLOOKUP($A172,'Шаг2.Бланк заказа NEW'!$B$17:$N$201,7,0)="","",VLOOKUP($A172,'Шаг2.Бланк заказа NEW'!$B$17:$N$201,7,0)),
IF(VLOOKUP($A172-COUNT('Шаг2.Бланк заказа NEW'!$B$19:$B$201),'Бланк OLD 0.8 04'!$B$12:$K$200,7,0)&gt;0,0.8,
IF(VLOOKUP($A172-COUNT('Шаг2.Бланк заказа NEW'!$B$19:$B$201),'Бланк OLD 0.8 04'!$B$12:$K$200,8,0)&gt;0,0.4,""))),
IF(VLOOKUP($A172-COUNT('Шаг2.Бланк заказа NEW'!$B$19:$B$201)-COUNT('Бланк OLD 0.8 04'!$B$18:$B$200),'Бланк OLD 2.0 04 '!$B$16:$K$200,7,0)&gt;0,2,IF(VLOOKUP($A172-COUNT('Шаг2.Бланк заказа NEW'!$B$19:$B$201)-COUNT('Бланк OLD 0.8 04'!$B$18:$B$200),'Бланк OLD 2.0 04 '!$B$16:$K$200,8,0)&gt;0,0.4,"")))</f>
        <v/>
      </c>
      <c r="U172" s="147" t="str">
        <f ca="1">IFERROR(IFERROR(IF(VLOOKUP($A172,'Шаг2.Бланк заказа NEW'!$B$17:$N$201,8,0)="","",VLOOKUP($A172,'Шаг2.Бланк заказа NEW'!$B$17:$N$201,8,0)),
IF(VLOOKUP($A172-COUNT('Шаг2.Бланк заказа NEW'!$B$19:$B$201),'Бланк OLD 0.8 04'!$B$12:$K$200,7,0)&gt;1,0.8,
IF(VLOOKUP($A172-COUNT('Шаг2.Бланк заказа NEW'!$B$19:$B$201),'Бланк OLD 0.8 04'!$B$12:$K$200,8,0)&gt;1,0.4,
IF(AND(VLOOKUP($A172-COUNT('Шаг2.Бланк заказа NEW'!$B$19:$B$201),'Бланк OLD 0.8 04'!$B$12:$K$200,7,0)&gt;0,VLOOKUP($A172-COUNT('Шаг2.Бланк заказа NEW'!$B$19:$B$201),'Бланк OLD 0.8 04'!$B$12:$K$200,8,0)&gt;0),0.4,"")))),
IF(VLOOKUP($A172-COUNT('Шаг2.Бланк заказа NEW'!$B$19:$B$201)-COUNT('Бланк OLD 0.8 04'!$B$18:$B$200),'Бланк OLD 2.0 04 '!$B$16:$K$200,7,0)&gt;1,2,
IF(VLOOKUP($A172-COUNT('Шаг2.Бланк заказа NEW'!$B$19:$B$201)-COUNT('Бланк OLD 0.8 04'!$B$18:$B$200),'Бланк OLD 2.0 04 '!$B$16:$K$200,8,0)&gt;1,0.4,
IF(AND(VLOOKUP($A172-COUNT('Шаг2.Бланк заказа NEW'!$B$19:$B$201)-COUNT('Бланк OLD 0.8 04'!$B$18:$B$200),'Бланк OLD 2.0 04 '!$B$16:$K$200,7,0)&gt;0,VLOOKUP($A172-COUNT('Шаг2.Бланк заказа NEW'!$B$19:$B$201)-COUNT('Бланк OLD 0.8 04'!$B$18:$B$200),'Бланк OLD 2.0 04 '!$B$16:$K$200,8,0)&gt;0),0.4,""))))</f>
        <v/>
      </c>
      <c r="V172" s="146" t="str">
        <f ca="1">IFERROR(VLOOKUP(C172,'Шаг1.Выбор плиты'!C:S,12,0),"")</f>
        <v/>
      </c>
      <c r="W172" s="146" t="str">
        <f ca="1">IFERROR(VLOOKUP(C172,'Шаг1.Выбор плиты'!C:S,8,0),"")</f>
        <v/>
      </c>
      <c r="X172" s="146" t="str">
        <f ca="1">IFERROR(VLOOKUP(C172,'Шаг1.Выбор плиты'!C:S,10,0),"")</f>
        <v/>
      </c>
      <c r="Y172" s="147" t="str">
        <f t="shared" ca="1" si="13"/>
        <v/>
      </c>
      <c r="AD172" s="147" t="str">
        <f t="shared" ca="1" si="16"/>
        <v/>
      </c>
      <c r="AE172" s="147" t="str">
        <f t="shared" ca="1" si="14"/>
        <v/>
      </c>
      <c r="AF172" s="25"/>
      <c r="AH172" s="147" t="str">
        <f ca="1">IF(C172="","",VLOOKUP(C172,'Шаг1.Выбор плиты'!C:Q,7,0))</f>
        <v/>
      </c>
      <c r="AI172" s="147" t="str">
        <f t="shared" ca="1" si="17"/>
        <v/>
      </c>
    </row>
    <row r="173" spans="1:35" x14ac:dyDescent="0.2">
      <c r="A173" s="151" t="str">
        <f ca="1">IF(C173="","",MAX($A$1:OFFSET(C173,-1,0))+1)</f>
        <v/>
      </c>
      <c r="B173" s="151" t="str">
        <f ca="1">IFERROR(IFERROR(IFERROR("Шаг2.Бланк заказа NEW №"&amp;VLOOKUP(A172+1,CHOOSE({1,2},'Шаг2.Бланк заказа NEW'!$B$19:$B$201,'Шаг2.Бланк заказа NEW'!$A$19:$A$201),1,0),
"Бланк OLD 0.8 04 №"&amp;VLOOKUP(A172+1-COUNT('Шаг2.Бланк заказа NEW'!$B$19:$B$201),CHOOSE({1,2},'Бланк OLD 0.8 04'!$B$18:$B$200,'Бланк OLD 0.8 04'!$A$18:$A$200),1,0)),
"Бланк OLD 2.0 04 №"&amp;VLOOKUP(A172+1-COUNT('Шаг2.Бланк заказа NEW'!$B$19:$B$201)-COUNT('Бланк OLD 0.8 04'!$B$18:$B$200),CHOOSE({1,2},'Бланк OLD 2.0 04 '!$B$18:$B$200,'Бланк OLD 2.0 04 '!$A$18:$A$200),1,0)),"")</f>
        <v/>
      </c>
      <c r="C173" s="152" t="str">
        <f ca="1">IFERROR(IFERROR(IFERROR(VLOOKUP(A172+1,CHOOSE({1,2},'Шаг2.Бланк заказа NEW'!$B$19:$B$201,'Шаг2.Бланк заказа NEW'!$A$19:$A$201),2,0),
VLOOKUP(A172+1-COUNT('Шаг2.Бланк заказа NEW'!$B$19:$B$201),CHOOSE({1,2},'Бланк OLD 0.8 04'!$B$18:$B$200,'Бланк OLD 0.8 04'!$A$18:$A$200),2,0)),
VLOOKUP(A172+1-COUNT('Шаг2.Бланк заказа NEW'!$B$19:$B$201)-COUNT('Бланк OLD 0.8 04'!$B$18:$B$200),CHOOSE({1,2},'Бланк OLD 2.0 04 '!$B$18:$B$200,'Бланк OLD 2.0 04 '!$A$18:$A$200),2,0)),"")</f>
        <v/>
      </c>
      <c r="D173" s="150" t="str">
        <f ca="1">IFERROR(VLOOKUP(C173,'Шаг1.Выбор плиты'!C:G,5,0),"")</f>
        <v/>
      </c>
      <c r="E173" s="147" t="str">
        <f ca="1">IFERROR(IFERROR(IF(VLOOKUP($A173,'Шаг2.Бланк заказа NEW'!$B$17:$N$201,2,0)="","",VLOOKUP($A173,'Шаг2.Бланк заказа NEW'!$B$17:$N$201,2,0)),
IF(VLOOKUP($A173-COUNT('Шаг2.Бланк заказа NEW'!$B$19:$B$201),'Бланк OLD 0.8 04'!$B$12:$K$200,2,0)="","",VLOOKUP($A173-COUNT('Шаг2.Бланк заказа NEW'!$B$19:$B$201),'Бланк OLD 0.8 04'!$B$12:$K$200,2,0))),
IF(VLOOKUP($A173-COUNT('Шаг2.Бланк заказа NEW'!$B$19:$B$201)-COUNT('Бланк OLD 0.8 04'!$B$18:$B$200),'Бланк OLD 2.0 04 '!$B$16:$K$200,2,0)="","",VLOOKUP($A173-COUNT('Шаг2.Бланк заказа NEW'!$B$19:$B$201)-COUNT('Бланк OLD 0.8 04'!$B$18:$B$200),'Бланк OLD 2.0 04 '!$B$16:$K$200,2,0)))</f>
        <v/>
      </c>
      <c r="F173" s="147" t="str">
        <f ca="1">IFERROR(IFERROR(IF(VLOOKUP($A173,'Шаг2.Бланк заказа NEW'!$B$17:$N$201,3,0)="","",VLOOKUP($A173,'Шаг2.Бланк заказа NEW'!$B$17:$N$201,3,0)),
IF(VLOOKUP($A173-COUNT('Шаг2.Бланк заказа NEW'!$B$19:$B$201),'Бланк OLD 0.8 04'!$B$12:$K$200,3,0)="","",VLOOKUP($A173-COUNT('Шаг2.Бланк заказа NEW'!$B$19:$B$201),'Бланк OLD 0.8 04'!$B$12:$K$200,3,0))),
IF(VLOOKUP($A173-COUNT('Шаг2.Бланк заказа NEW'!$B$19:$B$201)-COUNT('Бланк OLD 0.8 04'!$B$18:$B$200),'Бланк OLD 2.0 04 '!$B$16:$K$200,3,0)="","",VLOOKUP($A173-COUNT('Шаг2.Бланк заказа NEW'!$B$19:$B$201)-COUNT('Бланк OLD 0.8 04'!$B$18:$B$200),'Бланк OLD 2.0 04 '!$B$16:$K$200,3,0)))</f>
        <v/>
      </c>
      <c r="G173" s="176" t="str">
        <f ca="1">IF(IF(R173="","",IF(R173=1,SUMIFS('Шаг1.Выбор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плиты'!C:Q,12,0)),1))))))=0,
R173,
IF(R173="","",IF(R173=1,SUMIFS('Шаг1.Выбор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плиты'!N:N,R173,'Шаг1.Выбор плиты'!M:M,SMALL(INDIRECT("мм"&amp;VLOOKUP(C173,'Шаг1.Выбор плиты'!C:Q,12,0)),1)))))))</f>
        <v/>
      </c>
      <c r="H173" s="177" t="str">
        <f ca="1">IF(IF(S173="","",IF(S173=1,SUMIFS('Шаг1.Выбор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плиты'!C:Q,12,0)),1))))))=0,
S173,
IF(S173="","",IF(S173=1,SUMIFS('Шаг1.Выбор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плиты'!N:N,S173,'Шаг1.Выбор плиты'!M:M,SMALL(INDIRECT("мм"&amp;VLOOKUP(C173,'Шаг1.Выбор плиты'!C:Q,12,0)),1)))))))</f>
        <v/>
      </c>
      <c r="I173" s="147" t="str">
        <f ca="1">IFERROR(IFERROR(IF(VLOOKUP($A173,'Шаг2.Бланк заказа NEW'!$B$17:$N$201,6,0)="","",VLOOKUP($A173,'Шаг2.Бланк заказа NEW'!$B$17:$N$201,6,0)),
IF(VLOOKUP($A173-COUNT('Шаг2.Бланк заказа NEW'!$B$19:$B$201),'Бланк OLD 0.8 04'!$B$12:$K$200,6,0)="","",VLOOKUP($A173-COUNT('Шаг2.Бланк заказа NEW'!$B$19:$B$201),'Бланк OLD 0.8 04'!$B$12:$K$200,6,0))),
IF(VLOOKUP($A173-COUNT('Шаг2.Бланк заказа NEW'!$B$19:$B$201)-COUNT('Бланк OLD 0.8 04'!$B$18:$B$200),'Бланк OLD 2.0 04 '!$B$16:$K$200,6,0)="","",VLOOKUP($A173-COUNT('Шаг2.Бланк заказа NEW'!$B$19:$B$201)-COUNT('Бланк OLD 0.8 04'!$B$18:$B$200),'Бланк OLD 2.0 04 '!$B$16:$K$200,6,0)))</f>
        <v/>
      </c>
      <c r="J173" s="177" t="str">
        <f ca="1">IF(IF(T173="","",IF(T173=1,SUMIFS('Шаг1.Выбор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плиты'!C:Q,12,0)),1))))))=0,
T173,
IF(T173="","",IF(T173=1,SUMIFS('Шаг1.Выбор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плиты'!N:N,T173,'Шаг1.Выбор плиты'!M:M,SMALL(INDIRECT("мм"&amp;VLOOKUP(C173,'Шаг1.Выбор плиты'!C:Q,12,0)),1)))))))</f>
        <v/>
      </c>
      <c r="K173" s="177" t="str">
        <f ca="1">IF(IF(U173="","",IF(U173=1,SUMIFS('Шаг1.Выбор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плиты'!C:Q,12,0)),1))))))=0,
U173,
IF(U173="","",IF(U173=1,SUMIFS('Шаг1.Выбор плиты'!$G:$G,'Шаг1.Выбор плиты'!J:J,"*"&amp;RIGHT(VLOOKUP(C173,'Шаг1.Выбор плиты'!C:Q,8,0),4),'Шаг1.Выбор плиты'!L:L,IF(MID(C173,1,6)="ЛДСП P","TM"&amp;MID(VLOOKUP(C173,'Шаг1.Выбор плиты'!C:Q,10,0),3,2),MID(VLOOKUP(C173,'Шаг1.Выбор плиты'!C:Q,10,0),1,2)),
'Шаг1.Выбор плиты'!N:N,1),IF(SUMIFS('Шаг1.Выбор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плиты'!C:Q,12,0)),1))=0,
IF(SUMIFS('Шаг1.Выбор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плиты'!C:Q,12,0)),2))=0,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плиты'!C:Q,12,0)),3)),
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плиты'!C:Q,12,0)),2))),
(SUMIFS('Шаг1.Выбор плиты'!$G:$G,'Шаг1.Выбор плиты'!J:J,"*"&amp;RIGHT(VLOOKUP(C173,'Шаг1.Выбор плиты'!C:Q,8,0),4),'Шаг1.Выбор плиты'!L:L,VLOOKUP(C173,'Шаг1.Выбор плиты'!C:Q,10,0),'Шаг1.Выбор плиты'!N:N,U173,'Шаг1.Выбор плиты'!M:M,SMALL(INDIRECT("мм"&amp;VLOOKUP(C173,'Шаг1.Выбор плиты'!C:Q,12,0)),1)))))))</f>
        <v/>
      </c>
      <c r="L173" s="147" t="str">
        <f ca="1">IFERROR(IFERROR(IF(VLOOKUP($A173,'Шаг2.Бланк заказа NEW'!$B$17:$N$201,9,0)="","",VLOOKUP($A173,'Шаг2.Бланк заказа NEW'!$B$17:$N$201,9,0)),
IF(VLOOKUP($A173-COUNT('Шаг2.Бланк заказа NEW'!$B$19:$B$201),'Бланк OLD 0.8 04'!$B$12:$K$200,9,0)="","",VLOOKUP($A173-COUNT('Шаг2.Бланк заказа NEW'!$B$19:$B$201),'Бланк OLD 0.8 04'!$B$12:$K$200,9,0))),
IF(VLOOKUP($A173-COUNT('Шаг2.Бланк заказа NEW'!$B$19:$B$201)-COUNT('Бланк OLD 0.8 04'!$B$18:$B$200),'Бланк OLD 2.0 04 '!$B$16:$K$200,9,0)="","",VLOOKUP($A173-COUNT('Шаг2.Бланк заказа NEW'!$B$19:$B$201)-COUNT('Бланк OLD 0.8 04'!$B$18:$B$200),'Бланк OLD 2.0 04 '!$B$16:$K$200,9,0)))</f>
        <v/>
      </c>
      <c r="M173" s="154" t="str">
        <f t="shared" ca="1" si="15"/>
        <v/>
      </c>
      <c r="N173" s="153" t="str">
        <f ca="1">IFERROR(IF(VLOOKUP($A173,'Шаг2.Бланк заказа NEW'!$B$17:$N$201,11,0)="","",VLOOKUP($A173,'Шаг2.Бланк заказа NEW'!$B$17:$N$201,11,0)),
"Нет")</f>
        <v/>
      </c>
      <c r="O173" s="147" t="str">
        <f ca="1">IFERROR(IF(VLOOKUP($A173,'Шаг2.Бланк заказа NEW'!$B$17:$N$201,11,0)="","",VLOOKUP($A173,'Шаг2.Бланк заказа NEW'!$B$17:$N$201,12,0)),
"Нет")</f>
        <v/>
      </c>
      <c r="P173" s="153" t="str">
        <f ca="1">IFERROR(IF(VLOOKUP($A173,'Шаг2.Бланк заказа NEW'!$B$17:$N$201,13,0)="","",VLOOKUP($A173,'Шаг2.Бланк заказа NEW'!$B$17:$N$201,13,0)),
"Нет")</f>
        <v/>
      </c>
      <c r="Q173" s="147" t="str">
        <f ca="1">IFERROR(IF(VLOOKUP($A173,'Шаг2.Бланк заказа NEW'!$B$17:$O$201,14,0)="","",VLOOKUP($A173,'Шаг2.Бланк заказа NEW'!$B$17:$O$201,14,0)),"")</f>
        <v/>
      </c>
      <c r="R173" s="147" t="str">
        <f ca="1">IFERROR(IFERROR(IF(VLOOKUP($A173,'Шаг2.Бланк заказа NEW'!$B$17:$N$201,4,0)="","",VLOOKUP($A173,'Шаг2.Бланк заказа NEW'!$B$17:$N$201,4,0)),
IF(VLOOKUP($A173-COUNT('Шаг2.Бланк заказа NEW'!$B$19:$B$201),'Бланк OLD 0.8 04'!$B$12:$K$200,4,0)&gt;0,0.8,
IF(VLOOKUP($A173-COUNT('Шаг2.Бланк заказа NEW'!$B$19:$B$201),'Бланк OLD 0.8 04'!$B$12:$K$200,5,0)&gt;0,0.4,""))),
IF(VLOOKUP($A173-COUNT('Шаг2.Бланк заказа NEW'!$B$19:$B$201)-COUNT('Бланк OLD 0.8 04'!$B$18:$B$200),'Бланк OLD 2.0 04 '!$B$16:$K$200,4,0)&gt;0,2,IF(VLOOKUP($A173-COUNT('Шаг2.Бланк заказа NEW'!$B$19:$B$201)-COUNT('Бланк OLD 0.8 04'!$B$18:$B$200),'Бланк OLD 2.0 04 '!$B$16:$K$200,5,0)&gt;0,0.4,"")))</f>
        <v/>
      </c>
      <c r="S173" s="147" t="str">
        <f ca="1">IFERROR(IFERROR(IF(VLOOKUP($A173,'Шаг2.Бланк заказа NEW'!$B$17:$N$201,5,0)="","",VLOOKUP($A173,'Шаг2.Бланк заказа NEW'!$B$17:$N$201,5,0)),
IF(VLOOKUP($A173-COUNT('Шаг2.Бланк заказа NEW'!$B$19:$B$201),'Бланк OLD 0.8 04'!$B$12:$K$200,4,0)&gt;1,0.8,
IF(VLOOKUP($A173-COUNT('Шаг2.Бланк заказа NEW'!$B$19:$B$201),'Бланк OLD 0.8 04'!$B$12:$K$200,5,0)&gt;1,0.4,
IF(AND(VLOOKUP($A173-COUNT('Шаг2.Бланк заказа NEW'!$B$19:$B$201),'Бланк OLD 0.8 04'!$B$12:$K$200,4,0)&gt;0,VLOOKUP($A173-COUNT('Шаг2.Бланк заказа NEW'!$B$19:$B$201),'Бланк OLD 0.8 04'!$B$12:$K$200,5,0)&gt;0),0.4,"")))),
IF(VLOOKUP($A173-COUNT('Шаг2.Бланк заказа NEW'!$B$19:$B$201)-COUNT('Бланк OLD 0.8 04'!$B$18:$B$200),'Бланк OLD 2.0 04 '!$B$16:$K$200,4,0)&gt;1,2,
IF(VLOOKUP($A173-COUNT('Шаг2.Бланк заказа NEW'!$B$19:$B$201)-COUNT('Бланк OLD 0.8 04'!$B$18:$B$200),'Бланк OLD 2.0 04 '!$B$16:$K$200,5,0)&gt;1,0.4,IF(AND(VLOOKUP($A173-COUNT('Шаг2.Бланк заказа NEW'!$B$19:$B$201)-COUNT('Бланк OLD 0.8 04'!$B$18:$B$200),'Бланк OLD 2.0 04 '!$B$16:$K$200,4,0)&gt;0,VLOOKUP($A173-COUNT('Шаг2.Бланк заказа NEW'!$B$19:$B$201)-COUNT('Бланк OLD 0.8 04'!$B$18:$B$200),'Бланк OLD 2.0 04 '!$B$16:$K$200,5,0)&gt;0),0.4,""))))</f>
        <v/>
      </c>
      <c r="T173" s="147" t="str">
        <f ca="1">IFERROR(IFERROR(IF(VLOOKUP($A173,'Шаг2.Бланк заказа NEW'!$B$17:$N$201,7,0)="","",VLOOKUP($A173,'Шаг2.Бланк заказа NEW'!$B$17:$N$201,7,0)),
IF(VLOOKUP($A173-COUNT('Шаг2.Бланк заказа NEW'!$B$19:$B$201),'Бланк OLD 0.8 04'!$B$12:$K$200,7,0)&gt;0,0.8,
IF(VLOOKUP($A173-COUNT('Шаг2.Бланк заказа NEW'!$B$19:$B$201),'Бланк OLD 0.8 04'!$B$12:$K$200,8,0)&gt;0,0.4,""))),
IF(VLOOKUP($A173-COUNT('Шаг2.Бланк заказа NEW'!$B$19:$B$201)-COUNT('Бланк OLD 0.8 04'!$B$18:$B$200),'Бланк OLD 2.0 04 '!$B$16:$K$200,7,0)&gt;0,2,IF(VLOOKUP($A173-COUNT('Шаг2.Бланк заказа NEW'!$B$19:$B$201)-COUNT('Бланк OLD 0.8 04'!$B$18:$B$200),'Бланк OLD 2.0 04 '!$B$16:$K$200,8,0)&gt;0,0.4,"")))</f>
        <v/>
      </c>
      <c r="U173" s="147" t="str">
        <f ca="1">IFERROR(IFERROR(IF(VLOOKUP($A173,'Шаг2.Бланк заказа NEW'!$B$17:$N$201,8,0)="","",VLOOKUP($A173,'Шаг2.Бланк заказа NEW'!$B$17:$N$201,8,0)),
IF(VLOOKUP($A173-COUNT('Шаг2.Бланк заказа NEW'!$B$19:$B$201),'Бланк OLD 0.8 04'!$B$12:$K$200,7,0)&gt;1,0.8,
IF(VLOOKUP($A173-COUNT('Шаг2.Бланк заказа NEW'!$B$19:$B$201),'Бланк OLD 0.8 04'!$B$12:$K$200,8,0)&gt;1,0.4,
IF(AND(VLOOKUP($A173-COUNT('Шаг2.Бланк заказа NEW'!$B$19:$B$201),'Бланк OLD 0.8 04'!$B$12:$K$200,7,0)&gt;0,VLOOKUP($A173-COUNT('Шаг2.Бланк заказа NEW'!$B$19:$B$201),'Бланк OLD 0.8 04'!$B$12:$K$200,8,0)&gt;0),0.4,"")))),
IF(VLOOKUP($A173-COUNT('Шаг2.Бланк заказа NEW'!$B$19:$B$201)-COUNT('Бланк OLD 0.8 04'!$B$18:$B$200),'Бланк OLD 2.0 04 '!$B$16:$K$200,7,0)&gt;1,2,
IF(VLOOKUP($A173-COUNT('Шаг2.Бланк заказа NEW'!$B$19:$B$201)-COUNT('Бланк OLD 0.8 04'!$B$18:$B$200),'Бланк OLD 2.0 04 '!$B$16:$K$200,8,0)&gt;1,0.4,
IF(AND(VLOOKUP($A173-COUNT('Шаг2.Бланк заказа NEW'!$B$19:$B$201)-COUNT('Бланк OLD 0.8 04'!$B$18:$B$200),'Бланк OLD 2.0 04 '!$B$16:$K$200,7,0)&gt;0,VLOOKUP($A173-COUNT('Шаг2.Бланк заказа NEW'!$B$19:$B$201)-COUNT('Бланк OLD 0.8 04'!$B$18:$B$200),'Бланк OLD 2.0 04 '!$B$16:$K$200,8,0)&gt;0),0.4,""))))</f>
        <v/>
      </c>
      <c r="V173" s="146" t="str">
        <f ca="1">IFERROR(VLOOKUP(C173,'Шаг1.Выбор плиты'!C:S,12,0),"")</f>
        <v/>
      </c>
      <c r="W173" s="146" t="str">
        <f ca="1">IFERROR(VLOOKUP(C173,'Шаг1.Выбор плиты'!C:S,8,0),"")</f>
        <v/>
      </c>
      <c r="X173" s="146" t="str">
        <f ca="1">IFERROR(VLOOKUP(C173,'Шаг1.Выбор плиты'!C:S,10,0),"")</f>
        <v/>
      </c>
      <c r="Y173" s="147" t="str">
        <f t="shared" ca="1" si="13"/>
        <v/>
      </c>
      <c r="AD173" s="147" t="str">
        <f t="shared" ca="1" si="16"/>
        <v/>
      </c>
      <c r="AE173" s="147" t="str">
        <f t="shared" ca="1" si="14"/>
        <v/>
      </c>
      <c r="AF173" s="25"/>
      <c r="AH173" s="147" t="str">
        <f ca="1">IF(C173="","",VLOOKUP(C173,'Шаг1.Выбор плиты'!C:Q,7,0))</f>
        <v/>
      </c>
      <c r="AI173" s="147" t="str">
        <f t="shared" ca="1" si="17"/>
        <v/>
      </c>
    </row>
    <row r="174" spans="1:35" x14ac:dyDescent="0.2">
      <c r="A174" s="151" t="str">
        <f ca="1">IF(C174="","",MAX($A$1:OFFSET(C174,-1,0))+1)</f>
        <v/>
      </c>
      <c r="B174" s="151" t="str">
        <f ca="1">IFERROR(IFERROR(IFERROR("Шаг2.Бланк заказа NEW №"&amp;VLOOKUP(A173+1,CHOOSE({1,2},'Шаг2.Бланк заказа NEW'!$B$19:$B$201,'Шаг2.Бланк заказа NEW'!$A$19:$A$201),1,0),
"Бланк OLD 0.8 04 №"&amp;VLOOKUP(A173+1-COUNT('Шаг2.Бланк заказа NEW'!$B$19:$B$201),CHOOSE({1,2},'Бланк OLD 0.8 04'!$B$18:$B$200,'Бланк OLD 0.8 04'!$A$18:$A$200),1,0)),
"Бланк OLD 2.0 04 №"&amp;VLOOKUP(A173+1-COUNT('Шаг2.Бланк заказа NEW'!$B$19:$B$201)-COUNT('Бланк OLD 0.8 04'!$B$18:$B$200),CHOOSE({1,2},'Бланк OLD 2.0 04 '!$B$18:$B$200,'Бланк OLD 2.0 04 '!$A$18:$A$200),1,0)),"")</f>
        <v/>
      </c>
      <c r="C174" s="152" t="str">
        <f ca="1">IFERROR(IFERROR(IFERROR(VLOOKUP(A173+1,CHOOSE({1,2},'Шаг2.Бланк заказа NEW'!$B$19:$B$201,'Шаг2.Бланк заказа NEW'!$A$19:$A$201),2,0),
VLOOKUP(A173+1-COUNT('Шаг2.Бланк заказа NEW'!$B$19:$B$201),CHOOSE({1,2},'Бланк OLD 0.8 04'!$B$18:$B$200,'Бланк OLD 0.8 04'!$A$18:$A$200),2,0)),
VLOOKUP(A173+1-COUNT('Шаг2.Бланк заказа NEW'!$B$19:$B$201)-COUNT('Бланк OLD 0.8 04'!$B$18:$B$200),CHOOSE({1,2},'Бланк OLD 2.0 04 '!$B$18:$B$200,'Бланк OLD 2.0 04 '!$A$18:$A$200),2,0)),"")</f>
        <v/>
      </c>
      <c r="D174" s="150" t="str">
        <f ca="1">IFERROR(VLOOKUP(C174,'Шаг1.Выбор плиты'!C:G,5,0),"")</f>
        <v/>
      </c>
      <c r="E174" s="147" t="str">
        <f ca="1">IFERROR(IFERROR(IF(VLOOKUP($A174,'Шаг2.Бланк заказа NEW'!$B$17:$N$201,2,0)="","",VLOOKUP($A174,'Шаг2.Бланк заказа NEW'!$B$17:$N$201,2,0)),
IF(VLOOKUP($A174-COUNT('Шаг2.Бланк заказа NEW'!$B$19:$B$201),'Бланк OLD 0.8 04'!$B$12:$K$200,2,0)="","",VLOOKUP($A174-COUNT('Шаг2.Бланк заказа NEW'!$B$19:$B$201),'Бланк OLD 0.8 04'!$B$12:$K$200,2,0))),
IF(VLOOKUP($A174-COUNT('Шаг2.Бланк заказа NEW'!$B$19:$B$201)-COUNT('Бланк OLD 0.8 04'!$B$18:$B$200),'Бланк OLD 2.0 04 '!$B$16:$K$200,2,0)="","",VLOOKUP($A174-COUNT('Шаг2.Бланк заказа NEW'!$B$19:$B$201)-COUNT('Бланк OLD 0.8 04'!$B$18:$B$200),'Бланк OLD 2.0 04 '!$B$16:$K$200,2,0)))</f>
        <v/>
      </c>
      <c r="F174" s="147" t="str">
        <f ca="1">IFERROR(IFERROR(IF(VLOOKUP($A174,'Шаг2.Бланк заказа NEW'!$B$17:$N$201,3,0)="","",VLOOKUP($A174,'Шаг2.Бланк заказа NEW'!$B$17:$N$201,3,0)),
IF(VLOOKUP($A174-COUNT('Шаг2.Бланк заказа NEW'!$B$19:$B$201),'Бланк OLD 0.8 04'!$B$12:$K$200,3,0)="","",VLOOKUP($A174-COUNT('Шаг2.Бланк заказа NEW'!$B$19:$B$201),'Бланк OLD 0.8 04'!$B$12:$K$200,3,0))),
IF(VLOOKUP($A174-COUNT('Шаг2.Бланк заказа NEW'!$B$19:$B$201)-COUNT('Бланк OLD 0.8 04'!$B$18:$B$200),'Бланк OLD 2.0 04 '!$B$16:$K$200,3,0)="","",VLOOKUP($A174-COUNT('Шаг2.Бланк заказа NEW'!$B$19:$B$201)-COUNT('Бланк OLD 0.8 04'!$B$18:$B$200),'Бланк OLD 2.0 04 '!$B$16:$K$200,3,0)))</f>
        <v/>
      </c>
      <c r="G174" s="176" t="str">
        <f ca="1">IF(IF(R174="","",IF(R174=1,SUMIFS('Шаг1.Выбор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плиты'!C:Q,12,0)),1))))))=0,
R174,
IF(R174="","",IF(R174=1,SUMIFS('Шаг1.Выбор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плиты'!N:N,R174,'Шаг1.Выбор плиты'!M:M,SMALL(INDIRECT("мм"&amp;VLOOKUP(C174,'Шаг1.Выбор плиты'!C:Q,12,0)),1)))))))</f>
        <v/>
      </c>
      <c r="H174" s="177" t="str">
        <f ca="1">IF(IF(S174="","",IF(S174=1,SUMIFS('Шаг1.Выбор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плиты'!C:Q,12,0)),1))))))=0,
S174,
IF(S174="","",IF(S174=1,SUMIFS('Шаг1.Выбор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плиты'!N:N,S174,'Шаг1.Выбор плиты'!M:M,SMALL(INDIRECT("мм"&amp;VLOOKUP(C174,'Шаг1.Выбор плиты'!C:Q,12,0)),1)))))))</f>
        <v/>
      </c>
      <c r="I174" s="147" t="str">
        <f ca="1">IFERROR(IFERROR(IF(VLOOKUP($A174,'Шаг2.Бланк заказа NEW'!$B$17:$N$201,6,0)="","",VLOOKUP($A174,'Шаг2.Бланк заказа NEW'!$B$17:$N$201,6,0)),
IF(VLOOKUP($A174-COUNT('Шаг2.Бланк заказа NEW'!$B$19:$B$201),'Бланк OLD 0.8 04'!$B$12:$K$200,6,0)="","",VLOOKUP($A174-COUNT('Шаг2.Бланк заказа NEW'!$B$19:$B$201),'Бланк OLD 0.8 04'!$B$12:$K$200,6,0))),
IF(VLOOKUP($A174-COUNT('Шаг2.Бланк заказа NEW'!$B$19:$B$201)-COUNT('Бланк OLD 0.8 04'!$B$18:$B$200),'Бланк OLD 2.0 04 '!$B$16:$K$200,6,0)="","",VLOOKUP($A174-COUNT('Шаг2.Бланк заказа NEW'!$B$19:$B$201)-COUNT('Бланк OLD 0.8 04'!$B$18:$B$200),'Бланк OLD 2.0 04 '!$B$16:$K$200,6,0)))</f>
        <v/>
      </c>
      <c r="J174" s="177" t="str">
        <f ca="1">IF(IF(T174="","",IF(T174=1,SUMIFS('Шаг1.Выбор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плиты'!C:Q,12,0)),1))))))=0,
T174,
IF(T174="","",IF(T174=1,SUMIFS('Шаг1.Выбор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плиты'!N:N,T174,'Шаг1.Выбор плиты'!M:M,SMALL(INDIRECT("мм"&amp;VLOOKUP(C174,'Шаг1.Выбор плиты'!C:Q,12,0)),1)))))))</f>
        <v/>
      </c>
      <c r="K174" s="177" t="str">
        <f ca="1">IF(IF(U174="","",IF(U174=1,SUMIFS('Шаг1.Выбор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плиты'!C:Q,12,0)),1))))))=0,
U174,
IF(U174="","",IF(U174=1,SUMIFS('Шаг1.Выбор плиты'!$G:$G,'Шаг1.Выбор плиты'!J:J,"*"&amp;RIGHT(VLOOKUP(C174,'Шаг1.Выбор плиты'!C:Q,8,0),4),'Шаг1.Выбор плиты'!L:L,IF(MID(C174,1,6)="ЛДСП P","TM"&amp;MID(VLOOKUP(C174,'Шаг1.Выбор плиты'!C:Q,10,0),3,2),MID(VLOOKUP(C174,'Шаг1.Выбор плиты'!C:Q,10,0),1,2)),
'Шаг1.Выбор плиты'!N:N,1),IF(SUMIFS('Шаг1.Выбор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плиты'!C:Q,12,0)),1))=0,
IF(SUMIFS('Шаг1.Выбор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плиты'!C:Q,12,0)),2))=0,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плиты'!C:Q,12,0)),3)),
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плиты'!C:Q,12,0)),2))),
(SUMIFS('Шаг1.Выбор плиты'!$G:$G,'Шаг1.Выбор плиты'!J:J,"*"&amp;RIGHT(VLOOKUP(C174,'Шаг1.Выбор плиты'!C:Q,8,0),4),'Шаг1.Выбор плиты'!L:L,VLOOKUP(C174,'Шаг1.Выбор плиты'!C:Q,10,0),'Шаг1.Выбор плиты'!N:N,U174,'Шаг1.Выбор плиты'!M:M,SMALL(INDIRECT("мм"&amp;VLOOKUP(C174,'Шаг1.Выбор плиты'!C:Q,12,0)),1)))))))</f>
        <v/>
      </c>
      <c r="L174" s="147" t="str">
        <f ca="1">IFERROR(IFERROR(IF(VLOOKUP($A174,'Шаг2.Бланк заказа NEW'!$B$17:$N$201,9,0)="","",VLOOKUP($A174,'Шаг2.Бланк заказа NEW'!$B$17:$N$201,9,0)),
IF(VLOOKUP($A174-COUNT('Шаг2.Бланк заказа NEW'!$B$19:$B$201),'Бланк OLD 0.8 04'!$B$12:$K$200,9,0)="","",VLOOKUP($A174-COUNT('Шаг2.Бланк заказа NEW'!$B$19:$B$201),'Бланк OLD 0.8 04'!$B$12:$K$200,9,0))),
IF(VLOOKUP($A174-COUNT('Шаг2.Бланк заказа NEW'!$B$19:$B$201)-COUNT('Бланк OLD 0.8 04'!$B$18:$B$200),'Бланк OLD 2.0 04 '!$B$16:$K$200,9,0)="","",VLOOKUP($A174-COUNT('Шаг2.Бланк заказа NEW'!$B$19:$B$201)-COUNT('Бланк OLD 0.8 04'!$B$18:$B$200),'Бланк OLD 2.0 04 '!$B$16:$K$200,9,0)))</f>
        <v/>
      </c>
      <c r="M174" s="154" t="str">
        <f t="shared" ca="1" si="15"/>
        <v/>
      </c>
      <c r="N174" s="153" t="str">
        <f ca="1">IFERROR(IF(VLOOKUP($A174,'Шаг2.Бланк заказа NEW'!$B$17:$N$201,11,0)="","",VLOOKUP($A174,'Шаг2.Бланк заказа NEW'!$B$17:$N$201,11,0)),
"Нет")</f>
        <v/>
      </c>
      <c r="O174" s="147" t="str">
        <f ca="1">IFERROR(IF(VLOOKUP($A174,'Шаг2.Бланк заказа NEW'!$B$17:$N$201,11,0)="","",VLOOKUP($A174,'Шаг2.Бланк заказа NEW'!$B$17:$N$201,12,0)),
"Нет")</f>
        <v/>
      </c>
      <c r="P174" s="153" t="str">
        <f ca="1">IFERROR(IF(VLOOKUP($A174,'Шаг2.Бланк заказа NEW'!$B$17:$N$201,13,0)="","",VLOOKUP($A174,'Шаг2.Бланк заказа NEW'!$B$17:$N$201,13,0)),
"Нет")</f>
        <v/>
      </c>
      <c r="Q174" s="147" t="str">
        <f ca="1">IFERROR(IF(VLOOKUP($A174,'Шаг2.Бланк заказа NEW'!$B$17:$O$201,14,0)="","",VLOOKUP($A174,'Шаг2.Бланк заказа NEW'!$B$17:$O$201,14,0)),"")</f>
        <v/>
      </c>
      <c r="R174" s="147" t="str">
        <f ca="1">IFERROR(IFERROR(IF(VLOOKUP($A174,'Шаг2.Бланк заказа NEW'!$B$17:$N$201,4,0)="","",VLOOKUP($A174,'Шаг2.Бланк заказа NEW'!$B$17:$N$201,4,0)),
IF(VLOOKUP($A174-COUNT('Шаг2.Бланк заказа NEW'!$B$19:$B$201),'Бланк OLD 0.8 04'!$B$12:$K$200,4,0)&gt;0,0.8,
IF(VLOOKUP($A174-COUNT('Шаг2.Бланк заказа NEW'!$B$19:$B$201),'Бланк OLD 0.8 04'!$B$12:$K$200,5,0)&gt;0,0.4,""))),
IF(VLOOKUP($A174-COUNT('Шаг2.Бланк заказа NEW'!$B$19:$B$201)-COUNT('Бланк OLD 0.8 04'!$B$18:$B$200),'Бланк OLD 2.0 04 '!$B$16:$K$200,4,0)&gt;0,2,IF(VLOOKUP($A174-COUNT('Шаг2.Бланк заказа NEW'!$B$19:$B$201)-COUNT('Бланк OLD 0.8 04'!$B$18:$B$200),'Бланк OLD 2.0 04 '!$B$16:$K$200,5,0)&gt;0,0.4,"")))</f>
        <v/>
      </c>
      <c r="S174" s="147" t="str">
        <f ca="1">IFERROR(IFERROR(IF(VLOOKUP($A174,'Шаг2.Бланк заказа NEW'!$B$17:$N$201,5,0)="","",VLOOKUP($A174,'Шаг2.Бланк заказа NEW'!$B$17:$N$201,5,0)),
IF(VLOOKUP($A174-COUNT('Шаг2.Бланк заказа NEW'!$B$19:$B$201),'Бланк OLD 0.8 04'!$B$12:$K$200,4,0)&gt;1,0.8,
IF(VLOOKUP($A174-COUNT('Шаг2.Бланк заказа NEW'!$B$19:$B$201),'Бланк OLD 0.8 04'!$B$12:$K$200,5,0)&gt;1,0.4,
IF(AND(VLOOKUP($A174-COUNT('Шаг2.Бланк заказа NEW'!$B$19:$B$201),'Бланк OLD 0.8 04'!$B$12:$K$200,4,0)&gt;0,VLOOKUP($A174-COUNT('Шаг2.Бланк заказа NEW'!$B$19:$B$201),'Бланк OLD 0.8 04'!$B$12:$K$200,5,0)&gt;0),0.4,"")))),
IF(VLOOKUP($A174-COUNT('Шаг2.Бланк заказа NEW'!$B$19:$B$201)-COUNT('Бланк OLD 0.8 04'!$B$18:$B$200),'Бланк OLD 2.0 04 '!$B$16:$K$200,4,0)&gt;1,2,
IF(VLOOKUP($A174-COUNT('Шаг2.Бланк заказа NEW'!$B$19:$B$201)-COUNT('Бланк OLD 0.8 04'!$B$18:$B$200),'Бланк OLD 2.0 04 '!$B$16:$K$200,5,0)&gt;1,0.4,IF(AND(VLOOKUP($A174-COUNT('Шаг2.Бланк заказа NEW'!$B$19:$B$201)-COUNT('Бланк OLD 0.8 04'!$B$18:$B$200),'Бланк OLD 2.0 04 '!$B$16:$K$200,4,0)&gt;0,VLOOKUP($A174-COUNT('Шаг2.Бланк заказа NEW'!$B$19:$B$201)-COUNT('Бланк OLD 0.8 04'!$B$18:$B$200),'Бланк OLD 2.0 04 '!$B$16:$K$200,5,0)&gt;0),0.4,""))))</f>
        <v/>
      </c>
      <c r="T174" s="147" t="str">
        <f ca="1">IFERROR(IFERROR(IF(VLOOKUP($A174,'Шаг2.Бланк заказа NEW'!$B$17:$N$201,7,0)="","",VLOOKUP($A174,'Шаг2.Бланк заказа NEW'!$B$17:$N$201,7,0)),
IF(VLOOKUP($A174-COUNT('Шаг2.Бланк заказа NEW'!$B$19:$B$201),'Бланк OLD 0.8 04'!$B$12:$K$200,7,0)&gt;0,0.8,
IF(VLOOKUP($A174-COUNT('Шаг2.Бланк заказа NEW'!$B$19:$B$201),'Бланк OLD 0.8 04'!$B$12:$K$200,8,0)&gt;0,0.4,""))),
IF(VLOOKUP($A174-COUNT('Шаг2.Бланк заказа NEW'!$B$19:$B$201)-COUNT('Бланк OLD 0.8 04'!$B$18:$B$200),'Бланк OLD 2.0 04 '!$B$16:$K$200,7,0)&gt;0,2,IF(VLOOKUP($A174-COUNT('Шаг2.Бланк заказа NEW'!$B$19:$B$201)-COUNT('Бланк OLD 0.8 04'!$B$18:$B$200),'Бланк OLD 2.0 04 '!$B$16:$K$200,8,0)&gt;0,0.4,"")))</f>
        <v/>
      </c>
      <c r="U174" s="147" t="str">
        <f ca="1">IFERROR(IFERROR(IF(VLOOKUP($A174,'Шаг2.Бланк заказа NEW'!$B$17:$N$201,8,0)="","",VLOOKUP($A174,'Шаг2.Бланк заказа NEW'!$B$17:$N$201,8,0)),
IF(VLOOKUP($A174-COUNT('Шаг2.Бланк заказа NEW'!$B$19:$B$201),'Бланк OLD 0.8 04'!$B$12:$K$200,7,0)&gt;1,0.8,
IF(VLOOKUP($A174-COUNT('Шаг2.Бланк заказа NEW'!$B$19:$B$201),'Бланк OLD 0.8 04'!$B$12:$K$200,8,0)&gt;1,0.4,
IF(AND(VLOOKUP($A174-COUNT('Шаг2.Бланк заказа NEW'!$B$19:$B$201),'Бланк OLD 0.8 04'!$B$12:$K$200,7,0)&gt;0,VLOOKUP($A174-COUNT('Шаг2.Бланк заказа NEW'!$B$19:$B$201),'Бланк OLD 0.8 04'!$B$12:$K$200,8,0)&gt;0),0.4,"")))),
IF(VLOOKUP($A174-COUNT('Шаг2.Бланк заказа NEW'!$B$19:$B$201)-COUNT('Бланк OLD 0.8 04'!$B$18:$B$200),'Бланк OLD 2.0 04 '!$B$16:$K$200,7,0)&gt;1,2,
IF(VLOOKUP($A174-COUNT('Шаг2.Бланк заказа NEW'!$B$19:$B$201)-COUNT('Бланк OLD 0.8 04'!$B$18:$B$200),'Бланк OLD 2.0 04 '!$B$16:$K$200,8,0)&gt;1,0.4,
IF(AND(VLOOKUP($A174-COUNT('Шаг2.Бланк заказа NEW'!$B$19:$B$201)-COUNT('Бланк OLD 0.8 04'!$B$18:$B$200),'Бланк OLD 2.0 04 '!$B$16:$K$200,7,0)&gt;0,VLOOKUP($A174-COUNT('Шаг2.Бланк заказа NEW'!$B$19:$B$201)-COUNT('Бланк OLD 0.8 04'!$B$18:$B$200),'Бланк OLD 2.0 04 '!$B$16:$K$200,8,0)&gt;0),0.4,""))))</f>
        <v/>
      </c>
      <c r="V174" s="146" t="str">
        <f ca="1">IFERROR(VLOOKUP(C174,'Шаг1.Выбор плиты'!C:S,12,0),"")</f>
        <v/>
      </c>
      <c r="W174" s="146" t="str">
        <f ca="1">IFERROR(VLOOKUP(C174,'Шаг1.Выбор плиты'!C:S,8,0),"")</f>
        <v/>
      </c>
      <c r="X174" s="146" t="str">
        <f ca="1">IFERROR(VLOOKUP(C174,'Шаг1.Выбор плиты'!C:S,10,0),"")</f>
        <v/>
      </c>
      <c r="Y174" s="147" t="str">
        <f t="shared" ca="1" si="13"/>
        <v/>
      </c>
      <c r="AD174" s="147" t="str">
        <f t="shared" ca="1" si="16"/>
        <v/>
      </c>
      <c r="AE174" s="147" t="str">
        <f t="shared" ca="1" si="14"/>
        <v/>
      </c>
      <c r="AF174" s="25"/>
      <c r="AH174" s="147" t="str">
        <f ca="1">IF(C174="","",VLOOKUP(C174,'Шаг1.Выбор плиты'!C:Q,7,0))</f>
        <v/>
      </c>
      <c r="AI174" s="147" t="str">
        <f t="shared" ca="1" si="17"/>
        <v/>
      </c>
    </row>
    <row r="175" spans="1:35" x14ac:dyDescent="0.2">
      <c r="A175" s="151" t="str">
        <f ca="1">IF(C175="","",MAX($A$1:OFFSET(C175,-1,0))+1)</f>
        <v/>
      </c>
      <c r="B175" s="151" t="str">
        <f ca="1">IFERROR(IFERROR(IFERROR("Шаг2.Бланк заказа NEW №"&amp;VLOOKUP(A174+1,CHOOSE({1,2},'Шаг2.Бланк заказа NEW'!$B$19:$B$201,'Шаг2.Бланк заказа NEW'!$A$19:$A$201),1,0),
"Бланк OLD 0.8 04 №"&amp;VLOOKUP(A174+1-COUNT('Шаг2.Бланк заказа NEW'!$B$19:$B$201),CHOOSE({1,2},'Бланк OLD 0.8 04'!$B$18:$B$200,'Бланк OLD 0.8 04'!$A$18:$A$200),1,0)),
"Бланк OLD 2.0 04 №"&amp;VLOOKUP(A174+1-COUNT('Шаг2.Бланк заказа NEW'!$B$19:$B$201)-COUNT('Бланк OLD 0.8 04'!$B$18:$B$200),CHOOSE({1,2},'Бланк OLD 2.0 04 '!$B$18:$B$200,'Бланк OLD 2.0 04 '!$A$18:$A$200),1,0)),"")</f>
        <v/>
      </c>
      <c r="C175" s="152" t="str">
        <f ca="1">IFERROR(IFERROR(IFERROR(VLOOKUP(A174+1,CHOOSE({1,2},'Шаг2.Бланк заказа NEW'!$B$19:$B$201,'Шаг2.Бланк заказа NEW'!$A$19:$A$201),2,0),
VLOOKUP(A174+1-COUNT('Шаг2.Бланк заказа NEW'!$B$19:$B$201),CHOOSE({1,2},'Бланк OLD 0.8 04'!$B$18:$B$200,'Бланк OLD 0.8 04'!$A$18:$A$200),2,0)),
VLOOKUP(A174+1-COUNT('Шаг2.Бланк заказа NEW'!$B$19:$B$201)-COUNT('Бланк OLD 0.8 04'!$B$18:$B$200),CHOOSE({1,2},'Бланк OLD 2.0 04 '!$B$18:$B$200,'Бланк OLD 2.0 04 '!$A$18:$A$200),2,0)),"")</f>
        <v/>
      </c>
      <c r="D175" s="150" t="str">
        <f ca="1">IFERROR(VLOOKUP(C175,'Шаг1.Выбор плиты'!C:G,5,0),"")</f>
        <v/>
      </c>
      <c r="E175" s="147" t="str">
        <f ca="1">IFERROR(IFERROR(IF(VLOOKUP($A175,'Шаг2.Бланк заказа NEW'!$B$17:$N$201,2,0)="","",VLOOKUP($A175,'Шаг2.Бланк заказа NEW'!$B$17:$N$201,2,0)),
IF(VLOOKUP($A175-COUNT('Шаг2.Бланк заказа NEW'!$B$19:$B$201),'Бланк OLD 0.8 04'!$B$12:$K$200,2,0)="","",VLOOKUP($A175-COUNT('Шаг2.Бланк заказа NEW'!$B$19:$B$201),'Бланк OLD 0.8 04'!$B$12:$K$200,2,0))),
IF(VLOOKUP($A175-COUNT('Шаг2.Бланк заказа NEW'!$B$19:$B$201)-COUNT('Бланк OLD 0.8 04'!$B$18:$B$200),'Бланк OLD 2.0 04 '!$B$16:$K$200,2,0)="","",VLOOKUP($A175-COUNT('Шаг2.Бланк заказа NEW'!$B$19:$B$201)-COUNT('Бланк OLD 0.8 04'!$B$18:$B$200),'Бланк OLD 2.0 04 '!$B$16:$K$200,2,0)))</f>
        <v/>
      </c>
      <c r="F175" s="147" t="str">
        <f ca="1">IFERROR(IFERROR(IF(VLOOKUP($A175,'Шаг2.Бланк заказа NEW'!$B$17:$N$201,3,0)="","",VLOOKUP($A175,'Шаг2.Бланк заказа NEW'!$B$17:$N$201,3,0)),
IF(VLOOKUP($A175-COUNT('Шаг2.Бланк заказа NEW'!$B$19:$B$201),'Бланк OLD 0.8 04'!$B$12:$K$200,3,0)="","",VLOOKUP($A175-COUNT('Шаг2.Бланк заказа NEW'!$B$19:$B$201),'Бланк OLD 0.8 04'!$B$12:$K$200,3,0))),
IF(VLOOKUP($A175-COUNT('Шаг2.Бланк заказа NEW'!$B$19:$B$201)-COUNT('Бланк OLD 0.8 04'!$B$18:$B$200),'Бланк OLD 2.0 04 '!$B$16:$K$200,3,0)="","",VLOOKUP($A175-COUNT('Шаг2.Бланк заказа NEW'!$B$19:$B$201)-COUNT('Бланк OLD 0.8 04'!$B$18:$B$200),'Бланк OLD 2.0 04 '!$B$16:$K$200,3,0)))</f>
        <v/>
      </c>
      <c r="G175" s="176" t="str">
        <f ca="1">IF(IF(R175="","",IF(R175=1,SUMIFS('Шаг1.Выбор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плиты'!C:Q,12,0)),1))))))=0,
R175,
IF(R175="","",IF(R175=1,SUMIFS('Шаг1.Выбор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плиты'!N:N,R175,'Шаг1.Выбор плиты'!M:M,SMALL(INDIRECT("мм"&amp;VLOOKUP(C175,'Шаг1.Выбор плиты'!C:Q,12,0)),1)))))))</f>
        <v/>
      </c>
      <c r="H175" s="177" t="str">
        <f ca="1">IF(IF(S175="","",IF(S175=1,SUMIFS('Шаг1.Выбор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плиты'!C:Q,12,0)),1))))))=0,
S175,
IF(S175="","",IF(S175=1,SUMIFS('Шаг1.Выбор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плиты'!N:N,S175,'Шаг1.Выбор плиты'!M:M,SMALL(INDIRECT("мм"&amp;VLOOKUP(C175,'Шаг1.Выбор плиты'!C:Q,12,0)),1)))))))</f>
        <v/>
      </c>
      <c r="I175" s="147" t="str">
        <f ca="1">IFERROR(IFERROR(IF(VLOOKUP($A175,'Шаг2.Бланк заказа NEW'!$B$17:$N$201,6,0)="","",VLOOKUP($A175,'Шаг2.Бланк заказа NEW'!$B$17:$N$201,6,0)),
IF(VLOOKUP($A175-COUNT('Шаг2.Бланк заказа NEW'!$B$19:$B$201),'Бланк OLD 0.8 04'!$B$12:$K$200,6,0)="","",VLOOKUP($A175-COUNT('Шаг2.Бланк заказа NEW'!$B$19:$B$201),'Бланк OLD 0.8 04'!$B$12:$K$200,6,0))),
IF(VLOOKUP($A175-COUNT('Шаг2.Бланк заказа NEW'!$B$19:$B$201)-COUNT('Бланк OLD 0.8 04'!$B$18:$B$200),'Бланк OLD 2.0 04 '!$B$16:$K$200,6,0)="","",VLOOKUP($A175-COUNT('Шаг2.Бланк заказа NEW'!$B$19:$B$201)-COUNT('Бланк OLD 0.8 04'!$B$18:$B$200),'Бланк OLD 2.0 04 '!$B$16:$K$200,6,0)))</f>
        <v/>
      </c>
      <c r="J175" s="177" t="str">
        <f ca="1">IF(IF(T175="","",IF(T175=1,SUMIFS('Шаг1.Выбор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плиты'!C:Q,12,0)),1))))))=0,
T175,
IF(T175="","",IF(T175=1,SUMIFS('Шаг1.Выбор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плиты'!N:N,T175,'Шаг1.Выбор плиты'!M:M,SMALL(INDIRECT("мм"&amp;VLOOKUP(C175,'Шаг1.Выбор плиты'!C:Q,12,0)),1)))))))</f>
        <v/>
      </c>
      <c r="K175" s="177" t="str">
        <f ca="1">IF(IF(U175="","",IF(U175=1,SUMIFS('Шаг1.Выбор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плиты'!C:Q,12,0)),1))))))=0,
U175,
IF(U175="","",IF(U175=1,SUMIFS('Шаг1.Выбор плиты'!$G:$G,'Шаг1.Выбор плиты'!J:J,"*"&amp;RIGHT(VLOOKUP(C175,'Шаг1.Выбор плиты'!C:Q,8,0),4),'Шаг1.Выбор плиты'!L:L,IF(MID(C175,1,6)="ЛДСП P","TM"&amp;MID(VLOOKUP(C175,'Шаг1.Выбор плиты'!C:Q,10,0),3,2),MID(VLOOKUP(C175,'Шаг1.Выбор плиты'!C:Q,10,0),1,2)),
'Шаг1.Выбор плиты'!N:N,1),IF(SUMIFS('Шаг1.Выбор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плиты'!C:Q,12,0)),1))=0,
IF(SUMIFS('Шаг1.Выбор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плиты'!C:Q,12,0)),2))=0,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плиты'!C:Q,12,0)),3)),
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плиты'!C:Q,12,0)),2))),
(SUMIFS('Шаг1.Выбор плиты'!$G:$G,'Шаг1.Выбор плиты'!J:J,"*"&amp;RIGHT(VLOOKUP(C175,'Шаг1.Выбор плиты'!C:Q,8,0),4),'Шаг1.Выбор плиты'!L:L,VLOOKUP(C175,'Шаг1.Выбор плиты'!C:Q,10,0),'Шаг1.Выбор плиты'!N:N,U175,'Шаг1.Выбор плиты'!M:M,SMALL(INDIRECT("мм"&amp;VLOOKUP(C175,'Шаг1.Выбор плиты'!C:Q,12,0)),1)))))))</f>
        <v/>
      </c>
      <c r="L175" s="147" t="str">
        <f ca="1">IFERROR(IFERROR(IF(VLOOKUP($A175,'Шаг2.Бланк заказа NEW'!$B$17:$N$201,9,0)="","",VLOOKUP($A175,'Шаг2.Бланк заказа NEW'!$B$17:$N$201,9,0)),
IF(VLOOKUP($A175-COUNT('Шаг2.Бланк заказа NEW'!$B$19:$B$201),'Бланк OLD 0.8 04'!$B$12:$K$200,9,0)="","",VLOOKUP($A175-COUNT('Шаг2.Бланк заказа NEW'!$B$19:$B$201),'Бланк OLD 0.8 04'!$B$12:$K$200,9,0))),
IF(VLOOKUP($A175-COUNT('Шаг2.Бланк заказа NEW'!$B$19:$B$201)-COUNT('Бланк OLD 0.8 04'!$B$18:$B$200),'Бланк OLD 2.0 04 '!$B$16:$K$200,9,0)="","",VLOOKUP($A175-COUNT('Шаг2.Бланк заказа NEW'!$B$19:$B$201)-COUNT('Бланк OLD 0.8 04'!$B$18:$B$200),'Бланк OLD 2.0 04 '!$B$16:$K$200,9,0)))</f>
        <v/>
      </c>
      <c r="M175" s="154" t="str">
        <f t="shared" ca="1" si="15"/>
        <v/>
      </c>
      <c r="N175" s="153" t="str">
        <f ca="1">IFERROR(IF(VLOOKUP($A175,'Шаг2.Бланк заказа NEW'!$B$17:$N$201,11,0)="","",VLOOKUP($A175,'Шаг2.Бланк заказа NEW'!$B$17:$N$201,11,0)),
"Нет")</f>
        <v/>
      </c>
      <c r="O175" s="147" t="str">
        <f ca="1">IFERROR(IF(VLOOKUP($A175,'Шаг2.Бланк заказа NEW'!$B$17:$N$201,11,0)="","",VLOOKUP($A175,'Шаг2.Бланк заказа NEW'!$B$17:$N$201,12,0)),
"Нет")</f>
        <v/>
      </c>
      <c r="P175" s="153" t="str">
        <f ca="1">IFERROR(IF(VLOOKUP($A175,'Шаг2.Бланк заказа NEW'!$B$17:$N$201,13,0)="","",VLOOKUP($A175,'Шаг2.Бланк заказа NEW'!$B$17:$N$201,13,0)),
"Нет")</f>
        <v/>
      </c>
      <c r="Q175" s="147" t="str">
        <f ca="1">IFERROR(IF(VLOOKUP($A175,'Шаг2.Бланк заказа NEW'!$B$17:$O$201,14,0)="","",VLOOKUP($A175,'Шаг2.Бланк заказа NEW'!$B$17:$O$201,14,0)),"")</f>
        <v/>
      </c>
      <c r="R175" s="147" t="str">
        <f ca="1">IFERROR(IFERROR(IF(VLOOKUP($A175,'Шаг2.Бланк заказа NEW'!$B$17:$N$201,4,0)="","",VLOOKUP($A175,'Шаг2.Бланк заказа NEW'!$B$17:$N$201,4,0)),
IF(VLOOKUP($A175-COUNT('Шаг2.Бланк заказа NEW'!$B$19:$B$201),'Бланк OLD 0.8 04'!$B$12:$K$200,4,0)&gt;0,0.8,
IF(VLOOKUP($A175-COUNT('Шаг2.Бланк заказа NEW'!$B$19:$B$201),'Бланк OLD 0.8 04'!$B$12:$K$200,5,0)&gt;0,0.4,""))),
IF(VLOOKUP($A175-COUNT('Шаг2.Бланк заказа NEW'!$B$19:$B$201)-COUNT('Бланк OLD 0.8 04'!$B$18:$B$200),'Бланк OLD 2.0 04 '!$B$16:$K$200,4,0)&gt;0,2,IF(VLOOKUP($A175-COUNT('Шаг2.Бланк заказа NEW'!$B$19:$B$201)-COUNT('Бланк OLD 0.8 04'!$B$18:$B$200),'Бланк OLD 2.0 04 '!$B$16:$K$200,5,0)&gt;0,0.4,"")))</f>
        <v/>
      </c>
      <c r="S175" s="147" t="str">
        <f ca="1">IFERROR(IFERROR(IF(VLOOKUP($A175,'Шаг2.Бланк заказа NEW'!$B$17:$N$201,5,0)="","",VLOOKUP($A175,'Шаг2.Бланк заказа NEW'!$B$17:$N$201,5,0)),
IF(VLOOKUP($A175-COUNT('Шаг2.Бланк заказа NEW'!$B$19:$B$201),'Бланк OLD 0.8 04'!$B$12:$K$200,4,0)&gt;1,0.8,
IF(VLOOKUP($A175-COUNT('Шаг2.Бланк заказа NEW'!$B$19:$B$201),'Бланк OLD 0.8 04'!$B$12:$K$200,5,0)&gt;1,0.4,
IF(AND(VLOOKUP($A175-COUNT('Шаг2.Бланк заказа NEW'!$B$19:$B$201),'Бланк OLD 0.8 04'!$B$12:$K$200,4,0)&gt;0,VLOOKUP($A175-COUNT('Шаг2.Бланк заказа NEW'!$B$19:$B$201),'Бланк OLD 0.8 04'!$B$12:$K$200,5,0)&gt;0),0.4,"")))),
IF(VLOOKUP($A175-COUNT('Шаг2.Бланк заказа NEW'!$B$19:$B$201)-COUNT('Бланк OLD 0.8 04'!$B$18:$B$200),'Бланк OLD 2.0 04 '!$B$16:$K$200,4,0)&gt;1,2,
IF(VLOOKUP($A175-COUNT('Шаг2.Бланк заказа NEW'!$B$19:$B$201)-COUNT('Бланк OLD 0.8 04'!$B$18:$B$200),'Бланк OLD 2.0 04 '!$B$16:$K$200,5,0)&gt;1,0.4,IF(AND(VLOOKUP($A175-COUNT('Шаг2.Бланк заказа NEW'!$B$19:$B$201)-COUNT('Бланк OLD 0.8 04'!$B$18:$B$200),'Бланк OLD 2.0 04 '!$B$16:$K$200,4,0)&gt;0,VLOOKUP($A175-COUNT('Шаг2.Бланк заказа NEW'!$B$19:$B$201)-COUNT('Бланк OLD 0.8 04'!$B$18:$B$200),'Бланк OLD 2.0 04 '!$B$16:$K$200,5,0)&gt;0),0.4,""))))</f>
        <v/>
      </c>
      <c r="T175" s="147" t="str">
        <f ca="1">IFERROR(IFERROR(IF(VLOOKUP($A175,'Шаг2.Бланк заказа NEW'!$B$17:$N$201,7,0)="","",VLOOKUP($A175,'Шаг2.Бланк заказа NEW'!$B$17:$N$201,7,0)),
IF(VLOOKUP($A175-COUNT('Шаг2.Бланк заказа NEW'!$B$19:$B$201),'Бланк OLD 0.8 04'!$B$12:$K$200,7,0)&gt;0,0.8,
IF(VLOOKUP($A175-COUNT('Шаг2.Бланк заказа NEW'!$B$19:$B$201),'Бланк OLD 0.8 04'!$B$12:$K$200,8,0)&gt;0,0.4,""))),
IF(VLOOKUP($A175-COUNT('Шаг2.Бланк заказа NEW'!$B$19:$B$201)-COUNT('Бланк OLD 0.8 04'!$B$18:$B$200),'Бланк OLD 2.0 04 '!$B$16:$K$200,7,0)&gt;0,2,IF(VLOOKUP($A175-COUNT('Шаг2.Бланк заказа NEW'!$B$19:$B$201)-COUNT('Бланк OLD 0.8 04'!$B$18:$B$200),'Бланк OLD 2.0 04 '!$B$16:$K$200,8,0)&gt;0,0.4,"")))</f>
        <v/>
      </c>
      <c r="U175" s="147" t="str">
        <f ca="1">IFERROR(IFERROR(IF(VLOOKUP($A175,'Шаг2.Бланк заказа NEW'!$B$17:$N$201,8,0)="","",VLOOKUP($A175,'Шаг2.Бланк заказа NEW'!$B$17:$N$201,8,0)),
IF(VLOOKUP($A175-COUNT('Шаг2.Бланк заказа NEW'!$B$19:$B$201),'Бланк OLD 0.8 04'!$B$12:$K$200,7,0)&gt;1,0.8,
IF(VLOOKUP($A175-COUNT('Шаг2.Бланк заказа NEW'!$B$19:$B$201),'Бланк OLD 0.8 04'!$B$12:$K$200,8,0)&gt;1,0.4,
IF(AND(VLOOKUP($A175-COUNT('Шаг2.Бланк заказа NEW'!$B$19:$B$201),'Бланк OLD 0.8 04'!$B$12:$K$200,7,0)&gt;0,VLOOKUP($A175-COUNT('Шаг2.Бланк заказа NEW'!$B$19:$B$201),'Бланк OLD 0.8 04'!$B$12:$K$200,8,0)&gt;0),0.4,"")))),
IF(VLOOKUP($A175-COUNT('Шаг2.Бланк заказа NEW'!$B$19:$B$201)-COUNT('Бланк OLD 0.8 04'!$B$18:$B$200),'Бланк OLD 2.0 04 '!$B$16:$K$200,7,0)&gt;1,2,
IF(VLOOKUP($A175-COUNT('Шаг2.Бланк заказа NEW'!$B$19:$B$201)-COUNT('Бланк OLD 0.8 04'!$B$18:$B$200),'Бланк OLD 2.0 04 '!$B$16:$K$200,8,0)&gt;1,0.4,
IF(AND(VLOOKUP($A175-COUNT('Шаг2.Бланк заказа NEW'!$B$19:$B$201)-COUNT('Бланк OLD 0.8 04'!$B$18:$B$200),'Бланк OLD 2.0 04 '!$B$16:$K$200,7,0)&gt;0,VLOOKUP($A175-COUNT('Шаг2.Бланк заказа NEW'!$B$19:$B$201)-COUNT('Бланк OLD 0.8 04'!$B$18:$B$200),'Бланк OLD 2.0 04 '!$B$16:$K$200,8,0)&gt;0),0.4,""))))</f>
        <v/>
      </c>
      <c r="V175" s="146" t="str">
        <f ca="1">IFERROR(VLOOKUP(C175,'Шаг1.Выбор плиты'!C:S,12,0),"")</f>
        <v/>
      </c>
      <c r="W175" s="146" t="str">
        <f ca="1">IFERROR(VLOOKUP(C175,'Шаг1.Выбор плиты'!C:S,8,0),"")</f>
        <v/>
      </c>
      <c r="X175" s="146" t="str">
        <f ca="1">IFERROR(VLOOKUP(C175,'Шаг1.Выбор плиты'!C:S,10,0),"")</f>
        <v/>
      </c>
      <c r="Y175" s="147" t="str">
        <f t="shared" ca="1" si="13"/>
        <v/>
      </c>
      <c r="AD175" s="147" t="str">
        <f t="shared" ca="1" si="16"/>
        <v/>
      </c>
      <c r="AE175" s="147" t="str">
        <f t="shared" ca="1" si="14"/>
        <v/>
      </c>
      <c r="AF175" s="25"/>
      <c r="AH175" s="147" t="str">
        <f ca="1">IF(C175="","",VLOOKUP(C175,'Шаг1.Выбор плиты'!C:Q,7,0))</f>
        <v/>
      </c>
      <c r="AI175" s="147" t="str">
        <f t="shared" ca="1" si="17"/>
        <v/>
      </c>
    </row>
    <row r="176" spans="1:35" x14ac:dyDescent="0.2">
      <c r="A176" s="151" t="str">
        <f ca="1">IF(C176="","",MAX($A$1:OFFSET(C176,-1,0))+1)</f>
        <v/>
      </c>
      <c r="B176" s="151" t="str">
        <f ca="1">IFERROR(IFERROR(IFERROR("Шаг2.Бланк заказа NEW №"&amp;VLOOKUP(A175+1,CHOOSE({1,2},'Шаг2.Бланк заказа NEW'!$B$19:$B$201,'Шаг2.Бланк заказа NEW'!$A$19:$A$201),1,0),
"Бланк OLD 0.8 04 №"&amp;VLOOKUP(A175+1-COUNT('Шаг2.Бланк заказа NEW'!$B$19:$B$201),CHOOSE({1,2},'Бланк OLD 0.8 04'!$B$18:$B$200,'Бланк OLD 0.8 04'!$A$18:$A$200),1,0)),
"Бланк OLD 2.0 04 №"&amp;VLOOKUP(A175+1-COUNT('Шаг2.Бланк заказа NEW'!$B$19:$B$201)-COUNT('Бланк OLD 0.8 04'!$B$18:$B$200),CHOOSE({1,2},'Бланк OLD 2.0 04 '!$B$18:$B$200,'Бланк OLD 2.0 04 '!$A$18:$A$200),1,0)),"")</f>
        <v/>
      </c>
      <c r="C176" s="152" t="str">
        <f ca="1">IFERROR(IFERROR(IFERROR(VLOOKUP(A175+1,CHOOSE({1,2},'Шаг2.Бланк заказа NEW'!$B$19:$B$201,'Шаг2.Бланк заказа NEW'!$A$19:$A$201),2,0),
VLOOKUP(A175+1-COUNT('Шаг2.Бланк заказа NEW'!$B$19:$B$201),CHOOSE({1,2},'Бланк OLD 0.8 04'!$B$18:$B$200,'Бланк OLD 0.8 04'!$A$18:$A$200),2,0)),
VLOOKUP(A175+1-COUNT('Шаг2.Бланк заказа NEW'!$B$19:$B$201)-COUNT('Бланк OLD 0.8 04'!$B$18:$B$200),CHOOSE({1,2},'Бланк OLD 2.0 04 '!$B$18:$B$200,'Бланк OLD 2.0 04 '!$A$18:$A$200),2,0)),"")</f>
        <v/>
      </c>
      <c r="D176" s="150" t="str">
        <f ca="1">IFERROR(VLOOKUP(C176,'Шаг1.Выбор плиты'!C:G,5,0),"")</f>
        <v/>
      </c>
      <c r="E176" s="147" t="str">
        <f ca="1">IFERROR(IFERROR(IF(VLOOKUP($A176,'Шаг2.Бланк заказа NEW'!$B$17:$N$201,2,0)="","",VLOOKUP($A176,'Шаг2.Бланк заказа NEW'!$B$17:$N$201,2,0)),
IF(VLOOKUP($A176-COUNT('Шаг2.Бланк заказа NEW'!$B$19:$B$201),'Бланк OLD 0.8 04'!$B$12:$K$200,2,0)="","",VLOOKUP($A176-COUNT('Шаг2.Бланк заказа NEW'!$B$19:$B$201),'Бланк OLD 0.8 04'!$B$12:$K$200,2,0))),
IF(VLOOKUP($A176-COUNT('Шаг2.Бланк заказа NEW'!$B$19:$B$201)-COUNT('Бланк OLD 0.8 04'!$B$18:$B$200),'Бланк OLD 2.0 04 '!$B$16:$K$200,2,0)="","",VLOOKUP($A176-COUNT('Шаг2.Бланк заказа NEW'!$B$19:$B$201)-COUNT('Бланк OLD 0.8 04'!$B$18:$B$200),'Бланк OLD 2.0 04 '!$B$16:$K$200,2,0)))</f>
        <v/>
      </c>
      <c r="F176" s="147" t="str">
        <f ca="1">IFERROR(IFERROR(IF(VLOOKUP($A176,'Шаг2.Бланк заказа NEW'!$B$17:$N$201,3,0)="","",VLOOKUP($A176,'Шаг2.Бланк заказа NEW'!$B$17:$N$201,3,0)),
IF(VLOOKUP($A176-COUNT('Шаг2.Бланк заказа NEW'!$B$19:$B$201),'Бланк OLD 0.8 04'!$B$12:$K$200,3,0)="","",VLOOKUP($A176-COUNT('Шаг2.Бланк заказа NEW'!$B$19:$B$201),'Бланк OLD 0.8 04'!$B$12:$K$200,3,0))),
IF(VLOOKUP($A176-COUNT('Шаг2.Бланк заказа NEW'!$B$19:$B$201)-COUNT('Бланк OLD 0.8 04'!$B$18:$B$200),'Бланк OLD 2.0 04 '!$B$16:$K$200,3,0)="","",VLOOKUP($A176-COUNT('Шаг2.Бланк заказа NEW'!$B$19:$B$201)-COUNT('Бланк OLD 0.8 04'!$B$18:$B$200),'Бланк OLD 2.0 04 '!$B$16:$K$200,3,0)))</f>
        <v/>
      </c>
      <c r="G176" s="176" t="str">
        <f ca="1">IF(IF(R176="","",IF(R176=1,SUMIFS('Шаг1.Выбор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плиты'!C:Q,12,0)),1))))))=0,
R176,
IF(R176="","",IF(R176=1,SUMIFS('Шаг1.Выбор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плиты'!N:N,R176,'Шаг1.Выбор плиты'!M:M,SMALL(INDIRECT("мм"&amp;VLOOKUP(C176,'Шаг1.Выбор плиты'!C:Q,12,0)),1)))))))</f>
        <v/>
      </c>
      <c r="H176" s="177" t="str">
        <f ca="1">IF(IF(S176="","",IF(S176=1,SUMIFS('Шаг1.Выбор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плиты'!C:Q,12,0)),1))))))=0,
S176,
IF(S176="","",IF(S176=1,SUMIFS('Шаг1.Выбор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плиты'!N:N,S176,'Шаг1.Выбор плиты'!M:M,SMALL(INDIRECT("мм"&amp;VLOOKUP(C176,'Шаг1.Выбор плиты'!C:Q,12,0)),1)))))))</f>
        <v/>
      </c>
      <c r="I176" s="147" t="str">
        <f ca="1">IFERROR(IFERROR(IF(VLOOKUP($A176,'Шаг2.Бланк заказа NEW'!$B$17:$N$201,6,0)="","",VLOOKUP($A176,'Шаг2.Бланк заказа NEW'!$B$17:$N$201,6,0)),
IF(VLOOKUP($A176-COUNT('Шаг2.Бланк заказа NEW'!$B$19:$B$201),'Бланк OLD 0.8 04'!$B$12:$K$200,6,0)="","",VLOOKUP($A176-COUNT('Шаг2.Бланк заказа NEW'!$B$19:$B$201),'Бланк OLD 0.8 04'!$B$12:$K$200,6,0))),
IF(VLOOKUP($A176-COUNT('Шаг2.Бланк заказа NEW'!$B$19:$B$201)-COUNT('Бланк OLD 0.8 04'!$B$18:$B$200),'Бланк OLD 2.0 04 '!$B$16:$K$200,6,0)="","",VLOOKUP($A176-COUNT('Шаг2.Бланк заказа NEW'!$B$19:$B$201)-COUNT('Бланк OLD 0.8 04'!$B$18:$B$200),'Бланк OLD 2.0 04 '!$B$16:$K$200,6,0)))</f>
        <v/>
      </c>
      <c r="J176" s="177" t="str">
        <f ca="1">IF(IF(T176="","",IF(T176=1,SUMIFS('Шаг1.Выбор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плиты'!C:Q,12,0)),1))))))=0,
T176,
IF(T176="","",IF(T176=1,SUMIFS('Шаг1.Выбор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плиты'!N:N,T176,'Шаг1.Выбор плиты'!M:M,SMALL(INDIRECT("мм"&amp;VLOOKUP(C176,'Шаг1.Выбор плиты'!C:Q,12,0)),1)))))))</f>
        <v/>
      </c>
      <c r="K176" s="177" t="str">
        <f ca="1">IF(IF(U176="","",IF(U176=1,SUMIFS('Шаг1.Выбор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плиты'!C:Q,12,0)),1))))))=0,
U176,
IF(U176="","",IF(U176=1,SUMIFS('Шаг1.Выбор плиты'!$G:$G,'Шаг1.Выбор плиты'!J:J,"*"&amp;RIGHT(VLOOKUP(C176,'Шаг1.Выбор плиты'!C:Q,8,0),4),'Шаг1.Выбор плиты'!L:L,IF(MID(C176,1,6)="ЛДСП P","TM"&amp;MID(VLOOKUP(C176,'Шаг1.Выбор плиты'!C:Q,10,0),3,2),MID(VLOOKUP(C176,'Шаг1.Выбор плиты'!C:Q,10,0),1,2)),
'Шаг1.Выбор плиты'!N:N,1),IF(SUMIFS('Шаг1.Выбор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плиты'!C:Q,12,0)),1))=0,
IF(SUMIFS('Шаг1.Выбор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плиты'!C:Q,12,0)),2))=0,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плиты'!C:Q,12,0)),3)),
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плиты'!C:Q,12,0)),2))),
(SUMIFS('Шаг1.Выбор плиты'!$G:$G,'Шаг1.Выбор плиты'!J:J,"*"&amp;RIGHT(VLOOKUP(C176,'Шаг1.Выбор плиты'!C:Q,8,0),4),'Шаг1.Выбор плиты'!L:L,VLOOKUP(C176,'Шаг1.Выбор плиты'!C:Q,10,0),'Шаг1.Выбор плиты'!N:N,U176,'Шаг1.Выбор плиты'!M:M,SMALL(INDIRECT("мм"&amp;VLOOKUP(C176,'Шаг1.Выбор плиты'!C:Q,12,0)),1)))))))</f>
        <v/>
      </c>
      <c r="L176" s="147" t="str">
        <f ca="1">IFERROR(IFERROR(IF(VLOOKUP($A176,'Шаг2.Бланк заказа NEW'!$B$17:$N$201,9,0)="","",VLOOKUP($A176,'Шаг2.Бланк заказа NEW'!$B$17:$N$201,9,0)),
IF(VLOOKUP($A176-COUNT('Шаг2.Бланк заказа NEW'!$B$19:$B$201),'Бланк OLD 0.8 04'!$B$12:$K$200,9,0)="","",VLOOKUP($A176-COUNT('Шаг2.Бланк заказа NEW'!$B$19:$B$201),'Бланк OLD 0.8 04'!$B$12:$K$200,9,0))),
IF(VLOOKUP($A176-COUNT('Шаг2.Бланк заказа NEW'!$B$19:$B$201)-COUNT('Бланк OLD 0.8 04'!$B$18:$B$200),'Бланк OLD 2.0 04 '!$B$16:$K$200,9,0)="","",VLOOKUP($A176-COUNT('Шаг2.Бланк заказа NEW'!$B$19:$B$201)-COUNT('Бланк OLD 0.8 04'!$B$18:$B$200),'Бланк OLD 2.0 04 '!$B$16:$K$200,9,0)))</f>
        <v/>
      </c>
      <c r="M176" s="154" t="str">
        <f t="shared" ca="1" si="15"/>
        <v/>
      </c>
      <c r="N176" s="153" t="str">
        <f ca="1">IFERROR(IF(VLOOKUP($A176,'Шаг2.Бланк заказа NEW'!$B$17:$N$201,11,0)="","",VLOOKUP($A176,'Шаг2.Бланк заказа NEW'!$B$17:$N$201,11,0)),
"Нет")</f>
        <v/>
      </c>
      <c r="O176" s="147" t="str">
        <f ca="1">IFERROR(IF(VLOOKUP($A176,'Шаг2.Бланк заказа NEW'!$B$17:$N$201,11,0)="","",VLOOKUP($A176,'Шаг2.Бланк заказа NEW'!$B$17:$N$201,12,0)),
"Нет")</f>
        <v/>
      </c>
      <c r="P176" s="153" t="str">
        <f ca="1">IFERROR(IF(VLOOKUP($A176,'Шаг2.Бланк заказа NEW'!$B$17:$N$201,13,0)="","",VLOOKUP($A176,'Шаг2.Бланк заказа NEW'!$B$17:$N$201,13,0)),
"Нет")</f>
        <v/>
      </c>
      <c r="Q176" s="147" t="str">
        <f ca="1">IFERROR(IF(VLOOKUP($A176,'Шаг2.Бланк заказа NEW'!$B$17:$O$201,14,0)="","",VLOOKUP($A176,'Шаг2.Бланк заказа NEW'!$B$17:$O$201,14,0)),"")</f>
        <v/>
      </c>
      <c r="R176" s="147" t="str">
        <f ca="1">IFERROR(IFERROR(IF(VLOOKUP($A176,'Шаг2.Бланк заказа NEW'!$B$17:$N$201,4,0)="","",VLOOKUP($A176,'Шаг2.Бланк заказа NEW'!$B$17:$N$201,4,0)),
IF(VLOOKUP($A176-COUNT('Шаг2.Бланк заказа NEW'!$B$19:$B$201),'Бланк OLD 0.8 04'!$B$12:$K$200,4,0)&gt;0,0.8,
IF(VLOOKUP($A176-COUNT('Шаг2.Бланк заказа NEW'!$B$19:$B$201),'Бланк OLD 0.8 04'!$B$12:$K$200,5,0)&gt;0,0.4,""))),
IF(VLOOKUP($A176-COUNT('Шаг2.Бланк заказа NEW'!$B$19:$B$201)-COUNT('Бланк OLD 0.8 04'!$B$18:$B$200),'Бланк OLD 2.0 04 '!$B$16:$K$200,4,0)&gt;0,2,IF(VLOOKUP($A176-COUNT('Шаг2.Бланк заказа NEW'!$B$19:$B$201)-COUNT('Бланк OLD 0.8 04'!$B$18:$B$200),'Бланк OLD 2.0 04 '!$B$16:$K$200,5,0)&gt;0,0.4,"")))</f>
        <v/>
      </c>
      <c r="S176" s="147" t="str">
        <f ca="1">IFERROR(IFERROR(IF(VLOOKUP($A176,'Шаг2.Бланк заказа NEW'!$B$17:$N$201,5,0)="","",VLOOKUP($A176,'Шаг2.Бланк заказа NEW'!$B$17:$N$201,5,0)),
IF(VLOOKUP($A176-COUNT('Шаг2.Бланк заказа NEW'!$B$19:$B$201),'Бланк OLD 0.8 04'!$B$12:$K$200,4,0)&gt;1,0.8,
IF(VLOOKUP($A176-COUNT('Шаг2.Бланк заказа NEW'!$B$19:$B$201),'Бланк OLD 0.8 04'!$B$12:$K$200,5,0)&gt;1,0.4,
IF(AND(VLOOKUP($A176-COUNT('Шаг2.Бланк заказа NEW'!$B$19:$B$201),'Бланк OLD 0.8 04'!$B$12:$K$200,4,0)&gt;0,VLOOKUP($A176-COUNT('Шаг2.Бланк заказа NEW'!$B$19:$B$201),'Бланк OLD 0.8 04'!$B$12:$K$200,5,0)&gt;0),0.4,"")))),
IF(VLOOKUP($A176-COUNT('Шаг2.Бланк заказа NEW'!$B$19:$B$201)-COUNT('Бланк OLD 0.8 04'!$B$18:$B$200),'Бланк OLD 2.0 04 '!$B$16:$K$200,4,0)&gt;1,2,
IF(VLOOKUP($A176-COUNT('Шаг2.Бланк заказа NEW'!$B$19:$B$201)-COUNT('Бланк OLD 0.8 04'!$B$18:$B$200),'Бланк OLD 2.0 04 '!$B$16:$K$200,5,0)&gt;1,0.4,IF(AND(VLOOKUP($A176-COUNT('Шаг2.Бланк заказа NEW'!$B$19:$B$201)-COUNT('Бланк OLD 0.8 04'!$B$18:$B$200),'Бланк OLD 2.0 04 '!$B$16:$K$200,4,0)&gt;0,VLOOKUP($A176-COUNT('Шаг2.Бланк заказа NEW'!$B$19:$B$201)-COUNT('Бланк OLD 0.8 04'!$B$18:$B$200),'Бланк OLD 2.0 04 '!$B$16:$K$200,5,0)&gt;0),0.4,""))))</f>
        <v/>
      </c>
      <c r="T176" s="147" t="str">
        <f ca="1">IFERROR(IFERROR(IF(VLOOKUP($A176,'Шаг2.Бланк заказа NEW'!$B$17:$N$201,7,0)="","",VLOOKUP($A176,'Шаг2.Бланк заказа NEW'!$B$17:$N$201,7,0)),
IF(VLOOKUP($A176-COUNT('Шаг2.Бланк заказа NEW'!$B$19:$B$201),'Бланк OLD 0.8 04'!$B$12:$K$200,7,0)&gt;0,0.8,
IF(VLOOKUP($A176-COUNT('Шаг2.Бланк заказа NEW'!$B$19:$B$201),'Бланк OLD 0.8 04'!$B$12:$K$200,8,0)&gt;0,0.4,""))),
IF(VLOOKUP($A176-COUNT('Шаг2.Бланк заказа NEW'!$B$19:$B$201)-COUNT('Бланк OLD 0.8 04'!$B$18:$B$200),'Бланк OLD 2.0 04 '!$B$16:$K$200,7,0)&gt;0,2,IF(VLOOKUP($A176-COUNT('Шаг2.Бланк заказа NEW'!$B$19:$B$201)-COUNT('Бланк OLD 0.8 04'!$B$18:$B$200),'Бланк OLD 2.0 04 '!$B$16:$K$200,8,0)&gt;0,0.4,"")))</f>
        <v/>
      </c>
      <c r="U176" s="147" t="str">
        <f ca="1">IFERROR(IFERROR(IF(VLOOKUP($A176,'Шаг2.Бланк заказа NEW'!$B$17:$N$201,8,0)="","",VLOOKUP($A176,'Шаг2.Бланк заказа NEW'!$B$17:$N$201,8,0)),
IF(VLOOKUP($A176-COUNT('Шаг2.Бланк заказа NEW'!$B$19:$B$201),'Бланк OLD 0.8 04'!$B$12:$K$200,7,0)&gt;1,0.8,
IF(VLOOKUP($A176-COUNT('Шаг2.Бланк заказа NEW'!$B$19:$B$201),'Бланк OLD 0.8 04'!$B$12:$K$200,8,0)&gt;1,0.4,
IF(AND(VLOOKUP($A176-COUNT('Шаг2.Бланк заказа NEW'!$B$19:$B$201),'Бланк OLD 0.8 04'!$B$12:$K$200,7,0)&gt;0,VLOOKUP($A176-COUNT('Шаг2.Бланк заказа NEW'!$B$19:$B$201),'Бланк OLD 0.8 04'!$B$12:$K$200,8,0)&gt;0),0.4,"")))),
IF(VLOOKUP($A176-COUNT('Шаг2.Бланк заказа NEW'!$B$19:$B$201)-COUNT('Бланк OLD 0.8 04'!$B$18:$B$200),'Бланк OLD 2.0 04 '!$B$16:$K$200,7,0)&gt;1,2,
IF(VLOOKUP($A176-COUNT('Шаг2.Бланк заказа NEW'!$B$19:$B$201)-COUNT('Бланк OLD 0.8 04'!$B$18:$B$200),'Бланк OLD 2.0 04 '!$B$16:$K$200,8,0)&gt;1,0.4,
IF(AND(VLOOKUP($A176-COUNT('Шаг2.Бланк заказа NEW'!$B$19:$B$201)-COUNT('Бланк OLD 0.8 04'!$B$18:$B$200),'Бланк OLD 2.0 04 '!$B$16:$K$200,7,0)&gt;0,VLOOKUP($A176-COUNT('Шаг2.Бланк заказа NEW'!$B$19:$B$201)-COUNT('Бланк OLD 0.8 04'!$B$18:$B$200),'Бланк OLD 2.0 04 '!$B$16:$K$200,8,0)&gt;0),0.4,""))))</f>
        <v/>
      </c>
      <c r="V176" s="146" t="str">
        <f ca="1">IFERROR(VLOOKUP(C176,'Шаг1.Выбор плиты'!C:S,12,0),"")</f>
        <v/>
      </c>
      <c r="W176" s="146" t="str">
        <f ca="1">IFERROR(VLOOKUP(C176,'Шаг1.Выбор плиты'!C:S,8,0),"")</f>
        <v/>
      </c>
      <c r="X176" s="146" t="str">
        <f ca="1">IFERROR(VLOOKUP(C176,'Шаг1.Выбор плиты'!C:S,10,0),"")</f>
        <v/>
      </c>
      <c r="Y176" s="147" t="str">
        <f t="shared" ca="1" si="13"/>
        <v/>
      </c>
      <c r="AD176" s="147" t="str">
        <f t="shared" ca="1" si="16"/>
        <v/>
      </c>
      <c r="AE176" s="147" t="str">
        <f t="shared" ca="1" si="14"/>
        <v/>
      </c>
      <c r="AF176" s="25"/>
      <c r="AH176" s="147" t="str">
        <f ca="1">IF(C176="","",VLOOKUP(C176,'Шаг1.Выбор плиты'!C:Q,7,0))</f>
        <v/>
      </c>
      <c r="AI176" s="147" t="str">
        <f t="shared" ca="1" si="17"/>
        <v/>
      </c>
    </row>
    <row r="177" spans="1:35" x14ac:dyDescent="0.2">
      <c r="A177" s="151" t="str">
        <f ca="1">IF(C177="","",MAX($A$1:OFFSET(C177,-1,0))+1)</f>
        <v/>
      </c>
      <c r="B177" s="151" t="str">
        <f ca="1">IFERROR(IFERROR(IFERROR("Шаг2.Бланк заказа NEW №"&amp;VLOOKUP(A176+1,CHOOSE({1,2},'Шаг2.Бланк заказа NEW'!$B$19:$B$201,'Шаг2.Бланк заказа NEW'!$A$19:$A$201),1,0),
"Бланк OLD 0.8 04 №"&amp;VLOOKUP(A176+1-COUNT('Шаг2.Бланк заказа NEW'!$B$19:$B$201),CHOOSE({1,2},'Бланк OLD 0.8 04'!$B$18:$B$200,'Бланк OLD 0.8 04'!$A$18:$A$200),1,0)),
"Бланк OLD 2.0 04 №"&amp;VLOOKUP(A176+1-COUNT('Шаг2.Бланк заказа NEW'!$B$19:$B$201)-COUNT('Бланк OLD 0.8 04'!$B$18:$B$200),CHOOSE({1,2},'Бланк OLD 2.0 04 '!$B$18:$B$200,'Бланк OLD 2.0 04 '!$A$18:$A$200),1,0)),"")</f>
        <v/>
      </c>
      <c r="C177" s="152" t="str">
        <f ca="1">IFERROR(IFERROR(IFERROR(VLOOKUP(A176+1,CHOOSE({1,2},'Шаг2.Бланк заказа NEW'!$B$19:$B$201,'Шаг2.Бланк заказа NEW'!$A$19:$A$201),2,0),
VLOOKUP(A176+1-COUNT('Шаг2.Бланк заказа NEW'!$B$19:$B$201),CHOOSE({1,2},'Бланк OLD 0.8 04'!$B$18:$B$200,'Бланк OLD 0.8 04'!$A$18:$A$200),2,0)),
VLOOKUP(A176+1-COUNT('Шаг2.Бланк заказа NEW'!$B$19:$B$201)-COUNT('Бланк OLD 0.8 04'!$B$18:$B$200),CHOOSE({1,2},'Бланк OLD 2.0 04 '!$B$18:$B$200,'Бланк OLD 2.0 04 '!$A$18:$A$200),2,0)),"")</f>
        <v/>
      </c>
      <c r="D177" s="150" t="str">
        <f ca="1">IFERROR(VLOOKUP(C177,'Шаг1.Выбор плиты'!C:G,5,0),"")</f>
        <v/>
      </c>
      <c r="E177" s="147" t="str">
        <f ca="1">IFERROR(IFERROR(IF(VLOOKUP($A177,'Шаг2.Бланк заказа NEW'!$B$17:$N$201,2,0)="","",VLOOKUP($A177,'Шаг2.Бланк заказа NEW'!$B$17:$N$201,2,0)),
IF(VLOOKUP($A177-COUNT('Шаг2.Бланк заказа NEW'!$B$19:$B$201),'Бланк OLD 0.8 04'!$B$12:$K$200,2,0)="","",VLOOKUP($A177-COUNT('Шаг2.Бланк заказа NEW'!$B$19:$B$201),'Бланк OLD 0.8 04'!$B$12:$K$200,2,0))),
IF(VLOOKUP($A177-COUNT('Шаг2.Бланк заказа NEW'!$B$19:$B$201)-COUNT('Бланк OLD 0.8 04'!$B$18:$B$200),'Бланк OLD 2.0 04 '!$B$16:$K$200,2,0)="","",VLOOKUP($A177-COUNT('Шаг2.Бланк заказа NEW'!$B$19:$B$201)-COUNT('Бланк OLD 0.8 04'!$B$18:$B$200),'Бланк OLD 2.0 04 '!$B$16:$K$200,2,0)))</f>
        <v/>
      </c>
      <c r="F177" s="147" t="str">
        <f ca="1">IFERROR(IFERROR(IF(VLOOKUP($A177,'Шаг2.Бланк заказа NEW'!$B$17:$N$201,3,0)="","",VLOOKUP($A177,'Шаг2.Бланк заказа NEW'!$B$17:$N$201,3,0)),
IF(VLOOKUP($A177-COUNT('Шаг2.Бланк заказа NEW'!$B$19:$B$201),'Бланк OLD 0.8 04'!$B$12:$K$200,3,0)="","",VLOOKUP($A177-COUNT('Шаг2.Бланк заказа NEW'!$B$19:$B$201),'Бланк OLD 0.8 04'!$B$12:$K$200,3,0))),
IF(VLOOKUP($A177-COUNT('Шаг2.Бланк заказа NEW'!$B$19:$B$201)-COUNT('Бланк OLD 0.8 04'!$B$18:$B$200),'Бланк OLD 2.0 04 '!$B$16:$K$200,3,0)="","",VLOOKUP($A177-COUNT('Шаг2.Бланк заказа NEW'!$B$19:$B$201)-COUNT('Бланк OLD 0.8 04'!$B$18:$B$200),'Бланк OLD 2.0 04 '!$B$16:$K$200,3,0)))</f>
        <v/>
      </c>
      <c r="G177" s="176" t="str">
        <f ca="1">IF(IF(R177="","",IF(R177=1,SUMIFS('Шаг1.Выбор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плиты'!C:Q,12,0)),1))))))=0,
R177,
IF(R177="","",IF(R177=1,SUMIFS('Шаг1.Выбор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плиты'!N:N,R177,'Шаг1.Выбор плиты'!M:M,SMALL(INDIRECT("мм"&amp;VLOOKUP(C177,'Шаг1.Выбор плиты'!C:Q,12,0)),1)))))))</f>
        <v/>
      </c>
      <c r="H177" s="177" t="str">
        <f ca="1">IF(IF(S177="","",IF(S177=1,SUMIFS('Шаг1.Выбор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плиты'!C:Q,12,0)),1))))))=0,
S177,
IF(S177="","",IF(S177=1,SUMIFS('Шаг1.Выбор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плиты'!N:N,S177,'Шаг1.Выбор плиты'!M:M,SMALL(INDIRECT("мм"&amp;VLOOKUP(C177,'Шаг1.Выбор плиты'!C:Q,12,0)),1)))))))</f>
        <v/>
      </c>
      <c r="I177" s="147" t="str">
        <f ca="1">IFERROR(IFERROR(IF(VLOOKUP($A177,'Шаг2.Бланк заказа NEW'!$B$17:$N$201,6,0)="","",VLOOKUP($A177,'Шаг2.Бланк заказа NEW'!$B$17:$N$201,6,0)),
IF(VLOOKUP($A177-COUNT('Шаг2.Бланк заказа NEW'!$B$19:$B$201),'Бланк OLD 0.8 04'!$B$12:$K$200,6,0)="","",VLOOKUP($A177-COUNT('Шаг2.Бланк заказа NEW'!$B$19:$B$201),'Бланк OLD 0.8 04'!$B$12:$K$200,6,0))),
IF(VLOOKUP($A177-COUNT('Шаг2.Бланк заказа NEW'!$B$19:$B$201)-COUNT('Бланк OLD 0.8 04'!$B$18:$B$200),'Бланк OLD 2.0 04 '!$B$16:$K$200,6,0)="","",VLOOKUP($A177-COUNT('Шаг2.Бланк заказа NEW'!$B$19:$B$201)-COUNT('Бланк OLD 0.8 04'!$B$18:$B$200),'Бланк OLD 2.0 04 '!$B$16:$K$200,6,0)))</f>
        <v/>
      </c>
      <c r="J177" s="177" t="str">
        <f ca="1">IF(IF(T177="","",IF(T177=1,SUMIFS('Шаг1.Выбор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плиты'!C:Q,12,0)),1))))))=0,
T177,
IF(T177="","",IF(T177=1,SUMIFS('Шаг1.Выбор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плиты'!N:N,T177,'Шаг1.Выбор плиты'!M:M,SMALL(INDIRECT("мм"&amp;VLOOKUP(C177,'Шаг1.Выбор плиты'!C:Q,12,0)),1)))))))</f>
        <v/>
      </c>
      <c r="K177" s="177" t="str">
        <f ca="1">IF(IF(U177="","",IF(U177=1,SUMIFS('Шаг1.Выбор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плиты'!C:Q,12,0)),1))))))=0,
U177,
IF(U177="","",IF(U177=1,SUMIFS('Шаг1.Выбор плиты'!$G:$G,'Шаг1.Выбор плиты'!J:J,"*"&amp;RIGHT(VLOOKUP(C177,'Шаг1.Выбор плиты'!C:Q,8,0),4),'Шаг1.Выбор плиты'!L:L,IF(MID(C177,1,6)="ЛДСП P","TM"&amp;MID(VLOOKUP(C177,'Шаг1.Выбор плиты'!C:Q,10,0),3,2),MID(VLOOKUP(C177,'Шаг1.Выбор плиты'!C:Q,10,0),1,2)),
'Шаг1.Выбор плиты'!N:N,1),IF(SUMIFS('Шаг1.Выбор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плиты'!C:Q,12,0)),1))=0,
IF(SUMIFS('Шаг1.Выбор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плиты'!C:Q,12,0)),2))=0,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плиты'!C:Q,12,0)),3)),
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плиты'!C:Q,12,0)),2))),
(SUMIFS('Шаг1.Выбор плиты'!$G:$G,'Шаг1.Выбор плиты'!J:J,"*"&amp;RIGHT(VLOOKUP(C177,'Шаг1.Выбор плиты'!C:Q,8,0),4),'Шаг1.Выбор плиты'!L:L,VLOOKUP(C177,'Шаг1.Выбор плиты'!C:Q,10,0),'Шаг1.Выбор плиты'!N:N,U177,'Шаг1.Выбор плиты'!M:M,SMALL(INDIRECT("мм"&amp;VLOOKUP(C177,'Шаг1.Выбор плиты'!C:Q,12,0)),1)))))))</f>
        <v/>
      </c>
      <c r="L177" s="147" t="str">
        <f ca="1">IFERROR(IFERROR(IF(VLOOKUP($A177,'Шаг2.Бланк заказа NEW'!$B$17:$N$201,9,0)="","",VLOOKUP($A177,'Шаг2.Бланк заказа NEW'!$B$17:$N$201,9,0)),
IF(VLOOKUP($A177-COUNT('Шаг2.Бланк заказа NEW'!$B$19:$B$201),'Бланк OLD 0.8 04'!$B$12:$K$200,9,0)="","",VLOOKUP($A177-COUNT('Шаг2.Бланк заказа NEW'!$B$19:$B$201),'Бланк OLD 0.8 04'!$B$12:$K$200,9,0))),
IF(VLOOKUP($A177-COUNT('Шаг2.Бланк заказа NEW'!$B$19:$B$201)-COUNT('Бланк OLD 0.8 04'!$B$18:$B$200),'Бланк OLD 2.0 04 '!$B$16:$K$200,9,0)="","",VLOOKUP($A177-COUNT('Шаг2.Бланк заказа NEW'!$B$19:$B$201)-COUNT('Бланк OLD 0.8 04'!$B$18:$B$200),'Бланк OLD 2.0 04 '!$B$16:$K$200,9,0)))</f>
        <v/>
      </c>
      <c r="M177" s="154" t="str">
        <f t="shared" ca="1" si="15"/>
        <v/>
      </c>
      <c r="N177" s="153" t="str">
        <f ca="1">IFERROR(IF(VLOOKUP($A177,'Шаг2.Бланк заказа NEW'!$B$17:$N$201,11,0)="","",VLOOKUP($A177,'Шаг2.Бланк заказа NEW'!$B$17:$N$201,11,0)),
"Нет")</f>
        <v/>
      </c>
      <c r="O177" s="147" t="str">
        <f ca="1">IFERROR(IF(VLOOKUP($A177,'Шаг2.Бланк заказа NEW'!$B$17:$N$201,11,0)="","",VLOOKUP($A177,'Шаг2.Бланк заказа NEW'!$B$17:$N$201,12,0)),
"Нет")</f>
        <v/>
      </c>
      <c r="P177" s="153" t="str">
        <f ca="1">IFERROR(IF(VLOOKUP($A177,'Шаг2.Бланк заказа NEW'!$B$17:$N$201,13,0)="","",VLOOKUP($A177,'Шаг2.Бланк заказа NEW'!$B$17:$N$201,13,0)),
"Нет")</f>
        <v/>
      </c>
      <c r="Q177" s="147" t="str">
        <f ca="1">IFERROR(IF(VLOOKUP($A177,'Шаг2.Бланк заказа NEW'!$B$17:$O$201,14,0)="","",VLOOKUP($A177,'Шаг2.Бланк заказа NEW'!$B$17:$O$201,14,0)),"")</f>
        <v/>
      </c>
      <c r="R177" s="147" t="str">
        <f ca="1">IFERROR(IFERROR(IF(VLOOKUP($A177,'Шаг2.Бланк заказа NEW'!$B$17:$N$201,4,0)="","",VLOOKUP($A177,'Шаг2.Бланк заказа NEW'!$B$17:$N$201,4,0)),
IF(VLOOKUP($A177-COUNT('Шаг2.Бланк заказа NEW'!$B$19:$B$201),'Бланк OLD 0.8 04'!$B$12:$K$200,4,0)&gt;0,0.8,
IF(VLOOKUP($A177-COUNT('Шаг2.Бланк заказа NEW'!$B$19:$B$201),'Бланк OLD 0.8 04'!$B$12:$K$200,5,0)&gt;0,0.4,""))),
IF(VLOOKUP($A177-COUNT('Шаг2.Бланк заказа NEW'!$B$19:$B$201)-COUNT('Бланк OLD 0.8 04'!$B$18:$B$200),'Бланк OLD 2.0 04 '!$B$16:$K$200,4,0)&gt;0,2,IF(VLOOKUP($A177-COUNT('Шаг2.Бланк заказа NEW'!$B$19:$B$201)-COUNT('Бланк OLD 0.8 04'!$B$18:$B$200),'Бланк OLD 2.0 04 '!$B$16:$K$200,5,0)&gt;0,0.4,"")))</f>
        <v/>
      </c>
      <c r="S177" s="147" t="str">
        <f ca="1">IFERROR(IFERROR(IF(VLOOKUP($A177,'Шаг2.Бланк заказа NEW'!$B$17:$N$201,5,0)="","",VLOOKUP($A177,'Шаг2.Бланк заказа NEW'!$B$17:$N$201,5,0)),
IF(VLOOKUP($A177-COUNT('Шаг2.Бланк заказа NEW'!$B$19:$B$201),'Бланк OLD 0.8 04'!$B$12:$K$200,4,0)&gt;1,0.8,
IF(VLOOKUP($A177-COUNT('Шаг2.Бланк заказа NEW'!$B$19:$B$201),'Бланк OLD 0.8 04'!$B$12:$K$200,5,0)&gt;1,0.4,
IF(AND(VLOOKUP($A177-COUNT('Шаг2.Бланк заказа NEW'!$B$19:$B$201),'Бланк OLD 0.8 04'!$B$12:$K$200,4,0)&gt;0,VLOOKUP($A177-COUNT('Шаг2.Бланк заказа NEW'!$B$19:$B$201),'Бланк OLD 0.8 04'!$B$12:$K$200,5,0)&gt;0),0.4,"")))),
IF(VLOOKUP($A177-COUNT('Шаг2.Бланк заказа NEW'!$B$19:$B$201)-COUNT('Бланк OLD 0.8 04'!$B$18:$B$200),'Бланк OLD 2.0 04 '!$B$16:$K$200,4,0)&gt;1,2,
IF(VLOOKUP($A177-COUNT('Шаг2.Бланк заказа NEW'!$B$19:$B$201)-COUNT('Бланк OLD 0.8 04'!$B$18:$B$200),'Бланк OLD 2.0 04 '!$B$16:$K$200,5,0)&gt;1,0.4,IF(AND(VLOOKUP($A177-COUNT('Шаг2.Бланк заказа NEW'!$B$19:$B$201)-COUNT('Бланк OLD 0.8 04'!$B$18:$B$200),'Бланк OLD 2.0 04 '!$B$16:$K$200,4,0)&gt;0,VLOOKUP($A177-COUNT('Шаг2.Бланк заказа NEW'!$B$19:$B$201)-COUNT('Бланк OLD 0.8 04'!$B$18:$B$200),'Бланк OLD 2.0 04 '!$B$16:$K$200,5,0)&gt;0),0.4,""))))</f>
        <v/>
      </c>
      <c r="T177" s="147" t="str">
        <f ca="1">IFERROR(IFERROR(IF(VLOOKUP($A177,'Шаг2.Бланк заказа NEW'!$B$17:$N$201,7,0)="","",VLOOKUP($A177,'Шаг2.Бланк заказа NEW'!$B$17:$N$201,7,0)),
IF(VLOOKUP($A177-COUNT('Шаг2.Бланк заказа NEW'!$B$19:$B$201),'Бланк OLD 0.8 04'!$B$12:$K$200,7,0)&gt;0,0.8,
IF(VLOOKUP($A177-COUNT('Шаг2.Бланк заказа NEW'!$B$19:$B$201),'Бланк OLD 0.8 04'!$B$12:$K$200,8,0)&gt;0,0.4,""))),
IF(VLOOKUP($A177-COUNT('Шаг2.Бланк заказа NEW'!$B$19:$B$201)-COUNT('Бланк OLD 0.8 04'!$B$18:$B$200),'Бланк OLD 2.0 04 '!$B$16:$K$200,7,0)&gt;0,2,IF(VLOOKUP($A177-COUNT('Шаг2.Бланк заказа NEW'!$B$19:$B$201)-COUNT('Бланк OLD 0.8 04'!$B$18:$B$200),'Бланк OLD 2.0 04 '!$B$16:$K$200,8,0)&gt;0,0.4,"")))</f>
        <v/>
      </c>
      <c r="U177" s="147" t="str">
        <f ca="1">IFERROR(IFERROR(IF(VLOOKUP($A177,'Шаг2.Бланк заказа NEW'!$B$17:$N$201,8,0)="","",VLOOKUP($A177,'Шаг2.Бланк заказа NEW'!$B$17:$N$201,8,0)),
IF(VLOOKUP($A177-COUNT('Шаг2.Бланк заказа NEW'!$B$19:$B$201),'Бланк OLD 0.8 04'!$B$12:$K$200,7,0)&gt;1,0.8,
IF(VLOOKUP($A177-COUNT('Шаг2.Бланк заказа NEW'!$B$19:$B$201),'Бланк OLD 0.8 04'!$B$12:$K$200,8,0)&gt;1,0.4,
IF(AND(VLOOKUP($A177-COUNT('Шаг2.Бланк заказа NEW'!$B$19:$B$201),'Бланк OLD 0.8 04'!$B$12:$K$200,7,0)&gt;0,VLOOKUP($A177-COUNT('Шаг2.Бланк заказа NEW'!$B$19:$B$201),'Бланк OLD 0.8 04'!$B$12:$K$200,8,0)&gt;0),0.4,"")))),
IF(VLOOKUP($A177-COUNT('Шаг2.Бланк заказа NEW'!$B$19:$B$201)-COUNT('Бланк OLD 0.8 04'!$B$18:$B$200),'Бланк OLD 2.0 04 '!$B$16:$K$200,7,0)&gt;1,2,
IF(VLOOKUP($A177-COUNT('Шаг2.Бланк заказа NEW'!$B$19:$B$201)-COUNT('Бланк OLD 0.8 04'!$B$18:$B$200),'Бланк OLD 2.0 04 '!$B$16:$K$200,8,0)&gt;1,0.4,
IF(AND(VLOOKUP($A177-COUNT('Шаг2.Бланк заказа NEW'!$B$19:$B$201)-COUNT('Бланк OLD 0.8 04'!$B$18:$B$200),'Бланк OLD 2.0 04 '!$B$16:$K$200,7,0)&gt;0,VLOOKUP($A177-COUNT('Шаг2.Бланк заказа NEW'!$B$19:$B$201)-COUNT('Бланк OLD 0.8 04'!$B$18:$B$200),'Бланк OLD 2.0 04 '!$B$16:$K$200,8,0)&gt;0),0.4,""))))</f>
        <v/>
      </c>
      <c r="V177" s="146" t="str">
        <f ca="1">IFERROR(VLOOKUP(C177,'Шаг1.Выбор плиты'!C:S,12,0),"")</f>
        <v/>
      </c>
      <c r="W177" s="146" t="str">
        <f ca="1">IFERROR(VLOOKUP(C177,'Шаг1.Выбор плиты'!C:S,8,0),"")</f>
        <v/>
      </c>
      <c r="X177" s="146" t="str">
        <f ca="1">IFERROR(VLOOKUP(C177,'Шаг1.Выбор плиты'!C:S,10,0),"")</f>
        <v/>
      </c>
      <c r="Y177" s="147" t="str">
        <f t="shared" ca="1" si="13"/>
        <v/>
      </c>
      <c r="AD177" s="147" t="str">
        <f t="shared" ca="1" si="16"/>
        <v/>
      </c>
      <c r="AE177" s="147" t="str">
        <f t="shared" ca="1" si="14"/>
        <v/>
      </c>
      <c r="AF177" s="25"/>
      <c r="AH177" s="147" t="str">
        <f ca="1">IF(C177="","",VLOOKUP(C177,'Шаг1.Выбор плиты'!C:Q,7,0))</f>
        <v/>
      </c>
      <c r="AI177" s="147" t="str">
        <f t="shared" ca="1" si="17"/>
        <v/>
      </c>
    </row>
    <row r="178" spans="1:35" x14ac:dyDescent="0.2">
      <c r="A178" s="151" t="str">
        <f ca="1">IF(C178="","",MAX($A$1:OFFSET(C178,-1,0))+1)</f>
        <v/>
      </c>
      <c r="B178" s="151" t="str">
        <f ca="1">IFERROR(IFERROR(IFERROR("Шаг2.Бланк заказа NEW №"&amp;VLOOKUP(A177+1,CHOOSE({1,2},'Шаг2.Бланк заказа NEW'!$B$19:$B$201,'Шаг2.Бланк заказа NEW'!$A$19:$A$201),1,0),
"Бланк OLD 0.8 04 №"&amp;VLOOKUP(A177+1-COUNT('Шаг2.Бланк заказа NEW'!$B$19:$B$201),CHOOSE({1,2},'Бланк OLD 0.8 04'!$B$18:$B$200,'Бланк OLD 0.8 04'!$A$18:$A$200),1,0)),
"Бланк OLD 2.0 04 №"&amp;VLOOKUP(A177+1-COUNT('Шаг2.Бланк заказа NEW'!$B$19:$B$201)-COUNT('Бланк OLD 0.8 04'!$B$18:$B$200),CHOOSE({1,2},'Бланк OLD 2.0 04 '!$B$18:$B$200,'Бланк OLD 2.0 04 '!$A$18:$A$200),1,0)),"")</f>
        <v/>
      </c>
      <c r="C178" s="152" t="str">
        <f ca="1">IFERROR(IFERROR(IFERROR(VLOOKUP(A177+1,CHOOSE({1,2},'Шаг2.Бланк заказа NEW'!$B$19:$B$201,'Шаг2.Бланк заказа NEW'!$A$19:$A$201),2,0),
VLOOKUP(A177+1-COUNT('Шаг2.Бланк заказа NEW'!$B$19:$B$201),CHOOSE({1,2},'Бланк OLD 0.8 04'!$B$18:$B$200,'Бланк OLD 0.8 04'!$A$18:$A$200),2,0)),
VLOOKUP(A177+1-COUNT('Шаг2.Бланк заказа NEW'!$B$19:$B$201)-COUNT('Бланк OLD 0.8 04'!$B$18:$B$200),CHOOSE({1,2},'Бланк OLD 2.0 04 '!$B$18:$B$200,'Бланк OLD 2.0 04 '!$A$18:$A$200),2,0)),"")</f>
        <v/>
      </c>
      <c r="D178" s="150" t="str">
        <f ca="1">IFERROR(VLOOKUP(C178,'Шаг1.Выбор плиты'!C:G,5,0),"")</f>
        <v/>
      </c>
      <c r="E178" s="147" t="str">
        <f ca="1">IFERROR(IFERROR(IF(VLOOKUP($A178,'Шаг2.Бланк заказа NEW'!$B$17:$N$201,2,0)="","",VLOOKUP($A178,'Шаг2.Бланк заказа NEW'!$B$17:$N$201,2,0)),
IF(VLOOKUP($A178-COUNT('Шаг2.Бланк заказа NEW'!$B$19:$B$201),'Бланк OLD 0.8 04'!$B$12:$K$200,2,0)="","",VLOOKUP($A178-COUNT('Шаг2.Бланк заказа NEW'!$B$19:$B$201),'Бланк OLD 0.8 04'!$B$12:$K$200,2,0))),
IF(VLOOKUP($A178-COUNT('Шаг2.Бланк заказа NEW'!$B$19:$B$201)-COUNT('Бланк OLD 0.8 04'!$B$18:$B$200),'Бланк OLD 2.0 04 '!$B$16:$K$200,2,0)="","",VLOOKUP($A178-COUNT('Шаг2.Бланк заказа NEW'!$B$19:$B$201)-COUNT('Бланк OLD 0.8 04'!$B$18:$B$200),'Бланк OLD 2.0 04 '!$B$16:$K$200,2,0)))</f>
        <v/>
      </c>
      <c r="F178" s="147" t="str">
        <f ca="1">IFERROR(IFERROR(IF(VLOOKUP($A178,'Шаг2.Бланк заказа NEW'!$B$17:$N$201,3,0)="","",VLOOKUP($A178,'Шаг2.Бланк заказа NEW'!$B$17:$N$201,3,0)),
IF(VLOOKUP($A178-COUNT('Шаг2.Бланк заказа NEW'!$B$19:$B$201),'Бланк OLD 0.8 04'!$B$12:$K$200,3,0)="","",VLOOKUP($A178-COUNT('Шаг2.Бланк заказа NEW'!$B$19:$B$201),'Бланк OLD 0.8 04'!$B$12:$K$200,3,0))),
IF(VLOOKUP($A178-COUNT('Шаг2.Бланк заказа NEW'!$B$19:$B$201)-COUNT('Бланк OLD 0.8 04'!$B$18:$B$200),'Бланк OLD 2.0 04 '!$B$16:$K$200,3,0)="","",VLOOKUP($A178-COUNT('Шаг2.Бланк заказа NEW'!$B$19:$B$201)-COUNT('Бланк OLD 0.8 04'!$B$18:$B$200),'Бланк OLD 2.0 04 '!$B$16:$K$200,3,0)))</f>
        <v/>
      </c>
      <c r="G178" s="176" t="str">
        <f ca="1">IF(IF(R178="","",IF(R178=1,SUMIFS('Шаг1.Выбор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плиты'!C:Q,12,0)),1))))))=0,
R178,
IF(R178="","",IF(R178=1,SUMIFS('Шаг1.Выбор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плиты'!N:N,R178,'Шаг1.Выбор плиты'!M:M,SMALL(INDIRECT("мм"&amp;VLOOKUP(C178,'Шаг1.Выбор плиты'!C:Q,12,0)),1)))))))</f>
        <v/>
      </c>
      <c r="H178" s="177" t="str">
        <f ca="1">IF(IF(S178="","",IF(S178=1,SUMIFS('Шаг1.Выбор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плиты'!C:Q,12,0)),1))))))=0,
S178,
IF(S178="","",IF(S178=1,SUMIFS('Шаг1.Выбор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плиты'!N:N,S178,'Шаг1.Выбор плиты'!M:M,SMALL(INDIRECT("мм"&amp;VLOOKUP(C178,'Шаг1.Выбор плиты'!C:Q,12,0)),1)))))))</f>
        <v/>
      </c>
      <c r="I178" s="147" t="str">
        <f ca="1">IFERROR(IFERROR(IF(VLOOKUP($A178,'Шаг2.Бланк заказа NEW'!$B$17:$N$201,6,0)="","",VLOOKUP($A178,'Шаг2.Бланк заказа NEW'!$B$17:$N$201,6,0)),
IF(VLOOKUP($A178-COUNT('Шаг2.Бланк заказа NEW'!$B$19:$B$201),'Бланк OLD 0.8 04'!$B$12:$K$200,6,0)="","",VLOOKUP($A178-COUNT('Шаг2.Бланк заказа NEW'!$B$19:$B$201),'Бланк OLD 0.8 04'!$B$12:$K$200,6,0))),
IF(VLOOKUP($A178-COUNT('Шаг2.Бланк заказа NEW'!$B$19:$B$201)-COUNT('Бланк OLD 0.8 04'!$B$18:$B$200),'Бланк OLD 2.0 04 '!$B$16:$K$200,6,0)="","",VLOOKUP($A178-COUNT('Шаг2.Бланк заказа NEW'!$B$19:$B$201)-COUNT('Бланк OLD 0.8 04'!$B$18:$B$200),'Бланк OLD 2.0 04 '!$B$16:$K$200,6,0)))</f>
        <v/>
      </c>
      <c r="J178" s="177" t="str">
        <f ca="1">IF(IF(T178="","",IF(T178=1,SUMIFS('Шаг1.Выбор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плиты'!C:Q,12,0)),1))))))=0,
T178,
IF(T178="","",IF(T178=1,SUMIFS('Шаг1.Выбор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плиты'!N:N,T178,'Шаг1.Выбор плиты'!M:M,SMALL(INDIRECT("мм"&amp;VLOOKUP(C178,'Шаг1.Выбор плиты'!C:Q,12,0)),1)))))))</f>
        <v/>
      </c>
      <c r="K178" s="177" t="str">
        <f ca="1">IF(IF(U178="","",IF(U178=1,SUMIFS('Шаг1.Выбор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плиты'!C:Q,12,0)),1))))))=0,
U178,
IF(U178="","",IF(U178=1,SUMIFS('Шаг1.Выбор плиты'!$G:$G,'Шаг1.Выбор плиты'!J:J,"*"&amp;RIGHT(VLOOKUP(C178,'Шаг1.Выбор плиты'!C:Q,8,0),4),'Шаг1.Выбор плиты'!L:L,IF(MID(C178,1,6)="ЛДСП P","TM"&amp;MID(VLOOKUP(C178,'Шаг1.Выбор плиты'!C:Q,10,0),3,2),MID(VLOOKUP(C178,'Шаг1.Выбор плиты'!C:Q,10,0),1,2)),
'Шаг1.Выбор плиты'!N:N,1),IF(SUMIFS('Шаг1.Выбор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плиты'!C:Q,12,0)),1))=0,
IF(SUMIFS('Шаг1.Выбор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плиты'!C:Q,12,0)),2))=0,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плиты'!C:Q,12,0)),3)),
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плиты'!C:Q,12,0)),2))),
(SUMIFS('Шаг1.Выбор плиты'!$G:$G,'Шаг1.Выбор плиты'!J:J,"*"&amp;RIGHT(VLOOKUP(C178,'Шаг1.Выбор плиты'!C:Q,8,0),4),'Шаг1.Выбор плиты'!L:L,VLOOKUP(C178,'Шаг1.Выбор плиты'!C:Q,10,0),'Шаг1.Выбор плиты'!N:N,U178,'Шаг1.Выбор плиты'!M:M,SMALL(INDIRECT("мм"&amp;VLOOKUP(C178,'Шаг1.Выбор плиты'!C:Q,12,0)),1)))))))</f>
        <v/>
      </c>
      <c r="L178" s="147" t="str">
        <f ca="1">IFERROR(IFERROR(IF(VLOOKUP($A178,'Шаг2.Бланк заказа NEW'!$B$17:$N$201,9,0)="","",VLOOKUP($A178,'Шаг2.Бланк заказа NEW'!$B$17:$N$201,9,0)),
IF(VLOOKUP($A178-COUNT('Шаг2.Бланк заказа NEW'!$B$19:$B$201),'Бланк OLD 0.8 04'!$B$12:$K$200,9,0)="","",VLOOKUP($A178-COUNT('Шаг2.Бланк заказа NEW'!$B$19:$B$201),'Бланк OLD 0.8 04'!$B$12:$K$200,9,0))),
IF(VLOOKUP($A178-COUNT('Шаг2.Бланк заказа NEW'!$B$19:$B$201)-COUNT('Бланк OLD 0.8 04'!$B$18:$B$200),'Бланк OLD 2.0 04 '!$B$16:$K$200,9,0)="","",VLOOKUP($A178-COUNT('Шаг2.Бланк заказа NEW'!$B$19:$B$201)-COUNT('Бланк OLD 0.8 04'!$B$18:$B$200),'Бланк OLD 2.0 04 '!$B$16:$K$200,9,0)))</f>
        <v/>
      </c>
      <c r="M178" s="154" t="str">
        <f t="shared" ca="1" si="15"/>
        <v/>
      </c>
      <c r="N178" s="153" t="str">
        <f ca="1">IFERROR(IF(VLOOKUP($A178,'Шаг2.Бланк заказа NEW'!$B$17:$N$201,11,0)="","",VLOOKUP($A178,'Шаг2.Бланк заказа NEW'!$B$17:$N$201,11,0)),
"Нет")</f>
        <v/>
      </c>
      <c r="O178" s="147" t="str">
        <f ca="1">IFERROR(IF(VLOOKUP($A178,'Шаг2.Бланк заказа NEW'!$B$17:$N$201,11,0)="","",VLOOKUP($A178,'Шаг2.Бланк заказа NEW'!$B$17:$N$201,12,0)),
"Нет")</f>
        <v/>
      </c>
      <c r="P178" s="153" t="str">
        <f ca="1">IFERROR(IF(VLOOKUP($A178,'Шаг2.Бланк заказа NEW'!$B$17:$N$201,13,0)="","",VLOOKUP($A178,'Шаг2.Бланк заказа NEW'!$B$17:$N$201,13,0)),
"Нет")</f>
        <v/>
      </c>
      <c r="Q178" s="147" t="str">
        <f ca="1">IFERROR(IF(VLOOKUP($A178,'Шаг2.Бланк заказа NEW'!$B$17:$O$201,14,0)="","",VLOOKUP($A178,'Шаг2.Бланк заказа NEW'!$B$17:$O$201,14,0)),"")</f>
        <v/>
      </c>
      <c r="R178" s="147" t="str">
        <f ca="1">IFERROR(IFERROR(IF(VLOOKUP($A178,'Шаг2.Бланк заказа NEW'!$B$17:$N$201,4,0)="","",VLOOKUP($A178,'Шаг2.Бланк заказа NEW'!$B$17:$N$201,4,0)),
IF(VLOOKUP($A178-COUNT('Шаг2.Бланк заказа NEW'!$B$19:$B$201),'Бланк OLD 0.8 04'!$B$12:$K$200,4,0)&gt;0,0.8,
IF(VLOOKUP($A178-COUNT('Шаг2.Бланк заказа NEW'!$B$19:$B$201),'Бланк OLD 0.8 04'!$B$12:$K$200,5,0)&gt;0,0.4,""))),
IF(VLOOKUP($A178-COUNT('Шаг2.Бланк заказа NEW'!$B$19:$B$201)-COUNT('Бланк OLD 0.8 04'!$B$18:$B$200),'Бланк OLD 2.0 04 '!$B$16:$K$200,4,0)&gt;0,2,IF(VLOOKUP($A178-COUNT('Шаг2.Бланк заказа NEW'!$B$19:$B$201)-COUNT('Бланк OLD 0.8 04'!$B$18:$B$200),'Бланк OLD 2.0 04 '!$B$16:$K$200,5,0)&gt;0,0.4,"")))</f>
        <v/>
      </c>
      <c r="S178" s="147" t="str">
        <f ca="1">IFERROR(IFERROR(IF(VLOOKUP($A178,'Шаг2.Бланк заказа NEW'!$B$17:$N$201,5,0)="","",VLOOKUP($A178,'Шаг2.Бланк заказа NEW'!$B$17:$N$201,5,0)),
IF(VLOOKUP($A178-COUNT('Шаг2.Бланк заказа NEW'!$B$19:$B$201),'Бланк OLD 0.8 04'!$B$12:$K$200,4,0)&gt;1,0.8,
IF(VLOOKUP($A178-COUNT('Шаг2.Бланк заказа NEW'!$B$19:$B$201),'Бланк OLD 0.8 04'!$B$12:$K$200,5,0)&gt;1,0.4,
IF(AND(VLOOKUP($A178-COUNT('Шаг2.Бланк заказа NEW'!$B$19:$B$201),'Бланк OLD 0.8 04'!$B$12:$K$200,4,0)&gt;0,VLOOKUP($A178-COUNT('Шаг2.Бланк заказа NEW'!$B$19:$B$201),'Бланк OLD 0.8 04'!$B$12:$K$200,5,0)&gt;0),0.4,"")))),
IF(VLOOKUP($A178-COUNT('Шаг2.Бланк заказа NEW'!$B$19:$B$201)-COUNT('Бланк OLD 0.8 04'!$B$18:$B$200),'Бланк OLD 2.0 04 '!$B$16:$K$200,4,0)&gt;1,2,
IF(VLOOKUP($A178-COUNT('Шаг2.Бланк заказа NEW'!$B$19:$B$201)-COUNT('Бланк OLD 0.8 04'!$B$18:$B$200),'Бланк OLD 2.0 04 '!$B$16:$K$200,5,0)&gt;1,0.4,IF(AND(VLOOKUP($A178-COUNT('Шаг2.Бланк заказа NEW'!$B$19:$B$201)-COUNT('Бланк OLD 0.8 04'!$B$18:$B$200),'Бланк OLD 2.0 04 '!$B$16:$K$200,4,0)&gt;0,VLOOKUP($A178-COUNT('Шаг2.Бланк заказа NEW'!$B$19:$B$201)-COUNT('Бланк OLD 0.8 04'!$B$18:$B$200),'Бланк OLD 2.0 04 '!$B$16:$K$200,5,0)&gt;0),0.4,""))))</f>
        <v/>
      </c>
      <c r="T178" s="147" t="str">
        <f ca="1">IFERROR(IFERROR(IF(VLOOKUP($A178,'Шаг2.Бланк заказа NEW'!$B$17:$N$201,7,0)="","",VLOOKUP($A178,'Шаг2.Бланк заказа NEW'!$B$17:$N$201,7,0)),
IF(VLOOKUP($A178-COUNT('Шаг2.Бланк заказа NEW'!$B$19:$B$201),'Бланк OLD 0.8 04'!$B$12:$K$200,7,0)&gt;0,0.8,
IF(VLOOKUP($A178-COUNT('Шаг2.Бланк заказа NEW'!$B$19:$B$201),'Бланк OLD 0.8 04'!$B$12:$K$200,8,0)&gt;0,0.4,""))),
IF(VLOOKUP($A178-COUNT('Шаг2.Бланк заказа NEW'!$B$19:$B$201)-COUNT('Бланк OLD 0.8 04'!$B$18:$B$200),'Бланк OLD 2.0 04 '!$B$16:$K$200,7,0)&gt;0,2,IF(VLOOKUP($A178-COUNT('Шаг2.Бланк заказа NEW'!$B$19:$B$201)-COUNT('Бланк OLD 0.8 04'!$B$18:$B$200),'Бланк OLD 2.0 04 '!$B$16:$K$200,8,0)&gt;0,0.4,"")))</f>
        <v/>
      </c>
      <c r="U178" s="147" t="str">
        <f ca="1">IFERROR(IFERROR(IF(VLOOKUP($A178,'Шаг2.Бланк заказа NEW'!$B$17:$N$201,8,0)="","",VLOOKUP($A178,'Шаг2.Бланк заказа NEW'!$B$17:$N$201,8,0)),
IF(VLOOKUP($A178-COUNT('Шаг2.Бланк заказа NEW'!$B$19:$B$201),'Бланк OLD 0.8 04'!$B$12:$K$200,7,0)&gt;1,0.8,
IF(VLOOKUP($A178-COUNT('Шаг2.Бланк заказа NEW'!$B$19:$B$201),'Бланк OLD 0.8 04'!$B$12:$K$200,8,0)&gt;1,0.4,
IF(AND(VLOOKUP($A178-COUNT('Шаг2.Бланк заказа NEW'!$B$19:$B$201),'Бланк OLD 0.8 04'!$B$12:$K$200,7,0)&gt;0,VLOOKUP($A178-COUNT('Шаг2.Бланк заказа NEW'!$B$19:$B$201),'Бланк OLD 0.8 04'!$B$12:$K$200,8,0)&gt;0),0.4,"")))),
IF(VLOOKUP($A178-COUNT('Шаг2.Бланк заказа NEW'!$B$19:$B$201)-COUNT('Бланк OLD 0.8 04'!$B$18:$B$200),'Бланк OLD 2.0 04 '!$B$16:$K$200,7,0)&gt;1,2,
IF(VLOOKUP($A178-COUNT('Шаг2.Бланк заказа NEW'!$B$19:$B$201)-COUNT('Бланк OLD 0.8 04'!$B$18:$B$200),'Бланк OLD 2.0 04 '!$B$16:$K$200,8,0)&gt;1,0.4,
IF(AND(VLOOKUP($A178-COUNT('Шаг2.Бланк заказа NEW'!$B$19:$B$201)-COUNT('Бланк OLD 0.8 04'!$B$18:$B$200),'Бланк OLD 2.0 04 '!$B$16:$K$200,7,0)&gt;0,VLOOKUP($A178-COUNT('Шаг2.Бланк заказа NEW'!$B$19:$B$201)-COUNT('Бланк OLD 0.8 04'!$B$18:$B$200),'Бланк OLD 2.0 04 '!$B$16:$K$200,8,0)&gt;0),0.4,""))))</f>
        <v/>
      </c>
      <c r="V178" s="146" t="str">
        <f ca="1">IFERROR(VLOOKUP(C178,'Шаг1.Выбор плиты'!C:S,12,0),"")</f>
        <v/>
      </c>
      <c r="W178" s="146" t="str">
        <f ca="1">IFERROR(VLOOKUP(C178,'Шаг1.Выбор плиты'!C:S,8,0),"")</f>
        <v/>
      </c>
      <c r="X178" s="146" t="str">
        <f ca="1">IFERROR(VLOOKUP(C178,'Шаг1.Выбор плиты'!C:S,10,0),"")</f>
        <v/>
      </c>
      <c r="Y178" s="147" t="str">
        <f t="shared" ca="1" si="13"/>
        <v/>
      </c>
      <c r="AD178" s="147" t="str">
        <f t="shared" ca="1" si="16"/>
        <v/>
      </c>
      <c r="AE178" s="147" t="str">
        <f t="shared" ca="1" si="14"/>
        <v/>
      </c>
      <c r="AF178" s="25"/>
      <c r="AH178" s="147" t="str">
        <f ca="1">IF(C178="","",VLOOKUP(C178,'Шаг1.Выбор плиты'!C:Q,7,0))</f>
        <v/>
      </c>
      <c r="AI178" s="147" t="str">
        <f t="shared" ca="1" si="17"/>
        <v/>
      </c>
    </row>
    <row r="179" spans="1:35" x14ac:dyDescent="0.2">
      <c r="A179" s="151" t="str">
        <f ca="1">IF(C179="","",MAX($A$1:OFFSET(C179,-1,0))+1)</f>
        <v/>
      </c>
      <c r="B179" s="151" t="str">
        <f ca="1">IFERROR(IFERROR(IFERROR("Шаг2.Бланк заказа NEW №"&amp;VLOOKUP(A178+1,CHOOSE({1,2},'Шаг2.Бланк заказа NEW'!$B$19:$B$201,'Шаг2.Бланк заказа NEW'!$A$19:$A$201),1,0),
"Бланк OLD 0.8 04 №"&amp;VLOOKUP(A178+1-COUNT('Шаг2.Бланк заказа NEW'!$B$19:$B$201),CHOOSE({1,2},'Бланк OLD 0.8 04'!$B$18:$B$200,'Бланк OLD 0.8 04'!$A$18:$A$200),1,0)),
"Бланк OLD 2.0 04 №"&amp;VLOOKUP(A178+1-COUNT('Шаг2.Бланк заказа NEW'!$B$19:$B$201)-COUNT('Бланк OLD 0.8 04'!$B$18:$B$200),CHOOSE({1,2},'Бланк OLD 2.0 04 '!$B$18:$B$200,'Бланк OLD 2.0 04 '!$A$18:$A$200),1,0)),"")</f>
        <v/>
      </c>
      <c r="C179" s="152" t="str">
        <f ca="1">IFERROR(IFERROR(IFERROR(VLOOKUP(A178+1,CHOOSE({1,2},'Шаг2.Бланк заказа NEW'!$B$19:$B$201,'Шаг2.Бланк заказа NEW'!$A$19:$A$201),2,0),
VLOOKUP(A178+1-COUNT('Шаг2.Бланк заказа NEW'!$B$19:$B$201),CHOOSE({1,2},'Бланк OLD 0.8 04'!$B$18:$B$200,'Бланк OLD 0.8 04'!$A$18:$A$200),2,0)),
VLOOKUP(A178+1-COUNT('Шаг2.Бланк заказа NEW'!$B$19:$B$201)-COUNT('Бланк OLD 0.8 04'!$B$18:$B$200),CHOOSE({1,2},'Бланк OLD 2.0 04 '!$B$18:$B$200,'Бланк OLD 2.0 04 '!$A$18:$A$200),2,0)),"")</f>
        <v/>
      </c>
      <c r="D179" s="150" t="str">
        <f ca="1">IFERROR(VLOOKUP(C179,'Шаг1.Выбор плиты'!C:G,5,0),"")</f>
        <v/>
      </c>
      <c r="E179" s="147" t="str">
        <f ca="1">IFERROR(IFERROR(IF(VLOOKUP($A179,'Шаг2.Бланк заказа NEW'!$B$17:$N$201,2,0)="","",VLOOKUP($A179,'Шаг2.Бланк заказа NEW'!$B$17:$N$201,2,0)),
IF(VLOOKUP($A179-COUNT('Шаг2.Бланк заказа NEW'!$B$19:$B$201),'Бланк OLD 0.8 04'!$B$12:$K$200,2,0)="","",VLOOKUP($A179-COUNT('Шаг2.Бланк заказа NEW'!$B$19:$B$201),'Бланк OLD 0.8 04'!$B$12:$K$200,2,0))),
IF(VLOOKUP($A179-COUNT('Шаг2.Бланк заказа NEW'!$B$19:$B$201)-COUNT('Бланк OLD 0.8 04'!$B$18:$B$200),'Бланк OLD 2.0 04 '!$B$16:$K$200,2,0)="","",VLOOKUP($A179-COUNT('Шаг2.Бланк заказа NEW'!$B$19:$B$201)-COUNT('Бланк OLD 0.8 04'!$B$18:$B$200),'Бланк OLD 2.0 04 '!$B$16:$K$200,2,0)))</f>
        <v/>
      </c>
      <c r="F179" s="147" t="str">
        <f ca="1">IFERROR(IFERROR(IF(VLOOKUP($A179,'Шаг2.Бланк заказа NEW'!$B$17:$N$201,3,0)="","",VLOOKUP($A179,'Шаг2.Бланк заказа NEW'!$B$17:$N$201,3,0)),
IF(VLOOKUP($A179-COUNT('Шаг2.Бланк заказа NEW'!$B$19:$B$201),'Бланк OLD 0.8 04'!$B$12:$K$200,3,0)="","",VLOOKUP($A179-COUNT('Шаг2.Бланк заказа NEW'!$B$19:$B$201),'Бланк OLD 0.8 04'!$B$12:$K$200,3,0))),
IF(VLOOKUP($A179-COUNT('Шаг2.Бланк заказа NEW'!$B$19:$B$201)-COUNT('Бланк OLD 0.8 04'!$B$18:$B$200),'Бланк OLD 2.0 04 '!$B$16:$K$200,3,0)="","",VLOOKUP($A179-COUNT('Шаг2.Бланк заказа NEW'!$B$19:$B$201)-COUNT('Бланк OLD 0.8 04'!$B$18:$B$200),'Бланк OLD 2.0 04 '!$B$16:$K$200,3,0)))</f>
        <v/>
      </c>
      <c r="G179" s="176" t="str">
        <f ca="1">IF(IF(R179="","",IF(R179=1,SUMIFS('Шаг1.Выбор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плиты'!C:Q,12,0)),1))))))=0,
R179,
IF(R179="","",IF(R179=1,SUMIFS('Шаг1.Выбор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плиты'!N:N,R179,'Шаг1.Выбор плиты'!M:M,SMALL(INDIRECT("мм"&amp;VLOOKUP(C179,'Шаг1.Выбор плиты'!C:Q,12,0)),1)))))))</f>
        <v/>
      </c>
      <c r="H179" s="177" t="str">
        <f ca="1">IF(IF(S179="","",IF(S179=1,SUMIFS('Шаг1.Выбор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плиты'!C:Q,12,0)),1))))))=0,
S179,
IF(S179="","",IF(S179=1,SUMIFS('Шаг1.Выбор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плиты'!N:N,S179,'Шаг1.Выбор плиты'!M:M,SMALL(INDIRECT("мм"&amp;VLOOKUP(C179,'Шаг1.Выбор плиты'!C:Q,12,0)),1)))))))</f>
        <v/>
      </c>
      <c r="I179" s="147" t="str">
        <f ca="1">IFERROR(IFERROR(IF(VLOOKUP($A179,'Шаг2.Бланк заказа NEW'!$B$17:$N$201,6,0)="","",VLOOKUP($A179,'Шаг2.Бланк заказа NEW'!$B$17:$N$201,6,0)),
IF(VLOOKUP($A179-COUNT('Шаг2.Бланк заказа NEW'!$B$19:$B$201),'Бланк OLD 0.8 04'!$B$12:$K$200,6,0)="","",VLOOKUP($A179-COUNT('Шаг2.Бланк заказа NEW'!$B$19:$B$201),'Бланк OLD 0.8 04'!$B$12:$K$200,6,0))),
IF(VLOOKUP($A179-COUNT('Шаг2.Бланк заказа NEW'!$B$19:$B$201)-COUNT('Бланк OLD 0.8 04'!$B$18:$B$200),'Бланк OLD 2.0 04 '!$B$16:$K$200,6,0)="","",VLOOKUP($A179-COUNT('Шаг2.Бланк заказа NEW'!$B$19:$B$201)-COUNT('Бланк OLD 0.8 04'!$B$18:$B$200),'Бланк OLD 2.0 04 '!$B$16:$K$200,6,0)))</f>
        <v/>
      </c>
      <c r="J179" s="177" t="str">
        <f ca="1">IF(IF(T179="","",IF(T179=1,SUMIFS('Шаг1.Выбор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плиты'!C:Q,12,0)),1))))))=0,
T179,
IF(T179="","",IF(T179=1,SUMIFS('Шаг1.Выбор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плиты'!N:N,T179,'Шаг1.Выбор плиты'!M:M,SMALL(INDIRECT("мм"&amp;VLOOKUP(C179,'Шаг1.Выбор плиты'!C:Q,12,0)),1)))))))</f>
        <v/>
      </c>
      <c r="K179" s="177" t="str">
        <f ca="1">IF(IF(U179="","",IF(U179=1,SUMIFS('Шаг1.Выбор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плиты'!C:Q,12,0)),1))))))=0,
U179,
IF(U179="","",IF(U179=1,SUMIFS('Шаг1.Выбор плиты'!$G:$G,'Шаг1.Выбор плиты'!J:J,"*"&amp;RIGHT(VLOOKUP(C179,'Шаг1.Выбор плиты'!C:Q,8,0),4),'Шаг1.Выбор плиты'!L:L,IF(MID(C179,1,6)="ЛДСП P","TM"&amp;MID(VLOOKUP(C179,'Шаг1.Выбор плиты'!C:Q,10,0),3,2),MID(VLOOKUP(C179,'Шаг1.Выбор плиты'!C:Q,10,0),1,2)),
'Шаг1.Выбор плиты'!N:N,1),IF(SUMIFS('Шаг1.Выбор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плиты'!C:Q,12,0)),1))=0,
IF(SUMIFS('Шаг1.Выбор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плиты'!C:Q,12,0)),2))=0,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плиты'!C:Q,12,0)),3)),
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плиты'!C:Q,12,0)),2))),
(SUMIFS('Шаг1.Выбор плиты'!$G:$G,'Шаг1.Выбор плиты'!J:J,"*"&amp;RIGHT(VLOOKUP(C179,'Шаг1.Выбор плиты'!C:Q,8,0),4),'Шаг1.Выбор плиты'!L:L,VLOOKUP(C179,'Шаг1.Выбор плиты'!C:Q,10,0),'Шаг1.Выбор плиты'!N:N,U179,'Шаг1.Выбор плиты'!M:M,SMALL(INDIRECT("мм"&amp;VLOOKUP(C179,'Шаг1.Выбор плиты'!C:Q,12,0)),1)))))))</f>
        <v/>
      </c>
      <c r="L179" s="147" t="str">
        <f ca="1">IFERROR(IFERROR(IF(VLOOKUP($A179,'Шаг2.Бланк заказа NEW'!$B$17:$N$201,9,0)="","",VLOOKUP($A179,'Шаг2.Бланк заказа NEW'!$B$17:$N$201,9,0)),
IF(VLOOKUP($A179-COUNT('Шаг2.Бланк заказа NEW'!$B$19:$B$201),'Бланк OLD 0.8 04'!$B$12:$K$200,9,0)="","",VLOOKUP($A179-COUNT('Шаг2.Бланк заказа NEW'!$B$19:$B$201),'Бланк OLD 0.8 04'!$B$12:$K$200,9,0))),
IF(VLOOKUP($A179-COUNT('Шаг2.Бланк заказа NEW'!$B$19:$B$201)-COUNT('Бланк OLD 0.8 04'!$B$18:$B$200),'Бланк OLD 2.0 04 '!$B$16:$K$200,9,0)="","",VLOOKUP($A179-COUNT('Шаг2.Бланк заказа NEW'!$B$19:$B$201)-COUNT('Бланк OLD 0.8 04'!$B$18:$B$200),'Бланк OLD 2.0 04 '!$B$16:$K$200,9,0)))</f>
        <v/>
      </c>
      <c r="M179" s="154" t="str">
        <f t="shared" ca="1" si="15"/>
        <v/>
      </c>
      <c r="N179" s="153" t="str">
        <f ca="1">IFERROR(IF(VLOOKUP($A179,'Шаг2.Бланк заказа NEW'!$B$17:$N$201,11,0)="","",VLOOKUP($A179,'Шаг2.Бланк заказа NEW'!$B$17:$N$201,11,0)),
"Нет")</f>
        <v/>
      </c>
      <c r="O179" s="147" t="str">
        <f ca="1">IFERROR(IF(VLOOKUP($A179,'Шаг2.Бланк заказа NEW'!$B$17:$N$201,11,0)="","",VLOOKUP($A179,'Шаг2.Бланк заказа NEW'!$B$17:$N$201,12,0)),
"Нет")</f>
        <v/>
      </c>
      <c r="P179" s="153" t="str">
        <f ca="1">IFERROR(IF(VLOOKUP($A179,'Шаг2.Бланк заказа NEW'!$B$17:$N$201,13,0)="","",VLOOKUP($A179,'Шаг2.Бланк заказа NEW'!$B$17:$N$201,13,0)),
"Нет")</f>
        <v/>
      </c>
      <c r="Q179" s="147" t="str">
        <f ca="1">IFERROR(IF(VLOOKUP($A179,'Шаг2.Бланк заказа NEW'!$B$17:$O$201,14,0)="","",VLOOKUP($A179,'Шаг2.Бланк заказа NEW'!$B$17:$O$201,14,0)),"")</f>
        <v/>
      </c>
      <c r="R179" s="147" t="str">
        <f ca="1">IFERROR(IFERROR(IF(VLOOKUP($A179,'Шаг2.Бланк заказа NEW'!$B$17:$N$201,4,0)="","",VLOOKUP($A179,'Шаг2.Бланк заказа NEW'!$B$17:$N$201,4,0)),
IF(VLOOKUP($A179-COUNT('Шаг2.Бланк заказа NEW'!$B$19:$B$201),'Бланк OLD 0.8 04'!$B$12:$K$200,4,0)&gt;0,0.8,
IF(VLOOKUP($A179-COUNT('Шаг2.Бланк заказа NEW'!$B$19:$B$201),'Бланк OLD 0.8 04'!$B$12:$K$200,5,0)&gt;0,0.4,""))),
IF(VLOOKUP($A179-COUNT('Шаг2.Бланк заказа NEW'!$B$19:$B$201)-COUNT('Бланк OLD 0.8 04'!$B$18:$B$200),'Бланк OLD 2.0 04 '!$B$16:$K$200,4,0)&gt;0,2,IF(VLOOKUP($A179-COUNT('Шаг2.Бланк заказа NEW'!$B$19:$B$201)-COUNT('Бланк OLD 0.8 04'!$B$18:$B$200),'Бланк OLD 2.0 04 '!$B$16:$K$200,5,0)&gt;0,0.4,"")))</f>
        <v/>
      </c>
      <c r="S179" s="147" t="str">
        <f ca="1">IFERROR(IFERROR(IF(VLOOKUP($A179,'Шаг2.Бланк заказа NEW'!$B$17:$N$201,5,0)="","",VLOOKUP($A179,'Шаг2.Бланк заказа NEW'!$B$17:$N$201,5,0)),
IF(VLOOKUP($A179-COUNT('Шаг2.Бланк заказа NEW'!$B$19:$B$201),'Бланк OLD 0.8 04'!$B$12:$K$200,4,0)&gt;1,0.8,
IF(VLOOKUP($A179-COUNT('Шаг2.Бланк заказа NEW'!$B$19:$B$201),'Бланк OLD 0.8 04'!$B$12:$K$200,5,0)&gt;1,0.4,
IF(AND(VLOOKUP($A179-COUNT('Шаг2.Бланк заказа NEW'!$B$19:$B$201),'Бланк OLD 0.8 04'!$B$12:$K$200,4,0)&gt;0,VLOOKUP($A179-COUNT('Шаг2.Бланк заказа NEW'!$B$19:$B$201),'Бланк OLD 0.8 04'!$B$12:$K$200,5,0)&gt;0),0.4,"")))),
IF(VLOOKUP($A179-COUNT('Шаг2.Бланк заказа NEW'!$B$19:$B$201)-COUNT('Бланк OLD 0.8 04'!$B$18:$B$200),'Бланк OLD 2.0 04 '!$B$16:$K$200,4,0)&gt;1,2,
IF(VLOOKUP($A179-COUNT('Шаг2.Бланк заказа NEW'!$B$19:$B$201)-COUNT('Бланк OLD 0.8 04'!$B$18:$B$200),'Бланк OLD 2.0 04 '!$B$16:$K$200,5,0)&gt;1,0.4,IF(AND(VLOOKUP($A179-COUNT('Шаг2.Бланк заказа NEW'!$B$19:$B$201)-COUNT('Бланк OLD 0.8 04'!$B$18:$B$200),'Бланк OLD 2.0 04 '!$B$16:$K$200,4,0)&gt;0,VLOOKUP($A179-COUNT('Шаг2.Бланк заказа NEW'!$B$19:$B$201)-COUNT('Бланк OLD 0.8 04'!$B$18:$B$200),'Бланк OLD 2.0 04 '!$B$16:$K$200,5,0)&gt;0),0.4,""))))</f>
        <v/>
      </c>
      <c r="T179" s="147" t="str">
        <f ca="1">IFERROR(IFERROR(IF(VLOOKUP($A179,'Шаг2.Бланк заказа NEW'!$B$17:$N$201,7,0)="","",VLOOKUP($A179,'Шаг2.Бланк заказа NEW'!$B$17:$N$201,7,0)),
IF(VLOOKUP($A179-COUNT('Шаг2.Бланк заказа NEW'!$B$19:$B$201),'Бланк OLD 0.8 04'!$B$12:$K$200,7,0)&gt;0,0.8,
IF(VLOOKUP($A179-COUNT('Шаг2.Бланк заказа NEW'!$B$19:$B$201),'Бланк OLD 0.8 04'!$B$12:$K$200,8,0)&gt;0,0.4,""))),
IF(VLOOKUP($A179-COUNT('Шаг2.Бланк заказа NEW'!$B$19:$B$201)-COUNT('Бланк OLD 0.8 04'!$B$18:$B$200),'Бланк OLD 2.0 04 '!$B$16:$K$200,7,0)&gt;0,2,IF(VLOOKUP($A179-COUNT('Шаг2.Бланк заказа NEW'!$B$19:$B$201)-COUNT('Бланк OLD 0.8 04'!$B$18:$B$200),'Бланк OLD 2.0 04 '!$B$16:$K$200,8,0)&gt;0,0.4,"")))</f>
        <v/>
      </c>
      <c r="U179" s="147" t="str">
        <f ca="1">IFERROR(IFERROR(IF(VLOOKUP($A179,'Шаг2.Бланк заказа NEW'!$B$17:$N$201,8,0)="","",VLOOKUP($A179,'Шаг2.Бланк заказа NEW'!$B$17:$N$201,8,0)),
IF(VLOOKUP($A179-COUNT('Шаг2.Бланк заказа NEW'!$B$19:$B$201),'Бланк OLD 0.8 04'!$B$12:$K$200,7,0)&gt;1,0.8,
IF(VLOOKUP($A179-COUNT('Шаг2.Бланк заказа NEW'!$B$19:$B$201),'Бланк OLD 0.8 04'!$B$12:$K$200,8,0)&gt;1,0.4,
IF(AND(VLOOKUP($A179-COUNT('Шаг2.Бланк заказа NEW'!$B$19:$B$201),'Бланк OLD 0.8 04'!$B$12:$K$200,7,0)&gt;0,VLOOKUP($A179-COUNT('Шаг2.Бланк заказа NEW'!$B$19:$B$201),'Бланк OLD 0.8 04'!$B$12:$K$200,8,0)&gt;0),0.4,"")))),
IF(VLOOKUP($A179-COUNT('Шаг2.Бланк заказа NEW'!$B$19:$B$201)-COUNT('Бланк OLD 0.8 04'!$B$18:$B$200),'Бланк OLD 2.0 04 '!$B$16:$K$200,7,0)&gt;1,2,
IF(VLOOKUP($A179-COUNT('Шаг2.Бланк заказа NEW'!$B$19:$B$201)-COUNT('Бланк OLD 0.8 04'!$B$18:$B$200),'Бланк OLD 2.0 04 '!$B$16:$K$200,8,0)&gt;1,0.4,
IF(AND(VLOOKUP($A179-COUNT('Шаг2.Бланк заказа NEW'!$B$19:$B$201)-COUNT('Бланк OLD 0.8 04'!$B$18:$B$200),'Бланк OLD 2.0 04 '!$B$16:$K$200,7,0)&gt;0,VLOOKUP($A179-COUNT('Шаг2.Бланк заказа NEW'!$B$19:$B$201)-COUNT('Бланк OLD 0.8 04'!$B$18:$B$200),'Бланк OLD 2.0 04 '!$B$16:$K$200,8,0)&gt;0),0.4,""))))</f>
        <v/>
      </c>
      <c r="V179" s="146" t="str">
        <f ca="1">IFERROR(VLOOKUP(C179,'Шаг1.Выбор плиты'!C:S,12,0),"")</f>
        <v/>
      </c>
      <c r="W179" s="146" t="str">
        <f ca="1">IFERROR(VLOOKUP(C179,'Шаг1.Выбор плиты'!C:S,8,0),"")</f>
        <v/>
      </c>
      <c r="X179" s="146" t="str">
        <f ca="1">IFERROR(VLOOKUP(C179,'Шаг1.Выбор плиты'!C:S,10,0),"")</f>
        <v/>
      </c>
      <c r="Y179" s="147" t="str">
        <f t="shared" ca="1" si="13"/>
        <v/>
      </c>
      <c r="AD179" s="147" t="str">
        <f t="shared" ca="1" si="16"/>
        <v/>
      </c>
      <c r="AE179" s="147" t="str">
        <f t="shared" ca="1" si="14"/>
        <v/>
      </c>
      <c r="AF179" s="25"/>
      <c r="AH179" s="147" t="str">
        <f ca="1">IF(C179="","",VLOOKUP(C179,'Шаг1.Выбор плиты'!C:Q,7,0))</f>
        <v/>
      </c>
      <c r="AI179" s="147" t="str">
        <f t="shared" ca="1" si="17"/>
        <v/>
      </c>
    </row>
    <row r="180" spans="1:35" x14ac:dyDescent="0.2">
      <c r="A180" s="151" t="str">
        <f ca="1">IF(C180="","",MAX($A$1:OFFSET(C180,-1,0))+1)</f>
        <v/>
      </c>
      <c r="B180" s="151" t="str">
        <f ca="1">IFERROR(IFERROR(IFERROR("Шаг2.Бланк заказа NEW №"&amp;VLOOKUP(A179+1,CHOOSE({1,2},'Шаг2.Бланк заказа NEW'!$B$19:$B$201,'Шаг2.Бланк заказа NEW'!$A$19:$A$201),1,0),
"Бланк OLD 0.8 04 №"&amp;VLOOKUP(A179+1-COUNT('Шаг2.Бланк заказа NEW'!$B$19:$B$201),CHOOSE({1,2},'Бланк OLD 0.8 04'!$B$18:$B$200,'Бланк OLD 0.8 04'!$A$18:$A$200),1,0)),
"Бланк OLD 2.0 04 №"&amp;VLOOKUP(A179+1-COUNT('Шаг2.Бланк заказа NEW'!$B$19:$B$201)-COUNT('Бланк OLD 0.8 04'!$B$18:$B$200),CHOOSE({1,2},'Бланк OLD 2.0 04 '!$B$18:$B$200,'Бланк OLD 2.0 04 '!$A$18:$A$200),1,0)),"")</f>
        <v/>
      </c>
      <c r="C180" s="152" t="str">
        <f ca="1">IFERROR(IFERROR(IFERROR(VLOOKUP(A179+1,CHOOSE({1,2},'Шаг2.Бланк заказа NEW'!$B$19:$B$201,'Шаг2.Бланк заказа NEW'!$A$19:$A$201),2,0),
VLOOKUP(A179+1-COUNT('Шаг2.Бланк заказа NEW'!$B$19:$B$201),CHOOSE({1,2},'Бланк OLD 0.8 04'!$B$18:$B$200,'Бланк OLD 0.8 04'!$A$18:$A$200),2,0)),
VLOOKUP(A179+1-COUNT('Шаг2.Бланк заказа NEW'!$B$19:$B$201)-COUNT('Бланк OLD 0.8 04'!$B$18:$B$200),CHOOSE({1,2},'Бланк OLD 2.0 04 '!$B$18:$B$200,'Бланк OLD 2.0 04 '!$A$18:$A$200),2,0)),"")</f>
        <v/>
      </c>
      <c r="D180" s="150" t="str">
        <f ca="1">IFERROR(VLOOKUP(C180,'Шаг1.Выбор плиты'!C:G,5,0),"")</f>
        <v/>
      </c>
      <c r="E180" s="147" t="str">
        <f ca="1">IFERROR(IFERROR(IF(VLOOKUP($A180,'Шаг2.Бланк заказа NEW'!$B$17:$N$201,2,0)="","",VLOOKUP($A180,'Шаг2.Бланк заказа NEW'!$B$17:$N$201,2,0)),
IF(VLOOKUP($A180-COUNT('Шаг2.Бланк заказа NEW'!$B$19:$B$201),'Бланк OLD 0.8 04'!$B$12:$K$200,2,0)="","",VLOOKUP($A180-COUNT('Шаг2.Бланк заказа NEW'!$B$19:$B$201),'Бланк OLD 0.8 04'!$B$12:$K$200,2,0))),
IF(VLOOKUP($A180-COUNT('Шаг2.Бланк заказа NEW'!$B$19:$B$201)-COUNT('Бланк OLD 0.8 04'!$B$18:$B$200),'Бланк OLD 2.0 04 '!$B$16:$K$200,2,0)="","",VLOOKUP($A180-COUNT('Шаг2.Бланк заказа NEW'!$B$19:$B$201)-COUNT('Бланк OLD 0.8 04'!$B$18:$B$200),'Бланк OLD 2.0 04 '!$B$16:$K$200,2,0)))</f>
        <v/>
      </c>
      <c r="F180" s="147" t="str">
        <f ca="1">IFERROR(IFERROR(IF(VLOOKUP($A180,'Шаг2.Бланк заказа NEW'!$B$17:$N$201,3,0)="","",VLOOKUP($A180,'Шаг2.Бланк заказа NEW'!$B$17:$N$201,3,0)),
IF(VLOOKUP($A180-COUNT('Шаг2.Бланк заказа NEW'!$B$19:$B$201),'Бланк OLD 0.8 04'!$B$12:$K$200,3,0)="","",VLOOKUP($A180-COUNT('Шаг2.Бланк заказа NEW'!$B$19:$B$201),'Бланк OLD 0.8 04'!$B$12:$K$200,3,0))),
IF(VLOOKUP($A180-COUNT('Шаг2.Бланк заказа NEW'!$B$19:$B$201)-COUNT('Бланк OLD 0.8 04'!$B$18:$B$200),'Бланк OLD 2.0 04 '!$B$16:$K$200,3,0)="","",VLOOKUP($A180-COUNT('Шаг2.Бланк заказа NEW'!$B$19:$B$201)-COUNT('Бланк OLD 0.8 04'!$B$18:$B$200),'Бланк OLD 2.0 04 '!$B$16:$K$200,3,0)))</f>
        <v/>
      </c>
      <c r="G180" s="176" t="str">
        <f ca="1">IF(IF(R180="","",IF(R180=1,SUMIFS('Шаг1.Выбор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плиты'!C:Q,12,0)),1))))))=0,
R180,
IF(R180="","",IF(R180=1,SUMIFS('Шаг1.Выбор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плиты'!N:N,R180,'Шаг1.Выбор плиты'!M:M,SMALL(INDIRECT("мм"&amp;VLOOKUP(C180,'Шаг1.Выбор плиты'!C:Q,12,0)),1)))))))</f>
        <v/>
      </c>
      <c r="H180" s="177" t="str">
        <f ca="1">IF(IF(S180="","",IF(S180=1,SUMIFS('Шаг1.Выбор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плиты'!C:Q,12,0)),1))))))=0,
S180,
IF(S180="","",IF(S180=1,SUMIFS('Шаг1.Выбор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плиты'!N:N,S180,'Шаг1.Выбор плиты'!M:M,SMALL(INDIRECT("мм"&amp;VLOOKUP(C180,'Шаг1.Выбор плиты'!C:Q,12,0)),1)))))))</f>
        <v/>
      </c>
      <c r="I180" s="147" t="str">
        <f ca="1">IFERROR(IFERROR(IF(VLOOKUP($A180,'Шаг2.Бланк заказа NEW'!$B$17:$N$201,6,0)="","",VLOOKUP($A180,'Шаг2.Бланк заказа NEW'!$B$17:$N$201,6,0)),
IF(VLOOKUP($A180-COUNT('Шаг2.Бланк заказа NEW'!$B$19:$B$201),'Бланк OLD 0.8 04'!$B$12:$K$200,6,0)="","",VLOOKUP($A180-COUNT('Шаг2.Бланк заказа NEW'!$B$19:$B$201),'Бланк OLD 0.8 04'!$B$12:$K$200,6,0))),
IF(VLOOKUP($A180-COUNT('Шаг2.Бланк заказа NEW'!$B$19:$B$201)-COUNT('Бланк OLD 0.8 04'!$B$18:$B$200),'Бланк OLD 2.0 04 '!$B$16:$K$200,6,0)="","",VLOOKUP($A180-COUNT('Шаг2.Бланк заказа NEW'!$B$19:$B$201)-COUNT('Бланк OLD 0.8 04'!$B$18:$B$200),'Бланк OLD 2.0 04 '!$B$16:$K$200,6,0)))</f>
        <v/>
      </c>
      <c r="J180" s="177" t="str">
        <f ca="1">IF(IF(T180="","",IF(T180=1,SUMIFS('Шаг1.Выбор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плиты'!C:Q,12,0)),1))))))=0,
T180,
IF(T180="","",IF(T180=1,SUMIFS('Шаг1.Выбор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плиты'!N:N,T180,'Шаг1.Выбор плиты'!M:M,SMALL(INDIRECT("мм"&amp;VLOOKUP(C180,'Шаг1.Выбор плиты'!C:Q,12,0)),1)))))))</f>
        <v/>
      </c>
      <c r="K180" s="177" t="str">
        <f ca="1">IF(IF(U180="","",IF(U180=1,SUMIFS('Шаг1.Выбор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плиты'!C:Q,12,0)),1))))))=0,
U180,
IF(U180="","",IF(U180=1,SUMIFS('Шаг1.Выбор плиты'!$G:$G,'Шаг1.Выбор плиты'!J:J,"*"&amp;RIGHT(VLOOKUP(C180,'Шаг1.Выбор плиты'!C:Q,8,0),4),'Шаг1.Выбор плиты'!L:L,IF(MID(C180,1,6)="ЛДСП P","TM"&amp;MID(VLOOKUP(C180,'Шаг1.Выбор плиты'!C:Q,10,0),3,2),MID(VLOOKUP(C180,'Шаг1.Выбор плиты'!C:Q,10,0),1,2)),
'Шаг1.Выбор плиты'!N:N,1),IF(SUMIFS('Шаг1.Выбор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плиты'!C:Q,12,0)),1))=0,
IF(SUMIFS('Шаг1.Выбор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плиты'!C:Q,12,0)),2))=0,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плиты'!C:Q,12,0)),3)),
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плиты'!C:Q,12,0)),2))),
(SUMIFS('Шаг1.Выбор плиты'!$G:$G,'Шаг1.Выбор плиты'!J:J,"*"&amp;RIGHT(VLOOKUP(C180,'Шаг1.Выбор плиты'!C:Q,8,0),4),'Шаг1.Выбор плиты'!L:L,VLOOKUP(C180,'Шаг1.Выбор плиты'!C:Q,10,0),'Шаг1.Выбор плиты'!N:N,U180,'Шаг1.Выбор плиты'!M:M,SMALL(INDIRECT("мм"&amp;VLOOKUP(C180,'Шаг1.Выбор плиты'!C:Q,12,0)),1)))))))</f>
        <v/>
      </c>
      <c r="L180" s="147" t="str">
        <f ca="1">IFERROR(IFERROR(IF(VLOOKUP($A180,'Шаг2.Бланк заказа NEW'!$B$17:$N$201,9,0)="","",VLOOKUP($A180,'Шаг2.Бланк заказа NEW'!$B$17:$N$201,9,0)),
IF(VLOOKUP($A180-COUNT('Шаг2.Бланк заказа NEW'!$B$19:$B$201),'Бланк OLD 0.8 04'!$B$12:$K$200,9,0)="","",VLOOKUP($A180-COUNT('Шаг2.Бланк заказа NEW'!$B$19:$B$201),'Бланк OLD 0.8 04'!$B$12:$K$200,9,0))),
IF(VLOOKUP($A180-COUNT('Шаг2.Бланк заказа NEW'!$B$19:$B$201)-COUNT('Бланк OLD 0.8 04'!$B$18:$B$200),'Бланк OLD 2.0 04 '!$B$16:$K$200,9,0)="","",VLOOKUP($A180-COUNT('Шаг2.Бланк заказа NEW'!$B$19:$B$201)-COUNT('Бланк OLD 0.8 04'!$B$18:$B$200),'Бланк OLD 2.0 04 '!$B$16:$K$200,9,0)))</f>
        <v/>
      </c>
      <c r="M180" s="154" t="str">
        <f t="shared" ca="1" si="15"/>
        <v/>
      </c>
      <c r="N180" s="153" t="str">
        <f ca="1">IFERROR(IF(VLOOKUP($A180,'Шаг2.Бланк заказа NEW'!$B$17:$N$201,11,0)="","",VLOOKUP($A180,'Шаг2.Бланк заказа NEW'!$B$17:$N$201,11,0)),
"Нет")</f>
        <v/>
      </c>
      <c r="O180" s="147" t="str">
        <f ca="1">IFERROR(IF(VLOOKUP($A180,'Шаг2.Бланк заказа NEW'!$B$17:$N$201,11,0)="","",VLOOKUP($A180,'Шаг2.Бланк заказа NEW'!$B$17:$N$201,12,0)),
"Нет")</f>
        <v/>
      </c>
      <c r="P180" s="153" t="str">
        <f ca="1">IFERROR(IF(VLOOKUP($A180,'Шаг2.Бланк заказа NEW'!$B$17:$N$201,13,0)="","",VLOOKUP($A180,'Шаг2.Бланк заказа NEW'!$B$17:$N$201,13,0)),
"Нет")</f>
        <v/>
      </c>
      <c r="Q180" s="147" t="str">
        <f ca="1">IFERROR(IF(VLOOKUP($A180,'Шаг2.Бланк заказа NEW'!$B$17:$O$201,14,0)="","",VLOOKUP($A180,'Шаг2.Бланк заказа NEW'!$B$17:$O$201,14,0)),"")</f>
        <v/>
      </c>
      <c r="R180" s="147" t="str">
        <f ca="1">IFERROR(IFERROR(IF(VLOOKUP($A180,'Шаг2.Бланк заказа NEW'!$B$17:$N$201,4,0)="","",VLOOKUP($A180,'Шаг2.Бланк заказа NEW'!$B$17:$N$201,4,0)),
IF(VLOOKUP($A180-COUNT('Шаг2.Бланк заказа NEW'!$B$19:$B$201),'Бланк OLD 0.8 04'!$B$12:$K$200,4,0)&gt;0,0.8,
IF(VLOOKUP($A180-COUNT('Шаг2.Бланк заказа NEW'!$B$19:$B$201),'Бланк OLD 0.8 04'!$B$12:$K$200,5,0)&gt;0,0.4,""))),
IF(VLOOKUP($A180-COUNT('Шаг2.Бланк заказа NEW'!$B$19:$B$201)-COUNT('Бланк OLD 0.8 04'!$B$18:$B$200),'Бланк OLD 2.0 04 '!$B$16:$K$200,4,0)&gt;0,2,IF(VLOOKUP($A180-COUNT('Шаг2.Бланк заказа NEW'!$B$19:$B$201)-COUNT('Бланк OLD 0.8 04'!$B$18:$B$200),'Бланк OLD 2.0 04 '!$B$16:$K$200,5,0)&gt;0,0.4,"")))</f>
        <v/>
      </c>
      <c r="S180" s="147" t="str">
        <f ca="1">IFERROR(IFERROR(IF(VLOOKUP($A180,'Шаг2.Бланк заказа NEW'!$B$17:$N$201,5,0)="","",VLOOKUP($A180,'Шаг2.Бланк заказа NEW'!$B$17:$N$201,5,0)),
IF(VLOOKUP($A180-COUNT('Шаг2.Бланк заказа NEW'!$B$19:$B$201),'Бланк OLD 0.8 04'!$B$12:$K$200,4,0)&gt;1,0.8,
IF(VLOOKUP($A180-COUNT('Шаг2.Бланк заказа NEW'!$B$19:$B$201),'Бланк OLD 0.8 04'!$B$12:$K$200,5,0)&gt;1,0.4,
IF(AND(VLOOKUP($A180-COUNT('Шаг2.Бланк заказа NEW'!$B$19:$B$201),'Бланк OLD 0.8 04'!$B$12:$K$200,4,0)&gt;0,VLOOKUP($A180-COUNT('Шаг2.Бланк заказа NEW'!$B$19:$B$201),'Бланк OLD 0.8 04'!$B$12:$K$200,5,0)&gt;0),0.4,"")))),
IF(VLOOKUP($A180-COUNT('Шаг2.Бланк заказа NEW'!$B$19:$B$201)-COUNT('Бланк OLD 0.8 04'!$B$18:$B$200),'Бланк OLD 2.0 04 '!$B$16:$K$200,4,0)&gt;1,2,
IF(VLOOKUP($A180-COUNT('Шаг2.Бланк заказа NEW'!$B$19:$B$201)-COUNT('Бланк OLD 0.8 04'!$B$18:$B$200),'Бланк OLD 2.0 04 '!$B$16:$K$200,5,0)&gt;1,0.4,IF(AND(VLOOKUP($A180-COUNT('Шаг2.Бланк заказа NEW'!$B$19:$B$201)-COUNT('Бланк OLD 0.8 04'!$B$18:$B$200),'Бланк OLD 2.0 04 '!$B$16:$K$200,4,0)&gt;0,VLOOKUP($A180-COUNT('Шаг2.Бланк заказа NEW'!$B$19:$B$201)-COUNT('Бланк OLD 0.8 04'!$B$18:$B$200),'Бланк OLD 2.0 04 '!$B$16:$K$200,5,0)&gt;0),0.4,""))))</f>
        <v/>
      </c>
      <c r="T180" s="147" t="str">
        <f ca="1">IFERROR(IFERROR(IF(VLOOKUP($A180,'Шаг2.Бланк заказа NEW'!$B$17:$N$201,7,0)="","",VLOOKUP($A180,'Шаг2.Бланк заказа NEW'!$B$17:$N$201,7,0)),
IF(VLOOKUP($A180-COUNT('Шаг2.Бланк заказа NEW'!$B$19:$B$201),'Бланк OLD 0.8 04'!$B$12:$K$200,7,0)&gt;0,0.8,
IF(VLOOKUP($A180-COUNT('Шаг2.Бланк заказа NEW'!$B$19:$B$201),'Бланк OLD 0.8 04'!$B$12:$K$200,8,0)&gt;0,0.4,""))),
IF(VLOOKUP($A180-COUNT('Шаг2.Бланк заказа NEW'!$B$19:$B$201)-COUNT('Бланк OLD 0.8 04'!$B$18:$B$200),'Бланк OLD 2.0 04 '!$B$16:$K$200,7,0)&gt;0,2,IF(VLOOKUP($A180-COUNT('Шаг2.Бланк заказа NEW'!$B$19:$B$201)-COUNT('Бланк OLD 0.8 04'!$B$18:$B$200),'Бланк OLD 2.0 04 '!$B$16:$K$200,8,0)&gt;0,0.4,"")))</f>
        <v/>
      </c>
      <c r="U180" s="147" t="str">
        <f ca="1">IFERROR(IFERROR(IF(VLOOKUP($A180,'Шаг2.Бланк заказа NEW'!$B$17:$N$201,8,0)="","",VLOOKUP($A180,'Шаг2.Бланк заказа NEW'!$B$17:$N$201,8,0)),
IF(VLOOKUP($A180-COUNT('Шаг2.Бланк заказа NEW'!$B$19:$B$201),'Бланк OLD 0.8 04'!$B$12:$K$200,7,0)&gt;1,0.8,
IF(VLOOKUP($A180-COUNT('Шаг2.Бланк заказа NEW'!$B$19:$B$201),'Бланк OLD 0.8 04'!$B$12:$K$200,8,0)&gt;1,0.4,
IF(AND(VLOOKUP($A180-COUNT('Шаг2.Бланк заказа NEW'!$B$19:$B$201),'Бланк OLD 0.8 04'!$B$12:$K$200,7,0)&gt;0,VLOOKUP($A180-COUNT('Шаг2.Бланк заказа NEW'!$B$19:$B$201),'Бланк OLD 0.8 04'!$B$12:$K$200,8,0)&gt;0),0.4,"")))),
IF(VLOOKUP($A180-COUNT('Шаг2.Бланк заказа NEW'!$B$19:$B$201)-COUNT('Бланк OLD 0.8 04'!$B$18:$B$200),'Бланк OLD 2.0 04 '!$B$16:$K$200,7,0)&gt;1,2,
IF(VLOOKUP($A180-COUNT('Шаг2.Бланк заказа NEW'!$B$19:$B$201)-COUNT('Бланк OLD 0.8 04'!$B$18:$B$200),'Бланк OLD 2.0 04 '!$B$16:$K$200,8,0)&gt;1,0.4,
IF(AND(VLOOKUP($A180-COUNT('Шаг2.Бланк заказа NEW'!$B$19:$B$201)-COUNT('Бланк OLD 0.8 04'!$B$18:$B$200),'Бланк OLD 2.0 04 '!$B$16:$K$200,7,0)&gt;0,VLOOKUP($A180-COUNT('Шаг2.Бланк заказа NEW'!$B$19:$B$201)-COUNT('Бланк OLD 0.8 04'!$B$18:$B$200),'Бланк OLD 2.0 04 '!$B$16:$K$200,8,0)&gt;0),0.4,""))))</f>
        <v/>
      </c>
      <c r="V180" s="146" t="str">
        <f ca="1">IFERROR(VLOOKUP(C180,'Шаг1.Выбор плиты'!C:S,12,0),"")</f>
        <v/>
      </c>
      <c r="W180" s="146" t="str">
        <f ca="1">IFERROR(VLOOKUP(C180,'Шаг1.Выбор плиты'!C:S,8,0),"")</f>
        <v/>
      </c>
      <c r="X180" s="146" t="str">
        <f ca="1">IFERROR(VLOOKUP(C180,'Шаг1.Выбор плиты'!C:S,10,0),"")</f>
        <v/>
      </c>
      <c r="Y180" s="147" t="str">
        <f t="shared" ca="1" si="13"/>
        <v/>
      </c>
      <c r="AD180" s="147" t="str">
        <f t="shared" ca="1" si="16"/>
        <v/>
      </c>
      <c r="AE180" s="147" t="str">
        <f t="shared" ca="1" si="14"/>
        <v/>
      </c>
      <c r="AF180" s="25"/>
      <c r="AH180" s="147" t="str">
        <f ca="1">IF(C180="","",VLOOKUP(C180,'Шаг1.Выбор плиты'!C:Q,7,0))</f>
        <v/>
      </c>
      <c r="AI180" s="147" t="str">
        <f t="shared" ca="1" si="17"/>
        <v/>
      </c>
    </row>
    <row r="181" spans="1:35" x14ac:dyDescent="0.2">
      <c r="A181" s="151" t="str">
        <f ca="1">IF(C181="","",MAX($A$1:OFFSET(C181,-1,0))+1)</f>
        <v/>
      </c>
      <c r="B181" s="151" t="str">
        <f ca="1">IFERROR(IFERROR(IFERROR("Шаг2.Бланк заказа NEW №"&amp;VLOOKUP(A180+1,CHOOSE({1,2},'Шаг2.Бланк заказа NEW'!$B$19:$B$201,'Шаг2.Бланк заказа NEW'!$A$19:$A$201),1,0),
"Бланк OLD 0.8 04 №"&amp;VLOOKUP(A180+1-COUNT('Шаг2.Бланк заказа NEW'!$B$19:$B$201),CHOOSE({1,2},'Бланк OLD 0.8 04'!$B$18:$B$200,'Бланк OLD 0.8 04'!$A$18:$A$200),1,0)),
"Бланк OLD 2.0 04 №"&amp;VLOOKUP(A180+1-COUNT('Шаг2.Бланк заказа NEW'!$B$19:$B$201)-COUNT('Бланк OLD 0.8 04'!$B$18:$B$200),CHOOSE({1,2},'Бланк OLD 2.0 04 '!$B$18:$B$200,'Бланк OLD 2.0 04 '!$A$18:$A$200),1,0)),"")</f>
        <v/>
      </c>
      <c r="C181" s="152" t="str">
        <f ca="1">IFERROR(IFERROR(IFERROR(VLOOKUP(A180+1,CHOOSE({1,2},'Шаг2.Бланк заказа NEW'!$B$19:$B$201,'Шаг2.Бланк заказа NEW'!$A$19:$A$201),2,0),
VLOOKUP(A180+1-COUNT('Шаг2.Бланк заказа NEW'!$B$19:$B$201),CHOOSE({1,2},'Бланк OLD 0.8 04'!$B$18:$B$200,'Бланк OLD 0.8 04'!$A$18:$A$200),2,0)),
VLOOKUP(A180+1-COUNT('Шаг2.Бланк заказа NEW'!$B$19:$B$201)-COUNT('Бланк OLD 0.8 04'!$B$18:$B$200),CHOOSE({1,2},'Бланк OLD 2.0 04 '!$B$18:$B$200,'Бланк OLD 2.0 04 '!$A$18:$A$200),2,0)),"")</f>
        <v/>
      </c>
      <c r="D181" s="150" t="str">
        <f ca="1">IFERROR(VLOOKUP(C181,'Шаг1.Выбор плиты'!C:G,5,0),"")</f>
        <v/>
      </c>
      <c r="E181" s="147" t="str">
        <f ca="1">IFERROR(IFERROR(IF(VLOOKUP($A181,'Шаг2.Бланк заказа NEW'!$B$17:$N$201,2,0)="","",VLOOKUP($A181,'Шаг2.Бланк заказа NEW'!$B$17:$N$201,2,0)),
IF(VLOOKUP($A181-COUNT('Шаг2.Бланк заказа NEW'!$B$19:$B$201),'Бланк OLD 0.8 04'!$B$12:$K$200,2,0)="","",VLOOKUP($A181-COUNT('Шаг2.Бланк заказа NEW'!$B$19:$B$201),'Бланк OLD 0.8 04'!$B$12:$K$200,2,0))),
IF(VLOOKUP($A181-COUNT('Шаг2.Бланк заказа NEW'!$B$19:$B$201)-COUNT('Бланк OLD 0.8 04'!$B$18:$B$200),'Бланк OLD 2.0 04 '!$B$16:$K$200,2,0)="","",VLOOKUP($A181-COUNT('Шаг2.Бланк заказа NEW'!$B$19:$B$201)-COUNT('Бланк OLD 0.8 04'!$B$18:$B$200),'Бланк OLD 2.0 04 '!$B$16:$K$200,2,0)))</f>
        <v/>
      </c>
      <c r="F181" s="147" t="str">
        <f ca="1">IFERROR(IFERROR(IF(VLOOKUP($A181,'Шаг2.Бланк заказа NEW'!$B$17:$N$201,3,0)="","",VLOOKUP($A181,'Шаг2.Бланк заказа NEW'!$B$17:$N$201,3,0)),
IF(VLOOKUP($A181-COUNT('Шаг2.Бланк заказа NEW'!$B$19:$B$201),'Бланк OLD 0.8 04'!$B$12:$K$200,3,0)="","",VLOOKUP($A181-COUNT('Шаг2.Бланк заказа NEW'!$B$19:$B$201),'Бланк OLD 0.8 04'!$B$12:$K$200,3,0))),
IF(VLOOKUP($A181-COUNT('Шаг2.Бланк заказа NEW'!$B$19:$B$201)-COUNT('Бланк OLD 0.8 04'!$B$18:$B$200),'Бланк OLD 2.0 04 '!$B$16:$K$200,3,0)="","",VLOOKUP($A181-COUNT('Шаг2.Бланк заказа NEW'!$B$19:$B$201)-COUNT('Бланк OLD 0.8 04'!$B$18:$B$200),'Бланк OLD 2.0 04 '!$B$16:$K$200,3,0)))</f>
        <v/>
      </c>
      <c r="G181" s="176" t="str">
        <f ca="1">IF(IF(R181="","",IF(R181=1,SUMIFS('Шаг1.Выбор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плиты'!C:Q,12,0)),1))))))=0,
R181,
IF(R181="","",IF(R181=1,SUMIFS('Шаг1.Выбор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плиты'!N:N,R181,'Шаг1.Выбор плиты'!M:M,SMALL(INDIRECT("мм"&amp;VLOOKUP(C181,'Шаг1.Выбор плиты'!C:Q,12,0)),1)))))))</f>
        <v/>
      </c>
      <c r="H181" s="177" t="str">
        <f ca="1">IF(IF(S181="","",IF(S181=1,SUMIFS('Шаг1.Выбор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плиты'!C:Q,12,0)),1))))))=0,
S181,
IF(S181="","",IF(S181=1,SUMIFS('Шаг1.Выбор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плиты'!N:N,S181,'Шаг1.Выбор плиты'!M:M,SMALL(INDIRECT("мм"&amp;VLOOKUP(C181,'Шаг1.Выбор плиты'!C:Q,12,0)),1)))))))</f>
        <v/>
      </c>
      <c r="I181" s="147" t="str">
        <f ca="1">IFERROR(IFERROR(IF(VLOOKUP($A181,'Шаг2.Бланк заказа NEW'!$B$17:$N$201,6,0)="","",VLOOKUP($A181,'Шаг2.Бланк заказа NEW'!$B$17:$N$201,6,0)),
IF(VLOOKUP($A181-COUNT('Шаг2.Бланк заказа NEW'!$B$19:$B$201),'Бланк OLD 0.8 04'!$B$12:$K$200,6,0)="","",VLOOKUP($A181-COUNT('Шаг2.Бланк заказа NEW'!$B$19:$B$201),'Бланк OLD 0.8 04'!$B$12:$K$200,6,0))),
IF(VLOOKUP($A181-COUNT('Шаг2.Бланк заказа NEW'!$B$19:$B$201)-COUNT('Бланк OLD 0.8 04'!$B$18:$B$200),'Бланк OLD 2.0 04 '!$B$16:$K$200,6,0)="","",VLOOKUP($A181-COUNT('Шаг2.Бланк заказа NEW'!$B$19:$B$201)-COUNT('Бланк OLD 0.8 04'!$B$18:$B$200),'Бланк OLD 2.0 04 '!$B$16:$K$200,6,0)))</f>
        <v/>
      </c>
      <c r="J181" s="177" t="str">
        <f ca="1">IF(IF(T181="","",IF(T181=1,SUMIFS('Шаг1.Выбор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плиты'!C:Q,12,0)),1))))))=0,
T181,
IF(T181="","",IF(T181=1,SUMIFS('Шаг1.Выбор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плиты'!N:N,T181,'Шаг1.Выбор плиты'!M:M,SMALL(INDIRECT("мм"&amp;VLOOKUP(C181,'Шаг1.Выбор плиты'!C:Q,12,0)),1)))))))</f>
        <v/>
      </c>
      <c r="K181" s="177" t="str">
        <f ca="1">IF(IF(U181="","",IF(U181=1,SUMIFS('Шаг1.Выбор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плиты'!C:Q,12,0)),1))))))=0,
U181,
IF(U181="","",IF(U181=1,SUMIFS('Шаг1.Выбор плиты'!$G:$G,'Шаг1.Выбор плиты'!J:J,"*"&amp;RIGHT(VLOOKUP(C181,'Шаг1.Выбор плиты'!C:Q,8,0),4),'Шаг1.Выбор плиты'!L:L,IF(MID(C181,1,6)="ЛДСП P","TM"&amp;MID(VLOOKUP(C181,'Шаг1.Выбор плиты'!C:Q,10,0),3,2),MID(VLOOKUP(C181,'Шаг1.Выбор плиты'!C:Q,10,0),1,2)),
'Шаг1.Выбор плиты'!N:N,1),IF(SUMIFS('Шаг1.Выбор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плиты'!C:Q,12,0)),1))=0,
IF(SUMIFS('Шаг1.Выбор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плиты'!C:Q,12,0)),2))=0,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плиты'!C:Q,12,0)),3)),
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плиты'!C:Q,12,0)),2))),
(SUMIFS('Шаг1.Выбор плиты'!$G:$G,'Шаг1.Выбор плиты'!J:J,"*"&amp;RIGHT(VLOOKUP(C181,'Шаг1.Выбор плиты'!C:Q,8,0),4),'Шаг1.Выбор плиты'!L:L,VLOOKUP(C181,'Шаг1.Выбор плиты'!C:Q,10,0),'Шаг1.Выбор плиты'!N:N,U181,'Шаг1.Выбор плиты'!M:M,SMALL(INDIRECT("мм"&amp;VLOOKUP(C181,'Шаг1.Выбор плиты'!C:Q,12,0)),1)))))))</f>
        <v/>
      </c>
      <c r="L181" s="147" t="str">
        <f ca="1">IFERROR(IFERROR(IF(VLOOKUP($A181,'Шаг2.Бланк заказа NEW'!$B$17:$N$201,9,0)="","",VLOOKUP($A181,'Шаг2.Бланк заказа NEW'!$B$17:$N$201,9,0)),
IF(VLOOKUP($A181-COUNT('Шаг2.Бланк заказа NEW'!$B$19:$B$201),'Бланк OLD 0.8 04'!$B$12:$K$200,9,0)="","",VLOOKUP($A181-COUNT('Шаг2.Бланк заказа NEW'!$B$19:$B$201),'Бланк OLD 0.8 04'!$B$12:$K$200,9,0))),
IF(VLOOKUP($A181-COUNT('Шаг2.Бланк заказа NEW'!$B$19:$B$201)-COUNT('Бланк OLD 0.8 04'!$B$18:$B$200),'Бланк OLD 2.0 04 '!$B$16:$K$200,9,0)="","",VLOOKUP($A181-COUNT('Шаг2.Бланк заказа NEW'!$B$19:$B$201)-COUNT('Бланк OLD 0.8 04'!$B$18:$B$200),'Бланк OLD 2.0 04 '!$B$16:$K$200,9,0)))</f>
        <v/>
      </c>
      <c r="M181" s="154" t="str">
        <f t="shared" ca="1" si="15"/>
        <v/>
      </c>
      <c r="N181" s="153" t="str">
        <f ca="1">IFERROR(IF(VLOOKUP($A181,'Шаг2.Бланк заказа NEW'!$B$17:$N$201,11,0)="","",VLOOKUP($A181,'Шаг2.Бланк заказа NEW'!$B$17:$N$201,11,0)),
"Нет")</f>
        <v/>
      </c>
      <c r="O181" s="147" t="str">
        <f ca="1">IFERROR(IF(VLOOKUP($A181,'Шаг2.Бланк заказа NEW'!$B$17:$N$201,11,0)="","",VLOOKUP($A181,'Шаг2.Бланк заказа NEW'!$B$17:$N$201,12,0)),
"Нет")</f>
        <v/>
      </c>
      <c r="P181" s="153" t="str">
        <f ca="1">IFERROR(IF(VLOOKUP($A181,'Шаг2.Бланк заказа NEW'!$B$17:$N$201,13,0)="","",VLOOKUP($A181,'Шаг2.Бланк заказа NEW'!$B$17:$N$201,13,0)),
"Нет")</f>
        <v/>
      </c>
      <c r="Q181" s="147" t="str">
        <f ca="1">IFERROR(IF(VLOOKUP($A181,'Шаг2.Бланк заказа NEW'!$B$17:$O$201,14,0)="","",VLOOKUP($A181,'Шаг2.Бланк заказа NEW'!$B$17:$O$201,14,0)),"")</f>
        <v/>
      </c>
      <c r="R181" s="147" t="str">
        <f ca="1">IFERROR(IFERROR(IF(VLOOKUP($A181,'Шаг2.Бланк заказа NEW'!$B$17:$N$201,4,0)="","",VLOOKUP($A181,'Шаг2.Бланк заказа NEW'!$B$17:$N$201,4,0)),
IF(VLOOKUP($A181-COUNT('Шаг2.Бланк заказа NEW'!$B$19:$B$201),'Бланк OLD 0.8 04'!$B$12:$K$200,4,0)&gt;0,0.8,
IF(VLOOKUP($A181-COUNT('Шаг2.Бланк заказа NEW'!$B$19:$B$201),'Бланк OLD 0.8 04'!$B$12:$K$200,5,0)&gt;0,0.4,""))),
IF(VLOOKUP($A181-COUNT('Шаг2.Бланк заказа NEW'!$B$19:$B$201)-COUNT('Бланк OLD 0.8 04'!$B$18:$B$200),'Бланк OLD 2.0 04 '!$B$16:$K$200,4,0)&gt;0,2,IF(VLOOKUP($A181-COUNT('Шаг2.Бланк заказа NEW'!$B$19:$B$201)-COUNT('Бланк OLD 0.8 04'!$B$18:$B$200),'Бланк OLD 2.0 04 '!$B$16:$K$200,5,0)&gt;0,0.4,"")))</f>
        <v/>
      </c>
      <c r="S181" s="147" t="str">
        <f ca="1">IFERROR(IFERROR(IF(VLOOKUP($A181,'Шаг2.Бланк заказа NEW'!$B$17:$N$201,5,0)="","",VLOOKUP($A181,'Шаг2.Бланк заказа NEW'!$B$17:$N$201,5,0)),
IF(VLOOKUP($A181-COUNT('Шаг2.Бланк заказа NEW'!$B$19:$B$201),'Бланк OLD 0.8 04'!$B$12:$K$200,4,0)&gt;1,0.8,
IF(VLOOKUP($A181-COUNT('Шаг2.Бланк заказа NEW'!$B$19:$B$201),'Бланк OLD 0.8 04'!$B$12:$K$200,5,0)&gt;1,0.4,
IF(AND(VLOOKUP($A181-COUNT('Шаг2.Бланк заказа NEW'!$B$19:$B$201),'Бланк OLD 0.8 04'!$B$12:$K$200,4,0)&gt;0,VLOOKUP($A181-COUNT('Шаг2.Бланк заказа NEW'!$B$19:$B$201),'Бланк OLD 0.8 04'!$B$12:$K$200,5,0)&gt;0),0.4,"")))),
IF(VLOOKUP($A181-COUNT('Шаг2.Бланк заказа NEW'!$B$19:$B$201)-COUNT('Бланк OLD 0.8 04'!$B$18:$B$200),'Бланк OLD 2.0 04 '!$B$16:$K$200,4,0)&gt;1,2,
IF(VLOOKUP($A181-COUNT('Шаг2.Бланк заказа NEW'!$B$19:$B$201)-COUNT('Бланк OLD 0.8 04'!$B$18:$B$200),'Бланк OLD 2.0 04 '!$B$16:$K$200,5,0)&gt;1,0.4,IF(AND(VLOOKUP($A181-COUNT('Шаг2.Бланк заказа NEW'!$B$19:$B$201)-COUNT('Бланк OLD 0.8 04'!$B$18:$B$200),'Бланк OLD 2.0 04 '!$B$16:$K$200,4,0)&gt;0,VLOOKUP($A181-COUNT('Шаг2.Бланк заказа NEW'!$B$19:$B$201)-COUNT('Бланк OLD 0.8 04'!$B$18:$B$200),'Бланк OLD 2.0 04 '!$B$16:$K$200,5,0)&gt;0),0.4,""))))</f>
        <v/>
      </c>
      <c r="T181" s="147" t="str">
        <f ca="1">IFERROR(IFERROR(IF(VLOOKUP($A181,'Шаг2.Бланк заказа NEW'!$B$17:$N$201,7,0)="","",VLOOKUP($A181,'Шаг2.Бланк заказа NEW'!$B$17:$N$201,7,0)),
IF(VLOOKUP($A181-COUNT('Шаг2.Бланк заказа NEW'!$B$19:$B$201),'Бланк OLD 0.8 04'!$B$12:$K$200,7,0)&gt;0,0.8,
IF(VLOOKUP($A181-COUNT('Шаг2.Бланк заказа NEW'!$B$19:$B$201),'Бланк OLD 0.8 04'!$B$12:$K$200,8,0)&gt;0,0.4,""))),
IF(VLOOKUP($A181-COUNT('Шаг2.Бланк заказа NEW'!$B$19:$B$201)-COUNT('Бланк OLD 0.8 04'!$B$18:$B$200),'Бланк OLD 2.0 04 '!$B$16:$K$200,7,0)&gt;0,2,IF(VLOOKUP($A181-COUNT('Шаг2.Бланк заказа NEW'!$B$19:$B$201)-COUNT('Бланк OLD 0.8 04'!$B$18:$B$200),'Бланк OLD 2.0 04 '!$B$16:$K$200,8,0)&gt;0,0.4,"")))</f>
        <v/>
      </c>
      <c r="U181" s="147" t="str">
        <f ca="1">IFERROR(IFERROR(IF(VLOOKUP($A181,'Шаг2.Бланк заказа NEW'!$B$17:$N$201,8,0)="","",VLOOKUP($A181,'Шаг2.Бланк заказа NEW'!$B$17:$N$201,8,0)),
IF(VLOOKUP($A181-COUNT('Шаг2.Бланк заказа NEW'!$B$19:$B$201),'Бланк OLD 0.8 04'!$B$12:$K$200,7,0)&gt;1,0.8,
IF(VLOOKUP($A181-COUNT('Шаг2.Бланк заказа NEW'!$B$19:$B$201),'Бланк OLD 0.8 04'!$B$12:$K$200,8,0)&gt;1,0.4,
IF(AND(VLOOKUP($A181-COUNT('Шаг2.Бланк заказа NEW'!$B$19:$B$201),'Бланк OLD 0.8 04'!$B$12:$K$200,7,0)&gt;0,VLOOKUP($A181-COUNT('Шаг2.Бланк заказа NEW'!$B$19:$B$201),'Бланк OLD 0.8 04'!$B$12:$K$200,8,0)&gt;0),0.4,"")))),
IF(VLOOKUP($A181-COUNT('Шаг2.Бланк заказа NEW'!$B$19:$B$201)-COUNT('Бланк OLD 0.8 04'!$B$18:$B$200),'Бланк OLD 2.0 04 '!$B$16:$K$200,7,0)&gt;1,2,
IF(VLOOKUP($A181-COUNT('Шаг2.Бланк заказа NEW'!$B$19:$B$201)-COUNT('Бланк OLD 0.8 04'!$B$18:$B$200),'Бланк OLD 2.0 04 '!$B$16:$K$200,8,0)&gt;1,0.4,
IF(AND(VLOOKUP($A181-COUNT('Шаг2.Бланк заказа NEW'!$B$19:$B$201)-COUNT('Бланк OLD 0.8 04'!$B$18:$B$200),'Бланк OLD 2.0 04 '!$B$16:$K$200,7,0)&gt;0,VLOOKUP($A181-COUNT('Шаг2.Бланк заказа NEW'!$B$19:$B$201)-COUNT('Бланк OLD 0.8 04'!$B$18:$B$200),'Бланк OLD 2.0 04 '!$B$16:$K$200,8,0)&gt;0),0.4,""))))</f>
        <v/>
      </c>
      <c r="V181" s="146" t="str">
        <f ca="1">IFERROR(VLOOKUP(C181,'Шаг1.Выбор плиты'!C:S,12,0),"")</f>
        <v/>
      </c>
      <c r="W181" s="146" t="str">
        <f ca="1">IFERROR(VLOOKUP(C181,'Шаг1.Выбор плиты'!C:S,8,0),"")</f>
        <v/>
      </c>
      <c r="X181" s="146" t="str">
        <f ca="1">IFERROR(VLOOKUP(C181,'Шаг1.Выбор плиты'!C:S,10,0),"")</f>
        <v/>
      </c>
      <c r="Y181" s="147" t="str">
        <f t="shared" ca="1" si="13"/>
        <v/>
      </c>
      <c r="AD181" s="147" t="str">
        <f t="shared" ca="1" si="16"/>
        <v/>
      </c>
      <c r="AE181" s="147" t="str">
        <f t="shared" ca="1" si="14"/>
        <v/>
      </c>
      <c r="AF181" s="25"/>
      <c r="AH181" s="147" t="str">
        <f ca="1">IF(C181="","",VLOOKUP(C181,'Шаг1.Выбор плиты'!C:Q,7,0))</f>
        <v/>
      </c>
      <c r="AI181" s="147" t="str">
        <f t="shared" ca="1" si="17"/>
        <v/>
      </c>
    </row>
    <row r="182" spans="1:35" x14ac:dyDescent="0.2">
      <c r="A182" s="151" t="str">
        <f ca="1">IF(C182="","",MAX($A$1:OFFSET(C182,-1,0))+1)</f>
        <v/>
      </c>
      <c r="B182" s="151" t="str">
        <f ca="1">IFERROR(IFERROR(IFERROR("Шаг2.Бланк заказа NEW №"&amp;VLOOKUP(A181+1,CHOOSE({1,2},'Шаг2.Бланк заказа NEW'!$B$19:$B$201,'Шаг2.Бланк заказа NEW'!$A$19:$A$201),1,0),
"Бланк OLD 0.8 04 №"&amp;VLOOKUP(A181+1-COUNT('Шаг2.Бланк заказа NEW'!$B$19:$B$201),CHOOSE({1,2},'Бланк OLD 0.8 04'!$B$18:$B$200,'Бланк OLD 0.8 04'!$A$18:$A$200),1,0)),
"Бланк OLD 2.0 04 №"&amp;VLOOKUP(A181+1-COUNT('Шаг2.Бланк заказа NEW'!$B$19:$B$201)-COUNT('Бланк OLD 0.8 04'!$B$18:$B$200),CHOOSE({1,2},'Бланк OLD 2.0 04 '!$B$18:$B$200,'Бланк OLD 2.0 04 '!$A$18:$A$200),1,0)),"")</f>
        <v/>
      </c>
      <c r="C182" s="152" t="str">
        <f ca="1">IFERROR(IFERROR(IFERROR(VLOOKUP(A181+1,CHOOSE({1,2},'Шаг2.Бланк заказа NEW'!$B$19:$B$201,'Шаг2.Бланк заказа NEW'!$A$19:$A$201),2,0),
VLOOKUP(A181+1-COUNT('Шаг2.Бланк заказа NEW'!$B$19:$B$201),CHOOSE({1,2},'Бланк OLD 0.8 04'!$B$18:$B$200,'Бланк OLD 0.8 04'!$A$18:$A$200),2,0)),
VLOOKUP(A181+1-COUNT('Шаг2.Бланк заказа NEW'!$B$19:$B$201)-COUNT('Бланк OLD 0.8 04'!$B$18:$B$200),CHOOSE({1,2},'Бланк OLD 2.0 04 '!$B$18:$B$200,'Бланк OLD 2.0 04 '!$A$18:$A$200),2,0)),"")</f>
        <v/>
      </c>
      <c r="D182" s="150" t="str">
        <f ca="1">IFERROR(VLOOKUP(C182,'Шаг1.Выбор плиты'!C:G,5,0),"")</f>
        <v/>
      </c>
      <c r="E182" s="147" t="str">
        <f ca="1">IFERROR(IFERROR(IF(VLOOKUP($A182,'Шаг2.Бланк заказа NEW'!$B$17:$N$201,2,0)="","",VLOOKUP($A182,'Шаг2.Бланк заказа NEW'!$B$17:$N$201,2,0)),
IF(VLOOKUP($A182-COUNT('Шаг2.Бланк заказа NEW'!$B$19:$B$201),'Бланк OLD 0.8 04'!$B$12:$K$200,2,0)="","",VLOOKUP($A182-COUNT('Шаг2.Бланк заказа NEW'!$B$19:$B$201),'Бланк OLD 0.8 04'!$B$12:$K$200,2,0))),
IF(VLOOKUP($A182-COUNT('Шаг2.Бланк заказа NEW'!$B$19:$B$201)-COUNT('Бланк OLD 0.8 04'!$B$18:$B$200),'Бланк OLD 2.0 04 '!$B$16:$K$200,2,0)="","",VLOOKUP($A182-COUNT('Шаг2.Бланк заказа NEW'!$B$19:$B$201)-COUNT('Бланк OLD 0.8 04'!$B$18:$B$200),'Бланк OLD 2.0 04 '!$B$16:$K$200,2,0)))</f>
        <v/>
      </c>
      <c r="F182" s="147" t="str">
        <f ca="1">IFERROR(IFERROR(IF(VLOOKUP($A182,'Шаг2.Бланк заказа NEW'!$B$17:$N$201,3,0)="","",VLOOKUP($A182,'Шаг2.Бланк заказа NEW'!$B$17:$N$201,3,0)),
IF(VLOOKUP($A182-COUNT('Шаг2.Бланк заказа NEW'!$B$19:$B$201),'Бланк OLD 0.8 04'!$B$12:$K$200,3,0)="","",VLOOKUP($A182-COUNT('Шаг2.Бланк заказа NEW'!$B$19:$B$201),'Бланк OLD 0.8 04'!$B$12:$K$200,3,0))),
IF(VLOOKUP($A182-COUNT('Шаг2.Бланк заказа NEW'!$B$19:$B$201)-COUNT('Бланк OLD 0.8 04'!$B$18:$B$200),'Бланк OLD 2.0 04 '!$B$16:$K$200,3,0)="","",VLOOKUP($A182-COUNT('Шаг2.Бланк заказа NEW'!$B$19:$B$201)-COUNT('Бланк OLD 0.8 04'!$B$18:$B$200),'Бланк OLD 2.0 04 '!$B$16:$K$200,3,0)))</f>
        <v/>
      </c>
      <c r="G182" s="176" t="str">
        <f ca="1">IF(IF(R182="","",IF(R182=1,SUMIFS('Шаг1.Выбор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плиты'!C:Q,12,0)),1))))))=0,
R182,
IF(R182="","",IF(R182=1,SUMIFS('Шаг1.Выбор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плиты'!N:N,R182,'Шаг1.Выбор плиты'!M:M,SMALL(INDIRECT("мм"&amp;VLOOKUP(C182,'Шаг1.Выбор плиты'!C:Q,12,0)),1)))))))</f>
        <v/>
      </c>
      <c r="H182" s="177" t="str">
        <f ca="1">IF(IF(S182="","",IF(S182=1,SUMIFS('Шаг1.Выбор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плиты'!C:Q,12,0)),1))))))=0,
S182,
IF(S182="","",IF(S182=1,SUMIFS('Шаг1.Выбор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плиты'!N:N,S182,'Шаг1.Выбор плиты'!M:M,SMALL(INDIRECT("мм"&amp;VLOOKUP(C182,'Шаг1.Выбор плиты'!C:Q,12,0)),1)))))))</f>
        <v/>
      </c>
      <c r="I182" s="147" t="str">
        <f ca="1">IFERROR(IFERROR(IF(VLOOKUP($A182,'Шаг2.Бланк заказа NEW'!$B$17:$N$201,6,0)="","",VLOOKUP($A182,'Шаг2.Бланк заказа NEW'!$B$17:$N$201,6,0)),
IF(VLOOKUP($A182-COUNT('Шаг2.Бланк заказа NEW'!$B$19:$B$201),'Бланк OLD 0.8 04'!$B$12:$K$200,6,0)="","",VLOOKUP($A182-COUNT('Шаг2.Бланк заказа NEW'!$B$19:$B$201),'Бланк OLD 0.8 04'!$B$12:$K$200,6,0))),
IF(VLOOKUP($A182-COUNT('Шаг2.Бланк заказа NEW'!$B$19:$B$201)-COUNT('Бланк OLD 0.8 04'!$B$18:$B$200),'Бланк OLD 2.0 04 '!$B$16:$K$200,6,0)="","",VLOOKUP($A182-COUNT('Шаг2.Бланк заказа NEW'!$B$19:$B$201)-COUNT('Бланк OLD 0.8 04'!$B$18:$B$200),'Бланк OLD 2.0 04 '!$B$16:$K$200,6,0)))</f>
        <v/>
      </c>
      <c r="J182" s="177" t="str">
        <f ca="1">IF(IF(T182="","",IF(T182=1,SUMIFS('Шаг1.Выбор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плиты'!C:Q,12,0)),1))))))=0,
T182,
IF(T182="","",IF(T182=1,SUMIFS('Шаг1.Выбор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плиты'!N:N,T182,'Шаг1.Выбор плиты'!M:M,SMALL(INDIRECT("мм"&amp;VLOOKUP(C182,'Шаг1.Выбор плиты'!C:Q,12,0)),1)))))))</f>
        <v/>
      </c>
      <c r="K182" s="177" t="str">
        <f ca="1">IF(IF(U182="","",IF(U182=1,SUMIFS('Шаг1.Выбор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плиты'!C:Q,12,0)),1))))))=0,
U182,
IF(U182="","",IF(U182=1,SUMIFS('Шаг1.Выбор плиты'!$G:$G,'Шаг1.Выбор плиты'!J:J,"*"&amp;RIGHT(VLOOKUP(C182,'Шаг1.Выбор плиты'!C:Q,8,0),4),'Шаг1.Выбор плиты'!L:L,IF(MID(C182,1,6)="ЛДСП P","TM"&amp;MID(VLOOKUP(C182,'Шаг1.Выбор плиты'!C:Q,10,0),3,2),MID(VLOOKUP(C182,'Шаг1.Выбор плиты'!C:Q,10,0),1,2)),
'Шаг1.Выбор плиты'!N:N,1),IF(SUMIFS('Шаг1.Выбор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плиты'!C:Q,12,0)),1))=0,
IF(SUMIFS('Шаг1.Выбор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плиты'!C:Q,12,0)),2))=0,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плиты'!C:Q,12,0)),3)),
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плиты'!C:Q,12,0)),2))),
(SUMIFS('Шаг1.Выбор плиты'!$G:$G,'Шаг1.Выбор плиты'!J:J,"*"&amp;RIGHT(VLOOKUP(C182,'Шаг1.Выбор плиты'!C:Q,8,0),4),'Шаг1.Выбор плиты'!L:L,VLOOKUP(C182,'Шаг1.Выбор плиты'!C:Q,10,0),'Шаг1.Выбор плиты'!N:N,U182,'Шаг1.Выбор плиты'!M:M,SMALL(INDIRECT("мм"&amp;VLOOKUP(C182,'Шаг1.Выбор плиты'!C:Q,12,0)),1)))))))</f>
        <v/>
      </c>
      <c r="L182" s="147" t="str">
        <f ca="1">IFERROR(IFERROR(IF(VLOOKUP($A182,'Шаг2.Бланк заказа NEW'!$B$17:$N$201,9,0)="","",VLOOKUP($A182,'Шаг2.Бланк заказа NEW'!$B$17:$N$201,9,0)),
IF(VLOOKUP($A182-COUNT('Шаг2.Бланк заказа NEW'!$B$19:$B$201),'Бланк OLD 0.8 04'!$B$12:$K$200,9,0)="","",VLOOKUP($A182-COUNT('Шаг2.Бланк заказа NEW'!$B$19:$B$201),'Бланк OLD 0.8 04'!$B$12:$K$200,9,0))),
IF(VLOOKUP($A182-COUNT('Шаг2.Бланк заказа NEW'!$B$19:$B$201)-COUNT('Бланк OLD 0.8 04'!$B$18:$B$200),'Бланк OLD 2.0 04 '!$B$16:$K$200,9,0)="","",VLOOKUP($A182-COUNT('Шаг2.Бланк заказа NEW'!$B$19:$B$201)-COUNT('Бланк OLD 0.8 04'!$B$18:$B$200),'Бланк OLD 2.0 04 '!$B$16:$K$200,9,0)))</f>
        <v/>
      </c>
      <c r="M182" s="154" t="str">
        <f t="shared" ca="1" si="15"/>
        <v/>
      </c>
      <c r="N182" s="153" t="str">
        <f ca="1">IFERROR(IF(VLOOKUP($A182,'Шаг2.Бланк заказа NEW'!$B$17:$N$201,11,0)="","",VLOOKUP($A182,'Шаг2.Бланк заказа NEW'!$B$17:$N$201,11,0)),
"Нет")</f>
        <v/>
      </c>
      <c r="O182" s="147" t="str">
        <f ca="1">IFERROR(IF(VLOOKUP($A182,'Шаг2.Бланк заказа NEW'!$B$17:$N$201,11,0)="","",VLOOKUP($A182,'Шаг2.Бланк заказа NEW'!$B$17:$N$201,12,0)),
"Нет")</f>
        <v/>
      </c>
      <c r="P182" s="153" t="str">
        <f ca="1">IFERROR(IF(VLOOKUP($A182,'Шаг2.Бланк заказа NEW'!$B$17:$N$201,13,0)="","",VLOOKUP($A182,'Шаг2.Бланк заказа NEW'!$B$17:$N$201,13,0)),
"Нет")</f>
        <v/>
      </c>
      <c r="Q182" s="147" t="str">
        <f ca="1">IFERROR(IF(VLOOKUP($A182,'Шаг2.Бланк заказа NEW'!$B$17:$O$201,14,0)="","",VLOOKUP($A182,'Шаг2.Бланк заказа NEW'!$B$17:$O$201,14,0)),"")</f>
        <v/>
      </c>
      <c r="R182" s="147" t="str">
        <f ca="1">IFERROR(IFERROR(IF(VLOOKUP($A182,'Шаг2.Бланк заказа NEW'!$B$17:$N$201,4,0)="","",VLOOKUP($A182,'Шаг2.Бланк заказа NEW'!$B$17:$N$201,4,0)),
IF(VLOOKUP($A182-COUNT('Шаг2.Бланк заказа NEW'!$B$19:$B$201),'Бланк OLD 0.8 04'!$B$12:$K$200,4,0)&gt;0,0.8,
IF(VLOOKUP($A182-COUNT('Шаг2.Бланк заказа NEW'!$B$19:$B$201),'Бланк OLD 0.8 04'!$B$12:$K$200,5,0)&gt;0,0.4,""))),
IF(VLOOKUP($A182-COUNT('Шаг2.Бланк заказа NEW'!$B$19:$B$201)-COUNT('Бланк OLD 0.8 04'!$B$18:$B$200),'Бланк OLD 2.0 04 '!$B$16:$K$200,4,0)&gt;0,2,IF(VLOOKUP($A182-COUNT('Шаг2.Бланк заказа NEW'!$B$19:$B$201)-COUNT('Бланк OLD 0.8 04'!$B$18:$B$200),'Бланк OLD 2.0 04 '!$B$16:$K$200,5,0)&gt;0,0.4,"")))</f>
        <v/>
      </c>
      <c r="S182" s="147" t="str">
        <f ca="1">IFERROR(IFERROR(IF(VLOOKUP($A182,'Шаг2.Бланк заказа NEW'!$B$17:$N$201,5,0)="","",VLOOKUP($A182,'Шаг2.Бланк заказа NEW'!$B$17:$N$201,5,0)),
IF(VLOOKUP($A182-COUNT('Шаг2.Бланк заказа NEW'!$B$19:$B$201),'Бланк OLD 0.8 04'!$B$12:$K$200,4,0)&gt;1,0.8,
IF(VLOOKUP($A182-COUNT('Шаг2.Бланк заказа NEW'!$B$19:$B$201),'Бланк OLD 0.8 04'!$B$12:$K$200,5,0)&gt;1,0.4,
IF(AND(VLOOKUP($A182-COUNT('Шаг2.Бланк заказа NEW'!$B$19:$B$201),'Бланк OLD 0.8 04'!$B$12:$K$200,4,0)&gt;0,VLOOKUP($A182-COUNT('Шаг2.Бланк заказа NEW'!$B$19:$B$201),'Бланк OLD 0.8 04'!$B$12:$K$200,5,0)&gt;0),0.4,"")))),
IF(VLOOKUP($A182-COUNT('Шаг2.Бланк заказа NEW'!$B$19:$B$201)-COUNT('Бланк OLD 0.8 04'!$B$18:$B$200),'Бланк OLD 2.0 04 '!$B$16:$K$200,4,0)&gt;1,2,
IF(VLOOKUP($A182-COUNT('Шаг2.Бланк заказа NEW'!$B$19:$B$201)-COUNT('Бланк OLD 0.8 04'!$B$18:$B$200),'Бланк OLD 2.0 04 '!$B$16:$K$200,5,0)&gt;1,0.4,IF(AND(VLOOKUP($A182-COUNT('Шаг2.Бланк заказа NEW'!$B$19:$B$201)-COUNT('Бланк OLD 0.8 04'!$B$18:$B$200),'Бланк OLD 2.0 04 '!$B$16:$K$200,4,0)&gt;0,VLOOKUP($A182-COUNT('Шаг2.Бланк заказа NEW'!$B$19:$B$201)-COUNT('Бланк OLD 0.8 04'!$B$18:$B$200),'Бланк OLD 2.0 04 '!$B$16:$K$200,5,0)&gt;0),0.4,""))))</f>
        <v/>
      </c>
      <c r="T182" s="147" t="str">
        <f ca="1">IFERROR(IFERROR(IF(VLOOKUP($A182,'Шаг2.Бланк заказа NEW'!$B$17:$N$201,7,0)="","",VLOOKUP($A182,'Шаг2.Бланк заказа NEW'!$B$17:$N$201,7,0)),
IF(VLOOKUP($A182-COUNT('Шаг2.Бланк заказа NEW'!$B$19:$B$201),'Бланк OLD 0.8 04'!$B$12:$K$200,7,0)&gt;0,0.8,
IF(VLOOKUP($A182-COUNT('Шаг2.Бланк заказа NEW'!$B$19:$B$201),'Бланк OLD 0.8 04'!$B$12:$K$200,8,0)&gt;0,0.4,""))),
IF(VLOOKUP($A182-COUNT('Шаг2.Бланк заказа NEW'!$B$19:$B$201)-COUNT('Бланк OLD 0.8 04'!$B$18:$B$200),'Бланк OLD 2.0 04 '!$B$16:$K$200,7,0)&gt;0,2,IF(VLOOKUP($A182-COUNT('Шаг2.Бланк заказа NEW'!$B$19:$B$201)-COUNT('Бланк OLD 0.8 04'!$B$18:$B$200),'Бланк OLD 2.0 04 '!$B$16:$K$200,8,0)&gt;0,0.4,"")))</f>
        <v/>
      </c>
      <c r="U182" s="147" t="str">
        <f ca="1">IFERROR(IFERROR(IF(VLOOKUP($A182,'Шаг2.Бланк заказа NEW'!$B$17:$N$201,8,0)="","",VLOOKUP($A182,'Шаг2.Бланк заказа NEW'!$B$17:$N$201,8,0)),
IF(VLOOKUP($A182-COUNT('Шаг2.Бланк заказа NEW'!$B$19:$B$201),'Бланк OLD 0.8 04'!$B$12:$K$200,7,0)&gt;1,0.8,
IF(VLOOKUP($A182-COUNT('Шаг2.Бланк заказа NEW'!$B$19:$B$201),'Бланк OLD 0.8 04'!$B$12:$K$200,8,0)&gt;1,0.4,
IF(AND(VLOOKUP($A182-COUNT('Шаг2.Бланк заказа NEW'!$B$19:$B$201),'Бланк OLD 0.8 04'!$B$12:$K$200,7,0)&gt;0,VLOOKUP($A182-COUNT('Шаг2.Бланк заказа NEW'!$B$19:$B$201),'Бланк OLD 0.8 04'!$B$12:$K$200,8,0)&gt;0),0.4,"")))),
IF(VLOOKUP($A182-COUNT('Шаг2.Бланк заказа NEW'!$B$19:$B$201)-COUNT('Бланк OLD 0.8 04'!$B$18:$B$200),'Бланк OLD 2.0 04 '!$B$16:$K$200,7,0)&gt;1,2,
IF(VLOOKUP($A182-COUNT('Шаг2.Бланк заказа NEW'!$B$19:$B$201)-COUNT('Бланк OLD 0.8 04'!$B$18:$B$200),'Бланк OLD 2.0 04 '!$B$16:$K$200,8,0)&gt;1,0.4,
IF(AND(VLOOKUP($A182-COUNT('Шаг2.Бланк заказа NEW'!$B$19:$B$201)-COUNT('Бланк OLD 0.8 04'!$B$18:$B$200),'Бланк OLD 2.0 04 '!$B$16:$K$200,7,0)&gt;0,VLOOKUP($A182-COUNT('Шаг2.Бланк заказа NEW'!$B$19:$B$201)-COUNT('Бланк OLD 0.8 04'!$B$18:$B$200),'Бланк OLD 2.0 04 '!$B$16:$K$200,8,0)&gt;0),0.4,""))))</f>
        <v/>
      </c>
      <c r="V182" s="146" t="str">
        <f ca="1">IFERROR(VLOOKUP(C182,'Шаг1.Выбор плиты'!C:S,12,0),"")</f>
        <v/>
      </c>
      <c r="W182" s="146" t="str">
        <f ca="1">IFERROR(VLOOKUP(C182,'Шаг1.Выбор плиты'!C:S,8,0),"")</f>
        <v/>
      </c>
      <c r="X182" s="146" t="str">
        <f ca="1">IFERROR(VLOOKUP(C182,'Шаг1.Выбор плиты'!C:S,10,0),"")</f>
        <v/>
      </c>
      <c r="Y182" s="147" t="str">
        <f t="shared" ca="1" si="13"/>
        <v/>
      </c>
      <c r="AD182" s="147" t="str">
        <f t="shared" ca="1" si="16"/>
        <v/>
      </c>
      <c r="AE182" s="147" t="str">
        <f t="shared" ca="1" si="14"/>
        <v/>
      </c>
      <c r="AF182" s="25"/>
      <c r="AH182" s="147" t="str">
        <f ca="1">IF(C182="","",VLOOKUP(C182,'Шаг1.Выбор плиты'!C:Q,7,0))</f>
        <v/>
      </c>
      <c r="AI182" s="147" t="str">
        <f t="shared" ca="1" si="17"/>
        <v/>
      </c>
    </row>
    <row r="183" spans="1:35" x14ac:dyDescent="0.2">
      <c r="A183" s="151" t="str">
        <f ca="1">IF(C183="","",MAX($A$1:OFFSET(C183,-1,0))+1)</f>
        <v/>
      </c>
      <c r="B183" s="151" t="str">
        <f ca="1">IFERROR(IFERROR(IFERROR("Шаг2.Бланк заказа NEW №"&amp;VLOOKUP(A182+1,CHOOSE({1,2},'Шаг2.Бланк заказа NEW'!$B$19:$B$201,'Шаг2.Бланк заказа NEW'!$A$19:$A$201),1,0),
"Бланк OLD 0.8 04 №"&amp;VLOOKUP(A182+1-COUNT('Шаг2.Бланк заказа NEW'!$B$19:$B$201),CHOOSE({1,2},'Бланк OLD 0.8 04'!$B$18:$B$200,'Бланк OLD 0.8 04'!$A$18:$A$200),1,0)),
"Бланк OLD 2.0 04 №"&amp;VLOOKUP(A182+1-COUNT('Шаг2.Бланк заказа NEW'!$B$19:$B$201)-COUNT('Бланк OLD 0.8 04'!$B$18:$B$200),CHOOSE({1,2},'Бланк OLD 2.0 04 '!$B$18:$B$200,'Бланк OLD 2.0 04 '!$A$18:$A$200),1,0)),"")</f>
        <v/>
      </c>
      <c r="C183" s="152" t="str">
        <f ca="1">IFERROR(IFERROR(IFERROR(VLOOKUP(A182+1,CHOOSE({1,2},'Шаг2.Бланк заказа NEW'!$B$19:$B$201,'Шаг2.Бланк заказа NEW'!$A$19:$A$201),2,0),
VLOOKUP(A182+1-COUNT('Шаг2.Бланк заказа NEW'!$B$19:$B$201),CHOOSE({1,2},'Бланк OLD 0.8 04'!$B$18:$B$200,'Бланк OLD 0.8 04'!$A$18:$A$200),2,0)),
VLOOKUP(A182+1-COUNT('Шаг2.Бланк заказа NEW'!$B$19:$B$201)-COUNT('Бланк OLD 0.8 04'!$B$18:$B$200),CHOOSE({1,2},'Бланк OLD 2.0 04 '!$B$18:$B$200,'Бланк OLD 2.0 04 '!$A$18:$A$200),2,0)),"")</f>
        <v/>
      </c>
      <c r="D183" s="150" t="str">
        <f ca="1">IFERROR(VLOOKUP(C183,'Шаг1.Выбор плиты'!C:G,5,0),"")</f>
        <v/>
      </c>
      <c r="E183" s="147" t="str">
        <f ca="1">IFERROR(IFERROR(IF(VLOOKUP($A183,'Шаг2.Бланк заказа NEW'!$B$17:$N$201,2,0)="","",VLOOKUP($A183,'Шаг2.Бланк заказа NEW'!$B$17:$N$201,2,0)),
IF(VLOOKUP($A183-COUNT('Шаг2.Бланк заказа NEW'!$B$19:$B$201),'Бланк OLD 0.8 04'!$B$12:$K$200,2,0)="","",VLOOKUP($A183-COUNT('Шаг2.Бланк заказа NEW'!$B$19:$B$201),'Бланк OLD 0.8 04'!$B$12:$K$200,2,0))),
IF(VLOOKUP($A183-COUNT('Шаг2.Бланк заказа NEW'!$B$19:$B$201)-COUNT('Бланк OLD 0.8 04'!$B$18:$B$200),'Бланк OLD 2.0 04 '!$B$16:$K$200,2,0)="","",VLOOKUP($A183-COUNT('Шаг2.Бланк заказа NEW'!$B$19:$B$201)-COUNT('Бланк OLD 0.8 04'!$B$18:$B$200),'Бланк OLD 2.0 04 '!$B$16:$K$200,2,0)))</f>
        <v/>
      </c>
      <c r="F183" s="147" t="str">
        <f ca="1">IFERROR(IFERROR(IF(VLOOKUP($A183,'Шаг2.Бланк заказа NEW'!$B$17:$N$201,3,0)="","",VLOOKUP($A183,'Шаг2.Бланк заказа NEW'!$B$17:$N$201,3,0)),
IF(VLOOKUP($A183-COUNT('Шаг2.Бланк заказа NEW'!$B$19:$B$201),'Бланк OLD 0.8 04'!$B$12:$K$200,3,0)="","",VLOOKUP($A183-COUNT('Шаг2.Бланк заказа NEW'!$B$19:$B$201),'Бланк OLD 0.8 04'!$B$12:$K$200,3,0))),
IF(VLOOKUP($A183-COUNT('Шаг2.Бланк заказа NEW'!$B$19:$B$201)-COUNT('Бланк OLD 0.8 04'!$B$18:$B$200),'Бланк OLD 2.0 04 '!$B$16:$K$200,3,0)="","",VLOOKUP($A183-COUNT('Шаг2.Бланк заказа NEW'!$B$19:$B$201)-COUNT('Бланк OLD 0.8 04'!$B$18:$B$200),'Бланк OLD 2.0 04 '!$B$16:$K$200,3,0)))</f>
        <v/>
      </c>
      <c r="G183" s="176" t="str">
        <f ca="1">IF(IF(R183="","",IF(R183=1,SUMIFS('Шаг1.Выбор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плиты'!C:Q,12,0)),1))))))=0,
R183,
IF(R183="","",IF(R183=1,SUMIFS('Шаг1.Выбор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плиты'!N:N,R183,'Шаг1.Выбор плиты'!M:M,SMALL(INDIRECT("мм"&amp;VLOOKUP(C183,'Шаг1.Выбор плиты'!C:Q,12,0)),1)))))))</f>
        <v/>
      </c>
      <c r="H183" s="177" t="str">
        <f ca="1">IF(IF(S183="","",IF(S183=1,SUMIFS('Шаг1.Выбор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плиты'!C:Q,12,0)),1))))))=0,
S183,
IF(S183="","",IF(S183=1,SUMIFS('Шаг1.Выбор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плиты'!N:N,S183,'Шаг1.Выбор плиты'!M:M,SMALL(INDIRECT("мм"&amp;VLOOKUP(C183,'Шаг1.Выбор плиты'!C:Q,12,0)),1)))))))</f>
        <v/>
      </c>
      <c r="I183" s="147" t="str">
        <f ca="1">IFERROR(IFERROR(IF(VLOOKUP($A183,'Шаг2.Бланк заказа NEW'!$B$17:$N$201,6,0)="","",VLOOKUP($A183,'Шаг2.Бланк заказа NEW'!$B$17:$N$201,6,0)),
IF(VLOOKUP($A183-COUNT('Шаг2.Бланк заказа NEW'!$B$19:$B$201),'Бланк OLD 0.8 04'!$B$12:$K$200,6,0)="","",VLOOKUP($A183-COUNT('Шаг2.Бланк заказа NEW'!$B$19:$B$201),'Бланк OLD 0.8 04'!$B$12:$K$200,6,0))),
IF(VLOOKUP($A183-COUNT('Шаг2.Бланк заказа NEW'!$B$19:$B$201)-COUNT('Бланк OLD 0.8 04'!$B$18:$B$200),'Бланк OLD 2.0 04 '!$B$16:$K$200,6,0)="","",VLOOKUP($A183-COUNT('Шаг2.Бланк заказа NEW'!$B$19:$B$201)-COUNT('Бланк OLD 0.8 04'!$B$18:$B$200),'Бланк OLD 2.0 04 '!$B$16:$K$200,6,0)))</f>
        <v/>
      </c>
      <c r="J183" s="177" t="str">
        <f ca="1">IF(IF(T183="","",IF(T183=1,SUMIFS('Шаг1.Выбор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плиты'!C:Q,12,0)),1))))))=0,
T183,
IF(T183="","",IF(T183=1,SUMIFS('Шаг1.Выбор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плиты'!N:N,T183,'Шаг1.Выбор плиты'!M:M,SMALL(INDIRECT("мм"&amp;VLOOKUP(C183,'Шаг1.Выбор плиты'!C:Q,12,0)),1)))))))</f>
        <v/>
      </c>
      <c r="K183" s="177" t="str">
        <f ca="1">IF(IF(U183="","",IF(U183=1,SUMIFS('Шаг1.Выбор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плиты'!C:Q,12,0)),1))))))=0,
U183,
IF(U183="","",IF(U183=1,SUMIFS('Шаг1.Выбор плиты'!$G:$G,'Шаг1.Выбор плиты'!J:J,"*"&amp;RIGHT(VLOOKUP(C183,'Шаг1.Выбор плиты'!C:Q,8,0),4),'Шаг1.Выбор плиты'!L:L,IF(MID(C183,1,6)="ЛДСП P","TM"&amp;MID(VLOOKUP(C183,'Шаг1.Выбор плиты'!C:Q,10,0),3,2),MID(VLOOKUP(C183,'Шаг1.Выбор плиты'!C:Q,10,0),1,2)),
'Шаг1.Выбор плиты'!N:N,1),IF(SUMIFS('Шаг1.Выбор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плиты'!C:Q,12,0)),1))=0,
IF(SUMIFS('Шаг1.Выбор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плиты'!C:Q,12,0)),2))=0,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плиты'!C:Q,12,0)),3)),
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плиты'!C:Q,12,0)),2))),
(SUMIFS('Шаг1.Выбор плиты'!$G:$G,'Шаг1.Выбор плиты'!J:J,"*"&amp;RIGHT(VLOOKUP(C183,'Шаг1.Выбор плиты'!C:Q,8,0),4),'Шаг1.Выбор плиты'!L:L,VLOOKUP(C183,'Шаг1.Выбор плиты'!C:Q,10,0),'Шаг1.Выбор плиты'!N:N,U183,'Шаг1.Выбор плиты'!M:M,SMALL(INDIRECT("мм"&amp;VLOOKUP(C183,'Шаг1.Выбор плиты'!C:Q,12,0)),1)))))))</f>
        <v/>
      </c>
      <c r="L183" s="147" t="str">
        <f ca="1">IFERROR(IFERROR(IF(VLOOKUP($A183,'Шаг2.Бланк заказа NEW'!$B$17:$N$201,9,0)="","",VLOOKUP($A183,'Шаг2.Бланк заказа NEW'!$B$17:$N$201,9,0)),
IF(VLOOKUP($A183-COUNT('Шаг2.Бланк заказа NEW'!$B$19:$B$201),'Бланк OLD 0.8 04'!$B$12:$K$200,9,0)="","",VLOOKUP($A183-COUNT('Шаг2.Бланк заказа NEW'!$B$19:$B$201),'Бланк OLD 0.8 04'!$B$12:$K$200,9,0))),
IF(VLOOKUP($A183-COUNT('Шаг2.Бланк заказа NEW'!$B$19:$B$201)-COUNT('Бланк OLD 0.8 04'!$B$18:$B$200),'Бланк OLD 2.0 04 '!$B$16:$K$200,9,0)="","",VLOOKUP($A183-COUNT('Шаг2.Бланк заказа NEW'!$B$19:$B$201)-COUNT('Бланк OLD 0.8 04'!$B$18:$B$200),'Бланк OLD 2.0 04 '!$B$16:$K$200,9,0)))</f>
        <v/>
      </c>
      <c r="M183" s="154" t="str">
        <f t="shared" ca="1" si="15"/>
        <v/>
      </c>
      <c r="N183" s="153" t="str">
        <f ca="1">IFERROR(IF(VLOOKUP($A183,'Шаг2.Бланк заказа NEW'!$B$17:$N$201,11,0)="","",VLOOKUP($A183,'Шаг2.Бланк заказа NEW'!$B$17:$N$201,11,0)),
"Нет")</f>
        <v/>
      </c>
      <c r="O183" s="147" t="str">
        <f ca="1">IFERROR(IF(VLOOKUP($A183,'Шаг2.Бланк заказа NEW'!$B$17:$N$201,11,0)="","",VLOOKUP($A183,'Шаг2.Бланк заказа NEW'!$B$17:$N$201,12,0)),
"Нет")</f>
        <v/>
      </c>
      <c r="P183" s="153" t="str">
        <f ca="1">IFERROR(IF(VLOOKUP($A183,'Шаг2.Бланк заказа NEW'!$B$17:$N$201,13,0)="","",VLOOKUP($A183,'Шаг2.Бланк заказа NEW'!$B$17:$N$201,13,0)),
"Нет")</f>
        <v/>
      </c>
      <c r="Q183" s="147" t="str">
        <f ca="1">IFERROR(IF(VLOOKUP($A183,'Шаг2.Бланк заказа NEW'!$B$17:$O$201,14,0)="","",VLOOKUP($A183,'Шаг2.Бланк заказа NEW'!$B$17:$O$201,14,0)),"")</f>
        <v/>
      </c>
      <c r="R183" s="147" t="str">
        <f ca="1">IFERROR(IFERROR(IF(VLOOKUP($A183,'Шаг2.Бланк заказа NEW'!$B$17:$N$201,4,0)="","",VLOOKUP($A183,'Шаг2.Бланк заказа NEW'!$B$17:$N$201,4,0)),
IF(VLOOKUP($A183-COUNT('Шаг2.Бланк заказа NEW'!$B$19:$B$201),'Бланк OLD 0.8 04'!$B$12:$K$200,4,0)&gt;0,0.8,
IF(VLOOKUP($A183-COUNT('Шаг2.Бланк заказа NEW'!$B$19:$B$201),'Бланк OLD 0.8 04'!$B$12:$K$200,5,0)&gt;0,0.4,""))),
IF(VLOOKUP($A183-COUNT('Шаг2.Бланк заказа NEW'!$B$19:$B$201)-COUNT('Бланк OLD 0.8 04'!$B$18:$B$200),'Бланк OLD 2.0 04 '!$B$16:$K$200,4,0)&gt;0,2,IF(VLOOKUP($A183-COUNT('Шаг2.Бланк заказа NEW'!$B$19:$B$201)-COUNT('Бланк OLD 0.8 04'!$B$18:$B$200),'Бланк OLD 2.0 04 '!$B$16:$K$200,5,0)&gt;0,0.4,"")))</f>
        <v/>
      </c>
      <c r="S183" s="147" t="str">
        <f ca="1">IFERROR(IFERROR(IF(VLOOKUP($A183,'Шаг2.Бланк заказа NEW'!$B$17:$N$201,5,0)="","",VLOOKUP($A183,'Шаг2.Бланк заказа NEW'!$B$17:$N$201,5,0)),
IF(VLOOKUP($A183-COUNT('Шаг2.Бланк заказа NEW'!$B$19:$B$201),'Бланк OLD 0.8 04'!$B$12:$K$200,4,0)&gt;1,0.8,
IF(VLOOKUP($A183-COUNT('Шаг2.Бланк заказа NEW'!$B$19:$B$201),'Бланк OLD 0.8 04'!$B$12:$K$200,5,0)&gt;1,0.4,
IF(AND(VLOOKUP($A183-COUNT('Шаг2.Бланк заказа NEW'!$B$19:$B$201),'Бланк OLD 0.8 04'!$B$12:$K$200,4,0)&gt;0,VLOOKUP($A183-COUNT('Шаг2.Бланк заказа NEW'!$B$19:$B$201),'Бланк OLD 0.8 04'!$B$12:$K$200,5,0)&gt;0),0.4,"")))),
IF(VLOOKUP($A183-COUNT('Шаг2.Бланк заказа NEW'!$B$19:$B$201)-COUNT('Бланк OLD 0.8 04'!$B$18:$B$200),'Бланк OLD 2.0 04 '!$B$16:$K$200,4,0)&gt;1,2,
IF(VLOOKUP($A183-COUNT('Шаг2.Бланк заказа NEW'!$B$19:$B$201)-COUNT('Бланк OLD 0.8 04'!$B$18:$B$200),'Бланк OLD 2.0 04 '!$B$16:$K$200,5,0)&gt;1,0.4,IF(AND(VLOOKUP($A183-COUNT('Шаг2.Бланк заказа NEW'!$B$19:$B$201)-COUNT('Бланк OLD 0.8 04'!$B$18:$B$200),'Бланк OLD 2.0 04 '!$B$16:$K$200,4,0)&gt;0,VLOOKUP($A183-COUNT('Шаг2.Бланк заказа NEW'!$B$19:$B$201)-COUNT('Бланк OLD 0.8 04'!$B$18:$B$200),'Бланк OLD 2.0 04 '!$B$16:$K$200,5,0)&gt;0),0.4,""))))</f>
        <v/>
      </c>
      <c r="T183" s="147" t="str">
        <f ca="1">IFERROR(IFERROR(IF(VLOOKUP($A183,'Шаг2.Бланк заказа NEW'!$B$17:$N$201,7,0)="","",VLOOKUP($A183,'Шаг2.Бланк заказа NEW'!$B$17:$N$201,7,0)),
IF(VLOOKUP($A183-COUNT('Шаг2.Бланк заказа NEW'!$B$19:$B$201),'Бланк OLD 0.8 04'!$B$12:$K$200,7,0)&gt;0,0.8,
IF(VLOOKUP($A183-COUNT('Шаг2.Бланк заказа NEW'!$B$19:$B$201),'Бланк OLD 0.8 04'!$B$12:$K$200,8,0)&gt;0,0.4,""))),
IF(VLOOKUP($A183-COUNT('Шаг2.Бланк заказа NEW'!$B$19:$B$201)-COUNT('Бланк OLD 0.8 04'!$B$18:$B$200),'Бланк OLD 2.0 04 '!$B$16:$K$200,7,0)&gt;0,2,IF(VLOOKUP($A183-COUNT('Шаг2.Бланк заказа NEW'!$B$19:$B$201)-COUNT('Бланк OLD 0.8 04'!$B$18:$B$200),'Бланк OLD 2.0 04 '!$B$16:$K$200,8,0)&gt;0,0.4,"")))</f>
        <v/>
      </c>
      <c r="U183" s="147" t="str">
        <f ca="1">IFERROR(IFERROR(IF(VLOOKUP($A183,'Шаг2.Бланк заказа NEW'!$B$17:$N$201,8,0)="","",VLOOKUP($A183,'Шаг2.Бланк заказа NEW'!$B$17:$N$201,8,0)),
IF(VLOOKUP($A183-COUNT('Шаг2.Бланк заказа NEW'!$B$19:$B$201),'Бланк OLD 0.8 04'!$B$12:$K$200,7,0)&gt;1,0.8,
IF(VLOOKUP($A183-COUNT('Шаг2.Бланк заказа NEW'!$B$19:$B$201),'Бланк OLD 0.8 04'!$B$12:$K$200,8,0)&gt;1,0.4,
IF(AND(VLOOKUP($A183-COUNT('Шаг2.Бланк заказа NEW'!$B$19:$B$201),'Бланк OLD 0.8 04'!$B$12:$K$200,7,0)&gt;0,VLOOKUP($A183-COUNT('Шаг2.Бланк заказа NEW'!$B$19:$B$201),'Бланк OLD 0.8 04'!$B$12:$K$200,8,0)&gt;0),0.4,"")))),
IF(VLOOKUP($A183-COUNT('Шаг2.Бланк заказа NEW'!$B$19:$B$201)-COUNT('Бланк OLD 0.8 04'!$B$18:$B$200),'Бланк OLD 2.0 04 '!$B$16:$K$200,7,0)&gt;1,2,
IF(VLOOKUP($A183-COUNT('Шаг2.Бланк заказа NEW'!$B$19:$B$201)-COUNT('Бланк OLD 0.8 04'!$B$18:$B$200),'Бланк OLD 2.0 04 '!$B$16:$K$200,8,0)&gt;1,0.4,
IF(AND(VLOOKUP($A183-COUNT('Шаг2.Бланк заказа NEW'!$B$19:$B$201)-COUNT('Бланк OLD 0.8 04'!$B$18:$B$200),'Бланк OLD 2.0 04 '!$B$16:$K$200,7,0)&gt;0,VLOOKUP($A183-COUNT('Шаг2.Бланк заказа NEW'!$B$19:$B$201)-COUNT('Бланк OLD 0.8 04'!$B$18:$B$200),'Бланк OLD 2.0 04 '!$B$16:$K$200,8,0)&gt;0),0.4,""))))</f>
        <v/>
      </c>
      <c r="V183" s="146" t="str">
        <f ca="1">IFERROR(VLOOKUP(C183,'Шаг1.Выбор плиты'!C:S,12,0),"")</f>
        <v/>
      </c>
      <c r="W183" s="146" t="str">
        <f ca="1">IFERROR(VLOOKUP(C183,'Шаг1.Выбор плиты'!C:S,8,0),"")</f>
        <v/>
      </c>
      <c r="X183" s="146" t="str">
        <f ca="1">IFERROR(VLOOKUP(C183,'Шаг1.Выбор плиты'!C:S,10,0),"")</f>
        <v/>
      </c>
      <c r="Y183" s="147" t="str">
        <f t="shared" ca="1" si="13"/>
        <v/>
      </c>
      <c r="AD183" s="147" t="str">
        <f t="shared" ca="1" si="16"/>
        <v/>
      </c>
      <c r="AE183" s="147" t="str">
        <f t="shared" ca="1" si="14"/>
        <v/>
      </c>
      <c r="AF183" s="25"/>
      <c r="AH183" s="147" t="str">
        <f ca="1">IF(C183="","",VLOOKUP(C183,'Шаг1.Выбор плиты'!C:Q,7,0))</f>
        <v/>
      </c>
      <c r="AI183" s="147" t="str">
        <f t="shared" ca="1" si="17"/>
        <v/>
      </c>
    </row>
    <row r="184" spans="1:35" x14ac:dyDescent="0.2">
      <c r="A184" s="151" t="str">
        <f ca="1">IF(C184="","",MAX($A$1:OFFSET(C184,-1,0))+1)</f>
        <v/>
      </c>
      <c r="B184" s="151" t="str">
        <f ca="1">IFERROR(IFERROR(IFERROR("Шаг2.Бланк заказа NEW №"&amp;VLOOKUP(A183+1,CHOOSE({1,2},'Шаг2.Бланк заказа NEW'!$B$19:$B$201,'Шаг2.Бланк заказа NEW'!$A$19:$A$201),1,0),
"Бланк OLD 0.8 04 №"&amp;VLOOKUP(A183+1-COUNT('Шаг2.Бланк заказа NEW'!$B$19:$B$201),CHOOSE({1,2},'Бланк OLD 0.8 04'!$B$18:$B$200,'Бланк OLD 0.8 04'!$A$18:$A$200),1,0)),
"Бланк OLD 2.0 04 №"&amp;VLOOKUP(A183+1-COUNT('Шаг2.Бланк заказа NEW'!$B$19:$B$201)-COUNT('Бланк OLD 0.8 04'!$B$18:$B$200),CHOOSE({1,2},'Бланк OLD 2.0 04 '!$B$18:$B$200,'Бланк OLD 2.0 04 '!$A$18:$A$200),1,0)),"")</f>
        <v/>
      </c>
      <c r="C184" s="152" t="str">
        <f ca="1">IFERROR(IFERROR(IFERROR(VLOOKUP(A183+1,CHOOSE({1,2},'Шаг2.Бланк заказа NEW'!$B$19:$B$201,'Шаг2.Бланк заказа NEW'!$A$19:$A$201),2,0),
VLOOKUP(A183+1-COUNT('Шаг2.Бланк заказа NEW'!$B$19:$B$201),CHOOSE({1,2},'Бланк OLD 0.8 04'!$B$18:$B$200,'Бланк OLD 0.8 04'!$A$18:$A$200),2,0)),
VLOOKUP(A183+1-COUNT('Шаг2.Бланк заказа NEW'!$B$19:$B$201)-COUNT('Бланк OLD 0.8 04'!$B$18:$B$200),CHOOSE({1,2},'Бланк OLD 2.0 04 '!$B$18:$B$200,'Бланк OLD 2.0 04 '!$A$18:$A$200),2,0)),"")</f>
        <v/>
      </c>
      <c r="D184" s="150" t="str">
        <f ca="1">IFERROR(VLOOKUP(C184,'Шаг1.Выбор плиты'!C:G,5,0),"")</f>
        <v/>
      </c>
      <c r="E184" s="147" t="str">
        <f ca="1">IFERROR(IFERROR(IF(VLOOKUP($A184,'Шаг2.Бланк заказа NEW'!$B$17:$N$201,2,0)="","",VLOOKUP($A184,'Шаг2.Бланк заказа NEW'!$B$17:$N$201,2,0)),
IF(VLOOKUP($A184-COUNT('Шаг2.Бланк заказа NEW'!$B$19:$B$201),'Бланк OLD 0.8 04'!$B$12:$K$200,2,0)="","",VLOOKUP($A184-COUNT('Шаг2.Бланк заказа NEW'!$B$19:$B$201),'Бланк OLD 0.8 04'!$B$12:$K$200,2,0))),
IF(VLOOKUP($A184-COUNT('Шаг2.Бланк заказа NEW'!$B$19:$B$201)-COUNT('Бланк OLD 0.8 04'!$B$18:$B$200),'Бланк OLD 2.0 04 '!$B$16:$K$200,2,0)="","",VLOOKUP($A184-COUNT('Шаг2.Бланк заказа NEW'!$B$19:$B$201)-COUNT('Бланк OLD 0.8 04'!$B$18:$B$200),'Бланк OLD 2.0 04 '!$B$16:$K$200,2,0)))</f>
        <v/>
      </c>
      <c r="F184" s="147" t="str">
        <f ca="1">IFERROR(IFERROR(IF(VLOOKUP($A184,'Шаг2.Бланк заказа NEW'!$B$17:$N$201,3,0)="","",VLOOKUP($A184,'Шаг2.Бланк заказа NEW'!$B$17:$N$201,3,0)),
IF(VLOOKUP($A184-COUNT('Шаг2.Бланк заказа NEW'!$B$19:$B$201),'Бланк OLD 0.8 04'!$B$12:$K$200,3,0)="","",VLOOKUP($A184-COUNT('Шаг2.Бланк заказа NEW'!$B$19:$B$201),'Бланк OLD 0.8 04'!$B$12:$K$200,3,0))),
IF(VLOOKUP($A184-COUNT('Шаг2.Бланк заказа NEW'!$B$19:$B$201)-COUNT('Бланк OLD 0.8 04'!$B$18:$B$200),'Бланк OLD 2.0 04 '!$B$16:$K$200,3,0)="","",VLOOKUP($A184-COUNT('Шаг2.Бланк заказа NEW'!$B$19:$B$201)-COUNT('Бланк OLD 0.8 04'!$B$18:$B$200),'Бланк OLD 2.0 04 '!$B$16:$K$200,3,0)))</f>
        <v/>
      </c>
      <c r="G184" s="176" t="str">
        <f ca="1">IF(IF(R184="","",IF(R184=1,SUMIFS('Шаг1.Выбор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плиты'!C:Q,12,0)),1))))))=0,
R184,
IF(R184="","",IF(R184=1,SUMIFS('Шаг1.Выбор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плиты'!N:N,R184,'Шаг1.Выбор плиты'!M:M,SMALL(INDIRECT("мм"&amp;VLOOKUP(C184,'Шаг1.Выбор плиты'!C:Q,12,0)),1)))))))</f>
        <v/>
      </c>
      <c r="H184" s="177" t="str">
        <f ca="1">IF(IF(S184="","",IF(S184=1,SUMIFS('Шаг1.Выбор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плиты'!C:Q,12,0)),1))))))=0,
S184,
IF(S184="","",IF(S184=1,SUMIFS('Шаг1.Выбор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плиты'!N:N,S184,'Шаг1.Выбор плиты'!M:M,SMALL(INDIRECT("мм"&amp;VLOOKUP(C184,'Шаг1.Выбор плиты'!C:Q,12,0)),1)))))))</f>
        <v/>
      </c>
      <c r="I184" s="147" t="str">
        <f ca="1">IFERROR(IFERROR(IF(VLOOKUP($A184,'Шаг2.Бланк заказа NEW'!$B$17:$N$201,6,0)="","",VLOOKUP($A184,'Шаг2.Бланк заказа NEW'!$B$17:$N$201,6,0)),
IF(VLOOKUP($A184-COUNT('Шаг2.Бланк заказа NEW'!$B$19:$B$201),'Бланк OLD 0.8 04'!$B$12:$K$200,6,0)="","",VLOOKUP($A184-COUNT('Шаг2.Бланк заказа NEW'!$B$19:$B$201),'Бланк OLD 0.8 04'!$B$12:$K$200,6,0))),
IF(VLOOKUP($A184-COUNT('Шаг2.Бланк заказа NEW'!$B$19:$B$201)-COUNT('Бланк OLD 0.8 04'!$B$18:$B$200),'Бланк OLD 2.0 04 '!$B$16:$K$200,6,0)="","",VLOOKUP($A184-COUNT('Шаг2.Бланк заказа NEW'!$B$19:$B$201)-COUNT('Бланк OLD 0.8 04'!$B$18:$B$200),'Бланк OLD 2.0 04 '!$B$16:$K$200,6,0)))</f>
        <v/>
      </c>
      <c r="J184" s="177" t="str">
        <f ca="1">IF(IF(T184="","",IF(T184=1,SUMIFS('Шаг1.Выбор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плиты'!C:Q,12,0)),1))))))=0,
T184,
IF(T184="","",IF(T184=1,SUMIFS('Шаг1.Выбор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плиты'!N:N,T184,'Шаг1.Выбор плиты'!M:M,SMALL(INDIRECT("мм"&amp;VLOOKUP(C184,'Шаг1.Выбор плиты'!C:Q,12,0)),1)))))))</f>
        <v/>
      </c>
      <c r="K184" s="177" t="str">
        <f ca="1">IF(IF(U184="","",IF(U184=1,SUMIFS('Шаг1.Выбор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плиты'!C:Q,12,0)),1))))))=0,
U184,
IF(U184="","",IF(U184=1,SUMIFS('Шаг1.Выбор плиты'!$G:$G,'Шаг1.Выбор плиты'!J:J,"*"&amp;RIGHT(VLOOKUP(C184,'Шаг1.Выбор плиты'!C:Q,8,0),4),'Шаг1.Выбор плиты'!L:L,IF(MID(C184,1,6)="ЛДСП P","TM"&amp;MID(VLOOKUP(C184,'Шаг1.Выбор плиты'!C:Q,10,0),3,2),MID(VLOOKUP(C184,'Шаг1.Выбор плиты'!C:Q,10,0),1,2)),
'Шаг1.Выбор плиты'!N:N,1),IF(SUMIFS('Шаг1.Выбор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плиты'!C:Q,12,0)),1))=0,
IF(SUMIFS('Шаг1.Выбор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плиты'!C:Q,12,0)),2))=0,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плиты'!C:Q,12,0)),3)),
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плиты'!C:Q,12,0)),2))),
(SUMIFS('Шаг1.Выбор плиты'!$G:$G,'Шаг1.Выбор плиты'!J:J,"*"&amp;RIGHT(VLOOKUP(C184,'Шаг1.Выбор плиты'!C:Q,8,0),4),'Шаг1.Выбор плиты'!L:L,VLOOKUP(C184,'Шаг1.Выбор плиты'!C:Q,10,0),'Шаг1.Выбор плиты'!N:N,U184,'Шаг1.Выбор плиты'!M:M,SMALL(INDIRECT("мм"&amp;VLOOKUP(C184,'Шаг1.Выбор плиты'!C:Q,12,0)),1)))))))</f>
        <v/>
      </c>
      <c r="L184" s="147" t="str">
        <f ca="1">IFERROR(IFERROR(IF(VLOOKUP($A184,'Шаг2.Бланк заказа NEW'!$B$17:$N$201,9,0)="","",VLOOKUP($A184,'Шаг2.Бланк заказа NEW'!$B$17:$N$201,9,0)),
IF(VLOOKUP($A184-COUNT('Шаг2.Бланк заказа NEW'!$B$19:$B$201),'Бланк OLD 0.8 04'!$B$12:$K$200,9,0)="","",VLOOKUP($A184-COUNT('Шаг2.Бланк заказа NEW'!$B$19:$B$201),'Бланк OLD 0.8 04'!$B$12:$K$200,9,0))),
IF(VLOOKUP($A184-COUNT('Шаг2.Бланк заказа NEW'!$B$19:$B$201)-COUNT('Бланк OLD 0.8 04'!$B$18:$B$200),'Бланк OLD 2.0 04 '!$B$16:$K$200,9,0)="","",VLOOKUP($A184-COUNT('Шаг2.Бланк заказа NEW'!$B$19:$B$201)-COUNT('Бланк OLD 0.8 04'!$B$18:$B$200),'Бланк OLD 2.0 04 '!$B$16:$K$200,9,0)))</f>
        <v/>
      </c>
      <c r="M184" s="154" t="str">
        <f t="shared" ca="1" si="15"/>
        <v/>
      </c>
      <c r="N184" s="153" t="str">
        <f ca="1">IFERROR(IF(VLOOKUP($A184,'Шаг2.Бланк заказа NEW'!$B$17:$N$201,11,0)="","",VLOOKUP($A184,'Шаг2.Бланк заказа NEW'!$B$17:$N$201,11,0)),
"Нет")</f>
        <v/>
      </c>
      <c r="O184" s="147" t="str">
        <f ca="1">IFERROR(IF(VLOOKUP($A184,'Шаг2.Бланк заказа NEW'!$B$17:$N$201,11,0)="","",VLOOKUP($A184,'Шаг2.Бланк заказа NEW'!$B$17:$N$201,12,0)),
"Нет")</f>
        <v/>
      </c>
      <c r="P184" s="153" t="str">
        <f ca="1">IFERROR(IF(VLOOKUP($A184,'Шаг2.Бланк заказа NEW'!$B$17:$N$201,13,0)="","",VLOOKUP($A184,'Шаг2.Бланк заказа NEW'!$B$17:$N$201,13,0)),
"Нет")</f>
        <v/>
      </c>
      <c r="Q184" s="147" t="str">
        <f ca="1">IFERROR(IF(VLOOKUP($A184,'Шаг2.Бланк заказа NEW'!$B$17:$O$201,14,0)="","",VLOOKUP($A184,'Шаг2.Бланк заказа NEW'!$B$17:$O$201,14,0)),"")</f>
        <v/>
      </c>
      <c r="R184" s="147" t="str">
        <f ca="1">IFERROR(IFERROR(IF(VLOOKUP($A184,'Шаг2.Бланк заказа NEW'!$B$17:$N$201,4,0)="","",VLOOKUP($A184,'Шаг2.Бланк заказа NEW'!$B$17:$N$201,4,0)),
IF(VLOOKUP($A184-COUNT('Шаг2.Бланк заказа NEW'!$B$19:$B$201),'Бланк OLD 0.8 04'!$B$12:$K$200,4,0)&gt;0,0.8,
IF(VLOOKUP($A184-COUNT('Шаг2.Бланк заказа NEW'!$B$19:$B$201),'Бланк OLD 0.8 04'!$B$12:$K$200,5,0)&gt;0,0.4,""))),
IF(VLOOKUP($A184-COUNT('Шаг2.Бланк заказа NEW'!$B$19:$B$201)-COUNT('Бланк OLD 0.8 04'!$B$18:$B$200),'Бланк OLD 2.0 04 '!$B$16:$K$200,4,0)&gt;0,2,IF(VLOOKUP($A184-COUNT('Шаг2.Бланк заказа NEW'!$B$19:$B$201)-COUNT('Бланк OLD 0.8 04'!$B$18:$B$200),'Бланк OLD 2.0 04 '!$B$16:$K$200,5,0)&gt;0,0.4,"")))</f>
        <v/>
      </c>
      <c r="S184" s="147" t="str">
        <f ca="1">IFERROR(IFERROR(IF(VLOOKUP($A184,'Шаг2.Бланк заказа NEW'!$B$17:$N$201,5,0)="","",VLOOKUP($A184,'Шаг2.Бланк заказа NEW'!$B$17:$N$201,5,0)),
IF(VLOOKUP($A184-COUNT('Шаг2.Бланк заказа NEW'!$B$19:$B$201),'Бланк OLD 0.8 04'!$B$12:$K$200,4,0)&gt;1,0.8,
IF(VLOOKUP($A184-COUNT('Шаг2.Бланк заказа NEW'!$B$19:$B$201),'Бланк OLD 0.8 04'!$B$12:$K$200,5,0)&gt;1,0.4,
IF(AND(VLOOKUP($A184-COUNT('Шаг2.Бланк заказа NEW'!$B$19:$B$201),'Бланк OLD 0.8 04'!$B$12:$K$200,4,0)&gt;0,VLOOKUP($A184-COUNT('Шаг2.Бланк заказа NEW'!$B$19:$B$201),'Бланк OLD 0.8 04'!$B$12:$K$200,5,0)&gt;0),0.4,"")))),
IF(VLOOKUP($A184-COUNT('Шаг2.Бланк заказа NEW'!$B$19:$B$201)-COUNT('Бланк OLD 0.8 04'!$B$18:$B$200),'Бланк OLD 2.0 04 '!$B$16:$K$200,4,0)&gt;1,2,
IF(VLOOKUP($A184-COUNT('Шаг2.Бланк заказа NEW'!$B$19:$B$201)-COUNT('Бланк OLD 0.8 04'!$B$18:$B$200),'Бланк OLD 2.0 04 '!$B$16:$K$200,5,0)&gt;1,0.4,IF(AND(VLOOKUP($A184-COUNT('Шаг2.Бланк заказа NEW'!$B$19:$B$201)-COUNT('Бланк OLD 0.8 04'!$B$18:$B$200),'Бланк OLD 2.0 04 '!$B$16:$K$200,4,0)&gt;0,VLOOKUP($A184-COUNT('Шаг2.Бланк заказа NEW'!$B$19:$B$201)-COUNT('Бланк OLD 0.8 04'!$B$18:$B$200),'Бланк OLD 2.0 04 '!$B$16:$K$200,5,0)&gt;0),0.4,""))))</f>
        <v/>
      </c>
      <c r="T184" s="147" t="str">
        <f ca="1">IFERROR(IFERROR(IF(VLOOKUP($A184,'Шаг2.Бланк заказа NEW'!$B$17:$N$201,7,0)="","",VLOOKUP($A184,'Шаг2.Бланк заказа NEW'!$B$17:$N$201,7,0)),
IF(VLOOKUP($A184-COUNT('Шаг2.Бланк заказа NEW'!$B$19:$B$201),'Бланк OLD 0.8 04'!$B$12:$K$200,7,0)&gt;0,0.8,
IF(VLOOKUP($A184-COUNT('Шаг2.Бланк заказа NEW'!$B$19:$B$201),'Бланк OLD 0.8 04'!$B$12:$K$200,8,0)&gt;0,0.4,""))),
IF(VLOOKUP($A184-COUNT('Шаг2.Бланк заказа NEW'!$B$19:$B$201)-COUNT('Бланк OLD 0.8 04'!$B$18:$B$200),'Бланк OLD 2.0 04 '!$B$16:$K$200,7,0)&gt;0,2,IF(VLOOKUP($A184-COUNT('Шаг2.Бланк заказа NEW'!$B$19:$B$201)-COUNT('Бланк OLD 0.8 04'!$B$18:$B$200),'Бланк OLD 2.0 04 '!$B$16:$K$200,8,0)&gt;0,0.4,"")))</f>
        <v/>
      </c>
      <c r="U184" s="147" t="str">
        <f ca="1">IFERROR(IFERROR(IF(VLOOKUP($A184,'Шаг2.Бланк заказа NEW'!$B$17:$N$201,8,0)="","",VLOOKUP($A184,'Шаг2.Бланк заказа NEW'!$B$17:$N$201,8,0)),
IF(VLOOKUP($A184-COUNT('Шаг2.Бланк заказа NEW'!$B$19:$B$201),'Бланк OLD 0.8 04'!$B$12:$K$200,7,0)&gt;1,0.8,
IF(VLOOKUP($A184-COUNT('Шаг2.Бланк заказа NEW'!$B$19:$B$201),'Бланк OLD 0.8 04'!$B$12:$K$200,8,0)&gt;1,0.4,
IF(AND(VLOOKUP($A184-COUNT('Шаг2.Бланк заказа NEW'!$B$19:$B$201),'Бланк OLD 0.8 04'!$B$12:$K$200,7,0)&gt;0,VLOOKUP($A184-COUNT('Шаг2.Бланк заказа NEW'!$B$19:$B$201),'Бланк OLD 0.8 04'!$B$12:$K$200,8,0)&gt;0),0.4,"")))),
IF(VLOOKUP($A184-COUNT('Шаг2.Бланк заказа NEW'!$B$19:$B$201)-COUNT('Бланк OLD 0.8 04'!$B$18:$B$200),'Бланк OLD 2.0 04 '!$B$16:$K$200,7,0)&gt;1,2,
IF(VLOOKUP($A184-COUNT('Шаг2.Бланк заказа NEW'!$B$19:$B$201)-COUNT('Бланк OLD 0.8 04'!$B$18:$B$200),'Бланк OLD 2.0 04 '!$B$16:$K$200,8,0)&gt;1,0.4,
IF(AND(VLOOKUP($A184-COUNT('Шаг2.Бланк заказа NEW'!$B$19:$B$201)-COUNT('Бланк OLD 0.8 04'!$B$18:$B$200),'Бланк OLD 2.0 04 '!$B$16:$K$200,7,0)&gt;0,VLOOKUP($A184-COUNT('Шаг2.Бланк заказа NEW'!$B$19:$B$201)-COUNT('Бланк OLD 0.8 04'!$B$18:$B$200),'Бланк OLD 2.0 04 '!$B$16:$K$200,8,0)&gt;0),0.4,""))))</f>
        <v/>
      </c>
      <c r="V184" s="146" t="str">
        <f ca="1">IFERROR(VLOOKUP(C184,'Шаг1.Выбор плиты'!C:S,12,0),"")</f>
        <v/>
      </c>
      <c r="W184" s="146" t="str">
        <f ca="1">IFERROR(VLOOKUP(C184,'Шаг1.Выбор плиты'!C:S,8,0),"")</f>
        <v/>
      </c>
      <c r="X184" s="146" t="str">
        <f ca="1">IFERROR(VLOOKUP(C184,'Шаг1.Выбор плиты'!C:S,10,0),"")</f>
        <v/>
      </c>
      <c r="Y184" s="147" t="str">
        <f t="shared" ca="1" si="13"/>
        <v/>
      </c>
      <c r="AD184" s="147" t="str">
        <f t="shared" ca="1" si="16"/>
        <v/>
      </c>
      <c r="AE184" s="147" t="str">
        <f t="shared" ca="1" si="14"/>
        <v/>
      </c>
      <c r="AF184" s="25"/>
      <c r="AH184" s="147" t="str">
        <f ca="1">IF(C184="","",VLOOKUP(C184,'Шаг1.Выбор плиты'!C:Q,7,0))</f>
        <v/>
      </c>
      <c r="AI184" s="147" t="str">
        <f t="shared" ca="1" si="17"/>
        <v/>
      </c>
    </row>
    <row r="185" spans="1:35" x14ac:dyDescent="0.2">
      <c r="A185" s="151" t="str">
        <f ca="1">IF(C185="","",MAX($A$1:OFFSET(C185,-1,0))+1)</f>
        <v/>
      </c>
      <c r="B185" s="151" t="str">
        <f ca="1">IFERROR(IFERROR(IFERROR("Шаг2.Бланк заказа NEW №"&amp;VLOOKUP(A184+1,CHOOSE({1,2},'Шаг2.Бланк заказа NEW'!$B$19:$B$201,'Шаг2.Бланк заказа NEW'!$A$19:$A$201),1,0),
"Бланк OLD 0.8 04 №"&amp;VLOOKUP(A184+1-COUNT('Шаг2.Бланк заказа NEW'!$B$19:$B$201),CHOOSE({1,2},'Бланк OLD 0.8 04'!$B$18:$B$200,'Бланк OLD 0.8 04'!$A$18:$A$200),1,0)),
"Бланк OLD 2.0 04 №"&amp;VLOOKUP(A184+1-COUNT('Шаг2.Бланк заказа NEW'!$B$19:$B$201)-COUNT('Бланк OLD 0.8 04'!$B$18:$B$200),CHOOSE({1,2},'Бланк OLD 2.0 04 '!$B$18:$B$200,'Бланк OLD 2.0 04 '!$A$18:$A$200),1,0)),"")</f>
        <v/>
      </c>
      <c r="C185" s="152" t="str">
        <f ca="1">IFERROR(IFERROR(IFERROR(VLOOKUP(A184+1,CHOOSE({1,2},'Шаг2.Бланк заказа NEW'!$B$19:$B$201,'Шаг2.Бланк заказа NEW'!$A$19:$A$201),2,0),
VLOOKUP(A184+1-COUNT('Шаг2.Бланк заказа NEW'!$B$19:$B$201),CHOOSE({1,2},'Бланк OLD 0.8 04'!$B$18:$B$200,'Бланк OLD 0.8 04'!$A$18:$A$200),2,0)),
VLOOKUP(A184+1-COUNT('Шаг2.Бланк заказа NEW'!$B$19:$B$201)-COUNT('Бланк OLD 0.8 04'!$B$18:$B$200),CHOOSE({1,2},'Бланк OLD 2.0 04 '!$B$18:$B$200,'Бланк OLD 2.0 04 '!$A$18:$A$200),2,0)),"")</f>
        <v/>
      </c>
      <c r="D185" s="150" t="str">
        <f ca="1">IFERROR(VLOOKUP(C185,'Шаг1.Выбор плиты'!C:G,5,0),"")</f>
        <v/>
      </c>
      <c r="E185" s="147" t="str">
        <f ca="1">IFERROR(IFERROR(IF(VLOOKUP($A185,'Шаг2.Бланк заказа NEW'!$B$17:$N$201,2,0)="","",VLOOKUP($A185,'Шаг2.Бланк заказа NEW'!$B$17:$N$201,2,0)),
IF(VLOOKUP($A185-COUNT('Шаг2.Бланк заказа NEW'!$B$19:$B$201),'Бланк OLD 0.8 04'!$B$12:$K$200,2,0)="","",VLOOKUP($A185-COUNT('Шаг2.Бланк заказа NEW'!$B$19:$B$201),'Бланк OLD 0.8 04'!$B$12:$K$200,2,0))),
IF(VLOOKUP($A185-COUNT('Шаг2.Бланк заказа NEW'!$B$19:$B$201)-COUNT('Бланк OLD 0.8 04'!$B$18:$B$200),'Бланк OLD 2.0 04 '!$B$16:$K$200,2,0)="","",VLOOKUP($A185-COUNT('Шаг2.Бланк заказа NEW'!$B$19:$B$201)-COUNT('Бланк OLD 0.8 04'!$B$18:$B$200),'Бланк OLD 2.0 04 '!$B$16:$K$200,2,0)))</f>
        <v/>
      </c>
      <c r="F185" s="147" t="str">
        <f ca="1">IFERROR(IFERROR(IF(VLOOKUP($A185,'Шаг2.Бланк заказа NEW'!$B$17:$N$201,3,0)="","",VLOOKUP($A185,'Шаг2.Бланк заказа NEW'!$B$17:$N$201,3,0)),
IF(VLOOKUP($A185-COUNT('Шаг2.Бланк заказа NEW'!$B$19:$B$201),'Бланк OLD 0.8 04'!$B$12:$K$200,3,0)="","",VLOOKUP($A185-COUNT('Шаг2.Бланк заказа NEW'!$B$19:$B$201),'Бланк OLD 0.8 04'!$B$12:$K$200,3,0))),
IF(VLOOKUP($A185-COUNT('Шаг2.Бланк заказа NEW'!$B$19:$B$201)-COUNT('Бланк OLD 0.8 04'!$B$18:$B$200),'Бланк OLD 2.0 04 '!$B$16:$K$200,3,0)="","",VLOOKUP($A185-COUNT('Шаг2.Бланк заказа NEW'!$B$19:$B$201)-COUNT('Бланк OLD 0.8 04'!$B$18:$B$200),'Бланк OLD 2.0 04 '!$B$16:$K$200,3,0)))</f>
        <v/>
      </c>
      <c r="G185" s="176" t="str">
        <f ca="1">IF(IF(R185="","",IF(R185=1,SUMIFS('Шаг1.Выбор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плиты'!C:Q,12,0)),1))))))=0,
R185,
IF(R185="","",IF(R185=1,SUMIFS('Шаг1.Выбор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плиты'!N:N,R185,'Шаг1.Выбор плиты'!M:M,SMALL(INDIRECT("мм"&amp;VLOOKUP(C185,'Шаг1.Выбор плиты'!C:Q,12,0)),1)))))))</f>
        <v/>
      </c>
      <c r="H185" s="177" t="str">
        <f ca="1">IF(IF(S185="","",IF(S185=1,SUMIFS('Шаг1.Выбор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плиты'!C:Q,12,0)),1))))))=0,
S185,
IF(S185="","",IF(S185=1,SUMIFS('Шаг1.Выбор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плиты'!N:N,S185,'Шаг1.Выбор плиты'!M:M,SMALL(INDIRECT("мм"&amp;VLOOKUP(C185,'Шаг1.Выбор плиты'!C:Q,12,0)),1)))))))</f>
        <v/>
      </c>
      <c r="I185" s="147" t="str">
        <f ca="1">IFERROR(IFERROR(IF(VLOOKUP($A185,'Шаг2.Бланк заказа NEW'!$B$17:$N$201,6,0)="","",VLOOKUP($A185,'Шаг2.Бланк заказа NEW'!$B$17:$N$201,6,0)),
IF(VLOOKUP($A185-COUNT('Шаг2.Бланк заказа NEW'!$B$19:$B$201),'Бланк OLD 0.8 04'!$B$12:$K$200,6,0)="","",VLOOKUP($A185-COUNT('Шаг2.Бланк заказа NEW'!$B$19:$B$201),'Бланк OLD 0.8 04'!$B$12:$K$200,6,0))),
IF(VLOOKUP($A185-COUNT('Шаг2.Бланк заказа NEW'!$B$19:$B$201)-COUNT('Бланк OLD 0.8 04'!$B$18:$B$200),'Бланк OLD 2.0 04 '!$B$16:$K$200,6,0)="","",VLOOKUP($A185-COUNT('Шаг2.Бланк заказа NEW'!$B$19:$B$201)-COUNT('Бланк OLD 0.8 04'!$B$18:$B$200),'Бланк OLD 2.0 04 '!$B$16:$K$200,6,0)))</f>
        <v/>
      </c>
      <c r="J185" s="177" t="str">
        <f ca="1">IF(IF(T185="","",IF(T185=1,SUMIFS('Шаг1.Выбор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плиты'!C:Q,12,0)),1))))))=0,
T185,
IF(T185="","",IF(T185=1,SUMIFS('Шаг1.Выбор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плиты'!N:N,T185,'Шаг1.Выбор плиты'!M:M,SMALL(INDIRECT("мм"&amp;VLOOKUP(C185,'Шаг1.Выбор плиты'!C:Q,12,0)),1)))))))</f>
        <v/>
      </c>
      <c r="K185" s="177" t="str">
        <f ca="1">IF(IF(U185="","",IF(U185=1,SUMIFS('Шаг1.Выбор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плиты'!C:Q,12,0)),1))))))=0,
U185,
IF(U185="","",IF(U185=1,SUMIFS('Шаг1.Выбор плиты'!$G:$G,'Шаг1.Выбор плиты'!J:J,"*"&amp;RIGHT(VLOOKUP(C185,'Шаг1.Выбор плиты'!C:Q,8,0),4),'Шаг1.Выбор плиты'!L:L,IF(MID(C185,1,6)="ЛДСП P","TM"&amp;MID(VLOOKUP(C185,'Шаг1.Выбор плиты'!C:Q,10,0),3,2),MID(VLOOKUP(C185,'Шаг1.Выбор плиты'!C:Q,10,0),1,2)),
'Шаг1.Выбор плиты'!N:N,1),IF(SUMIFS('Шаг1.Выбор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плиты'!C:Q,12,0)),1))=0,
IF(SUMIFS('Шаг1.Выбор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плиты'!C:Q,12,0)),2))=0,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плиты'!C:Q,12,0)),3)),
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плиты'!C:Q,12,0)),2))),
(SUMIFS('Шаг1.Выбор плиты'!$G:$G,'Шаг1.Выбор плиты'!J:J,"*"&amp;RIGHT(VLOOKUP(C185,'Шаг1.Выбор плиты'!C:Q,8,0),4),'Шаг1.Выбор плиты'!L:L,VLOOKUP(C185,'Шаг1.Выбор плиты'!C:Q,10,0),'Шаг1.Выбор плиты'!N:N,U185,'Шаг1.Выбор плиты'!M:M,SMALL(INDIRECT("мм"&amp;VLOOKUP(C185,'Шаг1.Выбор плиты'!C:Q,12,0)),1)))))))</f>
        <v/>
      </c>
      <c r="L185" s="147" t="str">
        <f ca="1">IFERROR(IFERROR(IF(VLOOKUP($A185,'Шаг2.Бланк заказа NEW'!$B$17:$N$201,9,0)="","",VLOOKUP($A185,'Шаг2.Бланк заказа NEW'!$B$17:$N$201,9,0)),
IF(VLOOKUP($A185-COUNT('Шаг2.Бланк заказа NEW'!$B$19:$B$201),'Бланк OLD 0.8 04'!$B$12:$K$200,9,0)="","",VLOOKUP($A185-COUNT('Шаг2.Бланк заказа NEW'!$B$19:$B$201),'Бланк OLD 0.8 04'!$B$12:$K$200,9,0))),
IF(VLOOKUP($A185-COUNT('Шаг2.Бланк заказа NEW'!$B$19:$B$201)-COUNT('Бланк OLD 0.8 04'!$B$18:$B$200),'Бланк OLD 2.0 04 '!$B$16:$K$200,9,0)="","",VLOOKUP($A185-COUNT('Шаг2.Бланк заказа NEW'!$B$19:$B$201)-COUNT('Бланк OLD 0.8 04'!$B$18:$B$200),'Бланк OLD 2.0 04 '!$B$16:$K$200,9,0)))</f>
        <v/>
      </c>
      <c r="M185" s="154" t="str">
        <f t="shared" ca="1" si="15"/>
        <v/>
      </c>
      <c r="N185" s="153" t="str">
        <f ca="1">IFERROR(IF(VLOOKUP($A185,'Шаг2.Бланк заказа NEW'!$B$17:$N$201,11,0)="","",VLOOKUP($A185,'Шаг2.Бланк заказа NEW'!$B$17:$N$201,11,0)),
"Нет")</f>
        <v/>
      </c>
      <c r="O185" s="147" t="str">
        <f ca="1">IFERROR(IF(VLOOKUP($A185,'Шаг2.Бланк заказа NEW'!$B$17:$N$201,11,0)="","",VLOOKUP($A185,'Шаг2.Бланк заказа NEW'!$B$17:$N$201,12,0)),
"Нет")</f>
        <v/>
      </c>
      <c r="P185" s="153" t="str">
        <f ca="1">IFERROR(IF(VLOOKUP($A185,'Шаг2.Бланк заказа NEW'!$B$17:$N$201,13,0)="","",VLOOKUP($A185,'Шаг2.Бланк заказа NEW'!$B$17:$N$201,13,0)),
"Нет")</f>
        <v/>
      </c>
      <c r="Q185" s="147" t="str">
        <f ca="1">IFERROR(IF(VLOOKUP($A185,'Шаг2.Бланк заказа NEW'!$B$17:$O$201,14,0)="","",VLOOKUP($A185,'Шаг2.Бланк заказа NEW'!$B$17:$O$201,14,0)),"")</f>
        <v/>
      </c>
      <c r="R185" s="147" t="str">
        <f ca="1">IFERROR(IFERROR(IF(VLOOKUP($A185,'Шаг2.Бланк заказа NEW'!$B$17:$N$201,4,0)="","",VLOOKUP($A185,'Шаг2.Бланк заказа NEW'!$B$17:$N$201,4,0)),
IF(VLOOKUP($A185-COUNT('Шаг2.Бланк заказа NEW'!$B$19:$B$201),'Бланк OLD 0.8 04'!$B$12:$K$200,4,0)&gt;0,0.8,
IF(VLOOKUP($A185-COUNT('Шаг2.Бланк заказа NEW'!$B$19:$B$201),'Бланк OLD 0.8 04'!$B$12:$K$200,5,0)&gt;0,0.4,""))),
IF(VLOOKUP($A185-COUNT('Шаг2.Бланк заказа NEW'!$B$19:$B$201)-COUNT('Бланк OLD 0.8 04'!$B$18:$B$200),'Бланк OLD 2.0 04 '!$B$16:$K$200,4,0)&gt;0,2,IF(VLOOKUP($A185-COUNT('Шаг2.Бланк заказа NEW'!$B$19:$B$201)-COUNT('Бланк OLD 0.8 04'!$B$18:$B$200),'Бланк OLD 2.0 04 '!$B$16:$K$200,5,0)&gt;0,0.4,"")))</f>
        <v/>
      </c>
      <c r="S185" s="147" t="str">
        <f ca="1">IFERROR(IFERROR(IF(VLOOKUP($A185,'Шаг2.Бланк заказа NEW'!$B$17:$N$201,5,0)="","",VLOOKUP($A185,'Шаг2.Бланк заказа NEW'!$B$17:$N$201,5,0)),
IF(VLOOKUP($A185-COUNT('Шаг2.Бланк заказа NEW'!$B$19:$B$201),'Бланк OLD 0.8 04'!$B$12:$K$200,4,0)&gt;1,0.8,
IF(VLOOKUP($A185-COUNT('Шаг2.Бланк заказа NEW'!$B$19:$B$201),'Бланк OLD 0.8 04'!$B$12:$K$200,5,0)&gt;1,0.4,
IF(AND(VLOOKUP($A185-COUNT('Шаг2.Бланк заказа NEW'!$B$19:$B$201),'Бланк OLD 0.8 04'!$B$12:$K$200,4,0)&gt;0,VLOOKUP($A185-COUNT('Шаг2.Бланк заказа NEW'!$B$19:$B$201),'Бланк OLD 0.8 04'!$B$12:$K$200,5,0)&gt;0),0.4,"")))),
IF(VLOOKUP($A185-COUNT('Шаг2.Бланк заказа NEW'!$B$19:$B$201)-COUNT('Бланк OLD 0.8 04'!$B$18:$B$200),'Бланк OLD 2.0 04 '!$B$16:$K$200,4,0)&gt;1,2,
IF(VLOOKUP($A185-COUNT('Шаг2.Бланк заказа NEW'!$B$19:$B$201)-COUNT('Бланк OLD 0.8 04'!$B$18:$B$200),'Бланк OLD 2.0 04 '!$B$16:$K$200,5,0)&gt;1,0.4,IF(AND(VLOOKUP($A185-COUNT('Шаг2.Бланк заказа NEW'!$B$19:$B$201)-COUNT('Бланк OLD 0.8 04'!$B$18:$B$200),'Бланк OLD 2.0 04 '!$B$16:$K$200,4,0)&gt;0,VLOOKUP($A185-COUNT('Шаг2.Бланк заказа NEW'!$B$19:$B$201)-COUNT('Бланк OLD 0.8 04'!$B$18:$B$200),'Бланк OLD 2.0 04 '!$B$16:$K$200,5,0)&gt;0),0.4,""))))</f>
        <v/>
      </c>
      <c r="T185" s="147" t="str">
        <f ca="1">IFERROR(IFERROR(IF(VLOOKUP($A185,'Шаг2.Бланк заказа NEW'!$B$17:$N$201,7,0)="","",VLOOKUP($A185,'Шаг2.Бланк заказа NEW'!$B$17:$N$201,7,0)),
IF(VLOOKUP($A185-COUNT('Шаг2.Бланк заказа NEW'!$B$19:$B$201),'Бланк OLD 0.8 04'!$B$12:$K$200,7,0)&gt;0,0.8,
IF(VLOOKUP($A185-COUNT('Шаг2.Бланк заказа NEW'!$B$19:$B$201),'Бланк OLD 0.8 04'!$B$12:$K$200,8,0)&gt;0,0.4,""))),
IF(VLOOKUP($A185-COUNT('Шаг2.Бланк заказа NEW'!$B$19:$B$201)-COUNT('Бланк OLD 0.8 04'!$B$18:$B$200),'Бланк OLD 2.0 04 '!$B$16:$K$200,7,0)&gt;0,2,IF(VLOOKUP($A185-COUNT('Шаг2.Бланк заказа NEW'!$B$19:$B$201)-COUNT('Бланк OLD 0.8 04'!$B$18:$B$200),'Бланк OLD 2.0 04 '!$B$16:$K$200,8,0)&gt;0,0.4,"")))</f>
        <v/>
      </c>
      <c r="U185" s="147" t="str">
        <f ca="1">IFERROR(IFERROR(IF(VLOOKUP($A185,'Шаг2.Бланк заказа NEW'!$B$17:$N$201,8,0)="","",VLOOKUP($A185,'Шаг2.Бланк заказа NEW'!$B$17:$N$201,8,0)),
IF(VLOOKUP($A185-COUNT('Шаг2.Бланк заказа NEW'!$B$19:$B$201),'Бланк OLD 0.8 04'!$B$12:$K$200,7,0)&gt;1,0.8,
IF(VLOOKUP($A185-COUNT('Шаг2.Бланк заказа NEW'!$B$19:$B$201),'Бланк OLD 0.8 04'!$B$12:$K$200,8,0)&gt;1,0.4,
IF(AND(VLOOKUP($A185-COUNT('Шаг2.Бланк заказа NEW'!$B$19:$B$201),'Бланк OLD 0.8 04'!$B$12:$K$200,7,0)&gt;0,VLOOKUP($A185-COUNT('Шаг2.Бланк заказа NEW'!$B$19:$B$201),'Бланк OLD 0.8 04'!$B$12:$K$200,8,0)&gt;0),0.4,"")))),
IF(VLOOKUP($A185-COUNT('Шаг2.Бланк заказа NEW'!$B$19:$B$201)-COUNT('Бланк OLD 0.8 04'!$B$18:$B$200),'Бланк OLD 2.0 04 '!$B$16:$K$200,7,0)&gt;1,2,
IF(VLOOKUP($A185-COUNT('Шаг2.Бланк заказа NEW'!$B$19:$B$201)-COUNT('Бланк OLD 0.8 04'!$B$18:$B$200),'Бланк OLD 2.0 04 '!$B$16:$K$200,8,0)&gt;1,0.4,
IF(AND(VLOOKUP($A185-COUNT('Шаг2.Бланк заказа NEW'!$B$19:$B$201)-COUNT('Бланк OLD 0.8 04'!$B$18:$B$200),'Бланк OLD 2.0 04 '!$B$16:$K$200,7,0)&gt;0,VLOOKUP($A185-COUNT('Шаг2.Бланк заказа NEW'!$B$19:$B$201)-COUNT('Бланк OLD 0.8 04'!$B$18:$B$200),'Бланк OLD 2.0 04 '!$B$16:$K$200,8,0)&gt;0),0.4,""))))</f>
        <v/>
      </c>
      <c r="V185" s="146" t="str">
        <f ca="1">IFERROR(VLOOKUP(C185,'Шаг1.Выбор плиты'!C:S,12,0),"")</f>
        <v/>
      </c>
      <c r="W185" s="146" t="str">
        <f ca="1">IFERROR(VLOOKUP(C185,'Шаг1.Выбор плиты'!C:S,8,0),"")</f>
        <v/>
      </c>
      <c r="X185" s="146" t="str">
        <f ca="1">IFERROR(VLOOKUP(C185,'Шаг1.Выбор плиты'!C:S,10,0),"")</f>
        <v/>
      </c>
      <c r="Y185" s="147" t="str">
        <f t="shared" ca="1" si="13"/>
        <v/>
      </c>
      <c r="AD185" s="147" t="str">
        <f t="shared" ca="1" si="16"/>
        <v/>
      </c>
      <c r="AE185" s="147" t="str">
        <f t="shared" ca="1" si="14"/>
        <v/>
      </c>
      <c r="AF185" s="25"/>
      <c r="AH185" s="147" t="str">
        <f ca="1">IF(C185="","",VLOOKUP(C185,'Шаг1.Выбор плиты'!C:Q,7,0))</f>
        <v/>
      </c>
      <c r="AI185" s="147" t="str">
        <f t="shared" ca="1" si="17"/>
        <v/>
      </c>
    </row>
    <row r="186" spans="1:35" x14ac:dyDescent="0.2">
      <c r="A186" s="151" t="str">
        <f ca="1">IF(C186="","",MAX($A$1:OFFSET(C186,-1,0))+1)</f>
        <v/>
      </c>
      <c r="B186" s="151" t="str">
        <f ca="1">IFERROR(IFERROR(IFERROR("Шаг2.Бланк заказа NEW №"&amp;VLOOKUP(A185+1,CHOOSE({1,2},'Шаг2.Бланк заказа NEW'!$B$19:$B$201,'Шаг2.Бланк заказа NEW'!$A$19:$A$201),1,0),
"Бланк OLD 0.8 04 №"&amp;VLOOKUP(A185+1-COUNT('Шаг2.Бланк заказа NEW'!$B$19:$B$201),CHOOSE({1,2},'Бланк OLD 0.8 04'!$B$18:$B$200,'Бланк OLD 0.8 04'!$A$18:$A$200),1,0)),
"Бланк OLD 2.0 04 №"&amp;VLOOKUP(A185+1-COUNT('Шаг2.Бланк заказа NEW'!$B$19:$B$201)-COUNT('Бланк OLD 0.8 04'!$B$18:$B$200),CHOOSE({1,2},'Бланк OLD 2.0 04 '!$B$18:$B$200,'Бланк OLD 2.0 04 '!$A$18:$A$200),1,0)),"")</f>
        <v/>
      </c>
      <c r="C186" s="152" t="str">
        <f ca="1">IFERROR(IFERROR(IFERROR(VLOOKUP(A185+1,CHOOSE({1,2},'Шаг2.Бланк заказа NEW'!$B$19:$B$201,'Шаг2.Бланк заказа NEW'!$A$19:$A$201),2,0),
VLOOKUP(A185+1-COUNT('Шаг2.Бланк заказа NEW'!$B$19:$B$201),CHOOSE({1,2},'Бланк OLD 0.8 04'!$B$18:$B$200,'Бланк OLD 0.8 04'!$A$18:$A$200),2,0)),
VLOOKUP(A185+1-COUNT('Шаг2.Бланк заказа NEW'!$B$19:$B$201)-COUNT('Бланк OLD 0.8 04'!$B$18:$B$200),CHOOSE({1,2},'Бланк OLD 2.0 04 '!$B$18:$B$200,'Бланк OLD 2.0 04 '!$A$18:$A$200),2,0)),"")</f>
        <v/>
      </c>
      <c r="D186" s="150" t="str">
        <f ca="1">IFERROR(VLOOKUP(C186,'Шаг1.Выбор плиты'!C:G,5,0),"")</f>
        <v/>
      </c>
      <c r="E186" s="147" t="str">
        <f ca="1">IFERROR(IFERROR(IF(VLOOKUP($A186,'Шаг2.Бланк заказа NEW'!$B$17:$N$201,2,0)="","",VLOOKUP($A186,'Шаг2.Бланк заказа NEW'!$B$17:$N$201,2,0)),
IF(VLOOKUP($A186-COUNT('Шаг2.Бланк заказа NEW'!$B$19:$B$201),'Бланк OLD 0.8 04'!$B$12:$K$200,2,0)="","",VLOOKUP($A186-COUNT('Шаг2.Бланк заказа NEW'!$B$19:$B$201),'Бланк OLD 0.8 04'!$B$12:$K$200,2,0))),
IF(VLOOKUP($A186-COUNT('Шаг2.Бланк заказа NEW'!$B$19:$B$201)-COUNT('Бланк OLD 0.8 04'!$B$18:$B$200),'Бланк OLD 2.0 04 '!$B$16:$K$200,2,0)="","",VLOOKUP($A186-COUNT('Шаг2.Бланк заказа NEW'!$B$19:$B$201)-COUNT('Бланк OLD 0.8 04'!$B$18:$B$200),'Бланк OLD 2.0 04 '!$B$16:$K$200,2,0)))</f>
        <v/>
      </c>
      <c r="F186" s="147" t="str">
        <f ca="1">IFERROR(IFERROR(IF(VLOOKUP($A186,'Шаг2.Бланк заказа NEW'!$B$17:$N$201,3,0)="","",VLOOKUP($A186,'Шаг2.Бланк заказа NEW'!$B$17:$N$201,3,0)),
IF(VLOOKUP($A186-COUNT('Шаг2.Бланк заказа NEW'!$B$19:$B$201),'Бланк OLD 0.8 04'!$B$12:$K$200,3,0)="","",VLOOKUP($A186-COUNT('Шаг2.Бланк заказа NEW'!$B$19:$B$201),'Бланк OLD 0.8 04'!$B$12:$K$200,3,0))),
IF(VLOOKUP($A186-COUNT('Шаг2.Бланк заказа NEW'!$B$19:$B$201)-COUNT('Бланк OLD 0.8 04'!$B$18:$B$200),'Бланк OLD 2.0 04 '!$B$16:$K$200,3,0)="","",VLOOKUP($A186-COUNT('Шаг2.Бланк заказа NEW'!$B$19:$B$201)-COUNT('Бланк OLD 0.8 04'!$B$18:$B$200),'Бланк OLD 2.0 04 '!$B$16:$K$200,3,0)))</f>
        <v/>
      </c>
      <c r="G186" s="176" t="str">
        <f ca="1">IF(IF(R186="","",IF(R186=1,SUMIFS('Шаг1.Выбор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плиты'!C:Q,12,0)),1))))))=0,
R186,
IF(R186="","",IF(R186=1,SUMIFS('Шаг1.Выбор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плиты'!N:N,R186,'Шаг1.Выбор плиты'!M:M,SMALL(INDIRECT("мм"&amp;VLOOKUP(C186,'Шаг1.Выбор плиты'!C:Q,12,0)),1)))))))</f>
        <v/>
      </c>
      <c r="H186" s="177" t="str">
        <f ca="1">IF(IF(S186="","",IF(S186=1,SUMIFS('Шаг1.Выбор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плиты'!C:Q,12,0)),1))))))=0,
S186,
IF(S186="","",IF(S186=1,SUMIFS('Шаг1.Выбор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плиты'!N:N,S186,'Шаг1.Выбор плиты'!M:M,SMALL(INDIRECT("мм"&amp;VLOOKUP(C186,'Шаг1.Выбор плиты'!C:Q,12,0)),1)))))))</f>
        <v/>
      </c>
      <c r="I186" s="147" t="str">
        <f ca="1">IFERROR(IFERROR(IF(VLOOKUP($A186,'Шаг2.Бланк заказа NEW'!$B$17:$N$201,6,0)="","",VLOOKUP($A186,'Шаг2.Бланк заказа NEW'!$B$17:$N$201,6,0)),
IF(VLOOKUP($A186-COUNT('Шаг2.Бланк заказа NEW'!$B$19:$B$201),'Бланк OLD 0.8 04'!$B$12:$K$200,6,0)="","",VLOOKUP($A186-COUNT('Шаг2.Бланк заказа NEW'!$B$19:$B$201),'Бланк OLD 0.8 04'!$B$12:$K$200,6,0))),
IF(VLOOKUP($A186-COUNT('Шаг2.Бланк заказа NEW'!$B$19:$B$201)-COUNT('Бланк OLD 0.8 04'!$B$18:$B$200),'Бланк OLD 2.0 04 '!$B$16:$K$200,6,0)="","",VLOOKUP($A186-COUNT('Шаг2.Бланк заказа NEW'!$B$19:$B$201)-COUNT('Бланк OLD 0.8 04'!$B$18:$B$200),'Бланк OLD 2.0 04 '!$B$16:$K$200,6,0)))</f>
        <v/>
      </c>
      <c r="J186" s="177" t="str">
        <f ca="1">IF(IF(T186="","",IF(T186=1,SUMIFS('Шаг1.Выбор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плиты'!C:Q,12,0)),1))))))=0,
T186,
IF(T186="","",IF(T186=1,SUMIFS('Шаг1.Выбор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плиты'!N:N,T186,'Шаг1.Выбор плиты'!M:M,SMALL(INDIRECT("мм"&amp;VLOOKUP(C186,'Шаг1.Выбор плиты'!C:Q,12,0)),1)))))))</f>
        <v/>
      </c>
      <c r="K186" s="177" t="str">
        <f ca="1">IF(IF(U186="","",IF(U186=1,SUMIFS('Шаг1.Выбор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плиты'!C:Q,12,0)),1))))))=0,
U186,
IF(U186="","",IF(U186=1,SUMIFS('Шаг1.Выбор плиты'!$G:$G,'Шаг1.Выбор плиты'!J:J,"*"&amp;RIGHT(VLOOKUP(C186,'Шаг1.Выбор плиты'!C:Q,8,0),4),'Шаг1.Выбор плиты'!L:L,IF(MID(C186,1,6)="ЛДСП P","TM"&amp;MID(VLOOKUP(C186,'Шаг1.Выбор плиты'!C:Q,10,0),3,2),MID(VLOOKUP(C186,'Шаг1.Выбор плиты'!C:Q,10,0),1,2)),
'Шаг1.Выбор плиты'!N:N,1),IF(SUMIFS('Шаг1.Выбор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плиты'!C:Q,12,0)),1))=0,
IF(SUMIFS('Шаг1.Выбор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плиты'!C:Q,12,0)),2))=0,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плиты'!C:Q,12,0)),3)),
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плиты'!C:Q,12,0)),2))),
(SUMIFS('Шаг1.Выбор плиты'!$G:$G,'Шаг1.Выбор плиты'!J:J,"*"&amp;RIGHT(VLOOKUP(C186,'Шаг1.Выбор плиты'!C:Q,8,0),4),'Шаг1.Выбор плиты'!L:L,VLOOKUP(C186,'Шаг1.Выбор плиты'!C:Q,10,0),'Шаг1.Выбор плиты'!N:N,U186,'Шаг1.Выбор плиты'!M:M,SMALL(INDIRECT("мм"&amp;VLOOKUP(C186,'Шаг1.Выбор плиты'!C:Q,12,0)),1)))))))</f>
        <v/>
      </c>
      <c r="L186" s="147" t="str">
        <f ca="1">IFERROR(IFERROR(IF(VLOOKUP($A186,'Шаг2.Бланк заказа NEW'!$B$17:$N$201,9,0)="","",VLOOKUP($A186,'Шаг2.Бланк заказа NEW'!$B$17:$N$201,9,0)),
IF(VLOOKUP($A186-COUNT('Шаг2.Бланк заказа NEW'!$B$19:$B$201),'Бланк OLD 0.8 04'!$B$12:$K$200,9,0)="","",VLOOKUP($A186-COUNT('Шаг2.Бланк заказа NEW'!$B$19:$B$201),'Бланк OLD 0.8 04'!$B$12:$K$200,9,0))),
IF(VLOOKUP($A186-COUNT('Шаг2.Бланк заказа NEW'!$B$19:$B$201)-COUNT('Бланк OLD 0.8 04'!$B$18:$B$200),'Бланк OLD 2.0 04 '!$B$16:$K$200,9,0)="","",VLOOKUP($A186-COUNT('Шаг2.Бланк заказа NEW'!$B$19:$B$201)-COUNT('Бланк OLD 0.8 04'!$B$18:$B$200),'Бланк OLD 2.0 04 '!$B$16:$K$200,9,0)))</f>
        <v/>
      </c>
      <c r="M186" s="154" t="str">
        <f t="shared" ca="1" si="15"/>
        <v/>
      </c>
      <c r="N186" s="153" t="str">
        <f ca="1">IFERROR(IF(VLOOKUP($A186,'Шаг2.Бланк заказа NEW'!$B$17:$N$201,11,0)="","",VLOOKUP($A186,'Шаг2.Бланк заказа NEW'!$B$17:$N$201,11,0)),
"Нет")</f>
        <v/>
      </c>
      <c r="O186" s="147" t="str">
        <f ca="1">IFERROR(IF(VLOOKUP($A186,'Шаг2.Бланк заказа NEW'!$B$17:$N$201,11,0)="","",VLOOKUP($A186,'Шаг2.Бланк заказа NEW'!$B$17:$N$201,12,0)),
"Нет")</f>
        <v/>
      </c>
      <c r="P186" s="153" t="str">
        <f ca="1">IFERROR(IF(VLOOKUP($A186,'Шаг2.Бланк заказа NEW'!$B$17:$N$201,13,0)="","",VLOOKUP($A186,'Шаг2.Бланк заказа NEW'!$B$17:$N$201,13,0)),
"Нет")</f>
        <v/>
      </c>
      <c r="Q186" s="147" t="str">
        <f ca="1">IFERROR(IF(VLOOKUP($A186,'Шаг2.Бланк заказа NEW'!$B$17:$O$201,14,0)="","",VLOOKUP($A186,'Шаг2.Бланк заказа NEW'!$B$17:$O$201,14,0)),"")</f>
        <v/>
      </c>
      <c r="R186" s="147" t="str">
        <f ca="1">IFERROR(IFERROR(IF(VLOOKUP($A186,'Шаг2.Бланк заказа NEW'!$B$17:$N$201,4,0)="","",VLOOKUP($A186,'Шаг2.Бланк заказа NEW'!$B$17:$N$201,4,0)),
IF(VLOOKUP($A186-COUNT('Шаг2.Бланк заказа NEW'!$B$19:$B$201),'Бланк OLD 0.8 04'!$B$12:$K$200,4,0)&gt;0,0.8,
IF(VLOOKUP($A186-COUNT('Шаг2.Бланк заказа NEW'!$B$19:$B$201),'Бланк OLD 0.8 04'!$B$12:$K$200,5,0)&gt;0,0.4,""))),
IF(VLOOKUP($A186-COUNT('Шаг2.Бланк заказа NEW'!$B$19:$B$201)-COUNT('Бланк OLD 0.8 04'!$B$18:$B$200),'Бланк OLD 2.0 04 '!$B$16:$K$200,4,0)&gt;0,2,IF(VLOOKUP($A186-COUNT('Шаг2.Бланк заказа NEW'!$B$19:$B$201)-COUNT('Бланк OLD 0.8 04'!$B$18:$B$200),'Бланк OLD 2.0 04 '!$B$16:$K$200,5,0)&gt;0,0.4,"")))</f>
        <v/>
      </c>
      <c r="S186" s="147" t="str">
        <f ca="1">IFERROR(IFERROR(IF(VLOOKUP($A186,'Шаг2.Бланк заказа NEW'!$B$17:$N$201,5,0)="","",VLOOKUP($A186,'Шаг2.Бланк заказа NEW'!$B$17:$N$201,5,0)),
IF(VLOOKUP($A186-COUNT('Шаг2.Бланк заказа NEW'!$B$19:$B$201),'Бланк OLD 0.8 04'!$B$12:$K$200,4,0)&gt;1,0.8,
IF(VLOOKUP($A186-COUNT('Шаг2.Бланк заказа NEW'!$B$19:$B$201),'Бланк OLD 0.8 04'!$B$12:$K$200,5,0)&gt;1,0.4,
IF(AND(VLOOKUP($A186-COUNT('Шаг2.Бланк заказа NEW'!$B$19:$B$201),'Бланк OLD 0.8 04'!$B$12:$K$200,4,0)&gt;0,VLOOKUP($A186-COUNT('Шаг2.Бланк заказа NEW'!$B$19:$B$201),'Бланк OLD 0.8 04'!$B$12:$K$200,5,0)&gt;0),0.4,"")))),
IF(VLOOKUP($A186-COUNT('Шаг2.Бланк заказа NEW'!$B$19:$B$201)-COUNT('Бланк OLD 0.8 04'!$B$18:$B$200),'Бланк OLD 2.0 04 '!$B$16:$K$200,4,0)&gt;1,2,
IF(VLOOKUP($A186-COUNT('Шаг2.Бланк заказа NEW'!$B$19:$B$201)-COUNT('Бланк OLD 0.8 04'!$B$18:$B$200),'Бланк OLD 2.0 04 '!$B$16:$K$200,5,0)&gt;1,0.4,IF(AND(VLOOKUP($A186-COUNT('Шаг2.Бланк заказа NEW'!$B$19:$B$201)-COUNT('Бланк OLD 0.8 04'!$B$18:$B$200),'Бланк OLD 2.0 04 '!$B$16:$K$200,4,0)&gt;0,VLOOKUP($A186-COUNT('Шаг2.Бланк заказа NEW'!$B$19:$B$201)-COUNT('Бланк OLD 0.8 04'!$B$18:$B$200),'Бланк OLD 2.0 04 '!$B$16:$K$200,5,0)&gt;0),0.4,""))))</f>
        <v/>
      </c>
      <c r="T186" s="147" t="str">
        <f ca="1">IFERROR(IFERROR(IF(VLOOKUP($A186,'Шаг2.Бланк заказа NEW'!$B$17:$N$201,7,0)="","",VLOOKUP($A186,'Шаг2.Бланк заказа NEW'!$B$17:$N$201,7,0)),
IF(VLOOKUP($A186-COUNT('Шаг2.Бланк заказа NEW'!$B$19:$B$201),'Бланк OLD 0.8 04'!$B$12:$K$200,7,0)&gt;0,0.8,
IF(VLOOKUP($A186-COUNT('Шаг2.Бланк заказа NEW'!$B$19:$B$201),'Бланк OLD 0.8 04'!$B$12:$K$200,8,0)&gt;0,0.4,""))),
IF(VLOOKUP($A186-COUNT('Шаг2.Бланк заказа NEW'!$B$19:$B$201)-COUNT('Бланк OLD 0.8 04'!$B$18:$B$200),'Бланк OLD 2.0 04 '!$B$16:$K$200,7,0)&gt;0,2,IF(VLOOKUP($A186-COUNT('Шаг2.Бланк заказа NEW'!$B$19:$B$201)-COUNT('Бланк OLD 0.8 04'!$B$18:$B$200),'Бланк OLD 2.0 04 '!$B$16:$K$200,8,0)&gt;0,0.4,"")))</f>
        <v/>
      </c>
      <c r="U186" s="147" t="str">
        <f ca="1">IFERROR(IFERROR(IF(VLOOKUP($A186,'Шаг2.Бланк заказа NEW'!$B$17:$N$201,8,0)="","",VLOOKUP($A186,'Шаг2.Бланк заказа NEW'!$B$17:$N$201,8,0)),
IF(VLOOKUP($A186-COUNT('Шаг2.Бланк заказа NEW'!$B$19:$B$201),'Бланк OLD 0.8 04'!$B$12:$K$200,7,0)&gt;1,0.8,
IF(VLOOKUP($A186-COUNT('Шаг2.Бланк заказа NEW'!$B$19:$B$201),'Бланк OLD 0.8 04'!$B$12:$K$200,8,0)&gt;1,0.4,
IF(AND(VLOOKUP($A186-COUNT('Шаг2.Бланк заказа NEW'!$B$19:$B$201),'Бланк OLD 0.8 04'!$B$12:$K$200,7,0)&gt;0,VLOOKUP($A186-COUNT('Шаг2.Бланк заказа NEW'!$B$19:$B$201),'Бланк OLD 0.8 04'!$B$12:$K$200,8,0)&gt;0),0.4,"")))),
IF(VLOOKUP($A186-COUNT('Шаг2.Бланк заказа NEW'!$B$19:$B$201)-COUNT('Бланк OLD 0.8 04'!$B$18:$B$200),'Бланк OLD 2.0 04 '!$B$16:$K$200,7,0)&gt;1,2,
IF(VLOOKUP($A186-COUNT('Шаг2.Бланк заказа NEW'!$B$19:$B$201)-COUNT('Бланк OLD 0.8 04'!$B$18:$B$200),'Бланк OLD 2.0 04 '!$B$16:$K$200,8,0)&gt;1,0.4,
IF(AND(VLOOKUP($A186-COUNT('Шаг2.Бланк заказа NEW'!$B$19:$B$201)-COUNT('Бланк OLD 0.8 04'!$B$18:$B$200),'Бланк OLD 2.0 04 '!$B$16:$K$200,7,0)&gt;0,VLOOKUP($A186-COUNT('Шаг2.Бланк заказа NEW'!$B$19:$B$201)-COUNT('Бланк OLD 0.8 04'!$B$18:$B$200),'Бланк OLD 2.0 04 '!$B$16:$K$200,8,0)&gt;0),0.4,""))))</f>
        <v/>
      </c>
      <c r="V186" s="146" t="str">
        <f ca="1">IFERROR(VLOOKUP(C186,'Шаг1.Выбор плиты'!C:S,12,0),"")</f>
        <v/>
      </c>
      <c r="W186" s="146" t="str">
        <f ca="1">IFERROR(VLOOKUP(C186,'Шаг1.Выбор плиты'!C:S,8,0),"")</f>
        <v/>
      </c>
      <c r="X186" s="146" t="str">
        <f ca="1">IFERROR(VLOOKUP(C186,'Шаг1.Выбор плиты'!C:S,10,0),"")</f>
        <v/>
      </c>
      <c r="Y186" s="147" t="str">
        <f t="shared" ca="1" si="13"/>
        <v/>
      </c>
      <c r="AD186" s="147" t="str">
        <f t="shared" ca="1" si="16"/>
        <v/>
      </c>
      <c r="AE186" s="147" t="str">
        <f t="shared" ca="1" si="14"/>
        <v/>
      </c>
      <c r="AF186" s="25"/>
      <c r="AH186" s="147" t="str">
        <f ca="1">IF(C186="","",VLOOKUP(C186,'Шаг1.Выбор плиты'!C:Q,7,0))</f>
        <v/>
      </c>
      <c r="AI186" s="147" t="str">
        <f t="shared" ca="1" si="17"/>
        <v/>
      </c>
    </row>
    <row r="187" spans="1:35" x14ac:dyDescent="0.2">
      <c r="A187" s="151" t="str">
        <f ca="1">IF(C187="","",MAX($A$1:OFFSET(C187,-1,0))+1)</f>
        <v/>
      </c>
      <c r="B187" s="151" t="str">
        <f ca="1">IFERROR(IFERROR(IFERROR("Шаг2.Бланк заказа NEW №"&amp;VLOOKUP(A186+1,CHOOSE({1,2},'Шаг2.Бланк заказа NEW'!$B$19:$B$201,'Шаг2.Бланк заказа NEW'!$A$19:$A$201),1,0),
"Бланк OLD 0.8 04 №"&amp;VLOOKUP(A186+1-COUNT('Шаг2.Бланк заказа NEW'!$B$19:$B$201),CHOOSE({1,2},'Бланк OLD 0.8 04'!$B$18:$B$200,'Бланк OLD 0.8 04'!$A$18:$A$200),1,0)),
"Бланк OLD 2.0 04 №"&amp;VLOOKUP(A186+1-COUNT('Шаг2.Бланк заказа NEW'!$B$19:$B$201)-COUNT('Бланк OLD 0.8 04'!$B$18:$B$200),CHOOSE({1,2},'Бланк OLD 2.0 04 '!$B$18:$B$200,'Бланк OLD 2.0 04 '!$A$18:$A$200),1,0)),"")</f>
        <v/>
      </c>
      <c r="C187" s="152" t="str">
        <f ca="1">IFERROR(IFERROR(IFERROR(VLOOKUP(A186+1,CHOOSE({1,2},'Шаг2.Бланк заказа NEW'!$B$19:$B$201,'Шаг2.Бланк заказа NEW'!$A$19:$A$201),2,0),
VLOOKUP(A186+1-COUNT('Шаг2.Бланк заказа NEW'!$B$19:$B$201),CHOOSE({1,2},'Бланк OLD 0.8 04'!$B$18:$B$200,'Бланк OLD 0.8 04'!$A$18:$A$200),2,0)),
VLOOKUP(A186+1-COUNT('Шаг2.Бланк заказа NEW'!$B$19:$B$201)-COUNT('Бланк OLD 0.8 04'!$B$18:$B$200),CHOOSE({1,2},'Бланк OLD 2.0 04 '!$B$18:$B$200,'Бланк OLD 2.0 04 '!$A$18:$A$200),2,0)),"")</f>
        <v/>
      </c>
      <c r="D187" s="150" t="str">
        <f ca="1">IFERROR(VLOOKUP(C187,'Шаг1.Выбор плиты'!C:G,5,0),"")</f>
        <v/>
      </c>
      <c r="E187" s="147" t="str">
        <f ca="1">IFERROR(IFERROR(IF(VLOOKUP($A187,'Шаг2.Бланк заказа NEW'!$B$17:$N$201,2,0)="","",VLOOKUP($A187,'Шаг2.Бланк заказа NEW'!$B$17:$N$201,2,0)),
IF(VLOOKUP($A187-COUNT('Шаг2.Бланк заказа NEW'!$B$19:$B$201),'Бланк OLD 0.8 04'!$B$12:$K$200,2,0)="","",VLOOKUP($A187-COUNT('Шаг2.Бланк заказа NEW'!$B$19:$B$201),'Бланк OLD 0.8 04'!$B$12:$K$200,2,0))),
IF(VLOOKUP($A187-COUNT('Шаг2.Бланк заказа NEW'!$B$19:$B$201)-COUNT('Бланк OLD 0.8 04'!$B$18:$B$200),'Бланк OLD 2.0 04 '!$B$16:$K$200,2,0)="","",VLOOKUP($A187-COUNT('Шаг2.Бланк заказа NEW'!$B$19:$B$201)-COUNT('Бланк OLD 0.8 04'!$B$18:$B$200),'Бланк OLD 2.0 04 '!$B$16:$K$200,2,0)))</f>
        <v/>
      </c>
      <c r="F187" s="147" t="str">
        <f ca="1">IFERROR(IFERROR(IF(VLOOKUP($A187,'Шаг2.Бланк заказа NEW'!$B$17:$N$201,3,0)="","",VLOOKUP($A187,'Шаг2.Бланк заказа NEW'!$B$17:$N$201,3,0)),
IF(VLOOKUP($A187-COUNT('Шаг2.Бланк заказа NEW'!$B$19:$B$201),'Бланк OLD 0.8 04'!$B$12:$K$200,3,0)="","",VLOOKUP($A187-COUNT('Шаг2.Бланк заказа NEW'!$B$19:$B$201),'Бланк OLD 0.8 04'!$B$12:$K$200,3,0))),
IF(VLOOKUP($A187-COUNT('Шаг2.Бланк заказа NEW'!$B$19:$B$201)-COUNT('Бланк OLD 0.8 04'!$B$18:$B$200),'Бланк OLD 2.0 04 '!$B$16:$K$200,3,0)="","",VLOOKUP($A187-COUNT('Шаг2.Бланк заказа NEW'!$B$19:$B$201)-COUNT('Бланк OLD 0.8 04'!$B$18:$B$200),'Бланк OLD 2.0 04 '!$B$16:$K$200,3,0)))</f>
        <v/>
      </c>
      <c r="G187" s="176" t="str">
        <f ca="1">IF(IF(R187="","",IF(R187=1,SUMIFS('Шаг1.Выбор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плиты'!C:Q,12,0)),1))))))=0,
R187,
IF(R187="","",IF(R187=1,SUMIFS('Шаг1.Выбор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плиты'!N:N,R187,'Шаг1.Выбор плиты'!M:M,SMALL(INDIRECT("мм"&amp;VLOOKUP(C187,'Шаг1.Выбор плиты'!C:Q,12,0)),1)))))))</f>
        <v/>
      </c>
      <c r="H187" s="177" t="str">
        <f ca="1">IF(IF(S187="","",IF(S187=1,SUMIFS('Шаг1.Выбор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плиты'!C:Q,12,0)),1))))))=0,
S187,
IF(S187="","",IF(S187=1,SUMIFS('Шаг1.Выбор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плиты'!N:N,S187,'Шаг1.Выбор плиты'!M:M,SMALL(INDIRECT("мм"&amp;VLOOKUP(C187,'Шаг1.Выбор плиты'!C:Q,12,0)),1)))))))</f>
        <v/>
      </c>
      <c r="I187" s="147" t="str">
        <f ca="1">IFERROR(IFERROR(IF(VLOOKUP($A187,'Шаг2.Бланк заказа NEW'!$B$17:$N$201,6,0)="","",VLOOKUP($A187,'Шаг2.Бланк заказа NEW'!$B$17:$N$201,6,0)),
IF(VLOOKUP($A187-COUNT('Шаг2.Бланк заказа NEW'!$B$19:$B$201),'Бланк OLD 0.8 04'!$B$12:$K$200,6,0)="","",VLOOKUP($A187-COUNT('Шаг2.Бланк заказа NEW'!$B$19:$B$201),'Бланк OLD 0.8 04'!$B$12:$K$200,6,0))),
IF(VLOOKUP($A187-COUNT('Шаг2.Бланк заказа NEW'!$B$19:$B$201)-COUNT('Бланк OLD 0.8 04'!$B$18:$B$200),'Бланк OLD 2.0 04 '!$B$16:$K$200,6,0)="","",VLOOKUP($A187-COUNT('Шаг2.Бланк заказа NEW'!$B$19:$B$201)-COUNT('Бланк OLD 0.8 04'!$B$18:$B$200),'Бланк OLD 2.0 04 '!$B$16:$K$200,6,0)))</f>
        <v/>
      </c>
      <c r="J187" s="177" t="str">
        <f ca="1">IF(IF(T187="","",IF(T187=1,SUMIFS('Шаг1.Выбор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плиты'!C:Q,12,0)),1))))))=0,
T187,
IF(T187="","",IF(T187=1,SUMIFS('Шаг1.Выбор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плиты'!N:N,T187,'Шаг1.Выбор плиты'!M:M,SMALL(INDIRECT("мм"&amp;VLOOKUP(C187,'Шаг1.Выбор плиты'!C:Q,12,0)),1)))))))</f>
        <v/>
      </c>
      <c r="K187" s="177" t="str">
        <f ca="1">IF(IF(U187="","",IF(U187=1,SUMIFS('Шаг1.Выбор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плиты'!C:Q,12,0)),1))))))=0,
U187,
IF(U187="","",IF(U187=1,SUMIFS('Шаг1.Выбор плиты'!$G:$G,'Шаг1.Выбор плиты'!J:J,"*"&amp;RIGHT(VLOOKUP(C187,'Шаг1.Выбор плиты'!C:Q,8,0),4),'Шаг1.Выбор плиты'!L:L,IF(MID(C187,1,6)="ЛДСП P","TM"&amp;MID(VLOOKUP(C187,'Шаг1.Выбор плиты'!C:Q,10,0),3,2),MID(VLOOKUP(C187,'Шаг1.Выбор плиты'!C:Q,10,0),1,2)),
'Шаг1.Выбор плиты'!N:N,1),IF(SUMIFS('Шаг1.Выбор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плиты'!C:Q,12,0)),1))=0,
IF(SUMIFS('Шаг1.Выбор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плиты'!C:Q,12,0)),2))=0,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плиты'!C:Q,12,0)),3)),
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плиты'!C:Q,12,0)),2))),
(SUMIFS('Шаг1.Выбор плиты'!$G:$G,'Шаг1.Выбор плиты'!J:J,"*"&amp;RIGHT(VLOOKUP(C187,'Шаг1.Выбор плиты'!C:Q,8,0),4),'Шаг1.Выбор плиты'!L:L,VLOOKUP(C187,'Шаг1.Выбор плиты'!C:Q,10,0),'Шаг1.Выбор плиты'!N:N,U187,'Шаг1.Выбор плиты'!M:M,SMALL(INDIRECT("мм"&amp;VLOOKUP(C187,'Шаг1.Выбор плиты'!C:Q,12,0)),1)))))))</f>
        <v/>
      </c>
      <c r="L187" s="147" t="str">
        <f ca="1">IFERROR(IFERROR(IF(VLOOKUP($A187,'Шаг2.Бланк заказа NEW'!$B$17:$N$201,9,0)="","",VLOOKUP($A187,'Шаг2.Бланк заказа NEW'!$B$17:$N$201,9,0)),
IF(VLOOKUP($A187-COUNT('Шаг2.Бланк заказа NEW'!$B$19:$B$201),'Бланк OLD 0.8 04'!$B$12:$K$200,9,0)="","",VLOOKUP($A187-COUNT('Шаг2.Бланк заказа NEW'!$B$19:$B$201),'Бланк OLD 0.8 04'!$B$12:$K$200,9,0))),
IF(VLOOKUP($A187-COUNT('Шаг2.Бланк заказа NEW'!$B$19:$B$201)-COUNT('Бланк OLD 0.8 04'!$B$18:$B$200),'Бланк OLD 2.0 04 '!$B$16:$K$200,9,0)="","",VLOOKUP($A187-COUNT('Шаг2.Бланк заказа NEW'!$B$19:$B$201)-COUNT('Бланк OLD 0.8 04'!$B$18:$B$200),'Бланк OLD 2.0 04 '!$B$16:$K$200,9,0)))</f>
        <v/>
      </c>
      <c r="M187" s="154" t="str">
        <f t="shared" ca="1" si="15"/>
        <v/>
      </c>
      <c r="N187" s="153" t="str">
        <f ca="1">IFERROR(IF(VLOOKUP($A187,'Шаг2.Бланк заказа NEW'!$B$17:$N$201,11,0)="","",VLOOKUP($A187,'Шаг2.Бланк заказа NEW'!$B$17:$N$201,11,0)),
"Нет")</f>
        <v/>
      </c>
      <c r="O187" s="147" t="str">
        <f ca="1">IFERROR(IF(VLOOKUP($A187,'Шаг2.Бланк заказа NEW'!$B$17:$N$201,11,0)="","",VLOOKUP($A187,'Шаг2.Бланк заказа NEW'!$B$17:$N$201,12,0)),
"Нет")</f>
        <v/>
      </c>
      <c r="P187" s="153" t="str">
        <f ca="1">IFERROR(IF(VLOOKUP($A187,'Шаг2.Бланк заказа NEW'!$B$17:$N$201,13,0)="","",VLOOKUP($A187,'Шаг2.Бланк заказа NEW'!$B$17:$N$201,13,0)),
"Нет")</f>
        <v/>
      </c>
      <c r="Q187" s="147" t="str">
        <f ca="1">IFERROR(IF(VLOOKUP($A187,'Шаг2.Бланк заказа NEW'!$B$17:$O$201,14,0)="","",VLOOKUP($A187,'Шаг2.Бланк заказа NEW'!$B$17:$O$201,14,0)),"")</f>
        <v/>
      </c>
      <c r="R187" s="147" t="str">
        <f ca="1">IFERROR(IFERROR(IF(VLOOKUP($A187,'Шаг2.Бланк заказа NEW'!$B$17:$N$201,4,0)="","",VLOOKUP($A187,'Шаг2.Бланк заказа NEW'!$B$17:$N$201,4,0)),
IF(VLOOKUP($A187-COUNT('Шаг2.Бланк заказа NEW'!$B$19:$B$201),'Бланк OLD 0.8 04'!$B$12:$K$200,4,0)&gt;0,0.8,
IF(VLOOKUP($A187-COUNT('Шаг2.Бланк заказа NEW'!$B$19:$B$201),'Бланк OLD 0.8 04'!$B$12:$K$200,5,0)&gt;0,0.4,""))),
IF(VLOOKUP($A187-COUNT('Шаг2.Бланк заказа NEW'!$B$19:$B$201)-COUNT('Бланк OLD 0.8 04'!$B$18:$B$200),'Бланк OLD 2.0 04 '!$B$16:$K$200,4,0)&gt;0,2,IF(VLOOKUP($A187-COUNT('Шаг2.Бланк заказа NEW'!$B$19:$B$201)-COUNT('Бланк OLD 0.8 04'!$B$18:$B$200),'Бланк OLD 2.0 04 '!$B$16:$K$200,5,0)&gt;0,0.4,"")))</f>
        <v/>
      </c>
      <c r="S187" s="147" t="str">
        <f ca="1">IFERROR(IFERROR(IF(VLOOKUP($A187,'Шаг2.Бланк заказа NEW'!$B$17:$N$201,5,0)="","",VLOOKUP($A187,'Шаг2.Бланк заказа NEW'!$B$17:$N$201,5,0)),
IF(VLOOKUP($A187-COUNT('Шаг2.Бланк заказа NEW'!$B$19:$B$201),'Бланк OLD 0.8 04'!$B$12:$K$200,4,0)&gt;1,0.8,
IF(VLOOKUP($A187-COUNT('Шаг2.Бланк заказа NEW'!$B$19:$B$201),'Бланк OLD 0.8 04'!$B$12:$K$200,5,0)&gt;1,0.4,
IF(AND(VLOOKUP($A187-COUNT('Шаг2.Бланк заказа NEW'!$B$19:$B$201),'Бланк OLD 0.8 04'!$B$12:$K$200,4,0)&gt;0,VLOOKUP($A187-COUNT('Шаг2.Бланк заказа NEW'!$B$19:$B$201),'Бланк OLD 0.8 04'!$B$12:$K$200,5,0)&gt;0),0.4,"")))),
IF(VLOOKUP($A187-COUNT('Шаг2.Бланк заказа NEW'!$B$19:$B$201)-COUNT('Бланк OLD 0.8 04'!$B$18:$B$200),'Бланк OLD 2.0 04 '!$B$16:$K$200,4,0)&gt;1,2,
IF(VLOOKUP($A187-COUNT('Шаг2.Бланк заказа NEW'!$B$19:$B$201)-COUNT('Бланк OLD 0.8 04'!$B$18:$B$200),'Бланк OLD 2.0 04 '!$B$16:$K$200,5,0)&gt;1,0.4,IF(AND(VLOOKUP($A187-COUNT('Шаг2.Бланк заказа NEW'!$B$19:$B$201)-COUNT('Бланк OLD 0.8 04'!$B$18:$B$200),'Бланк OLD 2.0 04 '!$B$16:$K$200,4,0)&gt;0,VLOOKUP($A187-COUNT('Шаг2.Бланк заказа NEW'!$B$19:$B$201)-COUNT('Бланк OLD 0.8 04'!$B$18:$B$200),'Бланк OLD 2.0 04 '!$B$16:$K$200,5,0)&gt;0),0.4,""))))</f>
        <v/>
      </c>
      <c r="T187" s="147" t="str">
        <f ca="1">IFERROR(IFERROR(IF(VLOOKUP($A187,'Шаг2.Бланк заказа NEW'!$B$17:$N$201,7,0)="","",VLOOKUP($A187,'Шаг2.Бланк заказа NEW'!$B$17:$N$201,7,0)),
IF(VLOOKUP($A187-COUNT('Шаг2.Бланк заказа NEW'!$B$19:$B$201),'Бланк OLD 0.8 04'!$B$12:$K$200,7,0)&gt;0,0.8,
IF(VLOOKUP($A187-COUNT('Шаг2.Бланк заказа NEW'!$B$19:$B$201),'Бланк OLD 0.8 04'!$B$12:$K$200,8,0)&gt;0,0.4,""))),
IF(VLOOKUP($A187-COUNT('Шаг2.Бланк заказа NEW'!$B$19:$B$201)-COUNT('Бланк OLD 0.8 04'!$B$18:$B$200),'Бланк OLD 2.0 04 '!$B$16:$K$200,7,0)&gt;0,2,IF(VLOOKUP($A187-COUNT('Шаг2.Бланк заказа NEW'!$B$19:$B$201)-COUNT('Бланк OLD 0.8 04'!$B$18:$B$200),'Бланк OLD 2.0 04 '!$B$16:$K$200,8,0)&gt;0,0.4,"")))</f>
        <v/>
      </c>
      <c r="U187" s="147" t="str">
        <f ca="1">IFERROR(IFERROR(IF(VLOOKUP($A187,'Шаг2.Бланк заказа NEW'!$B$17:$N$201,8,0)="","",VLOOKUP($A187,'Шаг2.Бланк заказа NEW'!$B$17:$N$201,8,0)),
IF(VLOOKUP($A187-COUNT('Шаг2.Бланк заказа NEW'!$B$19:$B$201),'Бланк OLD 0.8 04'!$B$12:$K$200,7,0)&gt;1,0.8,
IF(VLOOKUP($A187-COUNT('Шаг2.Бланк заказа NEW'!$B$19:$B$201),'Бланк OLD 0.8 04'!$B$12:$K$200,8,0)&gt;1,0.4,
IF(AND(VLOOKUP($A187-COUNT('Шаг2.Бланк заказа NEW'!$B$19:$B$201),'Бланк OLD 0.8 04'!$B$12:$K$200,7,0)&gt;0,VLOOKUP($A187-COUNT('Шаг2.Бланк заказа NEW'!$B$19:$B$201),'Бланк OLD 0.8 04'!$B$12:$K$200,8,0)&gt;0),0.4,"")))),
IF(VLOOKUP($A187-COUNT('Шаг2.Бланк заказа NEW'!$B$19:$B$201)-COUNT('Бланк OLD 0.8 04'!$B$18:$B$200),'Бланк OLD 2.0 04 '!$B$16:$K$200,7,0)&gt;1,2,
IF(VLOOKUP($A187-COUNT('Шаг2.Бланк заказа NEW'!$B$19:$B$201)-COUNT('Бланк OLD 0.8 04'!$B$18:$B$200),'Бланк OLD 2.0 04 '!$B$16:$K$200,8,0)&gt;1,0.4,
IF(AND(VLOOKUP($A187-COUNT('Шаг2.Бланк заказа NEW'!$B$19:$B$201)-COUNT('Бланк OLD 0.8 04'!$B$18:$B$200),'Бланк OLD 2.0 04 '!$B$16:$K$200,7,0)&gt;0,VLOOKUP($A187-COUNT('Шаг2.Бланк заказа NEW'!$B$19:$B$201)-COUNT('Бланк OLD 0.8 04'!$B$18:$B$200),'Бланк OLD 2.0 04 '!$B$16:$K$200,8,0)&gt;0),0.4,""))))</f>
        <v/>
      </c>
      <c r="V187" s="146" t="str">
        <f ca="1">IFERROR(VLOOKUP(C187,'Шаг1.Выбор плиты'!C:S,12,0),"")</f>
        <v/>
      </c>
      <c r="W187" s="146" t="str">
        <f ca="1">IFERROR(VLOOKUP(C187,'Шаг1.Выбор плиты'!C:S,8,0),"")</f>
        <v/>
      </c>
      <c r="X187" s="146" t="str">
        <f ca="1">IFERROR(VLOOKUP(C187,'Шаг1.Выбор плиты'!C:S,10,0),"")</f>
        <v/>
      </c>
      <c r="Y187" s="147" t="str">
        <f t="shared" ca="1" si="13"/>
        <v/>
      </c>
      <c r="AD187" s="147" t="str">
        <f t="shared" ca="1" si="16"/>
        <v/>
      </c>
      <c r="AE187" s="147" t="str">
        <f t="shared" ca="1" si="14"/>
        <v/>
      </c>
      <c r="AF187" s="25"/>
      <c r="AH187" s="147" t="str">
        <f ca="1">IF(C187="","",VLOOKUP(C187,'Шаг1.Выбор плиты'!C:Q,7,0))</f>
        <v/>
      </c>
      <c r="AI187" s="147" t="str">
        <f t="shared" ca="1" si="17"/>
        <v/>
      </c>
    </row>
    <row r="188" spans="1:35" x14ac:dyDescent="0.2">
      <c r="A188" s="151" t="str">
        <f ca="1">IF(C188="","",MAX($A$1:OFFSET(C188,-1,0))+1)</f>
        <v/>
      </c>
      <c r="B188" s="151" t="str">
        <f ca="1">IFERROR(IFERROR(IFERROR("Шаг2.Бланк заказа NEW №"&amp;VLOOKUP(A187+1,CHOOSE({1,2},'Шаг2.Бланк заказа NEW'!$B$19:$B$201,'Шаг2.Бланк заказа NEW'!$A$19:$A$201),1,0),
"Бланк OLD 0.8 04 №"&amp;VLOOKUP(A187+1-COUNT('Шаг2.Бланк заказа NEW'!$B$19:$B$201),CHOOSE({1,2},'Бланк OLD 0.8 04'!$B$18:$B$200,'Бланк OLD 0.8 04'!$A$18:$A$200),1,0)),
"Бланк OLD 2.0 04 №"&amp;VLOOKUP(A187+1-COUNT('Шаг2.Бланк заказа NEW'!$B$19:$B$201)-COUNT('Бланк OLD 0.8 04'!$B$18:$B$200),CHOOSE({1,2},'Бланк OLD 2.0 04 '!$B$18:$B$200,'Бланк OLD 2.0 04 '!$A$18:$A$200),1,0)),"")</f>
        <v/>
      </c>
      <c r="C188" s="152" t="str">
        <f ca="1">IFERROR(IFERROR(IFERROR(VLOOKUP(A187+1,CHOOSE({1,2},'Шаг2.Бланк заказа NEW'!$B$19:$B$201,'Шаг2.Бланк заказа NEW'!$A$19:$A$201),2,0),
VLOOKUP(A187+1-COUNT('Шаг2.Бланк заказа NEW'!$B$19:$B$201),CHOOSE({1,2},'Бланк OLD 0.8 04'!$B$18:$B$200,'Бланк OLD 0.8 04'!$A$18:$A$200),2,0)),
VLOOKUP(A187+1-COUNT('Шаг2.Бланк заказа NEW'!$B$19:$B$201)-COUNT('Бланк OLD 0.8 04'!$B$18:$B$200),CHOOSE({1,2},'Бланк OLD 2.0 04 '!$B$18:$B$200,'Бланк OLD 2.0 04 '!$A$18:$A$200),2,0)),"")</f>
        <v/>
      </c>
      <c r="D188" s="150" t="str">
        <f ca="1">IFERROR(VLOOKUP(C188,'Шаг1.Выбор плиты'!C:G,5,0),"")</f>
        <v/>
      </c>
      <c r="E188" s="147" t="str">
        <f ca="1">IFERROR(IFERROR(IF(VLOOKUP($A188,'Шаг2.Бланк заказа NEW'!$B$17:$N$201,2,0)="","",VLOOKUP($A188,'Шаг2.Бланк заказа NEW'!$B$17:$N$201,2,0)),
IF(VLOOKUP($A188-COUNT('Шаг2.Бланк заказа NEW'!$B$19:$B$201),'Бланк OLD 0.8 04'!$B$12:$K$200,2,0)="","",VLOOKUP($A188-COUNT('Шаг2.Бланк заказа NEW'!$B$19:$B$201),'Бланк OLD 0.8 04'!$B$12:$K$200,2,0))),
IF(VLOOKUP($A188-COUNT('Шаг2.Бланк заказа NEW'!$B$19:$B$201)-COUNT('Бланк OLD 0.8 04'!$B$18:$B$200),'Бланк OLD 2.0 04 '!$B$16:$K$200,2,0)="","",VLOOKUP($A188-COUNT('Шаг2.Бланк заказа NEW'!$B$19:$B$201)-COUNT('Бланк OLD 0.8 04'!$B$18:$B$200),'Бланк OLD 2.0 04 '!$B$16:$K$200,2,0)))</f>
        <v/>
      </c>
      <c r="F188" s="147" t="str">
        <f ca="1">IFERROR(IFERROR(IF(VLOOKUP($A188,'Шаг2.Бланк заказа NEW'!$B$17:$N$201,3,0)="","",VLOOKUP($A188,'Шаг2.Бланк заказа NEW'!$B$17:$N$201,3,0)),
IF(VLOOKUP($A188-COUNT('Шаг2.Бланк заказа NEW'!$B$19:$B$201),'Бланк OLD 0.8 04'!$B$12:$K$200,3,0)="","",VLOOKUP($A188-COUNT('Шаг2.Бланк заказа NEW'!$B$19:$B$201),'Бланк OLD 0.8 04'!$B$12:$K$200,3,0))),
IF(VLOOKUP($A188-COUNT('Шаг2.Бланк заказа NEW'!$B$19:$B$201)-COUNT('Бланк OLD 0.8 04'!$B$18:$B$200),'Бланк OLD 2.0 04 '!$B$16:$K$200,3,0)="","",VLOOKUP($A188-COUNT('Шаг2.Бланк заказа NEW'!$B$19:$B$201)-COUNT('Бланк OLD 0.8 04'!$B$18:$B$200),'Бланк OLD 2.0 04 '!$B$16:$K$200,3,0)))</f>
        <v/>
      </c>
      <c r="G188" s="176" t="str">
        <f ca="1">IF(IF(R188="","",IF(R188=1,SUMIFS('Шаг1.Выбор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плиты'!C:Q,12,0)),1))))))=0,
R188,
IF(R188="","",IF(R188=1,SUMIFS('Шаг1.Выбор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плиты'!N:N,R188,'Шаг1.Выбор плиты'!M:M,SMALL(INDIRECT("мм"&amp;VLOOKUP(C188,'Шаг1.Выбор плиты'!C:Q,12,0)),1)))))))</f>
        <v/>
      </c>
      <c r="H188" s="177" t="str">
        <f ca="1">IF(IF(S188="","",IF(S188=1,SUMIFS('Шаг1.Выбор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плиты'!C:Q,12,0)),1))))))=0,
S188,
IF(S188="","",IF(S188=1,SUMIFS('Шаг1.Выбор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плиты'!N:N,S188,'Шаг1.Выбор плиты'!M:M,SMALL(INDIRECT("мм"&amp;VLOOKUP(C188,'Шаг1.Выбор плиты'!C:Q,12,0)),1)))))))</f>
        <v/>
      </c>
      <c r="I188" s="147" t="str">
        <f ca="1">IFERROR(IFERROR(IF(VLOOKUP($A188,'Шаг2.Бланк заказа NEW'!$B$17:$N$201,6,0)="","",VLOOKUP($A188,'Шаг2.Бланк заказа NEW'!$B$17:$N$201,6,0)),
IF(VLOOKUP($A188-COUNT('Шаг2.Бланк заказа NEW'!$B$19:$B$201),'Бланк OLD 0.8 04'!$B$12:$K$200,6,0)="","",VLOOKUP($A188-COUNT('Шаг2.Бланк заказа NEW'!$B$19:$B$201),'Бланк OLD 0.8 04'!$B$12:$K$200,6,0))),
IF(VLOOKUP($A188-COUNT('Шаг2.Бланк заказа NEW'!$B$19:$B$201)-COUNT('Бланк OLD 0.8 04'!$B$18:$B$200),'Бланк OLD 2.0 04 '!$B$16:$K$200,6,0)="","",VLOOKUP($A188-COUNT('Шаг2.Бланк заказа NEW'!$B$19:$B$201)-COUNT('Бланк OLD 0.8 04'!$B$18:$B$200),'Бланк OLD 2.0 04 '!$B$16:$K$200,6,0)))</f>
        <v/>
      </c>
      <c r="J188" s="177" t="str">
        <f ca="1">IF(IF(T188="","",IF(T188=1,SUMIFS('Шаг1.Выбор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плиты'!C:Q,12,0)),1))))))=0,
T188,
IF(T188="","",IF(T188=1,SUMIFS('Шаг1.Выбор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плиты'!N:N,T188,'Шаг1.Выбор плиты'!M:M,SMALL(INDIRECT("мм"&amp;VLOOKUP(C188,'Шаг1.Выбор плиты'!C:Q,12,0)),1)))))))</f>
        <v/>
      </c>
      <c r="K188" s="177" t="str">
        <f ca="1">IF(IF(U188="","",IF(U188=1,SUMIFS('Шаг1.Выбор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плиты'!C:Q,12,0)),1))))))=0,
U188,
IF(U188="","",IF(U188=1,SUMIFS('Шаг1.Выбор плиты'!$G:$G,'Шаг1.Выбор плиты'!J:J,"*"&amp;RIGHT(VLOOKUP(C188,'Шаг1.Выбор плиты'!C:Q,8,0),4),'Шаг1.Выбор плиты'!L:L,IF(MID(C188,1,6)="ЛДСП P","TM"&amp;MID(VLOOKUP(C188,'Шаг1.Выбор плиты'!C:Q,10,0),3,2),MID(VLOOKUP(C188,'Шаг1.Выбор плиты'!C:Q,10,0),1,2)),
'Шаг1.Выбор плиты'!N:N,1),IF(SUMIFS('Шаг1.Выбор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плиты'!C:Q,12,0)),1))=0,
IF(SUMIFS('Шаг1.Выбор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плиты'!C:Q,12,0)),2))=0,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плиты'!C:Q,12,0)),3)),
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плиты'!C:Q,12,0)),2))),
(SUMIFS('Шаг1.Выбор плиты'!$G:$G,'Шаг1.Выбор плиты'!J:J,"*"&amp;RIGHT(VLOOKUP(C188,'Шаг1.Выбор плиты'!C:Q,8,0),4),'Шаг1.Выбор плиты'!L:L,VLOOKUP(C188,'Шаг1.Выбор плиты'!C:Q,10,0),'Шаг1.Выбор плиты'!N:N,U188,'Шаг1.Выбор плиты'!M:M,SMALL(INDIRECT("мм"&amp;VLOOKUP(C188,'Шаг1.Выбор плиты'!C:Q,12,0)),1)))))))</f>
        <v/>
      </c>
      <c r="L188" s="147" t="str">
        <f ca="1">IFERROR(IFERROR(IF(VLOOKUP($A188,'Шаг2.Бланк заказа NEW'!$B$17:$N$201,9,0)="","",VLOOKUP($A188,'Шаг2.Бланк заказа NEW'!$B$17:$N$201,9,0)),
IF(VLOOKUP($A188-COUNT('Шаг2.Бланк заказа NEW'!$B$19:$B$201),'Бланк OLD 0.8 04'!$B$12:$K$200,9,0)="","",VLOOKUP($A188-COUNT('Шаг2.Бланк заказа NEW'!$B$19:$B$201),'Бланк OLD 0.8 04'!$B$12:$K$200,9,0))),
IF(VLOOKUP($A188-COUNT('Шаг2.Бланк заказа NEW'!$B$19:$B$201)-COUNT('Бланк OLD 0.8 04'!$B$18:$B$200),'Бланк OLD 2.0 04 '!$B$16:$K$200,9,0)="","",VLOOKUP($A188-COUNT('Шаг2.Бланк заказа NEW'!$B$19:$B$201)-COUNT('Бланк OLD 0.8 04'!$B$18:$B$200),'Бланк OLD 2.0 04 '!$B$16:$K$200,9,0)))</f>
        <v/>
      </c>
      <c r="M188" s="154" t="str">
        <f t="shared" ca="1" si="15"/>
        <v/>
      </c>
      <c r="N188" s="153" t="str">
        <f ca="1">IFERROR(IF(VLOOKUP($A188,'Шаг2.Бланк заказа NEW'!$B$17:$N$201,11,0)="","",VLOOKUP($A188,'Шаг2.Бланк заказа NEW'!$B$17:$N$201,11,0)),
"Нет")</f>
        <v/>
      </c>
      <c r="O188" s="147" t="str">
        <f ca="1">IFERROR(IF(VLOOKUP($A188,'Шаг2.Бланк заказа NEW'!$B$17:$N$201,11,0)="","",VLOOKUP($A188,'Шаг2.Бланк заказа NEW'!$B$17:$N$201,12,0)),
"Нет")</f>
        <v/>
      </c>
      <c r="P188" s="153" t="str">
        <f ca="1">IFERROR(IF(VLOOKUP($A188,'Шаг2.Бланк заказа NEW'!$B$17:$N$201,13,0)="","",VLOOKUP($A188,'Шаг2.Бланк заказа NEW'!$B$17:$N$201,13,0)),
"Нет")</f>
        <v/>
      </c>
      <c r="Q188" s="147" t="str">
        <f ca="1">IFERROR(IF(VLOOKUP($A188,'Шаг2.Бланк заказа NEW'!$B$17:$O$201,14,0)="","",VLOOKUP($A188,'Шаг2.Бланк заказа NEW'!$B$17:$O$201,14,0)),"")</f>
        <v/>
      </c>
      <c r="R188" s="147" t="str">
        <f ca="1">IFERROR(IFERROR(IF(VLOOKUP($A188,'Шаг2.Бланк заказа NEW'!$B$17:$N$201,4,0)="","",VLOOKUP($A188,'Шаг2.Бланк заказа NEW'!$B$17:$N$201,4,0)),
IF(VLOOKUP($A188-COUNT('Шаг2.Бланк заказа NEW'!$B$19:$B$201),'Бланк OLD 0.8 04'!$B$12:$K$200,4,0)&gt;0,0.8,
IF(VLOOKUP($A188-COUNT('Шаг2.Бланк заказа NEW'!$B$19:$B$201),'Бланк OLD 0.8 04'!$B$12:$K$200,5,0)&gt;0,0.4,""))),
IF(VLOOKUP($A188-COUNT('Шаг2.Бланк заказа NEW'!$B$19:$B$201)-COUNT('Бланк OLD 0.8 04'!$B$18:$B$200),'Бланк OLD 2.0 04 '!$B$16:$K$200,4,0)&gt;0,2,IF(VLOOKUP($A188-COUNT('Шаг2.Бланк заказа NEW'!$B$19:$B$201)-COUNT('Бланк OLD 0.8 04'!$B$18:$B$200),'Бланк OLD 2.0 04 '!$B$16:$K$200,5,0)&gt;0,0.4,"")))</f>
        <v/>
      </c>
      <c r="S188" s="147" t="str">
        <f ca="1">IFERROR(IFERROR(IF(VLOOKUP($A188,'Шаг2.Бланк заказа NEW'!$B$17:$N$201,5,0)="","",VLOOKUP($A188,'Шаг2.Бланк заказа NEW'!$B$17:$N$201,5,0)),
IF(VLOOKUP($A188-COUNT('Шаг2.Бланк заказа NEW'!$B$19:$B$201),'Бланк OLD 0.8 04'!$B$12:$K$200,4,0)&gt;1,0.8,
IF(VLOOKUP($A188-COUNT('Шаг2.Бланк заказа NEW'!$B$19:$B$201),'Бланк OLD 0.8 04'!$B$12:$K$200,5,0)&gt;1,0.4,
IF(AND(VLOOKUP($A188-COUNT('Шаг2.Бланк заказа NEW'!$B$19:$B$201),'Бланк OLD 0.8 04'!$B$12:$K$200,4,0)&gt;0,VLOOKUP($A188-COUNT('Шаг2.Бланк заказа NEW'!$B$19:$B$201),'Бланк OLD 0.8 04'!$B$12:$K$200,5,0)&gt;0),0.4,"")))),
IF(VLOOKUP($A188-COUNT('Шаг2.Бланк заказа NEW'!$B$19:$B$201)-COUNT('Бланк OLD 0.8 04'!$B$18:$B$200),'Бланк OLD 2.0 04 '!$B$16:$K$200,4,0)&gt;1,2,
IF(VLOOKUP($A188-COUNT('Шаг2.Бланк заказа NEW'!$B$19:$B$201)-COUNT('Бланк OLD 0.8 04'!$B$18:$B$200),'Бланк OLD 2.0 04 '!$B$16:$K$200,5,0)&gt;1,0.4,IF(AND(VLOOKUP($A188-COUNT('Шаг2.Бланк заказа NEW'!$B$19:$B$201)-COUNT('Бланк OLD 0.8 04'!$B$18:$B$200),'Бланк OLD 2.0 04 '!$B$16:$K$200,4,0)&gt;0,VLOOKUP($A188-COUNT('Шаг2.Бланк заказа NEW'!$B$19:$B$201)-COUNT('Бланк OLD 0.8 04'!$B$18:$B$200),'Бланк OLD 2.0 04 '!$B$16:$K$200,5,0)&gt;0),0.4,""))))</f>
        <v/>
      </c>
      <c r="T188" s="147" t="str">
        <f ca="1">IFERROR(IFERROR(IF(VLOOKUP($A188,'Шаг2.Бланк заказа NEW'!$B$17:$N$201,7,0)="","",VLOOKUP($A188,'Шаг2.Бланк заказа NEW'!$B$17:$N$201,7,0)),
IF(VLOOKUP($A188-COUNT('Шаг2.Бланк заказа NEW'!$B$19:$B$201),'Бланк OLD 0.8 04'!$B$12:$K$200,7,0)&gt;0,0.8,
IF(VLOOKUP($A188-COUNT('Шаг2.Бланк заказа NEW'!$B$19:$B$201),'Бланк OLD 0.8 04'!$B$12:$K$200,8,0)&gt;0,0.4,""))),
IF(VLOOKUP($A188-COUNT('Шаг2.Бланк заказа NEW'!$B$19:$B$201)-COUNT('Бланк OLD 0.8 04'!$B$18:$B$200),'Бланк OLD 2.0 04 '!$B$16:$K$200,7,0)&gt;0,2,IF(VLOOKUP($A188-COUNT('Шаг2.Бланк заказа NEW'!$B$19:$B$201)-COUNT('Бланк OLD 0.8 04'!$B$18:$B$200),'Бланк OLD 2.0 04 '!$B$16:$K$200,8,0)&gt;0,0.4,"")))</f>
        <v/>
      </c>
      <c r="U188" s="147" t="str">
        <f ca="1">IFERROR(IFERROR(IF(VLOOKUP($A188,'Шаг2.Бланк заказа NEW'!$B$17:$N$201,8,0)="","",VLOOKUP($A188,'Шаг2.Бланк заказа NEW'!$B$17:$N$201,8,0)),
IF(VLOOKUP($A188-COUNT('Шаг2.Бланк заказа NEW'!$B$19:$B$201),'Бланк OLD 0.8 04'!$B$12:$K$200,7,0)&gt;1,0.8,
IF(VLOOKUP($A188-COUNT('Шаг2.Бланк заказа NEW'!$B$19:$B$201),'Бланк OLD 0.8 04'!$B$12:$K$200,8,0)&gt;1,0.4,
IF(AND(VLOOKUP($A188-COUNT('Шаг2.Бланк заказа NEW'!$B$19:$B$201),'Бланк OLD 0.8 04'!$B$12:$K$200,7,0)&gt;0,VLOOKUP($A188-COUNT('Шаг2.Бланк заказа NEW'!$B$19:$B$201),'Бланк OLD 0.8 04'!$B$12:$K$200,8,0)&gt;0),0.4,"")))),
IF(VLOOKUP($A188-COUNT('Шаг2.Бланк заказа NEW'!$B$19:$B$201)-COUNT('Бланк OLD 0.8 04'!$B$18:$B$200),'Бланк OLD 2.0 04 '!$B$16:$K$200,7,0)&gt;1,2,
IF(VLOOKUP($A188-COUNT('Шаг2.Бланк заказа NEW'!$B$19:$B$201)-COUNT('Бланк OLD 0.8 04'!$B$18:$B$200),'Бланк OLD 2.0 04 '!$B$16:$K$200,8,0)&gt;1,0.4,
IF(AND(VLOOKUP($A188-COUNT('Шаг2.Бланк заказа NEW'!$B$19:$B$201)-COUNT('Бланк OLD 0.8 04'!$B$18:$B$200),'Бланк OLD 2.0 04 '!$B$16:$K$200,7,0)&gt;0,VLOOKUP($A188-COUNT('Шаг2.Бланк заказа NEW'!$B$19:$B$201)-COUNT('Бланк OLD 0.8 04'!$B$18:$B$200),'Бланк OLD 2.0 04 '!$B$16:$K$200,8,0)&gt;0),0.4,""))))</f>
        <v/>
      </c>
      <c r="V188" s="146" t="str">
        <f ca="1">IFERROR(VLOOKUP(C188,'Шаг1.Выбор плиты'!C:S,12,0),"")</f>
        <v/>
      </c>
      <c r="W188" s="146" t="str">
        <f ca="1">IFERROR(VLOOKUP(C188,'Шаг1.Выбор плиты'!C:S,8,0),"")</f>
        <v/>
      </c>
      <c r="X188" s="146" t="str">
        <f ca="1">IFERROR(VLOOKUP(C188,'Шаг1.Выбор плиты'!C:S,10,0),"")</f>
        <v/>
      </c>
      <c r="Y188" s="147" t="str">
        <f t="shared" ca="1" si="13"/>
        <v/>
      </c>
      <c r="AD188" s="147" t="str">
        <f t="shared" ca="1" si="16"/>
        <v/>
      </c>
      <c r="AE188" s="147" t="str">
        <f t="shared" ca="1" si="14"/>
        <v/>
      </c>
      <c r="AF188" s="25"/>
      <c r="AH188" s="147" t="str">
        <f ca="1">IF(C188="","",VLOOKUP(C188,'Шаг1.Выбор плиты'!C:Q,7,0))</f>
        <v/>
      </c>
      <c r="AI188" s="147" t="str">
        <f t="shared" ca="1" si="17"/>
        <v/>
      </c>
    </row>
    <row r="189" spans="1:35" x14ac:dyDescent="0.2">
      <c r="A189" s="151" t="str">
        <f ca="1">IF(C189="","",MAX($A$1:OFFSET(C189,-1,0))+1)</f>
        <v/>
      </c>
      <c r="B189" s="151" t="str">
        <f ca="1">IFERROR(IFERROR(IFERROR("Шаг2.Бланк заказа NEW №"&amp;VLOOKUP(A188+1,CHOOSE({1,2},'Шаг2.Бланк заказа NEW'!$B$19:$B$201,'Шаг2.Бланк заказа NEW'!$A$19:$A$201),1,0),
"Бланк OLD 0.8 04 №"&amp;VLOOKUP(A188+1-COUNT('Шаг2.Бланк заказа NEW'!$B$19:$B$201),CHOOSE({1,2},'Бланк OLD 0.8 04'!$B$18:$B$200,'Бланк OLD 0.8 04'!$A$18:$A$200),1,0)),
"Бланк OLD 2.0 04 №"&amp;VLOOKUP(A188+1-COUNT('Шаг2.Бланк заказа NEW'!$B$19:$B$201)-COUNT('Бланк OLD 0.8 04'!$B$18:$B$200),CHOOSE({1,2},'Бланк OLD 2.0 04 '!$B$18:$B$200,'Бланк OLD 2.0 04 '!$A$18:$A$200),1,0)),"")</f>
        <v/>
      </c>
      <c r="C189" s="152" t="str">
        <f ca="1">IFERROR(IFERROR(IFERROR(VLOOKUP(A188+1,CHOOSE({1,2},'Шаг2.Бланк заказа NEW'!$B$19:$B$201,'Шаг2.Бланк заказа NEW'!$A$19:$A$201),2,0),
VLOOKUP(A188+1-COUNT('Шаг2.Бланк заказа NEW'!$B$19:$B$201),CHOOSE({1,2},'Бланк OLD 0.8 04'!$B$18:$B$200,'Бланк OLD 0.8 04'!$A$18:$A$200),2,0)),
VLOOKUP(A188+1-COUNT('Шаг2.Бланк заказа NEW'!$B$19:$B$201)-COUNT('Бланк OLD 0.8 04'!$B$18:$B$200),CHOOSE({1,2},'Бланк OLD 2.0 04 '!$B$18:$B$200,'Бланк OLD 2.0 04 '!$A$18:$A$200),2,0)),"")</f>
        <v/>
      </c>
      <c r="D189" s="150" t="str">
        <f ca="1">IFERROR(VLOOKUP(C189,'Шаг1.Выбор плиты'!C:G,5,0),"")</f>
        <v/>
      </c>
      <c r="E189" s="147" t="str">
        <f ca="1">IFERROR(IFERROR(IF(VLOOKUP($A189,'Шаг2.Бланк заказа NEW'!$B$17:$N$201,2,0)="","",VLOOKUP($A189,'Шаг2.Бланк заказа NEW'!$B$17:$N$201,2,0)),
IF(VLOOKUP($A189-COUNT('Шаг2.Бланк заказа NEW'!$B$19:$B$201),'Бланк OLD 0.8 04'!$B$12:$K$200,2,0)="","",VLOOKUP($A189-COUNT('Шаг2.Бланк заказа NEW'!$B$19:$B$201),'Бланк OLD 0.8 04'!$B$12:$K$200,2,0))),
IF(VLOOKUP($A189-COUNT('Шаг2.Бланк заказа NEW'!$B$19:$B$201)-COUNT('Бланк OLD 0.8 04'!$B$18:$B$200),'Бланк OLD 2.0 04 '!$B$16:$K$200,2,0)="","",VLOOKUP($A189-COUNT('Шаг2.Бланк заказа NEW'!$B$19:$B$201)-COUNT('Бланк OLD 0.8 04'!$B$18:$B$200),'Бланк OLD 2.0 04 '!$B$16:$K$200,2,0)))</f>
        <v/>
      </c>
      <c r="F189" s="147" t="str">
        <f ca="1">IFERROR(IFERROR(IF(VLOOKUP($A189,'Шаг2.Бланк заказа NEW'!$B$17:$N$201,3,0)="","",VLOOKUP($A189,'Шаг2.Бланк заказа NEW'!$B$17:$N$201,3,0)),
IF(VLOOKUP($A189-COUNT('Шаг2.Бланк заказа NEW'!$B$19:$B$201),'Бланк OLD 0.8 04'!$B$12:$K$200,3,0)="","",VLOOKUP($A189-COUNT('Шаг2.Бланк заказа NEW'!$B$19:$B$201),'Бланк OLD 0.8 04'!$B$12:$K$200,3,0))),
IF(VLOOKUP($A189-COUNT('Шаг2.Бланк заказа NEW'!$B$19:$B$201)-COUNT('Бланк OLD 0.8 04'!$B$18:$B$200),'Бланк OLD 2.0 04 '!$B$16:$K$200,3,0)="","",VLOOKUP($A189-COUNT('Шаг2.Бланк заказа NEW'!$B$19:$B$201)-COUNT('Бланк OLD 0.8 04'!$B$18:$B$200),'Бланк OLD 2.0 04 '!$B$16:$K$200,3,0)))</f>
        <v/>
      </c>
      <c r="G189" s="176" t="str">
        <f ca="1">IF(IF(R189="","",IF(R189=1,SUMIFS('Шаг1.Выбор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плиты'!C:Q,12,0)),1))))))=0,
R189,
IF(R189="","",IF(R189=1,SUMIFS('Шаг1.Выбор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плиты'!N:N,R189,'Шаг1.Выбор плиты'!M:M,SMALL(INDIRECT("мм"&amp;VLOOKUP(C189,'Шаг1.Выбор плиты'!C:Q,12,0)),1)))))))</f>
        <v/>
      </c>
      <c r="H189" s="177" t="str">
        <f ca="1">IF(IF(S189="","",IF(S189=1,SUMIFS('Шаг1.Выбор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плиты'!C:Q,12,0)),1))))))=0,
S189,
IF(S189="","",IF(S189=1,SUMIFS('Шаг1.Выбор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плиты'!N:N,S189,'Шаг1.Выбор плиты'!M:M,SMALL(INDIRECT("мм"&amp;VLOOKUP(C189,'Шаг1.Выбор плиты'!C:Q,12,0)),1)))))))</f>
        <v/>
      </c>
      <c r="I189" s="147" t="str">
        <f ca="1">IFERROR(IFERROR(IF(VLOOKUP($A189,'Шаг2.Бланк заказа NEW'!$B$17:$N$201,6,0)="","",VLOOKUP($A189,'Шаг2.Бланк заказа NEW'!$B$17:$N$201,6,0)),
IF(VLOOKUP($A189-COUNT('Шаг2.Бланк заказа NEW'!$B$19:$B$201),'Бланк OLD 0.8 04'!$B$12:$K$200,6,0)="","",VLOOKUP($A189-COUNT('Шаг2.Бланк заказа NEW'!$B$19:$B$201),'Бланк OLD 0.8 04'!$B$12:$K$200,6,0))),
IF(VLOOKUP($A189-COUNT('Шаг2.Бланк заказа NEW'!$B$19:$B$201)-COUNT('Бланк OLD 0.8 04'!$B$18:$B$200),'Бланк OLD 2.0 04 '!$B$16:$K$200,6,0)="","",VLOOKUP($A189-COUNT('Шаг2.Бланк заказа NEW'!$B$19:$B$201)-COUNT('Бланк OLD 0.8 04'!$B$18:$B$200),'Бланк OLD 2.0 04 '!$B$16:$K$200,6,0)))</f>
        <v/>
      </c>
      <c r="J189" s="177" t="str">
        <f ca="1">IF(IF(T189="","",IF(T189=1,SUMIFS('Шаг1.Выбор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плиты'!C:Q,12,0)),1))))))=0,
T189,
IF(T189="","",IF(T189=1,SUMIFS('Шаг1.Выбор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плиты'!N:N,T189,'Шаг1.Выбор плиты'!M:M,SMALL(INDIRECT("мм"&amp;VLOOKUP(C189,'Шаг1.Выбор плиты'!C:Q,12,0)),1)))))))</f>
        <v/>
      </c>
      <c r="K189" s="177" t="str">
        <f ca="1">IF(IF(U189="","",IF(U189=1,SUMIFS('Шаг1.Выбор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плиты'!C:Q,12,0)),1))))))=0,
U189,
IF(U189="","",IF(U189=1,SUMIFS('Шаг1.Выбор плиты'!$G:$G,'Шаг1.Выбор плиты'!J:J,"*"&amp;RIGHT(VLOOKUP(C189,'Шаг1.Выбор плиты'!C:Q,8,0),4),'Шаг1.Выбор плиты'!L:L,IF(MID(C189,1,6)="ЛДСП P","TM"&amp;MID(VLOOKUP(C189,'Шаг1.Выбор плиты'!C:Q,10,0),3,2),MID(VLOOKUP(C189,'Шаг1.Выбор плиты'!C:Q,10,0),1,2)),
'Шаг1.Выбор плиты'!N:N,1),IF(SUMIFS('Шаг1.Выбор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плиты'!C:Q,12,0)),1))=0,
IF(SUMIFS('Шаг1.Выбор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плиты'!C:Q,12,0)),2))=0,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плиты'!C:Q,12,0)),3)),
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плиты'!C:Q,12,0)),2))),
(SUMIFS('Шаг1.Выбор плиты'!$G:$G,'Шаг1.Выбор плиты'!J:J,"*"&amp;RIGHT(VLOOKUP(C189,'Шаг1.Выбор плиты'!C:Q,8,0),4),'Шаг1.Выбор плиты'!L:L,VLOOKUP(C189,'Шаг1.Выбор плиты'!C:Q,10,0),'Шаг1.Выбор плиты'!N:N,U189,'Шаг1.Выбор плиты'!M:M,SMALL(INDIRECT("мм"&amp;VLOOKUP(C189,'Шаг1.Выбор плиты'!C:Q,12,0)),1)))))))</f>
        <v/>
      </c>
      <c r="L189" s="147" t="str">
        <f ca="1">IFERROR(IFERROR(IF(VLOOKUP($A189,'Шаг2.Бланк заказа NEW'!$B$17:$N$201,9,0)="","",VLOOKUP($A189,'Шаг2.Бланк заказа NEW'!$B$17:$N$201,9,0)),
IF(VLOOKUP($A189-COUNT('Шаг2.Бланк заказа NEW'!$B$19:$B$201),'Бланк OLD 0.8 04'!$B$12:$K$200,9,0)="","",VLOOKUP($A189-COUNT('Шаг2.Бланк заказа NEW'!$B$19:$B$201),'Бланк OLD 0.8 04'!$B$12:$K$200,9,0))),
IF(VLOOKUP($A189-COUNT('Шаг2.Бланк заказа NEW'!$B$19:$B$201)-COUNT('Бланк OLD 0.8 04'!$B$18:$B$200),'Бланк OLD 2.0 04 '!$B$16:$K$200,9,0)="","",VLOOKUP($A189-COUNT('Шаг2.Бланк заказа NEW'!$B$19:$B$201)-COUNT('Бланк OLD 0.8 04'!$B$18:$B$200),'Бланк OLD 2.0 04 '!$B$16:$K$200,9,0)))</f>
        <v/>
      </c>
      <c r="M189" s="154" t="str">
        <f t="shared" ca="1" si="15"/>
        <v/>
      </c>
      <c r="N189" s="153" t="str">
        <f ca="1">IFERROR(IF(VLOOKUP($A189,'Шаг2.Бланк заказа NEW'!$B$17:$N$201,11,0)="","",VLOOKUP($A189,'Шаг2.Бланк заказа NEW'!$B$17:$N$201,11,0)),
"Нет")</f>
        <v/>
      </c>
      <c r="O189" s="147" t="str">
        <f ca="1">IFERROR(IF(VLOOKUP($A189,'Шаг2.Бланк заказа NEW'!$B$17:$N$201,11,0)="","",VLOOKUP($A189,'Шаг2.Бланк заказа NEW'!$B$17:$N$201,12,0)),
"Нет")</f>
        <v/>
      </c>
      <c r="P189" s="153" t="str">
        <f ca="1">IFERROR(IF(VLOOKUP($A189,'Шаг2.Бланк заказа NEW'!$B$17:$N$201,13,0)="","",VLOOKUP($A189,'Шаг2.Бланк заказа NEW'!$B$17:$N$201,13,0)),
"Нет")</f>
        <v/>
      </c>
      <c r="Q189" s="147" t="str">
        <f ca="1">IFERROR(IF(VLOOKUP($A189,'Шаг2.Бланк заказа NEW'!$B$17:$O$201,14,0)="","",VLOOKUP($A189,'Шаг2.Бланк заказа NEW'!$B$17:$O$201,14,0)),"")</f>
        <v/>
      </c>
      <c r="R189" s="147" t="str">
        <f ca="1">IFERROR(IFERROR(IF(VLOOKUP($A189,'Шаг2.Бланк заказа NEW'!$B$17:$N$201,4,0)="","",VLOOKUP($A189,'Шаг2.Бланк заказа NEW'!$B$17:$N$201,4,0)),
IF(VLOOKUP($A189-COUNT('Шаг2.Бланк заказа NEW'!$B$19:$B$201),'Бланк OLD 0.8 04'!$B$12:$K$200,4,0)&gt;0,0.8,
IF(VLOOKUP($A189-COUNT('Шаг2.Бланк заказа NEW'!$B$19:$B$201),'Бланк OLD 0.8 04'!$B$12:$K$200,5,0)&gt;0,0.4,""))),
IF(VLOOKUP($A189-COUNT('Шаг2.Бланк заказа NEW'!$B$19:$B$201)-COUNT('Бланк OLD 0.8 04'!$B$18:$B$200),'Бланк OLD 2.0 04 '!$B$16:$K$200,4,0)&gt;0,2,IF(VLOOKUP($A189-COUNT('Шаг2.Бланк заказа NEW'!$B$19:$B$201)-COUNT('Бланк OLD 0.8 04'!$B$18:$B$200),'Бланк OLD 2.0 04 '!$B$16:$K$200,5,0)&gt;0,0.4,"")))</f>
        <v/>
      </c>
      <c r="S189" s="147" t="str">
        <f ca="1">IFERROR(IFERROR(IF(VLOOKUP($A189,'Шаг2.Бланк заказа NEW'!$B$17:$N$201,5,0)="","",VLOOKUP($A189,'Шаг2.Бланк заказа NEW'!$B$17:$N$201,5,0)),
IF(VLOOKUP($A189-COUNT('Шаг2.Бланк заказа NEW'!$B$19:$B$201),'Бланк OLD 0.8 04'!$B$12:$K$200,4,0)&gt;1,0.8,
IF(VLOOKUP($A189-COUNT('Шаг2.Бланк заказа NEW'!$B$19:$B$201),'Бланк OLD 0.8 04'!$B$12:$K$200,5,0)&gt;1,0.4,
IF(AND(VLOOKUP($A189-COUNT('Шаг2.Бланк заказа NEW'!$B$19:$B$201),'Бланк OLD 0.8 04'!$B$12:$K$200,4,0)&gt;0,VLOOKUP($A189-COUNT('Шаг2.Бланк заказа NEW'!$B$19:$B$201),'Бланк OLD 0.8 04'!$B$12:$K$200,5,0)&gt;0),0.4,"")))),
IF(VLOOKUP($A189-COUNT('Шаг2.Бланк заказа NEW'!$B$19:$B$201)-COUNT('Бланк OLD 0.8 04'!$B$18:$B$200),'Бланк OLD 2.0 04 '!$B$16:$K$200,4,0)&gt;1,2,
IF(VLOOKUP($A189-COUNT('Шаг2.Бланк заказа NEW'!$B$19:$B$201)-COUNT('Бланк OLD 0.8 04'!$B$18:$B$200),'Бланк OLD 2.0 04 '!$B$16:$K$200,5,0)&gt;1,0.4,IF(AND(VLOOKUP($A189-COUNT('Шаг2.Бланк заказа NEW'!$B$19:$B$201)-COUNT('Бланк OLD 0.8 04'!$B$18:$B$200),'Бланк OLD 2.0 04 '!$B$16:$K$200,4,0)&gt;0,VLOOKUP($A189-COUNT('Шаг2.Бланк заказа NEW'!$B$19:$B$201)-COUNT('Бланк OLD 0.8 04'!$B$18:$B$200),'Бланк OLD 2.0 04 '!$B$16:$K$200,5,0)&gt;0),0.4,""))))</f>
        <v/>
      </c>
      <c r="T189" s="147" t="str">
        <f ca="1">IFERROR(IFERROR(IF(VLOOKUP($A189,'Шаг2.Бланк заказа NEW'!$B$17:$N$201,7,0)="","",VLOOKUP($A189,'Шаг2.Бланк заказа NEW'!$B$17:$N$201,7,0)),
IF(VLOOKUP($A189-COUNT('Шаг2.Бланк заказа NEW'!$B$19:$B$201),'Бланк OLD 0.8 04'!$B$12:$K$200,7,0)&gt;0,0.8,
IF(VLOOKUP($A189-COUNT('Шаг2.Бланк заказа NEW'!$B$19:$B$201),'Бланк OLD 0.8 04'!$B$12:$K$200,8,0)&gt;0,0.4,""))),
IF(VLOOKUP($A189-COUNT('Шаг2.Бланк заказа NEW'!$B$19:$B$201)-COUNT('Бланк OLD 0.8 04'!$B$18:$B$200),'Бланк OLD 2.0 04 '!$B$16:$K$200,7,0)&gt;0,2,IF(VLOOKUP($A189-COUNT('Шаг2.Бланк заказа NEW'!$B$19:$B$201)-COUNT('Бланк OLD 0.8 04'!$B$18:$B$200),'Бланк OLD 2.0 04 '!$B$16:$K$200,8,0)&gt;0,0.4,"")))</f>
        <v/>
      </c>
      <c r="U189" s="147" t="str">
        <f ca="1">IFERROR(IFERROR(IF(VLOOKUP($A189,'Шаг2.Бланк заказа NEW'!$B$17:$N$201,8,0)="","",VLOOKUP($A189,'Шаг2.Бланк заказа NEW'!$B$17:$N$201,8,0)),
IF(VLOOKUP($A189-COUNT('Шаг2.Бланк заказа NEW'!$B$19:$B$201),'Бланк OLD 0.8 04'!$B$12:$K$200,7,0)&gt;1,0.8,
IF(VLOOKUP($A189-COUNT('Шаг2.Бланк заказа NEW'!$B$19:$B$201),'Бланк OLD 0.8 04'!$B$12:$K$200,8,0)&gt;1,0.4,
IF(AND(VLOOKUP($A189-COUNT('Шаг2.Бланк заказа NEW'!$B$19:$B$201),'Бланк OLD 0.8 04'!$B$12:$K$200,7,0)&gt;0,VLOOKUP($A189-COUNT('Шаг2.Бланк заказа NEW'!$B$19:$B$201),'Бланк OLD 0.8 04'!$B$12:$K$200,8,0)&gt;0),0.4,"")))),
IF(VLOOKUP($A189-COUNT('Шаг2.Бланк заказа NEW'!$B$19:$B$201)-COUNT('Бланк OLD 0.8 04'!$B$18:$B$200),'Бланк OLD 2.0 04 '!$B$16:$K$200,7,0)&gt;1,2,
IF(VLOOKUP($A189-COUNT('Шаг2.Бланк заказа NEW'!$B$19:$B$201)-COUNT('Бланк OLD 0.8 04'!$B$18:$B$200),'Бланк OLD 2.0 04 '!$B$16:$K$200,8,0)&gt;1,0.4,
IF(AND(VLOOKUP($A189-COUNT('Шаг2.Бланк заказа NEW'!$B$19:$B$201)-COUNT('Бланк OLD 0.8 04'!$B$18:$B$200),'Бланк OLD 2.0 04 '!$B$16:$K$200,7,0)&gt;0,VLOOKUP($A189-COUNT('Шаг2.Бланк заказа NEW'!$B$19:$B$201)-COUNT('Бланк OLD 0.8 04'!$B$18:$B$200),'Бланк OLD 2.0 04 '!$B$16:$K$200,8,0)&gt;0),0.4,""))))</f>
        <v/>
      </c>
      <c r="V189" s="146" t="str">
        <f ca="1">IFERROR(VLOOKUP(C189,'Шаг1.Выбор плиты'!C:S,12,0),"")</f>
        <v/>
      </c>
      <c r="W189" s="146" t="str">
        <f ca="1">IFERROR(VLOOKUP(C189,'Шаг1.Выбор плиты'!C:S,8,0),"")</f>
        <v/>
      </c>
      <c r="X189" s="146" t="str">
        <f ca="1">IFERROR(VLOOKUP(C189,'Шаг1.Выбор плиты'!C:S,10,0),"")</f>
        <v/>
      </c>
      <c r="Y189" s="147" t="str">
        <f t="shared" ca="1" si="13"/>
        <v/>
      </c>
      <c r="AD189" s="147" t="str">
        <f t="shared" ca="1" si="16"/>
        <v/>
      </c>
      <c r="AE189" s="147" t="str">
        <f t="shared" ca="1" si="14"/>
        <v/>
      </c>
      <c r="AF189" s="25"/>
      <c r="AH189" s="147" t="str">
        <f ca="1">IF(C189="","",VLOOKUP(C189,'Шаг1.Выбор плиты'!C:Q,7,0))</f>
        <v/>
      </c>
      <c r="AI189" s="147" t="str">
        <f t="shared" ca="1" si="17"/>
        <v/>
      </c>
    </row>
    <row r="190" spans="1:35" x14ac:dyDescent="0.2">
      <c r="A190" s="151" t="str">
        <f ca="1">IF(C190="","",MAX($A$1:OFFSET(C190,-1,0))+1)</f>
        <v/>
      </c>
      <c r="B190" s="151" t="str">
        <f ca="1">IFERROR(IFERROR(IFERROR("Шаг2.Бланк заказа NEW №"&amp;VLOOKUP(A189+1,CHOOSE({1,2},'Шаг2.Бланк заказа NEW'!$B$19:$B$201,'Шаг2.Бланк заказа NEW'!$A$19:$A$201),1,0),
"Бланк OLD 0.8 04 №"&amp;VLOOKUP(A189+1-COUNT('Шаг2.Бланк заказа NEW'!$B$19:$B$201),CHOOSE({1,2},'Бланк OLD 0.8 04'!$B$18:$B$200,'Бланк OLD 0.8 04'!$A$18:$A$200),1,0)),
"Бланк OLD 2.0 04 №"&amp;VLOOKUP(A189+1-COUNT('Шаг2.Бланк заказа NEW'!$B$19:$B$201)-COUNT('Бланк OLD 0.8 04'!$B$18:$B$200),CHOOSE({1,2},'Бланк OLD 2.0 04 '!$B$18:$B$200,'Бланк OLD 2.0 04 '!$A$18:$A$200),1,0)),"")</f>
        <v/>
      </c>
      <c r="C190" s="152" t="str">
        <f ca="1">IFERROR(IFERROR(IFERROR(VLOOKUP(A189+1,CHOOSE({1,2},'Шаг2.Бланк заказа NEW'!$B$19:$B$201,'Шаг2.Бланк заказа NEW'!$A$19:$A$201),2,0),
VLOOKUP(A189+1-COUNT('Шаг2.Бланк заказа NEW'!$B$19:$B$201),CHOOSE({1,2},'Бланк OLD 0.8 04'!$B$18:$B$200,'Бланк OLD 0.8 04'!$A$18:$A$200),2,0)),
VLOOKUP(A189+1-COUNT('Шаг2.Бланк заказа NEW'!$B$19:$B$201)-COUNT('Бланк OLD 0.8 04'!$B$18:$B$200),CHOOSE({1,2},'Бланк OLD 2.0 04 '!$B$18:$B$200,'Бланк OLD 2.0 04 '!$A$18:$A$200),2,0)),"")</f>
        <v/>
      </c>
      <c r="D190" s="150" t="str">
        <f ca="1">IFERROR(VLOOKUP(C190,'Шаг1.Выбор плиты'!C:G,5,0),"")</f>
        <v/>
      </c>
      <c r="E190" s="147" t="str">
        <f ca="1">IFERROR(IFERROR(IF(VLOOKUP($A190,'Шаг2.Бланк заказа NEW'!$B$17:$N$201,2,0)="","",VLOOKUP($A190,'Шаг2.Бланк заказа NEW'!$B$17:$N$201,2,0)),
IF(VLOOKUP($A190-COUNT('Шаг2.Бланк заказа NEW'!$B$19:$B$201),'Бланк OLD 0.8 04'!$B$12:$K$200,2,0)="","",VLOOKUP($A190-COUNT('Шаг2.Бланк заказа NEW'!$B$19:$B$201),'Бланк OLD 0.8 04'!$B$12:$K$200,2,0))),
IF(VLOOKUP($A190-COUNT('Шаг2.Бланк заказа NEW'!$B$19:$B$201)-COUNT('Бланк OLD 0.8 04'!$B$18:$B$200),'Бланк OLD 2.0 04 '!$B$16:$K$200,2,0)="","",VLOOKUP($A190-COUNT('Шаг2.Бланк заказа NEW'!$B$19:$B$201)-COUNT('Бланк OLD 0.8 04'!$B$18:$B$200),'Бланк OLD 2.0 04 '!$B$16:$K$200,2,0)))</f>
        <v/>
      </c>
      <c r="F190" s="147" t="str">
        <f ca="1">IFERROR(IFERROR(IF(VLOOKUP($A190,'Шаг2.Бланк заказа NEW'!$B$17:$N$201,3,0)="","",VLOOKUP($A190,'Шаг2.Бланк заказа NEW'!$B$17:$N$201,3,0)),
IF(VLOOKUP($A190-COUNT('Шаг2.Бланк заказа NEW'!$B$19:$B$201),'Бланк OLD 0.8 04'!$B$12:$K$200,3,0)="","",VLOOKUP($A190-COUNT('Шаг2.Бланк заказа NEW'!$B$19:$B$201),'Бланк OLD 0.8 04'!$B$12:$K$200,3,0))),
IF(VLOOKUP($A190-COUNT('Шаг2.Бланк заказа NEW'!$B$19:$B$201)-COUNT('Бланк OLD 0.8 04'!$B$18:$B$200),'Бланк OLD 2.0 04 '!$B$16:$K$200,3,0)="","",VLOOKUP($A190-COUNT('Шаг2.Бланк заказа NEW'!$B$19:$B$201)-COUNT('Бланк OLD 0.8 04'!$B$18:$B$200),'Бланк OLD 2.0 04 '!$B$16:$K$200,3,0)))</f>
        <v/>
      </c>
      <c r="G190" s="176" t="str">
        <f ca="1">IF(IF(R190="","",IF(R190=1,SUMIFS('Шаг1.Выбор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плиты'!C:Q,12,0)),1))))))=0,
R190,
IF(R190="","",IF(R190=1,SUMIFS('Шаг1.Выбор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плиты'!N:N,R190,'Шаг1.Выбор плиты'!M:M,SMALL(INDIRECT("мм"&amp;VLOOKUP(C190,'Шаг1.Выбор плиты'!C:Q,12,0)),1)))))))</f>
        <v/>
      </c>
      <c r="H190" s="177" t="str">
        <f ca="1">IF(IF(S190="","",IF(S190=1,SUMIFS('Шаг1.Выбор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плиты'!C:Q,12,0)),1))))))=0,
S190,
IF(S190="","",IF(S190=1,SUMIFS('Шаг1.Выбор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плиты'!N:N,S190,'Шаг1.Выбор плиты'!M:M,SMALL(INDIRECT("мм"&amp;VLOOKUP(C190,'Шаг1.Выбор плиты'!C:Q,12,0)),1)))))))</f>
        <v/>
      </c>
      <c r="I190" s="147" t="str">
        <f ca="1">IFERROR(IFERROR(IF(VLOOKUP($A190,'Шаг2.Бланк заказа NEW'!$B$17:$N$201,6,0)="","",VLOOKUP($A190,'Шаг2.Бланк заказа NEW'!$B$17:$N$201,6,0)),
IF(VLOOKUP($A190-COUNT('Шаг2.Бланк заказа NEW'!$B$19:$B$201),'Бланк OLD 0.8 04'!$B$12:$K$200,6,0)="","",VLOOKUP($A190-COUNT('Шаг2.Бланк заказа NEW'!$B$19:$B$201),'Бланк OLD 0.8 04'!$B$12:$K$200,6,0))),
IF(VLOOKUP($A190-COUNT('Шаг2.Бланк заказа NEW'!$B$19:$B$201)-COUNT('Бланк OLD 0.8 04'!$B$18:$B$200),'Бланк OLD 2.0 04 '!$B$16:$K$200,6,0)="","",VLOOKUP($A190-COUNT('Шаг2.Бланк заказа NEW'!$B$19:$B$201)-COUNT('Бланк OLD 0.8 04'!$B$18:$B$200),'Бланк OLD 2.0 04 '!$B$16:$K$200,6,0)))</f>
        <v/>
      </c>
      <c r="J190" s="177" t="str">
        <f ca="1">IF(IF(T190="","",IF(T190=1,SUMIFS('Шаг1.Выбор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плиты'!C:Q,12,0)),1))))))=0,
T190,
IF(T190="","",IF(T190=1,SUMIFS('Шаг1.Выбор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плиты'!N:N,T190,'Шаг1.Выбор плиты'!M:M,SMALL(INDIRECT("мм"&amp;VLOOKUP(C190,'Шаг1.Выбор плиты'!C:Q,12,0)),1)))))))</f>
        <v/>
      </c>
      <c r="K190" s="177" t="str">
        <f ca="1">IF(IF(U190="","",IF(U190=1,SUMIFS('Шаг1.Выбор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плиты'!C:Q,12,0)),1))))))=0,
U190,
IF(U190="","",IF(U190=1,SUMIFS('Шаг1.Выбор плиты'!$G:$G,'Шаг1.Выбор плиты'!J:J,"*"&amp;RIGHT(VLOOKUP(C190,'Шаг1.Выбор плиты'!C:Q,8,0),4),'Шаг1.Выбор плиты'!L:L,IF(MID(C190,1,6)="ЛДСП P","TM"&amp;MID(VLOOKUP(C190,'Шаг1.Выбор плиты'!C:Q,10,0),3,2),MID(VLOOKUP(C190,'Шаг1.Выбор плиты'!C:Q,10,0),1,2)),
'Шаг1.Выбор плиты'!N:N,1),IF(SUMIFS('Шаг1.Выбор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плиты'!C:Q,12,0)),1))=0,
IF(SUMIFS('Шаг1.Выбор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плиты'!C:Q,12,0)),2))=0,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плиты'!C:Q,12,0)),3)),
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плиты'!C:Q,12,0)),2))),
(SUMIFS('Шаг1.Выбор плиты'!$G:$G,'Шаг1.Выбор плиты'!J:J,"*"&amp;RIGHT(VLOOKUP(C190,'Шаг1.Выбор плиты'!C:Q,8,0),4),'Шаг1.Выбор плиты'!L:L,VLOOKUP(C190,'Шаг1.Выбор плиты'!C:Q,10,0),'Шаг1.Выбор плиты'!N:N,U190,'Шаг1.Выбор плиты'!M:M,SMALL(INDIRECT("мм"&amp;VLOOKUP(C190,'Шаг1.Выбор плиты'!C:Q,12,0)),1)))))))</f>
        <v/>
      </c>
      <c r="L190" s="147" t="str">
        <f ca="1">IFERROR(IFERROR(IF(VLOOKUP($A190,'Шаг2.Бланк заказа NEW'!$B$17:$N$201,9,0)="","",VLOOKUP($A190,'Шаг2.Бланк заказа NEW'!$B$17:$N$201,9,0)),
IF(VLOOKUP($A190-COUNT('Шаг2.Бланк заказа NEW'!$B$19:$B$201),'Бланк OLD 0.8 04'!$B$12:$K$200,9,0)="","",VLOOKUP($A190-COUNT('Шаг2.Бланк заказа NEW'!$B$19:$B$201),'Бланк OLD 0.8 04'!$B$12:$K$200,9,0))),
IF(VLOOKUP($A190-COUNT('Шаг2.Бланк заказа NEW'!$B$19:$B$201)-COUNT('Бланк OLD 0.8 04'!$B$18:$B$200),'Бланк OLD 2.0 04 '!$B$16:$K$200,9,0)="","",VLOOKUP($A190-COUNT('Шаг2.Бланк заказа NEW'!$B$19:$B$201)-COUNT('Бланк OLD 0.8 04'!$B$18:$B$200),'Бланк OLD 2.0 04 '!$B$16:$K$200,9,0)))</f>
        <v/>
      </c>
      <c r="M190" s="154" t="str">
        <f t="shared" ca="1" si="15"/>
        <v/>
      </c>
      <c r="N190" s="153" t="str">
        <f ca="1">IFERROR(IF(VLOOKUP($A190,'Шаг2.Бланк заказа NEW'!$B$17:$N$201,11,0)="","",VLOOKUP($A190,'Шаг2.Бланк заказа NEW'!$B$17:$N$201,11,0)),
"Нет")</f>
        <v/>
      </c>
      <c r="O190" s="147" t="str">
        <f ca="1">IFERROR(IF(VLOOKUP($A190,'Шаг2.Бланк заказа NEW'!$B$17:$N$201,11,0)="","",VLOOKUP($A190,'Шаг2.Бланк заказа NEW'!$B$17:$N$201,12,0)),
"Нет")</f>
        <v/>
      </c>
      <c r="P190" s="153" t="str">
        <f ca="1">IFERROR(IF(VLOOKUP($A190,'Шаг2.Бланк заказа NEW'!$B$17:$N$201,13,0)="","",VLOOKUP($A190,'Шаг2.Бланк заказа NEW'!$B$17:$N$201,13,0)),
"Нет")</f>
        <v/>
      </c>
      <c r="Q190" s="147" t="str">
        <f ca="1">IFERROR(IF(VLOOKUP($A190,'Шаг2.Бланк заказа NEW'!$B$17:$O$201,14,0)="","",VLOOKUP($A190,'Шаг2.Бланк заказа NEW'!$B$17:$O$201,14,0)),"")</f>
        <v/>
      </c>
      <c r="R190" s="147" t="str">
        <f ca="1">IFERROR(IFERROR(IF(VLOOKUP($A190,'Шаг2.Бланк заказа NEW'!$B$17:$N$201,4,0)="","",VLOOKUP($A190,'Шаг2.Бланк заказа NEW'!$B$17:$N$201,4,0)),
IF(VLOOKUP($A190-COUNT('Шаг2.Бланк заказа NEW'!$B$19:$B$201),'Бланк OLD 0.8 04'!$B$12:$K$200,4,0)&gt;0,0.8,
IF(VLOOKUP($A190-COUNT('Шаг2.Бланк заказа NEW'!$B$19:$B$201),'Бланк OLD 0.8 04'!$B$12:$K$200,5,0)&gt;0,0.4,""))),
IF(VLOOKUP($A190-COUNT('Шаг2.Бланк заказа NEW'!$B$19:$B$201)-COUNT('Бланк OLD 0.8 04'!$B$18:$B$200),'Бланк OLD 2.0 04 '!$B$16:$K$200,4,0)&gt;0,2,IF(VLOOKUP($A190-COUNT('Шаг2.Бланк заказа NEW'!$B$19:$B$201)-COUNT('Бланк OLD 0.8 04'!$B$18:$B$200),'Бланк OLD 2.0 04 '!$B$16:$K$200,5,0)&gt;0,0.4,"")))</f>
        <v/>
      </c>
      <c r="S190" s="147" t="str">
        <f ca="1">IFERROR(IFERROR(IF(VLOOKUP($A190,'Шаг2.Бланк заказа NEW'!$B$17:$N$201,5,0)="","",VLOOKUP($A190,'Шаг2.Бланк заказа NEW'!$B$17:$N$201,5,0)),
IF(VLOOKUP($A190-COUNT('Шаг2.Бланк заказа NEW'!$B$19:$B$201),'Бланк OLD 0.8 04'!$B$12:$K$200,4,0)&gt;1,0.8,
IF(VLOOKUP($A190-COUNT('Шаг2.Бланк заказа NEW'!$B$19:$B$201),'Бланк OLD 0.8 04'!$B$12:$K$200,5,0)&gt;1,0.4,
IF(AND(VLOOKUP($A190-COUNT('Шаг2.Бланк заказа NEW'!$B$19:$B$201),'Бланк OLD 0.8 04'!$B$12:$K$200,4,0)&gt;0,VLOOKUP($A190-COUNT('Шаг2.Бланк заказа NEW'!$B$19:$B$201),'Бланк OLD 0.8 04'!$B$12:$K$200,5,0)&gt;0),0.4,"")))),
IF(VLOOKUP($A190-COUNT('Шаг2.Бланк заказа NEW'!$B$19:$B$201)-COUNT('Бланк OLD 0.8 04'!$B$18:$B$200),'Бланк OLD 2.0 04 '!$B$16:$K$200,4,0)&gt;1,2,
IF(VLOOKUP($A190-COUNT('Шаг2.Бланк заказа NEW'!$B$19:$B$201)-COUNT('Бланк OLD 0.8 04'!$B$18:$B$200),'Бланк OLD 2.0 04 '!$B$16:$K$200,5,0)&gt;1,0.4,IF(AND(VLOOKUP($A190-COUNT('Шаг2.Бланк заказа NEW'!$B$19:$B$201)-COUNT('Бланк OLD 0.8 04'!$B$18:$B$200),'Бланк OLD 2.0 04 '!$B$16:$K$200,4,0)&gt;0,VLOOKUP($A190-COUNT('Шаг2.Бланк заказа NEW'!$B$19:$B$201)-COUNT('Бланк OLD 0.8 04'!$B$18:$B$200),'Бланк OLD 2.0 04 '!$B$16:$K$200,5,0)&gt;0),0.4,""))))</f>
        <v/>
      </c>
      <c r="T190" s="147" t="str">
        <f ca="1">IFERROR(IFERROR(IF(VLOOKUP($A190,'Шаг2.Бланк заказа NEW'!$B$17:$N$201,7,0)="","",VLOOKUP($A190,'Шаг2.Бланк заказа NEW'!$B$17:$N$201,7,0)),
IF(VLOOKUP($A190-COUNT('Шаг2.Бланк заказа NEW'!$B$19:$B$201),'Бланк OLD 0.8 04'!$B$12:$K$200,7,0)&gt;0,0.8,
IF(VLOOKUP($A190-COUNT('Шаг2.Бланк заказа NEW'!$B$19:$B$201),'Бланк OLD 0.8 04'!$B$12:$K$200,8,0)&gt;0,0.4,""))),
IF(VLOOKUP($A190-COUNT('Шаг2.Бланк заказа NEW'!$B$19:$B$201)-COUNT('Бланк OLD 0.8 04'!$B$18:$B$200),'Бланк OLD 2.0 04 '!$B$16:$K$200,7,0)&gt;0,2,IF(VLOOKUP($A190-COUNT('Шаг2.Бланк заказа NEW'!$B$19:$B$201)-COUNT('Бланк OLD 0.8 04'!$B$18:$B$200),'Бланк OLD 2.0 04 '!$B$16:$K$200,8,0)&gt;0,0.4,"")))</f>
        <v/>
      </c>
      <c r="U190" s="147" t="str">
        <f ca="1">IFERROR(IFERROR(IF(VLOOKUP($A190,'Шаг2.Бланк заказа NEW'!$B$17:$N$201,8,0)="","",VLOOKUP($A190,'Шаг2.Бланк заказа NEW'!$B$17:$N$201,8,0)),
IF(VLOOKUP($A190-COUNT('Шаг2.Бланк заказа NEW'!$B$19:$B$201),'Бланк OLD 0.8 04'!$B$12:$K$200,7,0)&gt;1,0.8,
IF(VLOOKUP($A190-COUNT('Шаг2.Бланк заказа NEW'!$B$19:$B$201),'Бланк OLD 0.8 04'!$B$12:$K$200,8,0)&gt;1,0.4,
IF(AND(VLOOKUP($A190-COUNT('Шаг2.Бланк заказа NEW'!$B$19:$B$201),'Бланк OLD 0.8 04'!$B$12:$K$200,7,0)&gt;0,VLOOKUP($A190-COUNT('Шаг2.Бланк заказа NEW'!$B$19:$B$201),'Бланк OLD 0.8 04'!$B$12:$K$200,8,0)&gt;0),0.4,"")))),
IF(VLOOKUP($A190-COUNT('Шаг2.Бланк заказа NEW'!$B$19:$B$201)-COUNT('Бланк OLD 0.8 04'!$B$18:$B$200),'Бланк OLD 2.0 04 '!$B$16:$K$200,7,0)&gt;1,2,
IF(VLOOKUP($A190-COUNT('Шаг2.Бланк заказа NEW'!$B$19:$B$201)-COUNT('Бланк OLD 0.8 04'!$B$18:$B$200),'Бланк OLD 2.0 04 '!$B$16:$K$200,8,0)&gt;1,0.4,
IF(AND(VLOOKUP($A190-COUNT('Шаг2.Бланк заказа NEW'!$B$19:$B$201)-COUNT('Бланк OLD 0.8 04'!$B$18:$B$200),'Бланк OLD 2.0 04 '!$B$16:$K$200,7,0)&gt;0,VLOOKUP($A190-COUNT('Шаг2.Бланк заказа NEW'!$B$19:$B$201)-COUNT('Бланк OLD 0.8 04'!$B$18:$B$200),'Бланк OLD 2.0 04 '!$B$16:$K$200,8,0)&gt;0),0.4,""))))</f>
        <v/>
      </c>
      <c r="V190" s="146" t="str">
        <f ca="1">IFERROR(VLOOKUP(C190,'Шаг1.Выбор плиты'!C:S,12,0),"")</f>
        <v/>
      </c>
      <c r="W190" s="146" t="str">
        <f ca="1">IFERROR(VLOOKUP(C190,'Шаг1.Выбор плиты'!C:S,8,0),"")</f>
        <v/>
      </c>
      <c r="X190" s="146" t="str">
        <f ca="1">IFERROR(VLOOKUP(C190,'Шаг1.Выбор плиты'!C:S,10,0),"")</f>
        <v/>
      </c>
      <c r="Y190" s="147" t="str">
        <f t="shared" ca="1" si="13"/>
        <v/>
      </c>
      <c r="AD190" s="147" t="str">
        <f t="shared" ca="1" si="16"/>
        <v/>
      </c>
      <c r="AE190" s="147" t="str">
        <f t="shared" ca="1" si="14"/>
        <v/>
      </c>
      <c r="AF190" s="25"/>
      <c r="AH190" s="147" t="str">
        <f ca="1">IF(C190="","",VLOOKUP(C190,'Шаг1.Выбор плиты'!C:Q,7,0))</f>
        <v/>
      </c>
      <c r="AI190" s="147" t="str">
        <f t="shared" ca="1" si="17"/>
        <v/>
      </c>
    </row>
    <row r="191" spans="1:35" x14ac:dyDescent="0.2">
      <c r="A191" s="151" t="str">
        <f ca="1">IF(C191="","",MAX($A$1:OFFSET(C191,-1,0))+1)</f>
        <v/>
      </c>
      <c r="B191" s="151" t="str">
        <f ca="1">IFERROR(IFERROR(IFERROR("Шаг2.Бланк заказа NEW №"&amp;VLOOKUP(A190+1,CHOOSE({1,2},'Шаг2.Бланк заказа NEW'!$B$19:$B$201,'Шаг2.Бланк заказа NEW'!$A$19:$A$201),1,0),
"Бланк OLD 0.8 04 №"&amp;VLOOKUP(A190+1-COUNT('Шаг2.Бланк заказа NEW'!$B$19:$B$201),CHOOSE({1,2},'Бланк OLD 0.8 04'!$B$18:$B$200,'Бланк OLD 0.8 04'!$A$18:$A$200),1,0)),
"Бланк OLD 2.0 04 №"&amp;VLOOKUP(A190+1-COUNT('Шаг2.Бланк заказа NEW'!$B$19:$B$201)-COUNT('Бланк OLD 0.8 04'!$B$18:$B$200),CHOOSE({1,2},'Бланк OLD 2.0 04 '!$B$18:$B$200,'Бланк OLD 2.0 04 '!$A$18:$A$200),1,0)),"")</f>
        <v/>
      </c>
      <c r="C191" s="152" t="str">
        <f ca="1">IFERROR(IFERROR(IFERROR(VLOOKUP(A190+1,CHOOSE({1,2},'Шаг2.Бланк заказа NEW'!$B$19:$B$201,'Шаг2.Бланк заказа NEW'!$A$19:$A$201),2,0),
VLOOKUP(A190+1-COUNT('Шаг2.Бланк заказа NEW'!$B$19:$B$201),CHOOSE({1,2},'Бланк OLD 0.8 04'!$B$18:$B$200,'Бланк OLD 0.8 04'!$A$18:$A$200),2,0)),
VLOOKUP(A190+1-COUNT('Шаг2.Бланк заказа NEW'!$B$19:$B$201)-COUNT('Бланк OLD 0.8 04'!$B$18:$B$200),CHOOSE({1,2},'Бланк OLD 2.0 04 '!$B$18:$B$200,'Бланк OLD 2.0 04 '!$A$18:$A$200),2,0)),"")</f>
        <v/>
      </c>
      <c r="D191" s="150" t="str">
        <f ca="1">IFERROR(VLOOKUP(C191,'Шаг1.Выбор плиты'!C:G,5,0),"")</f>
        <v/>
      </c>
      <c r="E191" s="147" t="str">
        <f ca="1">IFERROR(IFERROR(IF(VLOOKUP($A191,'Шаг2.Бланк заказа NEW'!$B$17:$N$201,2,0)="","",VLOOKUP($A191,'Шаг2.Бланк заказа NEW'!$B$17:$N$201,2,0)),
IF(VLOOKUP($A191-COUNT('Шаг2.Бланк заказа NEW'!$B$19:$B$201),'Бланк OLD 0.8 04'!$B$12:$K$200,2,0)="","",VLOOKUP($A191-COUNT('Шаг2.Бланк заказа NEW'!$B$19:$B$201),'Бланк OLD 0.8 04'!$B$12:$K$200,2,0))),
IF(VLOOKUP($A191-COUNT('Шаг2.Бланк заказа NEW'!$B$19:$B$201)-COUNT('Бланк OLD 0.8 04'!$B$18:$B$200),'Бланк OLD 2.0 04 '!$B$16:$K$200,2,0)="","",VLOOKUP($A191-COUNT('Шаг2.Бланк заказа NEW'!$B$19:$B$201)-COUNT('Бланк OLD 0.8 04'!$B$18:$B$200),'Бланк OLD 2.0 04 '!$B$16:$K$200,2,0)))</f>
        <v/>
      </c>
      <c r="F191" s="147" t="str">
        <f ca="1">IFERROR(IFERROR(IF(VLOOKUP($A191,'Шаг2.Бланк заказа NEW'!$B$17:$N$201,3,0)="","",VLOOKUP($A191,'Шаг2.Бланк заказа NEW'!$B$17:$N$201,3,0)),
IF(VLOOKUP($A191-COUNT('Шаг2.Бланк заказа NEW'!$B$19:$B$201),'Бланк OLD 0.8 04'!$B$12:$K$200,3,0)="","",VLOOKUP($A191-COUNT('Шаг2.Бланк заказа NEW'!$B$19:$B$201),'Бланк OLD 0.8 04'!$B$12:$K$200,3,0))),
IF(VLOOKUP($A191-COUNT('Шаг2.Бланк заказа NEW'!$B$19:$B$201)-COUNT('Бланк OLD 0.8 04'!$B$18:$B$200),'Бланк OLD 2.0 04 '!$B$16:$K$200,3,0)="","",VLOOKUP($A191-COUNT('Шаг2.Бланк заказа NEW'!$B$19:$B$201)-COUNT('Бланк OLD 0.8 04'!$B$18:$B$200),'Бланк OLD 2.0 04 '!$B$16:$K$200,3,0)))</f>
        <v/>
      </c>
      <c r="G191" s="176" t="str">
        <f ca="1">IF(IF(R191="","",IF(R191=1,SUMIFS('Шаг1.Выбор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плиты'!C:Q,12,0)),1))))))=0,
R191,
IF(R191="","",IF(R191=1,SUMIFS('Шаг1.Выбор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плиты'!N:N,R191,'Шаг1.Выбор плиты'!M:M,SMALL(INDIRECT("мм"&amp;VLOOKUP(C191,'Шаг1.Выбор плиты'!C:Q,12,0)),1)))))))</f>
        <v/>
      </c>
      <c r="H191" s="177" t="str">
        <f ca="1">IF(IF(S191="","",IF(S191=1,SUMIFS('Шаг1.Выбор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плиты'!C:Q,12,0)),1))))))=0,
S191,
IF(S191="","",IF(S191=1,SUMIFS('Шаг1.Выбор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плиты'!N:N,S191,'Шаг1.Выбор плиты'!M:M,SMALL(INDIRECT("мм"&amp;VLOOKUP(C191,'Шаг1.Выбор плиты'!C:Q,12,0)),1)))))))</f>
        <v/>
      </c>
      <c r="I191" s="147" t="str">
        <f ca="1">IFERROR(IFERROR(IF(VLOOKUP($A191,'Шаг2.Бланк заказа NEW'!$B$17:$N$201,6,0)="","",VLOOKUP($A191,'Шаг2.Бланк заказа NEW'!$B$17:$N$201,6,0)),
IF(VLOOKUP($A191-COUNT('Шаг2.Бланк заказа NEW'!$B$19:$B$201),'Бланк OLD 0.8 04'!$B$12:$K$200,6,0)="","",VLOOKUP($A191-COUNT('Шаг2.Бланк заказа NEW'!$B$19:$B$201),'Бланк OLD 0.8 04'!$B$12:$K$200,6,0))),
IF(VLOOKUP($A191-COUNT('Шаг2.Бланк заказа NEW'!$B$19:$B$201)-COUNT('Бланк OLD 0.8 04'!$B$18:$B$200),'Бланк OLD 2.0 04 '!$B$16:$K$200,6,0)="","",VLOOKUP($A191-COUNT('Шаг2.Бланк заказа NEW'!$B$19:$B$201)-COUNT('Бланк OLD 0.8 04'!$B$18:$B$200),'Бланк OLD 2.0 04 '!$B$16:$K$200,6,0)))</f>
        <v/>
      </c>
      <c r="J191" s="177" t="str">
        <f ca="1">IF(IF(T191="","",IF(T191=1,SUMIFS('Шаг1.Выбор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плиты'!C:Q,12,0)),1))))))=0,
T191,
IF(T191="","",IF(T191=1,SUMIFS('Шаг1.Выбор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плиты'!N:N,T191,'Шаг1.Выбор плиты'!M:M,SMALL(INDIRECT("мм"&amp;VLOOKUP(C191,'Шаг1.Выбор плиты'!C:Q,12,0)),1)))))))</f>
        <v/>
      </c>
      <c r="K191" s="177" t="str">
        <f ca="1">IF(IF(U191="","",IF(U191=1,SUMIFS('Шаг1.Выбор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плиты'!C:Q,12,0)),1))))))=0,
U191,
IF(U191="","",IF(U191=1,SUMIFS('Шаг1.Выбор плиты'!$G:$G,'Шаг1.Выбор плиты'!J:J,"*"&amp;RIGHT(VLOOKUP(C191,'Шаг1.Выбор плиты'!C:Q,8,0),4),'Шаг1.Выбор плиты'!L:L,IF(MID(C191,1,6)="ЛДСП P","TM"&amp;MID(VLOOKUP(C191,'Шаг1.Выбор плиты'!C:Q,10,0),3,2),MID(VLOOKUP(C191,'Шаг1.Выбор плиты'!C:Q,10,0),1,2)),
'Шаг1.Выбор плиты'!N:N,1),IF(SUMIFS('Шаг1.Выбор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плиты'!C:Q,12,0)),1))=0,
IF(SUMIFS('Шаг1.Выбор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плиты'!C:Q,12,0)),2))=0,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плиты'!C:Q,12,0)),3)),
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плиты'!C:Q,12,0)),2))),
(SUMIFS('Шаг1.Выбор плиты'!$G:$G,'Шаг1.Выбор плиты'!J:J,"*"&amp;RIGHT(VLOOKUP(C191,'Шаг1.Выбор плиты'!C:Q,8,0),4),'Шаг1.Выбор плиты'!L:L,VLOOKUP(C191,'Шаг1.Выбор плиты'!C:Q,10,0),'Шаг1.Выбор плиты'!N:N,U191,'Шаг1.Выбор плиты'!M:M,SMALL(INDIRECT("мм"&amp;VLOOKUP(C191,'Шаг1.Выбор плиты'!C:Q,12,0)),1)))))))</f>
        <v/>
      </c>
      <c r="L191" s="147" t="str">
        <f ca="1">IFERROR(IFERROR(IF(VLOOKUP($A191,'Шаг2.Бланк заказа NEW'!$B$17:$N$201,9,0)="","",VLOOKUP($A191,'Шаг2.Бланк заказа NEW'!$B$17:$N$201,9,0)),
IF(VLOOKUP($A191-COUNT('Шаг2.Бланк заказа NEW'!$B$19:$B$201),'Бланк OLD 0.8 04'!$B$12:$K$200,9,0)="","",VLOOKUP($A191-COUNT('Шаг2.Бланк заказа NEW'!$B$19:$B$201),'Бланк OLD 0.8 04'!$B$12:$K$200,9,0))),
IF(VLOOKUP($A191-COUNT('Шаг2.Бланк заказа NEW'!$B$19:$B$201)-COUNT('Бланк OLD 0.8 04'!$B$18:$B$200),'Бланк OLD 2.0 04 '!$B$16:$K$200,9,0)="","",VLOOKUP($A191-COUNT('Шаг2.Бланк заказа NEW'!$B$19:$B$201)-COUNT('Бланк OLD 0.8 04'!$B$18:$B$200),'Бланк OLD 2.0 04 '!$B$16:$K$200,9,0)))</f>
        <v/>
      </c>
      <c r="M191" s="154" t="str">
        <f t="shared" ca="1" si="15"/>
        <v/>
      </c>
      <c r="N191" s="153" t="str">
        <f ca="1">IFERROR(IF(VLOOKUP($A191,'Шаг2.Бланк заказа NEW'!$B$17:$N$201,11,0)="","",VLOOKUP($A191,'Шаг2.Бланк заказа NEW'!$B$17:$N$201,11,0)),
"Нет")</f>
        <v/>
      </c>
      <c r="O191" s="147" t="str">
        <f ca="1">IFERROR(IF(VLOOKUP($A191,'Шаг2.Бланк заказа NEW'!$B$17:$N$201,11,0)="","",VLOOKUP($A191,'Шаг2.Бланк заказа NEW'!$B$17:$N$201,12,0)),
"Нет")</f>
        <v/>
      </c>
      <c r="P191" s="153" t="str">
        <f ca="1">IFERROR(IF(VLOOKUP($A191,'Шаг2.Бланк заказа NEW'!$B$17:$N$201,13,0)="","",VLOOKUP($A191,'Шаг2.Бланк заказа NEW'!$B$17:$N$201,13,0)),
"Нет")</f>
        <v/>
      </c>
      <c r="Q191" s="147" t="str">
        <f ca="1">IFERROR(IF(VLOOKUP($A191,'Шаг2.Бланк заказа NEW'!$B$17:$O$201,14,0)="","",VLOOKUP($A191,'Шаг2.Бланк заказа NEW'!$B$17:$O$201,14,0)),"")</f>
        <v/>
      </c>
      <c r="R191" s="147" t="str">
        <f ca="1">IFERROR(IFERROR(IF(VLOOKUP($A191,'Шаг2.Бланк заказа NEW'!$B$17:$N$201,4,0)="","",VLOOKUP($A191,'Шаг2.Бланк заказа NEW'!$B$17:$N$201,4,0)),
IF(VLOOKUP($A191-COUNT('Шаг2.Бланк заказа NEW'!$B$19:$B$201),'Бланк OLD 0.8 04'!$B$12:$K$200,4,0)&gt;0,0.8,
IF(VLOOKUP($A191-COUNT('Шаг2.Бланк заказа NEW'!$B$19:$B$201),'Бланк OLD 0.8 04'!$B$12:$K$200,5,0)&gt;0,0.4,""))),
IF(VLOOKUP($A191-COUNT('Шаг2.Бланк заказа NEW'!$B$19:$B$201)-COUNT('Бланк OLD 0.8 04'!$B$18:$B$200),'Бланк OLD 2.0 04 '!$B$16:$K$200,4,0)&gt;0,2,IF(VLOOKUP($A191-COUNT('Шаг2.Бланк заказа NEW'!$B$19:$B$201)-COUNT('Бланк OLD 0.8 04'!$B$18:$B$200),'Бланк OLD 2.0 04 '!$B$16:$K$200,5,0)&gt;0,0.4,"")))</f>
        <v/>
      </c>
      <c r="S191" s="147" t="str">
        <f ca="1">IFERROR(IFERROR(IF(VLOOKUP($A191,'Шаг2.Бланк заказа NEW'!$B$17:$N$201,5,0)="","",VLOOKUP($A191,'Шаг2.Бланк заказа NEW'!$B$17:$N$201,5,0)),
IF(VLOOKUP($A191-COUNT('Шаг2.Бланк заказа NEW'!$B$19:$B$201),'Бланк OLD 0.8 04'!$B$12:$K$200,4,0)&gt;1,0.8,
IF(VLOOKUP($A191-COUNT('Шаг2.Бланк заказа NEW'!$B$19:$B$201),'Бланк OLD 0.8 04'!$B$12:$K$200,5,0)&gt;1,0.4,
IF(AND(VLOOKUP($A191-COUNT('Шаг2.Бланк заказа NEW'!$B$19:$B$201),'Бланк OLD 0.8 04'!$B$12:$K$200,4,0)&gt;0,VLOOKUP($A191-COUNT('Шаг2.Бланк заказа NEW'!$B$19:$B$201),'Бланк OLD 0.8 04'!$B$12:$K$200,5,0)&gt;0),0.4,"")))),
IF(VLOOKUP($A191-COUNT('Шаг2.Бланк заказа NEW'!$B$19:$B$201)-COUNT('Бланк OLD 0.8 04'!$B$18:$B$200),'Бланк OLD 2.0 04 '!$B$16:$K$200,4,0)&gt;1,2,
IF(VLOOKUP($A191-COUNT('Шаг2.Бланк заказа NEW'!$B$19:$B$201)-COUNT('Бланк OLD 0.8 04'!$B$18:$B$200),'Бланк OLD 2.0 04 '!$B$16:$K$200,5,0)&gt;1,0.4,IF(AND(VLOOKUP($A191-COUNT('Шаг2.Бланк заказа NEW'!$B$19:$B$201)-COUNT('Бланк OLD 0.8 04'!$B$18:$B$200),'Бланк OLD 2.0 04 '!$B$16:$K$200,4,0)&gt;0,VLOOKUP($A191-COUNT('Шаг2.Бланк заказа NEW'!$B$19:$B$201)-COUNT('Бланк OLD 0.8 04'!$B$18:$B$200),'Бланк OLD 2.0 04 '!$B$16:$K$200,5,0)&gt;0),0.4,""))))</f>
        <v/>
      </c>
      <c r="T191" s="147" t="str">
        <f ca="1">IFERROR(IFERROR(IF(VLOOKUP($A191,'Шаг2.Бланк заказа NEW'!$B$17:$N$201,7,0)="","",VLOOKUP($A191,'Шаг2.Бланк заказа NEW'!$B$17:$N$201,7,0)),
IF(VLOOKUP($A191-COUNT('Шаг2.Бланк заказа NEW'!$B$19:$B$201),'Бланк OLD 0.8 04'!$B$12:$K$200,7,0)&gt;0,0.8,
IF(VLOOKUP($A191-COUNT('Шаг2.Бланк заказа NEW'!$B$19:$B$201),'Бланк OLD 0.8 04'!$B$12:$K$200,8,0)&gt;0,0.4,""))),
IF(VLOOKUP($A191-COUNT('Шаг2.Бланк заказа NEW'!$B$19:$B$201)-COUNT('Бланк OLD 0.8 04'!$B$18:$B$200),'Бланк OLD 2.0 04 '!$B$16:$K$200,7,0)&gt;0,2,IF(VLOOKUP($A191-COUNT('Шаг2.Бланк заказа NEW'!$B$19:$B$201)-COUNT('Бланк OLD 0.8 04'!$B$18:$B$200),'Бланк OLD 2.0 04 '!$B$16:$K$200,8,0)&gt;0,0.4,"")))</f>
        <v/>
      </c>
      <c r="U191" s="147" t="str">
        <f ca="1">IFERROR(IFERROR(IF(VLOOKUP($A191,'Шаг2.Бланк заказа NEW'!$B$17:$N$201,8,0)="","",VLOOKUP($A191,'Шаг2.Бланк заказа NEW'!$B$17:$N$201,8,0)),
IF(VLOOKUP($A191-COUNT('Шаг2.Бланк заказа NEW'!$B$19:$B$201),'Бланк OLD 0.8 04'!$B$12:$K$200,7,0)&gt;1,0.8,
IF(VLOOKUP($A191-COUNT('Шаг2.Бланк заказа NEW'!$B$19:$B$201),'Бланк OLD 0.8 04'!$B$12:$K$200,8,0)&gt;1,0.4,
IF(AND(VLOOKUP($A191-COUNT('Шаг2.Бланк заказа NEW'!$B$19:$B$201),'Бланк OLD 0.8 04'!$B$12:$K$200,7,0)&gt;0,VLOOKUP($A191-COUNT('Шаг2.Бланк заказа NEW'!$B$19:$B$201),'Бланк OLD 0.8 04'!$B$12:$K$200,8,0)&gt;0),0.4,"")))),
IF(VLOOKUP($A191-COUNT('Шаг2.Бланк заказа NEW'!$B$19:$B$201)-COUNT('Бланк OLD 0.8 04'!$B$18:$B$200),'Бланк OLD 2.0 04 '!$B$16:$K$200,7,0)&gt;1,2,
IF(VLOOKUP($A191-COUNT('Шаг2.Бланк заказа NEW'!$B$19:$B$201)-COUNT('Бланк OLD 0.8 04'!$B$18:$B$200),'Бланк OLD 2.0 04 '!$B$16:$K$200,8,0)&gt;1,0.4,
IF(AND(VLOOKUP($A191-COUNT('Шаг2.Бланк заказа NEW'!$B$19:$B$201)-COUNT('Бланк OLD 0.8 04'!$B$18:$B$200),'Бланк OLD 2.0 04 '!$B$16:$K$200,7,0)&gt;0,VLOOKUP($A191-COUNT('Шаг2.Бланк заказа NEW'!$B$19:$B$201)-COUNT('Бланк OLD 0.8 04'!$B$18:$B$200),'Бланк OLD 2.0 04 '!$B$16:$K$200,8,0)&gt;0),0.4,""))))</f>
        <v/>
      </c>
      <c r="V191" s="146" t="str">
        <f ca="1">IFERROR(VLOOKUP(C191,'Шаг1.Выбор плиты'!C:S,12,0),"")</f>
        <v/>
      </c>
      <c r="W191" s="146" t="str">
        <f ca="1">IFERROR(VLOOKUP(C191,'Шаг1.Выбор плиты'!C:S,8,0),"")</f>
        <v/>
      </c>
      <c r="X191" s="146" t="str">
        <f ca="1">IFERROR(VLOOKUP(C191,'Шаг1.Выбор плиты'!C:S,10,0),"")</f>
        <v/>
      </c>
      <c r="Y191" s="147" t="str">
        <f t="shared" ca="1" si="13"/>
        <v/>
      </c>
      <c r="AD191" s="147" t="str">
        <f t="shared" ca="1" si="16"/>
        <v/>
      </c>
      <c r="AE191" s="147" t="str">
        <f t="shared" ca="1" si="14"/>
        <v/>
      </c>
      <c r="AF191" s="25"/>
      <c r="AH191" s="147" t="str">
        <f ca="1">IF(C191="","",VLOOKUP(C191,'Шаг1.Выбор плиты'!C:Q,7,0))</f>
        <v/>
      </c>
      <c r="AI191" s="147" t="str">
        <f t="shared" ca="1" si="17"/>
        <v/>
      </c>
    </row>
    <row r="192" spans="1:35" x14ac:dyDescent="0.2">
      <c r="A192" s="151" t="str">
        <f ca="1">IF(C192="","",MAX($A$1:OFFSET(C192,-1,0))+1)</f>
        <v/>
      </c>
      <c r="B192" s="151" t="str">
        <f ca="1">IFERROR(IFERROR(IFERROR("Шаг2.Бланк заказа NEW №"&amp;VLOOKUP(A191+1,CHOOSE({1,2},'Шаг2.Бланк заказа NEW'!$B$19:$B$201,'Шаг2.Бланк заказа NEW'!$A$19:$A$201),1,0),
"Бланк OLD 0.8 04 №"&amp;VLOOKUP(A191+1-COUNT('Шаг2.Бланк заказа NEW'!$B$19:$B$201),CHOOSE({1,2},'Бланк OLD 0.8 04'!$B$18:$B$200,'Бланк OLD 0.8 04'!$A$18:$A$200),1,0)),
"Бланк OLD 2.0 04 №"&amp;VLOOKUP(A191+1-COUNT('Шаг2.Бланк заказа NEW'!$B$19:$B$201)-COUNT('Бланк OLD 0.8 04'!$B$18:$B$200),CHOOSE({1,2},'Бланк OLD 2.0 04 '!$B$18:$B$200,'Бланк OLD 2.0 04 '!$A$18:$A$200),1,0)),"")</f>
        <v/>
      </c>
      <c r="C192" s="152" t="str">
        <f ca="1">IFERROR(IFERROR(IFERROR(VLOOKUP(A191+1,CHOOSE({1,2},'Шаг2.Бланк заказа NEW'!$B$19:$B$201,'Шаг2.Бланк заказа NEW'!$A$19:$A$201),2,0),
VLOOKUP(A191+1-COUNT('Шаг2.Бланк заказа NEW'!$B$19:$B$201),CHOOSE({1,2},'Бланк OLD 0.8 04'!$B$18:$B$200,'Бланк OLD 0.8 04'!$A$18:$A$200),2,0)),
VLOOKUP(A191+1-COUNT('Шаг2.Бланк заказа NEW'!$B$19:$B$201)-COUNT('Бланк OLD 0.8 04'!$B$18:$B$200),CHOOSE({1,2},'Бланк OLD 2.0 04 '!$B$18:$B$200,'Бланк OLD 2.0 04 '!$A$18:$A$200),2,0)),"")</f>
        <v/>
      </c>
      <c r="D192" s="150" t="str">
        <f ca="1">IFERROR(VLOOKUP(C192,'Шаг1.Выбор плиты'!C:G,5,0),"")</f>
        <v/>
      </c>
      <c r="E192" s="147" t="str">
        <f ca="1">IFERROR(IFERROR(IF(VLOOKUP($A192,'Шаг2.Бланк заказа NEW'!$B$17:$N$201,2,0)="","",VLOOKUP($A192,'Шаг2.Бланк заказа NEW'!$B$17:$N$201,2,0)),
IF(VLOOKUP($A192-COUNT('Шаг2.Бланк заказа NEW'!$B$19:$B$201),'Бланк OLD 0.8 04'!$B$12:$K$200,2,0)="","",VLOOKUP($A192-COUNT('Шаг2.Бланк заказа NEW'!$B$19:$B$201),'Бланк OLD 0.8 04'!$B$12:$K$200,2,0))),
IF(VLOOKUP($A192-COUNT('Шаг2.Бланк заказа NEW'!$B$19:$B$201)-COUNT('Бланк OLD 0.8 04'!$B$18:$B$200),'Бланк OLD 2.0 04 '!$B$16:$K$200,2,0)="","",VLOOKUP($A192-COUNT('Шаг2.Бланк заказа NEW'!$B$19:$B$201)-COUNT('Бланк OLD 0.8 04'!$B$18:$B$200),'Бланк OLD 2.0 04 '!$B$16:$K$200,2,0)))</f>
        <v/>
      </c>
      <c r="F192" s="147" t="str">
        <f ca="1">IFERROR(IFERROR(IF(VLOOKUP($A192,'Шаг2.Бланк заказа NEW'!$B$17:$N$201,3,0)="","",VLOOKUP($A192,'Шаг2.Бланк заказа NEW'!$B$17:$N$201,3,0)),
IF(VLOOKUP($A192-COUNT('Шаг2.Бланк заказа NEW'!$B$19:$B$201),'Бланк OLD 0.8 04'!$B$12:$K$200,3,0)="","",VLOOKUP($A192-COUNT('Шаг2.Бланк заказа NEW'!$B$19:$B$201),'Бланк OLD 0.8 04'!$B$12:$K$200,3,0))),
IF(VLOOKUP($A192-COUNT('Шаг2.Бланк заказа NEW'!$B$19:$B$201)-COUNT('Бланк OLD 0.8 04'!$B$18:$B$200),'Бланк OLD 2.0 04 '!$B$16:$K$200,3,0)="","",VLOOKUP($A192-COUNT('Шаг2.Бланк заказа NEW'!$B$19:$B$201)-COUNT('Бланк OLD 0.8 04'!$B$18:$B$200),'Бланк OLD 2.0 04 '!$B$16:$K$200,3,0)))</f>
        <v/>
      </c>
      <c r="G192" s="176" t="str">
        <f ca="1">IF(IF(R192="","",IF(R192=1,SUMIFS('Шаг1.Выбор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плиты'!C:Q,12,0)),1))))))=0,
R192,
IF(R192="","",IF(R192=1,SUMIFS('Шаг1.Выбор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плиты'!N:N,R192,'Шаг1.Выбор плиты'!M:M,SMALL(INDIRECT("мм"&amp;VLOOKUP(C192,'Шаг1.Выбор плиты'!C:Q,12,0)),1)))))))</f>
        <v/>
      </c>
      <c r="H192" s="177" t="str">
        <f ca="1">IF(IF(S192="","",IF(S192=1,SUMIFS('Шаг1.Выбор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плиты'!C:Q,12,0)),1))))))=0,
S192,
IF(S192="","",IF(S192=1,SUMIFS('Шаг1.Выбор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плиты'!N:N,S192,'Шаг1.Выбор плиты'!M:M,SMALL(INDIRECT("мм"&amp;VLOOKUP(C192,'Шаг1.Выбор плиты'!C:Q,12,0)),1)))))))</f>
        <v/>
      </c>
      <c r="I192" s="147" t="str">
        <f ca="1">IFERROR(IFERROR(IF(VLOOKUP($A192,'Шаг2.Бланк заказа NEW'!$B$17:$N$201,6,0)="","",VLOOKUP($A192,'Шаг2.Бланк заказа NEW'!$B$17:$N$201,6,0)),
IF(VLOOKUP($A192-COUNT('Шаг2.Бланк заказа NEW'!$B$19:$B$201),'Бланк OLD 0.8 04'!$B$12:$K$200,6,0)="","",VLOOKUP($A192-COUNT('Шаг2.Бланк заказа NEW'!$B$19:$B$201),'Бланк OLD 0.8 04'!$B$12:$K$200,6,0))),
IF(VLOOKUP($A192-COUNT('Шаг2.Бланк заказа NEW'!$B$19:$B$201)-COUNT('Бланк OLD 0.8 04'!$B$18:$B$200),'Бланк OLD 2.0 04 '!$B$16:$K$200,6,0)="","",VLOOKUP($A192-COUNT('Шаг2.Бланк заказа NEW'!$B$19:$B$201)-COUNT('Бланк OLD 0.8 04'!$B$18:$B$200),'Бланк OLD 2.0 04 '!$B$16:$K$200,6,0)))</f>
        <v/>
      </c>
      <c r="J192" s="177" t="str">
        <f ca="1">IF(IF(T192="","",IF(T192=1,SUMIFS('Шаг1.Выбор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плиты'!C:Q,12,0)),1))))))=0,
T192,
IF(T192="","",IF(T192=1,SUMIFS('Шаг1.Выбор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плиты'!N:N,T192,'Шаг1.Выбор плиты'!M:M,SMALL(INDIRECT("мм"&amp;VLOOKUP(C192,'Шаг1.Выбор плиты'!C:Q,12,0)),1)))))))</f>
        <v/>
      </c>
      <c r="K192" s="177" t="str">
        <f ca="1">IF(IF(U192="","",IF(U192=1,SUMIFS('Шаг1.Выбор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плиты'!C:Q,12,0)),1))))))=0,
U192,
IF(U192="","",IF(U192=1,SUMIFS('Шаг1.Выбор плиты'!$G:$G,'Шаг1.Выбор плиты'!J:J,"*"&amp;RIGHT(VLOOKUP(C192,'Шаг1.Выбор плиты'!C:Q,8,0),4),'Шаг1.Выбор плиты'!L:L,IF(MID(C192,1,6)="ЛДСП P","TM"&amp;MID(VLOOKUP(C192,'Шаг1.Выбор плиты'!C:Q,10,0),3,2),MID(VLOOKUP(C192,'Шаг1.Выбор плиты'!C:Q,10,0),1,2)),
'Шаг1.Выбор плиты'!N:N,1),IF(SUMIFS('Шаг1.Выбор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плиты'!C:Q,12,0)),1))=0,
IF(SUMIFS('Шаг1.Выбор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плиты'!C:Q,12,0)),2))=0,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плиты'!C:Q,12,0)),3)),
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плиты'!C:Q,12,0)),2))),
(SUMIFS('Шаг1.Выбор плиты'!$G:$G,'Шаг1.Выбор плиты'!J:J,"*"&amp;RIGHT(VLOOKUP(C192,'Шаг1.Выбор плиты'!C:Q,8,0),4),'Шаг1.Выбор плиты'!L:L,VLOOKUP(C192,'Шаг1.Выбор плиты'!C:Q,10,0),'Шаг1.Выбор плиты'!N:N,U192,'Шаг1.Выбор плиты'!M:M,SMALL(INDIRECT("мм"&amp;VLOOKUP(C192,'Шаг1.Выбор плиты'!C:Q,12,0)),1)))))))</f>
        <v/>
      </c>
      <c r="L192" s="147" t="str">
        <f ca="1">IFERROR(IFERROR(IF(VLOOKUP($A192,'Шаг2.Бланк заказа NEW'!$B$17:$N$201,9,0)="","",VLOOKUP($A192,'Шаг2.Бланк заказа NEW'!$B$17:$N$201,9,0)),
IF(VLOOKUP($A192-COUNT('Шаг2.Бланк заказа NEW'!$B$19:$B$201),'Бланк OLD 0.8 04'!$B$12:$K$200,9,0)="","",VLOOKUP($A192-COUNT('Шаг2.Бланк заказа NEW'!$B$19:$B$201),'Бланк OLD 0.8 04'!$B$12:$K$200,9,0))),
IF(VLOOKUP($A192-COUNT('Шаг2.Бланк заказа NEW'!$B$19:$B$201)-COUNT('Бланк OLD 0.8 04'!$B$18:$B$200),'Бланк OLD 2.0 04 '!$B$16:$K$200,9,0)="","",VLOOKUP($A192-COUNT('Шаг2.Бланк заказа NEW'!$B$19:$B$201)-COUNT('Бланк OLD 0.8 04'!$B$18:$B$200),'Бланк OLD 2.0 04 '!$B$16:$K$200,9,0)))</f>
        <v/>
      </c>
      <c r="M192" s="154" t="str">
        <f t="shared" ca="1" si="15"/>
        <v/>
      </c>
      <c r="N192" s="153" t="str">
        <f ca="1">IFERROR(IF(VLOOKUP($A192,'Шаг2.Бланк заказа NEW'!$B$17:$N$201,11,0)="","",VLOOKUP($A192,'Шаг2.Бланк заказа NEW'!$B$17:$N$201,11,0)),
"Нет")</f>
        <v/>
      </c>
      <c r="O192" s="147" t="str">
        <f ca="1">IFERROR(IF(VLOOKUP($A192,'Шаг2.Бланк заказа NEW'!$B$17:$N$201,11,0)="","",VLOOKUP($A192,'Шаг2.Бланк заказа NEW'!$B$17:$N$201,12,0)),
"Нет")</f>
        <v/>
      </c>
      <c r="P192" s="153" t="str">
        <f ca="1">IFERROR(IF(VLOOKUP($A192,'Шаг2.Бланк заказа NEW'!$B$17:$N$201,13,0)="","",VLOOKUP($A192,'Шаг2.Бланк заказа NEW'!$B$17:$N$201,13,0)),
"Нет")</f>
        <v/>
      </c>
      <c r="Q192" s="147" t="str">
        <f ca="1">IFERROR(IF(VLOOKUP($A192,'Шаг2.Бланк заказа NEW'!$B$17:$O$201,14,0)="","",VLOOKUP($A192,'Шаг2.Бланк заказа NEW'!$B$17:$O$201,14,0)),"")</f>
        <v/>
      </c>
      <c r="R192" s="147" t="str">
        <f ca="1">IFERROR(IFERROR(IF(VLOOKUP($A192,'Шаг2.Бланк заказа NEW'!$B$17:$N$201,4,0)="","",VLOOKUP($A192,'Шаг2.Бланк заказа NEW'!$B$17:$N$201,4,0)),
IF(VLOOKUP($A192-COUNT('Шаг2.Бланк заказа NEW'!$B$19:$B$201),'Бланк OLD 0.8 04'!$B$12:$K$200,4,0)&gt;0,0.8,
IF(VLOOKUP($A192-COUNT('Шаг2.Бланк заказа NEW'!$B$19:$B$201),'Бланк OLD 0.8 04'!$B$12:$K$200,5,0)&gt;0,0.4,""))),
IF(VLOOKUP($A192-COUNT('Шаг2.Бланк заказа NEW'!$B$19:$B$201)-COUNT('Бланк OLD 0.8 04'!$B$18:$B$200),'Бланк OLD 2.0 04 '!$B$16:$K$200,4,0)&gt;0,2,IF(VLOOKUP($A192-COUNT('Шаг2.Бланк заказа NEW'!$B$19:$B$201)-COUNT('Бланк OLD 0.8 04'!$B$18:$B$200),'Бланк OLD 2.0 04 '!$B$16:$K$200,5,0)&gt;0,0.4,"")))</f>
        <v/>
      </c>
      <c r="S192" s="147" t="str">
        <f ca="1">IFERROR(IFERROR(IF(VLOOKUP($A192,'Шаг2.Бланк заказа NEW'!$B$17:$N$201,5,0)="","",VLOOKUP($A192,'Шаг2.Бланк заказа NEW'!$B$17:$N$201,5,0)),
IF(VLOOKUP($A192-COUNT('Шаг2.Бланк заказа NEW'!$B$19:$B$201),'Бланк OLD 0.8 04'!$B$12:$K$200,4,0)&gt;1,0.8,
IF(VLOOKUP($A192-COUNT('Шаг2.Бланк заказа NEW'!$B$19:$B$201),'Бланк OLD 0.8 04'!$B$12:$K$200,5,0)&gt;1,0.4,
IF(AND(VLOOKUP($A192-COUNT('Шаг2.Бланк заказа NEW'!$B$19:$B$201),'Бланк OLD 0.8 04'!$B$12:$K$200,4,0)&gt;0,VLOOKUP($A192-COUNT('Шаг2.Бланк заказа NEW'!$B$19:$B$201),'Бланк OLD 0.8 04'!$B$12:$K$200,5,0)&gt;0),0.4,"")))),
IF(VLOOKUP($A192-COUNT('Шаг2.Бланк заказа NEW'!$B$19:$B$201)-COUNT('Бланк OLD 0.8 04'!$B$18:$B$200),'Бланк OLD 2.0 04 '!$B$16:$K$200,4,0)&gt;1,2,
IF(VLOOKUP($A192-COUNT('Шаг2.Бланк заказа NEW'!$B$19:$B$201)-COUNT('Бланк OLD 0.8 04'!$B$18:$B$200),'Бланк OLD 2.0 04 '!$B$16:$K$200,5,0)&gt;1,0.4,IF(AND(VLOOKUP($A192-COUNT('Шаг2.Бланк заказа NEW'!$B$19:$B$201)-COUNT('Бланк OLD 0.8 04'!$B$18:$B$200),'Бланк OLD 2.0 04 '!$B$16:$K$200,4,0)&gt;0,VLOOKUP($A192-COUNT('Шаг2.Бланк заказа NEW'!$B$19:$B$201)-COUNT('Бланк OLD 0.8 04'!$B$18:$B$200),'Бланк OLD 2.0 04 '!$B$16:$K$200,5,0)&gt;0),0.4,""))))</f>
        <v/>
      </c>
      <c r="T192" s="147" t="str">
        <f ca="1">IFERROR(IFERROR(IF(VLOOKUP($A192,'Шаг2.Бланк заказа NEW'!$B$17:$N$201,7,0)="","",VLOOKUP($A192,'Шаг2.Бланк заказа NEW'!$B$17:$N$201,7,0)),
IF(VLOOKUP($A192-COUNT('Шаг2.Бланк заказа NEW'!$B$19:$B$201),'Бланк OLD 0.8 04'!$B$12:$K$200,7,0)&gt;0,0.8,
IF(VLOOKUP($A192-COUNT('Шаг2.Бланк заказа NEW'!$B$19:$B$201),'Бланк OLD 0.8 04'!$B$12:$K$200,8,0)&gt;0,0.4,""))),
IF(VLOOKUP($A192-COUNT('Шаг2.Бланк заказа NEW'!$B$19:$B$201)-COUNT('Бланк OLD 0.8 04'!$B$18:$B$200),'Бланк OLD 2.0 04 '!$B$16:$K$200,7,0)&gt;0,2,IF(VLOOKUP($A192-COUNT('Шаг2.Бланк заказа NEW'!$B$19:$B$201)-COUNT('Бланк OLD 0.8 04'!$B$18:$B$200),'Бланк OLD 2.0 04 '!$B$16:$K$200,8,0)&gt;0,0.4,"")))</f>
        <v/>
      </c>
      <c r="U192" s="147" t="str">
        <f ca="1">IFERROR(IFERROR(IF(VLOOKUP($A192,'Шаг2.Бланк заказа NEW'!$B$17:$N$201,8,0)="","",VLOOKUP($A192,'Шаг2.Бланк заказа NEW'!$B$17:$N$201,8,0)),
IF(VLOOKUP($A192-COUNT('Шаг2.Бланк заказа NEW'!$B$19:$B$201),'Бланк OLD 0.8 04'!$B$12:$K$200,7,0)&gt;1,0.8,
IF(VLOOKUP($A192-COUNT('Шаг2.Бланк заказа NEW'!$B$19:$B$201),'Бланк OLD 0.8 04'!$B$12:$K$200,8,0)&gt;1,0.4,
IF(AND(VLOOKUP($A192-COUNT('Шаг2.Бланк заказа NEW'!$B$19:$B$201),'Бланк OLD 0.8 04'!$B$12:$K$200,7,0)&gt;0,VLOOKUP($A192-COUNT('Шаг2.Бланк заказа NEW'!$B$19:$B$201),'Бланк OLD 0.8 04'!$B$12:$K$200,8,0)&gt;0),0.4,"")))),
IF(VLOOKUP($A192-COUNT('Шаг2.Бланк заказа NEW'!$B$19:$B$201)-COUNT('Бланк OLD 0.8 04'!$B$18:$B$200),'Бланк OLD 2.0 04 '!$B$16:$K$200,7,0)&gt;1,2,
IF(VLOOKUP($A192-COUNT('Шаг2.Бланк заказа NEW'!$B$19:$B$201)-COUNT('Бланк OLD 0.8 04'!$B$18:$B$200),'Бланк OLD 2.0 04 '!$B$16:$K$200,8,0)&gt;1,0.4,
IF(AND(VLOOKUP($A192-COUNT('Шаг2.Бланк заказа NEW'!$B$19:$B$201)-COUNT('Бланк OLD 0.8 04'!$B$18:$B$200),'Бланк OLD 2.0 04 '!$B$16:$K$200,7,0)&gt;0,VLOOKUP($A192-COUNT('Шаг2.Бланк заказа NEW'!$B$19:$B$201)-COUNT('Бланк OLD 0.8 04'!$B$18:$B$200),'Бланк OLD 2.0 04 '!$B$16:$K$200,8,0)&gt;0),0.4,""))))</f>
        <v/>
      </c>
      <c r="V192" s="146" t="str">
        <f ca="1">IFERROR(VLOOKUP(C192,'Шаг1.Выбор плиты'!C:S,12,0),"")</f>
        <v/>
      </c>
      <c r="W192" s="146" t="str">
        <f ca="1">IFERROR(VLOOKUP(C192,'Шаг1.Выбор плиты'!C:S,8,0),"")</f>
        <v/>
      </c>
      <c r="X192" s="146" t="str">
        <f ca="1">IFERROR(VLOOKUP(C192,'Шаг1.Выбор плиты'!C:S,10,0),"")</f>
        <v/>
      </c>
      <c r="Y192" s="147" t="str">
        <f t="shared" ca="1" si="13"/>
        <v/>
      </c>
      <c r="AD192" s="147" t="str">
        <f t="shared" ca="1" si="16"/>
        <v/>
      </c>
      <c r="AE192" s="147" t="str">
        <f t="shared" ca="1" si="14"/>
        <v/>
      </c>
      <c r="AF192" s="25"/>
      <c r="AH192" s="147" t="str">
        <f ca="1">IF(C192="","",VLOOKUP(C192,'Шаг1.Выбор плиты'!C:Q,7,0))</f>
        <v/>
      </c>
      <c r="AI192" s="147" t="str">
        <f t="shared" ca="1" si="17"/>
        <v/>
      </c>
    </row>
    <row r="193" spans="1:35" x14ac:dyDescent="0.2">
      <c r="A193" s="151" t="str">
        <f ca="1">IF(C193="","",MAX($A$1:OFFSET(C193,-1,0))+1)</f>
        <v/>
      </c>
      <c r="B193" s="151" t="str">
        <f ca="1">IFERROR(IFERROR(IFERROR("Шаг2.Бланк заказа NEW №"&amp;VLOOKUP(A192+1,CHOOSE({1,2},'Шаг2.Бланк заказа NEW'!$B$19:$B$201,'Шаг2.Бланк заказа NEW'!$A$19:$A$201),1,0),
"Бланк OLD 0.8 04 №"&amp;VLOOKUP(A192+1-COUNT('Шаг2.Бланк заказа NEW'!$B$19:$B$201),CHOOSE({1,2},'Бланк OLD 0.8 04'!$B$18:$B$200,'Бланк OLD 0.8 04'!$A$18:$A$200),1,0)),
"Бланк OLD 2.0 04 №"&amp;VLOOKUP(A192+1-COUNT('Шаг2.Бланк заказа NEW'!$B$19:$B$201)-COUNT('Бланк OLD 0.8 04'!$B$18:$B$200),CHOOSE({1,2},'Бланк OLD 2.0 04 '!$B$18:$B$200,'Бланк OLD 2.0 04 '!$A$18:$A$200),1,0)),"")</f>
        <v/>
      </c>
      <c r="C193" s="152" t="str">
        <f ca="1">IFERROR(IFERROR(IFERROR(VLOOKUP(A192+1,CHOOSE({1,2},'Шаг2.Бланк заказа NEW'!$B$19:$B$201,'Шаг2.Бланк заказа NEW'!$A$19:$A$201),2,0),
VLOOKUP(A192+1-COUNT('Шаг2.Бланк заказа NEW'!$B$19:$B$201),CHOOSE({1,2},'Бланк OLD 0.8 04'!$B$18:$B$200,'Бланк OLD 0.8 04'!$A$18:$A$200),2,0)),
VLOOKUP(A192+1-COUNT('Шаг2.Бланк заказа NEW'!$B$19:$B$201)-COUNT('Бланк OLD 0.8 04'!$B$18:$B$200),CHOOSE({1,2},'Бланк OLD 2.0 04 '!$B$18:$B$200,'Бланк OLD 2.0 04 '!$A$18:$A$200),2,0)),"")</f>
        <v/>
      </c>
      <c r="D193" s="150" t="str">
        <f ca="1">IFERROR(VLOOKUP(C193,'Шаг1.Выбор плиты'!C:G,5,0),"")</f>
        <v/>
      </c>
      <c r="E193" s="147" t="str">
        <f ca="1">IFERROR(IFERROR(IF(VLOOKUP($A193,'Шаг2.Бланк заказа NEW'!$B$17:$N$201,2,0)="","",VLOOKUP($A193,'Шаг2.Бланк заказа NEW'!$B$17:$N$201,2,0)),
IF(VLOOKUP($A193-COUNT('Шаг2.Бланк заказа NEW'!$B$19:$B$201),'Бланк OLD 0.8 04'!$B$12:$K$200,2,0)="","",VLOOKUP($A193-COUNT('Шаг2.Бланк заказа NEW'!$B$19:$B$201),'Бланк OLD 0.8 04'!$B$12:$K$200,2,0))),
IF(VLOOKUP($A193-COUNT('Шаг2.Бланк заказа NEW'!$B$19:$B$201)-COUNT('Бланк OLD 0.8 04'!$B$18:$B$200),'Бланк OLD 2.0 04 '!$B$16:$K$200,2,0)="","",VLOOKUP($A193-COUNT('Шаг2.Бланк заказа NEW'!$B$19:$B$201)-COUNT('Бланк OLD 0.8 04'!$B$18:$B$200),'Бланк OLD 2.0 04 '!$B$16:$K$200,2,0)))</f>
        <v/>
      </c>
      <c r="F193" s="147" t="str">
        <f ca="1">IFERROR(IFERROR(IF(VLOOKUP($A193,'Шаг2.Бланк заказа NEW'!$B$17:$N$201,3,0)="","",VLOOKUP($A193,'Шаг2.Бланк заказа NEW'!$B$17:$N$201,3,0)),
IF(VLOOKUP($A193-COUNT('Шаг2.Бланк заказа NEW'!$B$19:$B$201),'Бланк OLD 0.8 04'!$B$12:$K$200,3,0)="","",VLOOKUP($A193-COUNT('Шаг2.Бланк заказа NEW'!$B$19:$B$201),'Бланк OLD 0.8 04'!$B$12:$K$200,3,0))),
IF(VLOOKUP($A193-COUNT('Шаг2.Бланк заказа NEW'!$B$19:$B$201)-COUNT('Бланк OLD 0.8 04'!$B$18:$B$200),'Бланк OLD 2.0 04 '!$B$16:$K$200,3,0)="","",VLOOKUP($A193-COUNT('Шаг2.Бланк заказа NEW'!$B$19:$B$201)-COUNT('Бланк OLD 0.8 04'!$B$18:$B$200),'Бланк OLD 2.0 04 '!$B$16:$K$200,3,0)))</f>
        <v/>
      </c>
      <c r="G193" s="176" t="str">
        <f ca="1">IF(IF(R193="","",IF(R193=1,SUMIFS('Шаг1.Выбор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плиты'!C:Q,12,0)),1))))))=0,
R193,
IF(R193="","",IF(R193=1,SUMIFS('Шаг1.Выбор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плиты'!N:N,R193,'Шаг1.Выбор плиты'!M:M,SMALL(INDIRECT("мм"&amp;VLOOKUP(C193,'Шаг1.Выбор плиты'!C:Q,12,0)),1)))))))</f>
        <v/>
      </c>
      <c r="H193" s="177" t="str">
        <f ca="1">IF(IF(S193="","",IF(S193=1,SUMIFS('Шаг1.Выбор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плиты'!C:Q,12,0)),1))))))=0,
S193,
IF(S193="","",IF(S193=1,SUMIFS('Шаг1.Выбор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плиты'!N:N,S193,'Шаг1.Выбор плиты'!M:M,SMALL(INDIRECT("мм"&amp;VLOOKUP(C193,'Шаг1.Выбор плиты'!C:Q,12,0)),1)))))))</f>
        <v/>
      </c>
      <c r="I193" s="147" t="str">
        <f ca="1">IFERROR(IFERROR(IF(VLOOKUP($A193,'Шаг2.Бланк заказа NEW'!$B$17:$N$201,6,0)="","",VLOOKUP($A193,'Шаг2.Бланк заказа NEW'!$B$17:$N$201,6,0)),
IF(VLOOKUP($A193-COUNT('Шаг2.Бланк заказа NEW'!$B$19:$B$201),'Бланк OLD 0.8 04'!$B$12:$K$200,6,0)="","",VLOOKUP($A193-COUNT('Шаг2.Бланк заказа NEW'!$B$19:$B$201),'Бланк OLD 0.8 04'!$B$12:$K$200,6,0))),
IF(VLOOKUP($A193-COUNT('Шаг2.Бланк заказа NEW'!$B$19:$B$201)-COUNT('Бланк OLD 0.8 04'!$B$18:$B$200),'Бланк OLD 2.0 04 '!$B$16:$K$200,6,0)="","",VLOOKUP($A193-COUNT('Шаг2.Бланк заказа NEW'!$B$19:$B$201)-COUNT('Бланк OLD 0.8 04'!$B$18:$B$200),'Бланк OLD 2.0 04 '!$B$16:$K$200,6,0)))</f>
        <v/>
      </c>
      <c r="J193" s="177" t="str">
        <f ca="1">IF(IF(T193="","",IF(T193=1,SUMIFS('Шаг1.Выбор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плиты'!C:Q,12,0)),1))))))=0,
T193,
IF(T193="","",IF(T193=1,SUMIFS('Шаг1.Выбор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плиты'!N:N,T193,'Шаг1.Выбор плиты'!M:M,SMALL(INDIRECT("мм"&amp;VLOOKUP(C193,'Шаг1.Выбор плиты'!C:Q,12,0)),1)))))))</f>
        <v/>
      </c>
      <c r="K193" s="177" t="str">
        <f ca="1">IF(IF(U193="","",IF(U193=1,SUMIFS('Шаг1.Выбор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плиты'!C:Q,12,0)),1))))))=0,
U193,
IF(U193="","",IF(U193=1,SUMIFS('Шаг1.Выбор плиты'!$G:$G,'Шаг1.Выбор плиты'!J:J,"*"&amp;RIGHT(VLOOKUP(C193,'Шаг1.Выбор плиты'!C:Q,8,0),4),'Шаг1.Выбор плиты'!L:L,IF(MID(C193,1,6)="ЛДСП P","TM"&amp;MID(VLOOKUP(C193,'Шаг1.Выбор плиты'!C:Q,10,0),3,2),MID(VLOOKUP(C193,'Шаг1.Выбор плиты'!C:Q,10,0),1,2)),
'Шаг1.Выбор плиты'!N:N,1),IF(SUMIFS('Шаг1.Выбор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плиты'!C:Q,12,0)),1))=0,
IF(SUMIFS('Шаг1.Выбор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плиты'!C:Q,12,0)),2))=0,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плиты'!C:Q,12,0)),3)),
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плиты'!C:Q,12,0)),2))),
(SUMIFS('Шаг1.Выбор плиты'!$G:$G,'Шаг1.Выбор плиты'!J:J,"*"&amp;RIGHT(VLOOKUP(C193,'Шаг1.Выбор плиты'!C:Q,8,0),4),'Шаг1.Выбор плиты'!L:L,VLOOKUP(C193,'Шаг1.Выбор плиты'!C:Q,10,0),'Шаг1.Выбор плиты'!N:N,U193,'Шаг1.Выбор плиты'!M:M,SMALL(INDIRECT("мм"&amp;VLOOKUP(C193,'Шаг1.Выбор плиты'!C:Q,12,0)),1)))))))</f>
        <v/>
      </c>
      <c r="L193" s="147" t="str">
        <f ca="1">IFERROR(IFERROR(IF(VLOOKUP($A193,'Шаг2.Бланк заказа NEW'!$B$17:$N$201,9,0)="","",VLOOKUP($A193,'Шаг2.Бланк заказа NEW'!$B$17:$N$201,9,0)),
IF(VLOOKUP($A193-COUNT('Шаг2.Бланк заказа NEW'!$B$19:$B$201),'Бланк OLD 0.8 04'!$B$12:$K$200,9,0)="","",VLOOKUP($A193-COUNT('Шаг2.Бланк заказа NEW'!$B$19:$B$201),'Бланк OLD 0.8 04'!$B$12:$K$200,9,0))),
IF(VLOOKUP($A193-COUNT('Шаг2.Бланк заказа NEW'!$B$19:$B$201)-COUNT('Бланк OLD 0.8 04'!$B$18:$B$200),'Бланк OLD 2.0 04 '!$B$16:$K$200,9,0)="","",VLOOKUP($A193-COUNT('Шаг2.Бланк заказа NEW'!$B$19:$B$201)-COUNT('Бланк OLD 0.8 04'!$B$18:$B$200),'Бланк OLD 2.0 04 '!$B$16:$K$200,9,0)))</f>
        <v/>
      </c>
      <c r="M193" s="154" t="str">
        <f t="shared" ca="1" si="15"/>
        <v/>
      </c>
      <c r="N193" s="153" t="str">
        <f ca="1">IFERROR(IF(VLOOKUP($A193,'Шаг2.Бланк заказа NEW'!$B$17:$N$201,11,0)="","",VLOOKUP($A193,'Шаг2.Бланк заказа NEW'!$B$17:$N$201,11,0)),
"Нет")</f>
        <v/>
      </c>
      <c r="O193" s="147" t="str">
        <f ca="1">IFERROR(IF(VLOOKUP($A193,'Шаг2.Бланк заказа NEW'!$B$17:$N$201,11,0)="","",VLOOKUP($A193,'Шаг2.Бланк заказа NEW'!$B$17:$N$201,12,0)),
"Нет")</f>
        <v/>
      </c>
      <c r="P193" s="153" t="str">
        <f ca="1">IFERROR(IF(VLOOKUP($A193,'Шаг2.Бланк заказа NEW'!$B$17:$N$201,13,0)="","",VLOOKUP($A193,'Шаг2.Бланк заказа NEW'!$B$17:$N$201,13,0)),
"Нет")</f>
        <v/>
      </c>
      <c r="Q193" s="147" t="str">
        <f ca="1">IFERROR(IF(VLOOKUP($A193,'Шаг2.Бланк заказа NEW'!$B$17:$O$201,14,0)="","",VLOOKUP($A193,'Шаг2.Бланк заказа NEW'!$B$17:$O$201,14,0)),"")</f>
        <v/>
      </c>
      <c r="R193" s="147" t="str">
        <f ca="1">IFERROR(IFERROR(IF(VLOOKUP($A193,'Шаг2.Бланк заказа NEW'!$B$17:$N$201,4,0)="","",VLOOKUP($A193,'Шаг2.Бланк заказа NEW'!$B$17:$N$201,4,0)),
IF(VLOOKUP($A193-COUNT('Шаг2.Бланк заказа NEW'!$B$19:$B$201),'Бланк OLD 0.8 04'!$B$12:$K$200,4,0)&gt;0,0.8,
IF(VLOOKUP($A193-COUNT('Шаг2.Бланк заказа NEW'!$B$19:$B$201),'Бланк OLD 0.8 04'!$B$12:$K$200,5,0)&gt;0,0.4,""))),
IF(VLOOKUP($A193-COUNT('Шаг2.Бланк заказа NEW'!$B$19:$B$201)-COUNT('Бланк OLD 0.8 04'!$B$18:$B$200),'Бланк OLD 2.0 04 '!$B$16:$K$200,4,0)&gt;0,2,IF(VLOOKUP($A193-COUNT('Шаг2.Бланк заказа NEW'!$B$19:$B$201)-COUNT('Бланк OLD 0.8 04'!$B$18:$B$200),'Бланк OLD 2.0 04 '!$B$16:$K$200,5,0)&gt;0,0.4,"")))</f>
        <v/>
      </c>
      <c r="S193" s="147" t="str">
        <f ca="1">IFERROR(IFERROR(IF(VLOOKUP($A193,'Шаг2.Бланк заказа NEW'!$B$17:$N$201,5,0)="","",VLOOKUP($A193,'Шаг2.Бланк заказа NEW'!$B$17:$N$201,5,0)),
IF(VLOOKUP($A193-COUNT('Шаг2.Бланк заказа NEW'!$B$19:$B$201),'Бланк OLD 0.8 04'!$B$12:$K$200,4,0)&gt;1,0.8,
IF(VLOOKUP($A193-COUNT('Шаг2.Бланк заказа NEW'!$B$19:$B$201),'Бланк OLD 0.8 04'!$B$12:$K$200,5,0)&gt;1,0.4,
IF(AND(VLOOKUP($A193-COUNT('Шаг2.Бланк заказа NEW'!$B$19:$B$201),'Бланк OLD 0.8 04'!$B$12:$K$200,4,0)&gt;0,VLOOKUP($A193-COUNT('Шаг2.Бланк заказа NEW'!$B$19:$B$201),'Бланк OLD 0.8 04'!$B$12:$K$200,5,0)&gt;0),0.4,"")))),
IF(VLOOKUP($A193-COUNT('Шаг2.Бланк заказа NEW'!$B$19:$B$201)-COUNT('Бланк OLD 0.8 04'!$B$18:$B$200),'Бланк OLD 2.0 04 '!$B$16:$K$200,4,0)&gt;1,2,
IF(VLOOKUP($A193-COUNT('Шаг2.Бланк заказа NEW'!$B$19:$B$201)-COUNT('Бланк OLD 0.8 04'!$B$18:$B$200),'Бланк OLD 2.0 04 '!$B$16:$K$200,5,0)&gt;1,0.4,IF(AND(VLOOKUP($A193-COUNT('Шаг2.Бланк заказа NEW'!$B$19:$B$201)-COUNT('Бланк OLD 0.8 04'!$B$18:$B$200),'Бланк OLD 2.0 04 '!$B$16:$K$200,4,0)&gt;0,VLOOKUP($A193-COUNT('Шаг2.Бланк заказа NEW'!$B$19:$B$201)-COUNT('Бланк OLD 0.8 04'!$B$18:$B$200),'Бланк OLD 2.0 04 '!$B$16:$K$200,5,0)&gt;0),0.4,""))))</f>
        <v/>
      </c>
      <c r="T193" s="147" t="str">
        <f ca="1">IFERROR(IFERROR(IF(VLOOKUP($A193,'Шаг2.Бланк заказа NEW'!$B$17:$N$201,7,0)="","",VLOOKUP($A193,'Шаг2.Бланк заказа NEW'!$B$17:$N$201,7,0)),
IF(VLOOKUP($A193-COUNT('Шаг2.Бланк заказа NEW'!$B$19:$B$201),'Бланк OLD 0.8 04'!$B$12:$K$200,7,0)&gt;0,0.8,
IF(VLOOKUP($A193-COUNT('Шаг2.Бланк заказа NEW'!$B$19:$B$201),'Бланк OLD 0.8 04'!$B$12:$K$200,8,0)&gt;0,0.4,""))),
IF(VLOOKUP($A193-COUNT('Шаг2.Бланк заказа NEW'!$B$19:$B$201)-COUNT('Бланк OLD 0.8 04'!$B$18:$B$200),'Бланк OLD 2.0 04 '!$B$16:$K$200,7,0)&gt;0,2,IF(VLOOKUP($A193-COUNT('Шаг2.Бланк заказа NEW'!$B$19:$B$201)-COUNT('Бланк OLD 0.8 04'!$B$18:$B$200),'Бланк OLD 2.0 04 '!$B$16:$K$200,8,0)&gt;0,0.4,"")))</f>
        <v/>
      </c>
      <c r="U193" s="147" t="str">
        <f ca="1">IFERROR(IFERROR(IF(VLOOKUP($A193,'Шаг2.Бланк заказа NEW'!$B$17:$N$201,8,0)="","",VLOOKUP($A193,'Шаг2.Бланк заказа NEW'!$B$17:$N$201,8,0)),
IF(VLOOKUP($A193-COUNT('Шаг2.Бланк заказа NEW'!$B$19:$B$201),'Бланк OLD 0.8 04'!$B$12:$K$200,7,0)&gt;1,0.8,
IF(VLOOKUP($A193-COUNT('Шаг2.Бланк заказа NEW'!$B$19:$B$201),'Бланк OLD 0.8 04'!$B$12:$K$200,8,0)&gt;1,0.4,
IF(AND(VLOOKUP($A193-COUNT('Шаг2.Бланк заказа NEW'!$B$19:$B$201),'Бланк OLD 0.8 04'!$B$12:$K$200,7,0)&gt;0,VLOOKUP($A193-COUNT('Шаг2.Бланк заказа NEW'!$B$19:$B$201),'Бланк OLD 0.8 04'!$B$12:$K$200,8,0)&gt;0),0.4,"")))),
IF(VLOOKUP($A193-COUNT('Шаг2.Бланк заказа NEW'!$B$19:$B$201)-COUNT('Бланк OLD 0.8 04'!$B$18:$B$200),'Бланк OLD 2.0 04 '!$B$16:$K$200,7,0)&gt;1,2,
IF(VLOOKUP($A193-COUNT('Шаг2.Бланк заказа NEW'!$B$19:$B$201)-COUNT('Бланк OLD 0.8 04'!$B$18:$B$200),'Бланк OLD 2.0 04 '!$B$16:$K$200,8,0)&gt;1,0.4,
IF(AND(VLOOKUP($A193-COUNT('Шаг2.Бланк заказа NEW'!$B$19:$B$201)-COUNT('Бланк OLD 0.8 04'!$B$18:$B$200),'Бланк OLD 2.0 04 '!$B$16:$K$200,7,0)&gt;0,VLOOKUP($A193-COUNT('Шаг2.Бланк заказа NEW'!$B$19:$B$201)-COUNT('Бланк OLD 0.8 04'!$B$18:$B$200),'Бланк OLD 2.0 04 '!$B$16:$K$200,8,0)&gt;0),0.4,""))))</f>
        <v/>
      </c>
      <c r="V193" s="146" t="str">
        <f ca="1">IFERROR(VLOOKUP(C193,'Шаг1.Выбор плиты'!C:S,12,0),"")</f>
        <v/>
      </c>
      <c r="W193" s="146" t="str">
        <f ca="1">IFERROR(VLOOKUP(C193,'Шаг1.Выбор плиты'!C:S,8,0),"")</f>
        <v/>
      </c>
      <c r="X193" s="146" t="str">
        <f ca="1">IFERROR(VLOOKUP(C193,'Шаг1.Выбор плиты'!C:S,10,0),"")</f>
        <v/>
      </c>
      <c r="Y193" s="147" t="str">
        <f t="shared" ca="1" si="13"/>
        <v/>
      </c>
      <c r="AD193" s="147" t="str">
        <f t="shared" ca="1" si="16"/>
        <v/>
      </c>
      <c r="AE193" s="147" t="str">
        <f t="shared" ca="1" si="14"/>
        <v/>
      </c>
      <c r="AF193" s="25"/>
      <c r="AH193" s="147" t="str">
        <f ca="1">IF(C193="","",VLOOKUP(C193,'Шаг1.Выбор плиты'!C:Q,7,0))</f>
        <v/>
      </c>
      <c r="AI193" s="147" t="str">
        <f t="shared" ca="1" si="17"/>
        <v/>
      </c>
    </row>
    <row r="194" spans="1:35" x14ac:dyDescent="0.2">
      <c r="A194" s="151" t="str">
        <f ca="1">IF(C194="","",MAX($A$1:OFFSET(C194,-1,0))+1)</f>
        <v/>
      </c>
      <c r="B194" s="151" t="str">
        <f ca="1">IFERROR(IFERROR(IFERROR("Шаг2.Бланк заказа NEW №"&amp;VLOOKUP(A193+1,CHOOSE({1,2},'Шаг2.Бланк заказа NEW'!$B$19:$B$201,'Шаг2.Бланк заказа NEW'!$A$19:$A$201),1,0),
"Бланк OLD 0.8 04 №"&amp;VLOOKUP(A193+1-COUNT('Шаг2.Бланк заказа NEW'!$B$19:$B$201),CHOOSE({1,2},'Бланк OLD 0.8 04'!$B$18:$B$200,'Бланк OLD 0.8 04'!$A$18:$A$200),1,0)),
"Бланк OLD 2.0 04 №"&amp;VLOOKUP(A193+1-COUNT('Шаг2.Бланк заказа NEW'!$B$19:$B$201)-COUNT('Бланк OLD 0.8 04'!$B$18:$B$200),CHOOSE({1,2},'Бланк OLD 2.0 04 '!$B$18:$B$200,'Бланк OLD 2.0 04 '!$A$18:$A$200),1,0)),"")</f>
        <v/>
      </c>
      <c r="C194" s="152" t="str">
        <f ca="1">IFERROR(IFERROR(IFERROR(VLOOKUP(A193+1,CHOOSE({1,2},'Шаг2.Бланк заказа NEW'!$B$19:$B$201,'Шаг2.Бланк заказа NEW'!$A$19:$A$201),2,0),
VLOOKUP(A193+1-COUNT('Шаг2.Бланк заказа NEW'!$B$19:$B$201),CHOOSE({1,2},'Бланк OLD 0.8 04'!$B$18:$B$200,'Бланк OLD 0.8 04'!$A$18:$A$200),2,0)),
VLOOKUP(A193+1-COUNT('Шаг2.Бланк заказа NEW'!$B$19:$B$201)-COUNT('Бланк OLD 0.8 04'!$B$18:$B$200),CHOOSE({1,2},'Бланк OLD 2.0 04 '!$B$18:$B$200,'Бланк OLD 2.0 04 '!$A$18:$A$200),2,0)),"")</f>
        <v/>
      </c>
      <c r="D194" s="150" t="str">
        <f ca="1">IFERROR(VLOOKUP(C194,'Шаг1.Выбор плиты'!C:G,5,0),"")</f>
        <v/>
      </c>
      <c r="E194" s="147" t="str">
        <f ca="1">IFERROR(IFERROR(IF(VLOOKUP($A194,'Шаг2.Бланк заказа NEW'!$B$17:$N$201,2,0)="","",VLOOKUP($A194,'Шаг2.Бланк заказа NEW'!$B$17:$N$201,2,0)),
IF(VLOOKUP($A194-COUNT('Шаг2.Бланк заказа NEW'!$B$19:$B$201),'Бланк OLD 0.8 04'!$B$12:$K$200,2,0)="","",VLOOKUP($A194-COUNT('Шаг2.Бланк заказа NEW'!$B$19:$B$201),'Бланк OLD 0.8 04'!$B$12:$K$200,2,0))),
IF(VLOOKUP($A194-COUNT('Шаг2.Бланк заказа NEW'!$B$19:$B$201)-COUNT('Бланк OLD 0.8 04'!$B$18:$B$200),'Бланк OLD 2.0 04 '!$B$16:$K$200,2,0)="","",VLOOKUP($A194-COUNT('Шаг2.Бланк заказа NEW'!$B$19:$B$201)-COUNT('Бланк OLD 0.8 04'!$B$18:$B$200),'Бланк OLD 2.0 04 '!$B$16:$K$200,2,0)))</f>
        <v/>
      </c>
      <c r="F194" s="147" t="str">
        <f ca="1">IFERROR(IFERROR(IF(VLOOKUP($A194,'Шаг2.Бланк заказа NEW'!$B$17:$N$201,3,0)="","",VLOOKUP($A194,'Шаг2.Бланк заказа NEW'!$B$17:$N$201,3,0)),
IF(VLOOKUP($A194-COUNT('Шаг2.Бланк заказа NEW'!$B$19:$B$201),'Бланк OLD 0.8 04'!$B$12:$K$200,3,0)="","",VLOOKUP($A194-COUNT('Шаг2.Бланк заказа NEW'!$B$19:$B$201),'Бланк OLD 0.8 04'!$B$12:$K$200,3,0))),
IF(VLOOKUP($A194-COUNT('Шаг2.Бланк заказа NEW'!$B$19:$B$201)-COUNT('Бланк OLD 0.8 04'!$B$18:$B$200),'Бланк OLD 2.0 04 '!$B$16:$K$200,3,0)="","",VLOOKUP($A194-COUNT('Шаг2.Бланк заказа NEW'!$B$19:$B$201)-COUNT('Бланк OLD 0.8 04'!$B$18:$B$200),'Бланк OLD 2.0 04 '!$B$16:$K$200,3,0)))</f>
        <v/>
      </c>
      <c r="G194" s="176" t="str">
        <f ca="1">IF(IF(R194="","",IF(R194=1,SUMIFS('Шаг1.Выбор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плиты'!C:Q,12,0)),1))))))=0,
R194,
IF(R194="","",IF(R194=1,SUMIFS('Шаг1.Выбор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плиты'!N:N,R194,'Шаг1.Выбор плиты'!M:M,SMALL(INDIRECT("мм"&amp;VLOOKUP(C194,'Шаг1.Выбор плиты'!C:Q,12,0)),1)))))))</f>
        <v/>
      </c>
      <c r="H194" s="177" t="str">
        <f ca="1">IF(IF(S194="","",IF(S194=1,SUMIFS('Шаг1.Выбор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плиты'!C:Q,12,0)),1))))))=0,
S194,
IF(S194="","",IF(S194=1,SUMIFS('Шаг1.Выбор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плиты'!N:N,S194,'Шаг1.Выбор плиты'!M:M,SMALL(INDIRECT("мм"&amp;VLOOKUP(C194,'Шаг1.Выбор плиты'!C:Q,12,0)),1)))))))</f>
        <v/>
      </c>
      <c r="I194" s="147" t="str">
        <f ca="1">IFERROR(IFERROR(IF(VLOOKUP($A194,'Шаг2.Бланк заказа NEW'!$B$17:$N$201,6,0)="","",VLOOKUP($A194,'Шаг2.Бланк заказа NEW'!$B$17:$N$201,6,0)),
IF(VLOOKUP($A194-COUNT('Шаг2.Бланк заказа NEW'!$B$19:$B$201),'Бланк OLD 0.8 04'!$B$12:$K$200,6,0)="","",VLOOKUP($A194-COUNT('Шаг2.Бланк заказа NEW'!$B$19:$B$201),'Бланк OLD 0.8 04'!$B$12:$K$200,6,0))),
IF(VLOOKUP($A194-COUNT('Шаг2.Бланк заказа NEW'!$B$19:$B$201)-COUNT('Бланк OLD 0.8 04'!$B$18:$B$200),'Бланк OLD 2.0 04 '!$B$16:$K$200,6,0)="","",VLOOKUP($A194-COUNT('Шаг2.Бланк заказа NEW'!$B$19:$B$201)-COUNT('Бланк OLD 0.8 04'!$B$18:$B$200),'Бланк OLD 2.0 04 '!$B$16:$K$200,6,0)))</f>
        <v/>
      </c>
      <c r="J194" s="177" t="str">
        <f ca="1">IF(IF(T194="","",IF(T194=1,SUMIFS('Шаг1.Выбор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плиты'!C:Q,12,0)),1))))))=0,
T194,
IF(T194="","",IF(T194=1,SUMIFS('Шаг1.Выбор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плиты'!N:N,T194,'Шаг1.Выбор плиты'!M:M,SMALL(INDIRECT("мм"&amp;VLOOKUP(C194,'Шаг1.Выбор плиты'!C:Q,12,0)),1)))))))</f>
        <v/>
      </c>
      <c r="K194" s="177" t="str">
        <f ca="1">IF(IF(U194="","",IF(U194=1,SUMIFS('Шаг1.Выбор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плиты'!C:Q,12,0)),1))))))=0,
U194,
IF(U194="","",IF(U194=1,SUMIFS('Шаг1.Выбор плиты'!$G:$G,'Шаг1.Выбор плиты'!J:J,"*"&amp;RIGHT(VLOOKUP(C194,'Шаг1.Выбор плиты'!C:Q,8,0),4),'Шаг1.Выбор плиты'!L:L,IF(MID(C194,1,6)="ЛДСП P","TM"&amp;MID(VLOOKUP(C194,'Шаг1.Выбор плиты'!C:Q,10,0),3,2),MID(VLOOKUP(C194,'Шаг1.Выбор плиты'!C:Q,10,0),1,2)),
'Шаг1.Выбор плиты'!N:N,1),IF(SUMIFS('Шаг1.Выбор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плиты'!C:Q,12,0)),1))=0,
IF(SUMIFS('Шаг1.Выбор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плиты'!C:Q,12,0)),2))=0,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плиты'!C:Q,12,0)),3)),
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плиты'!C:Q,12,0)),2))),
(SUMIFS('Шаг1.Выбор плиты'!$G:$G,'Шаг1.Выбор плиты'!J:J,"*"&amp;RIGHT(VLOOKUP(C194,'Шаг1.Выбор плиты'!C:Q,8,0),4),'Шаг1.Выбор плиты'!L:L,VLOOKUP(C194,'Шаг1.Выбор плиты'!C:Q,10,0),'Шаг1.Выбор плиты'!N:N,U194,'Шаг1.Выбор плиты'!M:M,SMALL(INDIRECT("мм"&amp;VLOOKUP(C194,'Шаг1.Выбор плиты'!C:Q,12,0)),1)))))))</f>
        <v/>
      </c>
      <c r="L194" s="147" t="str">
        <f ca="1">IFERROR(IFERROR(IF(VLOOKUP($A194,'Шаг2.Бланк заказа NEW'!$B$17:$N$201,9,0)="","",VLOOKUP($A194,'Шаг2.Бланк заказа NEW'!$B$17:$N$201,9,0)),
IF(VLOOKUP($A194-COUNT('Шаг2.Бланк заказа NEW'!$B$19:$B$201),'Бланк OLD 0.8 04'!$B$12:$K$200,9,0)="","",VLOOKUP($A194-COUNT('Шаг2.Бланк заказа NEW'!$B$19:$B$201),'Бланк OLD 0.8 04'!$B$12:$K$200,9,0))),
IF(VLOOKUP($A194-COUNT('Шаг2.Бланк заказа NEW'!$B$19:$B$201)-COUNT('Бланк OLD 0.8 04'!$B$18:$B$200),'Бланк OLD 2.0 04 '!$B$16:$K$200,9,0)="","",VLOOKUP($A194-COUNT('Шаг2.Бланк заказа NEW'!$B$19:$B$201)-COUNT('Бланк OLD 0.8 04'!$B$18:$B$200),'Бланк OLD 2.0 04 '!$B$16:$K$200,9,0)))</f>
        <v/>
      </c>
      <c r="M194" s="154" t="str">
        <f t="shared" ca="1" si="15"/>
        <v/>
      </c>
      <c r="N194" s="153" t="str">
        <f ca="1">IFERROR(IF(VLOOKUP($A194,'Шаг2.Бланк заказа NEW'!$B$17:$N$201,11,0)="","",VLOOKUP($A194,'Шаг2.Бланк заказа NEW'!$B$17:$N$201,11,0)),
"Нет")</f>
        <v/>
      </c>
      <c r="O194" s="147" t="str">
        <f ca="1">IFERROR(IF(VLOOKUP($A194,'Шаг2.Бланк заказа NEW'!$B$17:$N$201,11,0)="","",VLOOKUP($A194,'Шаг2.Бланк заказа NEW'!$B$17:$N$201,12,0)),
"Нет")</f>
        <v/>
      </c>
      <c r="P194" s="153" t="str">
        <f ca="1">IFERROR(IF(VLOOKUP($A194,'Шаг2.Бланк заказа NEW'!$B$17:$N$201,13,0)="","",VLOOKUP($A194,'Шаг2.Бланк заказа NEW'!$B$17:$N$201,13,0)),
"Нет")</f>
        <v/>
      </c>
      <c r="Q194" s="147" t="str">
        <f ca="1">IFERROR(IF(VLOOKUP($A194,'Шаг2.Бланк заказа NEW'!$B$17:$O$201,14,0)="","",VLOOKUP($A194,'Шаг2.Бланк заказа NEW'!$B$17:$O$201,14,0)),"")</f>
        <v/>
      </c>
      <c r="R194" s="147" t="str">
        <f ca="1">IFERROR(IFERROR(IF(VLOOKUP($A194,'Шаг2.Бланк заказа NEW'!$B$17:$N$201,4,0)="","",VLOOKUP($A194,'Шаг2.Бланк заказа NEW'!$B$17:$N$201,4,0)),
IF(VLOOKUP($A194-COUNT('Шаг2.Бланк заказа NEW'!$B$19:$B$201),'Бланк OLD 0.8 04'!$B$12:$K$200,4,0)&gt;0,0.8,
IF(VLOOKUP($A194-COUNT('Шаг2.Бланк заказа NEW'!$B$19:$B$201),'Бланк OLD 0.8 04'!$B$12:$K$200,5,0)&gt;0,0.4,""))),
IF(VLOOKUP($A194-COUNT('Шаг2.Бланк заказа NEW'!$B$19:$B$201)-COUNT('Бланк OLD 0.8 04'!$B$18:$B$200),'Бланк OLD 2.0 04 '!$B$16:$K$200,4,0)&gt;0,2,IF(VLOOKUP($A194-COUNT('Шаг2.Бланк заказа NEW'!$B$19:$B$201)-COUNT('Бланк OLD 0.8 04'!$B$18:$B$200),'Бланк OLD 2.0 04 '!$B$16:$K$200,5,0)&gt;0,0.4,"")))</f>
        <v/>
      </c>
      <c r="S194" s="147" t="str">
        <f ca="1">IFERROR(IFERROR(IF(VLOOKUP($A194,'Шаг2.Бланк заказа NEW'!$B$17:$N$201,5,0)="","",VLOOKUP($A194,'Шаг2.Бланк заказа NEW'!$B$17:$N$201,5,0)),
IF(VLOOKUP($A194-COUNT('Шаг2.Бланк заказа NEW'!$B$19:$B$201),'Бланк OLD 0.8 04'!$B$12:$K$200,4,0)&gt;1,0.8,
IF(VLOOKUP($A194-COUNT('Шаг2.Бланк заказа NEW'!$B$19:$B$201),'Бланк OLD 0.8 04'!$B$12:$K$200,5,0)&gt;1,0.4,
IF(AND(VLOOKUP($A194-COUNT('Шаг2.Бланк заказа NEW'!$B$19:$B$201),'Бланк OLD 0.8 04'!$B$12:$K$200,4,0)&gt;0,VLOOKUP($A194-COUNT('Шаг2.Бланк заказа NEW'!$B$19:$B$201),'Бланк OLD 0.8 04'!$B$12:$K$200,5,0)&gt;0),0.4,"")))),
IF(VLOOKUP($A194-COUNT('Шаг2.Бланк заказа NEW'!$B$19:$B$201)-COUNT('Бланк OLD 0.8 04'!$B$18:$B$200),'Бланк OLD 2.0 04 '!$B$16:$K$200,4,0)&gt;1,2,
IF(VLOOKUP($A194-COUNT('Шаг2.Бланк заказа NEW'!$B$19:$B$201)-COUNT('Бланк OLD 0.8 04'!$B$18:$B$200),'Бланк OLD 2.0 04 '!$B$16:$K$200,5,0)&gt;1,0.4,IF(AND(VLOOKUP($A194-COUNT('Шаг2.Бланк заказа NEW'!$B$19:$B$201)-COUNT('Бланк OLD 0.8 04'!$B$18:$B$200),'Бланк OLD 2.0 04 '!$B$16:$K$200,4,0)&gt;0,VLOOKUP($A194-COUNT('Шаг2.Бланк заказа NEW'!$B$19:$B$201)-COUNT('Бланк OLD 0.8 04'!$B$18:$B$200),'Бланк OLD 2.0 04 '!$B$16:$K$200,5,0)&gt;0),0.4,""))))</f>
        <v/>
      </c>
      <c r="T194" s="147" t="str">
        <f ca="1">IFERROR(IFERROR(IF(VLOOKUP($A194,'Шаг2.Бланк заказа NEW'!$B$17:$N$201,7,0)="","",VLOOKUP($A194,'Шаг2.Бланк заказа NEW'!$B$17:$N$201,7,0)),
IF(VLOOKUP($A194-COUNT('Шаг2.Бланк заказа NEW'!$B$19:$B$201),'Бланк OLD 0.8 04'!$B$12:$K$200,7,0)&gt;0,0.8,
IF(VLOOKUP($A194-COUNT('Шаг2.Бланк заказа NEW'!$B$19:$B$201),'Бланк OLD 0.8 04'!$B$12:$K$200,8,0)&gt;0,0.4,""))),
IF(VLOOKUP($A194-COUNT('Шаг2.Бланк заказа NEW'!$B$19:$B$201)-COUNT('Бланк OLD 0.8 04'!$B$18:$B$200),'Бланк OLD 2.0 04 '!$B$16:$K$200,7,0)&gt;0,2,IF(VLOOKUP($A194-COUNT('Шаг2.Бланк заказа NEW'!$B$19:$B$201)-COUNT('Бланк OLD 0.8 04'!$B$18:$B$200),'Бланк OLD 2.0 04 '!$B$16:$K$200,8,0)&gt;0,0.4,"")))</f>
        <v/>
      </c>
      <c r="U194" s="147" t="str">
        <f ca="1">IFERROR(IFERROR(IF(VLOOKUP($A194,'Шаг2.Бланк заказа NEW'!$B$17:$N$201,8,0)="","",VLOOKUP($A194,'Шаг2.Бланк заказа NEW'!$B$17:$N$201,8,0)),
IF(VLOOKUP($A194-COUNT('Шаг2.Бланк заказа NEW'!$B$19:$B$201),'Бланк OLD 0.8 04'!$B$12:$K$200,7,0)&gt;1,0.8,
IF(VLOOKUP($A194-COUNT('Шаг2.Бланк заказа NEW'!$B$19:$B$201),'Бланк OLD 0.8 04'!$B$12:$K$200,8,0)&gt;1,0.4,
IF(AND(VLOOKUP($A194-COUNT('Шаг2.Бланк заказа NEW'!$B$19:$B$201),'Бланк OLD 0.8 04'!$B$12:$K$200,7,0)&gt;0,VLOOKUP($A194-COUNT('Шаг2.Бланк заказа NEW'!$B$19:$B$201),'Бланк OLD 0.8 04'!$B$12:$K$200,8,0)&gt;0),0.4,"")))),
IF(VLOOKUP($A194-COUNT('Шаг2.Бланк заказа NEW'!$B$19:$B$201)-COUNT('Бланк OLD 0.8 04'!$B$18:$B$200),'Бланк OLD 2.0 04 '!$B$16:$K$200,7,0)&gt;1,2,
IF(VLOOKUP($A194-COUNT('Шаг2.Бланк заказа NEW'!$B$19:$B$201)-COUNT('Бланк OLD 0.8 04'!$B$18:$B$200),'Бланк OLD 2.0 04 '!$B$16:$K$200,8,0)&gt;1,0.4,
IF(AND(VLOOKUP($A194-COUNT('Шаг2.Бланк заказа NEW'!$B$19:$B$201)-COUNT('Бланк OLD 0.8 04'!$B$18:$B$200),'Бланк OLD 2.0 04 '!$B$16:$K$200,7,0)&gt;0,VLOOKUP($A194-COUNT('Шаг2.Бланк заказа NEW'!$B$19:$B$201)-COUNT('Бланк OLD 0.8 04'!$B$18:$B$200),'Бланк OLD 2.0 04 '!$B$16:$K$200,8,0)&gt;0),0.4,""))))</f>
        <v/>
      </c>
      <c r="V194" s="146" t="str">
        <f ca="1">IFERROR(VLOOKUP(C194,'Шаг1.Выбор плиты'!C:S,12,0),"")</f>
        <v/>
      </c>
      <c r="W194" s="146" t="str">
        <f ca="1">IFERROR(VLOOKUP(C194,'Шаг1.Выбор плиты'!C:S,8,0),"")</f>
        <v/>
      </c>
      <c r="X194" s="146" t="str">
        <f ca="1">IFERROR(VLOOKUP(C194,'Шаг1.Выбор плиты'!C:S,10,0),"")</f>
        <v/>
      </c>
      <c r="Y194" s="147" t="str">
        <f t="shared" ca="1" si="13"/>
        <v/>
      </c>
      <c r="AD194" s="147" t="str">
        <f t="shared" ca="1" si="16"/>
        <v/>
      </c>
      <c r="AE194" s="147" t="str">
        <f t="shared" ca="1" si="14"/>
        <v/>
      </c>
      <c r="AF194" s="25"/>
      <c r="AH194" s="147" t="str">
        <f ca="1">IF(C194="","",VLOOKUP(C194,'Шаг1.Выбор плиты'!C:Q,7,0))</f>
        <v/>
      </c>
      <c r="AI194" s="147" t="str">
        <f t="shared" ca="1" si="17"/>
        <v/>
      </c>
    </row>
    <row r="195" spans="1:35" x14ac:dyDescent="0.2">
      <c r="A195" s="151" t="str">
        <f ca="1">IF(C195="","",MAX($A$1:OFFSET(C195,-1,0))+1)</f>
        <v/>
      </c>
      <c r="B195" s="151" t="str">
        <f ca="1">IFERROR(IFERROR(IFERROR("Шаг2.Бланк заказа NEW №"&amp;VLOOKUP(A194+1,CHOOSE({1,2},'Шаг2.Бланк заказа NEW'!$B$19:$B$201,'Шаг2.Бланк заказа NEW'!$A$19:$A$201),1,0),
"Бланк OLD 0.8 04 №"&amp;VLOOKUP(A194+1-COUNT('Шаг2.Бланк заказа NEW'!$B$19:$B$201),CHOOSE({1,2},'Бланк OLD 0.8 04'!$B$18:$B$200,'Бланк OLD 0.8 04'!$A$18:$A$200),1,0)),
"Бланк OLD 2.0 04 №"&amp;VLOOKUP(A194+1-COUNT('Шаг2.Бланк заказа NEW'!$B$19:$B$201)-COUNT('Бланк OLD 0.8 04'!$B$18:$B$200),CHOOSE({1,2},'Бланк OLD 2.0 04 '!$B$18:$B$200,'Бланк OLD 2.0 04 '!$A$18:$A$200),1,0)),"")</f>
        <v/>
      </c>
      <c r="C195" s="152" t="str">
        <f ca="1">IFERROR(IFERROR(IFERROR(VLOOKUP(A194+1,CHOOSE({1,2},'Шаг2.Бланк заказа NEW'!$B$19:$B$201,'Шаг2.Бланк заказа NEW'!$A$19:$A$201),2,0),
VLOOKUP(A194+1-COUNT('Шаг2.Бланк заказа NEW'!$B$19:$B$201),CHOOSE({1,2},'Бланк OLD 0.8 04'!$B$18:$B$200,'Бланк OLD 0.8 04'!$A$18:$A$200),2,0)),
VLOOKUP(A194+1-COUNT('Шаг2.Бланк заказа NEW'!$B$19:$B$201)-COUNT('Бланк OLD 0.8 04'!$B$18:$B$200),CHOOSE({1,2},'Бланк OLD 2.0 04 '!$B$18:$B$200,'Бланк OLD 2.0 04 '!$A$18:$A$200),2,0)),"")</f>
        <v/>
      </c>
      <c r="D195" s="150" t="str">
        <f ca="1">IFERROR(VLOOKUP(C195,'Шаг1.Выбор плиты'!C:G,5,0),"")</f>
        <v/>
      </c>
      <c r="E195" s="147" t="str">
        <f ca="1">IFERROR(IFERROR(IF(VLOOKUP($A195,'Шаг2.Бланк заказа NEW'!$B$17:$N$201,2,0)="","",VLOOKUP($A195,'Шаг2.Бланк заказа NEW'!$B$17:$N$201,2,0)),
IF(VLOOKUP($A195-COUNT('Шаг2.Бланк заказа NEW'!$B$19:$B$201),'Бланк OLD 0.8 04'!$B$12:$K$200,2,0)="","",VLOOKUP($A195-COUNT('Шаг2.Бланк заказа NEW'!$B$19:$B$201),'Бланк OLD 0.8 04'!$B$12:$K$200,2,0))),
IF(VLOOKUP($A195-COUNT('Шаг2.Бланк заказа NEW'!$B$19:$B$201)-COUNT('Бланк OLD 0.8 04'!$B$18:$B$200),'Бланк OLD 2.0 04 '!$B$16:$K$200,2,0)="","",VLOOKUP($A195-COUNT('Шаг2.Бланк заказа NEW'!$B$19:$B$201)-COUNT('Бланк OLD 0.8 04'!$B$18:$B$200),'Бланк OLD 2.0 04 '!$B$16:$K$200,2,0)))</f>
        <v/>
      </c>
      <c r="F195" s="147" t="str">
        <f ca="1">IFERROR(IFERROR(IF(VLOOKUP($A195,'Шаг2.Бланк заказа NEW'!$B$17:$N$201,3,0)="","",VLOOKUP($A195,'Шаг2.Бланк заказа NEW'!$B$17:$N$201,3,0)),
IF(VLOOKUP($A195-COUNT('Шаг2.Бланк заказа NEW'!$B$19:$B$201),'Бланк OLD 0.8 04'!$B$12:$K$200,3,0)="","",VLOOKUP($A195-COUNT('Шаг2.Бланк заказа NEW'!$B$19:$B$201),'Бланк OLD 0.8 04'!$B$12:$K$200,3,0))),
IF(VLOOKUP($A195-COUNT('Шаг2.Бланк заказа NEW'!$B$19:$B$201)-COUNT('Бланк OLD 0.8 04'!$B$18:$B$200),'Бланк OLD 2.0 04 '!$B$16:$K$200,3,0)="","",VLOOKUP($A195-COUNT('Шаг2.Бланк заказа NEW'!$B$19:$B$201)-COUNT('Бланк OLD 0.8 04'!$B$18:$B$200),'Бланк OLD 2.0 04 '!$B$16:$K$200,3,0)))</f>
        <v/>
      </c>
      <c r="G195" s="176" t="str">
        <f ca="1">IF(IF(R195="","",IF(R195=1,SUMIFS('Шаг1.Выбор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плиты'!C:Q,12,0)),1))))))=0,
R195,
IF(R195="","",IF(R195=1,SUMIFS('Шаг1.Выбор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плиты'!N:N,R195,'Шаг1.Выбор плиты'!M:M,SMALL(INDIRECT("мм"&amp;VLOOKUP(C195,'Шаг1.Выбор плиты'!C:Q,12,0)),1)))))))</f>
        <v/>
      </c>
      <c r="H195" s="177" t="str">
        <f ca="1">IF(IF(S195="","",IF(S195=1,SUMIFS('Шаг1.Выбор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плиты'!C:Q,12,0)),1))))))=0,
S195,
IF(S195="","",IF(S195=1,SUMIFS('Шаг1.Выбор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плиты'!N:N,S195,'Шаг1.Выбор плиты'!M:M,SMALL(INDIRECT("мм"&amp;VLOOKUP(C195,'Шаг1.Выбор плиты'!C:Q,12,0)),1)))))))</f>
        <v/>
      </c>
      <c r="I195" s="147" t="str">
        <f ca="1">IFERROR(IFERROR(IF(VLOOKUP($A195,'Шаг2.Бланк заказа NEW'!$B$17:$N$201,6,0)="","",VLOOKUP($A195,'Шаг2.Бланк заказа NEW'!$B$17:$N$201,6,0)),
IF(VLOOKUP($A195-COUNT('Шаг2.Бланк заказа NEW'!$B$19:$B$201),'Бланк OLD 0.8 04'!$B$12:$K$200,6,0)="","",VLOOKUP($A195-COUNT('Шаг2.Бланк заказа NEW'!$B$19:$B$201),'Бланк OLD 0.8 04'!$B$12:$K$200,6,0))),
IF(VLOOKUP($A195-COUNT('Шаг2.Бланк заказа NEW'!$B$19:$B$201)-COUNT('Бланк OLD 0.8 04'!$B$18:$B$200),'Бланк OLD 2.0 04 '!$B$16:$K$200,6,0)="","",VLOOKUP($A195-COUNT('Шаг2.Бланк заказа NEW'!$B$19:$B$201)-COUNT('Бланк OLD 0.8 04'!$B$18:$B$200),'Бланк OLD 2.0 04 '!$B$16:$K$200,6,0)))</f>
        <v/>
      </c>
      <c r="J195" s="177" t="str">
        <f ca="1">IF(IF(T195="","",IF(T195=1,SUMIFS('Шаг1.Выбор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плиты'!C:Q,12,0)),1))))))=0,
T195,
IF(T195="","",IF(T195=1,SUMIFS('Шаг1.Выбор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плиты'!N:N,T195,'Шаг1.Выбор плиты'!M:M,SMALL(INDIRECT("мм"&amp;VLOOKUP(C195,'Шаг1.Выбор плиты'!C:Q,12,0)),1)))))))</f>
        <v/>
      </c>
      <c r="K195" s="177" t="str">
        <f ca="1">IF(IF(U195="","",IF(U195=1,SUMIFS('Шаг1.Выбор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плиты'!C:Q,12,0)),1))))))=0,
U195,
IF(U195="","",IF(U195=1,SUMIFS('Шаг1.Выбор плиты'!$G:$G,'Шаг1.Выбор плиты'!J:J,"*"&amp;RIGHT(VLOOKUP(C195,'Шаг1.Выбор плиты'!C:Q,8,0),4),'Шаг1.Выбор плиты'!L:L,IF(MID(C195,1,6)="ЛДСП P","TM"&amp;MID(VLOOKUP(C195,'Шаг1.Выбор плиты'!C:Q,10,0),3,2),MID(VLOOKUP(C195,'Шаг1.Выбор плиты'!C:Q,10,0),1,2)),
'Шаг1.Выбор плиты'!N:N,1),IF(SUMIFS('Шаг1.Выбор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плиты'!C:Q,12,0)),1))=0,
IF(SUMIFS('Шаг1.Выбор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плиты'!C:Q,12,0)),2))=0,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плиты'!C:Q,12,0)),3)),
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плиты'!C:Q,12,0)),2))),
(SUMIFS('Шаг1.Выбор плиты'!$G:$G,'Шаг1.Выбор плиты'!J:J,"*"&amp;RIGHT(VLOOKUP(C195,'Шаг1.Выбор плиты'!C:Q,8,0),4),'Шаг1.Выбор плиты'!L:L,VLOOKUP(C195,'Шаг1.Выбор плиты'!C:Q,10,0),'Шаг1.Выбор плиты'!N:N,U195,'Шаг1.Выбор плиты'!M:M,SMALL(INDIRECT("мм"&amp;VLOOKUP(C195,'Шаг1.Выбор плиты'!C:Q,12,0)),1)))))))</f>
        <v/>
      </c>
      <c r="L195" s="147" t="str">
        <f ca="1">IFERROR(IFERROR(IF(VLOOKUP($A195,'Шаг2.Бланк заказа NEW'!$B$17:$N$201,9,0)="","",VLOOKUP($A195,'Шаг2.Бланк заказа NEW'!$B$17:$N$201,9,0)),
IF(VLOOKUP($A195-COUNT('Шаг2.Бланк заказа NEW'!$B$19:$B$201),'Бланк OLD 0.8 04'!$B$12:$K$200,9,0)="","",VLOOKUP($A195-COUNT('Шаг2.Бланк заказа NEW'!$B$19:$B$201),'Бланк OLD 0.8 04'!$B$12:$K$200,9,0))),
IF(VLOOKUP($A195-COUNT('Шаг2.Бланк заказа NEW'!$B$19:$B$201)-COUNT('Бланк OLD 0.8 04'!$B$18:$B$200),'Бланк OLD 2.0 04 '!$B$16:$K$200,9,0)="","",VLOOKUP($A195-COUNT('Шаг2.Бланк заказа NEW'!$B$19:$B$201)-COUNT('Бланк OLD 0.8 04'!$B$18:$B$200),'Бланк OLD 2.0 04 '!$B$16:$K$200,9,0)))</f>
        <v/>
      </c>
      <c r="M195" s="154" t="str">
        <f t="shared" ca="1" si="15"/>
        <v/>
      </c>
      <c r="N195" s="153" t="str">
        <f ca="1">IFERROR(IF(VLOOKUP($A195,'Шаг2.Бланк заказа NEW'!$B$17:$N$201,11,0)="","",VLOOKUP($A195,'Шаг2.Бланк заказа NEW'!$B$17:$N$201,11,0)),
"Нет")</f>
        <v/>
      </c>
      <c r="O195" s="147" t="str">
        <f ca="1">IFERROR(IF(VLOOKUP($A195,'Шаг2.Бланк заказа NEW'!$B$17:$N$201,11,0)="","",VLOOKUP($A195,'Шаг2.Бланк заказа NEW'!$B$17:$N$201,12,0)),
"Нет")</f>
        <v/>
      </c>
      <c r="P195" s="153" t="str">
        <f ca="1">IFERROR(IF(VLOOKUP($A195,'Шаг2.Бланк заказа NEW'!$B$17:$N$201,13,0)="","",VLOOKUP($A195,'Шаг2.Бланк заказа NEW'!$B$17:$N$201,13,0)),
"Нет")</f>
        <v/>
      </c>
      <c r="Q195" s="147" t="str">
        <f ca="1">IFERROR(IF(VLOOKUP($A195,'Шаг2.Бланк заказа NEW'!$B$17:$O$201,14,0)="","",VLOOKUP($A195,'Шаг2.Бланк заказа NEW'!$B$17:$O$201,14,0)),"")</f>
        <v/>
      </c>
      <c r="R195" s="147" t="str">
        <f ca="1">IFERROR(IFERROR(IF(VLOOKUP($A195,'Шаг2.Бланк заказа NEW'!$B$17:$N$201,4,0)="","",VLOOKUP($A195,'Шаг2.Бланк заказа NEW'!$B$17:$N$201,4,0)),
IF(VLOOKUP($A195-COUNT('Шаг2.Бланк заказа NEW'!$B$19:$B$201),'Бланк OLD 0.8 04'!$B$12:$K$200,4,0)&gt;0,0.8,
IF(VLOOKUP($A195-COUNT('Шаг2.Бланк заказа NEW'!$B$19:$B$201),'Бланк OLD 0.8 04'!$B$12:$K$200,5,0)&gt;0,0.4,""))),
IF(VLOOKUP($A195-COUNT('Шаг2.Бланк заказа NEW'!$B$19:$B$201)-COUNT('Бланк OLD 0.8 04'!$B$18:$B$200),'Бланк OLD 2.0 04 '!$B$16:$K$200,4,0)&gt;0,2,IF(VLOOKUP($A195-COUNT('Шаг2.Бланк заказа NEW'!$B$19:$B$201)-COUNT('Бланк OLD 0.8 04'!$B$18:$B$200),'Бланк OLD 2.0 04 '!$B$16:$K$200,5,0)&gt;0,0.4,"")))</f>
        <v/>
      </c>
      <c r="S195" s="147" t="str">
        <f ca="1">IFERROR(IFERROR(IF(VLOOKUP($A195,'Шаг2.Бланк заказа NEW'!$B$17:$N$201,5,0)="","",VLOOKUP($A195,'Шаг2.Бланк заказа NEW'!$B$17:$N$201,5,0)),
IF(VLOOKUP($A195-COUNT('Шаг2.Бланк заказа NEW'!$B$19:$B$201),'Бланк OLD 0.8 04'!$B$12:$K$200,4,0)&gt;1,0.8,
IF(VLOOKUP($A195-COUNT('Шаг2.Бланк заказа NEW'!$B$19:$B$201),'Бланк OLD 0.8 04'!$B$12:$K$200,5,0)&gt;1,0.4,
IF(AND(VLOOKUP($A195-COUNT('Шаг2.Бланк заказа NEW'!$B$19:$B$201),'Бланк OLD 0.8 04'!$B$12:$K$200,4,0)&gt;0,VLOOKUP($A195-COUNT('Шаг2.Бланк заказа NEW'!$B$19:$B$201),'Бланк OLD 0.8 04'!$B$12:$K$200,5,0)&gt;0),0.4,"")))),
IF(VLOOKUP($A195-COUNT('Шаг2.Бланк заказа NEW'!$B$19:$B$201)-COUNT('Бланк OLD 0.8 04'!$B$18:$B$200),'Бланк OLD 2.0 04 '!$B$16:$K$200,4,0)&gt;1,2,
IF(VLOOKUP($A195-COUNT('Шаг2.Бланк заказа NEW'!$B$19:$B$201)-COUNT('Бланк OLD 0.8 04'!$B$18:$B$200),'Бланк OLD 2.0 04 '!$B$16:$K$200,5,0)&gt;1,0.4,IF(AND(VLOOKUP($A195-COUNT('Шаг2.Бланк заказа NEW'!$B$19:$B$201)-COUNT('Бланк OLD 0.8 04'!$B$18:$B$200),'Бланк OLD 2.0 04 '!$B$16:$K$200,4,0)&gt;0,VLOOKUP($A195-COUNT('Шаг2.Бланк заказа NEW'!$B$19:$B$201)-COUNT('Бланк OLD 0.8 04'!$B$18:$B$200),'Бланк OLD 2.0 04 '!$B$16:$K$200,5,0)&gt;0),0.4,""))))</f>
        <v/>
      </c>
      <c r="T195" s="147" t="str">
        <f ca="1">IFERROR(IFERROR(IF(VLOOKUP($A195,'Шаг2.Бланк заказа NEW'!$B$17:$N$201,7,0)="","",VLOOKUP($A195,'Шаг2.Бланк заказа NEW'!$B$17:$N$201,7,0)),
IF(VLOOKUP($A195-COUNT('Шаг2.Бланк заказа NEW'!$B$19:$B$201),'Бланк OLD 0.8 04'!$B$12:$K$200,7,0)&gt;0,0.8,
IF(VLOOKUP($A195-COUNT('Шаг2.Бланк заказа NEW'!$B$19:$B$201),'Бланк OLD 0.8 04'!$B$12:$K$200,8,0)&gt;0,0.4,""))),
IF(VLOOKUP($A195-COUNT('Шаг2.Бланк заказа NEW'!$B$19:$B$201)-COUNT('Бланк OLD 0.8 04'!$B$18:$B$200),'Бланк OLD 2.0 04 '!$B$16:$K$200,7,0)&gt;0,2,IF(VLOOKUP($A195-COUNT('Шаг2.Бланк заказа NEW'!$B$19:$B$201)-COUNT('Бланк OLD 0.8 04'!$B$18:$B$200),'Бланк OLD 2.0 04 '!$B$16:$K$200,8,0)&gt;0,0.4,"")))</f>
        <v/>
      </c>
      <c r="U195" s="147" t="str">
        <f ca="1">IFERROR(IFERROR(IF(VLOOKUP($A195,'Шаг2.Бланк заказа NEW'!$B$17:$N$201,8,0)="","",VLOOKUP($A195,'Шаг2.Бланк заказа NEW'!$B$17:$N$201,8,0)),
IF(VLOOKUP($A195-COUNT('Шаг2.Бланк заказа NEW'!$B$19:$B$201),'Бланк OLD 0.8 04'!$B$12:$K$200,7,0)&gt;1,0.8,
IF(VLOOKUP($A195-COUNT('Шаг2.Бланк заказа NEW'!$B$19:$B$201),'Бланк OLD 0.8 04'!$B$12:$K$200,8,0)&gt;1,0.4,
IF(AND(VLOOKUP($A195-COUNT('Шаг2.Бланк заказа NEW'!$B$19:$B$201),'Бланк OLD 0.8 04'!$B$12:$K$200,7,0)&gt;0,VLOOKUP($A195-COUNT('Шаг2.Бланк заказа NEW'!$B$19:$B$201),'Бланк OLD 0.8 04'!$B$12:$K$200,8,0)&gt;0),0.4,"")))),
IF(VLOOKUP($A195-COUNT('Шаг2.Бланк заказа NEW'!$B$19:$B$201)-COUNT('Бланк OLD 0.8 04'!$B$18:$B$200),'Бланк OLD 2.0 04 '!$B$16:$K$200,7,0)&gt;1,2,
IF(VLOOKUP($A195-COUNT('Шаг2.Бланк заказа NEW'!$B$19:$B$201)-COUNT('Бланк OLD 0.8 04'!$B$18:$B$200),'Бланк OLD 2.0 04 '!$B$16:$K$200,8,0)&gt;1,0.4,
IF(AND(VLOOKUP($A195-COUNT('Шаг2.Бланк заказа NEW'!$B$19:$B$201)-COUNT('Бланк OLD 0.8 04'!$B$18:$B$200),'Бланк OLD 2.0 04 '!$B$16:$K$200,7,0)&gt;0,VLOOKUP($A195-COUNT('Шаг2.Бланк заказа NEW'!$B$19:$B$201)-COUNT('Бланк OLD 0.8 04'!$B$18:$B$200),'Бланк OLD 2.0 04 '!$B$16:$K$200,8,0)&gt;0),0.4,""))))</f>
        <v/>
      </c>
      <c r="V195" s="146" t="str">
        <f ca="1">IFERROR(VLOOKUP(C195,'Шаг1.Выбор плиты'!C:S,12,0),"")</f>
        <v/>
      </c>
      <c r="W195" s="146" t="str">
        <f ca="1">IFERROR(VLOOKUP(C195,'Шаг1.Выбор плиты'!C:S,8,0),"")</f>
        <v/>
      </c>
      <c r="X195" s="146" t="str">
        <f ca="1">IFERROR(VLOOKUP(C195,'Шаг1.Выбор плиты'!C:S,10,0),"")</f>
        <v/>
      </c>
      <c r="Y195" s="147" t="str">
        <f t="shared" ref="Y195:Y258" ca="1" si="18">IF(C195="","",$Z$7)</f>
        <v/>
      </c>
      <c r="AD195" s="147" t="str">
        <f t="shared" ca="1" si="16"/>
        <v/>
      </c>
      <c r="AE195" s="147" t="str">
        <f t="shared" ref="AE195:AE258" ca="1" si="19">IF(B195="","","kwadrat"&amp;(V195*1))</f>
        <v/>
      </c>
      <c r="AF195" s="25"/>
      <c r="AH195" s="147" t="str">
        <f ca="1">IF(C195="","",VLOOKUP(C195,'Шаг1.Выбор плиты'!C:Q,7,0))</f>
        <v/>
      </c>
      <c r="AI195" s="147" t="str">
        <f t="shared" ca="1" si="17"/>
        <v/>
      </c>
    </row>
    <row r="196" spans="1:35" x14ac:dyDescent="0.2">
      <c r="A196" s="151" t="str">
        <f ca="1">IF(C196="","",MAX($A$1:OFFSET(C196,-1,0))+1)</f>
        <v/>
      </c>
      <c r="B196" s="151" t="str">
        <f ca="1">IFERROR(IFERROR(IFERROR("Шаг2.Бланк заказа NEW №"&amp;VLOOKUP(A195+1,CHOOSE({1,2},'Шаг2.Бланк заказа NEW'!$B$19:$B$201,'Шаг2.Бланк заказа NEW'!$A$19:$A$201),1,0),
"Бланк OLD 0.8 04 №"&amp;VLOOKUP(A195+1-COUNT('Шаг2.Бланк заказа NEW'!$B$19:$B$201),CHOOSE({1,2},'Бланк OLD 0.8 04'!$B$18:$B$200,'Бланк OLD 0.8 04'!$A$18:$A$200),1,0)),
"Бланк OLD 2.0 04 №"&amp;VLOOKUP(A195+1-COUNT('Шаг2.Бланк заказа NEW'!$B$19:$B$201)-COUNT('Бланк OLD 0.8 04'!$B$18:$B$200),CHOOSE({1,2},'Бланк OLD 2.0 04 '!$B$18:$B$200,'Бланк OLD 2.0 04 '!$A$18:$A$200),1,0)),"")</f>
        <v/>
      </c>
      <c r="C196" s="152" t="str">
        <f ca="1">IFERROR(IFERROR(IFERROR(VLOOKUP(A195+1,CHOOSE({1,2},'Шаг2.Бланк заказа NEW'!$B$19:$B$201,'Шаг2.Бланк заказа NEW'!$A$19:$A$201),2,0),
VLOOKUP(A195+1-COUNT('Шаг2.Бланк заказа NEW'!$B$19:$B$201),CHOOSE({1,2},'Бланк OLD 0.8 04'!$B$18:$B$200,'Бланк OLD 0.8 04'!$A$18:$A$200),2,0)),
VLOOKUP(A195+1-COUNT('Шаг2.Бланк заказа NEW'!$B$19:$B$201)-COUNT('Бланк OLD 0.8 04'!$B$18:$B$200),CHOOSE({1,2},'Бланк OLD 2.0 04 '!$B$18:$B$200,'Бланк OLD 2.0 04 '!$A$18:$A$200),2,0)),"")</f>
        <v/>
      </c>
      <c r="D196" s="150" t="str">
        <f ca="1">IFERROR(VLOOKUP(C196,'Шаг1.Выбор плиты'!C:G,5,0),"")</f>
        <v/>
      </c>
      <c r="E196" s="147" t="str">
        <f ca="1">IFERROR(IFERROR(IF(VLOOKUP($A196,'Шаг2.Бланк заказа NEW'!$B$17:$N$201,2,0)="","",VLOOKUP($A196,'Шаг2.Бланк заказа NEW'!$B$17:$N$201,2,0)),
IF(VLOOKUP($A196-COUNT('Шаг2.Бланк заказа NEW'!$B$19:$B$201),'Бланк OLD 0.8 04'!$B$12:$K$200,2,0)="","",VLOOKUP($A196-COUNT('Шаг2.Бланк заказа NEW'!$B$19:$B$201),'Бланк OLD 0.8 04'!$B$12:$K$200,2,0))),
IF(VLOOKUP($A196-COUNT('Шаг2.Бланк заказа NEW'!$B$19:$B$201)-COUNT('Бланк OLD 0.8 04'!$B$18:$B$200),'Бланк OLD 2.0 04 '!$B$16:$K$200,2,0)="","",VLOOKUP($A196-COUNT('Шаг2.Бланк заказа NEW'!$B$19:$B$201)-COUNT('Бланк OLD 0.8 04'!$B$18:$B$200),'Бланк OLD 2.0 04 '!$B$16:$K$200,2,0)))</f>
        <v/>
      </c>
      <c r="F196" s="147" t="str">
        <f ca="1">IFERROR(IFERROR(IF(VLOOKUP($A196,'Шаг2.Бланк заказа NEW'!$B$17:$N$201,3,0)="","",VLOOKUP($A196,'Шаг2.Бланк заказа NEW'!$B$17:$N$201,3,0)),
IF(VLOOKUP($A196-COUNT('Шаг2.Бланк заказа NEW'!$B$19:$B$201),'Бланк OLD 0.8 04'!$B$12:$K$200,3,0)="","",VLOOKUP($A196-COUNT('Шаг2.Бланк заказа NEW'!$B$19:$B$201),'Бланк OLD 0.8 04'!$B$12:$K$200,3,0))),
IF(VLOOKUP($A196-COUNT('Шаг2.Бланк заказа NEW'!$B$19:$B$201)-COUNT('Бланк OLD 0.8 04'!$B$18:$B$200),'Бланк OLD 2.0 04 '!$B$16:$K$200,3,0)="","",VLOOKUP($A196-COUNT('Шаг2.Бланк заказа NEW'!$B$19:$B$201)-COUNT('Бланк OLD 0.8 04'!$B$18:$B$200),'Бланк OLD 2.0 04 '!$B$16:$K$200,3,0)))</f>
        <v/>
      </c>
      <c r="G196" s="176" t="str">
        <f ca="1">IF(IF(R196="","",IF(R196=1,SUMIFS('Шаг1.Выбор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плиты'!C:Q,12,0)),1))))))=0,
R196,
IF(R196="","",IF(R196=1,SUMIFS('Шаг1.Выбор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плиты'!N:N,R196,'Шаг1.Выбор плиты'!M:M,SMALL(INDIRECT("мм"&amp;VLOOKUP(C196,'Шаг1.Выбор плиты'!C:Q,12,0)),1)))))))</f>
        <v/>
      </c>
      <c r="H196" s="177" t="str">
        <f ca="1">IF(IF(S196="","",IF(S196=1,SUMIFS('Шаг1.Выбор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плиты'!C:Q,12,0)),1))))))=0,
S196,
IF(S196="","",IF(S196=1,SUMIFS('Шаг1.Выбор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плиты'!N:N,S196,'Шаг1.Выбор плиты'!M:M,SMALL(INDIRECT("мм"&amp;VLOOKUP(C196,'Шаг1.Выбор плиты'!C:Q,12,0)),1)))))))</f>
        <v/>
      </c>
      <c r="I196" s="147" t="str">
        <f ca="1">IFERROR(IFERROR(IF(VLOOKUP($A196,'Шаг2.Бланк заказа NEW'!$B$17:$N$201,6,0)="","",VLOOKUP($A196,'Шаг2.Бланк заказа NEW'!$B$17:$N$201,6,0)),
IF(VLOOKUP($A196-COUNT('Шаг2.Бланк заказа NEW'!$B$19:$B$201),'Бланк OLD 0.8 04'!$B$12:$K$200,6,0)="","",VLOOKUP($A196-COUNT('Шаг2.Бланк заказа NEW'!$B$19:$B$201),'Бланк OLD 0.8 04'!$B$12:$K$200,6,0))),
IF(VLOOKUP($A196-COUNT('Шаг2.Бланк заказа NEW'!$B$19:$B$201)-COUNT('Бланк OLD 0.8 04'!$B$18:$B$200),'Бланк OLD 2.0 04 '!$B$16:$K$200,6,0)="","",VLOOKUP($A196-COUNT('Шаг2.Бланк заказа NEW'!$B$19:$B$201)-COUNT('Бланк OLD 0.8 04'!$B$18:$B$200),'Бланк OLD 2.0 04 '!$B$16:$K$200,6,0)))</f>
        <v/>
      </c>
      <c r="J196" s="177" t="str">
        <f ca="1">IF(IF(T196="","",IF(T196=1,SUMIFS('Шаг1.Выбор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плиты'!C:Q,12,0)),1))))))=0,
T196,
IF(T196="","",IF(T196=1,SUMIFS('Шаг1.Выбор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плиты'!N:N,T196,'Шаг1.Выбор плиты'!M:M,SMALL(INDIRECT("мм"&amp;VLOOKUP(C196,'Шаг1.Выбор плиты'!C:Q,12,0)),1)))))))</f>
        <v/>
      </c>
      <c r="K196" s="177" t="str">
        <f ca="1">IF(IF(U196="","",IF(U196=1,SUMIFS('Шаг1.Выбор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плиты'!C:Q,12,0)),1))))))=0,
U196,
IF(U196="","",IF(U196=1,SUMIFS('Шаг1.Выбор плиты'!$G:$G,'Шаг1.Выбор плиты'!J:J,"*"&amp;RIGHT(VLOOKUP(C196,'Шаг1.Выбор плиты'!C:Q,8,0),4),'Шаг1.Выбор плиты'!L:L,IF(MID(C196,1,6)="ЛДСП P","TM"&amp;MID(VLOOKUP(C196,'Шаг1.Выбор плиты'!C:Q,10,0),3,2),MID(VLOOKUP(C196,'Шаг1.Выбор плиты'!C:Q,10,0),1,2)),
'Шаг1.Выбор плиты'!N:N,1),IF(SUMIFS('Шаг1.Выбор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плиты'!C:Q,12,0)),1))=0,
IF(SUMIFS('Шаг1.Выбор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плиты'!C:Q,12,0)),2))=0,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плиты'!C:Q,12,0)),3)),
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плиты'!C:Q,12,0)),2))),
(SUMIFS('Шаг1.Выбор плиты'!$G:$G,'Шаг1.Выбор плиты'!J:J,"*"&amp;RIGHT(VLOOKUP(C196,'Шаг1.Выбор плиты'!C:Q,8,0),4),'Шаг1.Выбор плиты'!L:L,VLOOKUP(C196,'Шаг1.Выбор плиты'!C:Q,10,0),'Шаг1.Выбор плиты'!N:N,U196,'Шаг1.Выбор плиты'!M:M,SMALL(INDIRECT("мм"&amp;VLOOKUP(C196,'Шаг1.Выбор плиты'!C:Q,12,0)),1)))))))</f>
        <v/>
      </c>
      <c r="L196" s="147" t="str">
        <f ca="1">IFERROR(IFERROR(IF(VLOOKUP($A196,'Шаг2.Бланк заказа NEW'!$B$17:$N$201,9,0)="","",VLOOKUP($A196,'Шаг2.Бланк заказа NEW'!$B$17:$N$201,9,0)),
IF(VLOOKUP($A196-COUNT('Шаг2.Бланк заказа NEW'!$B$19:$B$201),'Бланк OLD 0.8 04'!$B$12:$K$200,9,0)="","",VLOOKUP($A196-COUNT('Шаг2.Бланк заказа NEW'!$B$19:$B$201),'Бланк OLD 0.8 04'!$B$12:$K$200,9,0))),
IF(VLOOKUP($A196-COUNT('Шаг2.Бланк заказа NEW'!$B$19:$B$201)-COUNT('Бланк OLD 0.8 04'!$B$18:$B$200),'Бланк OLD 2.0 04 '!$B$16:$K$200,9,0)="","",VLOOKUP($A196-COUNT('Шаг2.Бланк заказа NEW'!$B$19:$B$201)-COUNT('Бланк OLD 0.8 04'!$B$18:$B$200),'Бланк OLD 2.0 04 '!$B$16:$K$200,9,0)))</f>
        <v/>
      </c>
      <c r="M196" s="154" t="str">
        <f t="shared" ca="1" si="15"/>
        <v/>
      </c>
      <c r="N196" s="153" t="str">
        <f ca="1">IFERROR(IF(VLOOKUP($A196,'Шаг2.Бланк заказа NEW'!$B$17:$N$201,11,0)="","",VLOOKUP($A196,'Шаг2.Бланк заказа NEW'!$B$17:$N$201,11,0)),
"Нет")</f>
        <v/>
      </c>
      <c r="O196" s="147" t="str">
        <f ca="1">IFERROR(IF(VLOOKUP($A196,'Шаг2.Бланк заказа NEW'!$B$17:$N$201,11,0)="","",VLOOKUP($A196,'Шаг2.Бланк заказа NEW'!$B$17:$N$201,12,0)),
"Нет")</f>
        <v/>
      </c>
      <c r="P196" s="153" t="str">
        <f ca="1">IFERROR(IF(VLOOKUP($A196,'Шаг2.Бланк заказа NEW'!$B$17:$N$201,13,0)="","",VLOOKUP($A196,'Шаг2.Бланк заказа NEW'!$B$17:$N$201,13,0)),
"Нет")</f>
        <v/>
      </c>
      <c r="Q196" s="147" t="str">
        <f ca="1">IFERROR(IF(VLOOKUP($A196,'Шаг2.Бланк заказа NEW'!$B$17:$O$201,14,0)="","",VLOOKUP($A196,'Шаг2.Бланк заказа NEW'!$B$17:$O$201,14,0)),"")</f>
        <v/>
      </c>
      <c r="R196" s="147" t="str">
        <f ca="1">IFERROR(IFERROR(IF(VLOOKUP($A196,'Шаг2.Бланк заказа NEW'!$B$17:$N$201,4,0)="","",VLOOKUP($A196,'Шаг2.Бланк заказа NEW'!$B$17:$N$201,4,0)),
IF(VLOOKUP($A196-COUNT('Шаг2.Бланк заказа NEW'!$B$19:$B$201),'Бланк OLD 0.8 04'!$B$12:$K$200,4,0)&gt;0,0.8,
IF(VLOOKUP($A196-COUNT('Шаг2.Бланк заказа NEW'!$B$19:$B$201),'Бланк OLD 0.8 04'!$B$12:$K$200,5,0)&gt;0,0.4,""))),
IF(VLOOKUP($A196-COUNT('Шаг2.Бланк заказа NEW'!$B$19:$B$201)-COUNT('Бланк OLD 0.8 04'!$B$18:$B$200),'Бланк OLD 2.0 04 '!$B$16:$K$200,4,0)&gt;0,2,IF(VLOOKUP($A196-COUNT('Шаг2.Бланк заказа NEW'!$B$19:$B$201)-COUNT('Бланк OLD 0.8 04'!$B$18:$B$200),'Бланк OLD 2.0 04 '!$B$16:$K$200,5,0)&gt;0,0.4,"")))</f>
        <v/>
      </c>
      <c r="S196" s="147" t="str">
        <f ca="1">IFERROR(IFERROR(IF(VLOOKUP($A196,'Шаг2.Бланк заказа NEW'!$B$17:$N$201,5,0)="","",VLOOKUP($A196,'Шаг2.Бланк заказа NEW'!$B$17:$N$201,5,0)),
IF(VLOOKUP($A196-COUNT('Шаг2.Бланк заказа NEW'!$B$19:$B$201),'Бланк OLD 0.8 04'!$B$12:$K$200,4,0)&gt;1,0.8,
IF(VLOOKUP($A196-COUNT('Шаг2.Бланк заказа NEW'!$B$19:$B$201),'Бланк OLD 0.8 04'!$B$12:$K$200,5,0)&gt;1,0.4,
IF(AND(VLOOKUP($A196-COUNT('Шаг2.Бланк заказа NEW'!$B$19:$B$201),'Бланк OLD 0.8 04'!$B$12:$K$200,4,0)&gt;0,VLOOKUP($A196-COUNT('Шаг2.Бланк заказа NEW'!$B$19:$B$201),'Бланк OLD 0.8 04'!$B$12:$K$200,5,0)&gt;0),0.4,"")))),
IF(VLOOKUP($A196-COUNT('Шаг2.Бланк заказа NEW'!$B$19:$B$201)-COUNT('Бланк OLD 0.8 04'!$B$18:$B$200),'Бланк OLD 2.0 04 '!$B$16:$K$200,4,0)&gt;1,2,
IF(VLOOKUP($A196-COUNT('Шаг2.Бланк заказа NEW'!$B$19:$B$201)-COUNT('Бланк OLD 0.8 04'!$B$18:$B$200),'Бланк OLD 2.0 04 '!$B$16:$K$200,5,0)&gt;1,0.4,IF(AND(VLOOKUP($A196-COUNT('Шаг2.Бланк заказа NEW'!$B$19:$B$201)-COUNT('Бланк OLD 0.8 04'!$B$18:$B$200),'Бланк OLD 2.0 04 '!$B$16:$K$200,4,0)&gt;0,VLOOKUP($A196-COUNT('Шаг2.Бланк заказа NEW'!$B$19:$B$201)-COUNT('Бланк OLD 0.8 04'!$B$18:$B$200),'Бланк OLD 2.0 04 '!$B$16:$K$200,5,0)&gt;0),0.4,""))))</f>
        <v/>
      </c>
      <c r="T196" s="147" t="str">
        <f ca="1">IFERROR(IFERROR(IF(VLOOKUP($A196,'Шаг2.Бланк заказа NEW'!$B$17:$N$201,7,0)="","",VLOOKUP($A196,'Шаг2.Бланк заказа NEW'!$B$17:$N$201,7,0)),
IF(VLOOKUP($A196-COUNT('Шаг2.Бланк заказа NEW'!$B$19:$B$201),'Бланк OLD 0.8 04'!$B$12:$K$200,7,0)&gt;0,0.8,
IF(VLOOKUP($A196-COUNT('Шаг2.Бланк заказа NEW'!$B$19:$B$201),'Бланк OLD 0.8 04'!$B$12:$K$200,8,0)&gt;0,0.4,""))),
IF(VLOOKUP($A196-COUNT('Шаг2.Бланк заказа NEW'!$B$19:$B$201)-COUNT('Бланк OLD 0.8 04'!$B$18:$B$200),'Бланк OLD 2.0 04 '!$B$16:$K$200,7,0)&gt;0,2,IF(VLOOKUP($A196-COUNT('Шаг2.Бланк заказа NEW'!$B$19:$B$201)-COUNT('Бланк OLD 0.8 04'!$B$18:$B$200),'Бланк OLD 2.0 04 '!$B$16:$K$200,8,0)&gt;0,0.4,"")))</f>
        <v/>
      </c>
      <c r="U196" s="147" t="str">
        <f ca="1">IFERROR(IFERROR(IF(VLOOKUP($A196,'Шаг2.Бланк заказа NEW'!$B$17:$N$201,8,0)="","",VLOOKUP($A196,'Шаг2.Бланк заказа NEW'!$B$17:$N$201,8,0)),
IF(VLOOKUP($A196-COUNT('Шаг2.Бланк заказа NEW'!$B$19:$B$201),'Бланк OLD 0.8 04'!$B$12:$K$200,7,0)&gt;1,0.8,
IF(VLOOKUP($A196-COUNT('Шаг2.Бланк заказа NEW'!$B$19:$B$201),'Бланк OLD 0.8 04'!$B$12:$K$200,8,0)&gt;1,0.4,
IF(AND(VLOOKUP($A196-COUNT('Шаг2.Бланк заказа NEW'!$B$19:$B$201),'Бланк OLD 0.8 04'!$B$12:$K$200,7,0)&gt;0,VLOOKUP($A196-COUNT('Шаг2.Бланк заказа NEW'!$B$19:$B$201),'Бланк OLD 0.8 04'!$B$12:$K$200,8,0)&gt;0),0.4,"")))),
IF(VLOOKUP($A196-COUNT('Шаг2.Бланк заказа NEW'!$B$19:$B$201)-COUNT('Бланк OLD 0.8 04'!$B$18:$B$200),'Бланк OLD 2.0 04 '!$B$16:$K$200,7,0)&gt;1,2,
IF(VLOOKUP($A196-COUNT('Шаг2.Бланк заказа NEW'!$B$19:$B$201)-COUNT('Бланк OLD 0.8 04'!$B$18:$B$200),'Бланк OLD 2.0 04 '!$B$16:$K$200,8,0)&gt;1,0.4,
IF(AND(VLOOKUP($A196-COUNT('Шаг2.Бланк заказа NEW'!$B$19:$B$201)-COUNT('Бланк OLD 0.8 04'!$B$18:$B$200),'Бланк OLD 2.0 04 '!$B$16:$K$200,7,0)&gt;0,VLOOKUP($A196-COUNT('Шаг2.Бланк заказа NEW'!$B$19:$B$201)-COUNT('Бланк OLD 0.8 04'!$B$18:$B$200),'Бланк OLD 2.0 04 '!$B$16:$K$200,8,0)&gt;0),0.4,""))))</f>
        <v/>
      </c>
      <c r="V196" s="146" t="str">
        <f ca="1">IFERROR(VLOOKUP(C196,'Шаг1.Выбор плиты'!C:S,12,0),"")</f>
        <v/>
      </c>
      <c r="W196" s="146" t="str">
        <f ca="1">IFERROR(VLOOKUP(C196,'Шаг1.Выбор плиты'!C:S,8,0),"")</f>
        <v/>
      </c>
      <c r="X196" s="146" t="str">
        <f ca="1">IFERROR(VLOOKUP(C196,'Шаг1.Выбор плиты'!C:S,10,0),"")</f>
        <v/>
      </c>
      <c r="Y196" s="147" t="str">
        <f t="shared" ca="1" si="18"/>
        <v/>
      </c>
      <c r="AD196" s="147" t="str">
        <f t="shared" ca="1" si="16"/>
        <v/>
      </c>
      <c r="AE196" s="147" t="str">
        <f t="shared" ca="1" si="19"/>
        <v/>
      </c>
      <c r="AF196" s="25"/>
      <c r="AH196" s="147" t="str">
        <f ca="1">IF(C196="","",VLOOKUP(C196,'Шаг1.Выбор плиты'!C:Q,7,0))</f>
        <v/>
      </c>
      <c r="AI196" s="147" t="str">
        <f t="shared" ca="1" si="17"/>
        <v/>
      </c>
    </row>
    <row r="197" spans="1:35" x14ac:dyDescent="0.2">
      <c r="A197" s="151" t="str">
        <f ca="1">IF(C197="","",MAX($A$1:OFFSET(C197,-1,0))+1)</f>
        <v/>
      </c>
      <c r="B197" s="151" t="str">
        <f ca="1">IFERROR(IFERROR(IFERROR("Шаг2.Бланк заказа NEW №"&amp;VLOOKUP(A196+1,CHOOSE({1,2},'Шаг2.Бланк заказа NEW'!$B$19:$B$201,'Шаг2.Бланк заказа NEW'!$A$19:$A$201),1,0),
"Бланк OLD 0.8 04 №"&amp;VLOOKUP(A196+1-COUNT('Шаг2.Бланк заказа NEW'!$B$19:$B$201),CHOOSE({1,2},'Бланк OLD 0.8 04'!$B$18:$B$200,'Бланк OLD 0.8 04'!$A$18:$A$200),1,0)),
"Бланк OLD 2.0 04 №"&amp;VLOOKUP(A196+1-COUNT('Шаг2.Бланк заказа NEW'!$B$19:$B$201)-COUNT('Бланк OLD 0.8 04'!$B$18:$B$200),CHOOSE({1,2},'Бланк OLD 2.0 04 '!$B$18:$B$200,'Бланк OLD 2.0 04 '!$A$18:$A$200),1,0)),"")</f>
        <v/>
      </c>
      <c r="C197" s="152" t="str">
        <f ca="1">IFERROR(IFERROR(IFERROR(VLOOKUP(A196+1,CHOOSE({1,2},'Шаг2.Бланк заказа NEW'!$B$19:$B$201,'Шаг2.Бланк заказа NEW'!$A$19:$A$201),2,0),
VLOOKUP(A196+1-COUNT('Шаг2.Бланк заказа NEW'!$B$19:$B$201),CHOOSE({1,2},'Бланк OLD 0.8 04'!$B$18:$B$200,'Бланк OLD 0.8 04'!$A$18:$A$200),2,0)),
VLOOKUP(A196+1-COUNT('Шаг2.Бланк заказа NEW'!$B$19:$B$201)-COUNT('Бланк OLD 0.8 04'!$B$18:$B$200),CHOOSE({1,2},'Бланк OLD 2.0 04 '!$B$18:$B$200,'Бланк OLD 2.0 04 '!$A$18:$A$200),2,0)),"")</f>
        <v/>
      </c>
      <c r="D197" s="150" t="str">
        <f ca="1">IFERROR(VLOOKUP(C197,'Шаг1.Выбор плиты'!C:G,5,0),"")</f>
        <v/>
      </c>
      <c r="E197" s="147" t="str">
        <f ca="1">IFERROR(IFERROR(IF(VLOOKUP($A197,'Шаг2.Бланк заказа NEW'!$B$17:$N$201,2,0)="","",VLOOKUP($A197,'Шаг2.Бланк заказа NEW'!$B$17:$N$201,2,0)),
IF(VLOOKUP($A197-COUNT('Шаг2.Бланк заказа NEW'!$B$19:$B$201),'Бланк OLD 0.8 04'!$B$12:$K$200,2,0)="","",VLOOKUP($A197-COUNT('Шаг2.Бланк заказа NEW'!$B$19:$B$201),'Бланк OLD 0.8 04'!$B$12:$K$200,2,0))),
IF(VLOOKUP($A197-COUNT('Шаг2.Бланк заказа NEW'!$B$19:$B$201)-COUNT('Бланк OLD 0.8 04'!$B$18:$B$200),'Бланк OLD 2.0 04 '!$B$16:$K$200,2,0)="","",VLOOKUP($A197-COUNT('Шаг2.Бланк заказа NEW'!$B$19:$B$201)-COUNT('Бланк OLD 0.8 04'!$B$18:$B$200),'Бланк OLD 2.0 04 '!$B$16:$K$200,2,0)))</f>
        <v/>
      </c>
      <c r="F197" s="147" t="str">
        <f ca="1">IFERROR(IFERROR(IF(VLOOKUP($A197,'Шаг2.Бланк заказа NEW'!$B$17:$N$201,3,0)="","",VLOOKUP($A197,'Шаг2.Бланк заказа NEW'!$B$17:$N$201,3,0)),
IF(VLOOKUP($A197-COUNT('Шаг2.Бланк заказа NEW'!$B$19:$B$201),'Бланк OLD 0.8 04'!$B$12:$K$200,3,0)="","",VLOOKUP($A197-COUNT('Шаг2.Бланк заказа NEW'!$B$19:$B$201),'Бланк OLD 0.8 04'!$B$12:$K$200,3,0))),
IF(VLOOKUP($A197-COUNT('Шаг2.Бланк заказа NEW'!$B$19:$B$201)-COUNT('Бланк OLD 0.8 04'!$B$18:$B$200),'Бланк OLD 2.0 04 '!$B$16:$K$200,3,0)="","",VLOOKUP($A197-COUNT('Шаг2.Бланк заказа NEW'!$B$19:$B$201)-COUNT('Бланк OLD 0.8 04'!$B$18:$B$200),'Бланк OLD 2.0 04 '!$B$16:$K$200,3,0)))</f>
        <v/>
      </c>
      <c r="G197" s="176" t="str">
        <f ca="1">IF(IF(R197="","",IF(R197=1,SUMIFS('Шаг1.Выбор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плиты'!C:Q,12,0)),1))))))=0,
R197,
IF(R197="","",IF(R197=1,SUMIFS('Шаг1.Выбор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плиты'!N:N,R197,'Шаг1.Выбор плиты'!M:M,SMALL(INDIRECT("мм"&amp;VLOOKUP(C197,'Шаг1.Выбор плиты'!C:Q,12,0)),1)))))))</f>
        <v/>
      </c>
      <c r="H197" s="177" t="str">
        <f ca="1">IF(IF(S197="","",IF(S197=1,SUMIFS('Шаг1.Выбор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плиты'!C:Q,12,0)),1))))))=0,
S197,
IF(S197="","",IF(S197=1,SUMIFS('Шаг1.Выбор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плиты'!N:N,S197,'Шаг1.Выбор плиты'!M:M,SMALL(INDIRECT("мм"&amp;VLOOKUP(C197,'Шаг1.Выбор плиты'!C:Q,12,0)),1)))))))</f>
        <v/>
      </c>
      <c r="I197" s="147" t="str">
        <f ca="1">IFERROR(IFERROR(IF(VLOOKUP($A197,'Шаг2.Бланк заказа NEW'!$B$17:$N$201,6,0)="","",VLOOKUP($A197,'Шаг2.Бланк заказа NEW'!$B$17:$N$201,6,0)),
IF(VLOOKUP($A197-COUNT('Шаг2.Бланк заказа NEW'!$B$19:$B$201),'Бланк OLD 0.8 04'!$B$12:$K$200,6,0)="","",VLOOKUP($A197-COUNT('Шаг2.Бланк заказа NEW'!$B$19:$B$201),'Бланк OLD 0.8 04'!$B$12:$K$200,6,0))),
IF(VLOOKUP($A197-COUNT('Шаг2.Бланк заказа NEW'!$B$19:$B$201)-COUNT('Бланк OLD 0.8 04'!$B$18:$B$200),'Бланк OLD 2.0 04 '!$B$16:$K$200,6,0)="","",VLOOKUP($A197-COUNT('Шаг2.Бланк заказа NEW'!$B$19:$B$201)-COUNT('Бланк OLD 0.8 04'!$B$18:$B$200),'Бланк OLD 2.0 04 '!$B$16:$K$200,6,0)))</f>
        <v/>
      </c>
      <c r="J197" s="177" t="str">
        <f ca="1">IF(IF(T197="","",IF(T197=1,SUMIFS('Шаг1.Выбор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плиты'!C:Q,12,0)),1))))))=0,
T197,
IF(T197="","",IF(T197=1,SUMIFS('Шаг1.Выбор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плиты'!N:N,T197,'Шаг1.Выбор плиты'!M:M,SMALL(INDIRECT("мм"&amp;VLOOKUP(C197,'Шаг1.Выбор плиты'!C:Q,12,0)),1)))))))</f>
        <v/>
      </c>
      <c r="K197" s="177" t="str">
        <f ca="1">IF(IF(U197="","",IF(U197=1,SUMIFS('Шаг1.Выбор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плиты'!C:Q,12,0)),1))))))=0,
U197,
IF(U197="","",IF(U197=1,SUMIFS('Шаг1.Выбор плиты'!$G:$G,'Шаг1.Выбор плиты'!J:J,"*"&amp;RIGHT(VLOOKUP(C197,'Шаг1.Выбор плиты'!C:Q,8,0),4),'Шаг1.Выбор плиты'!L:L,IF(MID(C197,1,6)="ЛДСП P","TM"&amp;MID(VLOOKUP(C197,'Шаг1.Выбор плиты'!C:Q,10,0),3,2),MID(VLOOKUP(C197,'Шаг1.Выбор плиты'!C:Q,10,0),1,2)),
'Шаг1.Выбор плиты'!N:N,1),IF(SUMIFS('Шаг1.Выбор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плиты'!C:Q,12,0)),1))=0,
IF(SUMIFS('Шаг1.Выбор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плиты'!C:Q,12,0)),2))=0,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плиты'!C:Q,12,0)),3)),
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плиты'!C:Q,12,0)),2))),
(SUMIFS('Шаг1.Выбор плиты'!$G:$G,'Шаг1.Выбор плиты'!J:J,"*"&amp;RIGHT(VLOOKUP(C197,'Шаг1.Выбор плиты'!C:Q,8,0),4),'Шаг1.Выбор плиты'!L:L,VLOOKUP(C197,'Шаг1.Выбор плиты'!C:Q,10,0),'Шаг1.Выбор плиты'!N:N,U197,'Шаг1.Выбор плиты'!M:M,SMALL(INDIRECT("мм"&amp;VLOOKUP(C197,'Шаг1.Выбор плиты'!C:Q,12,0)),1)))))))</f>
        <v/>
      </c>
      <c r="L197" s="147" t="str">
        <f ca="1">IFERROR(IFERROR(IF(VLOOKUP($A197,'Шаг2.Бланк заказа NEW'!$B$17:$N$201,9,0)="","",VLOOKUP($A197,'Шаг2.Бланк заказа NEW'!$B$17:$N$201,9,0)),
IF(VLOOKUP($A197-COUNT('Шаг2.Бланк заказа NEW'!$B$19:$B$201),'Бланк OLD 0.8 04'!$B$12:$K$200,9,0)="","",VLOOKUP($A197-COUNT('Шаг2.Бланк заказа NEW'!$B$19:$B$201),'Бланк OLD 0.8 04'!$B$12:$K$200,9,0))),
IF(VLOOKUP($A197-COUNT('Шаг2.Бланк заказа NEW'!$B$19:$B$201)-COUNT('Бланк OLD 0.8 04'!$B$18:$B$200),'Бланк OLD 2.0 04 '!$B$16:$K$200,9,0)="","",VLOOKUP($A197-COUNT('Шаг2.Бланк заказа NEW'!$B$19:$B$201)-COUNT('Бланк OLD 0.8 04'!$B$18:$B$200),'Бланк OLD 2.0 04 '!$B$16:$K$200,9,0)))</f>
        <v/>
      </c>
      <c r="M197" s="154" t="str">
        <f t="shared" ca="1" si="15"/>
        <v/>
      </c>
      <c r="N197" s="153" t="str">
        <f ca="1">IFERROR(IF(VLOOKUP($A197,'Шаг2.Бланк заказа NEW'!$B$17:$N$201,11,0)="","",VLOOKUP($A197,'Шаг2.Бланк заказа NEW'!$B$17:$N$201,11,0)),
"Нет")</f>
        <v/>
      </c>
      <c r="O197" s="147" t="str">
        <f ca="1">IFERROR(IF(VLOOKUP($A197,'Шаг2.Бланк заказа NEW'!$B$17:$N$201,11,0)="","",VLOOKUP($A197,'Шаг2.Бланк заказа NEW'!$B$17:$N$201,12,0)),
"Нет")</f>
        <v/>
      </c>
      <c r="P197" s="153" t="str">
        <f ca="1">IFERROR(IF(VLOOKUP($A197,'Шаг2.Бланк заказа NEW'!$B$17:$N$201,13,0)="","",VLOOKUP($A197,'Шаг2.Бланк заказа NEW'!$B$17:$N$201,13,0)),
"Нет")</f>
        <v/>
      </c>
      <c r="Q197" s="147" t="str">
        <f ca="1">IFERROR(IF(VLOOKUP($A197,'Шаг2.Бланк заказа NEW'!$B$17:$O$201,14,0)="","",VLOOKUP($A197,'Шаг2.Бланк заказа NEW'!$B$17:$O$201,14,0)),"")</f>
        <v/>
      </c>
      <c r="R197" s="147" t="str">
        <f ca="1">IFERROR(IFERROR(IF(VLOOKUP($A197,'Шаг2.Бланк заказа NEW'!$B$17:$N$201,4,0)="","",VLOOKUP($A197,'Шаг2.Бланк заказа NEW'!$B$17:$N$201,4,0)),
IF(VLOOKUP($A197-COUNT('Шаг2.Бланк заказа NEW'!$B$19:$B$201),'Бланк OLD 0.8 04'!$B$12:$K$200,4,0)&gt;0,0.8,
IF(VLOOKUP($A197-COUNT('Шаг2.Бланк заказа NEW'!$B$19:$B$201),'Бланк OLD 0.8 04'!$B$12:$K$200,5,0)&gt;0,0.4,""))),
IF(VLOOKUP($A197-COUNT('Шаг2.Бланк заказа NEW'!$B$19:$B$201)-COUNT('Бланк OLD 0.8 04'!$B$18:$B$200),'Бланк OLD 2.0 04 '!$B$16:$K$200,4,0)&gt;0,2,IF(VLOOKUP($A197-COUNT('Шаг2.Бланк заказа NEW'!$B$19:$B$201)-COUNT('Бланк OLD 0.8 04'!$B$18:$B$200),'Бланк OLD 2.0 04 '!$B$16:$K$200,5,0)&gt;0,0.4,"")))</f>
        <v/>
      </c>
      <c r="S197" s="147" t="str">
        <f ca="1">IFERROR(IFERROR(IF(VLOOKUP($A197,'Шаг2.Бланк заказа NEW'!$B$17:$N$201,5,0)="","",VLOOKUP($A197,'Шаг2.Бланк заказа NEW'!$B$17:$N$201,5,0)),
IF(VLOOKUP($A197-COUNT('Шаг2.Бланк заказа NEW'!$B$19:$B$201),'Бланк OLD 0.8 04'!$B$12:$K$200,4,0)&gt;1,0.8,
IF(VLOOKUP($A197-COUNT('Шаг2.Бланк заказа NEW'!$B$19:$B$201),'Бланк OLD 0.8 04'!$B$12:$K$200,5,0)&gt;1,0.4,
IF(AND(VLOOKUP($A197-COUNT('Шаг2.Бланк заказа NEW'!$B$19:$B$201),'Бланк OLD 0.8 04'!$B$12:$K$200,4,0)&gt;0,VLOOKUP($A197-COUNT('Шаг2.Бланк заказа NEW'!$B$19:$B$201),'Бланк OLD 0.8 04'!$B$12:$K$200,5,0)&gt;0),0.4,"")))),
IF(VLOOKUP($A197-COUNT('Шаг2.Бланк заказа NEW'!$B$19:$B$201)-COUNT('Бланк OLD 0.8 04'!$B$18:$B$200),'Бланк OLD 2.0 04 '!$B$16:$K$200,4,0)&gt;1,2,
IF(VLOOKUP($A197-COUNT('Шаг2.Бланк заказа NEW'!$B$19:$B$201)-COUNT('Бланк OLD 0.8 04'!$B$18:$B$200),'Бланк OLD 2.0 04 '!$B$16:$K$200,5,0)&gt;1,0.4,IF(AND(VLOOKUP($A197-COUNT('Шаг2.Бланк заказа NEW'!$B$19:$B$201)-COUNT('Бланк OLD 0.8 04'!$B$18:$B$200),'Бланк OLD 2.0 04 '!$B$16:$K$200,4,0)&gt;0,VLOOKUP($A197-COUNT('Шаг2.Бланк заказа NEW'!$B$19:$B$201)-COUNT('Бланк OLD 0.8 04'!$B$18:$B$200),'Бланк OLD 2.0 04 '!$B$16:$K$200,5,0)&gt;0),0.4,""))))</f>
        <v/>
      </c>
      <c r="T197" s="147" t="str">
        <f ca="1">IFERROR(IFERROR(IF(VLOOKUP($A197,'Шаг2.Бланк заказа NEW'!$B$17:$N$201,7,0)="","",VLOOKUP($A197,'Шаг2.Бланк заказа NEW'!$B$17:$N$201,7,0)),
IF(VLOOKUP($A197-COUNT('Шаг2.Бланк заказа NEW'!$B$19:$B$201),'Бланк OLD 0.8 04'!$B$12:$K$200,7,0)&gt;0,0.8,
IF(VLOOKUP($A197-COUNT('Шаг2.Бланк заказа NEW'!$B$19:$B$201),'Бланк OLD 0.8 04'!$B$12:$K$200,8,0)&gt;0,0.4,""))),
IF(VLOOKUP($A197-COUNT('Шаг2.Бланк заказа NEW'!$B$19:$B$201)-COUNT('Бланк OLD 0.8 04'!$B$18:$B$200),'Бланк OLD 2.0 04 '!$B$16:$K$200,7,0)&gt;0,2,IF(VLOOKUP($A197-COUNT('Шаг2.Бланк заказа NEW'!$B$19:$B$201)-COUNT('Бланк OLD 0.8 04'!$B$18:$B$200),'Бланк OLD 2.0 04 '!$B$16:$K$200,8,0)&gt;0,0.4,"")))</f>
        <v/>
      </c>
      <c r="U197" s="147" t="str">
        <f ca="1">IFERROR(IFERROR(IF(VLOOKUP($A197,'Шаг2.Бланк заказа NEW'!$B$17:$N$201,8,0)="","",VLOOKUP($A197,'Шаг2.Бланк заказа NEW'!$B$17:$N$201,8,0)),
IF(VLOOKUP($A197-COUNT('Шаг2.Бланк заказа NEW'!$B$19:$B$201),'Бланк OLD 0.8 04'!$B$12:$K$200,7,0)&gt;1,0.8,
IF(VLOOKUP($A197-COUNT('Шаг2.Бланк заказа NEW'!$B$19:$B$201),'Бланк OLD 0.8 04'!$B$12:$K$200,8,0)&gt;1,0.4,
IF(AND(VLOOKUP($A197-COUNT('Шаг2.Бланк заказа NEW'!$B$19:$B$201),'Бланк OLD 0.8 04'!$B$12:$K$200,7,0)&gt;0,VLOOKUP($A197-COUNT('Шаг2.Бланк заказа NEW'!$B$19:$B$201),'Бланк OLD 0.8 04'!$B$12:$K$200,8,0)&gt;0),0.4,"")))),
IF(VLOOKUP($A197-COUNT('Шаг2.Бланк заказа NEW'!$B$19:$B$201)-COUNT('Бланк OLD 0.8 04'!$B$18:$B$200),'Бланк OLD 2.0 04 '!$B$16:$K$200,7,0)&gt;1,2,
IF(VLOOKUP($A197-COUNT('Шаг2.Бланк заказа NEW'!$B$19:$B$201)-COUNT('Бланк OLD 0.8 04'!$B$18:$B$200),'Бланк OLD 2.0 04 '!$B$16:$K$200,8,0)&gt;1,0.4,
IF(AND(VLOOKUP($A197-COUNT('Шаг2.Бланк заказа NEW'!$B$19:$B$201)-COUNT('Бланк OLD 0.8 04'!$B$18:$B$200),'Бланк OLD 2.0 04 '!$B$16:$K$200,7,0)&gt;0,VLOOKUP($A197-COUNT('Шаг2.Бланк заказа NEW'!$B$19:$B$201)-COUNT('Бланк OLD 0.8 04'!$B$18:$B$200),'Бланк OLD 2.0 04 '!$B$16:$K$200,8,0)&gt;0),0.4,""))))</f>
        <v/>
      </c>
      <c r="V197" s="146" t="str">
        <f ca="1">IFERROR(VLOOKUP(C197,'Шаг1.Выбор плиты'!C:S,12,0),"")</f>
        <v/>
      </c>
      <c r="W197" s="146" t="str">
        <f ca="1">IFERROR(VLOOKUP(C197,'Шаг1.Выбор плиты'!C:S,8,0),"")</f>
        <v/>
      </c>
      <c r="X197" s="146" t="str">
        <f ca="1">IFERROR(VLOOKUP(C197,'Шаг1.Выбор плиты'!C:S,10,0),"")</f>
        <v/>
      </c>
      <c r="Y197" s="147" t="str">
        <f t="shared" ca="1" si="18"/>
        <v/>
      </c>
      <c r="AD197" s="147" t="str">
        <f t="shared" ca="1" si="16"/>
        <v/>
      </c>
      <c r="AE197" s="147" t="str">
        <f t="shared" ca="1" si="19"/>
        <v/>
      </c>
      <c r="AF197" s="25"/>
      <c r="AH197" s="147" t="str">
        <f ca="1">IF(C197="","",VLOOKUP(C197,'Шаг1.Выбор плиты'!C:Q,7,0))</f>
        <v/>
      </c>
      <c r="AI197" s="147" t="str">
        <f t="shared" ca="1" si="17"/>
        <v/>
      </c>
    </row>
    <row r="198" spans="1:35" x14ac:dyDescent="0.2">
      <c r="A198" s="151" t="str">
        <f ca="1">IF(C198="","",MAX($A$1:OFFSET(C198,-1,0))+1)</f>
        <v/>
      </c>
      <c r="B198" s="151" t="str">
        <f ca="1">IFERROR(IFERROR(IFERROR("Шаг2.Бланк заказа NEW №"&amp;VLOOKUP(A197+1,CHOOSE({1,2},'Шаг2.Бланк заказа NEW'!$B$19:$B$201,'Шаг2.Бланк заказа NEW'!$A$19:$A$201),1,0),
"Бланк OLD 0.8 04 №"&amp;VLOOKUP(A197+1-COUNT('Шаг2.Бланк заказа NEW'!$B$19:$B$201),CHOOSE({1,2},'Бланк OLD 0.8 04'!$B$18:$B$200,'Бланк OLD 0.8 04'!$A$18:$A$200),1,0)),
"Бланк OLD 2.0 04 №"&amp;VLOOKUP(A197+1-COUNT('Шаг2.Бланк заказа NEW'!$B$19:$B$201)-COUNT('Бланк OLD 0.8 04'!$B$18:$B$200),CHOOSE({1,2},'Бланк OLD 2.0 04 '!$B$18:$B$200,'Бланк OLD 2.0 04 '!$A$18:$A$200),1,0)),"")</f>
        <v/>
      </c>
      <c r="C198" s="152" t="str">
        <f ca="1">IFERROR(IFERROR(IFERROR(VLOOKUP(A197+1,CHOOSE({1,2},'Шаг2.Бланк заказа NEW'!$B$19:$B$201,'Шаг2.Бланк заказа NEW'!$A$19:$A$201),2,0),
VLOOKUP(A197+1-COUNT('Шаг2.Бланк заказа NEW'!$B$19:$B$201),CHOOSE({1,2},'Бланк OLD 0.8 04'!$B$18:$B$200,'Бланк OLD 0.8 04'!$A$18:$A$200),2,0)),
VLOOKUP(A197+1-COUNT('Шаг2.Бланк заказа NEW'!$B$19:$B$201)-COUNT('Бланк OLD 0.8 04'!$B$18:$B$200),CHOOSE({1,2},'Бланк OLD 2.0 04 '!$B$18:$B$200,'Бланк OLD 2.0 04 '!$A$18:$A$200),2,0)),"")</f>
        <v/>
      </c>
      <c r="D198" s="150" t="str">
        <f ca="1">IFERROR(VLOOKUP(C198,'Шаг1.Выбор плиты'!C:G,5,0),"")</f>
        <v/>
      </c>
      <c r="E198" s="147" t="str">
        <f ca="1">IFERROR(IFERROR(IF(VLOOKUP($A198,'Шаг2.Бланк заказа NEW'!$B$17:$N$201,2,0)="","",VLOOKUP($A198,'Шаг2.Бланк заказа NEW'!$B$17:$N$201,2,0)),
IF(VLOOKUP($A198-COUNT('Шаг2.Бланк заказа NEW'!$B$19:$B$201),'Бланк OLD 0.8 04'!$B$12:$K$200,2,0)="","",VLOOKUP($A198-COUNT('Шаг2.Бланк заказа NEW'!$B$19:$B$201),'Бланк OLD 0.8 04'!$B$12:$K$200,2,0))),
IF(VLOOKUP($A198-COUNT('Шаг2.Бланк заказа NEW'!$B$19:$B$201)-COUNT('Бланк OLD 0.8 04'!$B$18:$B$200),'Бланк OLD 2.0 04 '!$B$16:$K$200,2,0)="","",VLOOKUP($A198-COUNT('Шаг2.Бланк заказа NEW'!$B$19:$B$201)-COUNT('Бланк OLD 0.8 04'!$B$18:$B$200),'Бланк OLD 2.0 04 '!$B$16:$K$200,2,0)))</f>
        <v/>
      </c>
      <c r="F198" s="147" t="str">
        <f ca="1">IFERROR(IFERROR(IF(VLOOKUP($A198,'Шаг2.Бланк заказа NEW'!$B$17:$N$201,3,0)="","",VLOOKUP($A198,'Шаг2.Бланк заказа NEW'!$B$17:$N$201,3,0)),
IF(VLOOKUP($A198-COUNT('Шаг2.Бланк заказа NEW'!$B$19:$B$201),'Бланк OLD 0.8 04'!$B$12:$K$200,3,0)="","",VLOOKUP($A198-COUNT('Шаг2.Бланк заказа NEW'!$B$19:$B$201),'Бланк OLD 0.8 04'!$B$12:$K$200,3,0))),
IF(VLOOKUP($A198-COUNT('Шаг2.Бланк заказа NEW'!$B$19:$B$201)-COUNT('Бланк OLD 0.8 04'!$B$18:$B$200),'Бланк OLD 2.0 04 '!$B$16:$K$200,3,0)="","",VLOOKUP($A198-COUNT('Шаг2.Бланк заказа NEW'!$B$19:$B$201)-COUNT('Бланк OLD 0.8 04'!$B$18:$B$200),'Бланк OLD 2.0 04 '!$B$16:$K$200,3,0)))</f>
        <v/>
      </c>
      <c r="G198" s="176" t="str">
        <f ca="1">IF(IF(R198="","",IF(R198=1,SUMIFS('Шаг1.Выбор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плиты'!C:Q,12,0)),1))))))=0,
R198,
IF(R198="","",IF(R198=1,SUMIFS('Шаг1.Выбор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плиты'!N:N,R198,'Шаг1.Выбор плиты'!M:M,SMALL(INDIRECT("мм"&amp;VLOOKUP(C198,'Шаг1.Выбор плиты'!C:Q,12,0)),1)))))))</f>
        <v/>
      </c>
      <c r="H198" s="177" t="str">
        <f ca="1">IF(IF(S198="","",IF(S198=1,SUMIFS('Шаг1.Выбор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плиты'!C:Q,12,0)),1))))))=0,
S198,
IF(S198="","",IF(S198=1,SUMIFS('Шаг1.Выбор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плиты'!N:N,S198,'Шаг1.Выбор плиты'!M:M,SMALL(INDIRECT("мм"&amp;VLOOKUP(C198,'Шаг1.Выбор плиты'!C:Q,12,0)),1)))))))</f>
        <v/>
      </c>
      <c r="I198" s="147" t="str">
        <f ca="1">IFERROR(IFERROR(IF(VLOOKUP($A198,'Шаг2.Бланк заказа NEW'!$B$17:$N$201,6,0)="","",VLOOKUP($A198,'Шаг2.Бланк заказа NEW'!$B$17:$N$201,6,0)),
IF(VLOOKUP($A198-COUNT('Шаг2.Бланк заказа NEW'!$B$19:$B$201),'Бланк OLD 0.8 04'!$B$12:$K$200,6,0)="","",VLOOKUP($A198-COUNT('Шаг2.Бланк заказа NEW'!$B$19:$B$201),'Бланк OLD 0.8 04'!$B$12:$K$200,6,0))),
IF(VLOOKUP($A198-COUNT('Шаг2.Бланк заказа NEW'!$B$19:$B$201)-COUNT('Бланк OLD 0.8 04'!$B$18:$B$200),'Бланк OLD 2.0 04 '!$B$16:$K$200,6,0)="","",VLOOKUP($A198-COUNT('Шаг2.Бланк заказа NEW'!$B$19:$B$201)-COUNT('Бланк OLD 0.8 04'!$B$18:$B$200),'Бланк OLD 2.0 04 '!$B$16:$K$200,6,0)))</f>
        <v/>
      </c>
      <c r="J198" s="177" t="str">
        <f ca="1">IF(IF(T198="","",IF(T198=1,SUMIFS('Шаг1.Выбор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плиты'!C:Q,12,0)),1))))))=0,
T198,
IF(T198="","",IF(T198=1,SUMIFS('Шаг1.Выбор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плиты'!N:N,T198,'Шаг1.Выбор плиты'!M:M,SMALL(INDIRECT("мм"&amp;VLOOKUP(C198,'Шаг1.Выбор плиты'!C:Q,12,0)),1)))))))</f>
        <v/>
      </c>
      <c r="K198" s="177" t="str">
        <f ca="1">IF(IF(U198="","",IF(U198=1,SUMIFS('Шаг1.Выбор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плиты'!C:Q,12,0)),1))))))=0,
U198,
IF(U198="","",IF(U198=1,SUMIFS('Шаг1.Выбор плиты'!$G:$G,'Шаг1.Выбор плиты'!J:J,"*"&amp;RIGHT(VLOOKUP(C198,'Шаг1.Выбор плиты'!C:Q,8,0),4),'Шаг1.Выбор плиты'!L:L,IF(MID(C198,1,6)="ЛДСП P","TM"&amp;MID(VLOOKUP(C198,'Шаг1.Выбор плиты'!C:Q,10,0),3,2),MID(VLOOKUP(C198,'Шаг1.Выбор плиты'!C:Q,10,0),1,2)),
'Шаг1.Выбор плиты'!N:N,1),IF(SUMIFS('Шаг1.Выбор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плиты'!C:Q,12,0)),1))=0,
IF(SUMIFS('Шаг1.Выбор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плиты'!C:Q,12,0)),2))=0,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плиты'!C:Q,12,0)),3)),
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плиты'!C:Q,12,0)),2))),
(SUMIFS('Шаг1.Выбор плиты'!$G:$G,'Шаг1.Выбор плиты'!J:J,"*"&amp;RIGHT(VLOOKUP(C198,'Шаг1.Выбор плиты'!C:Q,8,0),4),'Шаг1.Выбор плиты'!L:L,VLOOKUP(C198,'Шаг1.Выбор плиты'!C:Q,10,0),'Шаг1.Выбор плиты'!N:N,U198,'Шаг1.Выбор плиты'!M:M,SMALL(INDIRECT("мм"&amp;VLOOKUP(C198,'Шаг1.Выбор плиты'!C:Q,12,0)),1)))))))</f>
        <v/>
      </c>
      <c r="L198" s="147" t="str">
        <f ca="1">IFERROR(IFERROR(IF(VLOOKUP($A198,'Шаг2.Бланк заказа NEW'!$B$17:$N$201,9,0)="","",VLOOKUP($A198,'Шаг2.Бланк заказа NEW'!$B$17:$N$201,9,0)),
IF(VLOOKUP($A198-COUNT('Шаг2.Бланк заказа NEW'!$B$19:$B$201),'Бланк OLD 0.8 04'!$B$12:$K$200,9,0)="","",VLOOKUP($A198-COUNT('Шаг2.Бланк заказа NEW'!$B$19:$B$201),'Бланк OLD 0.8 04'!$B$12:$K$200,9,0))),
IF(VLOOKUP($A198-COUNT('Шаг2.Бланк заказа NEW'!$B$19:$B$201)-COUNT('Бланк OLD 0.8 04'!$B$18:$B$200),'Бланк OLD 2.0 04 '!$B$16:$K$200,9,0)="","",VLOOKUP($A198-COUNT('Шаг2.Бланк заказа NEW'!$B$19:$B$201)-COUNT('Бланк OLD 0.8 04'!$B$18:$B$200),'Бланк OLD 2.0 04 '!$B$16:$K$200,9,0)))</f>
        <v/>
      </c>
      <c r="M198" s="154" t="str">
        <f t="shared" ca="1" si="15"/>
        <v/>
      </c>
      <c r="N198" s="153" t="str">
        <f ca="1">IFERROR(IF(VLOOKUP($A198,'Шаг2.Бланк заказа NEW'!$B$17:$N$201,11,0)="","",VLOOKUP($A198,'Шаг2.Бланк заказа NEW'!$B$17:$N$201,11,0)),
"Нет")</f>
        <v/>
      </c>
      <c r="O198" s="147" t="str">
        <f ca="1">IFERROR(IF(VLOOKUP($A198,'Шаг2.Бланк заказа NEW'!$B$17:$N$201,11,0)="","",VLOOKUP($A198,'Шаг2.Бланк заказа NEW'!$B$17:$N$201,12,0)),
"Нет")</f>
        <v/>
      </c>
      <c r="P198" s="153" t="str">
        <f ca="1">IFERROR(IF(VLOOKUP($A198,'Шаг2.Бланк заказа NEW'!$B$17:$N$201,13,0)="","",VLOOKUP($A198,'Шаг2.Бланк заказа NEW'!$B$17:$N$201,13,0)),
"Нет")</f>
        <v/>
      </c>
      <c r="Q198" s="147" t="str">
        <f ca="1">IFERROR(IF(VLOOKUP($A198,'Шаг2.Бланк заказа NEW'!$B$17:$O$201,14,0)="","",VLOOKUP($A198,'Шаг2.Бланк заказа NEW'!$B$17:$O$201,14,0)),"")</f>
        <v/>
      </c>
      <c r="R198" s="147" t="str">
        <f ca="1">IFERROR(IFERROR(IF(VLOOKUP($A198,'Шаг2.Бланк заказа NEW'!$B$17:$N$201,4,0)="","",VLOOKUP($A198,'Шаг2.Бланк заказа NEW'!$B$17:$N$201,4,0)),
IF(VLOOKUP($A198-COUNT('Шаг2.Бланк заказа NEW'!$B$19:$B$201),'Бланк OLD 0.8 04'!$B$12:$K$200,4,0)&gt;0,0.8,
IF(VLOOKUP($A198-COUNT('Шаг2.Бланк заказа NEW'!$B$19:$B$201),'Бланк OLD 0.8 04'!$B$12:$K$200,5,0)&gt;0,0.4,""))),
IF(VLOOKUP($A198-COUNT('Шаг2.Бланк заказа NEW'!$B$19:$B$201)-COUNT('Бланк OLD 0.8 04'!$B$18:$B$200),'Бланк OLD 2.0 04 '!$B$16:$K$200,4,0)&gt;0,2,IF(VLOOKUP($A198-COUNT('Шаг2.Бланк заказа NEW'!$B$19:$B$201)-COUNT('Бланк OLD 0.8 04'!$B$18:$B$200),'Бланк OLD 2.0 04 '!$B$16:$K$200,5,0)&gt;0,0.4,"")))</f>
        <v/>
      </c>
      <c r="S198" s="147" t="str">
        <f ca="1">IFERROR(IFERROR(IF(VLOOKUP($A198,'Шаг2.Бланк заказа NEW'!$B$17:$N$201,5,0)="","",VLOOKUP($A198,'Шаг2.Бланк заказа NEW'!$B$17:$N$201,5,0)),
IF(VLOOKUP($A198-COUNT('Шаг2.Бланк заказа NEW'!$B$19:$B$201),'Бланк OLD 0.8 04'!$B$12:$K$200,4,0)&gt;1,0.8,
IF(VLOOKUP($A198-COUNT('Шаг2.Бланк заказа NEW'!$B$19:$B$201),'Бланк OLD 0.8 04'!$B$12:$K$200,5,0)&gt;1,0.4,
IF(AND(VLOOKUP($A198-COUNT('Шаг2.Бланк заказа NEW'!$B$19:$B$201),'Бланк OLD 0.8 04'!$B$12:$K$200,4,0)&gt;0,VLOOKUP($A198-COUNT('Шаг2.Бланк заказа NEW'!$B$19:$B$201),'Бланк OLD 0.8 04'!$B$12:$K$200,5,0)&gt;0),0.4,"")))),
IF(VLOOKUP($A198-COUNT('Шаг2.Бланк заказа NEW'!$B$19:$B$201)-COUNT('Бланк OLD 0.8 04'!$B$18:$B$200),'Бланк OLD 2.0 04 '!$B$16:$K$200,4,0)&gt;1,2,
IF(VLOOKUP($A198-COUNT('Шаг2.Бланк заказа NEW'!$B$19:$B$201)-COUNT('Бланк OLD 0.8 04'!$B$18:$B$200),'Бланк OLD 2.0 04 '!$B$16:$K$200,5,0)&gt;1,0.4,IF(AND(VLOOKUP($A198-COUNT('Шаг2.Бланк заказа NEW'!$B$19:$B$201)-COUNT('Бланк OLD 0.8 04'!$B$18:$B$200),'Бланк OLD 2.0 04 '!$B$16:$K$200,4,0)&gt;0,VLOOKUP($A198-COUNT('Шаг2.Бланк заказа NEW'!$B$19:$B$201)-COUNT('Бланк OLD 0.8 04'!$B$18:$B$200),'Бланк OLD 2.0 04 '!$B$16:$K$200,5,0)&gt;0),0.4,""))))</f>
        <v/>
      </c>
      <c r="T198" s="147" t="str">
        <f ca="1">IFERROR(IFERROR(IF(VLOOKUP($A198,'Шаг2.Бланк заказа NEW'!$B$17:$N$201,7,0)="","",VLOOKUP($A198,'Шаг2.Бланк заказа NEW'!$B$17:$N$201,7,0)),
IF(VLOOKUP($A198-COUNT('Шаг2.Бланк заказа NEW'!$B$19:$B$201),'Бланк OLD 0.8 04'!$B$12:$K$200,7,0)&gt;0,0.8,
IF(VLOOKUP($A198-COUNT('Шаг2.Бланк заказа NEW'!$B$19:$B$201),'Бланк OLD 0.8 04'!$B$12:$K$200,8,0)&gt;0,0.4,""))),
IF(VLOOKUP($A198-COUNT('Шаг2.Бланк заказа NEW'!$B$19:$B$201)-COUNT('Бланк OLD 0.8 04'!$B$18:$B$200),'Бланк OLD 2.0 04 '!$B$16:$K$200,7,0)&gt;0,2,IF(VLOOKUP($A198-COUNT('Шаг2.Бланк заказа NEW'!$B$19:$B$201)-COUNT('Бланк OLD 0.8 04'!$B$18:$B$200),'Бланк OLD 2.0 04 '!$B$16:$K$200,8,0)&gt;0,0.4,"")))</f>
        <v/>
      </c>
      <c r="U198" s="147" t="str">
        <f ca="1">IFERROR(IFERROR(IF(VLOOKUP($A198,'Шаг2.Бланк заказа NEW'!$B$17:$N$201,8,0)="","",VLOOKUP($A198,'Шаг2.Бланк заказа NEW'!$B$17:$N$201,8,0)),
IF(VLOOKUP($A198-COUNT('Шаг2.Бланк заказа NEW'!$B$19:$B$201),'Бланк OLD 0.8 04'!$B$12:$K$200,7,0)&gt;1,0.8,
IF(VLOOKUP($A198-COUNT('Шаг2.Бланк заказа NEW'!$B$19:$B$201),'Бланк OLD 0.8 04'!$B$12:$K$200,8,0)&gt;1,0.4,
IF(AND(VLOOKUP($A198-COUNT('Шаг2.Бланк заказа NEW'!$B$19:$B$201),'Бланк OLD 0.8 04'!$B$12:$K$200,7,0)&gt;0,VLOOKUP($A198-COUNT('Шаг2.Бланк заказа NEW'!$B$19:$B$201),'Бланк OLD 0.8 04'!$B$12:$K$200,8,0)&gt;0),0.4,"")))),
IF(VLOOKUP($A198-COUNT('Шаг2.Бланк заказа NEW'!$B$19:$B$201)-COUNT('Бланк OLD 0.8 04'!$B$18:$B$200),'Бланк OLD 2.0 04 '!$B$16:$K$200,7,0)&gt;1,2,
IF(VLOOKUP($A198-COUNT('Шаг2.Бланк заказа NEW'!$B$19:$B$201)-COUNT('Бланк OLD 0.8 04'!$B$18:$B$200),'Бланк OLD 2.0 04 '!$B$16:$K$200,8,0)&gt;1,0.4,
IF(AND(VLOOKUP($A198-COUNT('Шаг2.Бланк заказа NEW'!$B$19:$B$201)-COUNT('Бланк OLD 0.8 04'!$B$18:$B$200),'Бланк OLD 2.0 04 '!$B$16:$K$200,7,0)&gt;0,VLOOKUP($A198-COUNT('Шаг2.Бланк заказа NEW'!$B$19:$B$201)-COUNT('Бланк OLD 0.8 04'!$B$18:$B$200),'Бланк OLD 2.0 04 '!$B$16:$K$200,8,0)&gt;0),0.4,""))))</f>
        <v/>
      </c>
      <c r="V198" s="146" t="str">
        <f ca="1">IFERROR(VLOOKUP(C198,'Шаг1.Выбор плиты'!C:S,12,0),"")</f>
        <v/>
      </c>
      <c r="W198" s="146" t="str">
        <f ca="1">IFERROR(VLOOKUP(C198,'Шаг1.Выбор плиты'!C:S,8,0),"")</f>
        <v/>
      </c>
      <c r="X198" s="146" t="str">
        <f ca="1">IFERROR(VLOOKUP(C198,'Шаг1.Выбор плиты'!C:S,10,0),"")</f>
        <v/>
      </c>
      <c r="Y198" s="147" t="str">
        <f t="shared" ca="1" si="18"/>
        <v/>
      </c>
      <c r="AD198" s="147" t="str">
        <f t="shared" ca="1" si="16"/>
        <v/>
      </c>
      <c r="AE198" s="147" t="str">
        <f t="shared" ca="1" si="19"/>
        <v/>
      </c>
      <c r="AF198" s="25"/>
      <c r="AH198" s="147" t="str">
        <f ca="1">IF(C198="","",VLOOKUP(C198,'Шаг1.Выбор плиты'!C:Q,7,0))</f>
        <v/>
      </c>
      <c r="AI198" s="147" t="str">
        <f t="shared" ca="1" si="17"/>
        <v/>
      </c>
    </row>
    <row r="199" spans="1:35" x14ac:dyDescent="0.2">
      <c r="A199" s="151" t="str">
        <f ca="1">IF(C199="","",MAX($A$1:OFFSET(C199,-1,0))+1)</f>
        <v/>
      </c>
      <c r="B199" s="151" t="str">
        <f ca="1">IFERROR(IFERROR(IFERROR("Шаг2.Бланк заказа NEW №"&amp;VLOOKUP(A198+1,CHOOSE({1,2},'Шаг2.Бланк заказа NEW'!$B$19:$B$201,'Шаг2.Бланк заказа NEW'!$A$19:$A$201),1,0),
"Бланк OLD 0.8 04 №"&amp;VLOOKUP(A198+1-COUNT('Шаг2.Бланк заказа NEW'!$B$19:$B$201),CHOOSE({1,2},'Бланк OLD 0.8 04'!$B$18:$B$200,'Бланк OLD 0.8 04'!$A$18:$A$200),1,0)),
"Бланк OLD 2.0 04 №"&amp;VLOOKUP(A198+1-COUNT('Шаг2.Бланк заказа NEW'!$B$19:$B$201)-COUNT('Бланк OLD 0.8 04'!$B$18:$B$200),CHOOSE({1,2},'Бланк OLD 2.0 04 '!$B$18:$B$200,'Бланк OLD 2.0 04 '!$A$18:$A$200),1,0)),"")</f>
        <v/>
      </c>
      <c r="C199" s="152" t="str">
        <f ca="1">IFERROR(IFERROR(IFERROR(VLOOKUP(A198+1,CHOOSE({1,2},'Шаг2.Бланк заказа NEW'!$B$19:$B$201,'Шаг2.Бланк заказа NEW'!$A$19:$A$201),2,0),
VLOOKUP(A198+1-COUNT('Шаг2.Бланк заказа NEW'!$B$19:$B$201),CHOOSE({1,2},'Бланк OLD 0.8 04'!$B$18:$B$200,'Бланк OLD 0.8 04'!$A$18:$A$200),2,0)),
VLOOKUP(A198+1-COUNT('Шаг2.Бланк заказа NEW'!$B$19:$B$201)-COUNT('Бланк OLD 0.8 04'!$B$18:$B$200),CHOOSE({1,2},'Бланк OLD 2.0 04 '!$B$18:$B$200,'Бланк OLD 2.0 04 '!$A$18:$A$200),2,0)),"")</f>
        <v/>
      </c>
      <c r="D199" s="150" t="str">
        <f ca="1">IFERROR(VLOOKUP(C199,'Шаг1.Выбор плиты'!C:G,5,0),"")</f>
        <v/>
      </c>
      <c r="E199" s="147" t="str">
        <f ca="1">IFERROR(IFERROR(IF(VLOOKUP($A199,'Шаг2.Бланк заказа NEW'!$B$17:$N$201,2,0)="","",VLOOKUP($A199,'Шаг2.Бланк заказа NEW'!$B$17:$N$201,2,0)),
IF(VLOOKUP($A199-COUNT('Шаг2.Бланк заказа NEW'!$B$19:$B$201),'Бланк OLD 0.8 04'!$B$12:$K$200,2,0)="","",VLOOKUP($A199-COUNT('Шаг2.Бланк заказа NEW'!$B$19:$B$201),'Бланк OLD 0.8 04'!$B$12:$K$200,2,0))),
IF(VLOOKUP($A199-COUNT('Шаг2.Бланк заказа NEW'!$B$19:$B$201)-COUNT('Бланк OLD 0.8 04'!$B$18:$B$200),'Бланк OLD 2.0 04 '!$B$16:$K$200,2,0)="","",VLOOKUP($A199-COUNT('Шаг2.Бланк заказа NEW'!$B$19:$B$201)-COUNT('Бланк OLD 0.8 04'!$B$18:$B$200),'Бланк OLD 2.0 04 '!$B$16:$K$200,2,0)))</f>
        <v/>
      </c>
      <c r="F199" s="147" t="str">
        <f ca="1">IFERROR(IFERROR(IF(VLOOKUP($A199,'Шаг2.Бланк заказа NEW'!$B$17:$N$201,3,0)="","",VLOOKUP($A199,'Шаг2.Бланк заказа NEW'!$B$17:$N$201,3,0)),
IF(VLOOKUP($A199-COUNT('Шаг2.Бланк заказа NEW'!$B$19:$B$201),'Бланк OLD 0.8 04'!$B$12:$K$200,3,0)="","",VLOOKUP($A199-COUNT('Шаг2.Бланк заказа NEW'!$B$19:$B$201),'Бланк OLD 0.8 04'!$B$12:$K$200,3,0))),
IF(VLOOKUP($A199-COUNT('Шаг2.Бланк заказа NEW'!$B$19:$B$201)-COUNT('Бланк OLD 0.8 04'!$B$18:$B$200),'Бланк OLD 2.0 04 '!$B$16:$K$200,3,0)="","",VLOOKUP($A199-COUNT('Шаг2.Бланк заказа NEW'!$B$19:$B$201)-COUNT('Бланк OLD 0.8 04'!$B$18:$B$200),'Бланк OLD 2.0 04 '!$B$16:$K$200,3,0)))</f>
        <v/>
      </c>
      <c r="G199" s="176" t="str">
        <f ca="1">IF(IF(R199="","",IF(R199=1,SUMIFS('Шаг1.Выбор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плиты'!C:Q,12,0)),1))))))=0,
R199,
IF(R199="","",IF(R199=1,SUMIFS('Шаг1.Выбор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плиты'!N:N,R199,'Шаг1.Выбор плиты'!M:M,SMALL(INDIRECT("мм"&amp;VLOOKUP(C199,'Шаг1.Выбор плиты'!C:Q,12,0)),1)))))))</f>
        <v/>
      </c>
      <c r="H199" s="177" t="str">
        <f ca="1">IF(IF(S199="","",IF(S199=1,SUMIFS('Шаг1.Выбор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плиты'!C:Q,12,0)),1))))))=0,
S199,
IF(S199="","",IF(S199=1,SUMIFS('Шаг1.Выбор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плиты'!N:N,S199,'Шаг1.Выбор плиты'!M:M,SMALL(INDIRECT("мм"&amp;VLOOKUP(C199,'Шаг1.Выбор плиты'!C:Q,12,0)),1)))))))</f>
        <v/>
      </c>
      <c r="I199" s="147" t="str">
        <f ca="1">IFERROR(IFERROR(IF(VLOOKUP($A199,'Шаг2.Бланк заказа NEW'!$B$17:$N$201,6,0)="","",VLOOKUP($A199,'Шаг2.Бланк заказа NEW'!$B$17:$N$201,6,0)),
IF(VLOOKUP($A199-COUNT('Шаг2.Бланк заказа NEW'!$B$19:$B$201),'Бланк OLD 0.8 04'!$B$12:$K$200,6,0)="","",VLOOKUP($A199-COUNT('Шаг2.Бланк заказа NEW'!$B$19:$B$201),'Бланк OLD 0.8 04'!$B$12:$K$200,6,0))),
IF(VLOOKUP($A199-COUNT('Шаг2.Бланк заказа NEW'!$B$19:$B$201)-COUNT('Бланк OLD 0.8 04'!$B$18:$B$200),'Бланк OLD 2.0 04 '!$B$16:$K$200,6,0)="","",VLOOKUP($A199-COUNT('Шаг2.Бланк заказа NEW'!$B$19:$B$201)-COUNT('Бланк OLD 0.8 04'!$B$18:$B$200),'Бланк OLD 2.0 04 '!$B$16:$K$200,6,0)))</f>
        <v/>
      </c>
      <c r="J199" s="177" t="str">
        <f ca="1">IF(IF(T199="","",IF(T199=1,SUMIFS('Шаг1.Выбор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плиты'!C:Q,12,0)),1))))))=0,
T199,
IF(T199="","",IF(T199=1,SUMIFS('Шаг1.Выбор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плиты'!N:N,T199,'Шаг1.Выбор плиты'!M:M,SMALL(INDIRECT("мм"&amp;VLOOKUP(C199,'Шаг1.Выбор плиты'!C:Q,12,0)),1)))))))</f>
        <v/>
      </c>
      <c r="K199" s="177" t="str">
        <f ca="1">IF(IF(U199="","",IF(U199=1,SUMIFS('Шаг1.Выбор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плиты'!C:Q,12,0)),1))))))=0,
U199,
IF(U199="","",IF(U199=1,SUMIFS('Шаг1.Выбор плиты'!$G:$G,'Шаг1.Выбор плиты'!J:J,"*"&amp;RIGHT(VLOOKUP(C199,'Шаг1.Выбор плиты'!C:Q,8,0),4),'Шаг1.Выбор плиты'!L:L,IF(MID(C199,1,6)="ЛДСП P","TM"&amp;MID(VLOOKUP(C199,'Шаг1.Выбор плиты'!C:Q,10,0),3,2),MID(VLOOKUP(C199,'Шаг1.Выбор плиты'!C:Q,10,0),1,2)),
'Шаг1.Выбор плиты'!N:N,1),IF(SUMIFS('Шаг1.Выбор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плиты'!C:Q,12,0)),1))=0,
IF(SUMIFS('Шаг1.Выбор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плиты'!C:Q,12,0)),2))=0,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плиты'!C:Q,12,0)),3)),
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плиты'!C:Q,12,0)),2))),
(SUMIFS('Шаг1.Выбор плиты'!$G:$G,'Шаг1.Выбор плиты'!J:J,"*"&amp;RIGHT(VLOOKUP(C199,'Шаг1.Выбор плиты'!C:Q,8,0),4),'Шаг1.Выбор плиты'!L:L,VLOOKUP(C199,'Шаг1.Выбор плиты'!C:Q,10,0),'Шаг1.Выбор плиты'!N:N,U199,'Шаг1.Выбор плиты'!M:M,SMALL(INDIRECT("мм"&amp;VLOOKUP(C199,'Шаг1.Выбор плиты'!C:Q,12,0)),1)))))))</f>
        <v/>
      </c>
      <c r="L199" s="147" t="str">
        <f ca="1">IFERROR(IFERROR(IF(VLOOKUP($A199,'Шаг2.Бланк заказа NEW'!$B$17:$N$201,9,0)="","",VLOOKUP($A199,'Шаг2.Бланк заказа NEW'!$B$17:$N$201,9,0)),
IF(VLOOKUP($A199-COUNT('Шаг2.Бланк заказа NEW'!$B$19:$B$201),'Бланк OLD 0.8 04'!$B$12:$K$200,9,0)="","",VLOOKUP($A199-COUNT('Шаг2.Бланк заказа NEW'!$B$19:$B$201),'Бланк OLD 0.8 04'!$B$12:$K$200,9,0))),
IF(VLOOKUP($A199-COUNT('Шаг2.Бланк заказа NEW'!$B$19:$B$201)-COUNT('Бланк OLD 0.8 04'!$B$18:$B$200),'Бланк OLD 2.0 04 '!$B$16:$K$200,9,0)="","",VLOOKUP($A199-COUNT('Шаг2.Бланк заказа NEW'!$B$19:$B$201)-COUNT('Бланк OLD 0.8 04'!$B$18:$B$200),'Бланк OLD 2.0 04 '!$B$16:$K$200,9,0)))</f>
        <v/>
      </c>
      <c r="M199" s="154" t="str">
        <f t="shared" ca="1" si="15"/>
        <v/>
      </c>
      <c r="N199" s="153" t="str">
        <f ca="1">IFERROR(IF(VLOOKUP($A199,'Шаг2.Бланк заказа NEW'!$B$17:$N$201,11,0)="","",VLOOKUP($A199,'Шаг2.Бланк заказа NEW'!$B$17:$N$201,11,0)),
"Нет")</f>
        <v/>
      </c>
      <c r="O199" s="147" t="str">
        <f ca="1">IFERROR(IF(VLOOKUP($A199,'Шаг2.Бланк заказа NEW'!$B$17:$N$201,11,0)="","",VLOOKUP($A199,'Шаг2.Бланк заказа NEW'!$B$17:$N$201,12,0)),
"Нет")</f>
        <v/>
      </c>
      <c r="P199" s="153" t="str">
        <f ca="1">IFERROR(IF(VLOOKUP($A199,'Шаг2.Бланк заказа NEW'!$B$17:$N$201,13,0)="","",VLOOKUP($A199,'Шаг2.Бланк заказа NEW'!$B$17:$N$201,13,0)),
"Нет")</f>
        <v/>
      </c>
      <c r="Q199" s="147" t="str">
        <f ca="1">IFERROR(IF(VLOOKUP($A199,'Шаг2.Бланк заказа NEW'!$B$17:$O$201,14,0)="","",VLOOKUP($A199,'Шаг2.Бланк заказа NEW'!$B$17:$O$201,14,0)),"")</f>
        <v/>
      </c>
      <c r="R199" s="147" t="str">
        <f ca="1">IFERROR(IFERROR(IF(VLOOKUP($A199,'Шаг2.Бланк заказа NEW'!$B$17:$N$201,4,0)="","",VLOOKUP($A199,'Шаг2.Бланк заказа NEW'!$B$17:$N$201,4,0)),
IF(VLOOKUP($A199-COUNT('Шаг2.Бланк заказа NEW'!$B$19:$B$201),'Бланк OLD 0.8 04'!$B$12:$K$200,4,0)&gt;0,0.8,
IF(VLOOKUP($A199-COUNT('Шаг2.Бланк заказа NEW'!$B$19:$B$201),'Бланк OLD 0.8 04'!$B$12:$K$200,5,0)&gt;0,0.4,""))),
IF(VLOOKUP($A199-COUNT('Шаг2.Бланк заказа NEW'!$B$19:$B$201)-COUNT('Бланк OLD 0.8 04'!$B$18:$B$200),'Бланк OLD 2.0 04 '!$B$16:$K$200,4,0)&gt;0,2,IF(VLOOKUP($A199-COUNT('Шаг2.Бланк заказа NEW'!$B$19:$B$201)-COUNT('Бланк OLD 0.8 04'!$B$18:$B$200),'Бланк OLD 2.0 04 '!$B$16:$K$200,5,0)&gt;0,0.4,"")))</f>
        <v/>
      </c>
      <c r="S199" s="147" t="str">
        <f ca="1">IFERROR(IFERROR(IF(VLOOKUP($A199,'Шаг2.Бланк заказа NEW'!$B$17:$N$201,5,0)="","",VLOOKUP($A199,'Шаг2.Бланк заказа NEW'!$B$17:$N$201,5,0)),
IF(VLOOKUP($A199-COUNT('Шаг2.Бланк заказа NEW'!$B$19:$B$201),'Бланк OLD 0.8 04'!$B$12:$K$200,4,0)&gt;1,0.8,
IF(VLOOKUP($A199-COUNT('Шаг2.Бланк заказа NEW'!$B$19:$B$201),'Бланк OLD 0.8 04'!$B$12:$K$200,5,0)&gt;1,0.4,
IF(AND(VLOOKUP($A199-COUNT('Шаг2.Бланк заказа NEW'!$B$19:$B$201),'Бланк OLD 0.8 04'!$B$12:$K$200,4,0)&gt;0,VLOOKUP($A199-COUNT('Шаг2.Бланк заказа NEW'!$B$19:$B$201),'Бланк OLD 0.8 04'!$B$12:$K$200,5,0)&gt;0),0.4,"")))),
IF(VLOOKUP($A199-COUNT('Шаг2.Бланк заказа NEW'!$B$19:$B$201)-COUNT('Бланк OLD 0.8 04'!$B$18:$B$200),'Бланк OLD 2.0 04 '!$B$16:$K$200,4,0)&gt;1,2,
IF(VLOOKUP($A199-COUNT('Шаг2.Бланк заказа NEW'!$B$19:$B$201)-COUNT('Бланк OLD 0.8 04'!$B$18:$B$200),'Бланк OLD 2.0 04 '!$B$16:$K$200,5,0)&gt;1,0.4,IF(AND(VLOOKUP($A199-COUNT('Шаг2.Бланк заказа NEW'!$B$19:$B$201)-COUNT('Бланк OLD 0.8 04'!$B$18:$B$200),'Бланк OLD 2.0 04 '!$B$16:$K$200,4,0)&gt;0,VLOOKUP($A199-COUNT('Шаг2.Бланк заказа NEW'!$B$19:$B$201)-COUNT('Бланк OLD 0.8 04'!$B$18:$B$200),'Бланк OLD 2.0 04 '!$B$16:$K$200,5,0)&gt;0),0.4,""))))</f>
        <v/>
      </c>
      <c r="T199" s="147" t="str">
        <f ca="1">IFERROR(IFERROR(IF(VLOOKUP($A199,'Шаг2.Бланк заказа NEW'!$B$17:$N$201,7,0)="","",VLOOKUP($A199,'Шаг2.Бланк заказа NEW'!$B$17:$N$201,7,0)),
IF(VLOOKUP($A199-COUNT('Шаг2.Бланк заказа NEW'!$B$19:$B$201),'Бланк OLD 0.8 04'!$B$12:$K$200,7,0)&gt;0,0.8,
IF(VLOOKUP($A199-COUNT('Шаг2.Бланк заказа NEW'!$B$19:$B$201),'Бланк OLD 0.8 04'!$B$12:$K$200,8,0)&gt;0,0.4,""))),
IF(VLOOKUP($A199-COUNT('Шаг2.Бланк заказа NEW'!$B$19:$B$201)-COUNT('Бланк OLD 0.8 04'!$B$18:$B$200),'Бланк OLD 2.0 04 '!$B$16:$K$200,7,0)&gt;0,2,IF(VLOOKUP($A199-COUNT('Шаг2.Бланк заказа NEW'!$B$19:$B$201)-COUNT('Бланк OLD 0.8 04'!$B$18:$B$200),'Бланк OLD 2.0 04 '!$B$16:$K$200,8,0)&gt;0,0.4,"")))</f>
        <v/>
      </c>
      <c r="U199" s="147" t="str">
        <f ca="1">IFERROR(IFERROR(IF(VLOOKUP($A199,'Шаг2.Бланк заказа NEW'!$B$17:$N$201,8,0)="","",VLOOKUP($A199,'Шаг2.Бланк заказа NEW'!$B$17:$N$201,8,0)),
IF(VLOOKUP($A199-COUNT('Шаг2.Бланк заказа NEW'!$B$19:$B$201),'Бланк OLD 0.8 04'!$B$12:$K$200,7,0)&gt;1,0.8,
IF(VLOOKUP($A199-COUNT('Шаг2.Бланк заказа NEW'!$B$19:$B$201),'Бланк OLD 0.8 04'!$B$12:$K$200,8,0)&gt;1,0.4,
IF(AND(VLOOKUP($A199-COUNT('Шаг2.Бланк заказа NEW'!$B$19:$B$201),'Бланк OLD 0.8 04'!$B$12:$K$200,7,0)&gt;0,VLOOKUP($A199-COUNT('Шаг2.Бланк заказа NEW'!$B$19:$B$201),'Бланк OLD 0.8 04'!$B$12:$K$200,8,0)&gt;0),0.4,"")))),
IF(VLOOKUP($A199-COUNT('Шаг2.Бланк заказа NEW'!$B$19:$B$201)-COUNT('Бланк OLD 0.8 04'!$B$18:$B$200),'Бланк OLD 2.0 04 '!$B$16:$K$200,7,0)&gt;1,2,
IF(VLOOKUP($A199-COUNT('Шаг2.Бланк заказа NEW'!$B$19:$B$201)-COUNT('Бланк OLD 0.8 04'!$B$18:$B$200),'Бланк OLD 2.0 04 '!$B$16:$K$200,8,0)&gt;1,0.4,
IF(AND(VLOOKUP($A199-COUNT('Шаг2.Бланк заказа NEW'!$B$19:$B$201)-COUNT('Бланк OLD 0.8 04'!$B$18:$B$200),'Бланк OLD 2.0 04 '!$B$16:$K$200,7,0)&gt;0,VLOOKUP($A199-COUNT('Шаг2.Бланк заказа NEW'!$B$19:$B$201)-COUNT('Бланк OLD 0.8 04'!$B$18:$B$200),'Бланк OLD 2.0 04 '!$B$16:$K$200,8,0)&gt;0),0.4,""))))</f>
        <v/>
      </c>
      <c r="V199" s="146" t="str">
        <f ca="1">IFERROR(VLOOKUP(C199,'Шаг1.Выбор плиты'!C:S,12,0),"")</f>
        <v/>
      </c>
      <c r="W199" s="146" t="str">
        <f ca="1">IFERROR(VLOOKUP(C199,'Шаг1.Выбор плиты'!C:S,8,0),"")</f>
        <v/>
      </c>
      <c r="X199" s="146" t="str">
        <f ca="1">IFERROR(VLOOKUP(C199,'Шаг1.Выбор плиты'!C:S,10,0),"")</f>
        <v/>
      </c>
      <c r="Y199" s="147" t="str">
        <f t="shared" ca="1" si="18"/>
        <v/>
      </c>
      <c r="AD199" s="147" t="str">
        <f t="shared" ca="1" si="16"/>
        <v/>
      </c>
      <c r="AE199" s="147" t="str">
        <f t="shared" ca="1" si="19"/>
        <v/>
      </c>
      <c r="AF199" s="25"/>
      <c r="AH199" s="147" t="str">
        <f ca="1">IF(C199="","",VLOOKUP(C199,'Шаг1.Выбор плиты'!C:Q,7,0))</f>
        <v/>
      </c>
      <c r="AI199" s="147" t="str">
        <f t="shared" ca="1" si="17"/>
        <v/>
      </c>
    </row>
    <row r="200" spans="1:35" x14ac:dyDescent="0.2">
      <c r="A200" s="151" t="str">
        <f ca="1">IF(C200="","",MAX($A$1:OFFSET(C200,-1,0))+1)</f>
        <v/>
      </c>
      <c r="B200" s="151" t="str">
        <f ca="1">IFERROR(IFERROR(IFERROR("Шаг2.Бланк заказа NEW №"&amp;VLOOKUP(A199+1,CHOOSE({1,2},'Шаг2.Бланк заказа NEW'!$B$19:$B$201,'Шаг2.Бланк заказа NEW'!$A$19:$A$201),1,0),
"Бланк OLD 0.8 04 №"&amp;VLOOKUP(A199+1-COUNT('Шаг2.Бланк заказа NEW'!$B$19:$B$201),CHOOSE({1,2},'Бланк OLD 0.8 04'!$B$18:$B$200,'Бланк OLD 0.8 04'!$A$18:$A$200),1,0)),
"Бланк OLD 2.0 04 №"&amp;VLOOKUP(A199+1-COUNT('Шаг2.Бланк заказа NEW'!$B$19:$B$201)-COUNT('Бланк OLD 0.8 04'!$B$18:$B$200),CHOOSE({1,2},'Бланк OLD 2.0 04 '!$B$18:$B$200,'Бланк OLD 2.0 04 '!$A$18:$A$200),1,0)),"")</f>
        <v/>
      </c>
      <c r="C200" s="152" t="str">
        <f ca="1">IFERROR(IFERROR(IFERROR(VLOOKUP(A199+1,CHOOSE({1,2},'Шаг2.Бланк заказа NEW'!$B$19:$B$201,'Шаг2.Бланк заказа NEW'!$A$19:$A$201),2,0),
VLOOKUP(A199+1-COUNT('Шаг2.Бланк заказа NEW'!$B$19:$B$201),CHOOSE({1,2},'Бланк OLD 0.8 04'!$B$18:$B$200,'Бланк OLD 0.8 04'!$A$18:$A$200),2,0)),
VLOOKUP(A199+1-COUNT('Шаг2.Бланк заказа NEW'!$B$19:$B$201)-COUNT('Бланк OLD 0.8 04'!$B$18:$B$200),CHOOSE({1,2},'Бланк OLD 2.0 04 '!$B$18:$B$200,'Бланк OLD 2.0 04 '!$A$18:$A$200),2,0)),"")</f>
        <v/>
      </c>
      <c r="D200" s="150" t="str">
        <f ca="1">IFERROR(VLOOKUP(C200,'Шаг1.Выбор плиты'!C:G,5,0),"")</f>
        <v/>
      </c>
      <c r="E200" s="147" t="str">
        <f ca="1">IFERROR(IFERROR(IF(VLOOKUP($A200,'Шаг2.Бланк заказа NEW'!$B$17:$N$201,2,0)="","",VLOOKUP($A200,'Шаг2.Бланк заказа NEW'!$B$17:$N$201,2,0)),
IF(VLOOKUP($A200-COUNT('Шаг2.Бланк заказа NEW'!$B$19:$B$201),'Бланк OLD 0.8 04'!$B$12:$K$200,2,0)="","",VLOOKUP($A200-COUNT('Шаг2.Бланк заказа NEW'!$B$19:$B$201),'Бланк OLD 0.8 04'!$B$12:$K$200,2,0))),
IF(VLOOKUP($A200-COUNT('Шаг2.Бланк заказа NEW'!$B$19:$B$201)-COUNT('Бланк OLD 0.8 04'!$B$18:$B$200),'Бланк OLD 2.0 04 '!$B$16:$K$200,2,0)="","",VLOOKUP($A200-COUNT('Шаг2.Бланк заказа NEW'!$B$19:$B$201)-COUNT('Бланк OLD 0.8 04'!$B$18:$B$200),'Бланк OLD 2.0 04 '!$B$16:$K$200,2,0)))</f>
        <v/>
      </c>
      <c r="F200" s="147" t="str">
        <f ca="1">IFERROR(IFERROR(IF(VLOOKUP($A200,'Шаг2.Бланк заказа NEW'!$B$17:$N$201,3,0)="","",VLOOKUP($A200,'Шаг2.Бланк заказа NEW'!$B$17:$N$201,3,0)),
IF(VLOOKUP($A200-COUNT('Шаг2.Бланк заказа NEW'!$B$19:$B$201),'Бланк OLD 0.8 04'!$B$12:$K$200,3,0)="","",VLOOKUP($A200-COUNT('Шаг2.Бланк заказа NEW'!$B$19:$B$201),'Бланк OLD 0.8 04'!$B$12:$K$200,3,0))),
IF(VLOOKUP($A200-COUNT('Шаг2.Бланк заказа NEW'!$B$19:$B$201)-COUNT('Бланк OLD 0.8 04'!$B$18:$B$200),'Бланк OLD 2.0 04 '!$B$16:$K$200,3,0)="","",VLOOKUP($A200-COUNT('Шаг2.Бланк заказа NEW'!$B$19:$B$201)-COUNT('Бланк OLD 0.8 04'!$B$18:$B$200),'Бланк OLD 2.0 04 '!$B$16:$K$200,3,0)))</f>
        <v/>
      </c>
      <c r="G200" s="176" t="str">
        <f ca="1">IF(IF(R200="","",IF(R200=1,SUMIFS('Шаг1.Выбор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плиты'!C:Q,12,0)),1))))))=0,
R200,
IF(R200="","",IF(R200=1,SUMIFS('Шаг1.Выбор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плиты'!N:N,R200,'Шаг1.Выбор плиты'!M:M,SMALL(INDIRECT("мм"&amp;VLOOKUP(C200,'Шаг1.Выбор плиты'!C:Q,12,0)),1)))))))</f>
        <v/>
      </c>
      <c r="H200" s="177" t="str">
        <f ca="1">IF(IF(S200="","",IF(S200=1,SUMIFS('Шаг1.Выбор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плиты'!C:Q,12,0)),1))))))=0,
S200,
IF(S200="","",IF(S200=1,SUMIFS('Шаг1.Выбор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плиты'!N:N,S200,'Шаг1.Выбор плиты'!M:M,SMALL(INDIRECT("мм"&amp;VLOOKUP(C200,'Шаг1.Выбор плиты'!C:Q,12,0)),1)))))))</f>
        <v/>
      </c>
      <c r="I200" s="147" t="str">
        <f ca="1">IFERROR(IFERROR(IF(VLOOKUP($A200,'Шаг2.Бланк заказа NEW'!$B$17:$N$201,6,0)="","",VLOOKUP($A200,'Шаг2.Бланк заказа NEW'!$B$17:$N$201,6,0)),
IF(VLOOKUP($A200-COUNT('Шаг2.Бланк заказа NEW'!$B$19:$B$201),'Бланк OLD 0.8 04'!$B$12:$K$200,6,0)="","",VLOOKUP($A200-COUNT('Шаг2.Бланк заказа NEW'!$B$19:$B$201),'Бланк OLD 0.8 04'!$B$12:$K$200,6,0))),
IF(VLOOKUP($A200-COUNT('Шаг2.Бланк заказа NEW'!$B$19:$B$201)-COUNT('Бланк OLD 0.8 04'!$B$18:$B$200),'Бланк OLD 2.0 04 '!$B$16:$K$200,6,0)="","",VLOOKUP($A200-COUNT('Шаг2.Бланк заказа NEW'!$B$19:$B$201)-COUNT('Бланк OLD 0.8 04'!$B$18:$B$200),'Бланк OLD 2.0 04 '!$B$16:$K$200,6,0)))</f>
        <v/>
      </c>
      <c r="J200" s="177" t="str">
        <f ca="1">IF(IF(T200="","",IF(T200=1,SUMIFS('Шаг1.Выбор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плиты'!C:Q,12,0)),1))))))=0,
T200,
IF(T200="","",IF(T200=1,SUMIFS('Шаг1.Выбор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плиты'!N:N,T200,'Шаг1.Выбор плиты'!M:M,SMALL(INDIRECT("мм"&amp;VLOOKUP(C200,'Шаг1.Выбор плиты'!C:Q,12,0)),1)))))))</f>
        <v/>
      </c>
      <c r="K200" s="177" t="str">
        <f ca="1">IF(IF(U200="","",IF(U200=1,SUMIFS('Шаг1.Выбор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плиты'!C:Q,12,0)),1))))))=0,
U200,
IF(U200="","",IF(U200=1,SUMIFS('Шаг1.Выбор плиты'!$G:$G,'Шаг1.Выбор плиты'!J:J,"*"&amp;RIGHT(VLOOKUP(C200,'Шаг1.Выбор плиты'!C:Q,8,0),4),'Шаг1.Выбор плиты'!L:L,IF(MID(C200,1,6)="ЛДСП P","TM"&amp;MID(VLOOKUP(C200,'Шаг1.Выбор плиты'!C:Q,10,0),3,2),MID(VLOOKUP(C200,'Шаг1.Выбор плиты'!C:Q,10,0),1,2)),
'Шаг1.Выбор плиты'!N:N,1),IF(SUMIFS('Шаг1.Выбор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плиты'!C:Q,12,0)),1))=0,
IF(SUMIFS('Шаг1.Выбор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плиты'!C:Q,12,0)),2))=0,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плиты'!C:Q,12,0)),3)),
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плиты'!C:Q,12,0)),2))),
(SUMIFS('Шаг1.Выбор плиты'!$G:$G,'Шаг1.Выбор плиты'!J:J,"*"&amp;RIGHT(VLOOKUP(C200,'Шаг1.Выбор плиты'!C:Q,8,0),4),'Шаг1.Выбор плиты'!L:L,VLOOKUP(C200,'Шаг1.Выбор плиты'!C:Q,10,0),'Шаг1.Выбор плиты'!N:N,U200,'Шаг1.Выбор плиты'!M:M,SMALL(INDIRECT("мм"&amp;VLOOKUP(C200,'Шаг1.Выбор плиты'!C:Q,12,0)),1)))))))</f>
        <v/>
      </c>
      <c r="L200" s="147" t="str">
        <f ca="1">IFERROR(IFERROR(IF(VLOOKUP($A200,'Шаг2.Бланк заказа NEW'!$B$17:$N$201,9,0)="","",VLOOKUP($A200,'Шаг2.Бланк заказа NEW'!$B$17:$N$201,9,0)),
IF(VLOOKUP($A200-COUNT('Шаг2.Бланк заказа NEW'!$B$19:$B$201),'Бланк OLD 0.8 04'!$B$12:$K$200,9,0)="","",VLOOKUP($A200-COUNT('Шаг2.Бланк заказа NEW'!$B$19:$B$201),'Бланк OLD 0.8 04'!$B$12:$K$200,9,0))),
IF(VLOOKUP($A200-COUNT('Шаг2.Бланк заказа NEW'!$B$19:$B$201)-COUNT('Бланк OLD 0.8 04'!$B$18:$B$200),'Бланк OLD 2.0 04 '!$B$16:$K$200,9,0)="","",VLOOKUP($A200-COUNT('Шаг2.Бланк заказа NEW'!$B$19:$B$201)-COUNT('Бланк OLD 0.8 04'!$B$18:$B$200),'Бланк OLD 2.0 04 '!$B$16:$K$200,9,0)))</f>
        <v/>
      </c>
      <c r="M200" s="154" t="str">
        <f t="shared" ca="1" si="15"/>
        <v/>
      </c>
      <c r="N200" s="153" t="str">
        <f ca="1">IFERROR(IF(VLOOKUP($A200,'Шаг2.Бланк заказа NEW'!$B$17:$N$201,11,0)="","",VLOOKUP($A200,'Шаг2.Бланк заказа NEW'!$B$17:$N$201,11,0)),
"Нет")</f>
        <v/>
      </c>
      <c r="O200" s="147" t="str">
        <f ca="1">IFERROR(IF(VLOOKUP($A200,'Шаг2.Бланк заказа NEW'!$B$17:$N$201,11,0)="","",VLOOKUP($A200,'Шаг2.Бланк заказа NEW'!$B$17:$N$201,12,0)),
"Нет")</f>
        <v/>
      </c>
      <c r="P200" s="153" t="str">
        <f ca="1">IFERROR(IF(VLOOKUP($A200,'Шаг2.Бланк заказа NEW'!$B$17:$N$201,13,0)="","",VLOOKUP($A200,'Шаг2.Бланк заказа NEW'!$B$17:$N$201,13,0)),
"Нет")</f>
        <v/>
      </c>
      <c r="Q200" s="147" t="str">
        <f ca="1">IFERROR(IF(VLOOKUP($A200,'Шаг2.Бланк заказа NEW'!$B$17:$O$201,14,0)="","",VLOOKUP($A200,'Шаг2.Бланк заказа NEW'!$B$17:$O$201,14,0)),"")</f>
        <v/>
      </c>
      <c r="R200" s="147" t="str">
        <f ca="1">IFERROR(IFERROR(IF(VLOOKUP($A200,'Шаг2.Бланк заказа NEW'!$B$17:$N$201,4,0)="","",VLOOKUP($A200,'Шаг2.Бланк заказа NEW'!$B$17:$N$201,4,0)),
IF(VLOOKUP($A200-COUNT('Шаг2.Бланк заказа NEW'!$B$19:$B$201),'Бланк OLD 0.8 04'!$B$12:$K$200,4,0)&gt;0,0.8,
IF(VLOOKUP($A200-COUNT('Шаг2.Бланк заказа NEW'!$B$19:$B$201),'Бланк OLD 0.8 04'!$B$12:$K$200,5,0)&gt;0,0.4,""))),
IF(VLOOKUP($A200-COUNT('Шаг2.Бланк заказа NEW'!$B$19:$B$201)-COUNT('Бланк OLD 0.8 04'!$B$18:$B$200),'Бланк OLD 2.0 04 '!$B$16:$K$200,4,0)&gt;0,2,IF(VLOOKUP($A200-COUNT('Шаг2.Бланк заказа NEW'!$B$19:$B$201)-COUNT('Бланк OLD 0.8 04'!$B$18:$B$200),'Бланк OLD 2.0 04 '!$B$16:$K$200,5,0)&gt;0,0.4,"")))</f>
        <v/>
      </c>
      <c r="S200" s="147" t="str">
        <f ca="1">IFERROR(IFERROR(IF(VLOOKUP($A200,'Шаг2.Бланк заказа NEW'!$B$17:$N$201,5,0)="","",VLOOKUP($A200,'Шаг2.Бланк заказа NEW'!$B$17:$N$201,5,0)),
IF(VLOOKUP($A200-COUNT('Шаг2.Бланк заказа NEW'!$B$19:$B$201),'Бланк OLD 0.8 04'!$B$12:$K$200,4,0)&gt;1,0.8,
IF(VLOOKUP($A200-COUNT('Шаг2.Бланк заказа NEW'!$B$19:$B$201),'Бланк OLD 0.8 04'!$B$12:$K$200,5,0)&gt;1,0.4,
IF(AND(VLOOKUP($A200-COUNT('Шаг2.Бланк заказа NEW'!$B$19:$B$201),'Бланк OLD 0.8 04'!$B$12:$K$200,4,0)&gt;0,VLOOKUP($A200-COUNT('Шаг2.Бланк заказа NEW'!$B$19:$B$201),'Бланк OLD 0.8 04'!$B$12:$K$200,5,0)&gt;0),0.4,"")))),
IF(VLOOKUP($A200-COUNT('Шаг2.Бланк заказа NEW'!$B$19:$B$201)-COUNT('Бланк OLD 0.8 04'!$B$18:$B$200),'Бланк OLD 2.0 04 '!$B$16:$K$200,4,0)&gt;1,2,
IF(VLOOKUP($A200-COUNT('Шаг2.Бланк заказа NEW'!$B$19:$B$201)-COUNT('Бланк OLD 0.8 04'!$B$18:$B$200),'Бланк OLD 2.0 04 '!$B$16:$K$200,5,0)&gt;1,0.4,IF(AND(VLOOKUP($A200-COUNT('Шаг2.Бланк заказа NEW'!$B$19:$B$201)-COUNT('Бланк OLD 0.8 04'!$B$18:$B$200),'Бланк OLD 2.0 04 '!$B$16:$K$200,4,0)&gt;0,VLOOKUP($A200-COUNT('Шаг2.Бланк заказа NEW'!$B$19:$B$201)-COUNT('Бланк OLD 0.8 04'!$B$18:$B$200),'Бланк OLD 2.0 04 '!$B$16:$K$200,5,0)&gt;0),0.4,""))))</f>
        <v/>
      </c>
      <c r="T200" s="147" t="str">
        <f ca="1">IFERROR(IFERROR(IF(VLOOKUP($A200,'Шаг2.Бланк заказа NEW'!$B$17:$N$201,7,0)="","",VLOOKUP($A200,'Шаг2.Бланк заказа NEW'!$B$17:$N$201,7,0)),
IF(VLOOKUP($A200-COUNT('Шаг2.Бланк заказа NEW'!$B$19:$B$201),'Бланк OLD 0.8 04'!$B$12:$K$200,7,0)&gt;0,0.8,
IF(VLOOKUP($A200-COUNT('Шаг2.Бланк заказа NEW'!$B$19:$B$201),'Бланк OLD 0.8 04'!$B$12:$K$200,8,0)&gt;0,0.4,""))),
IF(VLOOKUP($A200-COUNT('Шаг2.Бланк заказа NEW'!$B$19:$B$201)-COUNT('Бланк OLD 0.8 04'!$B$18:$B$200),'Бланк OLD 2.0 04 '!$B$16:$K$200,7,0)&gt;0,2,IF(VLOOKUP($A200-COUNT('Шаг2.Бланк заказа NEW'!$B$19:$B$201)-COUNT('Бланк OLD 0.8 04'!$B$18:$B$200),'Бланк OLD 2.0 04 '!$B$16:$K$200,8,0)&gt;0,0.4,"")))</f>
        <v/>
      </c>
      <c r="U200" s="147" t="str">
        <f ca="1">IFERROR(IFERROR(IF(VLOOKUP($A200,'Шаг2.Бланк заказа NEW'!$B$17:$N$201,8,0)="","",VLOOKUP($A200,'Шаг2.Бланк заказа NEW'!$B$17:$N$201,8,0)),
IF(VLOOKUP($A200-COUNT('Шаг2.Бланк заказа NEW'!$B$19:$B$201),'Бланк OLD 0.8 04'!$B$12:$K$200,7,0)&gt;1,0.8,
IF(VLOOKUP($A200-COUNT('Шаг2.Бланк заказа NEW'!$B$19:$B$201),'Бланк OLD 0.8 04'!$B$12:$K$200,8,0)&gt;1,0.4,
IF(AND(VLOOKUP($A200-COUNT('Шаг2.Бланк заказа NEW'!$B$19:$B$201),'Бланк OLD 0.8 04'!$B$12:$K$200,7,0)&gt;0,VLOOKUP($A200-COUNT('Шаг2.Бланк заказа NEW'!$B$19:$B$201),'Бланк OLD 0.8 04'!$B$12:$K$200,8,0)&gt;0),0.4,"")))),
IF(VLOOKUP($A200-COUNT('Шаг2.Бланк заказа NEW'!$B$19:$B$201)-COUNT('Бланк OLD 0.8 04'!$B$18:$B$200),'Бланк OLD 2.0 04 '!$B$16:$K$200,7,0)&gt;1,2,
IF(VLOOKUP($A200-COUNT('Шаг2.Бланк заказа NEW'!$B$19:$B$201)-COUNT('Бланк OLD 0.8 04'!$B$18:$B$200),'Бланк OLD 2.0 04 '!$B$16:$K$200,8,0)&gt;1,0.4,
IF(AND(VLOOKUP($A200-COUNT('Шаг2.Бланк заказа NEW'!$B$19:$B$201)-COUNT('Бланк OLD 0.8 04'!$B$18:$B$200),'Бланк OLD 2.0 04 '!$B$16:$K$200,7,0)&gt;0,VLOOKUP($A200-COUNT('Шаг2.Бланк заказа NEW'!$B$19:$B$201)-COUNT('Бланк OLD 0.8 04'!$B$18:$B$200),'Бланк OLD 2.0 04 '!$B$16:$K$200,8,0)&gt;0),0.4,""))))</f>
        <v/>
      </c>
      <c r="V200" s="146" t="str">
        <f ca="1">IFERROR(VLOOKUP(C200,'Шаг1.Выбор плиты'!C:S,12,0),"")</f>
        <v/>
      </c>
      <c r="W200" s="146" t="str">
        <f ca="1">IFERROR(VLOOKUP(C200,'Шаг1.Выбор плиты'!C:S,8,0),"")</f>
        <v/>
      </c>
      <c r="X200" s="146" t="str">
        <f ca="1">IFERROR(VLOOKUP(C200,'Шаг1.Выбор плиты'!C:S,10,0),"")</f>
        <v/>
      </c>
      <c r="Y200" s="147" t="str">
        <f t="shared" ca="1" si="18"/>
        <v/>
      </c>
      <c r="AD200" s="147" t="str">
        <f t="shared" ca="1" si="16"/>
        <v/>
      </c>
      <c r="AE200" s="147" t="str">
        <f t="shared" ca="1" si="19"/>
        <v/>
      </c>
      <c r="AF200" s="25"/>
      <c r="AH200" s="147" t="str">
        <f ca="1">IF(C200="","",VLOOKUP(C200,'Шаг1.Выбор плиты'!C:Q,7,0))</f>
        <v/>
      </c>
      <c r="AI200" s="147" t="str">
        <f t="shared" ca="1" si="17"/>
        <v/>
      </c>
    </row>
    <row r="201" spans="1:35" x14ac:dyDescent="0.2">
      <c r="A201" s="151" t="str">
        <f ca="1">IF(C201="","",MAX($A$1:OFFSET(C201,-1,0))+1)</f>
        <v/>
      </c>
      <c r="B201" s="151" t="str">
        <f ca="1">IFERROR(IFERROR(IFERROR("Шаг2.Бланк заказа NEW №"&amp;VLOOKUP(A200+1,CHOOSE({1,2},'Шаг2.Бланк заказа NEW'!$B$19:$B$201,'Шаг2.Бланк заказа NEW'!$A$19:$A$201),1,0),
"Бланк OLD 0.8 04 №"&amp;VLOOKUP(A200+1-COUNT('Шаг2.Бланк заказа NEW'!$B$19:$B$201),CHOOSE({1,2},'Бланк OLD 0.8 04'!$B$18:$B$200,'Бланк OLD 0.8 04'!$A$18:$A$200),1,0)),
"Бланк OLD 2.0 04 №"&amp;VLOOKUP(A200+1-COUNT('Шаг2.Бланк заказа NEW'!$B$19:$B$201)-COUNT('Бланк OLD 0.8 04'!$B$18:$B$200),CHOOSE({1,2},'Бланк OLD 2.0 04 '!$B$18:$B$200,'Бланк OLD 2.0 04 '!$A$18:$A$200),1,0)),"")</f>
        <v/>
      </c>
      <c r="C201" s="152" t="str">
        <f ca="1">IFERROR(IFERROR(IFERROR(VLOOKUP(A200+1,CHOOSE({1,2},'Шаг2.Бланк заказа NEW'!$B$19:$B$201,'Шаг2.Бланк заказа NEW'!$A$19:$A$201),2,0),
VLOOKUP(A200+1-COUNT('Шаг2.Бланк заказа NEW'!$B$19:$B$201),CHOOSE({1,2},'Бланк OLD 0.8 04'!$B$18:$B$200,'Бланк OLD 0.8 04'!$A$18:$A$200),2,0)),
VLOOKUP(A200+1-COUNT('Шаг2.Бланк заказа NEW'!$B$19:$B$201)-COUNT('Бланк OLD 0.8 04'!$B$18:$B$200),CHOOSE({1,2},'Бланк OLD 2.0 04 '!$B$18:$B$200,'Бланк OLD 2.0 04 '!$A$18:$A$200),2,0)),"")</f>
        <v/>
      </c>
      <c r="D201" s="150" t="str">
        <f ca="1">IFERROR(VLOOKUP(C201,'Шаг1.Выбор плиты'!C:G,5,0),"")</f>
        <v/>
      </c>
      <c r="E201" s="147" t="str">
        <f ca="1">IFERROR(IFERROR(IF(VLOOKUP($A201,'Шаг2.Бланк заказа NEW'!$B$17:$N$201,2,0)="","",VLOOKUP($A201,'Шаг2.Бланк заказа NEW'!$B$17:$N$201,2,0)),
IF(VLOOKUP($A201-COUNT('Шаг2.Бланк заказа NEW'!$B$19:$B$201),'Бланк OLD 0.8 04'!$B$12:$K$200,2,0)="","",VLOOKUP($A201-COUNT('Шаг2.Бланк заказа NEW'!$B$19:$B$201),'Бланк OLD 0.8 04'!$B$12:$K$200,2,0))),
IF(VLOOKUP($A201-COUNT('Шаг2.Бланк заказа NEW'!$B$19:$B$201)-COUNT('Бланк OLD 0.8 04'!$B$18:$B$200),'Бланк OLD 2.0 04 '!$B$16:$K$200,2,0)="","",VLOOKUP($A201-COUNT('Шаг2.Бланк заказа NEW'!$B$19:$B$201)-COUNT('Бланк OLD 0.8 04'!$B$18:$B$200),'Бланк OLD 2.0 04 '!$B$16:$K$200,2,0)))</f>
        <v/>
      </c>
      <c r="F201" s="147" t="str">
        <f ca="1">IFERROR(IFERROR(IF(VLOOKUP($A201,'Шаг2.Бланк заказа NEW'!$B$17:$N$201,3,0)="","",VLOOKUP($A201,'Шаг2.Бланк заказа NEW'!$B$17:$N$201,3,0)),
IF(VLOOKUP($A201-COUNT('Шаг2.Бланк заказа NEW'!$B$19:$B$201),'Бланк OLD 0.8 04'!$B$12:$K$200,3,0)="","",VLOOKUP($A201-COUNT('Шаг2.Бланк заказа NEW'!$B$19:$B$201),'Бланк OLD 0.8 04'!$B$12:$K$200,3,0))),
IF(VLOOKUP($A201-COUNT('Шаг2.Бланк заказа NEW'!$B$19:$B$201)-COUNT('Бланк OLD 0.8 04'!$B$18:$B$200),'Бланк OLD 2.0 04 '!$B$16:$K$200,3,0)="","",VLOOKUP($A201-COUNT('Шаг2.Бланк заказа NEW'!$B$19:$B$201)-COUNT('Бланк OLD 0.8 04'!$B$18:$B$200),'Бланк OLD 2.0 04 '!$B$16:$K$200,3,0)))</f>
        <v/>
      </c>
      <c r="G201" s="176" t="str">
        <f ca="1">IF(IF(R201="","",IF(R201=1,SUMIFS('Шаг1.Выбор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плиты'!C:Q,12,0)),1))))))=0,
R201,
IF(R201="","",IF(R201=1,SUMIFS('Шаг1.Выбор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плиты'!N:N,R201,'Шаг1.Выбор плиты'!M:M,SMALL(INDIRECT("мм"&amp;VLOOKUP(C201,'Шаг1.Выбор плиты'!C:Q,12,0)),1)))))))</f>
        <v/>
      </c>
      <c r="H201" s="177" t="str">
        <f ca="1">IF(IF(S201="","",IF(S201=1,SUMIFS('Шаг1.Выбор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плиты'!C:Q,12,0)),1))))))=0,
S201,
IF(S201="","",IF(S201=1,SUMIFS('Шаг1.Выбор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плиты'!N:N,S201,'Шаг1.Выбор плиты'!M:M,SMALL(INDIRECT("мм"&amp;VLOOKUP(C201,'Шаг1.Выбор плиты'!C:Q,12,0)),1)))))))</f>
        <v/>
      </c>
      <c r="I201" s="147" t="str">
        <f ca="1">IFERROR(IFERROR(IF(VLOOKUP($A201,'Шаг2.Бланк заказа NEW'!$B$17:$N$201,6,0)="","",VLOOKUP($A201,'Шаг2.Бланк заказа NEW'!$B$17:$N$201,6,0)),
IF(VLOOKUP($A201-COUNT('Шаг2.Бланк заказа NEW'!$B$19:$B$201),'Бланк OLD 0.8 04'!$B$12:$K$200,6,0)="","",VLOOKUP($A201-COUNT('Шаг2.Бланк заказа NEW'!$B$19:$B$201),'Бланк OLD 0.8 04'!$B$12:$K$200,6,0))),
IF(VLOOKUP($A201-COUNT('Шаг2.Бланк заказа NEW'!$B$19:$B$201)-COUNT('Бланк OLD 0.8 04'!$B$18:$B$200),'Бланк OLD 2.0 04 '!$B$16:$K$200,6,0)="","",VLOOKUP($A201-COUNT('Шаг2.Бланк заказа NEW'!$B$19:$B$201)-COUNT('Бланк OLD 0.8 04'!$B$18:$B$200),'Бланк OLD 2.0 04 '!$B$16:$K$200,6,0)))</f>
        <v/>
      </c>
      <c r="J201" s="177" t="str">
        <f ca="1">IF(IF(T201="","",IF(T201=1,SUMIFS('Шаг1.Выбор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плиты'!C:Q,12,0)),1))))))=0,
T201,
IF(T201="","",IF(T201=1,SUMIFS('Шаг1.Выбор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плиты'!N:N,T201,'Шаг1.Выбор плиты'!M:M,SMALL(INDIRECT("мм"&amp;VLOOKUP(C201,'Шаг1.Выбор плиты'!C:Q,12,0)),1)))))))</f>
        <v/>
      </c>
      <c r="K201" s="177" t="str">
        <f ca="1">IF(IF(U201="","",IF(U201=1,SUMIFS('Шаг1.Выбор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плиты'!C:Q,12,0)),1))))))=0,
U201,
IF(U201="","",IF(U201=1,SUMIFS('Шаг1.Выбор плиты'!$G:$G,'Шаг1.Выбор плиты'!J:J,"*"&amp;RIGHT(VLOOKUP(C201,'Шаг1.Выбор плиты'!C:Q,8,0),4),'Шаг1.Выбор плиты'!L:L,IF(MID(C201,1,6)="ЛДСП P","TM"&amp;MID(VLOOKUP(C201,'Шаг1.Выбор плиты'!C:Q,10,0),3,2),MID(VLOOKUP(C201,'Шаг1.Выбор плиты'!C:Q,10,0),1,2)),
'Шаг1.Выбор плиты'!N:N,1),IF(SUMIFS('Шаг1.Выбор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плиты'!C:Q,12,0)),1))=0,
IF(SUMIFS('Шаг1.Выбор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плиты'!C:Q,12,0)),2))=0,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плиты'!C:Q,12,0)),3)),
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плиты'!C:Q,12,0)),2))),
(SUMIFS('Шаг1.Выбор плиты'!$G:$G,'Шаг1.Выбор плиты'!J:J,"*"&amp;RIGHT(VLOOKUP(C201,'Шаг1.Выбор плиты'!C:Q,8,0),4),'Шаг1.Выбор плиты'!L:L,VLOOKUP(C201,'Шаг1.Выбор плиты'!C:Q,10,0),'Шаг1.Выбор плиты'!N:N,U201,'Шаг1.Выбор плиты'!M:M,SMALL(INDIRECT("мм"&amp;VLOOKUP(C201,'Шаг1.Выбор плиты'!C:Q,12,0)),1)))))))</f>
        <v/>
      </c>
      <c r="L201" s="147" t="str">
        <f ca="1">IFERROR(IFERROR(IF(VLOOKUP($A201,'Шаг2.Бланк заказа NEW'!$B$17:$N$201,9,0)="","",VLOOKUP($A201,'Шаг2.Бланк заказа NEW'!$B$17:$N$201,9,0)),
IF(VLOOKUP($A201-COUNT('Шаг2.Бланк заказа NEW'!$B$19:$B$201),'Бланк OLD 0.8 04'!$B$12:$K$200,9,0)="","",VLOOKUP($A201-COUNT('Шаг2.Бланк заказа NEW'!$B$19:$B$201),'Бланк OLD 0.8 04'!$B$12:$K$200,9,0))),
IF(VLOOKUP($A201-COUNT('Шаг2.Бланк заказа NEW'!$B$19:$B$201)-COUNT('Бланк OLD 0.8 04'!$B$18:$B$200),'Бланк OLD 2.0 04 '!$B$16:$K$200,9,0)="","",VLOOKUP($A201-COUNT('Шаг2.Бланк заказа NEW'!$B$19:$B$201)-COUNT('Бланк OLD 0.8 04'!$B$18:$B$200),'Бланк OLD 2.0 04 '!$B$16:$K$200,9,0)))</f>
        <v/>
      </c>
      <c r="M201" s="154" t="str">
        <f t="shared" ca="1" si="15"/>
        <v/>
      </c>
      <c r="N201" s="153" t="str">
        <f ca="1">IFERROR(IF(VLOOKUP($A201,'Шаг2.Бланк заказа NEW'!$B$17:$N$201,11,0)="","",VLOOKUP($A201,'Шаг2.Бланк заказа NEW'!$B$17:$N$201,11,0)),
"Нет")</f>
        <v/>
      </c>
      <c r="O201" s="147" t="str">
        <f ca="1">IFERROR(IF(VLOOKUP($A201,'Шаг2.Бланк заказа NEW'!$B$17:$N$201,11,0)="","",VLOOKUP($A201,'Шаг2.Бланк заказа NEW'!$B$17:$N$201,12,0)),
"Нет")</f>
        <v/>
      </c>
      <c r="P201" s="153" t="str">
        <f ca="1">IFERROR(IF(VLOOKUP($A201,'Шаг2.Бланк заказа NEW'!$B$17:$N$201,13,0)="","",VLOOKUP($A201,'Шаг2.Бланк заказа NEW'!$B$17:$N$201,13,0)),
"Нет")</f>
        <v/>
      </c>
      <c r="Q201" s="147" t="str">
        <f ca="1">IFERROR(IF(VLOOKUP($A201,'Шаг2.Бланк заказа NEW'!$B$17:$O$201,14,0)="","",VLOOKUP($A201,'Шаг2.Бланк заказа NEW'!$B$17:$O$201,14,0)),"")</f>
        <v/>
      </c>
      <c r="R201" s="147" t="str">
        <f ca="1">IFERROR(IFERROR(IF(VLOOKUP($A201,'Шаг2.Бланк заказа NEW'!$B$17:$N$201,4,0)="","",VLOOKUP($A201,'Шаг2.Бланк заказа NEW'!$B$17:$N$201,4,0)),
IF(VLOOKUP($A201-COUNT('Шаг2.Бланк заказа NEW'!$B$19:$B$201),'Бланк OLD 0.8 04'!$B$12:$K$200,4,0)&gt;0,0.8,
IF(VLOOKUP($A201-COUNT('Шаг2.Бланк заказа NEW'!$B$19:$B$201),'Бланк OLD 0.8 04'!$B$12:$K$200,5,0)&gt;0,0.4,""))),
IF(VLOOKUP($A201-COUNT('Шаг2.Бланк заказа NEW'!$B$19:$B$201)-COUNT('Бланк OLD 0.8 04'!$B$18:$B$200),'Бланк OLD 2.0 04 '!$B$16:$K$200,4,0)&gt;0,2,IF(VLOOKUP($A201-COUNT('Шаг2.Бланк заказа NEW'!$B$19:$B$201)-COUNT('Бланк OLD 0.8 04'!$B$18:$B$200),'Бланк OLD 2.0 04 '!$B$16:$K$200,5,0)&gt;0,0.4,"")))</f>
        <v/>
      </c>
      <c r="S201" s="147" t="str">
        <f ca="1">IFERROR(IFERROR(IF(VLOOKUP($A201,'Шаг2.Бланк заказа NEW'!$B$17:$N$201,5,0)="","",VLOOKUP($A201,'Шаг2.Бланк заказа NEW'!$B$17:$N$201,5,0)),
IF(VLOOKUP($A201-COUNT('Шаг2.Бланк заказа NEW'!$B$19:$B$201),'Бланк OLD 0.8 04'!$B$12:$K$200,4,0)&gt;1,0.8,
IF(VLOOKUP($A201-COUNT('Шаг2.Бланк заказа NEW'!$B$19:$B$201),'Бланк OLD 0.8 04'!$B$12:$K$200,5,0)&gt;1,0.4,
IF(AND(VLOOKUP($A201-COUNT('Шаг2.Бланк заказа NEW'!$B$19:$B$201),'Бланк OLD 0.8 04'!$B$12:$K$200,4,0)&gt;0,VLOOKUP($A201-COUNT('Шаг2.Бланк заказа NEW'!$B$19:$B$201),'Бланк OLD 0.8 04'!$B$12:$K$200,5,0)&gt;0),0.4,"")))),
IF(VLOOKUP($A201-COUNT('Шаг2.Бланк заказа NEW'!$B$19:$B$201)-COUNT('Бланк OLD 0.8 04'!$B$18:$B$200),'Бланк OLD 2.0 04 '!$B$16:$K$200,4,0)&gt;1,2,
IF(VLOOKUP($A201-COUNT('Шаг2.Бланк заказа NEW'!$B$19:$B$201)-COUNT('Бланк OLD 0.8 04'!$B$18:$B$200),'Бланк OLD 2.0 04 '!$B$16:$K$200,5,0)&gt;1,0.4,IF(AND(VLOOKUP($A201-COUNT('Шаг2.Бланк заказа NEW'!$B$19:$B$201)-COUNT('Бланк OLD 0.8 04'!$B$18:$B$200),'Бланк OLD 2.0 04 '!$B$16:$K$200,4,0)&gt;0,VLOOKUP($A201-COUNT('Шаг2.Бланк заказа NEW'!$B$19:$B$201)-COUNT('Бланк OLD 0.8 04'!$B$18:$B$200),'Бланк OLD 2.0 04 '!$B$16:$K$200,5,0)&gt;0),0.4,""))))</f>
        <v/>
      </c>
      <c r="T201" s="147" t="str">
        <f ca="1">IFERROR(IFERROR(IF(VLOOKUP($A201,'Шаг2.Бланк заказа NEW'!$B$17:$N$201,7,0)="","",VLOOKUP($A201,'Шаг2.Бланк заказа NEW'!$B$17:$N$201,7,0)),
IF(VLOOKUP($A201-COUNT('Шаг2.Бланк заказа NEW'!$B$19:$B$201),'Бланк OLD 0.8 04'!$B$12:$K$200,7,0)&gt;0,0.8,
IF(VLOOKUP($A201-COUNT('Шаг2.Бланк заказа NEW'!$B$19:$B$201),'Бланк OLD 0.8 04'!$B$12:$K$200,8,0)&gt;0,0.4,""))),
IF(VLOOKUP($A201-COUNT('Шаг2.Бланк заказа NEW'!$B$19:$B$201)-COUNT('Бланк OLD 0.8 04'!$B$18:$B$200),'Бланк OLD 2.0 04 '!$B$16:$K$200,7,0)&gt;0,2,IF(VLOOKUP($A201-COUNT('Шаг2.Бланк заказа NEW'!$B$19:$B$201)-COUNT('Бланк OLD 0.8 04'!$B$18:$B$200),'Бланк OLD 2.0 04 '!$B$16:$K$200,8,0)&gt;0,0.4,"")))</f>
        <v/>
      </c>
      <c r="U201" s="147" t="str">
        <f ca="1">IFERROR(IFERROR(IF(VLOOKUP($A201,'Шаг2.Бланк заказа NEW'!$B$17:$N$201,8,0)="","",VLOOKUP($A201,'Шаг2.Бланк заказа NEW'!$B$17:$N$201,8,0)),
IF(VLOOKUP($A201-COUNT('Шаг2.Бланк заказа NEW'!$B$19:$B$201),'Бланк OLD 0.8 04'!$B$12:$K$200,7,0)&gt;1,0.8,
IF(VLOOKUP($A201-COUNT('Шаг2.Бланк заказа NEW'!$B$19:$B$201),'Бланк OLD 0.8 04'!$B$12:$K$200,8,0)&gt;1,0.4,
IF(AND(VLOOKUP($A201-COUNT('Шаг2.Бланк заказа NEW'!$B$19:$B$201),'Бланк OLD 0.8 04'!$B$12:$K$200,7,0)&gt;0,VLOOKUP($A201-COUNT('Шаг2.Бланк заказа NEW'!$B$19:$B$201),'Бланк OLD 0.8 04'!$B$12:$K$200,8,0)&gt;0),0.4,"")))),
IF(VLOOKUP($A201-COUNT('Шаг2.Бланк заказа NEW'!$B$19:$B$201)-COUNT('Бланк OLD 0.8 04'!$B$18:$B$200),'Бланк OLD 2.0 04 '!$B$16:$K$200,7,0)&gt;1,2,
IF(VLOOKUP($A201-COUNT('Шаг2.Бланк заказа NEW'!$B$19:$B$201)-COUNT('Бланк OLD 0.8 04'!$B$18:$B$200),'Бланк OLD 2.0 04 '!$B$16:$K$200,8,0)&gt;1,0.4,
IF(AND(VLOOKUP($A201-COUNT('Шаг2.Бланк заказа NEW'!$B$19:$B$201)-COUNT('Бланк OLD 0.8 04'!$B$18:$B$200),'Бланк OLD 2.0 04 '!$B$16:$K$200,7,0)&gt;0,VLOOKUP($A201-COUNT('Шаг2.Бланк заказа NEW'!$B$19:$B$201)-COUNT('Бланк OLD 0.8 04'!$B$18:$B$200),'Бланк OLD 2.0 04 '!$B$16:$K$200,8,0)&gt;0),0.4,""))))</f>
        <v/>
      </c>
      <c r="V201" s="146" t="str">
        <f ca="1">IFERROR(VLOOKUP(C201,'Шаг1.Выбор плиты'!C:S,12,0),"")</f>
        <v/>
      </c>
      <c r="W201" s="146" t="str">
        <f ca="1">IFERROR(VLOOKUP(C201,'Шаг1.Выбор плиты'!C:S,8,0),"")</f>
        <v/>
      </c>
      <c r="X201" s="146" t="str">
        <f ca="1">IFERROR(VLOOKUP(C201,'Шаг1.Выбор плиты'!C:S,10,0),"")</f>
        <v/>
      </c>
      <c r="Y201" s="147" t="str">
        <f t="shared" ca="1" si="18"/>
        <v/>
      </c>
      <c r="AD201" s="147" t="str">
        <f t="shared" ca="1" si="16"/>
        <v/>
      </c>
      <c r="AE201" s="147" t="str">
        <f t="shared" ca="1" si="19"/>
        <v/>
      </c>
      <c r="AF201" s="25"/>
      <c r="AH201" s="147" t="str">
        <f ca="1">IF(C201="","",VLOOKUP(C201,'Шаг1.Выбор плиты'!C:Q,7,0))</f>
        <v/>
      </c>
      <c r="AI201" s="147" t="str">
        <f t="shared" ca="1" si="17"/>
        <v/>
      </c>
    </row>
    <row r="202" spans="1:35" x14ac:dyDescent="0.2">
      <c r="A202" s="151" t="str">
        <f ca="1">IF(C202="","",MAX($A$1:OFFSET(C202,-1,0))+1)</f>
        <v/>
      </c>
      <c r="B202" s="151" t="str">
        <f ca="1">IFERROR(IFERROR(IFERROR("Шаг2.Бланк заказа NEW №"&amp;VLOOKUP(A201+1,CHOOSE({1,2},'Шаг2.Бланк заказа NEW'!$B$19:$B$201,'Шаг2.Бланк заказа NEW'!$A$19:$A$201),1,0),
"Бланк OLD 0.8 04 №"&amp;VLOOKUP(A201+1-COUNT('Шаг2.Бланк заказа NEW'!$B$19:$B$201),CHOOSE({1,2},'Бланк OLD 0.8 04'!$B$18:$B$200,'Бланк OLD 0.8 04'!$A$18:$A$200),1,0)),
"Бланк OLD 2.0 04 №"&amp;VLOOKUP(A201+1-COUNT('Шаг2.Бланк заказа NEW'!$B$19:$B$201)-COUNT('Бланк OLD 0.8 04'!$B$18:$B$200),CHOOSE({1,2},'Бланк OLD 2.0 04 '!$B$18:$B$200,'Бланк OLD 2.0 04 '!$A$18:$A$200),1,0)),"")</f>
        <v/>
      </c>
      <c r="C202" s="152" t="str">
        <f ca="1">IFERROR(IFERROR(IFERROR(VLOOKUP(A201+1,CHOOSE({1,2},'Шаг2.Бланк заказа NEW'!$B$19:$B$201,'Шаг2.Бланк заказа NEW'!$A$19:$A$201),2,0),
VLOOKUP(A201+1-COUNT('Шаг2.Бланк заказа NEW'!$B$19:$B$201),CHOOSE({1,2},'Бланк OLD 0.8 04'!$B$18:$B$200,'Бланк OLD 0.8 04'!$A$18:$A$200),2,0)),
VLOOKUP(A201+1-COUNT('Шаг2.Бланк заказа NEW'!$B$19:$B$201)-COUNT('Бланк OLD 0.8 04'!$B$18:$B$200),CHOOSE({1,2},'Бланк OLD 2.0 04 '!$B$18:$B$200,'Бланк OLD 2.0 04 '!$A$18:$A$200),2,0)),"")</f>
        <v/>
      </c>
      <c r="D202" s="150" t="str">
        <f ca="1">IFERROR(VLOOKUP(C202,'Шаг1.Выбор плиты'!C:G,5,0),"")</f>
        <v/>
      </c>
      <c r="E202" s="147" t="str">
        <f ca="1">IFERROR(IFERROR(IF(VLOOKUP($A202,'Шаг2.Бланк заказа NEW'!$B$17:$N$201,2,0)="","",VLOOKUP($A202,'Шаг2.Бланк заказа NEW'!$B$17:$N$201,2,0)),
IF(VLOOKUP($A202-COUNT('Шаг2.Бланк заказа NEW'!$B$19:$B$201),'Бланк OLD 0.8 04'!$B$12:$K$200,2,0)="","",VLOOKUP($A202-COUNT('Шаг2.Бланк заказа NEW'!$B$19:$B$201),'Бланк OLD 0.8 04'!$B$12:$K$200,2,0))),
IF(VLOOKUP($A202-COUNT('Шаг2.Бланк заказа NEW'!$B$19:$B$201)-COUNT('Бланк OLD 0.8 04'!$B$18:$B$200),'Бланк OLD 2.0 04 '!$B$16:$K$200,2,0)="","",VLOOKUP($A202-COUNT('Шаг2.Бланк заказа NEW'!$B$19:$B$201)-COUNT('Бланк OLD 0.8 04'!$B$18:$B$200),'Бланк OLD 2.0 04 '!$B$16:$K$200,2,0)))</f>
        <v/>
      </c>
      <c r="F202" s="147" t="str">
        <f ca="1">IFERROR(IFERROR(IF(VLOOKUP($A202,'Шаг2.Бланк заказа NEW'!$B$17:$N$201,3,0)="","",VLOOKUP($A202,'Шаг2.Бланк заказа NEW'!$B$17:$N$201,3,0)),
IF(VLOOKUP($A202-COUNT('Шаг2.Бланк заказа NEW'!$B$19:$B$201),'Бланк OLD 0.8 04'!$B$12:$K$200,3,0)="","",VLOOKUP($A202-COUNT('Шаг2.Бланк заказа NEW'!$B$19:$B$201),'Бланк OLD 0.8 04'!$B$12:$K$200,3,0))),
IF(VLOOKUP($A202-COUNT('Шаг2.Бланк заказа NEW'!$B$19:$B$201)-COUNT('Бланк OLD 0.8 04'!$B$18:$B$200),'Бланк OLD 2.0 04 '!$B$16:$K$200,3,0)="","",VLOOKUP($A202-COUNT('Шаг2.Бланк заказа NEW'!$B$19:$B$201)-COUNT('Бланк OLD 0.8 04'!$B$18:$B$200),'Бланк OLD 2.0 04 '!$B$16:$K$200,3,0)))</f>
        <v/>
      </c>
      <c r="G202" s="176" t="str">
        <f ca="1">IF(IF(R202="","",IF(R202=1,SUMIFS('Шаг1.Выбор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плиты'!C:Q,12,0)),1))))))=0,
R202,
IF(R202="","",IF(R202=1,SUMIFS('Шаг1.Выбор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плиты'!N:N,R202,'Шаг1.Выбор плиты'!M:M,SMALL(INDIRECT("мм"&amp;VLOOKUP(C202,'Шаг1.Выбор плиты'!C:Q,12,0)),1)))))))</f>
        <v/>
      </c>
      <c r="H202" s="177" t="str">
        <f ca="1">IF(IF(S202="","",IF(S202=1,SUMIFS('Шаг1.Выбор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плиты'!C:Q,12,0)),1))))))=0,
S202,
IF(S202="","",IF(S202=1,SUMIFS('Шаг1.Выбор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плиты'!N:N,S202,'Шаг1.Выбор плиты'!M:M,SMALL(INDIRECT("мм"&amp;VLOOKUP(C202,'Шаг1.Выбор плиты'!C:Q,12,0)),1)))))))</f>
        <v/>
      </c>
      <c r="I202" s="147" t="str">
        <f ca="1">IFERROR(IFERROR(IF(VLOOKUP($A202,'Шаг2.Бланк заказа NEW'!$B$17:$N$201,6,0)="","",VLOOKUP($A202,'Шаг2.Бланк заказа NEW'!$B$17:$N$201,6,0)),
IF(VLOOKUP($A202-COUNT('Шаг2.Бланк заказа NEW'!$B$19:$B$201),'Бланк OLD 0.8 04'!$B$12:$K$200,6,0)="","",VLOOKUP($A202-COUNT('Шаг2.Бланк заказа NEW'!$B$19:$B$201),'Бланк OLD 0.8 04'!$B$12:$K$200,6,0))),
IF(VLOOKUP($A202-COUNT('Шаг2.Бланк заказа NEW'!$B$19:$B$201)-COUNT('Бланк OLD 0.8 04'!$B$18:$B$200),'Бланк OLD 2.0 04 '!$B$16:$K$200,6,0)="","",VLOOKUP($A202-COUNT('Шаг2.Бланк заказа NEW'!$B$19:$B$201)-COUNT('Бланк OLD 0.8 04'!$B$18:$B$200),'Бланк OLD 2.0 04 '!$B$16:$K$200,6,0)))</f>
        <v/>
      </c>
      <c r="J202" s="177" t="str">
        <f ca="1">IF(IF(T202="","",IF(T202=1,SUMIFS('Шаг1.Выбор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плиты'!C:Q,12,0)),1))))))=0,
T202,
IF(T202="","",IF(T202=1,SUMIFS('Шаг1.Выбор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плиты'!N:N,T202,'Шаг1.Выбор плиты'!M:M,SMALL(INDIRECT("мм"&amp;VLOOKUP(C202,'Шаг1.Выбор плиты'!C:Q,12,0)),1)))))))</f>
        <v/>
      </c>
      <c r="K202" s="177" t="str">
        <f ca="1">IF(IF(U202="","",IF(U202=1,SUMIFS('Шаг1.Выбор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плиты'!C:Q,12,0)),1))))))=0,
U202,
IF(U202="","",IF(U202=1,SUMIFS('Шаг1.Выбор плиты'!$G:$G,'Шаг1.Выбор плиты'!J:J,"*"&amp;RIGHT(VLOOKUP(C202,'Шаг1.Выбор плиты'!C:Q,8,0),4),'Шаг1.Выбор плиты'!L:L,IF(MID(C202,1,6)="ЛДСП P","TM"&amp;MID(VLOOKUP(C202,'Шаг1.Выбор плиты'!C:Q,10,0),3,2),MID(VLOOKUP(C202,'Шаг1.Выбор плиты'!C:Q,10,0),1,2)),
'Шаг1.Выбор плиты'!N:N,1),IF(SUMIFS('Шаг1.Выбор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плиты'!C:Q,12,0)),1))=0,
IF(SUMIFS('Шаг1.Выбор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плиты'!C:Q,12,0)),2))=0,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плиты'!C:Q,12,0)),3)),
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плиты'!C:Q,12,0)),2))),
(SUMIFS('Шаг1.Выбор плиты'!$G:$G,'Шаг1.Выбор плиты'!J:J,"*"&amp;RIGHT(VLOOKUP(C202,'Шаг1.Выбор плиты'!C:Q,8,0),4),'Шаг1.Выбор плиты'!L:L,VLOOKUP(C202,'Шаг1.Выбор плиты'!C:Q,10,0),'Шаг1.Выбор плиты'!N:N,U202,'Шаг1.Выбор плиты'!M:M,SMALL(INDIRECT("мм"&amp;VLOOKUP(C202,'Шаг1.Выбор плиты'!C:Q,12,0)),1)))))))</f>
        <v/>
      </c>
      <c r="L202" s="147" t="str">
        <f ca="1">IFERROR(IFERROR(IF(VLOOKUP($A202,'Шаг2.Бланк заказа NEW'!$B$17:$N$201,9,0)="","",VLOOKUP($A202,'Шаг2.Бланк заказа NEW'!$B$17:$N$201,9,0)),
IF(VLOOKUP($A202-COUNT('Шаг2.Бланк заказа NEW'!$B$19:$B$201),'Бланк OLD 0.8 04'!$B$12:$K$200,9,0)="","",VLOOKUP($A202-COUNT('Шаг2.Бланк заказа NEW'!$B$19:$B$201),'Бланк OLD 0.8 04'!$B$12:$K$200,9,0))),
IF(VLOOKUP($A202-COUNT('Шаг2.Бланк заказа NEW'!$B$19:$B$201)-COUNT('Бланк OLD 0.8 04'!$B$18:$B$200),'Бланк OLD 2.0 04 '!$B$16:$K$200,9,0)="","",VLOOKUP($A202-COUNT('Шаг2.Бланк заказа NEW'!$B$19:$B$201)-COUNT('Бланк OLD 0.8 04'!$B$18:$B$200),'Бланк OLD 2.0 04 '!$B$16:$K$200,9,0)))</f>
        <v/>
      </c>
      <c r="M202" s="154" t="str">
        <f t="shared" ca="1" si="15"/>
        <v/>
      </c>
      <c r="N202" s="153" t="str">
        <f ca="1">IFERROR(IF(VLOOKUP($A202,'Шаг2.Бланк заказа NEW'!$B$17:$N$201,11,0)="","",VLOOKUP($A202,'Шаг2.Бланк заказа NEW'!$B$17:$N$201,11,0)),
"Нет")</f>
        <v/>
      </c>
      <c r="O202" s="147" t="str">
        <f ca="1">IFERROR(IF(VLOOKUP($A202,'Шаг2.Бланк заказа NEW'!$B$17:$N$201,11,0)="","",VLOOKUP($A202,'Шаг2.Бланк заказа NEW'!$B$17:$N$201,12,0)),
"Нет")</f>
        <v/>
      </c>
      <c r="P202" s="153" t="str">
        <f ca="1">IFERROR(IF(VLOOKUP($A202,'Шаг2.Бланк заказа NEW'!$B$17:$N$201,13,0)="","",VLOOKUP($A202,'Шаг2.Бланк заказа NEW'!$B$17:$N$201,13,0)),
"Нет")</f>
        <v/>
      </c>
      <c r="Q202" s="147" t="str">
        <f ca="1">IFERROR(IF(VLOOKUP($A202,'Шаг2.Бланк заказа NEW'!$B$17:$O$201,14,0)="","",VLOOKUP($A202,'Шаг2.Бланк заказа NEW'!$B$17:$O$201,14,0)),"")</f>
        <v/>
      </c>
      <c r="R202" s="147" t="str">
        <f ca="1">IFERROR(IFERROR(IF(VLOOKUP($A202,'Шаг2.Бланк заказа NEW'!$B$17:$N$201,4,0)="","",VLOOKUP($A202,'Шаг2.Бланк заказа NEW'!$B$17:$N$201,4,0)),
IF(VLOOKUP($A202-COUNT('Шаг2.Бланк заказа NEW'!$B$19:$B$201),'Бланк OLD 0.8 04'!$B$12:$K$200,4,0)&gt;0,0.8,
IF(VLOOKUP($A202-COUNT('Шаг2.Бланк заказа NEW'!$B$19:$B$201),'Бланк OLD 0.8 04'!$B$12:$K$200,5,0)&gt;0,0.4,""))),
IF(VLOOKUP($A202-COUNT('Шаг2.Бланк заказа NEW'!$B$19:$B$201)-COUNT('Бланк OLD 0.8 04'!$B$18:$B$200),'Бланк OLD 2.0 04 '!$B$16:$K$200,4,0)&gt;0,2,IF(VLOOKUP($A202-COUNT('Шаг2.Бланк заказа NEW'!$B$19:$B$201)-COUNT('Бланк OLD 0.8 04'!$B$18:$B$200),'Бланк OLD 2.0 04 '!$B$16:$K$200,5,0)&gt;0,0.4,"")))</f>
        <v/>
      </c>
      <c r="S202" s="147" t="str">
        <f ca="1">IFERROR(IFERROR(IF(VLOOKUP($A202,'Шаг2.Бланк заказа NEW'!$B$17:$N$201,5,0)="","",VLOOKUP($A202,'Шаг2.Бланк заказа NEW'!$B$17:$N$201,5,0)),
IF(VLOOKUP($A202-COUNT('Шаг2.Бланк заказа NEW'!$B$19:$B$201),'Бланк OLD 0.8 04'!$B$12:$K$200,4,0)&gt;1,0.8,
IF(VLOOKUP($A202-COUNT('Шаг2.Бланк заказа NEW'!$B$19:$B$201),'Бланк OLD 0.8 04'!$B$12:$K$200,5,0)&gt;1,0.4,
IF(AND(VLOOKUP($A202-COUNT('Шаг2.Бланк заказа NEW'!$B$19:$B$201),'Бланк OLD 0.8 04'!$B$12:$K$200,4,0)&gt;0,VLOOKUP($A202-COUNT('Шаг2.Бланк заказа NEW'!$B$19:$B$201),'Бланк OLD 0.8 04'!$B$12:$K$200,5,0)&gt;0),0.4,"")))),
IF(VLOOKUP($A202-COUNT('Шаг2.Бланк заказа NEW'!$B$19:$B$201)-COUNT('Бланк OLD 0.8 04'!$B$18:$B$200),'Бланк OLD 2.0 04 '!$B$16:$K$200,4,0)&gt;1,2,
IF(VLOOKUP($A202-COUNT('Шаг2.Бланк заказа NEW'!$B$19:$B$201)-COUNT('Бланк OLD 0.8 04'!$B$18:$B$200),'Бланк OLD 2.0 04 '!$B$16:$K$200,5,0)&gt;1,0.4,IF(AND(VLOOKUP($A202-COUNT('Шаг2.Бланк заказа NEW'!$B$19:$B$201)-COUNT('Бланк OLD 0.8 04'!$B$18:$B$200),'Бланк OLD 2.0 04 '!$B$16:$K$200,4,0)&gt;0,VLOOKUP($A202-COUNT('Шаг2.Бланк заказа NEW'!$B$19:$B$201)-COUNT('Бланк OLD 0.8 04'!$B$18:$B$200),'Бланк OLD 2.0 04 '!$B$16:$K$200,5,0)&gt;0),0.4,""))))</f>
        <v/>
      </c>
      <c r="T202" s="147" t="str">
        <f ca="1">IFERROR(IFERROR(IF(VLOOKUP($A202,'Шаг2.Бланк заказа NEW'!$B$17:$N$201,7,0)="","",VLOOKUP($A202,'Шаг2.Бланк заказа NEW'!$B$17:$N$201,7,0)),
IF(VLOOKUP($A202-COUNT('Шаг2.Бланк заказа NEW'!$B$19:$B$201),'Бланк OLD 0.8 04'!$B$12:$K$200,7,0)&gt;0,0.8,
IF(VLOOKUP($A202-COUNT('Шаг2.Бланк заказа NEW'!$B$19:$B$201),'Бланк OLD 0.8 04'!$B$12:$K$200,8,0)&gt;0,0.4,""))),
IF(VLOOKUP($A202-COUNT('Шаг2.Бланк заказа NEW'!$B$19:$B$201)-COUNT('Бланк OLD 0.8 04'!$B$18:$B$200),'Бланк OLD 2.0 04 '!$B$16:$K$200,7,0)&gt;0,2,IF(VLOOKUP($A202-COUNT('Шаг2.Бланк заказа NEW'!$B$19:$B$201)-COUNT('Бланк OLD 0.8 04'!$B$18:$B$200),'Бланк OLD 2.0 04 '!$B$16:$K$200,8,0)&gt;0,0.4,"")))</f>
        <v/>
      </c>
      <c r="U202" s="147" t="str">
        <f ca="1">IFERROR(IFERROR(IF(VLOOKUP($A202,'Шаг2.Бланк заказа NEW'!$B$17:$N$201,8,0)="","",VLOOKUP($A202,'Шаг2.Бланк заказа NEW'!$B$17:$N$201,8,0)),
IF(VLOOKUP($A202-COUNT('Шаг2.Бланк заказа NEW'!$B$19:$B$201),'Бланк OLD 0.8 04'!$B$12:$K$200,7,0)&gt;1,0.8,
IF(VLOOKUP($A202-COUNT('Шаг2.Бланк заказа NEW'!$B$19:$B$201),'Бланк OLD 0.8 04'!$B$12:$K$200,8,0)&gt;1,0.4,
IF(AND(VLOOKUP($A202-COUNT('Шаг2.Бланк заказа NEW'!$B$19:$B$201),'Бланк OLD 0.8 04'!$B$12:$K$200,7,0)&gt;0,VLOOKUP($A202-COUNT('Шаг2.Бланк заказа NEW'!$B$19:$B$201),'Бланк OLD 0.8 04'!$B$12:$K$200,8,0)&gt;0),0.4,"")))),
IF(VLOOKUP($A202-COUNT('Шаг2.Бланк заказа NEW'!$B$19:$B$201)-COUNT('Бланк OLD 0.8 04'!$B$18:$B$200),'Бланк OLD 2.0 04 '!$B$16:$K$200,7,0)&gt;1,2,
IF(VLOOKUP($A202-COUNT('Шаг2.Бланк заказа NEW'!$B$19:$B$201)-COUNT('Бланк OLD 0.8 04'!$B$18:$B$200),'Бланк OLD 2.0 04 '!$B$16:$K$200,8,0)&gt;1,0.4,
IF(AND(VLOOKUP($A202-COUNT('Шаг2.Бланк заказа NEW'!$B$19:$B$201)-COUNT('Бланк OLD 0.8 04'!$B$18:$B$200),'Бланк OLD 2.0 04 '!$B$16:$K$200,7,0)&gt;0,VLOOKUP($A202-COUNT('Шаг2.Бланк заказа NEW'!$B$19:$B$201)-COUNT('Бланк OLD 0.8 04'!$B$18:$B$200),'Бланк OLD 2.0 04 '!$B$16:$K$200,8,0)&gt;0),0.4,""))))</f>
        <v/>
      </c>
      <c r="V202" s="146" t="str">
        <f ca="1">IFERROR(VLOOKUP(C202,'Шаг1.Выбор плиты'!C:S,12,0),"")</f>
        <v/>
      </c>
      <c r="W202" s="146" t="str">
        <f ca="1">IFERROR(VLOOKUP(C202,'Шаг1.Выбор плиты'!C:S,8,0),"")</f>
        <v/>
      </c>
      <c r="X202" s="146" t="str">
        <f ca="1">IFERROR(VLOOKUP(C202,'Шаг1.Выбор плиты'!C:S,10,0),"")</f>
        <v/>
      </c>
      <c r="Y202" s="147" t="str">
        <f t="shared" ca="1" si="18"/>
        <v/>
      </c>
      <c r="AD202" s="147" t="str">
        <f t="shared" ca="1" si="16"/>
        <v/>
      </c>
      <c r="AE202" s="147" t="str">
        <f t="shared" ca="1" si="19"/>
        <v/>
      </c>
      <c r="AF202" s="25"/>
      <c r="AH202" s="147" t="str">
        <f ca="1">IF(C202="","",VLOOKUP(C202,'Шаг1.Выбор плиты'!C:Q,7,0))</f>
        <v/>
      </c>
      <c r="AI202" s="147" t="str">
        <f t="shared" ca="1" si="17"/>
        <v/>
      </c>
    </row>
    <row r="203" spans="1:35" x14ac:dyDescent="0.2">
      <c r="A203" s="151" t="str">
        <f ca="1">IF(C203="","",MAX($A$1:OFFSET(C203,-1,0))+1)</f>
        <v/>
      </c>
      <c r="B203" s="151" t="str">
        <f ca="1">IFERROR(IFERROR(IFERROR("Шаг2.Бланк заказа NEW №"&amp;VLOOKUP(A202+1,CHOOSE({1,2},'Шаг2.Бланк заказа NEW'!$B$19:$B$201,'Шаг2.Бланк заказа NEW'!$A$19:$A$201),1,0),
"Бланк OLD 0.8 04 №"&amp;VLOOKUP(A202+1-COUNT('Шаг2.Бланк заказа NEW'!$B$19:$B$201),CHOOSE({1,2},'Бланк OLD 0.8 04'!$B$18:$B$200,'Бланк OLD 0.8 04'!$A$18:$A$200),1,0)),
"Бланк OLD 2.0 04 №"&amp;VLOOKUP(A202+1-COUNT('Шаг2.Бланк заказа NEW'!$B$19:$B$201)-COUNT('Бланк OLD 0.8 04'!$B$18:$B$200),CHOOSE({1,2},'Бланк OLD 2.0 04 '!$B$18:$B$200,'Бланк OLD 2.0 04 '!$A$18:$A$200),1,0)),"")</f>
        <v/>
      </c>
      <c r="C203" s="152" t="str">
        <f ca="1">IFERROR(IFERROR(IFERROR(VLOOKUP(A202+1,CHOOSE({1,2},'Шаг2.Бланк заказа NEW'!$B$19:$B$201,'Шаг2.Бланк заказа NEW'!$A$19:$A$201),2,0),
VLOOKUP(A202+1-COUNT('Шаг2.Бланк заказа NEW'!$B$19:$B$201),CHOOSE({1,2},'Бланк OLD 0.8 04'!$B$18:$B$200,'Бланк OLD 0.8 04'!$A$18:$A$200),2,0)),
VLOOKUP(A202+1-COUNT('Шаг2.Бланк заказа NEW'!$B$19:$B$201)-COUNT('Бланк OLD 0.8 04'!$B$18:$B$200),CHOOSE({1,2},'Бланк OLD 2.0 04 '!$B$18:$B$200,'Бланк OLD 2.0 04 '!$A$18:$A$200),2,0)),"")</f>
        <v/>
      </c>
      <c r="D203" s="150" t="str">
        <f ca="1">IFERROR(VLOOKUP(C203,'Шаг1.Выбор плиты'!C:G,5,0),"")</f>
        <v/>
      </c>
      <c r="E203" s="147" t="str">
        <f ca="1">IFERROR(IFERROR(IF(VLOOKUP($A203,'Шаг2.Бланк заказа NEW'!$B$17:$N$201,2,0)="","",VLOOKUP($A203,'Шаг2.Бланк заказа NEW'!$B$17:$N$201,2,0)),
IF(VLOOKUP($A203-COUNT('Шаг2.Бланк заказа NEW'!$B$19:$B$201),'Бланк OLD 0.8 04'!$B$12:$K$200,2,0)="","",VLOOKUP($A203-COUNT('Шаг2.Бланк заказа NEW'!$B$19:$B$201),'Бланк OLD 0.8 04'!$B$12:$K$200,2,0))),
IF(VLOOKUP($A203-COUNT('Шаг2.Бланк заказа NEW'!$B$19:$B$201)-COUNT('Бланк OLD 0.8 04'!$B$18:$B$200),'Бланк OLD 2.0 04 '!$B$16:$K$200,2,0)="","",VLOOKUP($A203-COUNT('Шаг2.Бланк заказа NEW'!$B$19:$B$201)-COUNT('Бланк OLD 0.8 04'!$B$18:$B$200),'Бланк OLD 2.0 04 '!$B$16:$K$200,2,0)))</f>
        <v/>
      </c>
      <c r="F203" s="147" t="str">
        <f ca="1">IFERROR(IFERROR(IF(VLOOKUP($A203,'Шаг2.Бланк заказа NEW'!$B$17:$N$201,3,0)="","",VLOOKUP($A203,'Шаг2.Бланк заказа NEW'!$B$17:$N$201,3,0)),
IF(VLOOKUP($A203-COUNT('Шаг2.Бланк заказа NEW'!$B$19:$B$201),'Бланк OLD 0.8 04'!$B$12:$K$200,3,0)="","",VLOOKUP($A203-COUNT('Шаг2.Бланк заказа NEW'!$B$19:$B$201),'Бланк OLD 0.8 04'!$B$12:$K$200,3,0))),
IF(VLOOKUP($A203-COUNT('Шаг2.Бланк заказа NEW'!$B$19:$B$201)-COUNT('Бланк OLD 0.8 04'!$B$18:$B$200),'Бланк OLD 2.0 04 '!$B$16:$K$200,3,0)="","",VLOOKUP($A203-COUNT('Шаг2.Бланк заказа NEW'!$B$19:$B$201)-COUNT('Бланк OLD 0.8 04'!$B$18:$B$200),'Бланк OLD 2.0 04 '!$B$16:$K$200,3,0)))</f>
        <v/>
      </c>
      <c r="G203" s="176" t="str">
        <f ca="1">IF(IF(R203="","",IF(R203=1,SUMIFS('Шаг1.Выбор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плиты'!C:Q,12,0)),1))))))=0,
R203,
IF(R203="","",IF(R203=1,SUMIFS('Шаг1.Выбор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плиты'!N:N,R203,'Шаг1.Выбор плиты'!M:M,SMALL(INDIRECT("мм"&amp;VLOOKUP(C203,'Шаг1.Выбор плиты'!C:Q,12,0)),1)))))))</f>
        <v/>
      </c>
      <c r="H203" s="177" t="str">
        <f ca="1">IF(IF(S203="","",IF(S203=1,SUMIFS('Шаг1.Выбор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плиты'!C:Q,12,0)),1))))))=0,
S203,
IF(S203="","",IF(S203=1,SUMIFS('Шаг1.Выбор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плиты'!N:N,S203,'Шаг1.Выбор плиты'!M:M,SMALL(INDIRECT("мм"&amp;VLOOKUP(C203,'Шаг1.Выбор плиты'!C:Q,12,0)),1)))))))</f>
        <v/>
      </c>
      <c r="I203" s="147" t="str">
        <f ca="1">IFERROR(IFERROR(IF(VLOOKUP($A203,'Шаг2.Бланк заказа NEW'!$B$17:$N$201,6,0)="","",VLOOKUP($A203,'Шаг2.Бланк заказа NEW'!$B$17:$N$201,6,0)),
IF(VLOOKUP($A203-COUNT('Шаг2.Бланк заказа NEW'!$B$19:$B$201),'Бланк OLD 0.8 04'!$B$12:$K$200,6,0)="","",VLOOKUP($A203-COUNT('Шаг2.Бланк заказа NEW'!$B$19:$B$201),'Бланк OLD 0.8 04'!$B$12:$K$200,6,0))),
IF(VLOOKUP($A203-COUNT('Шаг2.Бланк заказа NEW'!$B$19:$B$201)-COUNT('Бланк OLD 0.8 04'!$B$18:$B$200),'Бланк OLD 2.0 04 '!$B$16:$K$200,6,0)="","",VLOOKUP($A203-COUNT('Шаг2.Бланк заказа NEW'!$B$19:$B$201)-COUNT('Бланк OLD 0.8 04'!$B$18:$B$200),'Бланк OLD 2.0 04 '!$B$16:$K$200,6,0)))</f>
        <v/>
      </c>
      <c r="J203" s="177" t="str">
        <f ca="1">IF(IF(T203="","",IF(T203=1,SUMIFS('Шаг1.Выбор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плиты'!C:Q,12,0)),1))))))=0,
T203,
IF(T203="","",IF(T203=1,SUMIFS('Шаг1.Выбор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плиты'!N:N,T203,'Шаг1.Выбор плиты'!M:M,SMALL(INDIRECT("мм"&amp;VLOOKUP(C203,'Шаг1.Выбор плиты'!C:Q,12,0)),1)))))))</f>
        <v/>
      </c>
      <c r="K203" s="177" t="str">
        <f ca="1">IF(IF(U203="","",IF(U203=1,SUMIFS('Шаг1.Выбор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плиты'!C:Q,12,0)),1))))))=0,
U203,
IF(U203="","",IF(U203=1,SUMIFS('Шаг1.Выбор плиты'!$G:$G,'Шаг1.Выбор плиты'!J:J,"*"&amp;RIGHT(VLOOKUP(C203,'Шаг1.Выбор плиты'!C:Q,8,0),4),'Шаг1.Выбор плиты'!L:L,IF(MID(C203,1,6)="ЛДСП P","TM"&amp;MID(VLOOKUP(C203,'Шаг1.Выбор плиты'!C:Q,10,0),3,2),MID(VLOOKUP(C203,'Шаг1.Выбор плиты'!C:Q,10,0),1,2)),
'Шаг1.Выбор плиты'!N:N,1),IF(SUMIFS('Шаг1.Выбор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плиты'!C:Q,12,0)),1))=0,
IF(SUMIFS('Шаг1.Выбор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плиты'!C:Q,12,0)),2))=0,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плиты'!C:Q,12,0)),3)),
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плиты'!C:Q,12,0)),2))),
(SUMIFS('Шаг1.Выбор плиты'!$G:$G,'Шаг1.Выбор плиты'!J:J,"*"&amp;RIGHT(VLOOKUP(C203,'Шаг1.Выбор плиты'!C:Q,8,0),4),'Шаг1.Выбор плиты'!L:L,VLOOKUP(C203,'Шаг1.Выбор плиты'!C:Q,10,0),'Шаг1.Выбор плиты'!N:N,U203,'Шаг1.Выбор плиты'!M:M,SMALL(INDIRECT("мм"&amp;VLOOKUP(C203,'Шаг1.Выбор плиты'!C:Q,12,0)),1)))))))</f>
        <v/>
      </c>
      <c r="L203" s="147" t="str">
        <f ca="1">IFERROR(IFERROR(IF(VLOOKUP($A203,'Шаг2.Бланк заказа NEW'!$B$17:$N$201,9,0)="","",VLOOKUP($A203,'Шаг2.Бланк заказа NEW'!$B$17:$N$201,9,0)),
IF(VLOOKUP($A203-COUNT('Шаг2.Бланк заказа NEW'!$B$19:$B$201),'Бланк OLD 0.8 04'!$B$12:$K$200,9,0)="","",VLOOKUP($A203-COUNT('Шаг2.Бланк заказа NEW'!$B$19:$B$201),'Бланк OLD 0.8 04'!$B$12:$K$200,9,0))),
IF(VLOOKUP($A203-COUNT('Шаг2.Бланк заказа NEW'!$B$19:$B$201)-COUNT('Бланк OLD 0.8 04'!$B$18:$B$200),'Бланк OLD 2.0 04 '!$B$16:$K$200,9,0)="","",VLOOKUP($A203-COUNT('Шаг2.Бланк заказа NEW'!$B$19:$B$201)-COUNT('Бланк OLD 0.8 04'!$B$18:$B$200),'Бланк OLD 2.0 04 '!$B$16:$K$200,9,0)))</f>
        <v/>
      </c>
      <c r="M203" s="154" t="str">
        <f t="shared" ca="1" si="15"/>
        <v/>
      </c>
      <c r="N203" s="153" t="str">
        <f ca="1">IFERROR(IF(VLOOKUP($A203,'Шаг2.Бланк заказа NEW'!$B$17:$N$201,11,0)="","",VLOOKUP($A203,'Шаг2.Бланк заказа NEW'!$B$17:$N$201,11,0)),
"Нет")</f>
        <v/>
      </c>
      <c r="O203" s="147" t="str">
        <f ca="1">IFERROR(IF(VLOOKUP($A203,'Шаг2.Бланк заказа NEW'!$B$17:$N$201,11,0)="","",VLOOKUP($A203,'Шаг2.Бланк заказа NEW'!$B$17:$N$201,12,0)),
"Нет")</f>
        <v/>
      </c>
      <c r="P203" s="153" t="str">
        <f ca="1">IFERROR(IF(VLOOKUP($A203,'Шаг2.Бланк заказа NEW'!$B$17:$N$201,13,0)="","",VLOOKUP($A203,'Шаг2.Бланк заказа NEW'!$B$17:$N$201,13,0)),
"Нет")</f>
        <v/>
      </c>
      <c r="Q203" s="147" t="str">
        <f ca="1">IFERROR(IF(VLOOKUP($A203,'Шаг2.Бланк заказа NEW'!$B$17:$O$201,14,0)="","",VLOOKUP($A203,'Шаг2.Бланк заказа NEW'!$B$17:$O$201,14,0)),"")</f>
        <v/>
      </c>
      <c r="R203" s="147" t="str">
        <f ca="1">IFERROR(IFERROR(IF(VLOOKUP($A203,'Шаг2.Бланк заказа NEW'!$B$17:$N$201,4,0)="","",VLOOKUP($A203,'Шаг2.Бланк заказа NEW'!$B$17:$N$201,4,0)),
IF(VLOOKUP($A203-COUNT('Шаг2.Бланк заказа NEW'!$B$19:$B$201),'Бланк OLD 0.8 04'!$B$12:$K$200,4,0)&gt;0,0.8,
IF(VLOOKUP($A203-COUNT('Шаг2.Бланк заказа NEW'!$B$19:$B$201),'Бланк OLD 0.8 04'!$B$12:$K$200,5,0)&gt;0,0.4,""))),
IF(VLOOKUP($A203-COUNT('Шаг2.Бланк заказа NEW'!$B$19:$B$201)-COUNT('Бланк OLD 0.8 04'!$B$18:$B$200),'Бланк OLD 2.0 04 '!$B$16:$K$200,4,0)&gt;0,2,IF(VLOOKUP($A203-COUNT('Шаг2.Бланк заказа NEW'!$B$19:$B$201)-COUNT('Бланк OLD 0.8 04'!$B$18:$B$200),'Бланк OLD 2.0 04 '!$B$16:$K$200,5,0)&gt;0,0.4,"")))</f>
        <v/>
      </c>
      <c r="S203" s="147" t="str">
        <f ca="1">IFERROR(IFERROR(IF(VLOOKUP($A203,'Шаг2.Бланк заказа NEW'!$B$17:$N$201,5,0)="","",VLOOKUP($A203,'Шаг2.Бланк заказа NEW'!$B$17:$N$201,5,0)),
IF(VLOOKUP($A203-COUNT('Шаг2.Бланк заказа NEW'!$B$19:$B$201),'Бланк OLD 0.8 04'!$B$12:$K$200,4,0)&gt;1,0.8,
IF(VLOOKUP($A203-COUNT('Шаг2.Бланк заказа NEW'!$B$19:$B$201),'Бланк OLD 0.8 04'!$B$12:$K$200,5,0)&gt;1,0.4,
IF(AND(VLOOKUP($A203-COUNT('Шаг2.Бланк заказа NEW'!$B$19:$B$201),'Бланк OLD 0.8 04'!$B$12:$K$200,4,0)&gt;0,VLOOKUP($A203-COUNT('Шаг2.Бланк заказа NEW'!$B$19:$B$201),'Бланк OLD 0.8 04'!$B$12:$K$200,5,0)&gt;0),0.4,"")))),
IF(VLOOKUP($A203-COUNT('Шаг2.Бланк заказа NEW'!$B$19:$B$201)-COUNT('Бланк OLD 0.8 04'!$B$18:$B$200),'Бланк OLD 2.0 04 '!$B$16:$K$200,4,0)&gt;1,2,
IF(VLOOKUP($A203-COUNT('Шаг2.Бланк заказа NEW'!$B$19:$B$201)-COUNT('Бланк OLD 0.8 04'!$B$18:$B$200),'Бланк OLD 2.0 04 '!$B$16:$K$200,5,0)&gt;1,0.4,IF(AND(VLOOKUP($A203-COUNT('Шаг2.Бланк заказа NEW'!$B$19:$B$201)-COUNT('Бланк OLD 0.8 04'!$B$18:$B$200),'Бланк OLD 2.0 04 '!$B$16:$K$200,4,0)&gt;0,VLOOKUP($A203-COUNT('Шаг2.Бланк заказа NEW'!$B$19:$B$201)-COUNT('Бланк OLD 0.8 04'!$B$18:$B$200),'Бланк OLD 2.0 04 '!$B$16:$K$200,5,0)&gt;0),0.4,""))))</f>
        <v/>
      </c>
      <c r="T203" s="147" t="str">
        <f ca="1">IFERROR(IFERROR(IF(VLOOKUP($A203,'Шаг2.Бланк заказа NEW'!$B$17:$N$201,7,0)="","",VLOOKUP($A203,'Шаг2.Бланк заказа NEW'!$B$17:$N$201,7,0)),
IF(VLOOKUP($A203-COUNT('Шаг2.Бланк заказа NEW'!$B$19:$B$201),'Бланк OLD 0.8 04'!$B$12:$K$200,7,0)&gt;0,0.8,
IF(VLOOKUP($A203-COUNT('Шаг2.Бланк заказа NEW'!$B$19:$B$201),'Бланк OLD 0.8 04'!$B$12:$K$200,8,0)&gt;0,0.4,""))),
IF(VLOOKUP($A203-COUNT('Шаг2.Бланк заказа NEW'!$B$19:$B$201)-COUNT('Бланк OLD 0.8 04'!$B$18:$B$200),'Бланк OLD 2.0 04 '!$B$16:$K$200,7,0)&gt;0,2,IF(VLOOKUP($A203-COUNT('Шаг2.Бланк заказа NEW'!$B$19:$B$201)-COUNT('Бланк OLD 0.8 04'!$B$18:$B$200),'Бланк OLD 2.0 04 '!$B$16:$K$200,8,0)&gt;0,0.4,"")))</f>
        <v/>
      </c>
      <c r="U203" s="147" t="str">
        <f ca="1">IFERROR(IFERROR(IF(VLOOKUP($A203,'Шаг2.Бланк заказа NEW'!$B$17:$N$201,8,0)="","",VLOOKUP($A203,'Шаг2.Бланк заказа NEW'!$B$17:$N$201,8,0)),
IF(VLOOKUP($A203-COUNT('Шаг2.Бланк заказа NEW'!$B$19:$B$201),'Бланк OLD 0.8 04'!$B$12:$K$200,7,0)&gt;1,0.8,
IF(VLOOKUP($A203-COUNT('Шаг2.Бланк заказа NEW'!$B$19:$B$201),'Бланк OLD 0.8 04'!$B$12:$K$200,8,0)&gt;1,0.4,
IF(AND(VLOOKUP($A203-COUNT('Шаг2.Бланк заказа NEW'!$B$19:$B$201),'Бланк OLD 0.8 04'!$B$12:$K$200,7,0)&gt;0,VLOOKUP($A203-COUNT('Шаг2.Бланк заказа NEW'!$B$19:$B$201),'Бланк OLD 0.8 04'!$B$12:$K$200,8,0)&gt;0),0.4,"")))),
IF(VLOOKUP($A203-COUNT('Шаг2.Бланк заказа NEW'!$B$19:$B$201)-COUNT('Бланк OLD 0.8 04'!$B$18:$B$200),'Бланк OLD 2.0 04 '!$B$16:$K$200,7,0)&gt;1,2,
IF(VLOOKUP($A203-COUNT('Шаг2.Бланк заказа NEW'!$B$19:$B$201)-COUNT('Бланк OLD 0.8 04'!$B$18:$B$200),'Бланк OLD 2.0 04 '!$B$16:$K$200,8,0)&gt;1,0.4,
IF(AND(VLOOKUP($A203-COUNT('Шаг2.Бланк заказа NEW'!$B$19:$B$201)-COUNT('Бланк OLD 0.8 04'!$B$18:$B$200),'Бланк OLD 2.0 04 '!$B$16:$K$200,7,0)&gt;0,VLOOKUP($A203-COUNT('Шаг2.Бланк заказа NEW'!$B$19:$B$201)-COUNT('Бланк OLD 0.8 04'!$B$18:$B$200),'Бланк OLD 2.0 04 '!$B$16:$K$200,8,0)&gt;0),0.4,""))))</f>
        <v/>
      </c>
      <c r="V203" s="146" t="str">
        <f ca="1">IFERROR(VLOOKUP(C203,'Шаг1.Выбор плиты'!C:S,12,0),"")</f>
        <v/>
      </c>
      <c r="W203" s="146" t="str">
        <f ca="1">IFERROR(VLOOKUP(C203,'Шаг1.Выбор плиты'!C:S,8,0),"")</f>
        <v/>
      </c>
      <c r="X203" s="146" t="str">
        <f ca="1">IFERROR(VLOOKUP(C203,'Шаг1.Выбор плиты'!C:S,10,0),"")</f>
        <v/>
      </c>
      <c r="Y203" s="147" t="str">
        <f t="shared" ca="1" si="18"/>
        <v/>
      </c>
      <c r="AD203" s="147" t="str">
        <f t="shared" ca="1" si="16"/>
        <v/>
      </c>
      <c r="AE203" s="147" t="str">
        <f t="shared" ca="1" si="19"/>
        <v/>
      </c>
      <c r="AF203" s="25"/>
      <c r="AH203" s="147" t="str">
        <f ca="1">IF(C203="","",VLOOKUP(C203,'Шаг1.Выбор плиты'!C:Q,7,0))</f>
        <v/>
      </c>
      <c r="AI203" s="147" t="str">
        <f t="shared" ca="1" si="17"/>
        <v/>
      </c>
    </row>
    <row r="204" spans="1:35" x14ac:dyDescent="0.2">
      <c r="A204" s="151" t="str">
        <f ca="1">IF(C204="","",MAX($A$1:OFFSET(C204,-1,0))+1)</f>
        <v/>
      </c>
      <c r="B204" s="151" t="str">
        <f ca="1">IFERROR(IFERROR(IFERROR("Шаг2.Бланк заказа NEW №"&amp;VLOOKUP(A203+1,CHOOSE({1,2},'Шаг2.Бланк заказа NEW'!$B$19:$B$201,'Шаг2.Бланк заказа NEW'!$A$19:$A$201),1,0),
"Бланк OLD 0.8 04 №"&amp;VLOOKUP(A203+1-COUNT('Шаг2.Бланк заказа NEW'!$B$19:$B$201),CHOOSE({1,2},'Бланк OLD 0.8 04'!$B$18:$B$200,'Бланк OLD 0.8 04'!$A$18:$A$200),1,0)),
"Бланк OLD 2.0 04 №"&amp;VLOOKUP(A203+1-COUNT('Шаг2.Бланк заказа NEW'!$B$19:$B$201)-COUNT('Бланк OLD 0.8 04'!$B$18:$B$200),CHOOSE({1,2},'Бланк OLD 2.0 04 '!$B$18:$B$200,'Бланк OLD 2.0 04 '!$A$18:$A$200),1,0)),"")</f>
        <v/>
      </c>
      <c r="C204" s="152" t="str">
        <f ca="1">IFERROR(IFERROR(IFERROR(VLOOKUP(A203+1,CHOOSE({1,2},'Шаг2.Бланк заказа NEW'!$B$19:$B$201,'Шаг2.Бланк заказа NEW'!$A$19:$A$201),2,0),
VLOOKUP(A203+1-COUNT('Шаг2.Бланк заказа NEW'!$B$19:$B$201),CHOOSE({1,2},'Бланк OLD 0.8 04'!$B$18:$B$200,'Бланк OLD 0.8 04'!$A$18:$A$200),2,0)),
VLOOKUP(A203+1-COUNT('Шаг2.Бланк заказа NEW'!$B$19:$B$201)-COUNT('Бланк OLD 0.8 04'!$B$18:$B$200),CHOOSE({1,2},'Бланк OLD 2.0 04 '!$B$18:$B$200,'Бланк OLD 2.0 04 '!$A$18:$A$200),2,0)),"")</f>
        <v/>
      </c>
      <c r="D204" s="150" t="str">
        <f ca="1">IFERROR(VLOOKUP(C204,'Шаг1.Выбор плиты'!C:G,5,0),"")</f>
        <v/>
      </c>
      <c r="E204" s="147" t="str">
        <f ca="1">IFERROR(IFERROR(IF(VLOOKUP($A204,'Шаг2.Бланк заказа NEW'!$B$17:$N$201,2,0)="","",VLOOKUP($A204,'Шаг2.Бланк заказа NEW'!$B$17:$N$201,2,0)),
IF(VLOOKUP($A204-COUNT('Шаг2.Бланк заказа NEW'!$B$19:$B$201),'Бланк OLD 0.8 04'!$B$12:$K$200,2,0)="","",VLOOKUP($A204-COUNT('Шаг2.Бланк заказа NEW'!$B$19:$B$201),'Бланк OLD 0.8 04'!$B$12:$K$200,2,0))),
IF(VLOOKUP($A204-COUNT('Шаг2.Бланк заказа NEW'!$B$19:$B$201)-COUNT('Бланк OLD 0.8 04'!$B$18:$B$200),'Бланк OLD 2.0 04 '!$B$16:$K$200,2,0)="","",VLOOKUP($A204-COUNT('Шаг2.Бланк заказа NEW'!$B$19:$B$201)-COUNT('Бланк OLD 0.8 04'!$B$18:$B$200),'Бланк OLD 2.0 04 '!$B$16:$K$200,2,0)))</f>
        <v/>
      </c>
      <c r="F204" s="147" t="str">
        <f ca="1">IFERROR(IFERROR(IF(VLOOKUP($A204,'Шаг2.Бланк заказа NEW'!$B$17:$N$201,3,0)="","",VLOOKUP($A204,'Шаг2.Бланк заказа NEW'!$B$17:$N$201,3,0)),
IF(VLOOKUP($A204-COUNT('Шаг2.Бланк заказа NEW'!$B$19:$B$201),'Бланк OLD 0.8 04'!$B$12:$K$200,3,0)="","",VLOOKUP($A204-COUNT('Шаг2.Бланк заказа NEW'!$B$19:$B$201),'Бланк OLD 0.8 04'!$B$12:$K$200,3,0))),
IF(VLOOKUP($A204-COUNT('Шаг2.Бланк заказа NEW'!$B$19:$B$201)-COUNT('Бланк OLD 0.8 04'!$B$18:$B$200),'Бланк OLD 2.0 04 '!$B$16:$K$200,3,0)="","",VLOOKUP($A204-COUNT('Шаг2.Бланк заказа NEW'!$B$19:$B$201)-COUNT('Бланк OLD 0.8 04'!$B$18:$B$200),'Бланк OLD 2.0 04 '!$B$16:$K$200,3,0)))</f>
        <v/>
      </c>
      <c r="G204" s="176" t="str">
        <f ca="1">IF(IF(R204="","",IF(R204=1,SUMIFS('Шаг1.Выбор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плиты'!C:Q,12,0)),1))))))=0,
R204,
IF(R204="","",IF(R204=1,SUMIFS('Шаг1.Выбор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плиты'!N:N,R204,'Шаг1.Выбор плиты'!M:M,SMALL(INDIRECT("мм"&amp;VLOOKUP(C204,'Шаг1.Выбор плиты'!C:Q,12,0)),1)))))))</f>
        <v/>
      </c>
      <c r="H204" s="177" t="str">
        <f ca="1">IF(IF(S204="","",IF(S204=1,SUMIFS('Шаг1.Выбор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плиты'!C:Q,12,0)),1))))))=0,
S204,
IF(S204="","",IF(S204=1,SUMIFS('Шаг1.Выбор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плиты'!N:N,S204,'Шаг1.Выбор плиты'!M:M,SMALL(INDIRECT("мм"&amp;VLOOKUP(C204,'Шаг1.Выбор плиты'!C:Q,12,0)),1)))))))</f>
        <v/>
      </c>
      <c r="I204" s="147" t="str">
        <f ca="1">IFERROR(IFERROR(IF(VLOOKUP($A204,'Шаг2.Бланк заказа NEW'!$B$17:$N$201,6,0)="","",VLOOKUP($A204,'Шаг2.Бланк заказа NEW'!$B$17:$N$201,6,0)),
IF(VLOOKUP($A204-COUNT('Шаг2.Бланк заказа NEW'!$B$19:$B$201),'Бланк OLD 0.8 04'!$B$12:$K$200,6,0)="","",VLOOKUP($A204-COUNT('Шаг2.Бланк заказа NEW'!$B$19:$B$201),'Бланк OLD 0.8 04'!$B$12:$K$200,6,0))),
IF(VLOOKUP($A204-COUNT('Шаг2.Бланк заказа NEW'!$B$19:$B$201)-COUNT('Бланк OLD 0.8 04'!$B$18:$B$200),'Бланк OLD 2.0 04 '!$B$16:$K$200,6,0)="","",VLOOKUP($A204-COUNT('Шаг2.Бланк заказа NEW'!$B$19:$B$201)-COUNT('Бланк OLD 0.8 04'!$B$18:$B$200),'Бланк OLD 2.0 04 '!$B$16:$K$200,6,0)))</f>
        <v/>
      </c>
      <c r="J204" s="177" t="str">
        <f ca="1">IF(IF(T204="","",IF(T204=1,SUMIFS('Шаг1.Выбор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плиты'!C:Q,12,0)),1))))))=0,
T204,
IF(T204="","",IF(T204=1,SUMIFS('Шаг1.Выбор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плиты'!N:N,T204,'Шаг1.Выбор плиты'!M:M,SMALL(INDIRECT("мм"&amp;VLOOKUP(C204,'Шаг1.Выбор плиты'!C:Q,12,0)),1)))))))</f>
        <v/>
      </c>
      <c r="K204" s="177" t="str">
        <f ca="1">IF(IF(U204="","",IF(U204=1,SUMIFS('Шаг1.Выбор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плиты'!C:Q,12,0)),1))))))=0,
U204,
IF(U204="","",IF(U204=1,SUMIFS('Шаг1.Выбор плиты'!$G:$G,'Шаг1.Выбор плиты'!J:J,"*"&amp;RIGHT(VLOOKUP(C204,'Шаг1.Выбор плиты'!C:Q,8,0),4),'Шаг1.Выбор плиты'!L:L,IF(MID(C204,1,6)="ЛДСП P","TM"&amp;MID(VLOOKUP(C204,'Шаг1.Выбор плиты'!C:Q,10,0),3,2),MID(VLOOKUP(C204,'Шаг1.Выбор плиты'!C:Q,10,0),1,2)),
'Шаг1.Выбор плиты'!N:N,1),IF(SUMIFS('Шаг1.Выбор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плиты'!C:Q,12,0)),1))=0,
IF(SUMIFS('Шаг1.Выбор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плиты'!C:Q,12,0)),2))=0,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плиты'!C:Q,12,0)),3)),
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плиты'!C:Q,12,0)),2))),
(SUMIFS('Шаг1.Выбор плиты'!$G:$G,'Шаг1.Выбор плиты'!J:J,"*"&amp;RIGHT(VLOOKUP(C204,'Шаг1.Выбор плиты'!C:Q,8,0),4),'Шаг1.Выбор плиты'!L:L,VLOOKUP(C204,'Шаг1.Выбор плиты'!C:Q,10,0),'Шаг1.Выбор плиты'!N:N,U204,'Шаг1.Выбор плиты'!M:M,SMALL(INDIRECT("мм"&amp;VLOOKUP(C204,'Шаг1.Выбор плиты'!C:Q,12,0)),1)))))))</f>
        <v/>
      </c>
      <c r="L204" s="147" t="str">
        <f ca="1">IFERROR(IFERROR(IF(VLOOKUP($A204,'Шаг2.Бланк заказа NEW'!$B$17:$N$201,9,0)="","",VLOOKUP($A204,'Шаг2.Бланк заказа NEW'!$B$17:$N$201,9,0)),
IF(VLOOKUP($A204-COUNT('Шаг2.Бланк заказа NEW'!$B$19:$B$201),'Бланк OLD 0.8 04'!$B$12:$K$200,9,0)="","",VLOOKUP($A204-COUNT('Шаг2.Бланк заказа NEW'!$B$19:$B$201),'Бланк OLD 0.8 04'!$B$12:$K$200,9,0))),
IF(VLOOKUP($A204-COUNT('Шаг2.Бланк заказа NEW'!$B$19:$B$201)-COUNT('Бланк OLD 0.8 04'!$B$18:$B$200),'Бланк OLD 2.0 04 '!$B$16:$K$200,9,0)="","",VLOOKUP($A204-COUNT('Шаг2.Бланк заказа NEW'!$B$19:$B$201)-COUNT('Бланк OLD 0.8 04'!$B$18:$B$200),'Бланк OLD 2.0 04 '!$B$16:$K$200,9,0)))</f>
        <v/>
      </c>
      <c r="M204" s="154" t="str">
        <f t="shared" ca="1" si="15"/>
        <v/>
      </c>
      <c r="N204" s="153" t="str">
        <f ca="1">IFERROR(IF(VLOOKUP($A204,'Шаг2.Бланк заказа NEW'!$B$17:$N$201,11,0)="","",VLOOKUP($A204,'Шаг2.Бланк заказа NEW'!$B$17:$N$201,11,0)),
"Нет")</f>
        <v/>
      </c>
      <c r="O204" s="147" t="str">
        <f ca="1">IFERROR(IF(VLOOKUP($A204,'Шаг2.Бланк заказа NEW'!$B$17:$N$201,11,0)="","",VLOOKUP($A204,'Шаг2.Бланк заказа NEW'!$B$17:$N$201,12,0)),
"Нет")</f>
        <v/>
      </c>
      <c r="P204" s="153" t="str">
        <f ca="1">IFERROR(IF(VLOOKUP($A204,'Шаг2.Бланк заказа NEW'!$B$17:$N$201,13,0)="","",VLOOKUP($A204,'Шаг2.Бланк заказа NEW'!$B$17:$N$201,13,0)),
"Нет")</f>
        <v/>
      </c>
      <c r="Q204" s="147" t="str">
        <f ca="1">IFERROR(IF(VLOOKUP($A204,'Шаг2.Бланк заказа NEW'!$B$17:$O$201,14,0)="","",VLOOKUP($A204,'Шаг2.Бланк заказа NEW'!$B$17:$O$201,14,0)),"")</f>
        <v/>
      </c>
      <c r="R204" s="147" t="str">
        <f ca="1">IFERROR(IFERROR(IF(VLOOKUP($A204,'Шаг2.Бланк заказа NEW'!$B$17:$N$201,4,0)="","",VLOOKUP($A204,'Шаг2.Бланк заказа NEW'!$B$17:$N$201,4,0)),
IF(VLOOKUP($A204-COUNT('Шаг2.Бланк заказа NEW'!$B$19:$B$201),'Бланк OLD 0.8 04'!$B$12:$K$200,4,0)&gt;0,0.8,
IF(VLOOKUP($A204-COUNT('Шаг2.Бланк заказа NEW'!$B$19:$B$201),'Бланк OLD 0.8 04'!$B$12:$K$200,5,0)&gt;0,0.4,""))),
IF(VLOOKUP($A204-COUNT('Шаг2.Бланк заказа NEW'!$B$19:$B$201)-COUNT('Бланк OLD 0.8 04'!$B$18:$B$200),'Бланк OLD 2.0 04 '!$B$16:$K$200,4,0)&gt;0,2,IF(VLOOKUP($A204-COUNT('Шаг2.Бланк заказа NEW'!$B$19:$B$201)-COUNT('Бланк OLD 0.8 04'!$B$18:$B$200),'Бланк OLD 2.0 04 '!$B$16:$K$200,5,0)&gt;0,0.4,"")))</f>
        <v/>
      </c>
      <c r="S204" s="147" t="str">
        <f ca="1">IFERROR(IFERROR(IF(VLOOKUP($A204,'Шаг2.Бланк заказа NEW'!$B$17:$N$201,5,0)="","",VLOOKUP($A204,'Шаг2.Бланк заказа NEW'!$B$17:$N$201,5,0)),
IF(VLOOKUP($A204-COUNT('Шаг2.Бланк заказа NEW'!$B$19:$B$201),'Бланк OLD 0.8 04'!$B$12:$K$200,4,0)&gt;1,0.8,
IF(VLOOKUP($A204-COUNT('Шаг2.Бланк заказа NEW'!$B$19:$B$201),'Бланк OLD 0.8 04'!$B$12:$K$200,5,0)&gt;1,0.4,
IF(AND(VLOOKUP($A204-COUNT('Шаг2.Бланк заказа NEW'!$B$19:$B$201),'Бланк OLD 0.8 04'!$B$12:$K$200,4,0)&gt;0,VLOOKUP($A204-COUNT('Шаг2.Бланк заказа NEW'!$B$19:$B$201),'Бланк OLD 0.8 04'!$B$12:$K$200,5,0)&gt;0),0.4,"")))),
IF(VLOOKUP($A204-COUNT('Шаг2.Бланк заказа NEW'!$B$19:$B$201)-COUNT('Бланк OLD 0.8 04'!$B$18:$B$200),'Бланк OLD 2.0 04 '!$B$16:$K$200,4,0)&gt;1,2,
IF(VLOOKUP($A204-COUNT('Шаг2.Бланк заказа NEW'!$B$19:$B$201)-COUNT('Бланк OLD 0.8 04'!$B$18:$B$200),'Бланк OLD 2.0 04 '!$B$16:$K$200,5,0)&gt;1,0.4,IF(AND(VLOOKUP($A204-COUNT('Шаг2.Бланк заказа NEW'!$B$19:$B$201)-COUNT('Бланк OLD 0.8 04'!$B$18:$B$200),'Бланк OLD 2.0 04 '!$B$16:$K$200,4,0)&gt;0,VLOOKUP($A204-COUNT('Шаг2.Бланк заказа NEW'!$B$19:$B$201)-COUNT('Бланк OLD 0.8 04'!$B$18:$B$200),'Бланк OLD 2.0 04 '!$B$16:$K$200,5,0)&gt;0),0.4,""))))</f>
        <v/>
      </c>
      <c r="T204" s="147" t="str">
        <f ca="1">IFERROR(IFERROR(IF(VLOOKUP($A204,'Шаг2.Бланк заказа NEW'!$B$17:$N$201,7,0)="","",VLOOKUP($A204,'Шаг2.Бланк заказа NEW'!$B$17:$N$201,7,0)),
IF(VLOOKUP($A204-COUNT('Шаг2.Бланк заказа NEW'!$B$19:$B$201),'Бланк OLD 0.8 04'!$B$12:$K$200,7,0)&gt;0,0.8,
IF(VLOOKUP($A204-COUNT('Шаг2.Бланк заказа NEW'!$B$19:$B$201),'Бланк OLD 0.8 04'!$B$12:$K$200,8,0)&gt;0,0.4,""))),
IF(VLOOKUP($A204-COUNT('Шаг2.Бланк заказа NEW'!$B$19:$B$201)-COUNT('Бланк OLD 0.8 04'!$B$18:$B$200),'Бланк OLD 2.0 04 '!$B$16:$K$200,7,0)&gt;0,2,IF(VLOOKUP($A204-COUNT('Шаг2.Бланк заказа NEW'!$B$19:$B$201)-COUNT('Бланк OLD 0.8 04'!$B$18:$B$200),'Бланк OLD 2.0 04 '!$B$16:$K$200,8,0)&gt;0,0.4,"")))</f>
        <v/>
      </c>
      <c r="U204" s="147" t="str">
        <f ca="1">IFERROR(IFERROR(IF(VLOOKUP($A204,'Шаг2.Бланк заказа NEW'!$B$17:$N$201,8,0)="","",VLOOKUP($A204,'Шаг2.Бланк заказа NEW'!$B$17:$N$201,8,0)),
IF(VLOOKUP($A204-COUNT('Шаг2.Бланк заказа NEW'!$B$19:$B$201),'Бланк OLD 0.8 04'!$B$12:$K$200,7,0)&gt;1,0.8,
IF(VLOOKUP($A204-COUNT('Шаг2.Бланк заказа NEW'!$B$19:$B$201),'Бланк OLD 0.8 04'!$B$12:$K$200,8,0)&gt;1,0.4,
IF(AND(VLOOKUP($A204-COUNT('Шаг2.Бланк заказа NEW'!$B$19:$B$201),'Бланк OLD 0.8 04'!$B$12:$K$200,7,0)&gt;0,VLOOKUP($A204-COUNT('Шаг2.Бланк заказа NEW'!$B$19:$B$201),'Бланк OLD 0.8 04'!$B$12:$K$200,8,0)&gt;0),0.4,"")))),
IF(VLOOKUP($A204-COUNT('Шаг2.Бланк заказа NEW'!$B$19:$B$201)-COUNT('Бланк OLD 0.8 04'!$B$18:$B$200),'Бланк OLD 2.0 04 '!$B$16:$K$200,7,0)&gt;1,2,
IF(VLOOKUP($A204-COUNT('Шаг2.Бланк заказа NEW'!$B$19:$B$201)-COUNT('Бланк OLD 0.8 04'!$B$18:$B$200),'Бланк OLD 2.0 04 '!$B$16:$K$200,8,0)&gt;1,0.4,
IF(AND(VLOOKUP($A204-COUNT('Шаг2.Бланк заказа NEW'!$B$19:$B$201)-COUNT('Бланк OLD 0.8 04'!$B$18:$B$200),'Бланк OLD 2.0 04 '!$B$16:$K$200,7,0)&gt;0,VLOOKUP($A204-COUNT('Шаг2.Бланк заказа NEW'!$B$19:$B$201)-COUNT('Бланк OLD 0.8 04'!$B$18:$B$200),'Бланк OLD 2.0 04 '!$B$16:$K$200,8,0)&gt;0),0.4,""))))</f>
        <v/>
      </c>
      <c r="V204" s="146" t="str">
        <f ca="1">IFERROR(VLOOKUP(C204,'Шаг1.Выбор плиты'!C:S,12,0),"")</f>
        <v/>
      </c>
      <c r="W204" s="146" t="str">
        <f ca="1">IFERROR(VLOOKUP(C204,'Шаг1.Выбор плиты'!C:S,8,0),"")</f>
        <v/>
      </c>
      <c r="X204" s="146" t="str">
        <f ca="1">IFERROR(VLOOKUP(C204,'Шаг1.Выбор плиты'!C:S,10,0),"")</f>
        <v/>
      </c>
      <c r="Y204" s="147" t="str">
        <f t="shared" ca="1" si="18"/>
        <v/>
      </c>
      <c r="AD204" s="147" t="str">
        <f t="shared" ca="1" si="16"/>
        <v/>
      </c>
      <c r="AE204" s="147" t="str">
        <f t="shared" ca="1" si="19"/>
        <v/>
      </c>
      <c r="AF204" s="25"/>
      <c r="AH204" s="147" t="str">
        <f ca="1">IF(C204="","",VLOOKUP(C204,'Шаг1.Выбор плиты'!C:Q,7,0))</f>
        <v/>
      </c>
      <c r="AI204" s="147" t="str">
        <f t="shared" ca="1" si="17"/>
        <v/>
      </c>
    </row>
    <row r="205" spans="1:35" x14ac:dyDescent="0.2">
      <c r="A205" s="151" t="str">
        <f ca="1">IF(C205="","",MAX($A$1:OFFSET(C205,-1,0))+1)</f>
        <v/>
      </c>
      <c r="B205" s="151" t="str">
        <f ca="1">IFERROR(IFERROR(IFERROR("Шаг2.Бланк заказа NEW №"&amp;VLOOKUP(A204+1,CHOOSE({1,2},'Шаг2.Бланк заказа NEW'!$B$19:$B$201,'Шаг2.Бланк заказа NEW'!$A$19:$A$201),1,0),
"Бланк OLD 0.8 04 №"&amp;VLOOKUP(A204+1-COUNT('Шаг2.Бланк заказа NEW'!$B$19:$B$201),CHOOSE({1,2},'Бланк OLD 0.8 04'!$B$18:$B$200,'Бланк OLD 0.8 04'!$A$18:$A$200),1,0)),
"Бланк OLD 2.0 04 №"&amp;VLOOKUP(A204+1-COUNT('Шаг2.Бланк заказа NEW'!$B$19:$B$201)-COUNT('Бланк OLD 0.8 04'!$B$18:$B$200),CHOOSE({1,2},'Бланк OLD 2.0 04 '!$B$18:$B$200,'Бланк OLD 2.0 04 '!$A$18:$A$200),1,0)),"")</f>
        <v/>
      </c>
      <c r="C205" s="152" t="str">
        <f ca="1">IFERROR(IFERROR(IFERROR(VLOOKUP(A204+1,CHOOSE({1,2},'Шаг2.Бланк заказа NEW'!$B$19:$B$201,'Шаг2.Бланк заказа NEW'!$A$19:$A$201),2,0),
VLOOKUP(A204+1-COUNT('Шаг2.Бланк заказа NEW'!$B$19:$B$201),CHOOSE({1,2},'Бланк OLD 0.8 04'!$B$18:$B$200,'Бланк OLD 0.8 04'!$A$18:$A$200),2,0)),
VLOOKUP(A204+1-COUNT('Шаг2.Бланк заказа NEW'!$B$19:$B$201)-COUNT('Бланк OLD 0.8 04'!$B$18:$B$200),CHOOSE({1,2},'Бланк OLD 2.0 04 '!$B$18:$B$200,'Бланк OLD 2.0 04 '!$A$18:$A$200),2,0)),"")</f>
        <v/>
      </c>
      <c r="D205" s="150" t="str">
        <f ca="1">IFERROR(VLOOKUP(C205,'Шаг1.Выбор плиты'!C:G,5,0),"")</f>
        <v/>
      </c>
      <c r="E205" s="147" t="str">
        <f ca="1">IFERROR(IFERROR(IF(VLOOKUP($A205,'Шаг2.Бланк заказа NEW'!$B$17:$N$201,2,0)="","",VLOOKUP($A205,'Шаг2.Бланк заказа NEW'!$B$17:$N$201,2,0)),
IF(VLOOKUP($A205-COUNT('Шаг2.Бланк заказа NEW'!$B$19:$B$201),'Бланк OLD 0.8 04'!$B$12:$K$200,2,0)="","",VLOOKUP($A205-COUNT('Шаг2.Бланк заказа NEW'!$B$19:$B$201),'Бланк OLD 0.8 04'!$B$12:$K$200,2,0))),
IF(VLOOKUP($A205-COUNT('Шаг2.Бланк заказа NEW'!$B$19:$B$201)-COUNT('Бланк OLD 0.8 04'!$B$18:$B$200),'Бланк OLD 2.0 04 '!$B$16:$K$200,2,0)="","",VLOOKUP($A205-COUNT('Шаг2.Бланк заказа NEW'!$B$19:$B$201)-COUNT('Бланк OLD 0.8 04'!$B$18:$B$200),'Бланк OLD 2.0 04 '!$B$16:$K$200,2,0)))</f>
        <v/>
      </c>
      <c r="F205" s="147" t="str">
        <f ca="1">IFERROR(IFERROR(IF(VLOOKUP($A205,'Шаг2.Бланк заказа NEW'!$B$17:$N$201,3,0)="","",VLOOKUP($A205,'Шаг2.Бланк заказа NEW'!$B$17:$N$201,3,0)),
IF(VLOOKUP($A205-COUNT('Шаг2.Бланк заказа NEW'!$B$19:$B$201),'Бланк OLD 0.8 04'!$B$12:$K$200,3,0)="","",VLOOKUP($A205-COUNT('Шаг2.Бланк заказа NEW'!$B$19:$B$201),'Бланк OLD 0.8 04'!$B$12:$K$200,3,0))),
IF(VLOOKUP($A205-COUNT('Шаг2.Бланк заказа NEW'!$B$19:$B$201)-COUNT('Бланк OLD 0.8 04'!$B$18:$B$200),'Бланк OLD 2.0 04 '!$B$16:$K$200,3,0)="","",VLOOKUP($A205-COUNT('Шаг2.Бланк заказа NEW'!$B$19:$B$201)-COUNT('Бланк OLD 0.8 04'!$B$18:$B$200),'Бланк OLD 2.0 04 '!$B$16:$K$200,3,0)))</f>
        <v/>
      </c>
      <c r="G205" s="176" t="str">
        <f ca="1">IF(IF(R205="","",IF(R205=1,SUMIFS('Шаг1.Выбор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плиты'!C:Q,12,0)),1))))))=0,
R205,
IF(R205="","",IF(R205=1,SUMIFS('Шаг1.Выбор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плиты'!N:N,R205,'Шаг1.Выбор плиты'!M:M,SMALL(INDIRECT("мм"&amp;VLOOKUP(C205,'Шаг1.Выбор плиты'!C:Q,12,0)),1)))))))</f>
        <v/>
      </c>
      <c r="H205" s="177" t="str">
        <f ca="1">IF(IF(S205="","",IF(S205=1,SUMIFS('Шаг1.Выбор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плиты'!C:Q,12,0)),1))))))=0,
S205,
IF(S205="","",IF(S205=1,SUMIFS('Шаг1.Выбор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плиты'!N:N,S205,'Шаг1.Выбор плиты'!M:M,SMALL(INDIRECT("мм"&amp;VLOOKUP(C205,'Шаг1.Выбор плиты'!C:Q,12,0)),1)))))))</f>
        <v/>
      </c>
      <c r="I205" s="147" t="str">
        <f ca="1">IFERROR(IFERROR(IF(VLOOKUP($A205,'Шаг2.Бланк заказа NEW'!$B$17:$N$201,6,0)="","",VLOOKUP($A205,'Шаг2.Бланк заказа NEW'!$B$17:$N$201,6,0)),
IF(VLOOKUP($A205-COUNT('Шаг2.Бланк заказа NEW'!$B$19:$B$201),'Бланк OLD 0.8 04'!$B$12:$K$200,6,0)="","",VLOOKUP($A205-COUNT('Шаг2.Бланк заказа NEW'!$B$19:$B$201),'Бланк OLD 0.8 04'!$B$12:$K$200,6,0))),
IF(VLOOKUP($A205-COUNT('Шаг2.Бланк заказа NEW'!$B$19:$B$201)-COUNT('Бланк OLD 0.8 04'!$B$18:$B$200),'Бланк OLD 2.0 04 '!$B$16:$K$200,6,0)="","",VLOOKUP($A205-COUNT('Шаг2.Бланк заказа NEW'!$B$19:$B$201)-COUNT('Бланк OLD 0.8 04'!$B$18:$B$200),'Бланк OLD 2.0 04 '!$B$16:$K$200,6,0)))</f>
        <v/>
      </c>
      <c r="J205" s="177" t="str">
        <f ca="1">IF(IF(T205="","",IF(T205=1,SUMIFS('Шаг1.Выбор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плиты'!C:Q,12,0)),1))))))=0,
T205,
IF(T205="","",IF(T205=1,SUMIFS('Шаг1.Выбор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плиты'!N:N,T205,'Шаг1.Выбор плиты'!M:M,SMALL(INDIRECT("мм"&amp;VLOOKUP(C205,'Шаг1.Выбор плиты'!C:Q,12,0)),1)))))))</f>
        <v/>
      </c>
      <c r="K205" s="177" t="str">
        <f ca="1">IF(IF(U205="","",IF(U205=1,SUMIFS('Шаг1.Выбор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плиты'!C:Q,12,0)),1))))))=0,
U205,
IF(U205="","",IF(U205=1,SUMIFS('Шаг1.Выбор плиты'!$G:$G,'Шаг1.Выбор плиты'!J:J,"*"&amp;RIGHT(VLOOKUP(C205,'Шаг1.Выбор плиты'!C:Q,8,0),4),'Шаг1.Выбор плиты'!L:L,IF(MID(C205,1,6)="ЛДСП P","TM"&amp;MID(VLOOKUP(C205,'Шаг1.Выбор плиты'!C:Q,10,0),3,2),MID(VLOOKUP(C205,'Шаг1.Выбор плиты'!C:Q,10,0),1,2)),
'Шаг1.Выбор плиты'!N:N,1),IF(SUMIFS('Шаг1.Выбор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плиты'!C:Q,12,0)),1))=0,
IF(SUMIFS('Шаг1.Выбор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плиты'!C:Q,12,0)),2))=0,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плиты'!C:Q,12,0)),3)),
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плиты'!C:Q,12,0)),2))),
(SUMIFS('Шаг1.Выбор плиты'!$G:$G,'Шаг1.Выбор плиты'!J:J,"*"&amp;RIGHT(VLOOKUP(C205,'Шаг1.Выбор плиты'!C:Q,8,0),4),'Шаг1.Выбор плиты'!L:L,VLOOKUP(C205,'Шаг1.Выбор плиты'!C:Q,10,0),'Шаг1.Выбор плиты'!N:N,U205,'Шаг1.Выбор плиты'!M:M,SMALL(INDIRECT("мм"&amp;VLOOKUP(C205,'Шаг1.Выбор плиты'!C:Q,12,0)),1)))))))</f>
        <v/>
      </c>
      <c r="L205" s="147" t="str">
        <f ca="1">IFERROR(IFERROR(IF(VLOOKUP($A205,'Шаг2.Бланк заказа NEW'!$B$17:$N$201,9,0)="","",VLOOKUP($A205,'Шаг2.Бланк заказа NEW'!$B$17:$N$201,9,0)),
IF(VLOOKUP($A205-COUNT('Шаг2.Бланк заказа NEW'!$B$19:$B$201),'Бланк OLD 0.8 04'!$B$12:$K$200,9,0)="","",VLOOKUP($A205-COUNT('Шаг2.Бланк заказа NEW'!$B$19:$B$201),'Бланк OLD 0.8 04'!$B$12:$K$200,9,0))),
IF(VLOOKUP($A205-COUNT('Шаг2.Бланк заказа NEW'!$B$19:$B$201)-COUNT('Бланк OLD 0.8 04'!$B$18:$B$200),'Бланк OLD 2.0 04 '!$B$16:$K$200,9,0)="","",VLOOKUP($A205-COUNT('Шаг2.Бланк заказа NEW'!$B$19:$B$201)-COUNT('Бланк OLD 0.8 04'!$B$18:$B$200),'Бланк OLD 2.0 04 '!$B$16:$K$200,9,0)))</f>
        <v/>
      </c>
      <c r="M205" s="154" t="str">
        <f t="shared" ca="1" si="15"/>
        <v/>
      </c>
      <c r="N205" s="153" t="str">
        <f ca="1">IFERROR(IF(VLOOKUP($A205,'Шаг2.Бланк заказа NEW'!$B$17:$N$201,11,0)="","",VLOOKUP($A205,'Шаг2.Бланк заказа NEW'!$B$17:$N$201,11,0)),
"Нет")</f>
        <v/>
      </c>
      <c r="O205" s="147" t="str">
        <f ca="1">IFERROR(IF(VLOOKUP($A205,'Шаг2.Бланк заказа NEW'!$B$17:$N$201,11,0)="","",VLOOKUP($A205,'Шаг2.Бланк заказа NEW'!$B$17:$N$201,12,0)),
"Нет")</f>
        <v/>
      </c>
      <c r="P205" s="153" t="str">
        <f ca="1">IFERROR(IF(VLOOKUP($A205,'Шаг2.Бланк заказа NEW'!$B$17:$N$201,13,0)="","",VLOOKUP($A205,'Шаг2.Бланк заказа NEW'!$B$17:$N$201,13,0)),
"Нет")</f>
        <v/>
      </c>
      <c r="Q205" s="147" t="str">
        <f ca="1">IFERROR(IF(VLOOKUP($A205,'Шаг2.Бланк заказа NEW'!$B$17:$O$201,14,0)="","",VLOOKUP($A205,'Шаг2.Бланк заказа NEW'!$B$17:$O$201,14,0)),"")</f>
        <v/>
      </c>
      <c r="R205" s="147" t="str">
        <f ca="1">IFERROR(IFERROR(IF(VLOOKUP($A205,'Шаг2.Бланк заказа NEW'!$B$17:$N$201,4,0)="","",VLOOKUP($A205,'Шаг2.Бланк заказа NEW'!$B$17:$N$201,4,0)),
IF(VLOOKUP($A205-COUNT('Шаг2.Бланк заказа NEW'!$B$19:$B$201),'Бланк OLD 0.8 04'!$B$12:$K$200,4,0)&gt;0,0.8,
IF(VLOOKUP($A205-COUNT('Шаг2.Бланк заказа NEW'!$B$19:$B$201),'Бланк OLD 0.8 04'!$B$12:$K$200,5,0)&gt;0,0.4,""))),
IF(VLOOKUP($A205-COUNT('Шаг2.Бланк заказа NEW'!$B$19:$B$201)-COUNT('Бланк OLD 0.8 04'!$B$18:$B$200),'Бланк OLD 2.0 04 '!$B$16:$K$200,4,0)&gt;0,2,IF(VLOOKUP($A205-COUNT('Шаг2.Бланк заказа NEW'!$B$19:$B$201)-COUNT('Бланк OLD 0.8 04'!$B$18:$B$200),'Бланк OLD 2.0 04 '!$B$16:$K$200,5,0)&gt;0,0.4,"")))</f>
        <v/>
      </c>
      <c r="S205" s="147" t="str">
        <f ca="1">IFERROR(IFERROR(IF(VLOOKUP($A205,'Шаг2.Бланк заказа NEW'!$B$17:$N$201,5,0)="","",VLOOKUP($A205,'Шаг2.Бланк заказа NEW'!$B$17:$N$201,5,0)),
IF(VLOOKUP($A205-COUNT('Шаг2.Бланк заказа NEW'!$B$19:$B$201),'Бланк OLD 0.8 04'!$B$12:$K$200,4,0)&gt;1,0.8,
IF(VLOOKUP($A205-COUNT('Шаг2.Бланк заказа NEW'!$B$19:$B$201),'Бланк OLD 0.8 04'!$B$12:$K$200,5,0)&gt;1,0.4,
IF(AND(VLOOKUP($A205-COUNT('Шаг2.Бланк заказа NEW'!$B$19:$B$201),'Бланк OLD 0.8 04'!$B$12:$K$200,4,0)&gt;0,VLOOKUP($A205-COUNT('Шаг2.Бланк заказа NEW'!$B$19:$B$201),'Бланк OLD 0.8 04'!$B$12:$K$200,5,0)&gt;0),0.4,"")))),
IF(VLOOKUP($A205-COUNT('Шаг2.Бланк заказа NEW'!$B$19:$B$201)-COUNT('Бланк OLD 0.8 04'!$B$18:$B$200),'Бланк OLD 2.0 04 '!$B$16:$K$200,4,0)&gt;1,2,
IF(VLOOKUP($A205-COUNT('Шаг2.Бланк заказа NEW'!$B$19:$B$201)-COUNT('Бланк OLD 0.8 04'!$B$18:$B$200),'Бланк OLD 2.0 04 '!$B$16:$K$200,5,0)&gt;1,0.4,IF(AND(VLOOKUP($A205-COUNT('Шаг2.Бланк заказа NEW'!$B$19:$B$201)-COUNT('Бланк OLD 0.8 04'!$B$18:$B$200),'Бланк OLD 2.0 04 '!$B$16:$K$200,4,0)&gt;0,VLOOKUP($A205-COUNT('Шаг2.Бланк заказа NEW'!$B$19:$B$201)-COUNT('Бланк OLD 0.8 04'!$B$18:$B$200),'Бланк OLD 2.0 04 '!$B$16:$K$200,5,0)&gt;0),0.4,""))))</f>
        <v/>
      </c>
      <c r="T205" s="147" t="str">
        <f ca="1">IFERROR(IFERROR(IF(VLOOKUP($A205,'Шаг2.Бланк заказа NEW'!$B$17:$N$201,7,0)="","",VLOOKUP($A205,'Шаг2.Бланк заказа NEW'!$B$17:$N$201,7,0)),
IF(VLOOKUP($A205-COUNT('Шаг2.Бланк заказа NEW'!$B$19:$B$201),'Бланк OLD 0.8 04'!$B$12:$K$200,7,0)&gt;0,0.8,
IF(VLOOKUP($A205-COUNT('Шаг2.Бланк заказа NEW'!$B$19:$B$201),'Бланк OLD 0.8 04'!$B$12:$K$200,8,0)&gt;0,0.4,""))),
IF(VLOOKUP($A205-COUNT('Шаг2.Бланк заказа NEW'!$B$19:$B$201)-COUNT('Бланк OLD 0.8 04'!$B$18:$B$200),'Бланк OLD 2.0 04 '!$B$16:$K$200,7,0)&gt;0,2,IF(VLOOKUP($A205-COUNT('Шаг2.Бланк заказа NEW'!$B$19:$B$201)-COUNT('Бланк OLD 0.8 04'!$B$18:$B$200),'Бланк OLD 2.0 04 '!$B$16:$K$200,8,0)&gt;0,0.4,"")))</f>
        <v/>
      </c>
      <c r="U205" s="147" t="str">
        <f ca="1">IFERROR(IFERROR(IF(VLOOKUP($A205,'Шаг2.Бланк заказа NEW'!$B$17:$N$201,8,0)="","",VLOOKUP($A205,'Шаг2.Бланк заказа NEW'!$B$17:$N$201,8,0)),
IF(VLOOKUP($A205-COUNT('Шаг2.Бланк заказа NEW'!$B$19:$B$201),'Бланк OLD 0.8 04'!$B$12:$K$200,7,0)&gt;1,0.8,
IF(VLOOKUP($A205-COUNT('Шаг2.Бланк заказа NEW'!$B$19:$B$201),'Бланк OLD 0.8 04'!$B$12:$K$200,8,0)&gt;1,0.4,
IF(AND(VLOOKUP($A205-COUNT('Шаг2.Бланк заказа NEW'!$B$19:$B$201),'Бланк OLD 0.8 04'!$B$12:$K$200,7,0)&gt;0,VLOOKUP($A205-COUNT('Шаг2.Бланк заказа NEW'!$B$19:$B$201),'Бланк OLD 0.8 04'!$B$12:$K$200,8,0)&gt;0),0.4,"")))),
IF(VLOOKUP($A205-COUNT('Шаг2.Бланк заказа NEW'!$B$19:$B$201)-COUNT('Бланк OLD 0.8 04'!$B$18:$B$200),'Бланк OLD 2.0 04 '!$B$16:$K$200,7,0)&gt;1,2,
IF(VLOOKUP($A205-COUNT('Шаг2.Бланк заказа NEW'!$B$19:$B$201)-COUNT('Бланк OLD 0.8 04'!$B$18:$B$200),'Бланк OLD 2.0 04 '!$B$16:$K$200,8,0)&gt;1,0.4,
IF(AND(VLOOKUP($A205-COUNT('Шаг2.Бланк заказа NEW'!$B$19:$B$201)-COUNT('Бланк OLD 0.8 04'!$B$18:$B$200),'Бланк OLD 2.0 04 '!$B$16:$K$200,7,0)&gt;0,VLOOKUP($A205-COUNT('Шаг2.Бланк заказа NEW'!$B$19:$B$201)-COUNT('Бланк OLD 0.8 04'!$B$18:$B$200),'Бланк OLD 2.0 04 '!$B$16:$K$200,8,0)&gt;0),0.4,""))))</f>
        <v/>
      </c>
      <c r="V205" s="146" t="str">
        <f ca="1">IFERROR(VLOOKUP(C205,'Шаг1.Выбор плиты'!C:S,12,0),"")</f>
        <v/>
      </c>
      <c r="W205" s="146" t="str">
        <f ca="1">IFERROR(VLOOKUP(C205,'Шаг1.Выбор плиты'!C:S,8,0),"")</f>
        <v/>
      </c>
      <c r="X205" s="146" t="str">
        <f ca="1">IFERROR(VLOOKUP(C205,'Шаг1.Выбор плиты'!C:S,10,0),"")</f>
        <v/>
      </c>
      <c r="Y205" s="147" t="str">
        <f t="shared" ca="1" si="18"/>
        <v/>
      </c>
      <c r="AD205" s="147" t="str">
        <f t="shared" ca="1" si="16"/>
        <v/>
      </c>
      <c r="AE205" s="147" t="str">
        <f t="shared" ca="1" si="19"/>
        <v/>
      </c>
      <c r="AF205" s="25"/>
      <c r="AH205" s="147" t="str">
        <f ca="1">IF(C205="","",VLOOKUP(C205,'Шаг1.Выбор плиты'!C:Q,7,0))</f>
        <v/>
      </c>
      <c r="AI205" s="147" t="str">
        <f t="shared" ca="1" si="17"/>
        <v/>
      </c>
    </row>
    <row r="206" spans="1:35" x14ac:dyDescent="0.2">
      <c r="A206" s="151" t="str">
        <f ca="1">IF(C206="","",MAX($A$1:OFFSET(C206,-1,0))+1)</f>
        <v/>
      </c>
      <c r="B206" s="151" t="str">
        <f ca="1">IFERROR(IFERROR(IFERROR("Шаг2.Бланк заказа NEW №"&amp;VLOOKUP(A205+1,CHOOSE({1,2},'Шаг2.Бланк заказа NEW'!$B$19:$B$201,'Шаг2.Бланк заказа NEW'!$A$19:$A$201),1,0),
"Бланк OLD 0.8 04 №"&amp;VLOOKUP(A205+1-COUNT('Шаг2.Бланк заказа NEW'!$B$19:$B$201),CHOOSE({1,2},'Бланк OLD 0.8 04'!$B$18:$B$200,'Бланк OLD 0.8 04'!$A$18:$A$200),1,0)),
"Бланк OLD 2.0 04 №"&amp;VLOOKUP(A205+1-COUNT('Шаг2.Бланк заказа NEW'!$B$19:$B$201)-COUNT('Бланк OLD 0.8 04'!$B$18:$B$200),CHOOSE({1,2},'Бланк OLD 2.0 04 '!$B$18:$B$200,'Бланк OLD 2.0 04 '!$A$18:$A$200),1,0)),"")</f>
        <v/>
      </c>
      <c r="C206" s="152" t="str">
        <f ca="1">IFERROR(IFERROR(IFERROR(VLOOKUP(A205+1,CHOOSE({1,2},'Шаг2.Бланк заказа NEW'!$B$19:$B$201,'Шаг2.Бланк заказа NEW'!$A$19:$A$201),2,0),
VLOOKUP(A205+1-COUNT('Шаг2.Бланк заказа NEW'!$B$19:$B$201),CHOOSE({1,2},'Бланк OLD 0.8 04'!$B$18:$B$200,'Бланк OLD 0.8 04'!$A$18:$A$200),2,0)),
VLOOKUP(A205+1-COUNT('Шаг2.Бланк заказа NEW'!$B$19:$B$201)-COUNT('Бланк OLD 0.8 04'!$B$18:$B$200),CHOOSE({1,2},'Бланк OLD 2.0 04 '!$B$18:$B$200,'Бланк OLD 2.0 04 '!$A$18:$A$200),2,0)),"")</f>
        <v/>
      </c>
      <c r="D206" s="150" t="str">
        <f ca="1">IFERROR(VLOOKUP(C206,'Шаг1.Выбор плиты'!C:G,5,0),"")</f>
        <v/>
      </c>
      <c r="E206" s="147" t="str">
        <f ca="1">IFERROR(IFERROR(IF(VLOOKUP($A206,'Шаг2.Бланк заказа NEW'!$B$17:$N$201,2,0)="","",VLOOKUP($A206,'Шаг2.Бланк заказа NEW'!$B$17:$N$201,2,0)),
IF(VLOOKUP($A206-COUNT('Шаг2.Бланк заказа NEW'!$B$19:$B$201),'Бланк OLD 0.8 04'!$B$12:$K$200,2,0)="","",VLOOKUP($A206-COUNT('Шаг2.Бланк заказа NEW'!$B$19:$B$201),'Бланк OLD 0.8 04'!$B$12:$K$200,2,0))),
IF(VLOOKUP($A206-COUNT('Шаг2.Бланк заказа NEW'!$B$19:$B$201)-COUNT('Бланк OLD 0.8 04'!$B$18:$B$200),'Бланк OLD 2.0 04 '!$B$16:$K$200,2,0)="","",VLOOKUP($A206-COUNT('Шаг2.Бланк заказа NEW'!$B$19:$B$201)-COUNT('Бланк OLD 0.8 04'!$B$18:$B$200),'Бланк OLD 2.0 04 '!$B$16:$K$200,2,0)))</f>
        <v/>
      </c>
      <c r="F206" s="147" t="str">
        <f ca="1">IFERROR(IFERROR(IF(VLOOKUP($A206,'Шаг2.Бланк заказа NEW'!$B$17:$N$201,3,0)="","",VLOOKUP($A206,'Шаг2.Бланк заказа NEW'!$B$17:$N$201,3,0)),
IF(VLOOKUP($A206-COUNT('Шаг2.Бланк заказа NEW'!$B$19:$B$201),'Бланк OLD 0.8 04'!$B$12:$K$200,3,0)="","",VLOOKUP($A206-COUNT('Шаг2.Бланк заказа NEW'!$B$19:$B$201),'Бланк OLD 0.8 04'!$B$12:$K$200,3,0))),
IF(VLOOKUP($A206-COUNT('Шаг2.Бланк заказа NEW'!$B$19:$B$201)-COUNT('Бланк OLD 0.8 04'!$B$18:$B$200),'Бланк OLD 2.0 04 '!$B$16:$K$200,3,0)="","",VLOOKUP($A206-COUNT('Шаг2.Бланк заказа NEW'!$B$19:$B$201)-COUNT('Бланк OLD 0.8 04'!$B$18:$B$200),'Бланк OLD 2.0 04 '!$B$16:$K$200,3,0)))</f>
        <v/>
      </c>
      <c r="G206" s="176" t="str">
        <f ca="1">IF(IF(R206="","",IF(R206=1,SUMIFS('Шаг1.Выбор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плиты'!C:Q,12,0)),1))))))=0,
R206,
IF(R206="","",IF(R206=1,SUMIFS('Шаг1.Выбор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плиты'!N:N,R206,'Шаг1.Выбор плиты'!M:M,SMALL(INDIRECT("мм"&amp;VLOOKUP(C206,'Шаг1.Выбор плиты'!C:Q,12,0)),1)))))))</f>
        <v/>
      </c>
      <c r="H206" s="177" t="str">
        <f ca="1">IF(IF(S206="","",IF(S206=1,SUMIFS('Шаг1.Выбор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плиты'!C:Q,12,0)),1))))))=0,
S206,
IF(S206="","",IF(S206=1,SUMIFS('Шаг1.Выбор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плиты'!N:N,S206,'Шаг1.Выбор плиты'!M:M,SMALL(INDIRECT("мм"&amp;VLOOKUP(C206,'Шаг1.Выбор плиты'!C:Q,12,0)),1)))))))</f>
        <v/>
      </c>
      <c r="I206" s="147" t="str">
        <f ca="1">IFERROR(IFERROR(IF(VLOOKUP($A206,'Шаг2.Бланк заказа NEW'!$B$17:$N$201,6,0)="","",VLOOKUP($A206,'Шаг2.Бланк заказа NEW'!$B$17:$N$201,6,0)),
IF(VLOOKUP($A206-COUNT('Шаг2.Бланк заказа NEW'!$B$19:$B$201),'Бланк OLD 0.8 04'!$B$12:$K$200,6,0)="","",VLOOKUP($A206-COUNT('Шаг2.Бланк заказа NEW'!$B$19:$B$201),'Бланк OLD 0.8 04'!$B$12:$K$200,6,0))),
IF(VLOOKUP($A206-COUNT('Шаг2.Бланк заказа NEW'!$B$19:$B$201)-COUNT('Бланк OLD 0.8 04'!$B$18:$B$200),'Бланк OLD 2.0 04 '!$B$16:$K$200,6,0)="","",VLOOKUP($A206-COUNT('Шаг2.Бланк заказа NEW'!$B$19:$B$201)-COUNT('Бланк OLD 0.8 04'!$B$18:$B$200),'Бланк OLD 2.0 04 '!$B$16:$K$200,6,0)))</f>
        <v/>
      </c>
      <c r="J206" s="177" t="str">
        <f ca="1">IF(IF(T206="","",IF(T206=1,SUMIFS('Шаг1.Выбор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плиты'!C:Q,12,0)),1))))))=0,
T206,
IF(T206="","",IF(T206=1,SUMIFS('Шаг1.Выбор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плиты'!N:N,T206,'Шаг1.Выбор плиты'!M:M,SMALL(INDIRECT("мм"&amp;VLOOKUP(C206,'Шаг1.Выбор плиты'!C:Q,12,0)),1)))))))</f>
        <v/>
      </c>
      <c r="K206" s="177" t="str">
        <f ca="1">IF(IF(U206="","",IF(U206=1,SUMIFS('Шаг1.Выбор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плиты'!C:Q,12,0)),1))))))=0,
U206,
IF(U206="","",IF(U206=1,SUMIFS('Шаг1.Выбор плиты'!$G:$G,'Шаг1.Выбор плиты'!J:J,"*"&amp;RIGHT(VLOOKUP(C206,'Шаг1.Выбор плиты'!C:Q,8,0),4),'Шаг1.Выбор плиты'!L:L,IF(MID(C206,1,6)="ЛДСП P","TM"&amp;MID(VLOOKUP(C206,'Шаг1.Выбор плиты'!C:Q,10,0),3,2),MID(VLOOKUP(C206,'Шаг1.Выбор плиты'!C:Q,10,0),1,2)),
'Шаг1.Выбор плиты'!N:N,1),IF(SUMIFS('Шаг1.Выбор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плиты'!C:Q,12,0)),1))=0,
IF(SUMIFS('Шаг1.Выбор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плиты'!C:Q,12,0)),2))=0,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плиты'!C:Q,12,0)),3)),
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плиты'!C:Q,12,0)),2))),
(SUMIFS('Шаг1.Выбор плиты'!$G:$G,'Шаг1.Выбор плиты'!J:J,"*"&amp;RIGHT(VLOOKUP(C206,'Шаг1.Выбор плиты'!C:Q,8,0),4),'Шаг1.Выбор плиты'!L:L,VLOOKUP(C206,'Шаг1.Выбор плиты'!C:Q,10,0),'Шаг1.Выбор плиты'!N:N,U206,'Шаг1.Выбор плиты'!M:M,SMALL(INDIRECT("мм"&amp;VLOOKUP(C206,'Шаг1.Выбор плиты'!C:Q,12,0)),1)))))))</f>
        <v/>
      </c>
      <c r="L206" s="147" t="str">
        <f ca="1">IFERROR(IFERROR(IF(VLOOKUP($A206,'Шаг2.Бланк заказа NEW'!$B$17:$N$201,9,0)="","",VLOOKUP($A206,'Шаг2.Бланк заказа NEW'!$B$17:$N$201,9,0)),
IF(VLOOKUP($A206-COUNT('Шаг2.Бланк заказа NEW'!$B$19:$B$201),'Бланк OLD 0.8 04'!$B$12:$K$200,9,0)="","",VLOOKUP($A206-COUNT('Шаг2.Бланк заказа NEW'!$B$19:$B$201),'Бланк OLD 0.8 04'!$B$12:$K$200,9,0))),
IF(VLOOKUP($A206-COUNT('Шаг2.Бланк заказа NEW'!$B$19:$B$201)-COUNT('Бланк OLD 0.8 04'!$B$18:$B$200),'Бланк OLD 2.0 04 '!$B$16:$K$200,9,0)="","",VLOOKUP($A206-COUNT('Шаг2.Бланк заказа NEW'!$B$19:$B$201)-COUNT('Бланк OLD 0.8 04'!$B$18:$B$200),'Бланк OLD 2.0 04 '!$B$16:$K$200,9,0)))</f>
        <v/>
      </c>
      <c r="M206" s="154" t="str">
        <f t="shared" ca="1" si="15"/>
        <v/>
      </c>
      <c r="N206" s="153" t="str">
        <f ca="1">IFERROR(IF(VLOOKUP($A206,'Шаг2.Бланк заказа NEW'!$B$17:$N$201,11,0)="","",VLOOKUP($A206,'Шаг2.Бланк заказа NEW'!$B$17:$N$201,11,0)),
"Нет")</f>
        <v/>
      </c>
      <c r="O206" s="147" t="str">
        <f ca="1">IFERROR(IF(VLOOKUP($A206,'Шаг2.Бланк заказа NEW'!$B$17:$N$201,11,0)="","",VLOOKUP($A206,'Шаг2.Бланк заказа NEW'!$B$17:$N$201,12,0)),
"Нет")</f>
        <v/>
      </c>
      <c r="P206" s="153" t="str">
        <f ca="1">IFERROR(IF(VLOOKUP($A206,'Шаг2.Бланк заказа NEW'!$B$17:$N$201,13,0)="","",VLOOKUP($A206,'Шаг2.Бланк заказа NEW'!$B$17:$N$201,13,0)),
"Нет")</f>
        <v/>
      </c>
      <c r="Q206" s="147" t="str">
        <f ca="1">IFERROR(IF(VLOOKUP($A206,'Шаг2.Бланк заказа NEW'!$B$17:$O$201,14,0)="","",VLOOKUP($A206,'Шаг2.Бланк заказа NEW'!$B$17:$O$201,14,0)),"")</f>
        <v/>
      </c>
      <c r="R206" s="147" t="str">
        <f ca="1">IFERROR(IFERROR(IF(VLOOKUP($A206,'Шаг2.Бланк заказа NEW'!$B$17:$N$201,4,0)="","",VLOOKUP($A206,'Шаг2.Бланк заказа NEW'!$B$17:$N$201,4,0)),
IF(VLOOKUP($A206-COUNT('Шаг2.Бланк заказа NEW'!$B$19:$B$201),'Бланк OLD 0.8 04'!$B$12:$K$200,4,0)&gt;0,0.8,
IF(VLOOKUP($A206-COUNT('Шаг2.Бланк заказа NEW'!$B$19:$B$201),'Бланк OLD 0.8 04'!$B$12:$K$200,5,0)&gt;0,0.4,""))),
IF(VLOOKUP($A206-COUNT('Шаг2.Бланк заказа NEW'!$B$19:$B$201)-COUNT('Бланк OLD 0.8 04'!$B$18:$B$200),'Бланк OLD 2.0 04 '!$B$16:$K$200,4,0)&gt;0,2,IF(VLOOKUP($A206-COUNT('Шаг2.Бланк заказа NEW'!$B$19:$B$201)-COUNT('Бланк OLD 0.8 04'!$B$18:$B$200),'Бланк OLD 2.0 04 '!$B$16:$K$200,5,0)&gt;0,0.4,"")))</f>
        <v/>
      </c>
      <c r="S206" s="147" t="str">
        <f ca="1">IFERROR(IFERROR(IF(VLOOKUP($A206,'Шаг2.Бланк заказа NEW'!$B$17:$N$201,5,0)="","",VLOOKUP($A206,'Шаг2.Бланк заказа NEW'!$B$17:$N$201,5,0)),
IF(VLOOKUP($A206-COUNT('Шаг2.Бланк заказа NEW'!$B$19:$B$201),'Бланк OLD 0.8 04'!$B$12:$K$200,4,0)&gt;1,0.8,
IF(VLOOKUP($A206-COUNT('Шаг2.Бланк заказа NEW'!$B$19:$B$201),'Бланк OLD 0.8 04'!$B$12:$K$200,5,0)&gt;1,0.4,
IF(AND(VLOOKUP($A206-COUNT('Шаг2.Бланк заказа NEW'!$B$19:$B$201),'Бланк OLD 0.8 04'!$B$12:$K$200,4,0)&gt;0,VLOOKUP($A206-COUNT('Шаг2.Бланк заказа NEW'!$B$19:$B$201),'Бланк OLD 0.8 04'!$B$12:$K$200,5,0)&gt;0),0.4,"")))),
IF(VLOOKUP($A206-COUNT('Шаг2.Бланк заказа NEW'!$B$19:$B$201)-COUNT('Бланк OLD 0.8 04'!$B$18:$B$200),'Бланк OLD 2.0 04 '!$B$16:$K$200,4,0)&gt;1,2,
IF(VLOOKUP($A206-COUNT('Шаг2.Бланк заказа NEW'!$B$19:$B$201)-COUNT('Бланк OLD 0.8 04'!$B$18:$B$200),'Бланк OLD 2.0 04 '!$B$16:$K$200,5,0)&gt;1,0.4,IF(AND(VLOOKUP($A206-COUNT('Шаг2.Бланк заказа NEW'!$B$19:$B$201)-COUNT('Бланк OLD 0.8 04'!$B$18:$B$200),'Бланк OLD 2.0 04 '!$B$16:$K$200,4,0)&gt;0,VLOOKUP($A206-COUNT('Шаг2.Бланк заказа NEW'!$B$19:$B$201)-COUNT('Бланк OLD 0.8 04'!$B$18:$B$200),'Бланк OLD 2.0 04 '!$B$16:$K$200,5,0)&gt;0),0.4,""))))</f>
        <v/>
      </c>
      <c r="T206" s="147" t="str">
        <f ca="1">IFERROR(IFERROR(IF(VLOOKUP($A206,'Шаг2.Бланк заказа NEW'!$B$17:$N$201,7,0)="","",VLOOKUP($A206,'Шаг2.Бланк заказа NEW'!$B$17:$N$201,7,0)),
IF(VLOOKUP($A206-COUNT('Шаг2.Бланк заказа NEW'!$B$19:$B$201),'Бланк OLD 0.8 04'!$B$12:$K$200,7,0)&gt;0,0.8,
IF(VLOOKUP($A206-COUNT('Шаг2.Бланк заказа NEW'!$B$19:$B$201),'Бланк OLD 0.8 04'!$B$12:$K$200,8,0)&gt;0,0.4,""))),
IF(VLOOKUP($A206-COUNT('Шаг2.Бланк заказа NEW'!$B$19:$B$201)-COUNT('Бланк OLD 0.8 04'!$B$18:$B$200),'Бланк OLD 2.0 04 '!$B$16:$K$200,7,0)&gt;0,2,IF(VLOOKUP($A206-COUNT('Шаг2.Бланк заказа NEW'!$B$19:$B$201)-COUNT('Бланк OLD 0.8 04'!$B$18:$B$200),'Бланк OLD 2.0 04 '!$B$16:$K$200,8,0)&gt;0,0.4,"")))</f>
        <v/>
      </c>
      <c r="U206" s="147" t="str">
        <f ca="1">IFERROR(IFERROR(IF(VLOOKUP($A206,'Шаг2.Бланк заказа NEW'!$B$17:$N$201,8,0)="","",VLOOKUP($A206,'Шаг2.Бланк заказа NEW'!$B$17:$N$201,8,0)),
IF(VLOOKUP($A206-COUNT('Шаг2.Бланк заказа NEW'!$B$19:$B$201),'Бланк OLD 0.8 04'!$B$12:$K$200,7,0)&gt;1,0.8,
IF(VLOOKUP($A206-COUNT('Шаг2.Бланк заказа NEW'!$B$19:$B$201),'Бланк OLD 0.8 04'!$B$12:$K$200,8,0)&gt;1,0.4,
IF(AND(VLOOKUP($A206-COUNT('Шаг2.Бланк заказа NEW'!$B$19:$B$201),'Бланк OLD 0.8 04'!$B$12:$K$200,7,0)&gt;0,VLOOKUP($A206-COUNT('Шаг2.Бланк заказа NEW'!$B$19:$B$201),'Бланк OLD 0.8 04'!$B$12:$K$200,8,0)&gt;0),0.4,"")))),
IF(VLOOKUP($A206-COUNT('Шаг2.Бланк заказа NEW'!$B$19:$B$201)-COUNT('Бланк OLD 0.8 04'!$B$18:$B$200),'Бланк OLD 2.0 04 '!$B$16:$K$200,7,0)&gt;1,2,
IF(VLOOKUP($A206-COUNT('Шаг2.Бланк заказа NEW'!$B$19:$B$201)-COUNT('Бланк OLD 0.8 04'!$B$18:$B$200),'Бланк OLD 2.0 04 '!$B$16:$K$200,8,0)&gt;1,0.4,
IF(AND(VLOOKUP($A206-COUNT('Шаг2.Бланк заказа NEW'!$B$19:$B$201)-COUNT('Бланк OLD 0.8 04'!$B$18:$B$200),'Бланк OLD 2.0 04 '!$B$16:$K$200,7,0)&gt;0,VLOOKUP($A206-COUNT('Шаг2.Бланк заказа NEW'!$B$19:$B$201)-COUNT('Бланк OLD 0.8 04'!$B$18:$B$200),'Бланк OLD 2.0 04 '!$B$16:$K$200,8,0)&gt;0),0.4,""))))</f>
        <v/>
      </c>
      <c r="V206" s="146" t="str">
        <f ca="1">IFERROR(VLOOKUP(C206,'Шаг1.Выбор плиты'!C:S,12,0),"")</f>
        <v/>
      </c>
      <c r="W206" s="146" t="str">
        <f ca="1">IFERROR(VLOOKUP(C206,'Шаг1.Выбор плиты'!C:S,8,0),"")</f>
        <v/>
      </c>
      <c r="X206" s="146" t="str">
        <f ca="1">IFERROR(VLOOKUP(C206,'Шаг1.Выбор плиты'!C:S,10,0),"")</f>
        <v/>
      </c>
      <c r="Y206" s="147" t="str">
        <f t="shared" ca="1" si="18"/>
        <v/>
      </c>
      <c r="AD206" s="147" t="str">
        <f t="shared" ca="1" si="16"/>
        <v/>
      </c>
      <c r="AE206" s="147" t="str">
        <f t="shared" ca="1" si="19"/>
        <v/>
      </c>
      <c r="AF206" s="25"/>
      <c r="AH206" s="147" t="str">
        <f ca="1">IF(C206="","",VLOOKUP(C206,'Шаг1.Выбор плиты'!C:Q,7,0))</f>
        <v/>
      </c>
      <c r="AI206" s="147" t="str">
        <f t="shared" ca="1" si="17"/>
        <v/>
      </c>
    </row>
    <row r="207" spans="1:35" x14ac:dyDescent="0.2">
      <c r="A207" s="151" t="str">
        <f ca="1">IF(C207="","",MAX($A$1:OFFSET(C207,-1,0))+1)</f>
        <v/>
      </c>
      <c r="B207" s="151" t="str">
        <f ca="1">IFERROR(IFERROR(IFERROR("Шаг2.Бланк заказа NEW №"&amp;VLOOKUP(A206+1,CHOOSE({1,2},'Шаг2.Бланк заказа NEW'!$B$19:$B$201,'Шаг2.Бланк заказа NEW'!$A$19:$A$201),1,0),
"Бланк OLD 0.8 04 №"&amp;VLOOKUP(A206+1-COUNT('Шаг2.Бланк заказа NEW'!$B$19:$B$201),CHOOSE({1,2},'Бланк OLD 0.8 04'!$B$18:$B$200,'Бланк OLD 0.8 04'!$A$18:$A$200),1,0)),
"Бланк OLD 2.0 04 №"&amp;VLOOKUP(A206+1-COUNT('Шаг2.Бланк заказа NEW'!$B$19:$B$201)-COUNT('Бланк OLD 0.8 04'!$B$18:$B$200),CHOOSE({1,2},'Бланк OLD 2.0 04 '!$B$18:$B$200,'Бланк OLD 2.0 04 '!$A$18:$A$200),1,0)),"")</f>
        <v/>
      </c>
      <c r="C207" s="152" t="str">
        <f ca="1">IFERROR(IFERROR(IFERROR(VLOOKUP(A206+1,CHOOSE({1,2},'Шаг2.Бланк заказа NEW'!$B$19:$B$201,'Шаг2.Бланк заказа NEW'!$A$19:$A$201),2,0),
VLOOKUP(A206+1-COUNT('Шаг2.Бланк заказа NEW'!$B$19:$B$201),CHOOSE({1,2},'Бланк OLD 0.8 04'!$B$18:$B$200,'Бланк OLD 0.8 04'!$A$18:$A$200),2,0)),
VLOOKUP(A206+1-COUNT('Шаг2.Бланк заказа NEW'!$B$19:$B$201)-COUNT('Бланк OLD 0.8 04'!$B$18:$B$200),CHOOSE({1,2},'Бланк OLD 2.0 04 '!$B$18:$B$200,'Бланк OLD 2.0 04 '!$A$18:$A$200),2,0)),"")</f>
        <v/>
      </c>
      <c r="D207" s="150" t="str">
        <f ca="1">IFERROR(VLOOKUP(C207,'Шаг1.Выбор плиты'!C:G,5,0),"")</f>
        <v/>
      </c>
      <c r="E207" s="147" t="str">
        <f ca="1">IFERROR(IFERROR(IF(VLOOKUP($A207,'Шаг2.Бланк заказа NEW'!$B$17:$N$201,2,0)="","",VLOOKUP($A207,'Шаг2.Бланк заказа NEW'!$B$17:$N$201,2,0)),
IF(VLOOKUP($A207-COUNT('Шаг2.Бланк заказа NEW'!$B$19:$B$201),'Бланк OLD 0.8 04'!$B$12:$K$200,2,0)="","",VLOOKUP($A207-COUNT('Шаг2.Бланк заказа NEW'!$B$19:$B$201),'Бланк OLD 0.8 04'!$B$12:$K$200,2,0))),
IF(VLOOKUP($A207-COUNT('Шаг2.Бланк заказа NEW'!$B$19:$B$201)-COUNT('Бланк OLD 0.8 04'!$B$18:$B$200),'Бланк OLD 2.0 04 '!$B$16:$K$200,2,0)="","",VLOOKUP($A207-COUNT('Шаг2.Бланк заказа NEW'!$B$19:$B$201)-COUNT('Бланк OLD 0.8 04'!$B$18:$B$200),'Бланк OLD 2.0 04 '!$B$16:$K$200,2,0)))</f>
        <v/>
      </c>
      <c r="F207" s="147" t="str">
        <f ca="1">IFERROR(IFERROR(IF(VLOOKUP($A207,'Шаг2.Бланк заказа NEW'!$B$17:$N$201,3,0)="","",VLOOKUP($A207,'Шаг2.Бланк заказа NEW'!$B$17:$N$201,3,0)),
IF(VLOOKUP($A207-COUNT('Шаг2.Бланк заказа NEW'!$B$19:$B$201),'Бланк OLD 0.8 04'!$B$12:$K$200,3,0)="","",VLOOKUP($A207-COUNT('Шаг2.Бланк заказа NEW'!$B$19:$B$201),'Бланк OLD 0.8 04'!$B$12:$K$200,3,0))),
IF(VLOOKUP($A207-COUNT('Шаг2.Бланк заказа NEW'!$B$19:$B$201)-COUNT('Бланк OLD 0.8 04'!$B$18:$B$200),'Бланк OLD 2.0 04 '!$B$16:$K$200,3,0)="","",VLOOKUP($A207-COUNT('Шаг2.Бланк заказа NEW'!$B$19:$B$201)-COUNT('Бланк OLD 0.8 04'!$B$18:$B$200),'Бланк OLD 2.0 04 '!$B$16:$K$200,3,0)))</f>
        <v/>
      </c>
      <c r="G207" s="176" t="str">
        <f ca="1">IF(IF(R207="","",IF(R207=1,SUMIFS('Шаг1.Выбор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плиты'!C:Q,12,0)),1))))))=0,
R207,
IF(R207="","",IF(R207=1,SUMIFS('Шаг1.Выбор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плиты'!N:N,R207,'Шаг1.Выбор плиты'!M:M,SMALL(INDIRECT("мм"&amp;VLOOKUP(C207,'Шаг1.Выбор плиты'!C:Q,12,0)),1)))))))</f>
        <v/>
      </c>
      <c r="H207" s="177" t="str">
        <f ca="1">IF(IF(S207="","",IF(S207=1,SUMIFS('Шаг1.Выбор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плиты'!C:Q,12,0)),1))))))=0,
S207,
IF(S207="","",IF(S207=1,SUMIFS('Шаг1.Выбор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плиты'!N:N,S207,'Шаг1.Выбор плиты'!M:M,SMALL(INDIRECT("мм"&amp;VLOOKUP(C207,'Шаг1.Выбор плиты'!C:Q,12,0)),1)))))))</f>
        <v/>
      </c>
      <c r="I207" s="147" t="str">
        <f ca="1">IFERROR(IFERROR(IF(VLOOKUP($A207,'Шаг2.Бланк заказа NEW'!$B$17:$N$201,6,0)="","",VLOOKUP($A207,'Шаг2.Бланк заказа NEW'!$B$17:$N$201,6,0)),
IF(VLOOKUP($A207-COUNT('Шаг2.Бланк заказа NEW'!$B$19:$B$201),'Бланк OLD 0.8 04'!$B$12:$K$200,6,0)="","",VLOOKUP($A207-COUNT('Шаг2.Бланк заказа NEW'!$B$19:$B$201),'Бланк OLD 0.8 04'!$B$12:$K$200,6,0))),
IF(VLOOKUP($A207-COUNT('Шаг2.Бланк заказа NEW'!$B$19:$B$201)-COUNT('Бланк OLD 0.8 04'!$B$18:$B$200),'Бланк OLD 2.0 04 '!$B$16:$K$200,6,0)="","",VLOOKUP($A207-COUNT('Шаг2.Бланк заказа NEW'!$B$19:$B$201)-COUNT('Бланк OLD 0.8 04'!$B$18:$B$200),'Бланк OLD 2.0 04 '!$B$16:$K$200,6,0)))</f>
        <v/>
      </c>
      <c r="J207" s="177" t="str">
        <f ca="1">IF(IF(T207="","",IF(T207=1,SUMIFS('Шаг1.Выбор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плиты'!C:Q,12,0)),1))))))=0,
T207,
IF(T207="","",IF(T207=1,SUMIFS('Шаг1.Выбор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плиты'!N:N,T207,'Шаг1.Выбор плиты'!M:M,SMALL(INDIRECT("мм"&amp;VLOOKUP(C207,'Шаг1.Выбор плиты'!C:Q,12,0)),1)))))))</f>
        <v/>
      </c>
      <c r="K207" s="177" t="str">
        <f ca="1">IF(IF(U207="","",IF(U207=1,SUMIFS('Шаг1.Выбор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плиты'!C:Q,12,0)),1))))))=0,
U207,
IF(U207="","",IF(U207=1,SUMIFS('Шаг1.Выбор плиты'!$G:$G,'Шаг1.Выбор плиты'!J:J,"*"&amp;RIGHT(VLOOKUP(C207,'Шаг1.Выбор плиты'!C:Q,8,0),4),'Шаг1.Выбор плиты'!L:L,IF(MID(C207,1,6)="ЛДСП P","TM"&amp;MID(VLOOKUP(C207,'Шаг1.Выбор плиты'!C:Q,10,0),3,2),MID(VLOOKUP(C207,'Шаг1.Выбор плиты'!C:Q,10,0),1,2)),
'Шаг1.Выбор плиты'!N:N,1),IF(SUMIFS('Шаг1.Выбор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плиты'!C:Q,12,0)),1))=0,
IF(SUMIFS('Шаг1.Выбор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плиты'!C:Q,12,0)),2))=0,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плиты'!C:Q,12,0)),3)),
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плиты'!C:Q,12,0)),2))),
(SUMIFS('Шаг1.Выбор плиты'!$G:$G,'Шаг1.Выбор плиты'!J:J,"*"&amp;RIGHT(VLOOKUP(C207,'Шаг1.Выбор плиты'!C:Q,8,0),4),'Шаг1.Выбор плиты'!L:L,VLOOKUP(C207,'Шаг1.Выбор плиты'!C:Q,10,0),'Шаг1.Выбор плиты'!N:N,U207,'Шаг1.Выбор плиты'!M:M,SMALL(INDIRECT("мм"&amp;VLOOKUP(C207,'Шаг1.Выбор плиты'!C:Q,12,0)),1)))))))</f>
        <v/>
      </c>
      <c r="L207" s="147" t="str">
        <f ca="1">IFERROR(IFERROR(IF(VLOOKUP($A207,'Шаг2.Бланк заказа NEW'!$B$17:$N$201,9,0)="","",VLOOKUP($A207,'Шаг2.Бланк заказа NEW'!$B$17:$N$201,9,0)),
IF(VLOOKUP($A207-COUNT('Шаг2.Бланк заказа NEW'!$B$19:$B$201),'Бланк OLD 0.8 04'!$B$12:$K$200,9,0)="","",VLOOKUP($A207-COUNT('Шаг2.Бланк заказа NEW'!$B$19:$B$201),'Бланк OLD 0.8 04'!$B$12:$K$200,9,0))),
IF(VLOOKUP($A207-COUNT('Шаг2.Бланк заказа NEW'!$B$19:$B$201)-COUNT('Бланк OLD 0.8 04'!$B$18:$B$200),'Бланк OLD 2.0 04 '!$B$16:$K$200,9,0)="","",VLOOKUP($A207-COUNT('Шаг2.Бланк заказа NEW'!$B$19:$B$201)-COUNT('Бланк OLD 0.8 04'!$B$18:$B$200),'Бланк OLD 2.0 04 '!$B$16:$K$200,9,0)))</f>
        <v/>
      </c>
      <c r="M207" s="154" t="str">
        <f t="shared" ca="1" si="15"/>
        <v/>
      </c>
      <c r="N207" s="153" t="str">
        <f ca="1">IFERROR(IF(VLOOKUP($A207,'Шаг2.Бланк заказа NEW'!$B$17:$N$201,11,0)="","",VLOOKUP($A207,'Шаг2.Бланк заказа NEW'!$B$17:$N$201,11,0)),
"Нет")</f>
        <v/>
      </c>
      <c r="O207" s="147" t="str">
        <f ca="1">IFERROR(IF(VLOOKUP($A207,'Шаг2.Бланк заказа NEW'!$B$17:$N$201,11,0)="","",VLOOKUP($A207,'Шаг2.Бланк заказа NEW'!$B$17:$N$201,12,0)),
"Нет")</f>
        <v/>
      </c>
      <c r="P207" s="153" t="str">
        <f ca="1">IFERROR(IF(VLOOKUP($A207,'Шаг2.Бланк заказа NEW'!$B$17:$N$201,13,0)="","",VLOOKUP($A207,'Шаг2.Бланк заказа NEW'!$B$17:$N$201,13,0)),
"Нет")</f>
        <v/>
      </c>
      <c r="Q207" s="147" t="str">
        <f ca="1">IFERROR(IF(VLOOKUP($A207,'Шаг2.Бланк заказа NEW'!$B$17:$O$201,14,0)="","",VLOOKUP($A207,'Шаг2.Бланк заказа NEW'!$B$17:$O$201,14,0)),"")</f>
        <v/>
      </c>
      <c r="R207" s="147" t="str">
        <f ca="1">IFERROR(IFERROR(IF(VLOOKUP($A207,'Шаг2.Бланк заказа NEW'!$B$17:$N$201,4,0)="","",VLOOKUP($A207,'Шаг2.Бланк заказа NEW'!$B$17:$N$201,4,0)),
IF(VLOOKUP($A207-COUNT('Шаг2.Бланк заказа NEW'!$B$19:$B$201),'Бланк OLD 0.8 04'!$B$12:$K$200,4,0)&gt;0,0.8,
IF(VLOOKUP($A207-COUNT('Шаг2.Бланк заказа NEW'!$B$19:$B$201),'Бланк OLD 0.8 04'!$B$12:$K$200,5,0)&gt;0,0.4,""))),
IF(VLOOKUP($A207-COUNT('Шаг2.Бланк заказа NEW'!$B$19:$B$201)-COUNT('Бланк OLD 0.8 04'!$B$18:$B$200),'Бланк OLD 2.0 04 '!$B$16:$K$200,4,0)&gt;0,2,IF(VLOOKUP($A207-COUNT('Шаг2.Бланк заказа NEW'!$B$19:$B$201)-COUNT('Бланк OLD 0.8 04'!$B$18:$B$200),'Бланк OLD 2.0 04 '!$B$16:$K$200,5,0)&gt;0,0.4,"")))</f>
        <v/>
      </c>
      <c r="S207" s="147" t="str">
        <f ca="1">IFERROR(IFERROR(IF(VLOOKUP($A207,'Шаг2.Бланк заказа NEW'!$B$17:$N$201,5,0)="","",VLOOKUP($A207,'Шаг2.Бланк заказа NEW'!$B$17:$N$201,5,0)),
IF(VLOOKUP($A207-COUNT('Шаг2.Бланк заказа NEW'!$B$19:$B$201),'Бланк OLD 0.8 04'!$B$12:$K$200,4,0)&gt;1,0.8,
IF(VLOOKUP($A207-COUNT('Шаг2.Бланк заказа NEW'!$B$19:$B$201),'Бланк OLD 0.8 04'!$B$12:$K$200,5,0)&gt;1,0.4,
IF(AND(VLOOKUP($A207-COUNT('Шаг2.Бланк заказа NEW'!$B$19:$B$201),'Бланк OLD 0.8 04'!$B$12:$K$200,4,0)&gt;0,VLOOKUP($A207-COUNT('Шаг2.Бланк заказа NEW'!$B$19:$B$201),'Бланк OLD 0.8 04'!$B$12:$K$200,5,0)&gt;0),0.4,"")))),
IF(VLOOKUP($A207-COUNT('Шаг2.Бланк заказа NEW'!$B$19:$B$201)-COUNT('Бланк OLD 0.8 04'!$B$18:$B$200),'Бланк OLD 2.0 04 '!$B$16:$K$200,4,0)&gt;1,2,
IF(VLOOKUP($A207-COUNT('Шаг2.Бланк заказа NEW'!$B$19:$B$201)-COUNT('Бланк OLD 0.8 04'!$B$18:$B$200),'Бланк OLD 2.0 04 '!$B$16:$K$200,5,0)&gt;1,0.4,IF(AND(VLOOKUP($A207-COUNT('Шаг2.Бланк заказа NEW'!$B$19:$B$201)-COUNT('Бланк OLD 0.8 04'!$B$18:$B$200),'Бланк OLD 2.0 04 '!$B$16:$K$200,4,0)&gt;0,VLOOKUP($A207-COUNT('Шаг2.Бланк заказа NEW'!$B$19:$B$201)-COUNT('Бланк OLD 0.8 04'!$B$18:$B$200),'Бланк OLD 2.0 04 '!$B$16:$K$200,5,0)&gt;0),0.4,""))))</f>
        <v/>
      </c>
      <c r="T207" s="147" t="str">
        <f ca="1">IFERROR(IFERROR(IF(VLOOKUP($A207,'Шаг2.Бланк заказа NEW'!$B$17:$N$201,7,0)="","",VLOOKUP($A207,'Шаг2.Бланк заказа NEW'!$B$17:$N$201,7,0)),
IF(VLOOKUP($A207-COUNT('Шаг2.Бланк заказа NEW'!$B$19:$B$201),'Бланк OLD 0.8 04'!$B$12:$K$200,7,0)&gt;0,0.8,
IF(VLOOKUP($A207-COUNT('Шаг2.Бланк заказа NEW'!$B$19:$B$201),'Бланк OLD 0.8 04'!$B$12:$K$200,8,0)&gt;0,0.4,""))),
IF(VLOOKUP($A207-COUNT('Шаг2.Бланк заказа NEW'!$B$19:$B$201)-COUNT('Бланк OLD 0.8 04'!$B$18:$B$200),'Бланк OLD 2.0 04 '!$B$16:$K$200,7,0)&gt;0,2,IF(VLOOKUP($A207-COUNT('Шаг2.Бланк заказа NEW'!$B$19:$B$201)-COUNT('Бланк OLD 0.8 04'!$B$18:$B$200),'Бланк OLD 2.0 04 '!$B$16:$K$200,8,0)&gt;0,0.4,"")))</f>
        <v/>
      </c>
      <c r="U207" s="147" t="str">
        <f ca="1">IFERROR(IFERROR(IF(VLOOKUP($A207,'Шаг2.Бланк заказа NEW'!$B$17:$N$201,8,0)="","",VLOOKUP($A207,'Шаг2.Бланк заказа NEW'!$B$17:$N$201,8,0)),
IF(VLOOKUP($A207-COUNT('Шаг2.Бланк заказа NEW'!$B$19:$B$201),'Бланк OLD 0.8 04'!$B$12:$K$200,7,0)&gt;1,0.8,
IF(VLOOKUP($A207-COUNT('Шаг2.Бланк заказа NEW'!$B$19:$B$201),'Бланк OLD 0.8 04'!$B$12:$K$200,8,0)&gt;1,0.4,
IF(AND(VLOOKUP($A207-COUNT('Шаг2.Бланк заказа NEW'!$B$19:$B$201),'Бланк OLD 0.8 04'!$B$12:$K$200,7,0)&gt;0,VLOOKUP($A207-COUNT('Шаг2.Бланк заказа NEW'!$B$19:$B$201),'Бланк OLD 0.8 04'!$B$12:$K$200,8,0)&gt;0),0.4,"")))),
IF(VLOOKUP($A207-COUNT('Шаг2.Бланк заказа NEW'!$B$19:$B$201)-COUNT('Бланк OLD 0.8 04'!$B$18:$B$200),'Бланк OLD 2.0 04 '!$B$16:$K$200,7,0)&gt;1,2,
IF(VLOOKUP($A207-COUNT('Шаг2.Бланк заказа NEW'!$B$19:$B$201)-COUNT('Бланк OLD 0.8 04'!$B$18:$B$200),'Бланк OLD 2.0 04 '!$B$16:$K$200,8,0)&gt;1,0.4,
IF(AND(VLOOKUP($A207-COUNT('Шаг2.Бланк заказа NEW'!$B$19:$B$201)-COUNT('Бланк OLD 0.8 04'!$B$18:$B$200),'Бланк OLD 2.0 04 '!$B$16:$K$200,7,0)&gt;0,VLOOKUP($A207-COUNT('Шаг2.Бланк заказа NEW'!$B$19:$B$201)-COUNT('Бланк OLD 0.8 04'!$B$18:$B$200),'Бланк OLD 2.0 04 '!$B$16:$K$200,8,0)&gt;0),0.4,""))))</f>
        <v/>
      </c>
      <c r="V207" s="146" t="str">
        <f ca="1">IFERROR(VLOOKUP(C207,'Шаг1.Выбор плиты'!C:S,12,0),"")</f>
        <v/>
      </c>
      <c r="W207" s="146" t="str">
        <f ca="1">IFERROR(VLOOKUP(C207,'Шаг1.Выбор плиты'!C:S,8,0),"")</f>
        <v/>
      </c>
      <c r="X207" s="146" t="str">
        <f ca="1">IFERROR(VLOOKUP(C207,'Шаг1.Выбор плиты'!C:S,10,0),"")</f>
        <v/>
      </c>
      <c r="Y207" s="147" t="str">
        <f t="shared" ca="1" si="18"/>
        <v/>
      </c>
      <c r="AD207" s="147" t="str">
        <f t="shared" ca="1" si="16"/>
        <v/>
      </c>
      <c r="AE207" s="147" t="str">
        <f t="shared" ca="1" si="19"/>
        <v/>
      </c>
      <c r="AF207" s="25"/>
      <c r="AH207" s="147" t="str">
        <f ca="1">IF(C207="","",VLOOKUP(C207,'Шаг1.Выбор плиты'!C:Q,7,0))</f>
        <v/>
      </c>
      <c r="AI207" s="147" t="str">
        <f t="shared" ca="1" si="17"/>
        <v/>
      </c>
    </row>
    <row r="208" spans="1:35" x14ac:dyDescent="0.2">
      <c r="A208" s="151" t="str">
        <f ca="1">IF(C208="","",MAX($A$1:OFFSET(C208,-1,0))+1)</f>
        <v/>
      </c>
      <c r="B208" s="151" t="str">
        <f ca="1">IFERROR(IFERROR(IFERROR("Шаг2.Бланк заказа NEW №"&amp;VLOOKUP(A207+1,CHOOSE({1,2},'Шаг2.Бланк заказа NEW'!$B$19:$B$201,'Шаг2.Бланк заказа NEW'!$A$19:$A$201),1,0),
"Бланк OLD 0.8 04 №"&amp;VLOOKUP(A207+1-COUNT('Шаг2.Бланк заказа NEW'!$B$19:$B$201),CHOOSE({1,2},'Бланк OLD 0.8 04'!$B$18:$B$200,'Бланк OLD 0.8 04'!$A$18:$A$200),1,0)),
"Бланк OLD 2.0 04 №"&amp;VLOOKUP(A207+1-COUNT('Шаг2.Бланк заказа NEW'!$B$19:$B$201)-COUNT('Бланк OLD 0.8 04'!$B$18:$B$200),CHOOSE({1,2},'Бланк OLD 2.0 04 '!$B$18:$B$200,'Бланк OLD 2.0 04 '!$A$18:$A$200),1,0)),"")</f>
        <v/>
      </c>
      <c r="C208" s="152" t="str">
        <f ca="1">IFERROR(IFERROR(IFERROR(VLOOKUP(A207+1,CHOOSE({1,2},'Шаг2.Бланк заказа NEW'!$B$19:$B$201,'Шаг2.Бланк заказа NEW'!$A$19:$A$201),2,0),
VLOOKUP(A207+1-COUNT('Шаг2.Бланк заказа NEW'!$B$19:$B$201),CHOOSE({1,2},'Бланк OLD 0.8 04'!$B$18:$B$200,'Бланк OLD 0.8 04'!$A$18:$A$200),2,0)),
VLOOKUP(A207+1-COUNT('Шаг2.Бланк заказа NEW'!$B$19:$B$201)-COUNT('Бланк OLD 0.8 04'!$B$18:$B$200),CHOOSE({1,2},'Бланк OLD 2.0 04 '!$B$18:$B$200,'Бланк OLD 2.0 04 '!$A$18:$A$200),2,0)),"")</f>
        <v/>
      </c>
      <c r="D208" s="150" t="str">
        <f ca="1">IFERROR(VLOOKUP(C208,'Шаг1.Выбор плиты'!C:G,5,0),"")</f>
        <v/>
      </c>
      <c r="E208" s="147" t="str">
        <f ca="1">IFERROR(IFERROR(IF(VLOOKUP($A208,'Шаг2.Бланк заказа NEW'!$B$17:$N$201,2,0)="","",VLOOKUP($A208,'Шаг2.Бланк заказа NEW'!$B$17:$N$201,2,0)),
IF(VLOOKUP($A208-COUNT('Шаг2.Бланк заказа NEW'!$B$19:$B$201),'Бланк OLD 0.8 04'!$B$12:$K$200,2,0)="","",VLOOKUP($A208-COUNT('Шаг2.Бланк заказа NEW'!$B$19:$B$201),'Бланк OLD 0.8 04'!$B$12:$K$200,2,0))),
IF(VLOOKUP($A208-COUNT('Шаг2.Бланк заказа NEW'!$B$19:$B$201)-COUNT('Бланк OLD 0.8 04'!$B$18:$B$200),'Бланк OLD 2.0 04 '!$B$16:$K$200,2,0)="","",VLOOKUP($A208-COUNT('Шаг2.Бланк заказа NEW'!$B$19:$B$201)-COUNT('Бланк OLD 0.8 04'!$B$18:$B$200),'Бланк OLD 2.0 04 '!$B$16:$K$200,2,0)))</f>
        <v/>
      </c>
      <c r="F208" s="147" t="str">
        <f ca="1">IFERROR(IFERROR(IF(VLOOKUP($A208,'Шаг2.Бланк заказа NEW'!$B$17:$N$201,3,0)="","",VLOOKUP($A208,'Шаг2.Бланк заказа NEW'!$B$17:$N$201,3,0)),
IF(VLOOKUP($A208-COUNT('Шаг2.Бланк заказа NEW'!$B$19:$B$201),'Бланк OLD 0.8 04'!$B$12:$K$200,3,0)="","",VLOOKUP($A208-COUNT('Шаг2.Бланк заказа NEW'!$B$19:$B$201),'Бланк OLD 0.8 04'!$B$12:$K$200,3,0))),
IF(VLOOKUP($A208-COUNT('Шаг2.Бланк заказа NEW'!$B$19:$B$201)-COUNT('Бланк OLD 0.8 04'!$B$18:$B$200),'Бланк OLD 2.0 04 '!$B$16:$K$200,3,0)="","",VLOOKUP($A208-COUNT('Шаг2.Бланк заказа NEW'!$B$19:$B$201)-COUNT('Бланк OLD 0.8 04'!$B$18:$B$200),'Бланк OLD 2.0 04 '!$B$16:$K$200,3,0)))</f>
        <v/>
      </c>
      <c r="G208" s="176" t="str">
        <f ca="1">IF(IF(R208="","",IF(R208=1,SUMIFS('Шаг1.Выбор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плиты'!C:Q,12,0)),1))))))=0,
R208,
IF(R208="","",IF(R208=1,SUMIFS('Шаг1.Выбор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плиты'!N:N,R208,'Шаг1.Выбор плиты'!M:M,SMALL(INDIRECT("мм"&amp;VLOOKUP(C208,'Шаг1.Выбор плиты'!C:Q,12,0)),1)))))))</f>
        <v/>
      </c>
      <c r="H208" s="177" t="str">
        <f ca="1">IF(IF(S208="","",IF(S208=1,SUMIFS('Шаг1.Выбор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плиты'!C:Q,12,0)),1))))))=0,
S208,
IF(S208="","",IF(S208=1,SUMIFS('Шаг1.Выбор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плиты'!N:N,S208,'Шаг1.Выбор плиты'!M:M,SMALL(INDIRECT("мм"&amp;VLOOKUP(C208,'Шаг1.Выбор плиты'!C:Q,12,0)),1)))))))</f>
        <v/>
      </c>
      <c r="I208" s="147" t="str">
        <f ca="1">IFERROR(IFERROR(IF(VLOOKUP($A208,'Шаг2.Бланк заказа NEW'!$B$17:$N$201,6,0)="","",VLOOKUP($A208,'Шаг2.Бланк заказа NEW'!$B$17:$N$201,6,0)),
IF(VLOOKUP($A208-COUNT('Шаг2.Бланк заказа NEW'!$B$19:$B$201),'Бланк OLD 0.8 04'!$B$12:$K$200,6,0)="","",VLOOKUP($A208-COUNT('Шаг2.Бланк заказа NEW'!$B$19:$B$201),'Бланк OLD 0.8 04'!$B$12:$K$200,6,0))),
IF(VLOOKUP($A208-COUNT('Шаг2.Бланк заказа NEW'!$B$19:$B$201)-COUNT('Бланк OLD 0.8 04'!$B$18:$B$200),'Бланк OLD 2.0 04 '!$B$16:$K$200,6,0)="","",VLOOKUP($A208-COUNT('Шаг2.Бланк заказа NEW'!$B$19:$B$201)-COUNT('Бланк OLD 0.8 04'!$B$18:$B$200),'Бланк OLD 2.0 04 '!$B$16:$K$200,6,0)))</f>
        <v/>
      </c>
      <c r="J208" s="177" t="str">
        <f ca="1">IF(IF(T208="","",IF(T208=1,SUMIFS('Шаг1.Выбор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плиты'!C:Q,12,0)),1))))))=0,
T208,
IF(T208="","",IF(T208=1,SUMIFS('Шаг1.Выбор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плиты'!N:N,T208,'Шаг1.Выбор плиты'!M:M,SMALL(INDIRECT("мм"&amp;VLOOKUP(C208,'Шаг1.Выбор плиты'!C:Q,12,0)),1)))))))</f>
        <v/>
      </c>
      <c r="K208" s="177" t="str">
        <f ca="1">IF(IF(U208="","",IF(U208=1,SUMIFS('Шаг1.Выбор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плиты'!C:Q,12,0)),1))))))=0,
U208,
IF(U208="","",IF(U208=1,SUMIFS('Шаг1.Выбор плиты'!$G:$G,'Шаг1.Выбор плиты'!J:J,"*"&amp;RIGHT(VLOOKUP(C208,'Шаг1.Выбор плиты'!C:Q,8,0),4),'Шаг1.Выбор плиты'!L:L,IF(MID(C208,1,6)="ЛДСП P","TM"&amp;MID(VLOOKUP(C208,'Шаг1.Выбор плиты'!C:Q,10,0),3,2),MID(VLOOKUP(C208,'Шаг1.Выбор плиты'!C:Q,10,0),1,2)),
'Шаг1.Выбор плиты'!N:N,1),IF(SUMIFS('Шаг1.Выбор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плиты'!C:Q,12,0)),1))=0,
IF(SUMIFS('Шаг1.Выбор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плиты'!C:Q,12,0)),2))=0,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плиты'!C:Q,12,0)),3)),
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плиты'!C:Q,12,0)),2))),
(SUMIFS('Шаг1.Выбор плиты'!$G:$G,'Шаг1.Выбор плиты'!J:J,"*"&amp;RIGHT(VLOOKUP(C208,'Шаг1.Выбор плиты'!C:Q,8,0),4),'Шаг1.Выбор плиты'!L:L,VLOOKUP(C208,'Шаг1.Выбор плиты'!C:Q,10,0),'Шаг1.Выбор плиты'!N:N,U208,'Шаг1.Выбор плиты'!M:M,SMALL(INDIRECT("мм"&amp;VLOOKUP(C208,'Шаг1.Выбор плиты'!C:Q,12,0)),1)))))))</f>
        <v/>
      </c>
      <c r="L208" s="147" t="str">
        <f ca="1">IFERROR(IFERROR(IF(VLOOKUP($A208,'Шаг2.Бланк заказа NEW'!$B$17:$N$201,9,0)="","",VLOOKUP($A208,'Шаг2.Бланк заказа NEW'!$B$17:$N$201,9,0)),
IF(VLOOKUP($A208-COUNT('Шаг2.Бланк заказа NEW'!$B$19:$B$201),'Бланк OLD 0.8 04'!$B$12:$K$200,9,0)="","",VLOOKUP($A208-COUNT('Шаг2.Бланк заказа NEW'!$B$19:$B$201),'Бланк OLD 0.8 04'!$B$12:$K$200,9,0))),
IF(VLOOKUP($A208-COUNT('Шаг2.Бланк заказа NEW'!$B$19:$B$201)-COUNT('Бланк OLD 0.8 04'!$B$18:$B$200),'Бланк OLD 2.0 04 '!$B$16:$K$200,9,0)="","",VLOOKUP($A208-COUNT('Шаг2.Бланк заказа NEW'!$B$19:$B$201)-COUNT('Бланк OLD 0.8 04'!$B$18:$B$200),'Бланк OLD 2.0 04 '!$B$16:$K$200,9,0)))</f>
        <v/>
      </c>
      <c r="M208" s="154" t="str">
        <f t="shared" ca="1" si="15"/>
        <v/>
      </c>
      <c r="N208" s="153" t="str">
        <f ca="1">IFERROR(IF(VLOOKUP($A208,'Шаг2.Бланк заказа NEW'!$B$17:$N$201,11,0)="","",VLOOKUP($A208,'Шаг2.Бланк заказа NEW'!$B$17:$N$201,11,0)),
"Нет")</f>
        <v/>
      </c>
      <c r="O208" s="147" t="str">
        <f ca="1">IFERROR(IF(VLOOKUP($A208,'Шаг2.Бланк заказа NEW'!$B$17:$N$201,11,0)="","",VLOOKUP($A208,'Шаг2.Бланк заказа NEW'!$B$17:$N$201,12,0)),
"Нет")</f>
        <v/>
      </c>
      <c r="P208" s="153" t="str">
        <f ca="1">IFERROR(IF(VLOOKUP($A208,'Шаг2.Бланк заказа NEW'!$B$17:$N$201,13,0)="","",VLOOKUP($A208,'Шаг2.Бланк заказа NEW'!$B$17:$N$201,13,0)),
"Нет")</f>
        <v/>
      </c>
      <c r="Q208" s="147" t="str">
        <f ca="1">IFERROR(IF(VLOOKUP($A208,'Шаг2.Бланк заказа NEW'!$B$17:$O$201,14,0)="","",VLOOKUP($A208,'Шаг2.Бланк заказа NEW'!$B$17:$O$201,14,0)),"")</f>
        <v/>
      </c>
      <c r="R208" s="147" t="str">
        <f ca="1">IFERROR(IFERROR(IF(VLOOKUP($A208,'Шаг2.Бланк заказа NEW'!$B$17:$N$201,4,0)="","",VLOOKUP($A208,'Шаг2.Бланк заказа NEW'!$B$17:$N$201,4,0)),
IF(VLOOKUP($A208-COUNT('Шаг2.Бланк заказа NEW'!$B$19:$B$201),'Бланк OLD 0.8 04'!$B$12:$K$200,4,0)&gt;0,0.8,
IF(VLOOKUP($A208-COUNT('Шаг2.Бланк заказа NEW'!$B$19:$B$201),'Бланк OLD 0.8 04'!$B$12:$K$200,5,0)&gt;0,0.4,""))),
IF(VLOOKUP($A208-COUNT('Шаг2.Бланк заказа NEW'!$B$19:$B$201)-COUNT('Бланк OLD 0.8 04'!$B$18:$B$200),'Бланк OLD 2.0 04 '!$B$16:$K$200,4,0)&gt;0,2,IF(VLOOKUP($A208-COUNT('Шаг2.Бланк заказа NEW'!$B$19:$B$201)-COUNT('Бланк OLD 0.8 04'!$B$18:$B$200),'Бланк OLD 2.0 04 '!$B$16:$K$200,5,0)&gt;0,0.4,"")))</f>
        <v/>
      </c>
      <c r="S208" s="147" t="str">
        <f ca="1">IFERROR(IFERROR(IF(VLOOKUP($A208,'Шаг2.Бланк заказа NEW'!$B$17:$N$201,5,0)="","",VLOOKUP($A208,'Шаг2.Бланк заказа NEW'!$B$17:$N$201,5,0)),
IF(VLOOKUP($A208-COUNT('Шаг2.Бланк заказа NEW'!$B$19:$B$201),'Бланк OLD 0.8 04'!$B$12:$K$200,4,0)&gt;1,0.8,
IF(VLOOKUP($A208-COUNT('Шаг2.Бланк заказа NEW'!$B$19:$B$201),'Бланк OLD 0.8 04'!$B$12:$K$200,5,0)&gt;1,0.4,
IF(AND(VLOOKUP($A208-COUNT('Шаг2.Бланк заказа NEW'!$B$19:$B$201),'Бланк OLD 0.8 04'!$B$12:$K$200,4,0)&gt;0,VLOOKUP($A208-COUNT('Шаг2.Бланк заказа NEW'!$B$19:$B$201),'Бланк OLD 0.8 04'!$B$12:$K$200,5,0)&gt;0),0.4,"")))),
IF(VLOOKUP($A208-COUNT('Шаг2.Бланк заказа NEW'!$B$19:$B$201)-COUNT('Бланк OLD 0.8 04'!$B$18:$B$200),'Бланк OLD 2.0 04 '!$B$16:$K$200,4,0)&gt;1,2,
IF(VLOOKUP($A208-COUNT('Шаг2.Бланк заказа NEW'!$B$19:$B$201)-COUNT('Бланк OLD 0.8 04'!$B$18:$B$200),'Бланк OLD 2.0 04 '!$B$16:$K$200,5,0)&gt;1,0.4,IF(AND(VLOOKUP($A208-COUNT('Шаг2.Бланк заказа NEW'!$B$19:$B$201)-COUNT('Бланк OLD 0.8 04'!$B$18:$B$200),'Бланк OLD 2.0 04 '!$B$16:$K$200,4,0)&gt;0,VLOOKUP($A208-COUNT('Шаг2.Бланк заказа NEW'!$B$19:$B$201)-COUNT('Бланк OLD 0.8 04'!$B$18:$B$200),'Бланк OLD 2.0 04 '!$B$16:$K$200,5,0)&gt;0),0.4,""))))</f>
        <v/>
      </c>
      <c r="T208" s="147" t="str">
        <f ca="1">IFERROR(IFERROR(IF(VLOOKUP($A208,'Шаг2.Бланк заказа NEW'!$B$17:$N$201,7,0)="","",VLOOKUP($A208,'Шаг2.Бланк заказа NEW'!$B$17:$N$201,7,0)),
IF(VLOOKUP($A208-COUNT('Шаг2.Бланк заказа NEW'!$B$19:$B$201),'Бланк OLD 0.8 04'!$B$12:$K$200,7,0)&gt;0,0.8,
IF(VLOOKUP($A208-COUNT('Шаг2.Бланк заказа NEW'!$B$19:$B$201),'Бланк OLD 0.8 04'!$B$12:$K$200,8,0)&gt;0,0.4,""))),
IF(VLOOKUP($A208-COUNT('Шаг2.Бланк заказа NEW'!$B$19:$B$201)-COUNT('Бланк OLD 0.8 04'!$B$18:$B$200),'Бланк OLD 2.0 04 '!$B$16:$K$200,7,0)&gt;0,2,IF(VLOOKUP($A208-COUNT('Шаг2.Бланк заказа NEW'!$B$19:$B$201)-COUNT('Бланк OLD 0.8 04'!$B$18:$B$200),'Бланк OLD 2.0 04 '!$B$16:$K$200,8,0)&gt;0,0.4,"")))</f>
        <v/>
      </c>
      <c r="U208" s="147" t="str">
        <f ca="1">IFERROR(IFERROR(IF(VLOOKUP($A208,'Шаг2.Бланк заказа NEW'!$B$17:$N$201,8,0)="","",VLOOKUP($A208,'Шаг2.Бланк заказа NEW'!$B$17:$N$201,8,0)),
IF(VLOOKUP($A208-COUNT('Шаг2.Бланк заказа NEW'!$B$19:$B$201),'Бланк OLD 0.8 04'!$B$12:$K$200,7,0)&gt;1,0.8,
IF(VLOOKUP($A208-COUNT('Шаг2.Бланк заказа NEW'!$B$19:$B$201),'Бланк OLD 0.8 04'!$B$12:$K$200,8,0)&gt;1,0.4,
IF(AND(VLOOKUP($A208-COUNT('Шаг2.Бланк заказа NEW'!$B$19:$B$201),'Бланк OLD 0.8 04'!$B$12:$K$200,7,0)&gt;0,VLOOKUP($A208-COUNT('Шаг2.Бланк заказа NEW'!$B$19:$B$201),'Бланк OLD 0.8 04'!$B$12:$K$200,8,0)&gt;0),0.4,"")))),
IF(VLOOKUP($A208-COUNT('Шаг2.Бланк заказа NEW'!$B$19:$B$201)-COUNT('Бланк OLD 0.8 04'!$B$18:$B$200),'Бланк OLD 2.0 04 '!$B$16:$K$200,7,0)&gt;1,2,
IF(VLOOKUP($A208-COUNT('Шаг2.Бланк заказа NEW'!$B$19:$B$201)-COUNT('Бланк OLD 0.8 04'!$B$18:$B$200),'Бланк OLD 2.0 04 '!$B$16:$K$200,8,0)&gt;1,0.4,
IF(AND(VLOOKUP($A208-COUNT('Шаг2.Бланк заказа NEW'!$B$19:$B$201)-COUNT('Бланк OLD 0.8 04'!$B$18:$B$200),'Бланк OLD 2.0 04 '!$B$16:$K$200,7,0)&gt;0,VLOOKUP($A208-COUNT('Шаг2.Бланк заказа NEW'!$B$19:$B$201)-COUNT('Бланк OLD 0.8 04'!$B$18:$B$200),'Бланк OLD 2.0 04 '!$B$16:$K$200,8,0)&gt;0),0.4,""))))</f>
        <v/>
      </c>
      <c r="V208" s="146" t="str">
        <f ca="1">IFERROR(VLOOKUP(C208,'Шаг1.Выбор плиты'!C:S,12,0),"")</f>
        <v/>
      </c>
      <c r="W208" s="146" t="str">
        <f ca="1">IFERROR(VLOOKUP(C208,'Шаг1.Выбор плиты'!C:S,8,0),"")</f>
        <v/>
      </c>
      <c r="X208" s="146" t="str">
        <f ca="1">IFERROR(VLOOKUP(C208,'Шаг1.Выбор плиты'!C:S,10,0),"")</f>
        <v/>
      </c>
      <c r="Y208" s="147" t="str">
        <f t="shared" ca="1" si="18"/>
        <v/>
      </c>
      <c r="AD208" s="147" t="str">
        <f t="shared" ca="1" si="16"/>
        <v/>
      </c>
      <c r="AE208" s="147" t="str">
        <f t="shared" ca="1" si="19"/>
        <v/>
      </c>
      <c r="AF208" s="25"/>
      <c r="AH208" s="147" t="str">
        <f ca="1">IF(C208="","",VLOOKUP(C208,'Шаг1.Выбор плиты'!C:Q,7,0))</f>
        <v/>
      </c>
      <c r="AI208" s="147" t="str">
        <f t="shared" ca="1" si="17"/>
        <v/>
      </c>
    </row>
    <row r="209" spans="1:35" x14ac:dyDescent="0.2">
      <c r="A209" s="151" t="str">
        <f ca="1">IF(C209="","",MAX($A$1:OFFSET(C209,-1,0))+1)</f>
        <v/>
      </c>
      <c r="B209" s="151" t="str">
        <f ca="1">IFERROR(IFERROR(IFERROR("Шаг2.Бланк заказа NEW №"&amp;VLOOKUP(A208+1,CHOOSE({1,2},'Шаг2.Бланк заказа NEW'!$B$19:$B$201,'Шаг2.Бланк заказа NEW'!$A$19:$A$201),1,0),
"Бланк OLD 0.8 04 №"&amp;VLOOKUP(A208+1-COUNT('Шаг2.Бланк заказа NEW'!$B$19:$B$201),CHOOSE({1,2},'Бланк OLD 0.8 04'!$B$18:$B$200,'Бланк OLD 0.8 04'!$A$18:$A$200),1,0)),
"Бланк OLD 2.0 04 №"&amp;VLOOKUP(A208+1-COUNT('Шаг2.Бланк заказа NEW'!$B$19:$B$201)-COUNT('Бланк OLD 0.8 04'!$B$18:$B$200),CHOOSE({1,2},'Бланк OLD 2.0 04 '!$B$18:$B$200,'Бланк OLD 2.0 04 '!$A$18:$A$200),1,0)),"")</f>
        <v/>
      </c>
      <c r="C209" s="152" t="str">
        <f ca="1">IFERROR(IFERROR(IFERROR(VLOOKUP(A208+1,CHOOSE({1,2},'Шаг2.Бланк заказа NEW'!$B$19:$B$201,'Шаг2.Бланк заказа NEW'!$A$19:$A$201),2,0),
VLOOKUP(A208+1-COUNT('Шаг2.Бланк заказа NEW'!$B$19:$B$201),CHOOSE({1,2},'Бланк OLD 0.8 04'!$B$18:$B$200,'Бланк OLD 0.8 04'!$A$18:$A$200),2,0)),
VLOOKUP(A208+1-COUNT('Шаг2.Бланк заказа NEW'!$B$19:$B$201)-COUNT('Бланк OLD 0.8 04'!$B$18:$B$200),CHOOSE({1,2},'Бланк OLD 2.0 04 '!$B$18:$B$200,'Бланк OLD 2.0 04 '!$A$18:$A$200),2,0)),"")</f>
        <v/>
      </c>
      <c r="D209" s="150" t="str">
        <f ca="1">IFERROR(VLOOKUP(C209,'Шаг1.Выбор плиты'!C:G,5,0),"")</f>
        <v/>
      </c>
      <c r="E209" s="147" t="str">
        <f ca="1">IFERROR(IFERROR(IF(VLOOKUP($A209,'Шаг2.Бланк заказа NEW'!$B$17:$N$201,2,0)="","",VLOOKUP($A209,'Шаг2.Бланк заказа NEW'!$B$17:$N$201,2,0)),
IF(VLOOKUP($A209-COUNT('Шаг2.Бланк заказа NEW'!$B$19:$B$201),'Бланк OLD 0.8 04'!$B$12:$K$200,2,0)="","",VLOOKUP($A209-COUNT('Шаг2.Бланк заказа NEW'!$B$19:$B$201),'Бланк OLD 0.8 04'!$B$12:$K$200,2,0))),
IF(VLOOKUP($A209-COUNT('Шаг2.Бланк заказа NEW'!$B$19:$B$201)-COUNT('Бланк OLD 0.8 04'!$B$18:$B$200),'Бланк OLD 2.0 04 '!$B$16:$K$200,2,0)="","",VLOOKUP($A209-COUNT('Шаг2.Бланк заказа NEW'!$B$19:$B$201)-COUNT('Бланк OLD 0.8 04'!$B$18:$B$200),'Бланк OLD 2.0 04 '!$B$16:$K$200,2,0)))</f>
        <v/>
      </c>
      <c r="F209" s="147" t="str">
        <f ca="1">IFERROR(IFERROR(IF(VLOOKUP($A209,'Шаг2.Бланк заказа NEW'!$B$17:$N$201,3,0)="","",VLOOKUP($A209,'Шаг2.Бланк заказа NEW'!$B$17:$N$201,3,0)),
IF(VLOOKUP($A209-COUNT('Шаг2.Бланк заказа NEW'!$B$19:$B$201),'Бланк OLD 0.8 04'!$B$12:$K$200,3,0)="","",VLOOKUP($A209-COUNT('Шаг2.Бланк заказа NEW'!$B$19:$B$201),'Бланк OLD 0.8 04'!$B$12:$K$200,3,0))),
IF(VLOOKUP($A209-COUNT('Шаг2.Бланк заказа NEW'!$B$19:$B$201)-COUNT('Бланк OLD 0.8 04'!$B$18:$B$200),'Бланк OLD 2.0 04 '!$B$16:$K$200,3,0)="","",VLOOKUP($A209-COUNT('Шаг2.Бланк заказа NEW'!$B$19:$B$201)-COUNT('Бланк OLD 0.8 04'!$B$18:$B$200),'Бланк OLD 2.0 04 '!$B$16:$K$200,3,0)))</f>
        <v/>
      </c>
      <c r="G209" s="176" t="str">
        <f ca="1">IF(IF(R209="","",IF(R209=1,SUMIFS('Шаг1.Выбор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плиты'!C:Q,12,0)),1))))))=0,
R209,
IF(R209="","",IF(R209=1,SUMIFS('Шаг1.Выбор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плиты'!N:N,R209,'Шаг1.Выбор плиты'!M:M,SMALL(INDIRECT("мм"&amp;VLOOKUP(C209,'Шаг1.Выбор плиты'!C:Q,12,0)),1)))))))</f>
        <v/>
      </c>
      <c r="H209" s="177" t="str">
        <f ca="1">IF(IF(S209="","",IF(S209=1,SUMIFS('Шаг1.Выбор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плиты'!C:Q,12,0)),1))))))=0,
S209,
IF(S209="","",IF(S209=1,SUMIFS('Шаг1.Выбор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плиты'!N:N,S209,'Шаг1.Выбор плиты'!M:M,SMALL(INDIRECT("мм"&amp;VLOOKUP(C209,'Шаг1.Выбор плиты'!C:Q,12,0)),1)))))))</f>
        <v/>
      </c>
      <c r="I209" s="147" t="str">
        <f ca="1">IFERROR(IFERROR(IF(VLOOKUP($A209,'Шаг2.Бланк заказа NEW'!$B$17:$N$201,6,0)="","",VLOOKUP($A209,'Шаг2.Бланк заказа NEW'!$B$17:$N$201,6,0)),
IF(VLOOKUP($A209-COUNT('Шаг2.Бланк заказа NEW'!$B$19:$B$201),'Бланк OLD 0.8 04'!$B$12:$K$200,6,0)="","",VLOOKUP($A209-COUNT('Шаг2.Бланк заказа NEW'!$B$19:$B$201),'Бланк OLD 0.8 04'!$B$12:$K$200,6,0))),
IF(VLOOKUP($A209-COUNT('Шаг2.Бланк заказа NEW'!$B$19:$B$201)-COUNT('Бланк OLD 0.8 04'!$B$18:$B$200),'Бланк OLD 2.0 04 '!$B$16:$K$200,6,0)="","",VLOOKUP($A209-COUNT('Шаг2.Бланк заказа NEW'!$B$19:$B$201)-COUNT('Бланк OLD 0.8 04'!$B$18:$B$200),'Бланк OLD 2.0 04 '!$B$16:$K$200,6,0)))</f>
        <v/>
      </c>
      <c r="J209" s="177" t="str">
        <f ca="1">IF(IF(T209="","",IF(T209=1,SUMIFS('Шаг1.Выбор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плиты'!C:Q,12,0)),1))))))=0,
T209,
IF(T209="","",IF(T209=1,SUMIFS('Шаг1.Выбор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плиты'!N:N,T209,'Шаг1.Выбор плиты'!M:M,SMALL(INDIRECT("мм"&amp;VLOOKUP(C209,'Шаг1.Выбор плиты'!C:Q,12,0)),1)))))))</f>
        <v/>
      </c>
      <c r="K209" s="177" t="str">
        <f ca="1">IF(IF(U209="","",IF(U209=1,SUMIFS('Шаг1.Выбор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плиты'!C:Q,12,0)),1))))))=0,
U209,
IF(U209="","",IF(U209=1,SUMIFS('Шаг1.Выбор плиты'!$G:$G,'Шаг1.Выбор плиты'!J:J,"*"&amp;RIGHT(VLOOKUP(C209,'Шаг1.Выбор плиты'!C:Q,8,0),4),'Шаг1.Выбор плиты'!L:L,IF(MID(C209,1,6)="ЛДСП P","TM"&amp;MID(VLOOKUP(C209,'Шаг1.Выбор плиты'!C:Q,10,0),3,2),MID(VLOOKUP(C209,'Шаг1.Выбор плиты'!C:Q,10,0),1,2)),
'Шаг1.Выбор плиты'!N:N,1),IF(SUMIFS('Шаг1.Выбор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плиты'!C:Q,12,0)),1))=0,
IF(SUMIFS('Шаг1.Выбор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плиты'!C:Q,12,0)),2))=0,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плиты'!C:Q,12,0)),3)),
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плиты'!C:Q,12,0)),2))),
(SUMIFS('Шаг1.Выбор плиты'!$G:$G,'Шаг1.Выбор плиты'!J:J,"*"&amp;RIGHT(VLOOKUP(C209,'Шаг1.Выбор плиты'!C:Q,8,0),4),'Шаг1.Выбор плиты'!L:L,VLOOKUP(C209,'Шаг1.Выбор плиты'!C:Q,10,0),'Шаг1.Выбор плиты'!N:N,U209,'Шаг1.Выбор плиты'!M:M,SMALL(INDIRECT("мм"&amp;VLOOKUP(C209,'Шаг1.Выбор плиты'!C:Q,12,0)),1)))))))</f>
        <v/>
      </c>
      <c r="L209" s="147" t="str">
        <f ca="1">IFERROR(IFERROR(IF(VLOOKUP($A209,'Шаг2.Бланк заказа NEW'!$B$17:$N$201,9,0)="","",VLOOKUP($A209,'Шаг2.Бланк заказа NEW'!$B$17:$N$201,9,0)),
IF(VLOOKUP($A209-COUNT('Шаг2.Бланк заказа NEW'!$B$19:$B$201),'Бланк OLD 0.8 04'!$B$12:$K$200,9,0)="","",VLOOKUP($A209-COUNT('Шаг2.Бланк заказа NEW'!$B$19:$B$201),'Бланк OLD 0.8 04'!$B$12:$K$200,9,0))),
IF(VLOOKUP($A209-COUNT('Шаг2.Бланк заказа NEW'!$B$19:$B$201)-COUNT('Бланк OLD 0.8 04'!$B$18:$B$200),'Бланк OLD 2.0 04 '!$B$16:$K$200,9,0)="","",VLOOKUP($A209-COUNT('Шаг2.Бланк заказа NEW'!$B$19:$B$201)-COUNT('Бланк OLD 0.8 04'!$B$18:$B$200),'Бланк OLD 2.0 04 '!$B$16:$K$200,9,0)))</f>
        <v/>
      </c>
      <c r="M209" s="154" t="str">
        <f t="shared" ca="1" si="15"/>
        <v/>
      </c>
      <c r="N209" s="153" t="str">
        <f ca="1">IFERROR(IF(VLOOKUP($A209,'Шаг2.Бланк заказа NEW'!$B$17:$N$201,11,0)="","",VLOOKUP($A209,'Шаг2.Бланк заказа NEW'!$B$17:$N$201,11,0)),
"Нет")</f>
        <v/>
      </c>
      <c r="O209" s="147" t="str">
        <f ca="1">IFERROR(IF(VLOOKUP($A209,'Шаг2.Бланк заказа NEW'!$B$17:$N$201,11,0)="","",VLOOKUP($A209,'Шаг2.Бланк заказа NEW'!$B$17:$N$201,12,0)),
"Нет")</f>
        <v/>
      </c>
      <c r="P209" s="153" t="str">
        <f ca="1">IFERROR(IF(VLOOKUP($A209,'Шаг2.Бланк заказа NEW'!$B$17:$N$201,13,0)="","",VLOOKUP($A209,'Шаг2.Бланк заказа NEW'!$B$17:$N$201,13,0)),
"Нет")</f>
        <v/>
      </c>
      <c r="Q209" s="147" t="str">
        <f ca="1">IFERROR(IF(VLOOKUP($A209,'Шаг2.Бланк заказа NEW'!$B$17:$O$201,14,0)="","",VLOOKUP($A209,'Шаг2.Бланк заказа NEW'!$B$17:$O$201,14,0)),"")</f>
        <v/>
      </c>
      <c r="R209" s="147" t="str">
        <f ca="1">IFERROR(IFERROR(IF(VLOOKUP($A209,'Шаг2.Бланк заказа NEW'!$B$17:$N$201,4,0)="","",VLOOKUP($A209,'Шаг2.Бланк заказа NEW'!$B$17:$N$201,4,0)),
IF(VLOOKUP($A209-COUNT('Шаг2.Бланк заказа NEW'!$B$19:$B$201),'Бланк OLD 0.8 04'!$B$12:$K$200,4,0)&gt;0,0.8,
IF(VLOOKUP($A209-COUNT('Шаг2.Бланк заказа NEW'!$B$19:$B$201),'Бланк OLD 0.8 04'!$B$12:$K$200,5,0)&gt;0,0.4,""))),
IF(VLOOKUP($A209-COUNT('Шаг2.Бланк заказа NEW'!$B$19:$B$201)-COUNT('Бланк OLD 0.8 04'!$B$18:$B$200),'Бланк OLD 2.0 04 '!$B$16:$K$200,4,0)&gt;0,2,IF(VLOOKUP($A209-COUNT('Шаг2.Бланк заказа NEW'!$B$19:$B$201)-COUNT('Бланк OLD 0.8 04'!$B$18:$B$200),'Бланк OLD 2.0 04 '!$B$16:$K$200,5,0)&gt;0,0.4,"")))</f>
        <v/>
      </c>
      <c r="S209" s="147" t="str">
        <f ca="1">IFERROR(IFERROR(IF(VLOOKUP($A209,'Шаг2.Бланк заказа NEW'!$B$17:$N$201,5,0)="","",VLOOKUP($A209,'Шаг2.Бланк заказа NEW'!$B$17:$N$201,5,0)),
IF(VLOOKUP($A209-COUNT('Шаг2.Бланк заказа NEW'!$B$19:$B$201),'Бланк OLD 0.8 04'!$B$12:$K$200,4,0)&gt;1,0.8,
IF(VLOOKUP($A209-COUNT('Шаг2.Бланк заказа NEW'!$B$19:$B$201),'Бланк OLD 0.8 04'!$B$12:$K$200,5,0)&gt;1,0.4,
IF(AND(VLOOKUP($A209-COUNT('Шаг2.Бланк заказа NEW'!$B$19:$B$201),'Бланк OLD 0.8 04'!$B$12:$K$200,4,0)&gt;0,VLOOKUP($A209-COUNT('Шаг2.Бланк заказа NEW'!$B$19:$B$201),'Бланк OLD 0.8 04'!$B$12:$K$200,5,0)&gt;0),0.4,"")))),
IF(VLOOKUP($A209-COUNT('Шаг2.Бланк заказа NEW'!$B$19:$B$201)-COUNT('Бланк OLD 0.8 04'!$B$18:$B$200),'Бланк OLD 2.0 04 '!$B$16:$K$200,4,0)&gt;1,2,
IF(VLOOKUP($A209-COUNT('Шаг2.Бланк заказа NEW'!$B$19:$B$201)-COUNT('Бланк OLD 0.8 04'!$B$18:$B$200),'Бланк OLD 2.0 04 '!$B$16:$K$200,5,0)&gt;1,0.4,IF(AND(VLOOKUP($A209-COUNT('Шаг2.Бланк заказа NEW'!$B$19:$B$201)-COUNT('Бланк OLD 0.8 04'!$B$18:$B$200),'Бланк OLD 2.0 04 '!$B$16:$K$200,4,0)&gt;0,VLOOKUP($A209-COUNT('Шаг2.Бланк заказа NEW'!$B$19:$B$201)-COUNT('Бланк OLD 0.8 04'!$B$18:$B$200),'Бланк OLD 2.0 04 '!$B$16:$K$200,5,0)&gt;0),0.4,""))))</f>
        <v/>
      </c>
      <c r="T209" s="147" t="str">
        <f ca="1">IFERROR(IFERROR(IF(VLOOKUP($A209,'Шаг2.Бланк заказа NEW'!$B$17:$N$201,7,0)="","",VLOOKUP($A209,'Шаг2.Бланк заказа NEW'!$B$17:$N$201,7,0)),
IF(VLOOKUP($A209-COUNT('Шаг2.Бланк заказа NEW'!$B$19:$B$201),'Бланк OLD 0.8 04'!$B$12:$K$200,7,0)&gt;0,0.8,
IF(VLOOKUP($A209-COUNT('Шаг2.Бланк заказа NEW'!$B$19:$B$201),'Бланк OLD 0.8 04'!$B$12:$K$200,8,0)&gt;0,0.4,""))),
IF(VLOOKUP($A209-COUNT('Шаг2.Бланк заказа NEW'!$B$19:$B$201)-COUNT('Бланк OLD 0.8 04'!$B$18:$B$200),'Бланк OLD 2.0 04 '!$B$16:$K$200,7,0)&gt;0,2,IF(VLOOKUP($A209-COUNT('Шаг2.Бланк заказа NEW'!$B$19:$B$201)-COUNT('Бланк OLD 0.8 04'!$B$18:$B$200),'Бланк OLD 2.0 04 '!$B$16:$K$200,8,0)&gt;0,0.4,"")))</f>
        <v/>
      </c>
      <c r="U209" s="147" t="str">
        <f ca="1">IFERROR(IFERROR(IF(VLOOKUP($A209,'Шаг2.Бланк заказа NEW'!$B$17:$N$201,8,0)="","",VLOOKUP($A209,'Шаг2.Бланк заказа NEW'!$B$17:$N$201,8,0)),
IF(VLOOKUP($A209-COUNT('Шаг2.Бланк заказа NEW'!$B$19:$B$201),'Бланк OLD 0.8 04'!$B$12:$K$200,7,0)&gt;1,0.8,
IF(VLOOKUP($A209-COUNT('Шаг2.Бланк заказа NEW'!$B$19:$B$201),'Бланк OLD 0.8 04'!$B$12:$K$200,8,0)&gt;1,0.4,
IF(AND(VLOOKUP($A209-COUNT('Шаг2.Бланк заказа NEW'!$B$19:$B$201),'Бланк OLD 0.8 04'!$B$12:$K$200,7,0)&gt;0,VLOOKUP($A209-COUNT('Шаг2.Бланк заказа NEW'!$B$19:$B$201),'Бланк OLD 0.8 04'!$B$12:$K$200,8,0)&gt;0),0.4,"")))),
IF(VLOOKUP($A209-COUNT('Шаг2.Бланк заказа NEW'!$B$19:$B$201)-COUNT('Бланк OLD 0.8 04'!$B$18:$B$200),'Бланк OLD 2.0 04 '!$B$16:$K$200,7,0)&gt;1,2,
IF(VLOOKUP($A209-COUNT('Шаг2.Бланк заказа NEW'!$B$19:$B$201)-COUNT('Бланк OLD 0.8 04'!$B$18:$B$200),'Бланк OLD 2.0 04 '!$B$16:$K$200,8,0)&gt;1,0.4,
IF(AND(VLOOKUP($A209-COUNT('Шаг2.Бланк заказа NEW'!$B$19:$B$201)-COUNT('Бланк OLD 0.8 04'!$B$18:$B$200),'Бланк OLD 2.0 04 '!$B$16:$K$200,7,0)&gt;0,VLOOKUP($A209-COUNT('Шаг2.Бланк заказа NEW'!$B$19:$B$201)-COUNT('Бланк OLD 0.8 04'!$B$18:$B$200),'Бланк OLD 2.0 04 '!$B$16:$K$200,8,0)&gt;0),0.4,""))))</f>
        <v/>
      </c>
      <c r="V209" s="146" t="str">
        <f ca="1">IFERROR(VLOOKUP(C209,'Шаг1.Выбор плиты'!C:S,12,0),"")</f>
        <v/>
      </c>
      <c r="W209" s="146" t="str">
        <f ca="1">IFERROR(VLOOKUP(C209,'Шаг1.Выбор плиты'!C:S,8,0),"")</f>
        <v/>
      </c>
      <c r="X209" s="146" t="str">
        <f ca="1">IFERROR(VLOOKUP(C209,'Шаг1.Выбор плиты'!C:S,10,0),"")</f>
        <v/>
      </c>
      <c r="Y209" s="147" t="str">
        <f t="shared" ca="1" si="18"/>
        <v/>
      </c>
      <c r="AD209" s="147" t="str">
        <f t="shared" ca="1" si="16"/>
        <v/>
      </c>
      <c r="AE209" s="147" t="str">
        <f t="shared" ca="1" si="19"/>
        <v/>
      </c>
      <c r="AF209" s="25"/>
      <c r="AH209" s="147" t="str">
        <f ca="1">IF(C209="","",VLOOKUP(C209,'Шаг1.Выбор плиты'!C:Q,7,0))</f>
        <v/>
      </c>
      <c r="AI209" s="147" t="str">
        <f t="shared" ca="1" si="17"/>
        <v/>
      </c>
    </row>
    <row r="210" spans="1:35" x14ac:dyDescent="0.2">
      <c r="A210" s="151" t="str">
        <f ca="1">IF(C210="","",MAX($A$1:OFFSET(C210,-1,0))+1)</f>
        <v/>
      </c>
      <c r="B210" s="151" t="str">
        <f ca="1">IFERROR(IFERROR(IFERROR("Шаг2.Бланк заказа NEW №"&amp;VLOOKUP(A209+1,CHOOSE({1,2},'Шаг2.Бланк заказа NEW'!$B$19:$B$201,'Шаг2.Бланк заказа NEW'!$A$19:$A$201),1,0),
"Бланк OLD 0.8 04 №"&amp;VLOOKUP(A209+1-COUNT('Шаг2.Бланк заказа NEW'!$B$19:$B$201),CHOOSE({1,2},'Бланк OLD 0.8 04'!$B$18:$B$200,'Бланк OLD 0.8 04'!$A$18:$A$200),1,0)),
"Бланк OLD 2.0 04 №"&amp;VLOOKUP(A209+1-COUNT('Шаг2.Бланк заказа NEW'!$B$19:$B$201)-COUNT('Бланк OLD 0.8 04'!$B$18:$B$200),CHOOSE({1,2},'Бланк OLD 2.0 04 '!$B$18:$B$200,'Бланк OLD 2.0 04 '!$A$18:$A$200),1,0)),"")</f>
        <v/>
      </c>
      <c r="C210" s="152" t="str">
        <f ca="1">IFERROR(IFERROR(IFERROR(VLOOKUP(A209+1,CHOOSE({1,2},'Шаг2.Бланк заказа NEW'!$B$19:$B$201,'Шаг2.Бланк заказа NEW'!$A$19:$A$201),2,0),
VLOOKUP(A209+1-COUNT('Шаг2.Бланк заказа NEW'!$B$19:$B$201),CHOOSE({1,2},'Бланк OLD 0.8 04'!$B$18:$B$200,'Бланк OLD 0.8 04'!$A$18:$A$200),2,0)),
VLOOKUP(A209+1-COUNT('Шаг2.Бланк заказа NEW'!$B$19:$B$201)-COUNT('Бланк OLD 0.8 04'!$B$18:$B$200),CHOOSE({1,2},'Бланк OLD 2.0 04 '!$B$18:$B$200,'Бланк OLD 2.0 04 '!$A$18:$A$200),2,0)),"")</f>
        <v/>
      </c>
      <c r="D210" s="150" t="str">
        <f ca="1">IFERROR(VLOOKUP(C210,'Шаг1.Выбор плиты'!C:G,5,0),"")</f>
        <v/>
      </c>
      <c r="E210" s="147" t="str">
        <f ca="1">IFERROR(IFERROR(IF(VLOOKUP($A210,'Шаг2.Бланк заказа NEW'!$B$17:$N$201,2,0)="","",VLOOKUP($A210,'Шаг2.Бланк заказа NEW'!$B$17:$N$201,2,0)),
IF(VLOOKUP($A210-COUNT('Шаг2.Бланк заказа NEW'!$B$19:$B$201),'Бланк OLD 0.8 04'!$B$12:$K$200,2,0)="","",VLOOKUP($A210-COUNT('Шаг2.Бланк заказа NEW'!$B$19:$B$201),'Бланк OLD 0.8 04'!$B$12:$K$200,2,0))),
IF(VLOOKUP($A210-COUNT('Шаг2.Бланк заказа NEW'!$B$19:$B$201)-COUNT('Бланк OLD 0.8 04'!$B$18:$B$200),'Бланк OLD 2.0 04 '!$B$16:$K$200,2,0)="","",VLOOKUP($A210-COUNT('Шаг2.Бланк заказа NEW'!$B$19:$B$201)-COUNT('Бланк OLD 0.8 04'!$B$18:$B$200),'Бланк OLD 2.0 04 '!$B$16:$K$200,2,0)))</f>
        <v/>
      </c>
      <c r="F210" s="147" t="str">
        <f ca="1">IFERROR(IFERROR(IF(VLOOKUP($A210,'Шаг2.Бланк заказа NEW'!$B$17:$N$201,3,0)="","",VLOOKUP($A210,'Шаг2.Бланк заказа NEW'!$B$17:$N$201,3,0)),
IF(VLOOKUP($A210-COUNT('Шаг2.Бланк заказа NEW'!$B$19:$B$201),'Бланк OLD 0.8 04'!$B$12:$K$200,3,0)="","",VLOOKUP($A210-COUNT('Шаг2.Бланк заказа NEW'!$B$19:$B$201),'Бланк OLD 0.8 04'!$B$12:$K$200,3,0))),
IF(VLOOKUP($A210-COUNT('Шаг2.Бланк заказа NEW'!$B$19:$B$201)-COUNT('Бланк OLD 0.8 04'!$B$18:$B$200),'Бланк OLD 2.0 04 '!$B$16:$K$200,3,0)="","",VLOOKUP($A210-COUNT('Шаг2.Бланк заказа NEW'!$B$19:$B$201)-COUNT('Бланк OLD 0.8 04'!$B$18:$B$200),'Бланк OLD 2.0 04 '!$B$16:$K$200,3,0)))</f>
        <v/>
      </c>
      <c r="G210" s="176" t="str">
        <f ca="1">IF(IF(R210="","",IF(R210=1,SUMIFS('Шаг1.Выбор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плиты'!C:Q,12,0)),1))))))=0,
R210,
IF(R210="","",IF(R210=1,SUMIFS('Шаг1.Выбор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плиты'!N:N,R210,'Шаг1.Выбор плиты'!M:M,SMALL(INDIRECT("мм"&amp;VLOOKUP(C210,'Шаг1.Выбор плиты'!C:Q,12,0)),1)))))))</f>
        <v/>
      </c>
      <c r="H210" s="177" t="str">
        <f ca="1">IF(IF(S210="","",IF(S210=1,SUMIFS('Шаг1.Выбор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плиты'!C:Q,12,0)),1))))))=0,
S210,
IF(S210="","",IF(S210=1,SUMIFS('Шаг1.Выбор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плиты'!N:N,S210,'Шаг1.Выбор плиты'!M:M,SMALL(INDIRECT("мм"&amp;VLOOKUP(C210,'Шаг1.Выбор плиты'!C:Q,12,0)),1)))))))</f>
        <v/>
      </c>
      <c r="I210" s="147" t="str">
        <f ca="1">IFERROR(IFERROR(IF(VLOOKUP($A210,'Шаг2.Бланк заказа NEW'!$B$17:$N$201,6,0)="","",VLOOKUP($A210,'Шаг2.Бланк заказа NEW'!$B$17:$N$201,6,0)),
IF(VLOOKUP($A210-COUNT('Шаг2.Бланк заказа NEW'!$B$19:$B$201),'Бланк OLD 0.8 04'!$B$12:$K$200,6,0)="","",VLOOKUP($A210-COUNT('Шаг2.Бланк заказа NEW'!$B$19:$B$201),'Бланк OLD 0.8 04'!$B$12:$K$200,6,0))),
IF(VLOOKUP($A210-COUNT('Шаг2.Бланк заказа NEW'!$B$19:$B$201)-COUNT('Бланк OLD 0.8 04'!$B$18:$B$200),'Бланк OLD 2.0 04 '!$B$16:$K$200,6,0)="","",VLOOKUP($A210-COUNT('Шаг2.Бланк заказа NEW'!$B$19:$B$201)-COUNT('Бланк OLD 0.8 04'!$B$18:$B$200),'Бланк OLD 2.0 04 '!$B$16:$K$200,6,0)))</f>
        <v/>
      </c>
      <c r="J210" s="177" t="str">
        <f ca="1">IF(IF(T210="","",IF(T210=1,SUMIFS('Шаг1.Выбор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плиты'!C:Q,12,0)),1))))))=0,
T210,
IF(T210="","",IF(T210=1,SUMIFS('Шаг1.Выбор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плиты'!N:N,T210,'Шаг1.Выбор плиты'!M:M,SMALL(INDIRECT("мм"&amp;VLOOKUP(C210,'Шаг1.Выбор плиты'!C:Q,12,0)),1)))))))</f>
        <v/>
      </c>
      <c r="K210" s="177" t="str">
        <f ca="1">IF(IF(U210="","",IF(U210=1,SUMIFS('Шаг1.Выбор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плиты'!C:Q,12,0)),1))))))=0,
U210,
IF(U210="","",IF(U210=1,SUMIFS('Шаг1.Выбор плиты'!$G:$G,'Шаг1.Выбор плиты'!J:J,"*"&amp;RIGHT(VLOOKUP(C210,'Шаг1.Выбор плиты'!C:Q,8,0),4),'Шаг1.Выбор плиты'!L:L,IF(MID(C210,1,6)="ЛДСП P","TM"&amp;MID(VLOOKUP(C210,'Шаг1.Выбор плиты'!C:Q,10,0),3,2),MID(VLOOKUP(C210,'Шаг1.Выбор плиты'!C:Q,10,0),1,2)),
'Шаг1.Выбор плиты'!N:N,1),IF(SUMIFS('Шаг1.Выбор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плиты'!C:Q,12,0)),1))=0,
IF(SUMIFS('Шаг1.Выбор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плиты'!C:Q,12,0)),2))=0,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плиты'!C:Q,12,0)),3)),
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плиты'!C:Q,12,0)),2))),
(SUMIFS('Шаг1.Выбор плиты'!$G:$G,'Шаг1.Выбор плиты'!J:J,"*"&amp;RIGHT(VLOOKUP(C210,'Шаг1.Выбор плиты'!C:Q,8,0),4),'Шаг1.Выбор плиты'!L:L,VLOOKUP(C210,'Шаг1.Выбор плиты'!C:Q,10,0),'Шаг1.Выбор плиты'!N:N,U210,'Шаг1.Выбор плиты'!M:M,SMALL(INDIRECT("мм"&amp;VLOOKUP(C210,'Шаг1.Выбор плиты'!C:Q,12,0)),1)))))))</f>
        <v/>
      </c>
      <c r="L210" s="147" t="str">
        <f ca="1">IFERROR(IFERROR(IF(VLOOKUP($A210,'Шаг2.Бланк заказа NEW'!$B$17:$N$201,9,0)="","",VLOOKUP($A210,'Шаг2.Бланк заказа NEW'!$B$17:$N$201,9,0)),
IF(VLOOKUP($A210-COUNT('Шаг2.Бланк заказа NEW'!$B$19:$B$201),'Бланк OLD 0.8 04'!$B$12:$K$200,9,0)="","",VLOOKUP($A210-COUNT('Шаг2.Бланк заказа NEW'!$B$19:$B$201),'Бланк OLD 0.8 04'!$B$12:$K$200,9,0))),
IF(VLOOKUP($A210-COUNT('Шаг2.Бланк заказа NEW'!$B$19:$B$201)-COUNT('Бланк OLD 0.8 04'!$B$18:$B$200),'Бланк OLD 2.0 04 '!$B$16:$K$200,9,0)="","",VLOOKUP($A210-COUNT('Шаг2.Бланк заказа NEW'!$B$19:$B$201)-COUNT('Бланк OLD 0.8 04'!$B$18:$B$200),'Бланк OLD 2.0 04 '!$B$16:$K$200,9,0)))</f>
        <v/>
      </c>
      <c r="M210" s="154" t="str">
        <f t="shared" ca="1" si="15"/>
        <v/>
      </c>
      <c r="N210" s="153" t="str">
        <f ca="1">IFERROR(IF(VLOOKUP($A210,'Шаг2.Бланк заказа NEW'!$B$17:$N$201,11,0)="","",VLOOKUP($A210,'Шаг2.Бланк заказа NEW'!$B$17:$N$201,11,0)),
"Нет")</f>
        <v/>
      </c>
      <c r="O210" s="147" t="str">
        <f ca="1">IFERROR(IF(VLOOKUP($A210,'Шаг2.Бланк заказа NEW'!$B$17:$N$201,11,0)="","",VLOOKUP($A210,'Шаг2.Бланк заказа NEW'!$B$17:$N$201,12,0)),
"Нет")</f>
        <v/>
      </c>
      <c r="P210" s="153" t="str">
        <f ca="1">IFERROR(IF(VLOOKUP($A210,'Шаг2.Бланк заказа NEW'!$B$17:$N$201,13,0)="","",VLOOKUP($A210,'Шаг2.Бланк заказа NEW'!$B$17:$N$201,13,0)),
"Нет")</f>
        <v/>
      </c>
      <c r="Q210" s="147" t="str">
        <f ca="1">IFERROR(IF(VLOOKUP($A210,'Шаг2.Бланк заказа NEW'!$B$17:$O$201,14,0)="","",VLOOKUP($A210,'Шаг2.Бланк заказа NEW'!$B$17:$O$201,14,0)),"")</f>
        <v/>
      </c>
      <c r="R210" s="147" t="str">
        <f ca="1">IFERROR(IFERROR(IF(VLOOKUP($A210,'Шаг2.Бланк заказа NEW'!$B$17:$N$201,4,0)="","",VLOOKUP($A210,'Шаг2.Бланк заказа NEW'!$B$17:$N$201,4,0)),
IF(VLOOKUP($A210-COUNT('Шаг2.Бланк заказа NEW'!$B$19:$B$201),'Бланк OLD 0.8 04'!$B$12:$K$200,4,0)&gt;0,0.8,
IF(VLOOKUP($A210-COUNT('Шаг2.Бланк заказа NEW'!$B$19:$B$201),'Бланк OLD 0.8 04'!$B$12:$K$200,5,0)&gt;0,0.4,""))),
IF(VLOOKUP($A210-COUNT('Шаг2.Бланк заказа NEW'!$B$19:$B$201)-COUNT('Бланк OLD 0.8 04'!$B$18:$B$200),'Бланк OLD 2.0 04 '!$B$16:$K$200,4,0)&gt;0,2,IF(VLOOKUP($A210-COUNT('Шаг2.Бланк заказа NEW'!$B$19:$B$201)-COUNT('Бланк OLD 0.8 04'!$B$18:$B$200),'Бланк OLD 2.0 04 '!$B$16:$K$200,5,0)&gt;0,0.4,"")))</f>
        <v/>
      </c>
      <c r="S210" s="147" t="str">
        <f ca="1">IFERROR(IFERROR(IF(VLOOKUP($A210,'Шаг2.Бланк заказа NEW'!$B$17:$N$201,5,0)="","",VLOOKUP($A210,'Шаг2.Бланк заказа NEW'!$B$17:$N$201,5,0)),
IF(VLOOKUP($A210-COUNT('Шаг2.Бланк заказа NEW'!$B$19:$B$201),'Бланк OLD 0.8 04'!$B$12:$K$200,4,0)&gt;1,0.8,
IF(VLOOKUP($A210-COUNT('Шаг2.Бланк заказа NEW'!$B$19:$B$201),'Бланк OLD 0.8 04'!$B$12:$K$200,5,0)&gt;1,0.4,
IF(AND(VLOOKUP($A210-COUNT('Шаг2.Бланк заказа NEW'!$B$19:$B$201),'Бланк OLD 0.8 04'!$B$12:$K$200,4,0)&gt;0,VLOOKUP($A210-COUNT('Шаг2.Бланк заказа NEW'!$B$19:$B$201),'Бланк OLD 0.8 04'!$B$12:$K$200,5,0)&gt;0),0.4,"")))),
IF(VLOOKUP($A210-COUNT('Шаг2.Бланк заказа NEW'!$B$19:$B$201)-COUNT('Бланк OLD 0.8 04'!$B$18:$B$200),'Бланк OLD 2.0 04 '!$B$16:$K$200,4,0)&gt;1,2,
IF(VLOOKUP($A210-COUNT('Шаг2.Бланк заказа NEW'!$B$19:$B$201)-COUNT('Бланк OLD 0.8 04'!$B$18:$B$200),'Бланк OLD 2.0 04 '!$B$16:$K$200,5,0)&gt;1,0.4,IF(AND(VLOOKUP($A210-COUNT('Шаг2.Бланк заказа NEW'!$B$19:$B$201)-COUNT('Бланк OLD 0.8 04'!$B$18:$B$200),'Бланк OLD 2.0 04 '!$B$16:$K$200,4,0)&gt;0,VLOOKUP($A210-COUNT('Шаг2.Бланк заказа NEW'!$B$19:$B$201)-COUNT('Бланк OLD 0.8 04'!$B$18:$B$200),'Бланк OLD 2.0 04 '!$B$16:$K$200,5,0)&gt;0),0.4,""))))</f>
        <v/>
      </c>
      <c r="T210" s="147" t="str">
        <f ca="1">IFERROR(IFERROR(IF(VLOOKUP($A210,'Шаг2.Бланк заказа NEW'!$B$17:$N$201,7,0)="","",VLOOKUP($A210,'Шаг2.Бланк заказа NEW'!$B$17:$N$201,7,0)),
IF(VLOOKUP($A210-COUNT('Шаг2.Бланк заказа NEW'!$B$19:$B$201),'Бланк OLD 0.8 04'!$B$12:$K$200,7,0)&gt;0,0.8,
IF(VLOOKUP($A210-COUNT('Шаг2.Бланк заказа NEW'!$B$19:$B$201),'Бланк OLD 0.8 04'!$B$12:$K$200,8,0)&gt;0,0.4,""))),
IF(VLOOKUP($A210-COUNT('Шаг2.Бланк заказа NEW'!$B$19:$B$201)-COUNT('Бланк OLD 0.8 04'!$B$18:$B$200),'Бланк OLD 2.0 04 '!$B$16:$K$200,7,0)&gt;0,2,IF(VLOOKUP($A210-COUNT('Шаг2.Бланк заказа NEW'!$B$19:$B$201)-COUNT('Бланк OLD 0.8 04'!$B$18:$B$200),'Бланк OLD 2.0 04 '!$B$16:$K$200,8,0)&gt;0,0.4,"")))</f>
        <v/>
      </c>
      <c r="U210" s="147" t="str">
        <f ca="1">IFERROR(IFERROR(IF(VLOOKUP($A210,'Шаг2.Бланк заказа NEW'!$B$17:$N$201,8,0)="","",VLOOKUP($A210,'Шаг2.Бланк заказа NEW'!$B$17:$N$201,8,0)),
IF(VLOOKUP($A210-COUNT('Шаг2.Бланк заказа NEW'!$B$19:$B$201),'Бланк OLD 0.8 04'!$B$12:$K$200,7,0)&gt;1,0.8,
IF(VLOOKUP($A210-COUNT('Шаг2.Бланк заказа NEW'!$B$19:$B$201),'Бланк OLD 0.8 04'!$B$12:$K$200,8,0)&gt;1,0.4,
IF(AND(VLOOKUP($A210-COUNT('Шаг2.Бланк заказа NEW'!$B$19:$B$201),'Бланк OLD 0.8 04'!$B$12:$K$200,7,0)&gt;0,VLOOKUP($A210-COUNT('Шаг2.Бланк заказа NEW'!$B$19:$B$201),'Бланк OLD 0.8 04'!$B$12:$K$200,8,0)&gt;0),0.4,"")))),
IF(VLOOKUP($A210-COUNT('Шаг2.Бланк заказа NEW'!$B$19:$B$201)-COUNT('Бланк OLD 0.8 04'!$B$18:$B$200),'Бланк OLD 2.0 04 '!$B$16:$K$200,7,0)&gt;1,2,
IF(VLOOKUP($A210-COUNT('Шаг2.Бланк заказа NEW'!$B$19:$B$201)-COUNT('Бланк OLD 0.8 04'!$B$18:$B$200),'Бланк OLD 2.0 04 '!$B$16:$K$200,8,0)&gt;1,0.4,
IF(AND(VLOOKUP($A210-COUNT('Шаг2.Бланк заказа NEW'!$B$19:$B$201)-COUNT('Бланк OLD 0.8 04'!$B$18:$B$200),'Бланк OLD 2.0 04 '!$B$16:$K$200,7,0)&gt;0,VLOOKUP($A210-COUNT('Шаг2.Бланк заказа NEW'!$B$19:$B$201)-COUNT('Бланк OLD 0.8 04'!$B$18:$B$200),'Бланк OLD 2.0 04 '!$B$16:$K$200,8,0)&gt;0),0.4,""))))</f>
        <v/>
      </c>
      <c r="V210" s="146" t="str">
        <f ca="1">IFERROR(VLOOKUP(C210,'Шаг1.Выбор плиты'!C:S,12,0),"")</f>
        <v/>
      </c>
      <c r="W210" s="146" t="str">
        <f ca="1">IFERROR(VLOOKUP(C210,'Шаг1.Выбор плиты'!C:S,8,0),"")</f>
        <v/>
      </c>
      <c r="X210" s="146" t="str">
        <f ca="1">IFERROR(VLOOKUP(C210,'Шаг1.Выбор плиты'!C:S,10,0),"")</f>
        <v/>
      </c>
      <c r="Y210" s="147" t="str">
        <f t="shared" ca="1" si="18"/>
        <v/>
      </c>
      <c r="AD210" s="147" t="str">
        <f t="shared" ca="1" si="16"/>
        <v/>
      </c>
      <c r="AE210" s="147" t="str">
        <f t="shared" ca="1" si="19"/>
        <v/>
      </c>
      <c r="AF210" s="25"/>
      <c r="AH210" s="147" t="str">
        <f ca="1">IF(C210="","",VLOOKUP(C210,'Шаг1.Выбор плиты'!C:Q,7,0))</f>
        <v/>
      </c>
      <c r="AI210" s="147" t="str">
        <f t="shared" ca="1" si="17"/>
        <v/>
      </c>
    </row>
    <row r="211" spans="1:35" x14ac:dyDescent="0.2">
      <c r="A211" s="151" t="str">
        <f ca="1">IF(C211="","",MAX($A$1:OFFSET(C211,-1,0))+1)</f>
        <v/>
      </c>
      <c r="B211" s="151" t="str">
        <f ca="1">IFERROR(IFERROR(IFERROR("Шаг2.Бланк заказа NEW №"&amp;VLOOKUP(A210+1,CHOOSE({1,2},'Шаг2.Бланк заказа NEW'!$B$19:$B$201,'Шаг2.Бланк заказа NEW'!$A$19:$A$201),1,0),
"Бланк OLD 0.8 04 №"&amp;VLOOKUP(A210+1-COUNT('Шаг2.Бланк заказа NEW'!$B$19:$B$201),CHOOSE({1,2},'Бланк OLD 0.8 04'!$B$18:$B$200,'Бланк OLD 0.8 04'!$A$18:$A$200),1,0)),
"Бланк OLD 2.0 04 №"&amp;VLOOKUP(A210+1-COUNT('Шаг2.Бланк заказа NEW'!$B$19:$B$201)-COUNT('Бланк OLD 0.8 04'!$B$18:$B$200),CHOOSE({1,2},'Бланк OLD 2.0 04 '!$B$18:$B$200,'Бланк OLD 2.0 04 '!$A$18:$A$200),1,0)),"")</f>
        <v/>
      </c>
      <c r="C211" s="152" t="str">
        <f ca="1">IFERROR(IFERROR(IFERROR(VLOOKUP(A210+1,CHOOSE({1,2},'Шаг2.Бланк заказа NEW'!$B$19:$B$201,'Шаг2.Бланк заказа NEW'!$A$19:$A$201),2,0),
VLOOKUP(A210+1-COUNT('Шаг2.Бланк заказа NEW'!$B$19:$B$201),CHOOSE({1,2},'Бланк OLD 0.8 04'!$B$18:$B$200,'Бланк OLD 0.8 04'!$A$18:$A$200),2,0)),
VLOOKUP(A210+1-COUNT('Шаг2.Бланк заказа NEW'!$B$19:$B$201)-COUNT('Бланк OLD 0.8 04'!$B$18:$B$200),CHOOSE({1,2},'Бланк OLD 2.0 04 '!$B$18:$B$200,'Бланк OLD 2.0 04 '!$A$18:$A$200),2,0)),"")</f>
        <v/>
      </c>
      <c r="D211" s="150" t="str">
        <f ca="1">IFERROR(VLOOKUP(C211,'Шаг1.Выбор плиты'!C:G,5,0),"")</f>
        <v/>
      </c>
      <c r="E211" s="147" t="str">
        <f ca="1">IFERROR(IFERROR(IF(VLOOKUP($A211,'Шаг2.Бланк заказа NEW'!$B$17:$N$201,2,0)="","",VLOOKUP($A211,'Шаг2.Бланк заказа NEW'!$B$17:$N$201,2,0)),
IF(VLOOKUP($A211-COUNT('Шаг2.Бланк заказа NEW'!$B$19:$B$201),'Бланк OLD 0.8 04'!$B$12:$K$200,2,0)="","",VLOOKUP($A211-COUNT('Шаг2.Бланк заказа NEW'!$B$19:$B$201),'Бланк OLD 0.8 04'!$B$12:$K$200,2,0))),
IF(VLOOKUP($A211-COUNT('Шаг2.Бланк заказа NEW'!$B$19:$B$201)-COUNT('Бланк OLD 0.8 04'!$B$18:$B$200),'Бланк OLD 2.0 04 '!$B$16:$K$200,2,0)="","",VLOOKUP($A211-COUNT('Шаг2.Бланк заказа NEW'!$B$19:$B$201)-COUNT('Бланк OLD 0.8 04'!$B$18:$B$200),'Бланк OLD 2.0 04 '!$B$16:$K$200,2,0)))</f>
        <v/>
      </c>
      <c r="F211" s="147" t="str">
        <f ca="1">IFERROR(IFERROR(IF(VLOOKUP($A211,'Шаг2.Бланк заказа NEW'!$B$17:$N$201,3,0)="","",VLOOKUP($A211,'Шаг2.Бланк заказа NEW'!$B$17:$N$201,3,0)),
IF(VLOOKUP($A211-COUNT('Шаг2.Бланк заказа NEW'!$B$19:$B$201),'Бланк OLD 0.8 04'!$B$12:$K$200,3,0)="","",VLOOKUP($A211-COUNT('Шаг2.Бланк заказа NEW'!$B$19:$B$201),'Бланк OLD 0.8 04'!$B$12:$K$200,3,0))),
IF(VLOOKUP($A211-COUNT('Шаг2.Бланк заказа NEW'!$B$19:$B$201)-COUNT('Бланк OLD 0.8 04'!$B$18:$B$200),'Бланк OLD 2.0 04 '!$B$16:$K$200,3,0)="","",VLOOKUP($A211-COUNT('Шаг2.Бланк заказа NEW'!$B$19:$B$201)-COUNT('Бланк OLD 0.8 04'!$B$18:$B$200),'Бланк OLD 2.0 04 '!$B$16:$K$200,3,0)))</f>
        <v/>
      </c>
      <c r="G211" s="176" t="str">
        <f ca="1">IF(IF(R211="","",IF(R211=1,SUMIFS('Шаг1.Выбор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плиты'!C:Q,12,0)),1))))))=0,
R211,
IF(R211="","",IF(R211=1,SUMIFS('Шаг1.Выбор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плиты'!N:N,R211,'Шаг1.Выбор плиты'!M:M,SMALL(INDIRECT("мм"&amp;VLOOKUP(C211,'Шаг1.Выбор плиты'!C:Q,12,0)),1)))))))</f>
        <v/>
      </c>
      <c r="H211" s="177" t="str">
        <f ca="1">IF(IF(S211="","",IF(S211=1,SUMIFS('Шаг1.Выбор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плиты'!C:Q,12,0)),1))))))=0,
S211,
IF(S211="","",IF(S211=1,SUMIFS('Шаг1.Выбор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плиты'!N:N,S211,'Шаг1.Выбор плиты'!M:M,SMALL(INDIRECT("мм"&amp;VLOOKUP(C211,'Шаг1.Выбор плиты'!C:Q,12,0)),1)))))))</f>
        <v/>
      </c>
      <c r="I211" s="147" t="str">
        <f ca="1">IFERROR(IFERROR(IF(VLOOKUP($A211,'Шаг2.Бланк заказа NEW'!$B$17:$N$201,6,0)="","",VLOOKUP($A211,'Шаг2.Бланк заказа NEW'!$B$17:$N$201,6,0)),
IF(VLOOKUP($A211-COUNT('Шаг2.Бланк заказа NEW'!$B$19:$B$201),'Бланк OLD 0.8 04'!$B$12:$K$200,6,0)="","",VLOOKUP($A211-COUNT('Шаг2.Бланк заказа NEW'!$B$19:$B$201),'Бланк OLD 0.8 04'!$B$12:$K$200,6,0))),
IF(VLOOKUP($A211-COUNT('Шаг2.Бланк заказа NEW'!$B$19:$B$201)-COUNT('Бланк OLD 0.8 04'!$B$18:$B$200),'Бланк OLD 2.0 04 '!$B$16:$K$200,6,0)="","",VLOOKUP($A211-COUNT('Шаг2.Бланк заказа NEW'!$B$19:$B$201)-COUNT('Бланк OLD 0.8 04'!$B$18:$B$200),'Бланк OLD 2.0 04 '!$B$16:$K$200,6,0)))</f>
        <v/>
      </c>
      <c r="J211" s="177" t="str">
        <f ca="1">IF(IF(T211="","",IF(T211=1,SUMIFS('Шаг1.Выбор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плиты'!C:Q,12,0)),1))))))=0,
T211,
IF(T211="","",IF(T211=1,SUMIFS('Шаг1.Выбор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плиты'!N:N,T211,'Шаг1.Выбор плиты'!M:M,SMALL(INDIRECT("мм"&amp;VLOOKUP(C211,'Шаг1.Выбор плиты'!C:Q,12,0)),1)))))))</f>
        <v/>
      </c>
      <c r="K211" s="177" t="str">
        <f ca="1">IF(IF(U211="","",IF(U211=1,SUMIFS('Шаг1.Выбор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плиты'!C:Q,12,0)),1))))))=0,
U211,
IF(U211="","",IF(U211=1,SUMIFS('Шаг1.Выбор плиты'!$G:$G,'Шаг1.Выбор плиты'!J:J,"*"&amp;RIGHT(VLOOKUP(C211,'Шаг1.Выбор плиты'!C:Q,8,0),4),'Шаг1.Выбор плиты'!L:L,IF(MID(C211,1,6)="ЛДСП P","TM"&amp;MID(VLOOKUP(C211,'Шаг1.Выбор плиты'!C:Q,10,0),3,2),MID(VLOOKUP(C211,'Шаг1.Выбор плиты'!C:Q,10,0),1,2)),
'Шаг1.Выбор плиты'!N:N,1),IF(SUMIFS('Шаг1.Выбор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плиты'!C:Q,12,0)),1))=0,
IF(SUMIFS('Шаг1.Выбор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плиты'!C:Q,12,0)),2))=0,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плиты'!C:Q,12,0)),3)),
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плиты'!C:Q,12,0)),2))),
(SUMIFS('Шаг1.Выбор плиты'!$G:$G,'Шаг1.Выбор плиты'!J:J,"*"&amp;RIGHT(VLOOKUP(C211,'Шаг1.Выбор плиты'!C:Q,8,0),4),'Шаг1.Выбор плиты'!L:L,VLOOKUP(C211,'Шаг1.Выбор плиты'!C:Q,10,0),'Шаг1.Выбор плиты'!N:N,U211,'Шаг1.Выбор плиты'!M:M,SMALL(INDIRECT("мм"&amp;VLOOKUP(C211,'Шаг1.Выбор плиты'!C:Q,12,0)),1)))))))</f>
        <v/>
      </c>
      <c r="L211" s="147" t="str">
        <f ca="1">IFERROR(IFERROR(IF(VLOOKUP($A211,'Шаг2.Бланк заказа NEW'!$B$17:$N$201,9,0)="","",VLOOKUP($A211,'Шаг2.Бланк заказа NEW'!$B$17:$N$201,9,0)),
IF(VLOOKUP($A211-COUNT('Шаг2.Бланк заказа NEW'!$B$19:$B$201),'Бланк OLD 0.8 04'!$B$12:$K$200,9,0)="","",VLOOKUP($A211-COUNT('Шаг2.Бланк заказа NEW'!$B$19:$B$201),'Бланк OLD 0.8 04'!$B$12:$K$200,9,0))),
IF(VLOOKUP($A211-COUNT('Шаг2.Бланк заказа NEW'!$B$19:$B$201)-COUNT('Бланк OLD 0.8 04'!$B$18:$B$200),'Бланк OLD 2.0 04 '!$B$16:$K$200,9,0)="","",VLOOKUP($A211-COUNT('Шаг2.Бланк заказа NEW'!$B$19:$B$201)-COUNT('Бланк OLD 0.8 04'!$B$18:$B$200),'Бланк OLD 2.0 04 '!$B$16:$K$200,9,0)))</f>
        <v/>
      </c>
      <c r="M211" s="154" t="str">
        <f t="shared" ca="1" si="15"/>
        <v/>
      </c>
      <c r="N211" s="153" t="str">
        <f ca="1">IFERROR(IF(VLOOKUP($A211,'Шаг2.Бланк заказа NEW'!$B$17:$N$201,11,0)="","",VLOOKUP($A211,'Шаг2.Бланк заказа NEW'!$B$17:$N$201,11,0)),
"Нет")</f>
        <v/>
      </c>
      <c r="O211" s="147" t="str">
        <f ca="1">IFERROR(IF(VLOOKUP($A211,'Шаг2.Бланк заказа NEW'!$B$17:$N$201,11,0)="","",VLOOKUP($A211,'Шаг2.Бланк заказа NEW'!$B$17:$N$201,12,0)),
"Нет")</f>
        <v/>
      </c>
      <c r="P211" s="153" t="str">
        <f ca="1">IFERROR(IF(VLOOKUP($A211,'Шаг2.Бланк заказа NEW'!$B$17:$N$201,13,0)="","",VLOOKUP($A211,'Шаг2.Бланк заказа NEW'!$B$17:$N$201,13,0)),
"Нет")</f>
        <v/>
      </c>
      <c r="Q211" s="147" t="str">
        <f ca="1">IFERROR(IF(VLOOKUP($A211,'Шаг2.Бланк заказа NEW'!$B$17:$O$201,14,0)="","",VLOOKUP($A211,'Шаг2.Бланк заказа NEW'!$B$17:$O$201,14,0)),"")</f>
        <v/>
      </c>
      <c r="R211" s="147" t="str">
        <f ca="1">IFERROR(IFERROR(IF(VLOOKUP($A211,'Шаг2.Бланк заказа NEW'!$B$17:$N$201,4,0)="","",VLOOKUP($A211,'Шаг2.Бланк заказа NEW'!$B$17:$N$201,4,0)),
IF(VLOOKUP($A211-COUNT('Шаг2.Бланк заказа NEW'!$B$19:$B$201),'Бланк OLD 0.8 04'!$B$12:$K$200,4,0)&gt;0,0.8,
IF(VLOOKUP($A211-COUNT('Шаг2.Бланк заказа NEW'!$B$19:$B$201),'Бланк OLD 0.8 04'!$B$12:$K$200,5,0)&gt;0,0.4,""))),
IF(VLOOKUP($A211-COUNT('Шаг2.Бланк заказа NEW'!$B$19:$B$201)-COUNT('Бланк OLD 0.8 04'!$B$18:$B$200),'Бланк OLD 2.0 04 '!$B$16:$K$200,4,0)&gt;0,2,IF(VLOOKUP($A211-COUNT('Шаг2.Бланк заказа NEW'!$B$19:$B$201)-COUNT('Бланк OLD 0.8 04'!$B$18:$B$200),'Бланк OLD 2.0 04 '!$B$16:$K$200,5,0)&gt;0,0.4,"")))</f>
        <v/>
      </c>
      <c r="S211" s="147" t="str">
        <f ca="1">IFERROR(IFERROR(IF(VLOOKUP($A211,'Шаг2.Бланк заказа NEW'!$B$17:$N$201,5,0)="","",VLOOKUP($A211,'Шаг2.Бланк заказа NEW'!$B$17:$N$201,5,0)),
IF(VLOOKUP($A211-COUNT('Шаг2.Бланк заказа NEW'!$B$19:$B$201),'Бланк OLD 0.8 04'!$B$12:$K$200,4,0)&gt;1,0.8,
IF(VLOOKUP($A211-COUNT('Шаг2.Бланк заказа NEW'!$B$19:$B$201),'Бланк OLD 0.8 04'!$B$12:$K$200,5,0)&gt;1,0.4,
IF(AND(VLOOKUP($A211-COUNT('Шаг2.Бланк заказа NEW'!$B$19:$B$201),'Бланк OLD 0.8 04'!$B$12:$K$200,4,0)&gt;0,VLOOKUP($A211-COUNT('Шаг2.Бланк заказа NEW'!$B$19:$B$201),'Бланк OLD 0.8 04'!$B$12:$K$200,5,0)&gt;0),0.4,"")))),
IF(VLOOKUP($A211-COUNT('Шаг2.Бланк заказа NEW'!$B$19:$B$201)-COUNT('Бланк OLD 0.8 04'!$B$18:$B$200),'Бланк OLD 2.0 04 '!$B$16:$K$200,4,0)&gt;1,2,
IF(VLOOKUP($A211-COUNT('Шаг2.Бланк заказа NEW'!$B$19:$B$201)-COUNT('Бланк OLD 0.8 04'!$B$18:$B$200),'Бланк OLD 2.0 04 '!$B$16:$K$200,5,0)&gt;1,0.4,IF(AND(VLOOKUP($A211-COUNT('Шаг2.Бланк заказа NEW'!$B$19:$B$201)-COUNT('Бланк OLD 0.8 04'!$B$18:$B$200),'Бланк OLD 2.0 04 '!$B$16:$K$200,4,0)&gt;0,VLOOKUP($A211-COUNT('Шаг2.Бланк заказа NEW'!$B$19:$B$201)-COUNT('Бланк OLD 0.8 04'!$B$18:$B$200),'Бланк OLD 2.0 04 '!$B$16:$K$200,5,0)&gt;0),0.4,""))))</f>
        <v/>
      </c>
      <c r="T211" s="147" t="str">
        <f ca="1">IFERROR(IFERROR(IF(VLOOKUP($A211,'Шаг2.Бланк заказа NEW'!$B$17:$N$201,7,0)="","",VLOOKUP($A211,'Шаг2.Бланк заказа NEW'!$B$17:$N$201,7,0)),
IF(VLOOKUP($A211-COUNT('Шаг2.Бланк заказа NEW'!$B$19:$B$201),'Бланк OLD 0.8 04'!$B$12:$K$200,7,0)&gt;0,0.8,
IF(VLOOKUP($A211-COUNT('Шаг2.Бланк заказа NEW'!$B$19:$B$201),'Бланк OLD 0.8 04'!$B$12:$K$200,8,0)&gt;0,0.4,""))),
IF(VLOOKUP($A211-COUNT('Шаг2.Бланк заказа NEW'!$B$19:$B$201)-COUNT('Бланк OLD 0.8 04'!$B$18:$B$200),'Бланк OLD 2.0 04 '!$B$16:$K$200,7,0)&gt;0,2,IF(VLOOKUP($A211-COUNT('Шаг2.Бланк заказа NEW'!$B$19:$B$201)-COUNT('Бланк OLD 0.8 04'!$B$18:$B$200),'Бланк OLD 2.0 04 '!$B$16:$K$200,8,0)&gt;0,0.4,"")))</f>
        <v/>
      </c>
      <c r="U211" s="147" t="str">
        <f ca="1">IFERROR(IFERROR(IF(VLOOKUP($A211,'Шаг2.Бланк заказа NEW'!$B$17:$N$201,8,0)="","",VLOOKUP($A211,'Шаг2.Бланк заказа NEW'!$B$17:$N$201,8,0)),
IF(VLOOKUP($A211-COUNT('Шаг2.Бланк заказа NEW'!$B$19:$B$201),'Бланк OLD 0.8 04'!$B$12:$K$200,7,0)&gt;1,0.8,
IF(VLOOKUP($A211-COUNT('Шаг2.Бланк заказа NEW'!$B$19:$B$201),'Бланк OLD 0.8 04'!$B$12:$K$200,8,0)&gt;1,0.4,
IF(AND(VLOOKUP($A211-COUNT('Шаг2.Бланк заказа NEW'!$B$19:$B$201),'Бланк OLD 0.8 04'!$B$12:$K$200,7,0)&gt;0,VLOOKUP($A211-COUNT('Шаг2.Бланк заказа NEW'!$B$19:$B$201),'Бланк OLD 0.8 04'!$B$12:$K$200,8,0)&gt;0),0.4,"")))),
IF(VLOOKUP($A211-COUNT('Шаг2.Бланк заказа NEW'!$B$19:$B$201)-COUNT('Бланк OLD 0.8 04'!$B$18:$B$200),'Бланк OLD 2.0 04 '!$B$16:$K$200,7,0)&gt;1,2,
IF(VLOOKUP($A211-COUNT('Шаг2.Бланк заказа NEW'!$B$19:$B$201)-COUNT('Бланк OLD 0.8 04'!$B$18:$B$200),'Бланк OLD 2.0 04 '!$B$16:$K$200,8,0)&gt;1,0.4,
IF(AND(VLOOKUP($A211-COUNT('Шаг2.Бланк заказа NEW'!$B$19:$B$201)-COUNT('Бланк OLD 0.8 04'!$B$18:$B$200),'Бланк OLD 2.0 04 '!$B$16:$K$200,7,0)&gt;0,VLOOKUP($A211-COUNT('Шаг2.Бланк заказа NEW'!$B$19:$B$201)-COUNT('Бланк OLD 0.8 04'!$B$18:$B$200),'Бланк OLD 2.0 04 '!$B$16:$K$200,8,0)&gt;0),0.4,""))))</f>
        <v/>
      </c>
      <c r="V211" s="146" t="str">
        <f ca="1">IFERROR(VLOOKUP(C211,'Шаг1.Выбор плиты'!C:S,12,0),"")</f>
        <v/>
      </c>
      <c r="W211" s="146" t="str">
        <f ca="1">IFERROR(VLOOKUP(C211,'Шаг1.Выбор плиты'!C:S,8,0),"")</f>
        <v/>
      </c>
      <c r="X211" s="146" t="str">
        <f ca="1">IFERROR(VLOOKUP(C211,'Шаг1.Выбор плиты'!C:S,10,0),"")</f>
        <v/>
      </c>
      <c r="Y211" s="147" t="str">
        <f t="shared" ca="1" si="18"/>
        <v/>
      </c>
      <c r="AD211" s="147" t="str">
        <f t="shared" ca="1" si="16"/>
        <v/>
      </c>
      <c r="AE211" s="147" t="str">
        <f t="shared" ca="1" si="19"/>
        <v/>
      </c>
      <c r="AF211" s="25"/>
      <c r="AH211" s="147" t="str">
        <f ca="1">IF(C211="","",VLOOKUP(C211,'Шаг1.Выбор плиты'!C:Q,7,0))</f>
        <v/>
      </c>
      <c r="AI211" s="147" t="str">
        <f t="shared" ca="1" si="17"/>
        <v/>
      </c>
    </row>
    <row r="212" spans="1:35" x14ac:dyDescent="0.2">
      <c r="A212" s="151" t="str">
        <f ca="1">IF(C212="","",MAX($A$1:OFFSET(C212,-1,0))+1)</f>
        <v/>
      </c>
      <c r="B212" s="151" t="str">
        <f ca="1">IFERROR(IFERROR(IFERROR("Шаг2.Бланк заказа NEW №"&amp;VLOOKUP(A211+1,CHOOSE({1,2},'Шаг2.Бланк заказа NEW'!$B$19:$B$201,'Шаг2.Бланк заказа NEW'!$A$19:$A$201),1,0),
"Бланк OLD 0.8 04 №"&amp;VLOOKUP(A211+1-COUNT('Шаг2.Бланк заказа NEW'!$B$19:$B$201),CHOOSE({1,2},'Бланк OLD 0.8 04'!$B$18:$B$200,'Бланк OLD 0.8 04'!$A$18:$A$200),1,0)),
"Бланк OLD 2.0 04 №"&amp;VLOOKUP(A211+1-COUNT('Шаг2.Бланк заказа NEW'!$B$19:$B$201)-COUNT('Бланк OLD 0.8 04'!$B$18:$B$200),CHOOSE({1,2},'Бланк OLD 2.0 04 '!$B$18:$B$200,'Бланк OLD 2.0 04 '!$A$18:$A$200),1,0)),"")</f>
        <v/>
      </c>
      <c r="C212" s="152" t="str">
        <f ca="1">IFERROR(IFERROR(IFERROR(VLOOKUP(A211+1,CHOOSE({1,2},'Шаг2.Бланк заказа NEW'!$B$19:$B$201,'Шаг2.Бланк заказа NEW'!$A$19:$A$201),2,0),
VLOOKUP(A211+1-COUNT('Шаг2.Бланк заказа NEW'!$B$19:$B$201),CHOOSE({1,2},'Бланк OLD 0.8 04'!$B$18:$B$200,'Бланк OLD 0.8 04'!$A$18:$A$200),2,0)),
VLOOKUP(A211+1-COUNT('Шаг2.Бланк заказа NEW'!$B$19:$B$201)-COUNT('Бланк OLD 0.8 04'!$B$18:$B$200),CHOOSE({1,2},'Бланк OLD 2.0 04 '!$B$18:$B$200,'Бланк OLD 2.0 04 '!$A$18:$A$200),2,0)),"")</f>
        <v/>
      </c>
      <c r="D212" s="150" t="str">
        <f ca="1">IFERROR(VLOOKUP(C212,'Шаг1.Выбор плиты'!C:G,5,0),"")</f>
        <v/>
      </c>
      <c r="E212" s="147" t="str">
        <f ca="1">IFERROR(IFERROR(IF(VLOOKUP($A212,'Шаг2.Бланк заказа NEW'!$B$17:$N$201,2,0)="","",VLOOKUP($A212,'Шаг2.Бланк заказа NEW'!$B$17:$N$201,2,0)),
IF(VLOOKUP($A212-COUNT('Шаг2.Бланк заказа NEW'!$B$19:$B$201),'Бланк OLD 0.8 04'!$B$12:$K$200,2,0)="","",VLOOKUP($A212-COUNT('Шаг2.Бланк заказа NEW'!$B$19:$B$201),'Бланк OLD 0.8 04'!$B$12:$K$200,2,0))),
IF(VLOOKUP($A212-COUNT('Шаг2.Бланк заказа NEW'!$B$19:$B$201)-COUNT('Бланк OLD 0.8 04'!$B$18:$B$200),'Бланк OLD 2.0 04 '!$B$16:$K$200,2,0)="","",VLOOKUP($A212-COUNT('Шаг2.Бланк заказа NEW'!$B$19:$B$201)-COUNT('Бланк OLD 0.8 04'!$B$18:$B$200),'Бланк OLD 2.0 04 '!$B$16:$K$200,2,0)))</f>
        <v/>
      </c>
      <c r="F212" s="147" t="str">
        <f ca="1">IFERROR(IFERROR(IF(VLOOKUP($A212,'Шаг2.Бланк заказа NEW'!$B$17:$N$201,3,0)="","",VLOOKUP($A212,'Шаг2.Бланк заказа NEW'!$B$17:$N$201,3,0)),
IF(VLOOKUP($A212-COUNT('Шаг2.Бланк заказа NEW'!$B$19:$B$201),'Бланк OLD 0.8 04'!$B$12:$K$200,3,0)="","",VLOOKUP($A212-COUNT('Шаг2.Бланк заказа NEW'!$B$19:$B$201),'Бланк OLD 0.8 04'!$B$12:$K$200,3,0))),
IF(VLOOKUP($A212-COUNT('Шаг2.Бланк заказа NEW'!$B$19:$B$201)-COUNT('Бланк OLD 0.8 04'!$B$18:$B$200),'Бланк OLD 2.0 04 '!$B$16:$K$200,3,0)="","",VLOOKUP($A212-COUNT('Шаг2.Бланк заказа NEW'!$B$19:$B$201)-COUNT('Бланк OLD 0.8 04'!$B$18:$B$200),'Бланк OLD 2.0 04 '!$B$16:$K$200,3,0)))</f>
        <v/>
      </c>
      <c r="G212" s="176" t="str">
        <f ca="1">IF(IF(R212="","",IF(R212=1,SUMIFS('Шаг1.Выбор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плиты'!C:Q,12,0)),1))))))=0,
R212,
IF(R212="","",IF(R212=1,SUMIFS('Шаг1.Выбор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плиты'!N:N,R212,'Шаг1.Выбор плиты'!M:M,SMALL(INDIRECT("мм"&amp;VLOOKUP(C212,'Шаг1.Выбор плиты'!C:Q,12,0)),1)))))))</f>
        <v/>
      </c>
      <c r="H212" s="177" t="str">
        <f ca="1">IF(IF(S212="","",IF(S212=1,SUMIFS('Шаг1.Выбор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плиты'!C:Q,12,0)),1))))))=0,
S212,
IF(S212="","",IF(S212=1,SUMIFS('Шаг1.Выбор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плиты'!N:N,S212,'Шаг1.Выбор плиты'!M:M,SMALL(INDIRECT("мм"&amp;VLOOKUP(C212,'Шаг1.Выбор плиты'!C:Q,12,0)),1)))))))</f>
        <v/>
      </c>
      <c r="I212" s="147" t="str">
        <f ca="1">IFERROR(IFERROR(IF(VLOOKUP($A212,'Шаг2.Бланк заказа NEW'!$B$17:$N$201,6,0)="","",VLOOKUP($A212,'Шаг2.Бланк заказа NEW'!$B$17:$N$201,6,0)),
IF(VLOOKUP($A212-COUNT('Шаг2.Бланк заказа NEW'!$B$19:$B$201),'Бланк OLD 0.8 04'!$B$12:$K$200,6,0)="","",VLOOKUP($A212-COUNT('Шаг2.Бланк заказа NEW'!$B$19:$B$201),'Бланк OLD 0.8 04'!$B$12:$K$200,6,0))),
IF(VLOOKUP($A212-COUNT('Шаг2.Бланк заказа NEW'!$B$19:$B$201)-COUNT('Бланк OLD 0.8 04'!$B$18:$B$200),'Бланк OLD 2.0 04 '!$B$16:$K$200,6,0)="","",VLOOKUP($A212-COUNT('Шаг2.Бланк заказа NEW'!$B$19:$B$201)-COUNT('Бланк OLD 0.8 04'!$B$18:$B$200),'Бланк OLD 2.0 04 '!$B$16:$K$200,6,0)))</f>
        <v/>
      </c>
      <c r="J212" s="177" t="str">
        <f ca="1">IF(IF(T212="","",IF(T212=1,SUMIFS('Шаг1.Выбор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плиты'!C:Q,12,0)),1))))))=0,
T212,
IF(T212="","",IF(T212=1,SUMIFS('Шаг1.Выбор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плиты'!N:N,T212,'Шаг1.Выбор плиты'!M:M,SMALL(INDIRECT("мм"&amp;VLOOKUP(C212,'Шаг1.Выбор плиты'!C:Q,12,0)),1)))))))</f>
        <v/>
      </c>
      <c r="K212" s="177" t="str">
        <f ca="1">IF(IF(U212="","",IF(U212=1,SUMIFS('Шаг1.Выбор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плиты'!C:Q,12,0)),1))))))=0,
U212,
IF(U212="","",IF(U212=1,SUMIFS('Шаг1.Выбор плиты'!$G:$G,'Шаг1.Выбор плиты'!J:J,"*"&amp;RIGHT(VLOOKUP(C212,'Шаг1.Выбор плиты'!C:Q,8,0),4),'Шаг1.Выбор плиты'!L:L,IF(MID(C212,1,6)="ЛДСП P","TM"&amp;MID(VLOOKUP(C212,'Шаг1.Выбор плиты'!C:Q,10,0),3,2),MID(VLOOKUP(C212,'Шаг1.Выбор плиты'!C:Q,10,0),1,2)),
'Шаг1.Выбор плиты'!N:N,1),IF(SUMIFS('Шаг1.Выбор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плиты'!C:Q,12,0)),1))=0,
IF(SUMIFS('Шаг1.Выбор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плиты'!C:Q,12,0)),2))=0,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плиты'!C:Q,12,0)),3)),
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плиты'!C:Q,12,0)),2))),
(SUMIFS('Шаг1.Выбор плиты'!$G:$G,'Шаг1.Выбор плиты'!J:J,"*"&amp;RIGHT(VLOOKUP(C212,'Шаг1.Выбор плиты'!C:Q,8,0),4),'Шаг1.Выбор плиты'!L:L,VLOOKUP(C212,'Шаг1.Выбор плиты'!C:Q,10,0),'Шаг1.Выбор плиты'!N:N,U212,'Шаг1.Выбор плиты'!M:M,SMALL(INDIRECT("мм"&amp;VLOOKUP(C212,'Шаг1.Выбор плиты'!C:Q,12,0)),1)))))))</f>
        <v/>
      </c>
      <c r="L212" s="147" t="str">
        <f ca="1">IFERROR(IFERROR(IF(VLOOKUP($A212,'Шаг2.Бланк заказа NEW'!$B$17:$N$201,9,0)="","",VLOOKUP($A212,'Шаг2.Бланк заказа NEW'!$B$17:$N$201,9,0)),
IF(VLOOKUP($A212-COUNT('Шаг2.Бланк заказа NEW'!$B$19:$B$201),'Бланк OLD 0.8 04'!$B$12:$K$200,9,0)="","",VLOOKUP($A212-COUNT('Шаг2.Бланк заказа NEW'!$B$19:$B$201),'Бланк OLD 0.8 04'!$B$12:$K$200,9,0))),
IF(VLOOKUP($A212-COUNT('Шаг2.Бланк заказа NEW'!$B$19:$B$201)-COUNT('Бланк OLD 0.8 04'!$B$18:$B$200),'Бланк OLD 2.0 04 '!$B$16:$K$200,9,0)="","",VLOOKUP($A212-COUNT('Шаг2.Бланк заказа NEW'!$B$19:$B$201)-COUNT('Бланк OLD 0.8 04'!$B$18:$B$200),'Бланк OLD 2.0 04 '!$B$16:$K$200,9,0)))</f>
        <v/>
      </c>
      <c r="M212" s="154" t="str">
        <f t="shared" ref="M212:M275" ca="1" si="20">IFERROR((F212/1000)*(I212/1000)*L212,"")</f>
        <v/>
      </c>
      <c r="N212" s="153" t="str">
        <f ca="1">IFERROR(IF(VLOOKUP($A212,'Шаг2.Бланк заказа NEW'!$B$17:$N$201,11,0)="","",VLOOKUP($A212,'Шаг2.Бланк заказа NEW'!$B$17:$N$201,11,0)),
"Нет")</f>
        <v/>
      </c>
      <c r="O212" s="147" t="str">
        <f ca="1">IFERROR(IF(VLOOKUP($A212,'Шаг2.Бланк заказа NEW'!$B$17:$N$201,11,0)="","",VLOOKUP($A212,'Шаг2.Бланк заказа NEW'!$B$17:$N$201,12,0)),
"Нет")</f>
        <v/>
      </c>
      <c r="P212" s="153" t="str">
        <f ca="1">IFERROR(IF(VLOOKUP($A212,'Шаг2.Бланк заказа NEW'!$B$17:$N$201,13,0)="","",VLOOKUP($A212,'Шаг2.Бланк заказа NEW'!$B$17:$N$201,13,0)),
"Нет")</f>
        <v/>
      </c>
      <c r="Q212" s="147" t="str">
        <f ca="1">IFERROR(IF(VLOOKUP($A212,'Шаг2.Бланк заказа NEW'!$B$17:$O$201,14,0)="","",VLOOKUP($A212,'Шаг2.Бланк заказа NEW'!$B$17:$O$201,14,0)),"")</f>
        <v/>
      </c>
      <c r="R212" s="147" t="str">
        <f ca="1">IFERROR(IFERROR(IF(VLOOKUP($A212,'Шаг2.Бланк заказа NEW'!$B$17:$N$201,4,0)="","",VLOOKUP($A212,'Шаг2.Бланк заказа NEW'!$B$17:$N$201,4,0)),
IF(VLOOKUP($A212-COUNT('Шаг2.Бланк заказа NEW'!$B$19:$B$201),'Бланк OLD 0.8 04'!$B$12:$K$200,4,0)&gt;0,0.8,
IF(VLOOKUP($A212-COUNT('Шаг2.Бланк заказа NEW'!$B$19:$B$201),'Бланк OLD 0.8 04'!$B$12:$K$200,5,0)&gt;0,0.4,""))),
IF(VLOOKUP($A212-COUNT('Шаг2.Бланк заказа NEW'!$B$19:$B$201)-COUNT('Бланк OLD 0.8 04'!$B$18:$B$200),'Бланк OLD 2.0 04 '!$B$16:$K$200,4,0)&gt;0,2,IF(VLOOKUP($A212-COUNT('Шаг2.Бланк заказа NEW'!$B$19:$B$201)-COUNT('Бланк OLD 0.8 04'!$B$18:$B$200),'Бланк OLD 2.0 04 '!$B$16:$K$200,5,0)&gt;0,0.4,"")))</f>
        <v/>
      </c>
      <c r="S212" s="147" t="str">
        <f ca="1">IFERROR(IFERROR(IF(VLOOKUP($A212,'Шаг2.Бланк заказа NEW'!$B$17:$N$201,5,0)="","",VLOOKUP($A212,'Шаг2.Бланк заказа NEW'!$B$17:$N$201,5,0)),
IF(VLOOKUP($A212-COUNT('Шаг2.Бланк заказа NEW'!$B$19:$B$201),'Бланк OLD 0.8 04'!$B$12:$K$200,4,0)&gt;1,0.8,
IF(VLOOKUP($A212-COUNT('Шаг2.Бланк заказа NEW'!$B$19:$B$201),'Бланк OLD 0.8 04'!$B$12:$K$200,5,0)&gt;1,0.4,
IF(AND(VLOOKUP($A212-COUNT('Шаг2.Бланк заказа NEW'!$B$19:$B$201),'Бланк OLD 0.8 04'!$B$12:$K$200,4,0)&gt;0,VLOOKUP($A212-COUNT('Шаг2.Бланк заказа NEW'!$B$19:$B$201),'Бланк OLD 0.8 04'!$B$12:$K$200,5,0)&gt;0),0.4,"")))),
IF(VLOOKUP($A212-COUNT('Шаг2.Бланк заказа NEW'!$B$19:$B$201)-COUNT('Бланк OLD 0.8 04'!$B$18:$B$200),'Бланк OLD 2.0 04 '!$B$16:$K$200,4,0)&gt;1,2,
IF(VLOOKUP($A212-COUNT('Шаг2.Бланк заказа NEW'!$B$19:$B$201)-COUNT('Бланк OLD 0.8 04'!$B$18:$B$200),'Бланк OLD 2.0 04 '!$B$16:$K$200,5,0)&gt;1,0.4,IF(AND(VLOOKUP($A212-COUNT('Шаг2.Бланк заказа NEW'!$B$19:$B$201)-COUNT('Бланк OLD 0.8 04'!$B$18:$B$200),'Бланк OLD 2.0 04 '!$B$16:$K$200,4,0)&gt;0,VLOOKUP($A212-COUNT('Шаг2.Бланк заказа NEW'!$B$19:$B$201)-COUNT('Бланк OLD 0.8 04'!$B$18:$B$200),'Бланк OLD 2.0 04 '!$B$16:$K$200,5,0)&gt;0),0.4,""))))</f>
        <v/>
      </c>
      <c r="T212" s="147" t="str">
        <f ca="1">IFERROR(IFERROR(IF(VLOOKUP($A212,'Шаг2.Бланк заказа NEW'!$B$17:$N$201,7,0)="","",VLOOKUP($A212,'Шаг2.Бланк заказа NEW'!$B$17:$N$201,7,0)),
IF(VLOOKUP($A212-COUNT('Шаг2.Бланк заказа NEW'!$B$19:$B$201),'Бланк OLD 0.8 04'!$B$12:$K$200,7,0)&gt;0,0.8,
IF(VLOOKUP($A212-COUNT('Шаг2.Бланк заказа NEW'!$B$19:$B$201),'Бланк OLD 0.8 04'!$B$12:$K$200,8,0)&gt;0,0.4,""))),
IF(VLOOKUP($A212-COUNT('Шаг2.Бланк заказа NEW'!$B$19:$B$201)-COUNT('Бланк OLD 0.8 04'!$B$18:$B$200),'Бланк OLD 2.0 04 '!$B$16:$K$200,7,0)&gt;0,2,IF(VLOOKUP($A212-COUNT('Шаг2.Бланк заказа NEW'!$B$19:$B$201)-COUNT('Бланк OLD 0.8 04'!$B$18:$B$200),'Бланк OLD 2.0 04 '!$B$16:$K$200,8,0)&gt;0,0.4,"")))</f>
        <v/>
      </c>
      <c r="U212" s="147" t="str">
        <f ca="1">IFERROR(IFERROR(IF(VLOOKUP($A212,'Шаг2.Бланк заказа NEW'!$B$17:$N$201,8,0)="","",VLOOKUP($A212,'Шаг2.Бланк заказа NEW'!$B$17:$N$201,8,0)),
IF(VLOOKUP($A212-COUNT('Шаг2.Бланк заказа NEW'!$B$19:$B$201),'Бланк OLD 0.8 04'!$B$12:$K$200,7,0)&gt;1,0.8,
IF(VLOOKUP($A212-COUNT('Шаг2.Бланк заказа NEW'!$B$19:$B$201),'Бланк OLD 0.8 04'!$B$12:$K$200,8,0)&gt;1,0.4,
IF(AND(VLOOKUP($A212-COUNT('Шаг2.Бланк заказа NEW'!$B$19:$B$201),'Бланк OLD 0.8 04'!$B$12:$K$200,7,0)&gt;0,VLOOKUP($A212-COUNT('Шаг2.Бланк заказа NEW'!$B$19:$B$201),'Бланк OLD 0.8 04'!$B$12:$K$200,8,0)&gt;0),0.4,"")))),
IF(VLOOKUP($A212-COUNT('Шаг2.Бланк заказа NEW'!$B$19:$B$201)-COUNT('Бланк OLD 0.8 04'!$B$18:$B$200),'Бланк OLD 2.0 04 '!$B$16:$K$200,7,0)&gt;1,2,
IF(VLOOKUP($A212-COUNT('Шаг2.Бланк заказа NEW'!$B$19:$B$201)-COUNT('Бланк OLD 0.8 04'!$B$18:$B$200),'Бланк OLD 2.0 04 '!$B$16:$K$200,8,0)&gt;1,0.4,
IF(AND(VLOOKUP($A212-COUNT('Шаг2.Бланк заказа NEW'!$B$19:$B$201)-COUNT('Бланк OLD 0.8 04'!$B$18:$B$200),'Бланк OLD 2.0 04 '!$B$16:$K$200,7,0)&gt;0,VLOOKUP($A212-COUNT('Шаг2.Бланк заказа NEW'!$B$19:$B$201)-COUNT('Бланк OLD 0.8 04'!$B$18:$B$200),'Бланк OLD 2.0 04 '!$B$16:$K$200,8,0)&gt;0),0.4,""))))</f>
        <v/>
      </c>
      <c r="V212" s="146" t="str">
        <f ca="1">IFERROR(VLOOKUP(C212,'Шаг1.Выбор плиты'!C:S,12,0),"")</f>
        <v/>
      </c>
      <c r="W212" s="146" t="str">
        <f ca="1">IFERROR(VLOOKUP(C212,'Шаг1.Выбор плиты'!C:S,8,0),"")</f>
        <v/>
      </c>
      <c r="X212" s="146" t="str">
        <f ca="1">IFERROR(VLOOKUP(C212,'Шаг1.Выбор плиты'!C:S,10,0),"")</f>
        <v/>
      </c>
      <c r="Y212" s="147" t="str">
        <f t="shared" ca="1" si="18"/>
        <v/>
      </c>
      <c r="AD212" s="147" t="str">
        <f t="shared" ref="AD212:AD275" ca="1" si="21">IF(C212="","",0)</f>
        <v/>
      </c>
      <c r="AE212" s="147" t="str">
        <f t="shared" ca="1" si="19"/>
        <v/>
      </c>
      <c r="AF212" s="25"/>
      <c r="AH212" s="147" t="str">
        <f ca="1">IF(C212="","",VLOOKUP(C212,'Шаг1.Выбор плиты'!C:Q,7,0))</f>
        <v/>
      </c>
      <c r="AI212" s="147" t="str">
        <f t="shared" ref="AI212:AI275" ca="1" si="22">IF(N212="","",IF(N212="да",1,0))</f>
        <v/>
      </c>
    </row>
    <row r="213" spans="1:35" x14ac:dyDescent="0.2">
      <c r="A213" s="151" t="str">
        <f ca="1">IF(C213="","",MAX($A$1:OFFSET(C213,-1,0))+1)</f>
        <v/>
      </c>
      <c r="B213" s="151" t="str">
        <f ca="1">IFERROR(IFERROR(IFERROR("Шаг2.Бланк заказа NEW №"&amp;VLOOKUP(A212+1,CHOOSE({1,2},'Шаг2.Бланк заказа NEW'!$B$19:$B$201,'Шаг2.Бланк заказа NEW'!$A$19:$A$201),1,0),
"Бланк OLD 0.8 04 №"&amp;VLOOKUP(A212+1-COUNT('Шаг2.Бланк заказа NEW'!$B$19:$B$201),CHOOSE({1,2},'Бланк OLD 0.8 04'!$B$18:$B$200,'Бланк OLD 0.8 04'!$A$18:$A$200),1,0)),
"Бланк OLD 2.0 04 №"&amp;VLOOKUP(A212+1-COUNT('Шаг2.Бланк заказа NEW'!$B$19:$B$201)-COUNT('Бланк OLD 0.8 04'!$B$18:$B$200),CHOOSE({1,2},'Бланк OLD 2.0 04 '!$B$18:$B$200,'Бланк OLD 2.0 04 '!$A$18:$A$200),1,0)),"")</f>
        <v/>
      </c>
      <c r="C213" s="152" t="str">
        <f ca="1">IFERROR(IFERROR(IFERROR(VLOOKUP(A212+1,CHOOSE({1,2},'Шаг2.Бланк заказа NEW'!$B$19:$B$201,'Шаг2.Бланк заказа NEW'!$A$19:$A$201),2,0),
VLOOKUP(A212+1-COUNT('Шаг2.Бланк заказа NEW'!$B$19:$B$201),CHOOSE({1,2},'Бланк OLD 0.8 04'!$B$18:$B$200,'Бланк OLD 0.8 04'!$A$18:$A$200),2,0)),
VLOOKUP(A212+1-COUNT('Шаг2.Бланк заказа NEW'!$B$19:$B$201)-COUNT('Бланк OLD 0.8 04'!$B$18:$B$200),CHOOSE({1,2},'Бланк OLD 2.0 04 '!$B$18:$B$200,'Бланк OLD 2.0 04 '!$A$18:$A$200),2,0)),"")</f>
        <v/>
      </c>
      <c r="D213" s="150" t="str">
        <f ca="1">IFERROR(VLOOKUP(C213,'Шаг1.Выбор плиты'!C:G,5,0),"")</f>
        <v/>
      </c>
      <c r="E213" s="147" t="str">
        <f ca="1">IFERROR(IFERROR(IF(VLOOKUP($A213,'Шаг2.Бланк заказа NEW'!$B$17:$N$201,2,0)="","",VLOOKUP($A213,'Шаг2.Бланк заказа NEW'!$B$17:$N$201,2,0)),
IF(VLOOKUP($A213-COUNT('Шаг2.Бланк заказа NEW'!$B$19:$B$201),'Бланк OLD 0.8 04'!$B$12:$K$200,2,0)="","",VLOOKUP($A213-COUNT('Шаг2.Бланк заказа NEW'!$B$19:$B$201),'Бланк OLD 0.8 04'!$B$12:$K$200,2,0))),
IF(VLOOKUP($A213-COUNT('Шаг2.Бланк заказа NEW'!$B$19:$B$201)-COUNT('Бланк OLD 0.8 04'!$B$18:$B$200),'Бланк OLD 2.0 04 '!$B$16:$K$200,2,0)="","",VLOOKUP($A213-COUNT('Шаг2.Бланк заказа NEW'!$B$19:$B$201)-COUNT('Бланк OLD 0.8 04'!$B$18:$B$200),'Бланк OLD 2.0 04 '!$B$16:$K$200,2,0)))</f>
        <v/>
      </c>
      <c r="F213" s="147" t="str">
        <f ca="1">IFERROR(IFERROR(IF(VLOOKUP($A213,'Шаг2.Бланк заказа NEW'!$B$17:$N$201,3,0)="","",VLOOKUP($A213,'Шаг2.Бланк заказа NEW'!$B$17:$N$201,3,0)),
IF(VLOOKUP($A213-COUNT('Шаг2.Бланк заказа NEW'!$B$19:$B$201),'Бланк OLD 0.8 04'!$B$12:$K$200,3,0)="","",VLOOKUP($A213-COUNT('Шаг2.Бланк заказа NEW'!$B$19:$B$201),'Бланк OLD 0.8 04'!$B$12:$K$200,3,0))),
IF(VLOOKUP($A213-COUNT('Шаг2.Бланк заказа NEW'!$B$19:$B$201)-COUNT('Бланк OLD 0.8 04'!$B$18:$B$200),'Бланк OLD 2.0 04 '!$B$16:$K$200,3,0)="","",VLOOKUP($A213-COUNT('Шаг2.Бланк заказа NEW'!$B$19:$B$201)-COUNT('Бланк OLD 0.8 04'!$B$18:$B$200),'Бланк OLD 2.0 04 '!$B$16:$K$200,3,0)))</f>
        <v/>
      </c>
      <c r="G213" s="176" t="str">
        <f ca="1">IF(IF(R213="","",IF(R213=1,SUMIFS('Шаг1.Выбор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плиты'!C:Q,12,0)),1))))))=0,
R213,
IF(R213="","",IF(R213=1,SUMIFS('Шаг1.Выбор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плиты'!N:N,R213,'Шаг1.Выбор плиты'!M:M,SMALL(INDIRECT("мм"&amp;VLOOKUP(C213,'Шаг1.Выбор плиты'!C:Q,12,0)),1)))))))</f>
        <v/>
      </c>
      <c r="H213" s="177" t="str">
        <f ca="1">IF(IF(S213="","",IF(S213=1,SUMIFS('Шаг1.Выбор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плиты'!C:Q,12,0)),1))))))=0,
S213,
IF(S213="","",IF(S213=1,SUMIFS('Шаг1.Выбор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плиты'!N:N,S213,'Шаг1.Выбор плиты'!M:M,SMALL(INDIRECT("мм"&amp;VLOOKUP(C213,'Шаг1.Выбор плиты'!C:Q,12,0)),1)))))))</f>
        <v/>
      </c>
      <c r="I213" s="147" t="str">
        <f ca="1">IFERROR(IFERROR(IF(VLOOKUP($A213,'Шаг2.Бланк заказа NEW'!$B$17:$N$201,6,0)="","",VLOOKUP($A213,'Шаг2.Бланк заказа NEW'!$B$17:$N$201,6,0)),
IF(VLOOKUP($A213-COUNT('Шаг2.Бланк заказа NEW'!$B$19:$B$201),'Бланк OLD 0.8 04'!$B$12:$K$200,6,0)="","",VLOOKUP($A213-COUNT('Шаг2.Бланк заказа NEW'!$B$19:$B$201),'Бланк OLD 0.8 04'!$B$12:$K$200,6,0))),
IF(VLOOKUP($A213-COUNT('Шаг2.Бланк заказа NEW'!$B$19:$B$201)-COUNT('Бланк OLD 0.8 04'!$B$18:$B$200),'Бланк OLD 2.0 04 '!$B$16:$K$200,6,0)="","",VLOOKUP($A213-COUNT('Шаг2.Бланк заказа NEW'!$B$19:$B$201)-COUNT('Бланк OLD 0.8 04'!$B$18:$B$200),'Бланк OLD 2.0 04 '!$B$16:$K$200,6,0)))</f>
        <v/>
      </c>
      <c r="J213" s="177" t="str">
        <f ca="1">IF(IF(T213="","",IF(T213=1,SUMIFS('Шаг1.Выбор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плиты'!C:Q,12,0)),1))))))=0,
T213,
IF(T213="","",IF(T213=1,SUMIFS('Шаг1.Выбор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плиты'!N:N,T213,'Шаг1.Выбор плиты'!M:M,SMALL(INDIRECT("мм"&amp;VLOOKUP(C213,'Шаг1.Выбор плиты'!C:Q,12,0)),1)))))))</f>
        <v/>
      </c>
      <c r="K213" s="177" t="str">
        <f ca="1">IF(IF(U213="","",IF(U213=1,SUMIFS('Шаг1.Выбор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плиты'!C:Q,12,0)),1))))))=0,
U213,
IF(U213="","",IF(U213=1,SUMIFS('Шаг1.Выбор плиты'!$G:$G,'Шаг1.Выбор плиты'!J:J,"*"&amp;RIGHT(VLOOKUP(C213,'Шаг1.Выбор плиты'!C:Q,8,0),4),'Шаг1.Выбор плиты'!L:L,IF(MID(C213,1,6)="ЛДСП P","TM"&amp;MID(VLOOKUP(C213,'Шаг1.Выбор плиты'!C:Q,10,0),3,2),MID(VLOOKUP(C213,'Шаг1.Выбор плиты'!C:Q,10,0),1,2)),
'Шаг1.Выбор плиты'!N:N,1),IF(SUMIFS('Шаг1.Выбор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плиты'!C:Q,12,0)),1))=0,
IF(SUMIFS('Шаг1.Выбор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плиты'!C:Q,12,0)),2))=0,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плиты'!C:Q,12,0)),3)),
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плиты'!C:Q,12,0)),2))),
(SUMIFS('Шаг1.Выбор плиты'!$G:$G,'Шаг1.Выбор плиты'!J:J,"*"&amp;RIGHT(VLOOKUP(C213,'Шаг1.Выбор плиты'!C:Q,8,0),4),'Шаг1.Выбор плиты'!L:L,VLOOKUP(C213,'Шаг1.Выбор плиты'!C:Q,10,0),'Шаг1.Выбор плиты'!N:N,U213,'Шаг1.Выбор плиты'!M:M,SMALL(INDIRECT("мм"&amp;VLOOKUP(C213,'Шаг1.Выбор плиты'!C:Q,12,0)),1)))))))</f>
        <v/>
      </c>
      <c r="L213" s="147" t="str">
        <f ca="1">IFERROR(IFERROR(IF(VLOOKUP($A213,'Шаг2.Бланк заказа NEW'!$B$17:$N$201,9,0)="","",VLOOKUP($A213,'Шаг2.Бланк заказа NEW'!$B$17:$N$201,9,0)),
IF(VLOOKUP($A213-COUNT('Шаг2.Бланк заказа NEW'!$B$19:$B$201),'Бланк OLD 0.8 04'!$B$12:$K$200,9,0)="","",VLOOKUP($A213-COUNT('Шаг2.Бланк заказа NEW'!$B$19:$B$201),'Бланк OLD 0.8 04'!$B$12:$K$200,9,0))),
IF(VLOOKUP($A213-COUNT('Шаг2.Бланк заказа NEW'!$B$19:$B$201)-COUNT('Бланк OLD 0.8 04'!$B$18:$B$200),'Бланк OLD 2.0 04 '!$B$16:$K$200,9,0)="","",VLOOKUP($A213-COUNT('Шаг2.Бланк заказа NEW'!$B$19:$B$201)-COUNT('Бланк OLD 0.8 04'!$B$18:$B$200),'Бланк OLD 2.0 04 '!$B$16:$K$200,9,0)))</f>
        <v/>
      </c>
      <c r="M213" s="154" t="str">
        <f t="shared" ca="1" si="20"/>
        <v/>
      </c>
      <c r="N213" s="153" t="str">
        <f ca="1">IFERROR(IF(VLOOKUP($A213,'Шаг2.Бланк заказа NEW'!$B$17:$N$201,11,0)="","",VLOOKUP($A213,'Шаг2.Бланк заказа NEW'!$B$17:$N$201,11,0)),
"Нет")</f>
        <v/>
      </c>
      <c r="O213" s="147" t="str">
        <f ca="1">IFERROR(IF(VLOOKUP($A213,'Шаг2.Бланк заказа NEW'!$B$17:$N$201,11,0)="","",VLOOKUP($A213,'Шаг2.Бланк заказа NEW'!$B$17:$N$201,12,0)),
"Нет")</f>
        <v/>
      </c>
      <c r="P213" s="153" t="str">
        <f ca="1">IFERROR(IF(VLOOKUP($A213,'Шаг2.Бланк заказа NEW'!$B$17:$N$201,13,0)="","",VLOOKUP($A213,'Шаг2.Бланк заказа NEW'!$B$17:$N$201,13,0)),
"Нет")</f>
        <v/>
      </c>
      <c r="Q213" s="147" t="str">
        <f ca="1">IFERROR(IF(VLOOKUP($A213,'Шаг2.Бланк заказа NEW'!$B$17:$O$201,14,0)="","",VLOOKUP($A213,'Шаг2.Бланк заказа NEW'!$B$17:$O$201,14,0)),"")</f>
        <v/>
      </c>
      <c r="R213" s="147" t="str">
        <f ca="1">IFERROR(IFERROR(IF(VLOOKUP($A213,'Шаг2.Бланк заказа NEW'!$B$17:$N$201,4,0)="","",VLOOKUP($A213,'Шаг2.Бланк заказа NEW'!$B$17:$N$201,4,0)),
IF(VLOOKUP($A213-COUNT('Шаг2.Бланк заказа NEW'!$B$19:$B$201),'Бланк OLD 0.8 04'!$B$12:$K$200,4,0)&gt;0,0.8,
IF(VLOOKUP($A213-COUNT('Шаг2.Бланк заказа NEW'!$B$19:$B$201),'Бланк OLD 0.8 04'!$B$12:$K$200,5,0)&gt;0,0.4,""))),
IF(VLOOKUP($A213-COUNT('Шаг2.Бланк заказа NEW'!$B$19:$B$201)-COUNT('Бланк OLD 0.8 04'!$B$18:$B$200),'Бланк OLD 2.0 04 '!$B$16:$K$200,4,0)&gt;0,2,IF(VLOOKUP($A213-COUNT('Шаг2.Бланк заказа NEW'!$B$19:$B$201)-COUNT('Бланк OLD 0.8 04'!$B$18:$B$200),'Бланк OLD 2.0 04 '!$B$16:$K$200,5,0)&gt;0,0.4,"")))</f>
        <v/>
      </c>
      <c r="S213" s="147" t="str">
        <f ca="1">IFERROR(IFERROR(IF(VLOOKUP($A213,'Шаг2.Бланк заказа NEW'!$B$17:$N$201,5,0)="","",VLOOKUP($A213,'Шаг2.Бланк заказа NEW'!$B$17:$N$201,5,0)),
IF(VLOOKUP($A213-COUNT('Шаг2.Бланк заказа NEW'!$B$19:$B$201),'Бланк OLD 0.8 04'!$B$12:$K$200,4,0)&gt;1,0.8,
IF(VLOOKUP($A213-COUNT('Шаг2.Бланк заказа NEW'!$B$19:$B$201),'Бланк OLD 0.8 04'!$B$12:$K$200,5,0)&gt;1,0.4,
IF(AND(VLOOKUP($A213-COUNT('Шаг2.Бланк заказа NEW'!$B$19:$B$201),'Бланк OLD 0.8 04'!$B$12:$K$200,4,0)&gt;0,VLOOKUP($A213-COUNT('Шаг2.Бланк заказа NEW'!$B$19:$B$201),'Бланк OLD 0.8 04'!$B$12:$K$200,5,0)&gt;0),0.4,"")))),
IF(VLOOKUP($A213-COUNT('Шаг2.Бланк заказа NEW'!$B$19:$B$201)-COUNT('Бланк OLD 0.8 04'!$B$18:$B$200),'Бланк OLD 2.0 04 '!$B$16:$K$200,4,0)&gt;1,2,
IF(VLOOKUP($A213-COUNT('Шаг2.Бланк заказа NEW'!$B$19:$B$201)-COUNT('Бланк OLD 0.8 04'!$B$18:$B$200),'Бланк OLD 2.0 04 '!$B$16:$K$200,5,0)&gt;1,0.4,IF(AND(VLOOKUP($A213-COUNT('Шаг2.Бланк заказа NEW'!$B$19:$B$201)-COUNT('Бланк OLD 0.8 04'!$B$18:$B$200),'Бланк OLD 2.0 04 '!$B$16:$K$200,4,0)&gt;0,VLOOKUP($A213-COUNT('Шаг2.Бланк заказа NEW'!$B$19:$B$201)-COUNT('Бланк OLD 0.8 04'!$B$18:$B$200),'Бланк OLD 2.0 04 '!$B$16:$K$200,5,0)&gt;0),0.4,""))))</f>
        <v/>
      </c>
      <c r="T213" s="147" t="str">
        <f ca="1">IFERROR(IFERROR(IF(VLOOKUP($A213,'Шаг2.Бланк заказа NEW'!$B$17:$N$201,7,0)="","",VLOOKUP($A213,'Шаг2.Бланк заказа NEW'!$B$17:$N$201,7,0)),
IF(VLOOKUP($A213-COUNT('Шаг2.Бланк заказа NEW'!$B$19:$B$201),'Бланк OLD 0.8 04'!$B$12:$K$200,7,0)&gt;0,0.8,
IF(VLOOKUP($A213-COUNT('Шаг2.Бланк заказа NEW'!$B$19:$B$201),'Бланк OLD 0.8 04'!$B$12:$K$200,8,0)&gt;0,0.4,""))),
IF(VLOOKUP($A213-COUNT('Шаг2.Бланк заказа NEW'!$B$19:$B$201)-COUNT('Бланк OLD 0.8 04'!$B$18:$B$200),'Бланк OLD 2.0 04 '!$B$16:$K$200,7,0)&gt;0,2,IF(VLOOKUP($A213-COUNT('Шаг2.Бланк заказа NEW'!$B$19:$B$201)-COUNT('Бланк OLD 0.8 04'!$B$18:$B$200),'Бланк OLD 2.0 04 '!$B$16:$K$200,8,0)&gt;0,0.4,"")))</f>
        <v/>
      </c>
      <c r="U213" s="147" t="str">
        <f ca="1">IFERROR(IFERROR(IF(VLOOKUP($A213,'Шаг2.Бланк заказа NEW'!$B$17:$N$201,8,0)="","",VLOOKUP($A213,'Шаг2.Бланк заказа NEW'!$B$17:$N$201,8,0)),
IF(VLOOKUP($A213-COUNT('Шаг2.Бланк заказа NEW'!$B$19:$B$201),'Бланк OLD 0.8 04'!$B$12:$K$200,7,0)&gt;1,0.8,
IF(VLOOKUP($A213-COUNT('Шаг2.Бланк заказа NEW'!$B$19:$B$201),'Бланк OLD 0.8 04'!$B$12:$K$200,8,0)&gt;1,0.4,
IF(AND(VLOOKUP($A213-COUNT('Шаг2.Бланк заказа NEW'!$B$19:$B$201),'Бланк OLD 0.8 04'!$B$12:$K$200,7,0)&gt;0,VLOOKUP($A213-COUNT('Шаг2.Бланк заказа NEW'!$B$19:$B$201),'Бланк OLD 0.8 04'!$B$12:$K$200,8,0)&gt;0),0.4,"")))),
IF(VLOOKUP($A213-COUNT('Шаг2.Бланк заказа NEW'!$B$19:$B$201)-COUNT('Бланк OLD 0.8 04'!$B$18:$B$200),'Бланк OLD 2.0 04 '!$B$16:$K$200,7,0)&gt;1,2,
IF(VLOOKUP($A213-COUNT('Шаг2.Бланк заказа NEW'!$B$19:$B$201)-COUNT('Бланк OLD 0.8 04'!$B$18:$B$200),'Бланк OLD 2.0 04 '!$B$16:$K$200,8,0)&gt;1,0.4,
IF(AND(VLOOKUP($A213-COUNT('Шаг2.Бланк заказа NEW'!$B$19:$B$201)-COUNT('Бланк OLD 0.8 04'!$B$18:$B$200),'Бланк OLD 2.0 04 '!$B$16:$K$200,7,0)&gt;0,VLOOKUP($A213-COUNT('Шаг2.Бланк заказа NEW'!$B$19:$B$201)-COUNT('Бланк OLD 0.8 04'!$B$18:$B$200),'Бланк OLD 2.0 04 '!$B$16:$K$200,8,0)&gt;0),0.4,""))))</f>
        <v/>
      </c>
      <c r="V213" s="146" t="str">
        <f ca="1">IFERROR(VLOOKUP(C213,'Шаг1.Выбор плиты'!C:S,12,0),"")</f>
        <v/>
      </c>
      <c r="W213" s="146" t="str">
        <f ca="1">IFERROR(VLOOKUP(C213,'Шаг1.Выбор плиты'!C:S,8,0),"")</f>
        <v/>
      </c>
      <c r="X213" s="146" t="str">
        <f ca="1">IFERROR(VLOOKUP(C213,'Шаг1.Выбор плиты'!C:S,10,0),"")</f>
        <v/>
      </c>
      <c r="Y213" s="147" t="str">
        <f t="shared" ca="1" si="18"/>
        <v/>
      </c>
      <c r="AD213" s="147" t="str">
        <f t="shared" ca="1" si="21"/>
        <v/>
      </c>
      <c r="AE213" s="147" t="str">
        <f t="shared" ca="1" si="19"/>
        <v/>
      </c>
      <c r="AF213" s="25"/>
      <c r="AH213" s="147" t="str">
        <f ca="1">IF(C213="","",VLOOKUP(C213,'Шаг1.Выбор плиты'!C:Q,7,0))</f>
        <v/>
      </c>
      <c r="AI213" s="147" t="str">
        <f t="shared" ca="1" si="22"/>
        <v/>
      </c>
    </row>
    <row r="214" spans="1:35" x14ac:dyDescent="0.2">
      <c r="A214" s="151" t="str">
        <f ca="1">IF(C214="","",MAX($A$1:OFFSET(C214,-1,0))+1)</f>
        <v/>
      </c>
      <c r="B214" s="151" t="str">
        <f ca="1">IFERROR(IFERROR(IFERROR("Шаг2.Бланк заказа NEW №"&amp;VLOOKUP(A213+1,CHOOSE({1,2},'Шаг2.Бланк заказа NEW'!$B$19:$B$201,'Шаг2.Бланк заказа NEW'!$A$19:$A$201),1,0),
"Бланк OLD 0.8 04 №"&amp;VLOOKUP(A213+1-COUNT('Шаг2.Бланк заказа NEW'!$B$19:$B$201),CHOOSE({1,2},'Бланк OLD 0.8 04'!$B$18:$B$200,'Бланк OLD 0.8 04'!$A$18:$A$200),1,0)),
"Бланк OLD 2.0 04 №"&amp;VLOOKUP(A213+1-COUNT('Шаг2.Бланк заказа NEW'!$B$19:$B$201)-COUNT('Бланк OLD 0.8 04'!$B$18:$B$200),CHOOSE({1,2},'Бланк OLD 2.0 04 '!$B$18:$B$200,'Бланк OLD 2.0 04 '!$A$18:$A$200),1,0)),"")</f>
        <v/>
      </c>
      <c r="C214" s="152" t="str">
        <f ca="1">IFERROR(IFERROR(IFERROR(VLOOKUP(A213+1,CHOOSE({1,2},'Шаг2.Бланк заказа NEW'!$B$19:$B$201,'Шаг2.Бланк заказа NEW'!$A$19:$A$201),2,0),
VLOOKUP(A213+1-COUNT('Шаг2.Бланк заказа NEW'!$B$19:$B$201),CHOOSE({1,2},'Бланк OLD 0.8 04'!$B$18:$B$200,'Бланк OLD 0.8 04'!$A$18:$A$200),2,0)),
VLOOKUP(A213+1-COUNT('Шаг2.Бланк заказа NEW'!$B$19:$B$201)-COUNT('Бланк OLD 0.8 04'!$B$18:$B$200),CHOOSE({1,2},'Бланк OLD 2.0 04 '!$B$18:$B$200,'Бланк OLD 2.0 04 '!$A$18:$A$200),2,0)),"")</f>
        <v/>
      </c>
      <c r="D214" s="150" t="str">
        <f ca="1">IFERROR(VLOOKUP(C214,'Шаг1.Выбор плиты'!C:G,5,0),"")</f>
        <v/>
      </c>
      <c r="E214" s="147" t="str">
        <f ca="1">IFERROR(IFERROR(IF(VLOOKUP($A214,'Шаг2.Бланк заказа NEW'!$B$17:$N$201,2,0)="","",VLOOKUP($A214,'Шаг2.Бланк заказа NEW'!$B$17:$N$201,2,0)),
IF(VLOOKUP($A214-COUNT('Шаг2.Бланк заказа NEW'!$B$19:$B$201),'Бланк OLD 0.8 04'!$B$12:$K$200,2,0)="","",VLOOKUP($A214-COUNT('Шаг2.Бланк заказа NEW'!$B$19:$B$201),'Бланк OLD 0.8 04'!$B$12:$K$200,2,0))),
IF(VLOOKUP($A214-COUNT('Шаг2.Бланк заказа NEW'!$B$19:$B$201)-COUNT('Бланк OLD 0.8 04'!$B$18:$B$200),'Бланк OLD 2.0 04 '!$B$16:$K$200,2,0)="","",VLOOKUP($A214-COUNT('Шаг2.Бланк заказа NEW'!$B$19:$B$201)-COUNT('Бланк OLD 0.8 04'!$B$18:$B$200),'Бланк OLD 2.0 04 '!$B$16:$K$200,2,0)))</f>
        <v/>
      </c>
      <c r="F214" s="147" t="str">
        <f ca="1">IFERROR(IFERROR(IF(VLOOKUP($A214,'Шаг2.Бланк заказа NEW'!$B$17:$N$201,3,0)="","",VLOOKUP($A214,'Шаг2.Бланк заказа NEW'!$B$17:$N$201,3,0)),
IF(VLOOKUP($A214-COUNT('Шаг2.Бланк заказа NEW'!$B$19:$B$201),'Бланк OLD 0.8 04'!$B$12:$K$200,3,0)="","",VLOOKUP($A214-COUNT('Шаг2.Бланк заказа NEW'!$B$19:$B$201),'Бланк OLD 0.8 04'!$B$12:$K$200,3,0))),
IF(VLOOKUP($A214-COUNT('Шаг2.Бланк заказа NEW'!$B$19:$B$201)-COUNT('Бланк OLD 0.8 04'!$B$18:$B$200),'Бланк OLD 2.0 04 '!$B$16:$K$200,3,0)="","",VLOOKUP($A214-COUNT('Шаг2.Бланк заказа NEW'!$B$19:$B$201)-COUNT('Бланк OLD 0.8 04'!$B$18:$B$200),'Бланк OLD 2.0 04 '!$B$16:$K$200,3,0)))</f>
        <v/>
      </c>
      <c r="G214" s="176" t="str">
        <f ca="1">IF(IF(R214="","",IF(R214=1,SUMIFS('Шаг1.Выбор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плиты'!C:Q,12,0)),1))))))=0,
R214,
IF(R214="","",IF(R214=1,SUMIFS('Шаг1.Выбор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плиты'!N:N,R214,'Шаг1.Выбор плиты'!M:M,SMALL(INDIRECT("мм"&amp;VLOOKUP(C214,'Шаг1.Выбор плиты'!C:Q,12,0)),1)))))))</f>
        <v/>
      </c>
      <c r="H214" s="177" t="str">
        <f ca="1">IF(IF(S214="","",IF(S214=1,SUMIFS('Шаг1.Выбор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плиты'!C:Q,12,0)),1))))))=0,
S214,
IF(S214="","",IF(S214=1,SUMIFS('Шаг1.Выбор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плиты'!N:N,S214,'Шаг1.Выбор плиты'!M:M,SMALL(INDIRECT("мм"&amp;VLOOKUP(C214,'Шаг1.Выбор плиты'!C:Q,12,0)),1)))))))</f>
        <v/>
      </c>
      <c r="I214" s="147" t="str">
        <f ca="1">IFERROR(IFERROR(IF(VLOOKUP($A214,'Шаг2.Бланк заказа NEW'!$B$17:$N$201,6,0)="","",VLOOKUP($A214,'Шаг2.Бланк заказа NEW'!$B$17:$N$201,6,0)),
IF(VLOOKUP($A214-COUNT('Шаг2.Бланк заказа NEW'!$B$19:$B$201),'Бланк OLD 0.8 04'!$B$12:$K$200,6,0)="","",VLOOKUP($A214-COUNT('Шаг2.Бланк заказа NEW'!$B$19:$B$201),'Бланк OLD 0.8 04'!$B$12:$K$200,6,0))),
IF(VLOOKUP($A214-COUNT('Шаг2.Бланк заказа NEW'!$B$19:$B$201)-COUNT('Бланк OLD 0.8 04'!$B$18:$B$200),'Бланк OLD 2.0 04 '!$B$16:$K$200,6,0)="","",VLOOKUP($A214-COUNT('Шаг2.Бланк заказа NEW'!$B$19:$B$201)-COUNT('Бланк OLD 0.8 04'!$B$18:$B$200),'Бланк OLD 2.0 04 '!$B$16:$K$200,6,0)))</f>
        <v/>
      </c>
      <c r="J214" s="177" t="str">
        <f ca="1">IF(IF(T214="","",IF(T214=1,SUMIFS('Шаг1.Выбор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плиты'!C:Q,12,0)),1))))))=0,
T214,
IF(T214="","",IF(T214=1,SUMIFS('Шаг1.Выбор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плиты'!N:N,T214,'Шаг1.Выбор плиты'!M:M,SMALL(INDIRECT("мм"&amp;VLOOKUP(C214,'Шаг1.Выбор плиты'!C:Q,12,0)),1)))))))</f>
        <v/>
      </c>
      <c r="K214" s="177" t="str">
        <f ca="1">IF(IF(U214="","",IF(U214=1,SUMIFS('Шаг1.Выбор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плиты'!C:Q,12,0)),1))))))=0,
U214,
IF(U214="","",IF(U214=1,SUMIFS('Шаг1.Выбор плиты'!$G:$G,'Шаг1.Выбор плиты'!J:J,"*"&amp;RIGHT(VLOOKUP(C214,'Шаг1.Выбор плиты'!C:Q,8,0),4),'Шаг1.Выбор плиты'!L:L,IF(MID(C214,1,6)="ЛДСП P","TM"&amp;MID(VLOOKUP(C214,'Шаг1.Выбор плиты'!C:Q,10,0),3,2),MID(VLOOKUP(C214,'Шаг1.Выбор плиты'!C:Q,10,0),1,2)),
'Шаг1.Выбор плиты'!N:N,1),IF(SUMIFS('Шаг1.Выбор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плиты'!C:Q,12,0)),1))=0,
IF(SUMIFS('Шаг1.Выбор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плиты'!C:Q,12,0)),2))=0,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плиты'!C:Q,12,0)),3)),
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плиты'!C:Q,12,0)),2))),
(SUMIFS('Шаг1.Выбор плиты'!$G:$G,'Шаг1.Выбор плиты'!J:J,"*"&amp;RIGHT(VLOOKUP(C214,'Шаг1.Выбор плиты'!C:Q,8,0),4),'Шаг1.Выбор плиты'!L:L,VLOOKUP(C214,'Шаг1.Выбор плиты'!C:Q,10,0),'Шаг1.Выбор плиты'!N:N,U214,'Шаг1.Выбор плиты'!M:M,SMALL(INDIRECT("мм"&amp;VLOOKUP(C214,'Шаг1.Выбор плиты'!C:Q,12,0)),1)))))))</f>
        <v/>
      </c>
      <c r="L214" s="147" t="str">
        <f ca="1">IFERROR(IFERROR(IF(VLOOKUP($A214,'Шаг2.Бланк заказа NEW'!$B$17:$N$201,9,0)="","",VLOOKUP($A214,'Шаг2.Бланк заказа NEW'!$B$17:$N$201,9,0)),
IF(VLOOKUP($A214-COUNT('Шаг2.Бланк заказа NEW'!$B$19:$B$201),'Бланк OLD 0.8 04'!$B$12:$K$200,9,0)="","",VLOOKUP($A214-COUNT('Шаг2.Бланк заказа NEW'!$B$19:$B$201),'Бланк OLD 0.8 04'!$B$12:$K$200,9,0))),
IF(VLOOKUP($A214-COUNT('Шаг2.Бланк заказа NEW'!$B$19:$B$201)-COUNT('Бланк OLD 0.8 04'!$B$18:$B$200),'Бланк OLD 2.0 04 '!$B$16:$K$200,9,0)="","",VLOOKUP($A214-COUNT('Шаг2.Бланк заказа NEW'!$B$19:$B$201)-COUNT('Бланк OLD 0.8 04'!$B$18:$B$200),'Бланк OLD 2.0 04 '!$B$16:$K$200,9,0)))</f>
        <v/>
      </c>
      <c r="M214" s="154" t="str">
        <f t="shared" ca="1" si="20"/>
        <v/>
      </c>
      <c r="N214" s="153" t="str">
        <f ca="1">IFERROR(IF(VLOOKUP($A214,'Шаг2.Бланк заказа NEW'!$B$17:$N$201,11,0)="","",VLOOKUP($A214,'Шаг2.Бланк заказа NEW'!$B$17:$N$201,11,0)),
"Нет")</f>
        <v/>
      </c>
      <c r="O214" s="147" t="str">
        <f ca="1">IFERROR(IF(VLOOKUP($A214,'Шаг2.Бланк заказа NEW'!$B$17:$N$201,11,0)="","",VLOOKUP($A214,'Шаг2.Бланк заказа NEW'!$B$17:$N$201,12,0)),
"Нет")</f>
        <v/>
      </c>
      <c r="P214" s="153" t="str">
        <f ca="1">IFERROR(IF(VLOOKUP($A214,'Шаг2.Бланк заказа NEW'!$B$17:$N$201,13,0)="","",VLOOKUP($A214,'Шаг2.Бланк заказа NEW'!$B$17:$N$201,13,0)),
"Нет")</f>
        <v/>
      </c>
      <c r="Q214" s="147" t="str">
        <f ca="1">IFERROR(IF(VLOOKUP($A214,'Шаг2.Бланк заказа NEW'!$B$17:$O$201,14,0)="","",VLOOKUP($A214,'Шаг2.Бланк заказа NEW'!$B$17:$O$201,14,0)),"")</f>
        <v/>
      </c>
      <c r="R214" s="147" t="str">
        <f ca="1">IFERROR(IFERROR(IF(VLOOKUP($A214,'Шаг2.Бланк заказа NEW'!$B$17:$N$201,4,0)="","",VLOOKUP($A214,'Шаг2.Бланк заказа NEW'!$B$17:$N$201,4,0)),
IF(VLOOKUP($A214-COUNT('Шаг2.Бланк заказа NEW'!$B$19:$B$201),'Бланк OLD 0.8 04'!$B$12:$K$200,4,0)&gt;0,0.8,
IF(VLOOKUP($A214-COUNT('Шаг2.Бланк заказа NEW'!$B$19:$B$201),'Бланк OLD 0.8 04'!$B$12:$K$200,5,0)&gt;0,0.4,""))),
IF(VLOOKUP($A214-COUNT('Шаг2.Бланк заказа NEW'!$B$19:$B$201)-COUNT('Бланк OLD 0.8 04'!$B$18:$B$200),'Бланк OLD 2.0 04 '!$B$16:$K$200,4,0)&gt;0,2,IF(VLOOKUP($A214-COUNT('Шаг2.Бланк заказа NEW'!$B$19:$B$201)-COUNT('Бланк OLD 0.8 04'!$B$18:$B$200),'Бланк OLD 2.0 04 '!$B$16:$K$200,5,0)&gt;0,0.4,"")))</f>
        <v/>
      </c>
      <c r="S214" s="147" t="str">
        <f ca="1">IFERROR(IFERROR(IF(VLOOKUP($A214,'Шаг2.Бланк заказа NEW'!$B$17:$N$201,5,0)="","",VLOOKUP($A214,'Шаг2.Бланк заказа NEW'!$B$17:$N$201,5,0)),
IF(VLOOKUP($A214-COUNT('Шаг2.Бланк заказа NEW'!$B$19:$B$201),'Бланк OLD 0.8 04'!$B$12:$K$200,4,0)&gt;1,0.8,
IF(VLOOKUP($A214-COUNT('Шаг2.Бланк заказа NEW'!$B$19:$B$201),'Бланк OLD 0.8 04'!$B$12:$K$200,5,0)&gt;1,0.4,
IF(AND(VLOOKUP($A214-COUNT('Шаг2.Бланк заказа NEW'!$B$19:$B$201),'Бланк OLD 0.8 04'!$B$12:$K$200,4,0)&gt;0,VLOOKUP($A214-COUNT('Шаг2.Бланк заказа NEW'!$B$19:$B$201),'Бланк OLD 0.8 04'!$B$12:$K$200,5,0)&gt;0),0.4,"")))),
IF(VLOOKUP($A214-COUNT('Шаг2.Бланк заказа NEW'!$B$19:$B$201)-COUNT('Бланк OLD 0.8 04'!$B$18:$B$200),'Бланк OLD 2.0 04 '!$B$16:$K$200,4,0)&gt;1,2,
IF(VLOOKUP($A214-COUNT('Шаг2.Бланк заказа NEW'!$B$19:$B$201)-COUNT('Бланк OLD 0.8 04'!$B$18:$B$200),'Бланк OLD 2.0 04 '!$B$16:$K$200,5,0)&gt;1,0.4,IF(AND(VLOOKUP($A214-COUNT('Шаг2.Бланк заказа NEW'!$B$19:$B$201)-COUNT('Бланк OLD 0.8 04'!$B$18:$B$200),'Бланк OLD 2.0 04 '!$B$16:$K$200,4,0)&gt;0,VLOOKUP($A214-COUNT('Шаг2.Бланк заказа NEW'!$B$19:$B$201)-COUNT('Бланк OLD 0.8 04'!$B$18:$B$200),'Бланк OLD 2.0 04 '!$B$16:$K$200,5,0)&gt;0),0.4,""))))</f>
        <v/>
      </c>
      <c r="T214" s="147" t="str">
        <f ca="1">IFERROR(IFERROR(IF(VLOOKUP($A214,'Шаг2.Бланк заказа NEW'!$B$17:$N$201,7,0)="","",VLOOKUP($A214,'Шаг2.Бланк заказа NEW'!$B$17:$N$201,7,0)),
IF(VLOOKUP($A214-COUNT('Шаг2.Бланк заказа NEW'!$B$19:$B$201),'Бланк OLD 0.8 04'!$B$12:$K$200,7,0)&gt;0,0.8,
IF(VLOOKUP($A214-COUNT('Шаг2.Бланк заказа NEW'!$B$19:$B$201),'Бланк OLD 0.8 04'!$B$12:$K$200,8,0)&gt;0,0.4,""))),
IF(VLOOKUP($A214-COUNT('Шаг2.Бланк заказа NEW'!$B$19:$B$201)-COUNT('Бланк OLD 0.8 04'!$B$18:$B$200),'Бланк OLD 2.0 04 '!$B$16:$K$200,7,0)&gt;0,2,IF(VLOOKUP($A214-COUNT('Шаг2.Бланк заказа NEW'!$B$19:$B$201)-COUNT('Бланк OLD 0.8 04'!$B$18:$B$200),'Бланк OLD 2.0 04 '!$B$16:$K$200,8,0)&gt;0,0.4,"")))</f>
        <v/>
      </c>
      <c r="U214" s="147" t="str">
        <f ca="1">IFERROR(IFERROR(IF(VLOOKUP($A214,'Шаг2.Бланк заказа NEW'!$B$17:$N$201,8,0)="","",VLOOKUP($A214,'Шаг2.Бланк заказа NEW'!$B$17:$N$201,8,0)),
IF(VLOOKUP($A214-COUNT('Шаг2.Бланк заказа NEW'!$B$19:$B$201),'Бланк OLD 0.8 04'!$B$12:$K$200,7,0)&gt;1,0.8,
IF(VLOOKUP($A214-COUNT('Шаг2.Бланк заказа NEW'!$B$19:$B$201),'Бланк OLD 0.8 04'!$B$12:$K$200,8,0)&gt;1,0.4,
IF(AND(VLOOKUP($A214-COUNT('Шаг2.Бланк заказа NEW'!$B$19:$B$201),'Бланк OLD 0.8 04'!$B$12:$K$200,7,0)&gt;0,VLOOKUP($A214-COUNT('Шаг2.Бланк заказа NEW'!$B$19:$B$201),'Бланк OLD 0.8 04'!$B$12:$K$200,8,0)&gt;0),0.4,"")))),
IF(VLOOKUP($A214-COUNT('Шаг2.Бланк заказа NEW'!$B$19:$B$201)-COUNT('Бланк OLD 0.8 04'!$B$18:$B$200),'Бланк OLD 2.0 04 '!$B$16:$K$200,7,0)&gt;1,2,
IF(VLOOKUP($A214-COUNT('Шаг2.Бланк заказа NEW'!$B$19:$B$201)-COUNT('Бланк OLD 0.8 04'!$B$18:$B$200),'Бланк OLD 2.0 04 '!$B$16:$K$200,8,0)&gt;1,0.4,
IF(AND(VLOOKUP($A214-COUNT('Шаг2.Бланк заказа NEW'!$B$19:$B$201)-COUNT('Бланк OLD 0.8 04'!$B$18:$B$200),'Бланк OLD 2.0 04 '!$B$16:$K$200,7,0)&gt;0,VLOOKUP($A214-COUNT('Шаг2.Бланк заказа NEW'!$B$19:$B$201)-COUNT('Бланк OLD 0.8 04'!$B$18:$B$200),'Бланк OLD 2.0 04 '!$B$16:$K$200,8,0)&gt;0),0.4,""))))</f>
        <v/>
      </c>
      <c r="V214" s="146" t="str">
        <f ca="1">IFERROR(VLOOKUP(C214,'Шаг1.Выбор плиты'!C:S,12,0),"")</f>
        <v/>
      </c>
      <c r="W214" s="146" t="str">
        <f ca="1">IFERROR(VLOOKUP(C214,'Шаг1.Выбор плиты'!C:S,8,0),"")</f>
        <v/>
      </c>
      <c r="X214" s="146" t="str">
        <f ca="1">IFERROR(VLOOKUP(C214,'Шаг1.Выбор плиты'!C:S,10,0),"")</f>
        <v/>
      </c>
      <c r="Y214" s="147" t="str">
        <f t="shared" ca="1" si="18"/>
        <v/>
      </c>
      <c r="AD214" s="147" t="str">
        <f t="shared" ca="1" si="21"/>
        <v/>
      </c>
      <c r="AE214" s="147" t="str">
        <f t="shared" ca="1" si="19"/>
        <v/>
      </c>
      <c r="AF214" s="25"/>
      <c r="AH214" s="147" t="str">
        <f ca="1">IF(C214="","",VLOOKUP(C214,'Шаг1.Выбор плиты'!C:Q,7,0))</f>
        <v/>
      </c>
      <c r="AI214" s="147" t="str">
        <f t="shared" ca="1" si="22"/>
        <v/>
      </c>
    </row>
    <row r="215" spans="1:35" x14ac:dyDescent="0.2">
      <c r="A215" s="151" t="str">
        <f ca="1">IF(C215="","",MAX($A$1:OFFSET(C215,-1,0))+1)</f>
        <v/>
      </c>
      <c r="B215" s="151" t="str">
        <f ca="1">IFERROR(IFERROR(IFERROR("Шаг2.Бланк заказа NEW №"&amp;VLOOKUP(A214+1,CHOOSE({1,2},'Шаг2.Бланк заказа NEW'!$B$19:$B$201,'Шаг2.Бланк заказа NEW'!$A$19:$A$201),1,0),
"Бланк OLD 0.8 04 №"&amp;VLOOKUP(A214+1-COUNT('Шаг2.Бланк заказа NEW'!$B$19:$B$201),CHOOSE({1,2},'Бланк OLD 0.8 04'!$B$18:$B$200,'Бланк OLD 0.8 04'!$A$18:$A$200),1,0)),
"Бланк OLD 2.0 04 №"&amp;VLOOKUP(A214+1-COUNT('Шаг2.Бланк заказа NEW'!$B$19:$B$201)-COUNT('Бланк OLD 0.8 04'!$B$18:$B$200),CHOOSE({1,2},'Бланк OLD 2.0 04 '!$B$18:$B$200,'Бланк OLD 2.0 04 '!$A$18:$A$200),1,0)),"")</f>
        <v/>
      </c>
      <c r="C215" s="152" t="str">
        <f ca="1">IFERROR(IFERROR(IFERROR(VLOOKUP(A214+1,CHOOSE({1,2},'Шаг2.Бланк заказа NEW'!$B$19:$B$201,'Шаг2.Бланк заказа NEW'!$A$19:$A$201),2,0),
VLOOKUP(A214+1-COUNT('Шаг2.Бланк заказа NEW'!$B$19:$B$201),CHOOSE({1,2},'Бланк OLD 0.8 04'!$B$18:$B$200,'Бланк OLD 0.8 04'!$A$18:$A$200),2,0)),
VLOOKUP(A214+1-COUNT('Шаг2.Бланк заказа NEW'!$B$19:$B$201)-COUNT('Бланк OLD 0.8 04'!$B$18:$B$200),CHOOSE({1,2},'Бланк OLD 2.0 04 '!$B$18:$B$200,'Бланк OLD 2.0 04 '!$A$18:$A$200),2,0)),"")</f>
        <v/>
      </c>
      <c r="D215" s="150" t="str">
        <f ca="1">IFERROR(VLOOKUP(C215,'Шаг1.Выбор плиты'!C:G,5,0),"")</f>
        <v/>
      </c>
      <c r="E215" s="147" t="str">
        <f ca="1">IFERROR(IFERROR(IF(VLOOKUP($A215,'Шаг2.Бланк заказа NEW'!$B$17:$N$201,2,0)="","",VLOOKUP($A215,'Шаг2.Бланк заказа NEW'!$B$17:$N$201,2,0)),
IF(VLOOKUP($A215-COUNT('Шаг2.Бланк заказа NEW'!$B$19:$B$201),'Бланк OLD 0.8 04'!$B$12:$K$200,2,0)="","",VLOOKUP($A215-COUNT('Шаг2.Бланк заказа NEW'!$B$19:$B$201),'Бланк OLD 0.8 04'!$B$12:$K$200,2,0))),
IF(VLOOKUP($A215-COUNT('Шаг2.Бланк заказа NEW'!$B$19:$B$201)-COUNT('Бланк OLD 0.8 04'!$B$18:$B$200),'Бланк OLD 2.0 04 '!$B$16:$K$200,2,0)="","",VLOOKUP($A215-COUNT('Шаг2.Бланк заказа NEW'!$B$19:$B$201)-COUNT('Бланк OLD 0.8 04'!$B$18:$B$200),'Бланк OLD 2.0 04 '!$B$16:$K$200,2,0)))</f>
        <v/>
      </c>
      <c r="F215" s="147" t="str">
        <f ca="1">IFERROR(IFERROR(IF(VLOOKUP($A215,'Шаг2.Бланк заказа NEW'!$B$17:$N$201,3,0)="","",VLOOKUP($A215,'Шаг2.Бланк заказа NEW'!$B$17:$N$201,3,0)),
IF(VLOOKUP($A215-COUNT('Шаг2.Бланк заказа NEW'!$B$19:$B$201),'Бланк OLD 0.8 04'!$B$12:$K$200,3,0)="","",VLOOKUP($A215-COUNT('Шаг2.Бланк заказа NEW'!$B$19:$B$201),'Бланк OLD 0.8 04'!$B$12:$K$200,3,0))),
IF(VLOOKUP($A215-COUNT('Шаг2.Бланк заказа NEW'!$B$19:$B$201)-COUNT('Бланк OLD 0.8 04'!$B$18:$B$200),'Бланк OLD 2.0 04 '!$B$16:$K$200,3,0)="","",VLOOKUP($A215-COUNT('Шаг2.Бланк заказа NEW'!$B$19:$B$201)-COUNT('Бланк OLD 0.8 04'!$B$18:$B$200),'Бланк OLD 2.0 04 '!$B$16:$K$200,3,0)))</f>
        <v/>
      </c>
      <c r="G215" s="176" t="str">
        <f ca="1">IF(IF(R215="","",IF(R215=1,SUMIFS('Шаг1.Выбор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плиты'!C:Q,12,0)),1))))))=0,
R215,
IF(R215="","",IF(R215=1,SUMIFS('Шаг1.Выбор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плиты'!N:N,R215,'Шаг1.Выбор плиты'!M:M,SMALL(INDIRECT("мм"&amp;VLOOKUP(C215,'Шаг1.Выбор плиты'!C:Q,12,0)),1)))))))</f>
        <v/>
      </c>
      <c r="H215" s="177" t="str">
        <f ca="1">IF(IF(S215="","",IF(S215=1,SUMIFS('Шаг1.Выбор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плиты'!C:Q,12,0)),1))))))=0,
S215,
IF(S215="","",IF(S215=1,SUMIFS('Шаг1.Выбор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плиты'!N:N,S215,'Шаг1.Выбор плиты'!M:M,SMALL(INDIRECT("мм"&amp;VLOOKUP(C215,'Шаг1.Выбор плиты'!C:Q,12,0)),1)))))))</f>
        <v/>
      </c>
      <c r="I215" s="147" t="str">
        <f ca="1">IFERROR(IFERROR(IF(VLOOKUP($A215,'Шаг2.Бланк заказа NEW'!$B$17:$N$201,6,0)="","",VLOOKUP($A215,'Шаг2.Бланк заказа NEW'!$B$17:$N$201,6,0)),
IF(VLOOKUP($A215-COUNT('Шаг2.Бланк заказа NEW'!$B$19:$B$201),'Бланк OLD 0.8 04'!$B$12:$K$200,6,0)="","",VLOOKUP($A215-COUNT('Шаг2.Бланк заказа NEW'!$B$19:$B$201),'Бланк OLD 0.8 04'!$B$12:$K$200,6,0))),
IF(VLOOKUP($A215-COUNT('Шаг2.Бланк заказа NEW'!$B$19:$B$201)-COUNT('Бланк OLD 0.8 04'!$B$18:$B$200),'Бланк OLD 2.0 04 '!$B$16:$K$200,6,0)="","",VLOOKUP($A215-COUNT('Шаг2.Бланк заказа NEW'!$B$19:$B$201)-COUNT('Бланк OLD 0.8 04'!$B$18:$B$200),'Бланк OLD 2.0 04 '!$B$16:$K$200,6,0)))</f>
        <v/>
      </c>
      <c r="J215" s="177" t="str">
        <f ca="1">IF(IF(T215="","",IF(T215=1,SUMIFS('Шаг1.Выбор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плиты'!C:Q,12,0)),1))))))=0,
T215,
IF(T215="","",IF(T215=1,SUMIFS('Шаг1.Выбор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плиты'!N:N,T215,'Шаг1.Выбор плиты'!M:M,SMALL(INDIRECT("мм"&amp;VLOOKUP(C215,'Шаг1.Выбор плиты'!C:Q,12,0)),1)))))))</f>
        <v/>
      </c>
      <c r="K215" s="177" t="str">
        <f ca="1">IF(IF(U215="","",IF(U215=1,SUMIFS('Шаг1.Выбор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плиты'!C:Q,12,0)),1))))))=0,
U215,
IF(U215="","",IF(U215=1,SUMIFS('Шаг1.Выбор плиты'!$G:$G,'Шаг1.Выбор плиты'!J:J,"*"&amp;RIGHT(VLOOKUP(C215,'Шаг1.Выбор плиты'!C:Q,8,0),4),'Шаг1.Выбор плиты'!L:L,IF(MID(C215,1,6)="ЛДСП P","TM"&amp;MID(VLOOKUP(C215,'Шаг1.Выбор плиты'!C:Q,10,0),3,2),MID(VLOOKUP(C215,'Шаг1.Выбор плиты'!C:Q,10,0),1,2)),
'Шаг1.Выбор плиты'!N:N,1),IF(SUMIFS('Шаг1.Выбор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плиты'!C:Q,12,0)),1))=0,
IF(SUMIFS('Шаг1.Выбор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плиты'!C:Q,12,0)),2))=0,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плиты'!C:Q,12,0)),3)),
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плиты'!C:Q,12,0)),2))),
(SUMIFS('Шаг1.Выбор плиты'!$G:$G,'Шаг1.Выбор плиты'!J:J,"*"&amp;RIGHT(VLOOKUP(C215,'Шаг1.Выбор плиты'!C:Q,8,0),4),'Шаг1.Выбор плиты'!L:L,VLOOKUP(C215,'Шаг1.Выбор плиты'!C:Q,10,0),'Шаг1.Выбор плиты'!N:N,U215,'Шаг1.Выбор плиты'!M:M,SMALL(INDIRECT("мм"&amp;VLOOKUP(C215,'Шаг1.Выбор плиты'!C:Q,12,0)),1)))))))</f>
        <v/>
      </c>
      <c r="L215" s="147" t="str">
        <f ca="1">IFERROR(IFERROR(IF(VLOOKUP($A215,'Шаг2.Бланк заказа NEW'!$B$17:$N$201,9,0)="","",VLOOKUP($A215,'Шаг2.Бланк заказа NEW'!$B$17:$N$201,9,0)),
IF(VLOOKUP($A215-COUNT('Шаг2.Бланк заказа NEW'!$B$19:$B$201),'Бланк OLD 0.8 04'!$B$12:$K$200,9,0)="","",VLOOKUP($A215-COUNT('Шаг2.Бланк заказа NEW'!$B$19:$B$201),'Бланк OLD 0.8 04'!$B$12:$K$200,9,0))),
IF(VLOOKUP($A215-COUNT('Шаг2.Бланк заказа NEW'!$B$19:$B$201)-COUNT('Бланк OLD 0.8 04'!$B$18:$B$200),'Бланк OLD 2.0 04 '!$B$16:$K$200,9,0)="","",VLOOKUP($A215-COUNT('Шаг2.Бланк заказа NEW'!$B$19:$B$201)-COUNT('Бланк OLD 0.8 04'!$B$18:$B$200),'Бланк OLD 2.0 04 '!$B$16:$K$200,9,0)))</f>
        <v/>
      </c>
      <c r="M215" s="154" t="str">
        <f t="shared" ca="1" si="20"/>
        <v/>
      </c>
      <c r="N215" s="153" t="str">
        <f ca="1">IFERROR(IF(VLOOKUP($A215,'Шаг2.Бланк заказа NEW'!$B$17:$N$201,11,0)="","",VLOOKUP($A215,'Шаг2.Бланк заказа NEW'!$B$17:$N$201,11,0)),
"Нет")</f>
        <v/>
      </c>
      <c r="O215" s="147" t="str">
        <f ca="1">IFERROR(IF(VLOOKUP($A215,'Шаг2.Бланк заказа NEW'!$B$17:$N$201,11,0)="","",VLOOKUP($A215,'Шаг2.Бланк заказа NEW'!$B$17:$N$201,12,0)),
"Нет")</f>
        <v/>
      </c>
      <c r="P215" s="153" t="str">
        <f ca="1">IFERROR(IF(VLOOKUP($A215,'Шаг2.Бланк заказа NEW'!$B$17:$N$201,13,0)="","",VLOOKUP($A215,'Шаг2.Бланк заказа NEW'!$B$17:$N$201,13,0)),
"Нет")</f>
        <v/>
      </c>
      <c r="Q215" s="147" t="str">
        <f ca="1">IFERROR(IF(VLOOKUP($A215,'Шаг2.Бланк заказа NEW'!$B$17:$O$201,14,0)="","",VLOOKUP($A215,'Шаг2.Бланк заказа NEW'!$B$17:$O$201,14,0)),"")</f>
        <v/>
      </c>
      <c r="R215" s="147" t="str">
        <f ca="1">IFERROR(IFERROR(IF(VLOOKUP($A215,'Шаг2.Бланк заказа NEW'!$B$17:$N$201,4,0)="","",VLOOKUP($A215,'Шаг2.Бланк заказа NEW'!$B$17:$N$201,4,0)),
IF(VLOOKUP($A215-COUNT('Шаг2.Бланк заказа NEW'!$B$19:$B$201),'Бланк OLD 0.8 04'!$B$12:$K$200,4,0)&gt;0,0.8,
IF(VLOOKUP($A215-COUNT('Шаг2.Бланк заказа NEW'!$B$19:$B$201),'Бланк OLD 0.8 04'!$B$12:$K$200,5,0)&gt;0,0.4,""))),
IF(VLOOKUP($A215-COUNT('Шаг2.Бланк заказа NEW'!$B$19:$B$201)-COUNT('Бланк OLD 0.8 04'!$B$18:$B$200),'Бланк OLD 2.0 04 '!$B$16:$K$200,4,0)&gt;0,2,IF(VLOOKUP($A215-COUNT('Шаг2.Бланк заказа NEW'!$B$19:$B$201)-COUNT('Бланк OLD 0.8 04'!$B$18:$B$200),'Бланк OLD 2.0 04 '!$B$16:$K$200,5,0)&gt;0,0.4,"")))</f>
        <v/>
      </c>
      <c r="S215" s="147" t="str">
        <f ca="1">IFERROR(IFERROR(IF(VLOOKUP($A215,'Шаг2.Бланк заказа NEW'!$B$17:$N$201,5,0)="","",VLOOKUP($A215,'Шаг2.Бланк заказа NEW'!$B$17:$N$201,5,0)),
IF(VLOOKUP($A215-COUNT('Шаг2.Бланк заказа NEW'!$B$19:$B$201),'Бланк OLD 0.8 04'!$B$12:$K$200,4,0)&gt;1,0.8,
IF(VLOOKUP($A215-COUNT('Шаг2.Бланк заказа NEW'!$B$19:$B$201),'Бланк OLD 0.8 04'!$B$12:$K$200,5,0)&gt;1,0.4,
IF(AND(VLOOKUP($A215-COUNT('Шаг2.Бланк заказа NEW'!$B$19:$B$201),'Бланк OLD 0.8 04'!$B$12:$K$200,4,0)&gt;0,VLOOKUP($A215-COUNT('Шаг2.Бланк заказа NEW'!$B$19:$B$201),'Бланк OLD 0.8 04'!$B$12:$K$200,5,0)&gt;0),0.4,"")))),
IF(VLOOKUP($A215-COUNT('Шаг2.Бланк заказа NEW'!$B$19:$B$201)-COUNT('Бланк OLD 0.8 04'!$B$18:$B$200),'Бланк OLD 2.0 04 '!$B$16:$K$200,4,0)&gt;1,2,
IF(VLOOKUP($A215-COUNT('Шаг2.Бланк заказа NEW'!$B$19:$B$201)-COUNT('Бланк OLD 0.8 04'!$B$18:$B$200),'Бланк OLD 2.0 04 '!$B$16:$K$200,5,0)&gt;1,0.4,IF(AND(VLOOKUP($A215-COUNT('Шаг2.Бланк заказа NEW'!$B$19:$B$201)-COUNT('Бланк OLD 0.8 04'!$B$18:$B$200),'Бланк OLD 2.0 04 '!$B$16:$K$200,4,0)&gt;0,VLOOKUP($A215-COUNT('Шаг2.Бланк заказа NEW'!$B$19:$B$201)-COUNT('Бланк OLD 0.8 04'!$B$18:$B$200),'Бланк OLD 2.0 04 '!$B$16:$K$200,5,0)&gt;0),0.4,""))))</f>
        <v/>
      </c>
      <c r="T215" s="147" t="str">
        <f ca="1">IFERROR(IFERROR(IF(VLOOKUP($A215,'Шаг2.Бланк заказа NEW'!$B$17:$N$201,7,0)="","",VLOOKUP($A215,'Шаг2.Бланк заказа NEW'!$B$17:$N$201,7,0)),
IF(VLOOKUP($A215-COUNT('Шаг2.Бланк заказа NEW'!$B$19:$B$201),'Бланк OLD 0.8 04'!$B$12:$K$200,7,0)&gt;0,0.8,
IF(VLOOKUP($A215-COUNT('Шаг2.Бланк заказа NEW'!$B$19:$B$201),'Бланк OLD 0.8 04'!$B$12:$K$200,8,0)&gt;0,0.4,""))),
IF(VLOOKUP($A215-COUNT('Шаг2.Бланк заказа NEW'!$B$19:$B$201)-COUNT('Бланк OLD 0.8 04'!$B$18:$B$200),'Бланк OLD 2.0 04 '!$B$16:$K$200,7,0)&gt;0,2,IF(VLOOKUP($A215-COUNT('Шаг2.Бланк заказа NEW'!$B$19:$B$201)-COUNT('Бланк OLD 0.8 04'!$B$18:$B$200),'Бланк OLD 2.0 04 '!$B$16:$K$200,8,0)&gt;0,0.4,"")))</f>
        <v/>
      </c>
      <c r="U215" s="147" t="str">
        <f ca="1">IFERROR(IFERROR(IF(VLOOKUP($A215,'Шаг2.Бланк заказа NEW'!$B$17:$N$201,8,0)="","",VLOOKUP($A215,'Шаг2.Бланк заказа NEW'!$B$17:$N$201,8,0)),
IF(VLOOKUP($A215-COUNT('Шаг2.Бланк заказа NEW'!$B$19:$B$201),'Бланк OLD 0.8 04'!$B$12:$K$200,7,0)&gt;1,0.8,
IF(VLOOKUP($A215-COUNT('Шаг2.Бланк заказа NEW'!$B$19:$B$201),'Бланк OLD 0.8 04'!$B$12:$K$200,8,0)&gt;1,0.4,
IF(AND(VLOOKUP($A215-COUNT('Шаг2.Бланк заказа NEW'!$B$19:$B$201),'Бланк OLD 0.8 04'!$B$12:$K$200,7,0)&gt;0,VLOOKUP($A215-COUNT('Шаг2.Бланк заказа NEW'!$B$19:$B$201),'Бланк OLD 0.8 04'!$B$12:$K$200,8,0)&gt;0),0.4,"")))),
IF(VLOOKUP($A215-COUNT('Шаг2.Бланк заказа NEW'!$B$19:$B$201)-COUNT('Бланк OLD 0.8 04'!$B$18:$B$200),'Бланк OLD 2.0 04 '!$B$16:$K$200,7,0)&gt;1,2,
IF(VLOOKUP($A215-COUNT('Шаг2.Бланк заказа NEW'!$B$19:$B$201)-COUNT('Бланк OLD 0.8 04'!$B$18:$B$200),'Бланк OLD 2.0 04 '!$B$16:$K$200,8,0)&gt;1,0.4,
IF(AND(VLOOKUP($A215-COUNT('Шаг2.Бланк заказа NEW'!$B$19:$B$201)-COUNT('Бланк OLD 0.8 04'!$B$18:$B$200),'Бланк OLD 2.0 04 '!$B$16:$K$200,7,0)&gt;0,VLOOKUP($A215-COUNT('Шаг2.Бланк заказа NEW'!$B$19:$B$201)-COUNT('Бланк OLD 0.8 04'!$B$18:$B$200),'Бланк OLD 2.0 04 '!$B$16:$K$200,8,0)&gt;0),0.4,""))))</f>
        <v/>
      </c>
      <c r="V215" s="146" t="str">
        <f ca="1">IFERROR(VLOOKUP(C215,'Шаг1.Выбор плиты'!C:S,12,0),"")</f>
        <v/>
      </c>
      <c r="W215" s="146" t="str">
        <f ca="1">IFERROR(VLOOKUP(C215,'Шаг1.Выбор плиты'!C:S,8,0),"")</f>
        <v/>
      </c>
      <c r="X215" s="146" t="str">
        <f ca="1">IFERROR(VLOOKUP(C215,'Шаг1.Выбор плиты'!C:S,10,0),"")</f>
        <v/>
      </c>
      <c r="Y215" s="147" t="str">
        <f t="shared" ca="1" si="18"/>
        <v/>
      </c>
      <c r="AD215" s="147" t="str">
        <f t="shared" ca="1" si="21"/>
        <v/>
      </c>
      <c r="AE215" s="147" t="str">
        <f t="shared" ca="1" si="19"/>
        <v/>
      </c>
      <c r="AF215" s="25"/>
      <c r="AH215" s="147" t="str">
        <f ca="1">IF(C215="","",VLOOKUP(C215,'Шаг1.Выбор плиты'!C:Q,7,0))</f>
        <v/>
      </c>
      <c r="AI215" s="147" t="str">
        <f t="shared" ca="1" si="22"/>
        <v/>
      </c>
    </row>
    <row r="216" spans="1:35" x14ac:dyDescent="0.2">
      <c r="A216" s="151" t="str">
        <f ca="1">IF(C216="","",MAX($A$1:OFFSET(C216,-1,0))+1)</f>
        <v/>
      </c>
      <c r="B216" s="151" t="str">
        <f ca="1">IFERROR(IFERROR(IFERROR("Шаг2.Бланк заказа NEW №"&amp;VLOOKUP(A215+1,CHOOSE({1,2},'Шаг2.Бланк заказа NEW'!$B$19:$B$201,'Шаг2.Бланк заказа NEW'!$A$19:$A$201),1,0),
"Бланк OLD 0.8 04 №"&amp;VLOOKUP(A215+1-COUNT('Шаг2.Бланк заказа NEW'!$B$19:$B$201),CHOOSE({1,2},'Бланк OLD 0.8 04'!$B$18:$B$200,'Бланк OLD 0.8 04'!$A$18:$A$200),1,0)),
"Бланк OLD 2.0 04 №"&amp;VLOOKUP(A215+1-COUNT('Шаг2.Бланк заказа NEW'!$B$19:$B$201)-COUNT('Бланк OLD 0.8 04'!$B$18:$B$200),CHOOSE({1,2},'Бланк OLD 2.0 04 '!$B$18:$B$200,'Бланк OLD 2.0 04 '!$A$18:$A$200),1,0)),"")</f>
        <v/>
      </c>
      <c r="C216" s="152" t="str">
        <f ca="1">IFERROR(IFERROR(IFERROR(VLOOKUP(A215+1,CHOOSE({1,2},'Шаг2.Бланк заказа NEW'!$B$19:$B$201,'Шаг2.Бланк заказа NEW'!$A$19:$A$201),2,0),
VLOOKUP(A215+1-COUNT('Шаг2.Бланк заказа NEW'!$B$19:$B$201),CHOOSE({1,2},'Бланк OLD 0.8 04'!$B$18:$B$200,'Бланк OLD 0.8 04'!$A$18:$A$200),2,0)),
VLOOKUP(A215+1-COUNT('Шаг2.Бланк заказа NEW'!$B$19:$B$201)-COUNT('Бланк OLD 0.8 04'!$B$18:$B$200),CHOOSE({1,2},'Бланк OLD 2.0 04 '!$B$18:$B$200,'Бланк OLD 2.0 04 '!$A$18:$A$200),2,0)),"")</f>
        <v/>
      </c>
      <c r="D216" s="150" t="str">
        <f ca="1">IFERROR(VLOOKUP(C216,'Шаг1.Выбор плиты'!C:G,5,0),"")</f>
        <v/>
      </c>
      <c r="E216" s="147" t="str">
        <f ca="1">IFERROR(IFERROR(IF(VLOOKUP($A216,'Шаг2.Бланк заказа NEW'!$B$17:$N$201,2,0)="","",VLOOKUP($A216,'Шаг2.Бланк заказа NEW'!$B$17:$N$201,2,0)),
IF(VLOOKUP($A216-COUNT('Шаг2.Бланк заказа NEW'!$B$19:$B$201),'Бланк OLD 0.8 04'!$B$12:$K$200,2,0)="","",VLOOKUP($A216-COUNT('Шаг2.Бланк заказа NEW'!$B$19:$B$201),'Бланк OLD 0.8 04'!$B$12:$K$200,2,0))),
IF(VLOOKUP($A216-COUNT('Шаг2.Бланк заказа NEW'!$B$19:$B$201)-COUNT('Бланк OLD 0.8 04'!$B$18:$B$200),'Бланк OLD 2.0 04 '!$B$16:$K$200,2,0)="","",VLOOKUP($A216-COUNT('Шаг2.Бланк заказа NEW'!$B$19:$B$201)-COUNT('Бланк OLD 0.8 04'!$B$18:$B$200),'Бланк OLD 2.0 04 '!$B$16:$K$200,2,0)))</f>
        <v/>
      </c>
      <c r="F216" s="147" t="str">
        <f ca="1">IFERROR(IFERROR(IF(VLOOKUP($A216,'Шаг2.Бланк заказа NEW'!$B$17:$N$201,3,0)="","",VLOOKUP($A216,'Шаг2.Бланк заказа NEW'!$B$17:$N$201,3,0)),
IF(VLOOKUP($A216-COUNT('Шаг2.Бланк заказа NEW'!$B$19:$B$201),'Бланк OLD 0.8 04'!$B$12:$K$200,3,0)="","",VLOOKUP($A216-COUNT('Шаг2.Бланк заказа NEW'!$B$19:$B$201),'Бланк OLD 0.8 04'!$B$12:$K$200,3,0))),
IF(VLOOKUP($A216-COUNT('Шаг2.Бланк заказа NEW'!$B$19:$B$201)-COUNT('Бланк OLD 0.8 04'!$B$18:$B$200),'Бланк OLD 2.0 04 '!$B$16:$K$200,3,0)="","",VLOOKUP($A216-COUNT('Шаг2.Бланк заказа NEW'!$B$19:$B$201)-COUNT('Бланк OLD 0.8 04'!$B$18:$B$200),'Бланк OLD 2.0 04 '!$B$16:$K$200,3,0)))</f>
        <v/>
      </c>
      <c r="G216" s="176" t="str">
        <f ca="1">IF(IF(R216="","",IF(R216=1,SUMIFS('Шаг1.Выбор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плиты'!C:Q,12,0)),1))))))=0,
R216,
IF(R216="","",IF(R216=1,SUMIFS('Шаг1.Выбор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плиты'!N:N,R216,'Шаг1.Выбор плиты'!M:M,SMALL(INDIRECT("мм"&amp;VLOOKUP(C216,'Шаг1.Выбор плиты'!C:Q,12,0)),1)))))))</f>
        <v/>
      </c>
      <c r="H216" s="177" t="str">
        <f ca="1">IF(IF(S216="","",IF(S216=1,SUMIFS('Шаг1.Выбор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плиты'!C:Q,12,0)),1))))))=0,
S216,
IF(S216="","",IF(S216=1,SUMIFS('Шаг1.Выбор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плиты'!N:N,S216,'Шаг1.Выбор плиты'!M:M,SMALL(INDIRECT("мм"&amp;VLOOKUP(C216,'Шаг1.Выбор плиты'!C:Q,12,0)),1)))))))</f>
        <v/>
      </c>
      <c r="I216" s="147" t="str">
        <f ca="1">IFERROR(IFERROR(IF(VLOOKUP($A216,'Шаг2.Бланк заказа NEW'!$B$17:$N$201,6,0)="","",VLOOKUP($A216,'Шаг2.Бланк заказа NEW'!$B$17:$N$201,6,0)),
IF(VLOOKUP($A216-COUNT('Шаг2.Бланк заказа NEW'!$B$19:$B$201),'Бланк OLD 0.8 04'!$B$12:$K$200,6,0)="","",VLOOKUP($A216-COUNT('Шаг2.Бланк заказа NEW'!$B$19:$B$201),'Бланк OLD 0.8 04'!$B$12:$K$200,6,0))),
IF(VLOOKUP($A216-COUNT('Шаг2.Бланк заказа NEW'!$B$19:$B$201)-COUNT('Бланк OLD 0.8 04'!$B$18:$B$200),'Бланк OLD 2.0 04 '!$B$16:$K$200,6,0)="","",VLOOKUP($A216-COUNT('Шаг2.Бланк заказа NEW'!$B$19:$B$201)-COUNT('Бланк OLD 0.8 04'!$B$18:$B$200),'Бланк OLD 2.0 04 '!$B$16:$K$200,6,0)))</f>
        <v/>
      </c>
      <c r="J216" s="177" t="str">
        <f ca="1">IF(IF(T216="","",IF(T216=1,SUMIFS('Шаг1.Выбор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плиты'!C:Q,12,0)),1))))))=0,
T216,
IF(T216="","",IF(T216=1,SUMIFS('Шаг1.Выбор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плиты'!N:N,T216,'Шаг1.Выбор плиты'!M:M,SMALL(INDIRECT("мм"&amp;VLOOKUP(C216,'Шаг1.Выбор плиты'!C:Q,12,0)),1)))))))</f>
        <v/>
      </c>
      <c r="K216" s="177" t="str">
        <f ca="1">IF(IF(U216="","",IF(U216=1,SUMIFS('Шаг1.Выбор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плиты'!C:Q,12,0)),1))))))=0,
U216,
IF(U216="","",IF(U216=1,SUMIFS('Шаг1.Выбор плиты'!$G:$G,'Шаг1.Выбор плиты'!J:J,"*"&amp;RIGHT(VLOOKUP(C216,'Шаг1.Выбор плиты'!C:Q,8,0),4),'Шаг1.Выбор плиты'!L:L,IF(MID(C216,1,6)="ЛДСП P","TM"&amp;MID(VLOOKUP(C216,'Шаг1.Выбор плиты'!C:Q,10,0),3,2),MID(VLOOKUP(C216,'Шаг1.Выбор плиты'!C:Q,10,0),1,2)),
'Шаг1.Выбор плиты'!N:N,1),IF(SUMIFS('Шаг1.Выбор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плиты'!C:Q,12,0)),1))=0,
IF(SUMIFS('Шаг1.Выбор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плиты'!C:Q,12,0)),2))=0,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плиты'!C:Q,12,0)),3)),
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плиты'!C:Q,12,0)),2))),
(SUMIFS('Шаг1.Выбор плиты'!$G:$G,'Шаг1.Выбор плиты'!J:J,"*"&amp;RIGHT(VLOOKUP(C216,'Шаг1.Выбор плиты'!C:Q,8,0),4),'Шаг1.Выбор плиты'!L:L,VLOOKUP(C216,'Шаг1.Выбор плиты'!C:Q,10,0),'Шаг1.Выбор плиты'!N:N,U216,'Шаг1.Выбор плиты'!M:M,SMALL(INDIRECT("мм"&amp;VLOOKUP(C216,'Шаг1.Выбор плиты'!C:Q,12,0)),1)))))))</f>
        <v/>
      </c>
      <c r="L216" s="147" t="str">
        <f ca="1">IFERROR(IFERROR(IF(VLOOKUP($A216,'Шаг2.Бланк заказа NEW'!$B$17:$N$201,9,0)="","",VLOOKUP($A216,'Шаг2.Бланк заказа NEW'!$B$17:$N$201,9,0)),
IF(VLOOKUP($A216-COUNT('Шаг2.Бланк заказа NEW'!$B$19:$B$201),'Бланк OLD 0.8 04'!$B$12:$K$200,9,0)="","",VLOOKUP($A216-COUNT('Шаг2.Бланк заказа NEW'!$B$19:$B$201),'Бланк OLD 0.8 04'!$B$12:$K$200,9,0))),
IF(VLOOKUP($A216-COUNT('Шаг2.Бланк заказа NEW'!$B$19:$B$201)-COUNT('Бланк OLD 0.8 04'!$B$18:$B$200),'Бланк OLD 2.0 04 '!$B$16:$K$200,9,0)="","",VLOOKUP($A216-COUNT('Шаг2.Бланк заказа NEW'!$B$19:$B$201)-COUNT('Бланк OLD 0.8 04'!$B$18:$B$200),'Бланк OLD 2.0 04 '!$B$16:$K$200,9,0)))</f>
        <v/>
      </c>
      <c r="M216" s="154" t="str">
        <f t="shared" ca="1" si="20"/>
        <v/>
      </c>
      <c r="N216" s="153" t="str">
        <f ca="1">IFERROR(IF(VLOOKUP($A216,'Шаг2.Бланк заказа NEW'!$B$17:$N$201,11,0)="","",VLOOKUP($A216,'Шаг2.Бланк заказа NEW'!$B$17:$N$201,11,0)),
"Нет")</f>
        <v/>
      </c>
      <c r="O216" s="147" t="str">
        <f ca="1">IFERROR(IF(VLOOKUP($A216,'Шаг2.Бланк заказа NEW'!$B$17:$N$201,11,0)="","",VLOOKUP($A216,'Шаг2.Бланк заказа NEW'!$B$17:$N$201,12,0)),
"Нет")</f>
        <v/>
      </c>
      <c r="P216" s="153" t="str">
        <f ca="1">IFERROR(IF(VLOOKUP($A216,'Шаг2.Бланк заказа NEW'!$B$17:$N$201,13,0)="","",VLOOKUP($A216,'Шаг2.Бланк заказа NEW'!$B$17:$N$201,13,0)),
"Нет")</f>
        <v/>
      </c>
      <c r="Q216" s="147" t="str">
        <f ca="1">IFERROR(IF(VLOOKUP($A216,'Шаг2.Бланк заказа NEW'!$B$17:$O$201,14,0)="","",VLOOKUP($A216,'Шаг2.Бланк заказа NEW'!$B$17:$O$201,14,0)),"")</f>
        <v/>
      </c>
      <c r="R216" s="147" t="str">
        <f ca="1">IFERROR(IFERROR(IF(VLOOKUP($A216,'Шаг2.Бланк заказа NEW'!$B$17:$N$201,4,0)="","",VLOOKUP($A216,'Шаг2.Бланк заказа NEW'!$B$17:$N$201,4,0)),
IF(VLOOKUP($A216-COUNT('Шаг2.Бланк заказа NEW'!$B$19:$B$201),'Бланк OLD 0.8 04'!$B$12:$K$200,4,0)&gt;0,0.8,
IF(VLOOKUP($A216-COUNT('Шаг2.Бланк заказа NEW'!$B$19:$B$201),'Бланк OLD 0.8 04'!$B$12:$K$200,5,0)&gt;0,0.4,""))),
IF(VLOOKUP($A216-COUNT('Шаг2.Бланк заказа NEW'!$B$19:$B$201)-COUNT('Бланк OLD 0.8 04'!$B$18:$B$200),'Бланк OLD 2.0 04 '!$B$16:$K$200,4,0)&gt;0,2,IF(VLOOKUP($A216-COUNT('Шаг2.Бланк заказа NEW'!$B$19:$B$201)-COUNT('Бланк OLD 0.8 04'!$B$18:$B$200),'Бланк OLD 2.0 04 '!$B$16:$K$200,5,0)&gt;0,0.4,"")))</f>
        <v/>
      </c>
      <c r="S216" s="147" t="str">
        <f ca="1">IFERROR(IFERROR(IF(VLOOKUP($A216,'Шаг2.Бланк заказа NEW'!$B$17:$N$201,5,0)="","",VLOOKUP($A216,'Шаг2.Бланк заказа NEW'!$B$17:$N$201,5,0)),
IF(VLOOKUP($A216-COUNT('Шаг2.Бланк заказа NEW'!$B$19:$B$201),'Бланк OLD 0.8 04'!$B$12:$K$200,4,0)&gt;1,0.8,
IF(VLOOKUP($A216-COUNT('Шаг2.Бланк заказа NEW'!$B$19:$B$201),'Бланк OLD 0.8 04'!$B$12:$K$200,5,0)&gt;1,0.4,
IF(AND(VLOOKUP($A216-COUNT('Шаг2.Бланк заказа NEW'!$B$19:$B$201),'Бланк OLD 0.8 04'!$B$12:$K$200,4,0)&gt;0,VLOOKUP($A216-COUNT('Шаг2.Бланк заказа NEW'!$B$19:$B$201),'Бланк OLD 0.8 04'!$B$12:$K$200,5,0)&gt;0),0.4,"")))),
IF(VLOOKUP($A216-COUNT('Шаг2.Бланк заказа NEW'!$B$19:$B$201)-COUNT('Бланк OLD 0.8 04'!$B$18:$B$200),'Бланк OLD 2.0 04 '!$B$16:$K$200,4,0)&gt;1,2,
IF(VLOOKUP($A216-COUNT('Шаг2.Бланк заказа NEW'!$B$19:$B$201)-COUNT('Бланк OLD 0.8 04'!$B$18:$B$200),'Бланк OLD 2.0 04 '!$B$16:$K$200,5,0)&gt;1,0.4,IF(AND(VLOOKUP($A216-COUNT('Шаг2.Бланк заказа NEW'!$B$19:$B$201)-COUNT('Бланк OLD 0.8 04'!$B$18:$B$200),'Бланк OLD 2.0 04 '!$B$16:$K$200,4,0)&gt;0,VLOOKUP($A216-COUNT('Шаг2.Бланк заказа NEW'!$B$19:$B$201)-COUNT('Бланк OLD 0.8 04'!$B$18:$B$200),'Бланк OLD 2.0 04 '!$B$16:$K$200,5,0)&gt;0),0.4,""))))</f>
        <v/>
      </c>
      <c r="T216" s="147" t="str">
        <f ca="1">IFERROR(IFERROR(IF(VLOOKUP($A216,'Шаг2.Бланк заказа NEW'!$B$17:$N$201,7,0)="","",VLOOKUP($A216,'Шаг2.Бланк заказа NEW'!$B$17:$N$201,7,0)),
IF(VLOOKUP($A216-COUNT('Шаг2.Бланк заказа NEW'!$B$19:$B$201),'Бланк OLD 0.8 04'!$B$12:$K$200,7,0)&gt;0,0.8,
IF(VLOOKUP($A216-COUNT('Шаг2.Бланк заказа NEW'!$B$19:$B$201),'Бланк OLD 0.8 04'!$B$12:$K$200,8,0)&gt;0,0.4,""))),
IF(VLOOKUP($A216-COUNT('Шаг2.Бланк заказа NEW'!$B$19:$B$201)-COUNT('Бланк OLD 0.8 04'!$B$18:$B$200),'Бланк OLD 2.0 04 '!$B$16:$K$200,7,0)&gt;0,2,IF(VLOOKUP($A216-COUNT('Шаг2.Бланк заказа NEW'!$B$19:$B$201)-COUNT('Бланк OLD 0.8 04'!$B$18:$B$200),'Бланк OLD 2.0 04 '!$B$16:$K$200,8,0)&gt;0,0.4,"")))</f>
        <v/>
      </c>
      <c r="U216" s="147" t="str">
        <f ca="1">IFERROR(IFERROR(IF(VLOOKUP($A216,'Шаг2.Бланк заказа NEW'!$B$17:$N$201,8,0)="","",VLOOKUP($A216,'Шаг2.Бланк заказа NEW'!$B$17:$N$201,8,0)),
IF(VLOOKUP($A216-COUNT('Шаг2.Бланк заказа NEW'!$B$19:$B$201),'Бланк OLD 0.8 04'!$B$12:$K$200,7,0)&gt;1,0.8,
IF(VLOOKUP($A216-COUNT('Шаг2.Бланк заказа NEW'!$B$19:$B$201),'Бланк OLD 0.8 04'!$B$12:$K$200,8,0)&gt;1,0.4,
IF(AND(VLOOKUP($A216-COUNT('Шаг2.Бланк заказа NEW'!$B$19:$B$201),'Бланк OLD 0.8 04'!$B$12:$K$200,7,0)&gt;0,VLOOKUP($A216-COUNT('Шаг2.Бланк заказа NEW'!$B$19:$B$201),'Бланк OLD 0.8 04'!$B$12:$K$200,8,0)&gt;0),0.4,"")))),
IF(VLOOKUP($A216-COUNT('Шаг2.Бланк заказа NEW'!$B$19:$B$201)-COUNT('Бланк OLD 0.8 04'!$B$18:$B$200),'Бланк OLD 2.0 04 '!$B$16:$K$200,7,0)&gt;1,2,
IF(VLOOKUP($A216-COUNT('Шаг2.Бланк заказа NEW'!$B$19:$B$201)-COUNT('Бланк OLD 0.8 04'!$B$18:$B$200),'Бланк OLD 2.0 04 '!$B$16:$K$200,8,0)&gt;1,0.4,
IF(AND(VLOOKUP($A216-COUNT('Шаг2.Бланк заказа NEW'!$B$19:$B$201)-COUNT('Бланк OLD 0.8 04'!$B$18:$B$200),'Бланк OLD 2.0 04 '!$B$16:$K$200,7,0)&gt;0,VLOOKUP($A216-COUNT('Шаг2.Бланк заказа NEW'!$B$19:$B$201)-COUNT('Бланк OLD 0.8 04'!$B$18:$B$200),'Бланк OLD 2.0 04 '!$B$16:$K$200,8,0)&gt;0),0.4,""))))</f>
        <v/>
      </c>
      <c r="V216" s="146" t="str">
        <f ca="1">IFERROR(VLOOKUP(C216,'Шаг1.Выбор плиты'!C:S,12,0),"")</f>
        <v/>
      </c>
      <c r="W216" s="146" t="str">
        <f ca="1">IFERROR(VLOOKUP(C216,'Шаг1.Выбор плиты'!C:S,8,0),"")</f>
        <v/>
      </c>
      <c r="X216" s="146" t="str">
        <f ca="1">IFERROR(VLOOKUP(C216,'Шаг1.Выбор плиты'!C:S,10,0),"")</f>
        <v/>
      </c>
      <c r="Y216" s="147" t="str">
        <f t="shared" ca="1" si="18"/>
        <v/>
      </c>
      <c r="AD216" s="147" t="str">
        <f t="shared" ca="1" si="21"/>
        <v/>
      </c>
      <c r="AE216" s="147" t="str">
        <f t="shared" ca="1" si="19"/>
        <v/>
      </c>
      <c r="AF216" s="25"/>
      <c r="AH216" s="147" t="str">
        <f ca="1">IF(C216="","",VLOOKUP(C216,'Шаг1.Выбор плиты'!C:Q,7,0))</f>
        <v/>
      </c>
      <c r="AI216" s="147" t="str">
        <f t="shared" ca="1" si="22"/>
        <v/>
      </c>
    </row>
    <row r="217" spans="1:35" x14ac:dyDescent="0.2">
      <c r="A217" s="151" t="str">
        <f ca="1">IF(C217="","",MAX($A$1:OFFSET(C217,-1,0))+1)</f>
        <v/>
      </c>
      <c r="B217" s="151" t="str">
        <f ca="1">IFERROR(IFERROR(IFERROR("Шаг2.Бланк заказа NEW №"&amp;VLOOKUP(A216+1,CHOOSE({1,2},'Шаг2.Бланк заказа NEW'!$B$19:$B$201,'Шаг2.Бланк заказа NEW'!$A$19:$A$201),1,0),
"Бланк OLD 0.8 04 №"&amp;VLOOKUP(A216+1-COUNT('Шаг2.Бланк заказа NEW'!$B$19:$B$201),CHOOSE({1,2},'Бланк OLD 0.8 04'!$B$18:$B$200,'Бланк OLD 0.8 04'!$A$18:$A$200),1,0)),
"Бланк OLD 2.0 04 №"&amp;VLOOKUP(A216+1-COUNT('Шаг2.Бланк заказа NEW'!$B$19:$B$201)-COUNT('Бланк OLD 0.8 04'!$B$18:$B$200),CHOOSE({1,2},'Бланк OLD 2.0 04 '!$B$18:$B$200,'Бланк OLD 2.0 04 '!$A$18:$A$200),1,0)),"")</f>
        <v/>
      </c>
      <c r="C217" s="152" t="str">
        <f ca="1">IFERROR(IFERROR(IFERROR(VLOOKUP(A216+1,CHOOSE({1,2},'Шаг2.Бланк заказа NEW'!$B$19:$B$201,'Шаг2.Бланк заказа NEW'!$A$19:$A$201),2,0),
VLOOKUP(A216+1-COUNT('Шаг2.Бланк заказа NEW'!$B$19:$B$201),CHOOSE({1,2},'Бланк OLD 0.8 04'!$B$18:$B$200,'Бланк OLD 0.8 04'!$A$18:$A$200),2,0)),
VLOOKUP(A216+1-COUNT('Шаг2.Бланк заказа NEW'!$B$19:$B$201)-COUNT('Бланк OLD 0.8 04'!$B$18:$B$200),CHOOSE({1,2},'Бланк OLD 2.0 04 '!$B$18:$B$200,'Бланк OLD 2.0 04 '!$A$18:$A$200),2,0)),"")</f>
        <v/>
      </c>
      <c r="D217" s="150" t="str">
        <f ca="1">IFERROR(VLOOKUP(C217,'Шаг1.Выбор плиты'!C:G,5,0),"")</f>
        <v/>
      </c>
      <c r="E217" s="147" t="str">
        <f ca="1">IFERROR(IFERROR(IF(VLOOKUP($A217,'Шаг2.Бланк заказа NEW'!$B$17:$N$201,2,0)="","",VLOOKUP($A217,'Шаг2.Бланк заказа NEW'!$B$17:$N$201,2,0)),
IF(VLOOKUP($A217-COUNT('Шаг2.Бланк заказа NEW'!$B$19:$B$201),'Бланк OLD 0.8 04'!$B$12:$K$200,2,0)="","",VLOOKUP($A217-COUNT('Шаг2.Бланк заказа NEW'!$B$19:$B$201),'Бланк OLD 0.8 04'!$B$12:$K$200,2,0))),
IF(VLOOKUP($A217-COUNT('Шаг2.Бланк заказа NEW'!$B$19:$B$201)-COUNT('Бланк OLD 0.8 04'!$B$18:$B$200),'Бланк OLD 2.0 04 '!$B$16:$K$200,2,0)="","",VLOOKUP($A217-COUNT('Шаг2.Бланк заказа NEW'!$B$19:$B$201)-COUNT('Бланк OLD 0.8 04'!$B$18:$B$200),'Бланк OLD 2.0 04 '!$B$16:$K$200,2,0)))</f>
        <v/>
      </c>
      <c r="F217" s="147" t="str">
        <f ca="1">IFERROR(IFERROR(IF(VLOOKUP($A217,'Шаг2.Бланк заказа NEW'!$B$17:$N$201,3,0)="","",VLOOKUP($A217,'Шаг2.Бланк заказа NEW'!$B$17:$N$201,3,0)),
IF(VLOOKUP($A217-COUNT('Шаг2.Бланк заказа NEW'!$B$19:$B$201),'Бланк OLD 0.8 04'!$B$12:$K$200,3,0)="","",VLOOKUP($A217-COUNT('Шаг2.Бланк заказа NEW'!$B$19:$B$201),'Бланк OLD 0.8 04'!$B$12:$K$200,3,0))),
IF(VLOOKUP($A217-COUNT('Шаг2.Бланк заказа NEW'!$B$19:$B$201)-COUNT('Бланк OLD 0.8 04'!$B$18:$B$200),'Бланк OLD 2.0 04 '!$B$16:$K$200,3,0)="","",VLOOKUP($A217-COUNT('Шаг2.Бланк заказа NEW'!$B$19:$B$201)-COUNT('Бланк OLD 0.8 04'!$B$18:$B$200),'Бланк OLD 2.0 04 '!$B$16:$K$200,3,0)))</f>
        <v/>
      </c>
      <c r="G217" s="176" t="str">
        <f ca="1">IF(IF(R217="","",IF(R217=1,SUMIFS('Шаг1.Выбор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плиты'!C:Q,12,0)),1))))))=0,
R217,
IF(R217="","",IF(R217=1,SUMIFS('Шаг1.Выбор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плиты'!N:N,R217,'Шаг1.Выбор плиты'!M:M,SMALL(INDIRECT("мм"&amp;VLOOKUP(C217,'Шаг1.Выбор плиты'!C:Q,12,0)),1)))))))</f>
        <v/>
      </c>
      <c r="H217" s="177" t="str">
        <f ca="1">IF(IF(S217="","",IF(S217=1,SUMIFS('Шаг1.Выбор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плиты'!C:Q,12,0)),1))))))=0,
S217,
IF(S217="","",IF(S217=1,SUMIFS('Шаг1.Выбор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плиты'!N:N,S217,'Шаг1.Выбор плиты'!M:M,SMALL(INDIRECT("мм"&amp;VLOOKUP(C217,'Шаг1.Выбор плиты'!C:Q,12,0)),1)))))))</f>
        <v/>
      </c>
      <c r="I217" s="147" t="str">
        <f ca="1">IFERROR(IFERROR(IF(VLOOKUP($A217,'Шаг2.Бланк заказа NEW'!$B$17:$N$201,6,0)="","",VLOOKUP($A217,'Шаг2.Бланк заказа NEW'!$B$17:$N$201,6,0)),
IF(VLOOKUP($A217-COUNT('Шаг2.Бланк заказа NEW'!$B$19:$B$201),'Бланк OLD 0.8 04'!$B$12:$K$200,6,0)="","",VLOOKUP($A217-COUNT('Шаг2.Бланк заказа NEW'!$B$19:$B$201),'Бланк OLD 0.8 04'!$B$12:$K$200,6,0))),
IF(VLOOKUP($A217-COUNT('Шаг2.Бланк заказа NEW'!$B$19:$B$201)-COUNT('Бланк OLD 0.8 04'!$B$18:$B$200),'Бланк OLD 2.0 04 '!$B$16:$K$200,6,0)="","",VLOOKUP($A217-COUNT('Шаг2.Бланк заказа NEW'!$B$19:$B$201)-COUNT('Бланк OLD 0.8 04'!$B$18:$B$200),'Бланк OLD 2.0 04 '!$B$16:$K$200,6,0)))</f>
        <v/>
      </c>
      <c r="J217" s="177" t="str">
        <f ca="1">IF(IF(T217="","",IF(T217=1,SUMIFS('Шаг1.Выбор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плиты'!C:Q,12,0)),1))))))=0,
T217,
IF(T217="","",IF(T217=1,SUMIFS('Шаг1.Выбор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плиты'!N:N,T217,'Шаг1.Выбор плиты'!M:M,SMALL(INDIRECT("мм"&amp;VLOOKUP(C217,'Шаг1.Выбор плиты'!C:Q,12,0)),1)))))))</f>
        <v/>
      </c>
      <c r="K217" s="177" t="str">
        <f ca="1">IF(IF(U217="","",IF(U217=1,SUMIFS('Шаг1.Выбор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плиты'!C:Q,12,0)),1))))))=0,
U217,
IF(U217="","",IF(U217=1,SUMIFS('Шаг1.Выбор плиты'!$G:$G,'Шаг1.Выбор плиты'!J:J,"*"&amp;RIGHT(VLOOKUP(C217,'Шаг1.Выбор плиты'!C:Q,8,0),4),'Шаг1.Выбор плиты'!L:L,IF(MID(C217,1,6)="ЛДСП P","TM"&amp;MID(VLOOKUP(C217,'Шаг1.Выбор плиты'!C:Q,10,0),3,2),MID(VLOOKUP(C217,'Шаг1.Выбор плиты'!C:Q,10,0),1,2)),
'Шаг1.Выбор плиты'!N:N,1),IF(SUMIFS('Шаг1.Выбор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плиты'!C:Q,12,0)),1))=0,
IF(SUMIFS('Шаг1.Выбор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плиты'!C:Q,12,0)),2))=0,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плиты'!C:Q,12,0)),3)),
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плиты'!C:Q,12,0)),2))),
(SUMIFS('Шаг1.Выбор плиты'!$G:$G,'Шаг1.Выбор плиты'!J:J,"*"&amp;RIGHT(VLOOKUP(C217,'Шаг1.Выбор плиты'!C:Q,8,0),4),'Шаг1.Выбор плиты'!L:L,VLOOKUP(C217,'Шаг1.Выбор плиты'!C:Q,10,0),'Шаг1.Выбор плиты'!N:N,U217,'Шаг1.Выбор плиты'!M:M,SMALL(INDIRECT("мм"&amp;VLOOKUP(C217,'Шаг1.Выбор плиты'!C:Q,12,0)),1)))))))</f>
        <v/>
      </c>
      <c r="L217" s="147" t="str">
        <f ca="1">IFERROR(IFERROR(IF(VLOOKUP($A217,'Шаг2.Бланк заказа NEW'!$B$17:$N$201,9,0)="","",VLOOKUP($A217,'Шаг2.Бланк заказа NEW'!$B$17:$N$201,9,0)),
IF(VLOOKUP($A217-COUNT('Шаг2.Бланк заказа NEW'!$B$19:$B$201),'Бланк OLD 0.8 04'!$B$12:$K$200,9,0)="","",VLOOKUP($A217-COUNT('Шаг2.Бланк заказа NEW'!$B$19:$B$201),'Бланк OLD 0.8 04'!$B$12:$K$200,9,0))),
IF(VLOOKUP($A217-COUNT('Шаг2.Бланк заказа NEW'!$B$19:$B$201)-COUNT('Бланк OLD 0.8 04'!$B$18:$B$200),'Бланк OLD 2.0 04 '!$B$16:$K$200,9,0)="","",VLOOKUP($A217-COUNT('Шаг2.Бланк заказа NEW'!$B$19:$B$201)-COUNT('Бланк OLD 0.8 04'!$B$18:$B$200),'Бланк OLD 2.0 04 '!$B$16:$K$200,9,0)))</f>
        <v/>
      </c>
      <c r="M217" s="154" t="str">
        <f t="shared" ca="1" si="20"/>
        <v/>
      </c>
      <c r="N217" s="153" t="str">
        <f ca="1">IFERROR(IF(VLOOKUP($A217,'Шаг2.Бланк заказа NEW'!$B$17:$N$201,11,0)="","",VLOOKUP($A217,'Шаг2.Бланк заказа NEW'!$B$17:$N$201,11,0)),
"Нет")</f>
        <v/>
      </c>
      <c r="O217" s="147" t="str">
        <f ca="1">IFERROR(IF(VLOOKUP($A217,'Шаг2.Бланк заказа NEW'!$B$17:$N$201,11,0)="","",VLOOKUP($A217,'Шаг2.Бланк заказа NEW'!$B$17:$N$201,12,0)),
"Нет")</f>
        <v/>
      </c>
      <c r="P217" s="153" t="str">
        <f ca="1">IFERROR(IF(VLOOKUP($A217,'Шаг2.Бланк заказа NEW'!$B$17:$N$201,13,0)="","",VLOOKUP($A217,'Шаг2.Бланк заказа NEW'!$B$17:$N$201,13,0)),
"Нет")</f>
        <v/>
      </c>
      <c r="Q217" s="147" t="str">
        <f ca="1">IFERROR(IF(VLOOKUP($A217,'Шаг2.Бланк заказа NEW'!$B$17:$O$201,14,0)="","",VLOOKUP($A217,'Шаг2.Бланк заказа NEW'!$B$17:$O$201,14,0)),"")</f>
        <v/>
      </c>
      <c r="R217" s="147" t="str">
        <f ca="1">IFERROR(IFERROR(IF(VLOOKUP($A217,'Шаг2.Бланк заказа NEW'!$B$17:$N$201,4,0)="","",VLOOKUP($A217,'Шаг2.Бланк заказа NEW'!$B$17:$N$201,4,0)),
IF(VLOOKUP($A217-COUNT('Шаг2.Бланк заказа NEW'!$B$19:$B$201),'Бланк OLD 0.8 04'!$B$12:$K$200,4,0)&gt;0,0.8,
IF(VLOOKUP($A217-COUNT('Шаг2.Бланк заказа NEW'!$B$19:$B$201),'Бланк OLD 0.8 04'!$B$12:$K$200,5,0)&gt;0,0.4,""))),
IF(VLOOKUP($A217-COUNT('Шаг2.Бланк заказа NEW'!$B$19:$B$201)-COUNT('Бланк OLD 0.8 04'!$B$18:$B$200),'Бланк OLD 2.0 04 '!$B$16:$K$200,4,0)&gt;0,2,IF(VLOOKUP($A217-COUNT('Шаг2.Бланк заказа NEW'!$B$19:$B$201)-COUNT('Бланк OLD 0.8 04'!$B$18:$B$200),'Бланк OLD 2.0 04 '!$B$16:$K$200,5,0)&gt;0,0.4,"")))</f>
        <v/>
      </c>
      <c r="S217" s="147" t="str">
        <f ca="1">IFERROR(IFERROR(IF(VLOOKUP($A217,'Шаг2.Бланк заказа NEW'!$B$17:$N$201,5,0)="","",VLOOKUP($A217,'Шаг2.Бланк заказа NEW'!$B$17:$N$201,5,0)),
IF(VLOOKUP($A217-COUNT('Шаг2.Бланк заказа NEW'!$B$19:$B$201),'Бланк OLD 0.8 04'!$B$12:$K$200,4,0)&gt;1,0.8,
IF(VLOOKUP($A217-COUNT('Шаг2.Бланк заказа NEW'!$B$19:$B$201),'Бланк OLD 0.8 04'!$B$12:$K$200,5,0)&gt;1,0.4,
IF(AND(VLOOKUP($A217-COUNT('Шаг2.Бланк заказа NEW'!$B$19:$B$201),'Бланк OLD 0.8 04'!$B$12:$K$200,4,0)&gt;0,VLOOKUP($A217-COUNT('Шаг2.Бланк заказа NEW'!$B$19:$B$201),'Бланк OLD 0.8 04'!$B$12:$K$200,5,0)&gt;0),0.4,"")))),
IF(VLOOKUP($A217-COUNT('Шаг2.Бланк заказа NEW'!$B$19:$B$201)-COUNT('Бланк OLD 0.8 04'!$B$18:$B$200),'Бланк OLD 2.0 04 '!$B$16:$K$200,4,0)&gt;1,2,
IF(VLOOKUP($A217-COUNT('Шаг2.Бланк заказа NEW'!$B$19:$B$201)-COUNT('Бланк OLD 0.8 04'!$B$18:$B$200),'Бланк OLD 2.0 04 '!$B$16:$K$200,5,0)&gt;1,0.4,IF(AND(VLOOKUP($A217-COUNT('Шаг2.Бланк заказа NEW'!$B$19:$B$201)-COUNT('Бланк OLD 0.8 04'!$B$18:$B$200),'Бланк OLD 2.0 04 '!$B$16:$K$200,4,0)&gt;0,VLOOKUP($A217-COUNT('Шаг2.Бланк заказа NEW'!$B$19:$B$201)-COUNT('Бланк OLD 0.8 04'!$B$18:$B$200),'Бланк OLD 2.0 04 '!$B$16:$K$200,5,0)&gt;0),0.4,""))))</f>
        <v/>
      </c>
      <c r="T217" s="147" t="str">
        <f ca="1">IFERROR(IFERROR(IF(VLOOKUP($A217,'Шаг2.Бланк заказа NEW'!$B$17:$N$201,7,0)="","",VLOOKUP($A217,'Шаг2.Бланк заказа NEW'!$B$17:$N$201,7,0)),
IF(VLOOKUP($A217-COUNT('Шаг2.Бланк заказа NEW'!$B$19:$B$201),'Бланк OLD 0.8 04'!$B$12:$K$200,7,0)&gt;0,0.8,
IF(VLOOKUP($A217-COUNT('Шаг2.Бланк заказа NEW'!$B$19:$B$201),'Бланк OLD 0.8 04'!$B$12:$K$200,8,0)&gt;0,0.4,""))),
IF(VLOOKUP($A217-COUNT('Шаг2.Бланк заказа NEW'!$B$19:$B$201)-COUNT('Бланк OLD 0.8 04'!$B$18:$B$200),'Бланк OLD 2.0 04 '!$B$16:$K$200,7,0)&gt;0,2,IF(VLOOKUP($A217-COUNT('Шаг2.Бланк заказа NEW'!$B$19:$B$201)-COUNT('Бланк OLD 0.8 04'!$B$18:$B$200),'Бланк OLD 2.0 04 '!$B$16:$K$200,8,0)&gt;0,0.4,"")))</f>
        <v/>
      </c>
      <c r="U217" s="147" t="str">
        <f ca="1">IFERROR(IFERROR(IF(VLOOKUP($A217,'Шаг2.Бланк заказа NEW'!$B$17:$N$201,8,0)="","",VLOOKUP($A217,'Шаг2.Бланк заказа NEW'!$B$17:$N$201,8,0)),
IF(VLOOKUP($A217-COUNT('Шаг2.Бланк заказа NEW'!$B$19:$B$201),'Бланк OLD 0.8 04'!$B$12:$K$200,7,0)&gt;1,0.8,
IF(VLOOKUP($A217-COUNT('Шаг2.Бланк заказа NEW'!$B$19:$B$201),'Бланк OLD 0.8 04'!$B$12:$K$200,8,0)&gt;1,0.4,
IF(AND(VLOOKUP($A217-COUNT('Шаг2.Бланк заказа NEW'!$B$19:$B$201),'Бланк OLD 0.8 04'!$B$12:$K$200,7,0)&gt;0,VLOOKUP($A217-COUNT('Шаг2.Бланк заказа NEW'!$B$19:$B$201),'Бланк OLD 0.8 04'!$B$12:$K$200,8,0)&gt;0),0.4,"")))),
IF(VLOOKUP($A217-COUNT('Шаг2.Бланк заказа NEW'!$B$19:$B$201)-COUNT('Бланк OLD 0.8 04'!$B$18:$B$200),'Бланк OLD 2.0 04 '!$B$16:$K$200,7,0)&gt;1,2,
IF(VLOOKUP($A217-COUNT('Шаг2.Бланк заказа NEW'!$B$19:$B$201)-COUNT('Бланк OLD 0.8 04'!$B$18:$B$200),'Бланк OLD 2.0 04 '!$B$16:$K$200,8,0)&gt;1,0.4,
IF(AND(VLOOKUP($A217-COUNT('Шаг2.Бланк заказа NEW'!$B$19:$B$201)-COUNT('Бланк OLD 0.8 04'!$B$18:$B$200),'Бланк OLD 2.0 04 '!$B$16:$K$200,7,0)&gt;0,VLOOKUP($A217-COUNT('Шаг2.Бланк заказа NEW'!$B$19:$B$201)-COUNT('Бланк OLD 0.8 04'!$B$18:$B$200),'Бланк OLD 2.0 04 '!$B$16:$K$200,8,0)&gt;0),0.4,""))))</f>
        <v/>
      </c>
      <c r="V217" s="146" t="str">
        <f ca="1">IFERROR(VLOOKUP(C217,'Шаг1.Выбор плиты'!C:S,12,0),"")</f>
        <v/>
      </c>
      <c r="W217" s="146" t="str">
        <f ca="1">IFERROR(VLOOKUP(C217,'Шаг1.Выбор плиты'!C:S,8,0),"")</f>
        <v/>
      </c>
      <c r="X217" s="146" t="str">
        <f ca="1">IFERROR(VLOOKUP(C217,'Шаг1.Выбор плиты'!C:S,10,0),"")</f>
        <v/>
      </c>
      <c r="Y217" s="147" t="str">
        <f t="shared" ca="1" si="18"/>
        <v/>
      </c>
      <c r="AD217" s="147" t="str">
        <f t="shared" ca="1" si="21"/>
        <v/>
      </c>
      <c r="AE217" s="147" t="str">
        <f t="shared" ca="1" si="19"/>
        <v/>
      </c>
      <c r="AF217" s="25"/>
      <c r="AH217" s="147" t="str">
        <f ca="1">IF(C217="","",VLOOKUP(C217,'Шаг1.Выбор плиты'!C:Q,7,0))</f>
        <v/>
      </c>
      <c r="AI217" s="147" t="str">
        <f t="shared" ca="1" si="22"/>
        <v/>
      </c>
    </row>
    <row r="218" spans="1:35" x14ac:dyDescent="0.2">
      <c r="A218" s="151" t="str">
        <f ca="1">IF(C218="","",MAX($A$1:OFFSET(C218,-1,0))+1)</f>
        <v/>
      </c>
      <c r="B218" s="151" t="str">
        <f ca="1">IFERROR(IFERROR(IFERROR("Шаг2.Бланк заказа NEW №"&amp;VLOOKUP(A217+1,CHOOSE({1,2},'Шаг2.Бланк заказа NEW'!$B$19:$B$201,'Шаг2.Бланк заказа NEW'!$A$19:$A$201),1,0),
"Бланк OLD 0.8 04 №"&amp;VLOOKUP(A217+1-COUNT('Шаг2.Бланк заказа NEW'!$B$19:$B$201),CHOOSE({1,2},'Бланк OLD 0.8 04'!$B$18:$B$200,'Бланк OLD 0.8 04'!$A$18:$A$200),1,0)),
"Бланк OLD 2.0 04 №"&amp;VLOOKUP(A217+1-COUNT('Шаг2.Бланк заказа NEW'!$B$19:$B$201)-COUNT('Бланк OLD 0.8 04'!$B$18:$B$200),CHOOSE({1,2},'Бланк OLD 2.0 04 '!$B$18:$B$200,'Бланк OLD 2.0 04 '!$A$18:$A$200),1,0)),"")</f>
        <v/>
      </c>
      <c r="C218" s="152" t="str">
        <f ca="1">IFERROR(IFERROR(IFERROR(VLOOKUP(A217+1,CHOOSE({1,2},'Шаг2.Бланк заказа NEW'!$B$19:$B$201,'Шаг2.Бланк заказа NEW'!$A$19:$A$201),2,0),
VLOOKUP(A217+1-COUNT('Шаг2.Бланк заказа NEW'!$B$19:$B$201),CHOOSE({1,2},'Бланк OLD 0.8 04'!$B$18:$B$200,'Бланк OLD 0.8 04'!$A$18:$A$200),2,0)),
VLOOKUP(A217+1-COUNT('Шаг2.Бланк заказа NEW'!$B$19:$B$201)-COUNT('Бланк OLD 0.8 04'!$B$18:$B$200),CHOOSE({1,2},'Бланк OLD 2.0 04 '!$B$18:$B$200,'Бланк OLD 2.0 04 '!$A$18:$A$200),2,0)),"")</f>
        <v/>
      </c>
      <c r="D218" s="150" t="str">
        <f ca="1">IFERROR(VLOOKUP(C218,'Шаг1.Выбор плиты'!C:G,5,0),"")</f>
        <v/>
      </c>
      <c r="E218" s="147" t="str">
        <f ca="1">IFERROR(IFERROR(IF(VLOOKUP($A218,'Шаг2.Бланк заказа NEW'!$B$17:$N$201,2,0)="","",VLOOKUP($A218,'Шаг2.Бланк заказа NEW'!$B$17:$N$201,2,0)),
IF(VLOOKUP($A218-COUNT('Шаг2.Бланк заказа NEW'!$B$19:$B$201),'Бланк OLD 0.8 04'!$B$12:$K$200,2,0)="","",VLOOKUP($A218-COUNT('Шаг2.Бланк заказа NEW'!$B$19:$B$201),'Бланк OLD 0.8 04'!$B$12:$K$200,2,0))),
IF(VLOOKUP($A218-COUNT('Шаг2.Бланк заказа NEW'!$B$19:$B$201)-COUNT('Бланк OLD 0.8 04'!$B$18:$B$200),'Бланк OLD 2.0 04 '!$B$16:$K$200,2,0)="","",VLOOKUP($A218-COUNT('Шаг2.Бланк заказа NEW'!$B$19:$B$201)-COUNT('Бланк OLD 0.8 04'!$B$18:$B$200),'Бланк OLD 2.0 04 '!$B$16:$K$200,2,0)))</f>
        <v/>
      </c>
      <c r="F218" s="147" t="str">
        <f ca="1">IFERROR(IFERROR(IF(VLOOKUP($A218,'Шаг2.Бланк заказа NEW'!$B$17:$N$201,3,0)="","",VLOOKUP($A218,'Шаг2.Бланк заказа NEW'!$B$17:$N$201,3,0)),
IF(VLOOKUP($A218-COUNT('Шаг2.Бланк заказа NEW'!$B$19:$B$201),'Бланк OLD 0.8 04'!$B$12:$K$200,3,0)="","",VLOOKUP($A218-COUNT('Шаг2.Бланк заказа NEW'!$B$19:$B$201),'Бланк OLD 0.8 04'!$B$12:$K$200,3,0))),
IF(VLOOKUP($A218-COUNT('Шаг2.Бланк заказа NEW'!$B$19:$B$201)-COUNT('Бланк OLD 0.8 04'!$B$18:$B$200),'Бланк OLD 2.0 04 '!$B$16:$K$200,3,0)="","",VLOOKUP($A218-COUNT('Шаг2.Бланк заказа NEW'!$B$19:$B$201)-COUNT('Бланк OLD 0.8 04'!$B$18:$B$200),'Бланк OLD 2.0 04 '!$B$16:$K$200,3,0)))</f>
        <v/>
      </c>
      <c r="G218" s="176" t="str">
        <f ca="1">IF(IF(R218="","",IF(R218=1,SUMIFS('Шаг1.Выбор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плиты'!C:Q,12,0)),1))))))=0,
R218,
IF(R218="","",IF(R218=1,SUMIFS('Шаг1.Выбор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плиты'!N:N,R218,'Шаг1.Выбор плиты'!M:M,SMALL(INDIRECT("мм"&amp;VLOOKUP(C218,'Шаг1.Выбор плиты'!C:Q,12,0)),1)))))))</f>
        <v/>
      </c>
      <c r="H218" s="177" t="str">
        <f ca="1">IF(IF(S218="","",IF(S218=1,SUMIFS('Шаг1.Выбор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плиты'!C:Q,12,0)),1))))))=0,
S218,
IF(S218="","",IF(S218=1,SUMIFS('Шаг1.Выбор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плиты'!N:N,S218,'Шаг1.Выбор плиты'!M:M,SMALL(INDIRECT("мм"&amp;VLOOKUP(C218,'Шаг1.Выбор плиты'!C:Q,12,0)),1)))))))</f>
        <v/>
      </c>
      <c r="I218" s="147" t="str">
        <f ca="1">IFERROR(IFERROR(IF(VLOOKUP($A218,'Шаг2.Бланк заказа NEW'!$B$17:$N$201,6,0)="","",VLOOKUP($A218,'Шаг2.Бланк заказа NEW'!$B$17:$N$201,6,0)),
IF(VLOOKUP($A218-COUNT('Шаг2.Бланк заказа NEW'!$B$19:$B$201),'Бланк OLD 0.8 04'!$B$12:$K$200,6,0)="","",VLOOKUP($A218-COUNT('Шаг2.Бланк заказа NEW'!$B$19:$B$201),'Бланк OLD 0.8 04'!$B$12:$K$200,6,0))),
IF(VLOOKUP($A218-COUNT('Шаг2.Бланк заказа NEW'!$B$19:$B$201)-COUNT('Бланк OLD 0.8 04'!$B$18:$B$200),'Бланк OLD 2.0 04 '!$B$16:$K$200,6,0)="","",VLOOKUP($A218-COUNT('Шаг2.Бланк заказа NEW'!$B$19:$B$201)-COUNT('Бланк OLD 0.8 04'!$B$18:$B$200),'Бланк OLD 2.0 04 '!$B$16:$K$200,6,0)))</f>
        <v/>
      </c>
      <c r="J218" s="177" t="str">
        <f ca="1">IF(IF(T218="","",IF(T218=1,SUMIFS('Шаг1.Выбор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плиты'!C:Q,12,0)),1))))))=0,
T218,
IF(T218="","",IF(T218=1,SUMIFS('Шаг1.Выбор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плиты'!N:N,T218,'Шаг1.Выбор плиты'!M:M,SMALL(INDIRECT("мм"&amp;VLOOKUP(C218,'Шаг1.Выбор плиты'!C:Q,12,0)),1)))))))</f>
        <v/>
      </c>
      <c r="K218" s="177" t="str">
        <f ca="1">IF(IF(U218="","",IF(U218=1,SUMIFS('Шаг1.Выбор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плиты'!C:Q,12,0)),1))))))=0,
U218,
IF(U218="","",IF(U218=1,SUMIFS('Шаг1.Выбор плиты'!$G:$G,'Шаг1.Выбор плиты'!J:J,"*"&amp;RIGHT(VLOOKUP(C218,'Шаг1.Выбор плиты'!C:Q,8,0),4),'Шаг1.Выбор плиты'!L:L,IF(MID(C218,1,6)="ЛДСП P","TM"&amp;MID(VLOOKUP(C218,'Шаг1.Выбор плиты'!C:Q,10,0),3,2),MID(VLOOKUP(C218,'Шаг1.Выбор плиты'!C:Q,10,0),1,2)),
'Шаг1.Выбор плиты'!N:N,1),IF(SUMIFS('Шаг1.Выбор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плиты'!C:Q,12,0)),1))=0,
IF(SUMIFS('Шаг1.Выбор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плиты'!C:Q,12,0)),2))=0,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плиты'!C:Q,12,0)),3)),
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плиты'!C:Q,12,0)),2))),
(SUMIFS('Шаг1.Выбор плиты'!$G:$G,'Шаг1.Выбор плиты'!J:J,"*"&amp;RIGHT(VLOOKUP(C218,'Шаг1.Выбор плиты'!C:Q,8,0),4),'Шаг1.Выбор плиты'!L:L,VLOOKUP(C218,'Шаг1.Выбор плиты'!C:Q,10,0),'Шаг1.Выбор плиты'!N:N,U218,'Шаг1.Выбор плиты'!M:M,SMALL(INDIRECT("мм"&amp;VLOOKUP(C218,'Шаг1.Выбор плиты'!C:Q,12,0)),1)))))))</f>
        <v/>
      </c>
      <c r="L218" s="147" t="str">
        <f ca="1">IFERROR(IFERROR(IF(VLOOKUP($A218,'Шаг2.Бланк заказа NEW'!$B$17:$N$201,9,0)="","",VLOOKUP($A218,'Шаг2.Бланк заказа NEW'!$B$17:$N$201,9,0)),
IF(VLOOKUP($A218-COUNT('Шаг2.Бланк заказа NEW'!$B$19:$B$201),'Бланк OLD 0.8 04'!$B$12:$K$200,9,0)="","",VLOOKUP($A218-COUNT('Шаг2.Бланк заказа NEW'!$B$19:$B$201),'Бланк OLD 0.8 04'!$B$12:$K$200,9,0))),
IF(VLOOKUP($A218-COUNT('Шаг2.Бланк заказа NEW'!$B$19:$B$201)-COUNT('Бланк OLD 0.8 04'!$B$18:$B$200),'Бланк OLD 2.0 04 '!$B$16:$K$200,9,0)="","",VLOOKUP($A218-COUNT('Шаг2.Бланк заказа NEW'!$B$19:$B$201)-COUNT('Бланк OLD 0.8 04'!$B$18:$B$200),'Бланк OLD 2.0 04 '!$B$16:$K$200,9,0)))</f>
        <v/>
      </c>
      <c r="M218" s="154" t="str">
        <f t="shared" ca="1" si="20"/>
        <v/>
      </c>
      <c r="N218" s="153" t="str">
        <f ca="1">IFERROR(IF(VLOOKUP($A218,'Шаг2.Бланк заказа NEW'!$B$17:$N$201,11,0)="","",VLOOKUP($A218,'Шаг2.Бланк заказа NEW'!$B$17:$N$201,11,0)),
"Нет")</f>
        <v/>
      </c>
      <c r="O218" s="147" t="str">
        <f ca="1">IFERROR(IF(VLOOKUP($A218,'Шаг2.Бланк заказа NEW'!$B$17:$N$201,11,0)="","",VLOOKUP($A218,'Шаг2.Бланк заказа NEW'!$B$17:$N$201,12,0)),
"Нет")</f>
        <v/>
      </c>
      <c r="P218" s="153" t="str">
        <f ca="1">IFERROR(IF(VLOOKUP($A218,'Шаг2.Бланк заказа NEW'!$B$17:$N$201,13,0)="","",VLOOKUP($A218,'Шаг2.Бланк заказа NEW'!$B$17:$N$201,13,0)),
"Нет")</f>
        <v/>
      </c>
      <c r="Q218" s="147" t="str">
        <f ca="1">IFERROR(IF(VLOOKUP($A218,'Шаг2.Бланк заказа NEW'!$B$17:$O$201,14,0)="","",VLOOKUP($A218,'Шаг2.Бланк заказа NEW'!$B$17:$O$201,14,0)),"")</f>
        <v/>
      </c>
      <c r="R218" s="147" t="str">
        <f ca="1">IFERROR(IFERROR(IF(VLOOKUP($A218,'Шаг2.Бланк заказа NEW'!$B$17:$N$201,4,0)="","",VLOOKUP($A218,'Шаг2.Бланк заказа NEW'!$B$17:$N$201,4,0)),
IF(VLOOKUP($A218-COUNT('Шаг2.Бланк заказа NEW'!$B$19:$B$201),'Бланк OLD 0.8 04'!$B$12:$K$200,4,0)&gt;0,0.8,
IF(VLOOKUP($A218-COUNT('Шаг2.Бланк заказа NEW'!$B$19:$B$201),'Бланк OLD 0.8 04'!$B$12:$K$200,5,0)&gt;0,0.4,""))),
IF(VLOOKUP($A218-COUNT('Шаг2.Бланк заказа NEW'!$B$19:$B$201)-COUNT('Бланк OLD 0.8 04'!$B$18:$B$200),'Бланк OLD 2.0 04 '!$B$16:$K$200,4,0)&gt;0,2,IF(VLOOKUP($A218-COUNT('Шаг2.Бланк заказа NEW'!$B$19:$B$201)-COUNT('Бланк OLD 0.8 04'!$B$18:$B$200),'Бланк OLD 2.0 04 '!$B$16:$K$200,5,0)&gt;0,0.4,"")))</f>
        <v/>
      </c>
      <c r="S218" s="147" t="str">
        <f ca="1">IFERROR(IFERROR(IF(VLOOKUP($A218,'Шаг2.Бланк заказа NEW'!$B$17:$N$201,5,0)="","",VLOOKUP($A218,'Шаг2.Бланк заказа NEW'!$B$17:$N$201,5,0)),
IF(VLOOKUP($A218-COUNT('Шаг2.Бланк заказа NEW'!$B$19:$B$201),'Бланк OLD 0.8 04'!$B$12:$K$200,4,0)&gt;1,0.8,
IF(VLOOKUP($A218-COUNT('Шаг2.Бланк заказа NEW'!$B$19:$B$201),'Бланк OLD 0.8 04'!$B$12:$K$200,5,0)&gt;1,0.4,
IF(AND(VLOOKUP($A218-COUNT('Шаг2.Бланк заказа NEW'!$B$19:$B$201),'Бланк OLD 0.8 04'!$B$12:$K$200,4,0)&gt;0,VLOOKUP($A218-COUNT('Шаг2.Бланк заказа NEW'!$B$19:$B$201),'Бланк OLD 0.8 04'!$B$12:$K$200,5,0)&gt;0),0.4,"")))),
IF(VLOOKUP($A218-COUNT('Шаг2.Бланк заказа NEW'!$B$19:$B$201)-COUNT('Бланк OLD 0.8 04'!$B$18:$B$200),'Бланк OLD 2.0 04 '!$B$16:$K$200,4,0)&gt;1,2,
IF(VLOOKUP($A218-COUNT('Шаг2.Бланк заказа NEW'!$B$19:$B$201)-COUNT('Бланк OLD 0.8 04'!$B$18:$B$200),'Бланк OLD 2.0 04 '!$B$16:$K$200,5,0)&gt;1,0.4,IF(AND(VLOOKUP($A218-COUNT('Шаг2.Бланк заказа NEW'!$B$19:$B$201)-COUNT('Бланк OLD 0.8 04'!$B$18:$B$200),'Бланк OLD 2.0 04 '!$B$16:$K$200,4,0)&gt;0,VLOOKUP($A218-COUNT('Шаг2.Бланк заказа NEW'!$B$19:$B$201)-COUNT('Бланк OLD 0.8 04'!$B$18:$B$200),'Бланк OLD 2.0 04 '!$B$16:$K$200,5,0)&gt;0),0.4,""))))</f>
        <v/>
      </c>
      <c r="T218" s="147" t="str">
        <f ca="1">IFERROR(IFERROR(IF(VLOOKUP($A218,'Шаг2.Бланк заказа NEW'!$B$17:$N$201,7,0)="","",VLOOKUP($A218,'Шаг2.Бланк заказа NEW'!$B$17:$N$201,7,0)),
IF(VLOOKUP($A218-COUNT('Шаг2.Бланк заказа NEW'!$B$19:$B$201),'Бланк OLD 0.8 04'!$B$12:$K$200,7,0)&gt;0,0.8,
IF(VLOOKUP($A218-COUNT('Шаг2.Бланк заказа NEW'!$B$19:$B$201),'Бланк OLD 0.8 04'!$B$12:$K$200,8,0)&gt;0,0.4,""))),
IF(VLOOKUP($A218-COUNT('Шаг2.Бланк заказа NEW'!$B$19:$B$201)-COUNT('Бланк OLD 0.8 04'!$B$18:$B$200),'Бланк OLD 2.0 04 '!$B$16:$K$200,7,0)&gt;0,2,IF(VLOOKUP($A218-COUNT('Шаг2.Бланк заказа NEW'!$B$19:$B$201)-COUNT('Бланк OLD 0.8 04'!$B$18:$B$200),'Бланк OLD 2.0 04 '!$B$16:$K$200,8,0)&gt;0,0.4,"")))</f>
        <v/>
      </c>
      <c r="U218" s="147" t="str">
        <f ca="1">IFERROR(IFERROR(IF(VLOOKUP($A218,'Шаг2.Бланк заказа NEW'!$B$17:$N$201,8,0)="","",VLOOKUP($A218,'Шаг2.Бланк заказа NEW'!$B$17:$N$201,8,0)),
IF(VLOOKUP($A218-COUNT('Шаг2.Бланк заказа NEW'!$B$19:$B$201),'Бланк OLD 0.8 04'!$B$12:$K$200,7,0)&gt;1,0.8,
IF(VLOOKUP($A218-COUNT('Шаг2.Бланк заказа NEW'!$B$19:$B$201),'Бланк OLD 0.8 04'!$B$12:$K$200,8,0)&gt;1,0.4,
IF(AND(VLOOKUP($A218-COUNT('Шаг2.Бланк заказа NEW'!$B$19:$B$201),'Бланк OLD 0.8 04'!$B$12:$K$200,7,0)&gt;0,VLOOKUP($A218-COUNT('Шаг2.Бланк заказа NEW'!$B$19:$B$201),'Бланк OLD 0.8 04'!$B$12:$K$200,8,0)&gt;0),0.4,"")))),
IF(VLOOKUP($A218-COUNT('Шаг2.Бланк заказа NEW'!$B$19:$B$201)-COUNT('Бланк OLD 0.8 04'!$B$18:$B$200),'Бланк OLD 2.0 04 '!$B$16:$K$200,7,0)&gt;1,2,
IF(VLOOKUP($A218-COUNT('Шаг2.Бланк заказа NEW'!$B$19:$B$201)-COUNT('Бланк OLD 0.8 04'!$B$18:$B$200),'Бланк OLD 2.0 04 '!$B$16:$K$200,8,0)&gt;1,0.4,
IF(AND(VLOOKUP($A218-COUNT('Шаг2.Бланк заказа NEW'!$B$19:$B$201)-COUNT('Бланк OLD 0.8 04'!$B$18:$B$200),'Бланк OLD 2.0 04 '!$B$16:$K$200,7,0)&gt;0,VLOOKUP($A218-COUNT('Шаг2.Бланк заказа NEW'!$B$19:$B$201)-COUNT('Бланк OLD 0.8 04'!$B$18:$B$200),'Бланк OLD 2.0 04 '!$B$16:$K$200,8,0)&gt;0),0.4,""))))</f>
        <v/>
      </c>
      <c r="V218" s="146" t="str">
        <f ca="1">IFERROR(VLOOKUP(C218,'Шаг1.Выбор плиты'!C:S,12,0),"")</f>
        <v/>
      </c>
      <c r="W218" s="146" t="str">
        <f ca="1">IFERROR(VLOOKUP(C218,'Шаг1.Выбор плиты'!C:S,8,0),"")</f>
        <v/>
      </c>
      <c r="X218" s="146" t="str">
        <f ca="1">IFERROR(VLOOKUP(C218,'Шаг1.Выбор плиты'!C:S,10,0),"")</f>
        <v/>
      </c>
      <c r="Y218" s="147" t="str">
        <f t="shared" ca="1" si="18"/>
        <v/>
      </c>
      <c r="AD218" s="147" t="str">
        <f t="shared" ca="1" si="21"/>
        <v/>
      </c>
      <c r="AE218" s="147" t="str">
        <f t="shared" ca="1" si="19"/>
        <v/>
      </c>
      <c r="AF218" s="25"/>
      <c r="AH218" s="147" t="str">
        <f ca="1">IF(C218="","",VLOOKUP(C218,'Шаг1.Выбор плиты'!C:Q,7,0))</f>
        <v/>
      </c>
      <c r="AI218" s="147" t="str">
        <f t="shared" ca="1" si="22"/>
        <v/>
      </c>
    </row>
    <row r="219" spans="1:35" x14ac:dyDescent="0.2">
      <c r="A219" s="151" t="str">
        <f ca="1">IF(C219="","",MAX($A$1:OFFSET(C219,-1,0))+1)</f>
        <v/>
      </c>
      <c r="B219" s="151" t="str">
        <f ca="1">IFERROR(IFERROR(IFERROR("Шаг2.Бланк заказа NEW №"&amp;VLOOKUP(A218+1,CHOOSE({1,2},'Шаг2.Бланк заказа NEW'!$B$19:$B$201,'Шаг2.Бланк заказа NEW'!$A$19:$A$201),1,0),
"Бланк OLD 0.8 04 №"&amp;VLOOKUP(A218+1-COUNT('Шаг2.Бланк заказа NEW'!$B$19:$B$201),CHOOSE({1,2},'Бланк OLD 0.8 04'!$B$18:$B$200,'Бланк OLD 0.8 04'!$A$18:$A$200),1,0)),
"Бланк OLD 2.0 04 №"&amp;VLOOKUP(A218+1-COUNT('Шаг2.Бланк заказа NEW'!$B$19:$B$201)-COUNT('Бланк OLD 0.8 04'!$B$18:$B$200),CHOOSE({1,2},'Бланк OLD 2.0 04 '!$B$18:$B$200,'Бланк OLD 2.0 04 '!$A$18:$A$200),1,0)),"")</f>
        <v/>
      </c>
      <c r="C219" s="152" t="str">
        <f ca="1">IFERROR(IFERROR(IFERROR(VLOOKUP(A218+1,CHOOSE({1,2},'Шаг2.Бланк заказа NEW'!$B$19:$B$201,'Шаг2.Бланк заказа NEW'!$A$19:$A$201),2,0),
VLOOKUP(A218+1-COUNT('Шаг2.Бланк заказа NEW'!$B$19:$B$201),CHOOSE({1,2},'Бланк OLD 0.8 04'!$B$18:$B$200,'Бланк OLD 0.8 04'!$A$18:$A$200),2,0)),
VLOOKUP(A218+1-COUNT('Шаг2.Бланк заказа NEW'!$B$19:$B$201)-COUNT('Бланк OLD 0.8 04'!$B$18:$B$200),CHOOSE({1,2},'Бланк OLD 2.0 04 '!$B$18:$B$200,'Бланк OLD 2.0 04 '!$A$18:$A$200),2,0)),"")</f>
        <v/>
      </c>
      <c r="D219" s="150" t="str">
        <f ca="1">IFERROR(VLOOKUP(C219,'Шаг1.Выбор плиты'!C:G,5,0),"")</f>
        <v/>
      </c>
      <c r="E219" s="147" t="str">
        <f ca="1">IFERROR(IFERROR(IF(VLOOKUP($A219,'Шаг2.Бланк заказа NEW'!$B$17:$N$201,2,0)="","",VLOOKUP($A219,'Шаг2.Бланк заказа NEW'!$B$17:$N$201,2,0)),
IF(VLOOKUP($A219-COUNT('Шаг2.Бланк заказа NEW'!$B$19:$B$201),'Бланк OLD 0.8 04'!$B$12:$K$200,2,0)="","",VLOOKUP($A219-COUNT('Шаг2.Бланк заказа NEW'!$B$19:$B$201),'Бланк OLD 0.8 04'!$B$12:$K$200,2,0))),
IF(VLOOKUP($A219-COUNT('Шаг2.Бланк заказа NEW'!$B$19:$B$201)-COUNT('Бланк OLD 0.8 04'!$B$18:$B$200),'Бланк OLD 2.0 04 '!$B$16:$K$200,2,0)="","",VLOOKUP($A219-COUNT('Шаг2.Бланк заказа NEW'!$B$19:$B$201)-COUNT('Бланк OLD 0.8 04'!$B$18:$B$200),'Бланк OLD 2.0 04 '!$B$16:$K$200,2,0)))</f>
        <v/>
      </c>
      <c r="F219" s="147" t="str">
        <f ca="1">IFERROR(IFERROR(IF(VLOOKUP($A219,'Шаг2.Бланк заказа NEW'!$B$17:$N$201,3,0)="","",VLOOKUP($A219,'Шаг2.Бланк заказа NEW'!$B$17:$N$201,3,0)),
IF(VLOOKUP($A219-COUNT('Шаг2.Бланк заказа NEW'!$B$19:$B$201),'Бланк OLD 0.8 04'!$B$12:$K$200,3,0)="","",VLOOKUP($A219-COUNT('Шаг2.Бланк заказа NEW'!$B$19:$B$201),'Бланк OLD 0.8 04'!$B$12:$K$200,3,0))),
IF(VLOOKUP($A219-COUNT('Шаг2.Бланк заказа NEW'!$B$19:$B$201)-COUNT('Бланк OLD 0.8 04'!$B$18:$B$200),'Бланк OLD 2.0 04 '!$B$16:$K$200,3,0)="","",VLOOKUP($A219-COUNT('Шаг2.Бланк заказа NEW'!$B$19:$B$201)-COUNT('Бланк OLD 0.8 04'!$B$18:$B$200),'Бланк OLD 2.0 04 '!$B$16:$K$200,3,0)))</f>
        <v/>
      </c>
      <c r="G219" s="176" t="str">
        <f ca="1">IF(IF(R219="","",IF(R219=1,SUMIFS('Шаг1.Выбор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плиты'!C:Q,12,0)),1))))))=0,
R219,
IF(R219="","",IF(R219=1,SUMIFS('Шаг1.Выбор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плиты'!N:N,R219,'Шаг1.Выбор плиты'!M:M,SMALL(INDIRECT("мм"&amp;VLOOKUP(C219,'Шаг1.Выбор плиты'!C:Q,12,0)),1)))))))</f>
        <v/>
      </c>
      <c r="H219" s="177" t="str">
        <f ca="1">IF(IF(S219="","",IF(S219=1,SUMIFS('Шаг1.Выбор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плиты'!C:Q,12,0)),1))))))=0,
S219,
IF(S219="","",IF(S219=1,SUMIFS('Шаг1.Выбор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плиты'!N:N,S219,'Шаг1.Выбор плиты'!M:M,SMALL(INDIRECT("мм"&amp;VLOOKUP(C219,'Шаг1.Выбор плиты'!C:Q,12,0)),1)))))))</f>
        <v/>
      </c>
      <c r="I219" s="147" t="str">
        <f ca="1">IFERROR(IFERROR(IF(VLOOKUP($A219,'Шаг2.Бланк заказа NEW'!$B$17:$N$201,6,0)="","",VLOOKUP($A219,'Шаг2.Бланк заказа NEW'!$B$17:$N$201,6,0)),
IF(VLOOKUP($A219-COUNT('Шаг2.Бланк заказа NEW'!$B$19:$B$201),'Бланк OLD 0.8 04'!$B$12:$K$200,6,0)="","",VLOOKUP($A219-COUNT('Шаг2.Бланк заказа NEW'!$B$19:$B$201),'Бланк OLD 0.8 04'!$B$12:$K$200,6,0))),
IF(VLOOKUP($A219-COUNT('Шаг2.Бланк заказа NEW'!$B$19:$B$201)-COUNT('Бланк OLD 0.8 04'!$B$18:$B$200),'Бланк OLD 2.0 04 '!$B$16:$K$200,6,0)="","",VLOOKUP($A219-COUNT('Шаг2.Бланк заказа NEW'!$B$19:$B$201)-COUNT('Бланк OLD 0.8 04'!$B$18:$B$200),'Бланк OLD 2.0 04 '!$B$16:$K$200,6,0)))</f>
        <v/>
      </c>
      <c r="J219" s="177" t="str">
        <f ca="1">IF(IF(T219="","",IF(T219=1,SUMIFS('Шаг1.Выбор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плиты'!C:Q,12,0)),1))))))=0,
T219,
IF(T219="","",IF(T219=1,SUMIFS('Шаг1.Выбор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плиты'!N:N,T219,'Шаг1.Выбор плиты'!M:M,SMALL(INDIRECT("мм"&amp;VLOOKUP(C219,'Шаг1.Выбор плиты'!C:Q,12,0)),1)))))))</f>
        <v/>
      </c>
      <c r="K219" s="177" t="str">
        <f ca="1">IF(IF(U219="","",IF(U219=1,SUMIFS('Шаг1.Выбор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плиты'!C:Q,12,0)),1))))))=0,
U219,
IF(U219="","",IF(U219=1,SUMIFS('Шаг1.Выбор плиты'!$G:$G,'Шаг1.Выбор плиты'!J:J,"*"&amp;RIGHT(VLOOKUP(C219,'Шаг1.Выбор плиты'!C:Q,8,0),4),'Шаг1.Выбор плиты'!L:L,IF(MID(C219,1,6)="ЛДСП P","TM"&amp;MID(VLOOKUP(C219,'Шаг1.Выбор плиты'!C:Q,10,0),3,2),MID(VLOOKUP(C219,'Шаг1.Выбор плиты'!C:Q,10,0),1,2)),
'Шаг1.Выбор плиты'!N:N,1),IF(SUMIFS('Шаг1.Выбор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плиты'!C:Q,12,0)),1))=0,
IF(SUMIFS('Шаг1.Выбор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плиты'!C:Q,12,0)),2))=0,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плиты'!C:Q,12,0)),3)),
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плиты'!C:Q,12,0)),2))),
(SUMIFS('Шаг1.Выбор плиты'!$G:$G,'Шаг1.Выбор плиты'!J:J,"*"&amp;RIGHT(VLOOKUP(C219,'Шаг1.Выбор плиты'!C:Q,8,0),4),'Шаг1.Выбор плиты'!L:L,VLOOKUP(C219,'Шаг1.Выбор плиты'!C:Q,10,0),'Шаг1.Выбор плиты'!N:N,U219,'Шаг1.Выбор плиты'!M:M,SMALL(INDIRECT("мм"&amp;VLOOKUP(C219,'Шаг1.Выбор плиты'!C:Q,12,0)),1)))))))</f>
        <v/>
      </c>
      <c r="L219" s="147" t="str">
        <f ca="1">IFERROR(IFERROR(IF(VLOOKUP($A219,'Шаг2.Бланк заказа NEW'!$B$17:$N$201,9,0)="","",VLOOKUP($A219,'Шаг2.Бланк заказа NEW'!$B$17:$N$201,9,0)),
IF(VLOOKUP($A219-COUNT('Шаг2.Бланк заказа NEW'!$B$19:$B$201),'Бланк OLD 0.8 04'!$B$12:$K$200,9,0)="","",VLOOKUP($A219-COUNT('Шаг2.Бланк заказа NEW'!$B$19:$B$201),'Бланк OLD 0.8 04'!$B$12:$K$200,9,0))),
IF(VLOOKUP($A219-COUNT('Шаг2.Бланк заказа NEW'!$B$19:$B$201)-COUNT('Бланк OLD 0.8 04'!$B$18:$B$200),'Бланк OLD 2.0 04 '!$B$16:$K$200,9,0)="","",VLOOKUP($A219-COUNT('Шаг2.Бланк заказа NEW'!$B$19:$B$201)-COUNT('Бланк OLD 0.8 04'!$B$18:$B$200),'Бланк OLD 2.0 04 '!$B$16:$K$200,9,0)))</f>
        <v/>
      </c>
      <c r="M219" s="154" t="str">
        <f t="shared" ca="1" si="20"/>
        <v/>
      </c>
      <c r="N219" s="153" t="str">
        <f ca="1">IFERROR(IF(VLOOKUP($A219,'Шаг2.Бланк заказа NEW'!$B$17:$N$201,11,0)="","",VLOOKUP($A219,'Шаг2.Бланк заказа NEW'!$B$17:$N$201,11,0)),
"Нет")</f>
        <v/>
      </c>
      <c r="O219" s="147" t="str">
        <f ca="1">IFERROR(IF(VLOOKUP($A219,'Шаг2.Бланк заказа NEW'!$B$17:$N$201,11,0)="","",VLOOKUP($A219,'Шаг2.Бланк заказа NEW'!$B$17:$N$201,12,0)),
"Нет")</f>
        <v/>
      </c>
      <c r="P219" s="153" t="str">
        <f ca="1">IFERROR(IF(VLOOKUP($A219,'Шаг2.Бланк заказа NEW'!$B$17:$N$201,13,0)="","",VLOOKUP($A219,'Шаг2.Бланк заказа NEW'!$B$17:$N$201,13,0)),
"Нет")</f>
        <v/>
      </c>
      <c r="Q219" s="147" t="str">
        <f ca="1">IFERROR(IF(VLOOKUP($A219,'Шаг2.Бланк заказа NEW'!$B$17:$O$201,14,0)="","",VLOOKUP($A219,'Шаг2.Бланк заказа NEW'!$B$17:$O$201,14,0)),"")</f>
        <v/>
      </c>
      <c r="R219" s="147" t="str">
        <f ca="1">IFERROR(IFERROR(IF(VLOOKUP($A219,'Шаг2.Бланк заказа NEW'!$B$17:$N$201,4,0)="","",VLOOKUP($A219,'Шаг2.Бланк заказа NEW'!$B$17:$N$201,4,0)),
IF(VLOOKUP($A219-COUNT('Шаг2.Бланк заказа NEW'!$B$19:$B$201),'Бланк OLD 0.8 04'!$B$12:$K$200,4,0)&gt;0,0.8,
IF(VLOOKUP($A219-COUNT('Шаг2.Бланк заказа NEW'!$B$19:$B$201),'Бланк OLD 0.8 04'!$B$12:$K$200,5,0)&gt;0,0.4,""))),
IF(VLOOKUP($A219-COUNT('Шаг2.Бланк заказа NEW'!$B$19:$B$201)-COUNT('Бланк OLD 0.8 04'!$B$18:$B$200),'Бланк OLD 2.0 04 '!$B$16:$K$200,4,0)&gt;0,2,IF(VLOOKUP($A219-COUNT('Шаг2.Бланк заказа NEW'!$B$19:$B$201)-COUNT('Бланк OLD 0.8 04'!$B$18:$B$200),'Бланк OLD 2.0 04 '!$B$16:$K$200,5,0)&gt;0,0.4,"")))</f>
        <v/>
      </c>
      <c r="S219" s="147" t="str">
        <f ca="1">IFERROR(IFERROR(IF(VLOOKUP($A219,'Шаг2.Бланк заказа NEW'!$B$17:$N$201,5,0)="","",VLOOKUP($A219,'Шаг2.Бланк заказа NEW'!$B$17:$N$201,5,0)),
IF(VLOOKUP($A219-COUNT('Шаг2.Бланк заказа NEW'!$B$19:$B$201),'Бланк OLD 0.8 04'!$B$12:$K$200,4,0)&gt;1,0.8,
IF(VLOOKUP($A219-COUNT('Шаг2.Бланк заказа NEW'!$B$19:$B$201),'Бланк OLD 0.8 04'!$B$12:$K$200,5,0)&gt;1,0.4,
IF(AND(VLOOKUP($A219-COUNT('Шаг2.Бланк заказа NEW'!$B$19:$B$201),'Бланк OLD 0.8 04'!$B$12:$K$200,4,0)&gt;0,VLOOKUP($A219-COUNT('Шаг2.Бланк заказа NEW'!$B$19:$B$201),'Бланк OLD 0.8 04'!$B$12:$K$200,5,0)&gt;0),0.4,"")))),
IF(VLOOKUP($A219-COUNT('Шаг2.Бланк заказа NEW'!$B$19:$B$201)-COUNT('Бланк OLD 0.8 04'!$B$18:$B$200),'Бланк OLD 2.0 04 '!$B$16:$K$200,4,0)&gt;1,2,
IF(VLOOKUP($A219-COUNT('Шаг2.Бланк заказа NEW'!$B$19:$B$201)-COUNT('Бланк OLD 0.8 04'!$B$18:$B$200),'Бланк OLD 2.0 04 '!$B$16:$K$200,5,0)&gt;1,0.4,IF(AND(VLOOKUP($A219-COUNT('Шаг2.Бланк заказа NEW'!$B$19:$B$201)-COUNT('Бланк OLD 0.8 04'!$B$18:$B$200),'Бланк OLD 2.0 04 '!$B$16:$K$200,4,0)&gt;0,VLOOKUP($A219-COUNT('Шаг2.Бланк заказа NEW'!$B$19:$B$201)-COUNT('Бланк OLD 0.8 04'!$B$18:$B$200),'Бланк OLD 2.0 04 '!$B$16:$K$200,5,0)&gt;0),0.4,""))))</f>
        <v/>
      </c>
      <c r="T219" s="147" t="str">
        <f ca="1">IFERROR(IFERROR(IF(VLOOKUP($A219,'Шаг2.Бланк заказа NEW'!$B$17:$N$201,7,0)="","",VLOOKUP($A219,'Шаг2.Бланк заказа NEW'!$B$17:$N$201,7,0)),
IF(VLOOKUP($A219-COUNT('Шаг2.Бланк заказа NEW'!$B$19:$B$201),'Бланк OLD 0.8 04'!$B$12:$K$200,7,0)&gt;0,0.8,
IF(VLOOKUP($A219-COUNT('Шаг2.Бланк заказа NEW'!$B$19:$B$201),'Бланк OLD 0.8 04'!$B$12:$K$200,8,0)&gt;0,0.4,""))),
IF(VLOOKUP($A219-COUNT('Шаг2.Бланк заказа NEW'!$B$19:$B$201)-COUNT('Бланк OLD 0.8 04'!$B$18:$B$200),'Бланк OLD 2.0 04 '!$B$16:$K$200,7,0)&gt;0,2,IF(VLOOKUP($A219-COUNT('Шаг2.Бланк заказа NEW'!$B$19:$B$201)-COUNT('Бланк OLD 0.8 04'!$B$18:$B$200),'Бланк OLD 2.0 04 '!$B$16:$K$200,8,0)&gt;0,0.4,"")))</f>
        <v/>
      </c>
      <c r="U219" s="147" t="str">
        <f ca="1">IFERROR(IFERROR(IF(VLOOKUP($A219,'Шаг2.Бланк заказа NEW'!$B$17:$N$201,8,0)="","",VLOOKUP($A219,'Шаг2.Бланк заказа NEW'!$B$17:$N$201,8,0)),
IF(VLOOKUP($A219-COUNT('Шаг2.Бланк заказа NEW'!$B$19:$B$201),'Бланк OLD 0.8 04'!$B$12:$K$200,7,0)&gt;1,0.8,
IF(VLOOKUP($A219-COUNT('Шаг2.Бланк заказа NEW'!$B$19:$B$201),'Бланк OLD 0.8 04'!$B$12:$K$200,8,0)&gt;1,0.4,
IF(AND(VLOOKUP($A219-COUNT('Шаг2.Бланк заказа NEW'!$B$19:$B$201),'Бланк OLD 0.8 04'!$B$12:$K$200,7,0)&gt;0,VLOOKUP($A219-COUNT('Шаг2.Бланк заказа NEW'!$B$19:$B$201),'Бланк OLD 0.8 04'!$B$12:$K$200,8,0)&gt;0),0.4,"")))),
IF(VLOOKUP($A219-COUNT('Шаг2.Бланк заказа NEW'!$B$19:$B$201)-COUNT('Бланк OLD 0.8 04'!$B$18:$B$200),'Бланк OLD 2.0 04 '!$B$16:$K$200,7,0)&gt;1,2,
IF(VLOOKUP($A219-COUNT('Шаг2.Бланк заказа NEW'!$B$19:$B$201)-COUNT('Бланк OLD 0.8 04'!$B$18:$B$200),'Бланк OLD 2.0 04 '!$B$16:$K$200,8,0)&gt;1,0.4,
IF(AND(VLOOKUP($A219-COUNT('Шаг2.Бланк заказа NEW'!$B$19:$B$201)-COUNT('Бланк OLD 0.8 04'!$B$18:$B$200),'Бланк OLD 2.0 04 '!$B$16:$K$200,7,0)&gt;0,VLOOKUP($A219-COUNT('Шаг2.Бланк заказа NEW'!$B$19:$B$201)-COUNT('Бланк OLD 0.8 04'!$B$18:$B$200),'Бланк OLD 2.0 04 '!$B$16:$K$200,8,0)&gt;0),0.4,""))))</f>
        <v/>
      </c>
      <c r="V219" s="146" t="str">
        <f ca="1">IFERROR(VLOOKUP(C219,'Шаг1.Выбор плиты'!C:S,12,0),"")</f>
        <v/>
      </c>
      <c r="W219" s="146" t="str">
        <f ca="1">IFERROR(VLOOKUP(C219,'Шаг1.Выбор плиты'!C:S,8,0),"")</f>
        <v/>
      </c>
      <c r="X219" s="146" t="str">
        <f ca="1">IFERROR(VLOOKUP(C219,'Шаг1.Выбор плиты'!C:S,10,0),"")</f>
        <v/>
      </c>
      <c r="Y219" s="147" t="str">
        <f t="shared" ca="1" si="18"/>
        <v/>
      </c>
      <c r="AD219" s="147" t="str">
        <f t="shared" ca="1" si="21"/>
        <v/>
      </c>
      <c r="AE219" s="147" t="str">
        <f t="shared" ca="1" si="19"/>
        <v/>
      </c>
      <c r="AF219" s="25"/>
      <c r="AH219" s="147" t="str">
        <f ca="1">IF(C219="","",VLOOKUP(C219,'Шаг1.Выбор плиты'!C:Q,7,0))</f>
        <v/>
      </c>
      <c r="AI219" s="147" t="str">
        <f t="shared" ca="1" si="22"/>
        <v/>
      </c>
    </row>
    <row r="220" spans="1:35" x14ac:dyDescent="0.2">
      <c r="A220" s="151" t="str">
        <f ca="1">IF(C220="","",MAX($A$1:OFFSET(C220,-1,0))+1)</f>
        <v/>
      </c>
      <c r="B220" s="151" t="str">
        <f ca="1">IFERROR(IFERROR(IFERROR("Шаг2.Бланк заказа NEW №"&amp;VLOOKUP(A219+1,CHOOSE({1,2},'Шаг2.Бланк заказа NEW'!$B$19:$B$201,'Шаг2.Бланк заказа NEW'!$A$19:$A$201),1,0),
"Бланк OLD 0.8 04 №"&amp;VLOOKUP(A219+1-COUNT('Шаг2.Бланк заказа NEW'!$B$19:$B$201),CHOOSE({1,2},'Бланк OLD 0.8 04'!$B$18:$B$200,'Бланк OLD 0.8 04'!$A$18:$A$200),1,0)),
"Бланк OLD 2.0 04 №"&amp;VLOOKUP(A219+1-COUNT('Шаг2.Бланк заказа NEW'!$B$19:$B$201)-COUNT('Бланк OLD 0.8 04'!$B$18:$B$200),CHOOSE({1,2},'Бланк OLD 2.0 04 '!$B$18:$B$200,'Бланк OLD 2.0 04 '!$A$18:$A$200),1,0)),"")</f>
        <v/>
      </c>
      <c r="C220" s="152" t="str">
        <f ca="1">IFERROR(IFERROR(IFERROR(VLOOKUP(A219+1,CHOOSE({1,2},'Шаг2.Бланк заказа NEW'!$B$19:$B$201,'Шаг2.Бланк заказа NEW'!$A$19:$A$201),2,0),
VLOOKUP(A219+1-COUNT('Шаг2.Бланк заказа NEW'!$B$19:$B$201),CHOOSE({1,2},'Бланк OLD 0.8 04'!$B$18:$B$200,'Бланк OLD 0.8 04'!$A$18:$A$200),2,0)),
VLOOKUP(A219+1-COUNT('Шаг2.Бланк заказа NEW'!$B$19:$B$201)-COUNT('Бланк OLD 0.8 04'!$B$18:$B$200),CHOOSE({1,2},'Бланк OLD 2.0 04 '!$B$18:$B$200,'Бланк OLD 2.0 04 '!$A$18:$A$200),2,0)),"")</f>
        <v/>
      </c>
      <c r="D220" s="150" t="str">
        <f ca="1">IFERROR(VLOOKUP(C220,'Шаг1.Выбор плиты'!C:G,5,0),"")</f>
        <v/>
      </c>
      <c r="E220" s="147" t="str">
        <f ca="1">IFERROR(IFERROR(IF(VLOOKUP($A220,'Шаг2.Бланк заказа NEW'!$B$17:$N$201,2,0)="","",VLOOKUP($A220,'Шаг2.Бланк заказа NEW'!$B$17:$N$201,2,0)),
IF(VLOOKUP($A220-COUNT('Шаг2.Бланк заказа NEW'!$B$19:$B$201),'Бланк OLD 0.8 04'!$B$12:$K$200,2,0)="","",VLOOKUP($A220-COUNT('Шаг2.Бланк заказа NEW'!$B$19:$B$201),'Бланк OLD 0.8 04'!$B$12:$K$200,2,0))),
IF(VLOOKUP($A220-COUNT('Шаг2.Бланк заказа NEW'!$B$19:$B$201)-COUNT('Бланк OLD 0.8 04'!$B$18:$B$200),'Бланк OLD 2.0 04 '!$B$16:$K$200,2,0)="","",VLOOKUP($A220-COUNT('Шаг2.Бланк заказа NEW'!$B$19:$B$201)-COUNT('Бланк OLD 0.8 04'!$B$18:$B$200),'Бланк OLD 2.0 04 '!$B$16:$K$200,2,0)))</f>
        <v/>
      </c>
      <c r="F220" s="147" t="str">
        <f ca="1">IFERROR(IFERROR(IF(VLOOKUP($A220,'Шаг2.Бланк заказа NEW'!$B$17:$N$201,3,0)="","",VLOOKUP($A220,'Шаг2.Бланк заказа NEW'!$B$17:$N$201,3,0)),
IF(VLOOKUP($A220-COUNT('Шаг2.Бланк заказа NEW'!$B$19:$B$201),'Бланк OLD 0.8 04'!$B$12:$K$200,3,0)="","",VLOOKUP($A220-COUNT('Шаг2.Бланк заказа NEW'!$B$19:$B$201),'Бланк OLD 0.8 04'!$B$12:$K$200,3,0))),
IF(VLOOKUP($A220-COUNT('Шаг2.Бланк заказа NEW'!$B$19:$B$201)-COUNT('Бланк OLD 0.8 04'!$B$18:$B$200),'Бланк OLD 2.0 04 '!$B$16:$K$200,3,0)="","",VLOOKUP($A220-COUNT('Шаг2.Бланк заказа NEW'!$B$19:$B$201)-COUNT('Бланк OLD 0.8 04'!$B$18:$B$200),'Бланк OLD 2.0 04 '!$B$16:$K$200,3,0)))</f>
        <v/>
      </c>
      <c r="G220" s="176" t="str">
        <f ca="1">IF(IF(R220="","",IF(R220=1,SUMIFS('Шаг1.Выбор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плиты'!C:Q,12,0)),1))))))=0,
R220,
IF(R220="","",IF(R220=1,SUMIFS('Шаг1.Выбор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плиты'!N:N,R220,'Шаг1.Выбор плиты'!M:M,SMALL(INDIRECT("мм"&amp;VLOOKUP(C220,'Шаг1.Выбор плиты'!C:Q,12,0)),1)))))))</f>
        <v/>
      </c>
      <c r="H220" s="177" t="str">
        <f ca="1">IF(IF(S220="","",IF(S220=1,SUMIFS('Шаг1.Выбор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плиты'!C:Q,12,0)),1))))))=0,
S220,
IF(S220="","",IF(S220=1,SUMIFS('Шаг1.Выбор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плиты'!N:N,S220,'Шаг1.Выбор плиты'!M:M,SMALL(INDIRECT("мм"&amp;VLOOKUP(C220,'Шаг1.Выбор плиты'!C:Q,12,0)),1)))))))</f>
        <v/>
      </c>
      <c r="I220" s="147" t="str">
        <f ca="1">IFERROR(IFERROR(IF(VLOOKUP($A220,'Шаг2.Бланк заказа NEW'!$B$17:$N$201,6,0)="","",VLOOKUP($A220,'Шаг2.Бланк заказа NEW'!$B$17:$N$201,6,0)),
IF(VLOOKUP($A220-COUNT('Шаг2.Бланк заказа NEW'!$B$19:$B$201),'Бланк OLD 0.8 04'!$B$12:$K$200,6,0)="","",VLOOKUP($A220-COUNT('Шаг2.Бланк заказа NEW'!$B$19:$B$201),'Бланк OLD 0.8 04'!$B$12:$K$200,6,0))),
IF(VLOOKUP($A220-COUNT('Шаг2.Бланк заказа NEW'!$B$19:$B$201)-COUNT('Бланк OLD 0.8 04'!$B$18:$B$200),'Бланк OLD 2.0 04 '!$B$16:$K$200,6,0)="","",VLOOKUP($A220-COUNT('Шаг2.Бланк заказа NEW'!$B$19:$B$201)-COUNT('Бланк OLD 0.8 04'!$B$18:$B$200),'Бланк OLD 2.0 04 '!$B$16:$K$200,6,0)))</f>
        <v/>
      </c>
      <c r="J220" s="177" t="str">
        <f ca="1">IF(IF(T220="","",IF(T220=1,SUMIFS('Шаг1.Выбор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плиты'!C:Q,12,0)),1))))))=0,
T220,
IF(T220="","",IF(T220=1,SUMIFS('Шаг1.Выбор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плиты'!N:N,T220,'Шаг1.Выбор плиты'!M:M,SMALL(INDIRECT("мм"&amp;VLOOKUP(C220,'Шаг1.Выбор плиты'!C:Q,12,0)),1)))))))</f>
        <v/>
      </c>
      <c r="K220" s="177" t="str">
        <f ca="1">IF(IF(U220="","",IF(U220=1,SUMIFS('Шаг1.Выбор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плиты'!C:Q,12,0)),1))))))=0,
U220,
IF(U220="","",IF(U220=1,SUMIFS('Шаг1.Выбор плиты'!$G:$G,'Шаг1.Выбор плиты'!J:J,"*"&amp;RIGHT(VLOOKUP(C220,'Шаг1.Выбор плиты'!C:Q,8,0),4),'Шаг1.Выбор плиты'!L:L,IF(MID(C220,1,6)="ЛДСП P","TM"&amp;MID(VLOOKUP(C220,'Шаг1.Выбор плиты'!C:Q,10,0),3,2),MID(VLOOKUP(C220,'Шаг1.Выбор плиты'!C:Q,10,0),1,2)),
'Шаг1.Выбор плиты'!N:N,1),IF(SUMIFS('Шаг1.Выбор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плиты'!C:Q,12,0)),1))=0,
IF(SUMIFS('Шаг1.Выбор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плиты'!C:Q,12,0)),2))=0,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плиты'!C:Q,12,0)),3)),
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плиты'!C:Q,12,0)),2))),
(SUMIFS('Шаг1.Выбор плиты'!$G:$G,'Шаг1.Выбор плиты'!J:J,"*"&amp;RIGHT(VLOOKUP(C220,'Шаг1.Выбор плиты'!C:Q,8,0),4),'Шаг1.Выбор плиты'!L:L,VLOOKUP(C220,'Шаг1.Выбор плиты'!C:Q,10,0),'Шаг1.Выбор плиты'!N:N,U220,'Шаг1.Выбор плиты'!M:M,SMALL(INDIRECT("мм"&amp;VLOOKUP(C220,'Шаг1.Выбор плиты'!C:Q,12,0)),1)))))))</f>
        <v/>
      </c>
      <c r="L220" s="147" t="str">
        <f ca="1">IFERROR(IFERROR(IF(VLOOKUP($A220,'Шаг2.Бланк заказа NEW'!$B$17:$N$201,9,0)="","",VLOOKUP($A220,'Шаг2.Бланк заказа NEW'!$B$17:$N$201,9,0)),
IF(VLOOKUP($A220-COUNT('Шаг2.Бланк заказа NEW'!$B$19:$B$201),'Бланк OLD 0.8 04'!$B$12:$K$200,9,0)="","",VLOOKUP($A220-COUNT('Шаг2.Бланк заказа NEW'!$B$19:$B$201),'Бланк OLD 0.8 04'!$B$12:$K$200,9,0))),
IF(VLOOKUP($A220-COUNT('Шаг2.Бланк заказа NEW'!$B$19:$B$201)-COUNT('Бланк OLD 0.8 04'!$B$18:$B$200),'Бланк OLD 2.0 04 '!$B$16:$K$200,9,0)="","",VLOOKUP($A220-COUNT('Шаг2.Бланк заказа NEW'!$B$19:$B$201)-COUNT('Бланк OLD 0.8 04'!$B$18:$B$200),'Бланк OLD 2.0 04 '!$B$16:$K$200,9,0)))</f>
        <v/>
      </c>
      <c r="M220" s="154" t="str">
        <f t="shared" ca="1" si="20"/>
        <v/>
      </c>
      <c r="N220" s="153" t="str">
        <f ca="1">IFERROR(IF(VLOOKUP($A220,'Шаг2.Бланк заказа NEW'!$B$17:$N$201,11,0)="","",VLOOKUP($A220,'Шаг2.Бланк заказа NEW'!$B$17:$N$201,11,0)),
"Нет")</f>
        <v/>
      </c>
      <c r="O220" s="147" t="str">
        <f ca="1">IFERROR(IF(VLOOKUP($A220,'Шаг2.Бланк заказа NEW'!$B$17:$N$201,11,0)="","",VLOOKUP($A220,'Шаг2.Бланк заказа NEW'!$B$17:$N$201,12,0)),
"Нет")</f>
        <v/>
      </c>
      <c r="P220" s="153" t="str">
        <f ca="1">IFERROR(IF(VLOOKUP($A220,'Шаг2.Бланк заказа NEW'!$B$17:$N$201,13,0)="","",VLOOKUP($A220,'Шаг2.Бланк заказа NEW'!$B$17:$N$201,13,0)),
"Нет")</f>
        <v/>
      </c>
      <c r="Q220" s="147" t="str">
        <f ca="1">IFERROR(IF(VLOOKUP($A220,'Шаг2.Бланк заказа NEW'!$B$17:$O$201,14,0)="","",VLOOKUP($A220,'Шаг2.Бланк заказа NEW'!$B$17:$O$201,14,0)),"")</f>
        <v/>
      </c>
      <c r="R220" s="147" t="str">
        <f ca="1">IFERROR(IFERROR(IF(VLOOKUP($A220,'Шаг2.Бланк заказа NEW'!$B$17:$N$201,4,0)="","",VLOOKUP($A220,'Шаг2.Бланк заказа NEW'!$B$17:$N$201,4,0)),
IF(VLOOKUP($A220-COUNT('Шаг2.Бланк заказа NEW'!$B$19:$B$201),'Бланк OLD 0.8 04'!$B$12:$K$200,4,0)&gt;0,0.8,
IF(VLOOKUP($A220-COUNT('Шаг2.Бланк заказа NEW'!$B$19:$B$201),'Бланк OLD 0.8 04'!$B$12:$K$200,5,0)&gt;0,0.4,""))),
IF(VLOOKUP($A220-COUNT('Шаг2.Бланк заказа NEW'!$B$19:$B$201)-COUNT('Бланк OLD 0.8 04'!$B$18:$B$200),'Бланк OLD 2.0 04 '!$B$16:$K$200,4,0)&gt;0,2,IF(VLOOKUP($A220-COUNT('Шаг2.Бланк заказа NEW'!$B$19:$B$201)-COUNT('Бланк OLD 0.8 04'!$B$18:$B$200),'Бланк OLD 2.0 04 '!$B$16:$K$200,5,0)&gt;0,0.4,"")))</f>
        <v/>
      </c>
      <c r="S220" s="147" t="str">
        <f ca="1">IFERROR(IFERROR(IF(VLOOKUP($A220,'Шаг2.Бланк заказа NEW'!$B$17:$N$201,5,0)="","",VLOOKUP($A220,'Шаг2.Бланк заказа NEW'!$B$17:$N$201,5,0)),
IF(VLOOKUP($A220-COUNT('Шаг2.Бланк заказа NEW'!$B$19:$B$201),'Бланк OLD 0.8 04'!$B$12:$K$200,4,0)&gt;1,0.8,
IF(VLOOKUP($A220-COUNT('Шаг2.Бланк заказа NEW'!$B$19:$B$201),'Бланк OLD 0.8 04'!$B$12:$K$200,5,0)&gt;1,0.4,
IF(AND(VLOOKUP($A220-COUNT('Шаг2.Бланк заказа NEW'!$B$19:$B$201),'Бланк OLD 0.8 04'!$B$12:$K$200,4,0)&gt;0,VLOOKUP($A220-COUNT('Шаг2.Бланк заказа NEW'!$B$19:$B$201),'Бланк OLD 0.8 04'!$B$12:$K$200,5,0)&gt;0),0.4,"")))),
IF(VLOOKUP($A220-COUNT('Шаг2.Бланк заказа NEW'!$B$19:$B$201)-COUNT('Бланк OLD 0.8 04'!$B$18:$B$200),'Бланк OLD 2.0 04 '!$B$16:$K$200,4,0)&gt;1,2,
IF(VLOOKUP($A220-COUNT('Шаг2.Бланк заказа NEW'!$B$19:$B$201)-COUNT('Бланк OLD 0.8 04'!$B$18:$B$200),'Бланк OLD 2.0 04 '!$B$16:$K$200,5,0)&gt;1,0.4,IF(AND(VLOOKUP($A220-COUNT('Шаг2.Бланк заказа NEW'!$B$19:$B$201)-COUNT('Бланк OLD 0.8 04'!$B$18:$B$200),'Бланк OLD 2.0 04 '!$B$16:$K$200,4,0)&gt;0,VLOOKUP($A220-COUNT('Шаг2.Бланк заказа NEW'!$B$19:$B$201)-COUNT('Бланк OLD 0.8 04'!$B$18:$B$200),'Бланк OLD 2.0 04 '!$B$16:$K$200,5,0)&gt;0),0.4,""))))</f>
        <v/>
      </c>
      <c r="T220" s="147" t="str">
        <f ca="1">IFERROR(IFERROR(IF(VLOOKUP($A220,'Шаг2.Бланк заказа NEW'!$B$17:$N$201,7,0)="","",VLOOKUP($A220,'Шаг2.Бланк заказа NEW'!$B$17:$N$201,7,0)),
IF(VLOOKUP($A220-COUNT('Шаг2.Бланк заказа NEW'!$B$19:$B$201),'Бланк OLD 0.8 04'!$B$12:$K$200,7,0)&gt;0,0.8,
IF(VLOOKUP($A220-COUNT('Шаг2.Бланк заказа NEW'!$B$19:$B$201),'Бланк OLD 0.8 04'!$B$12:$K$200,8,0)&gt;0,0.4,""))),
IF(VLOOKUP($A220-COUNT('Шаг2.Бланк заказа NEW'!$B$19:$B$201)-COUNT('Бланк OLD 0.8 04'!$B$18:$B$200),'Бланк OLD 2.0 04 '!$B$16:$K$200,7,0)&gt;0,2,IF(VLOOKUP($A220-COUNT('Шаг2.Бланк заказа NEW'!$B$19:$B$201)-COUNT('Бланк OLD 0.8 04'!$B$18:$B$200),'Бланк OLD 2.0 04 '!$B$16:$K$200,8,0)&gt;0,0.4,"")))</f>
        <v/>
      </c>
      <c r="U220" s="147" t="str">
        <f ca="1">IFERROR(IFERROR(IF(VLOOKUP($A220,'Шаг2.Бланк заказа NEW'!$B$17:$N$201,8,0)="","",VLOOKUP($A220,'Шаг2.Бланк заказа NEW'!$B$17:$N$201,8,0)),
IF(VLOOKUP($A220-COUNT('Шаг2.Бланк заказа NEW'!$B$19:$B$201),'Бланк OLD 0.8 04'!$B$12:$K$200,7,0)&gt;1,0.8,
IF(VLOOKUP($A220-COUNT('Шаг2.Бланк заказа NEW'!$B$19:$B$201),'Бланк OLD 0.8 04'!$B$12:$K$200,8,0)&gt;1,0.4,
IF(AND(VLOOKUP($A220-COUNT('Шаг2.Бланк заказа NEW'!$B$19:$B$201),'Бланк OLD 0.8 04'!$B$12:$K$200,7,0)&gt;0,VLOOKUP($A220-COUNT('Шаг2.Бланк заказа NEW'!$B$19:$B$201),'Бланк OLD 0.8 04'!$B$12:$K$200,8,0)&gt;0),0.4,"")))),
IF(VLOOKUP($A220-COUNT('Шаг2.Бланк заказа NEW'!$B$19:$B$201)-COUNT('Бланк OLD 0.8 04'!$B$18:$B$200),'Бланк OLD 2.0 04 '!$B$16:$K$200,7,0)&gt;1,2,
IF(VLOOKUP($A220-COUNT('Шаг2.Бланк заказа NEW'!$B$19:$B$201)-COUNT('Бланк OLD 0.8 04'!$B$18:$B$200),'Бланк OLD 2.0 04 '!$B$16:$K$200,8,0)&gt;1,0.4,
IF(AND(VLOOKUP($A220-COUNT('Шаг2.Бланк заказа NEW'!$B$19:$B$201)-COUNT('Бланк OLD 0.8 04'!$B$18:$B$200),'Бланк OLD 2.0 04 '!$B$16:$K$200,7,0)&gt;0,VLOOKUP($A220-COUNT('Шаг2.Бланк заказа NEW'!$B$19:$B$201)-COUNT('Бланк OLD 0.8 04'!$B$18:$B$200),'Бланк OLD 2.0 04 '!$B$16:$K$200,8,0)&gt;0),0.4,""))))</f>
        <v/>
      </c>
      <c r="V220" s="146" t="str">
        <f ca="1">IFERROR(VLOOKUP(C220,'Шаг1.Выбор плиты'!C:S,12,0),"")</f>
        <v/>
      </c>
      <c r="W220" s="146" t="str">
        <f ca="1">IFERROR(VLOOKUP(C220,'Шаг1.Выбор плиты'!C:S,8,0),"")</f>
        <v/>
      </c>
      <c r="X220" s="146" t="str">
        <f ca="1">IFERROR(VLOOKUP(C220,'Шаг1.Выбор плиты'!C:S,10,0),"")</f>
        <v/>
      </c>
      <c r="Y220" s="147" t="str">
        <f t="shared" ca="1" si="18"/>
        <v/>
      </c>
      <c r="AD220" s="147" t="str">
        <f t="shared" ca="1" si="21"/>
        <v/>
      </c>
      <c r="AE220" s="147" t="str">
        <f t="shared" ca="1" si="19"/>
        <v/>
      </c>
      <c r="AF220" s="25"/>
      <c r="AH220" s="147" t="str">
        <f ca="1">IF(C220="","",VLOOKUP(C220,'Шаг1.Выбор плиты'!C:Q,7,0))</f>
        <v/>
      </c>
      <c r="AI220" s="147" t="str">
        <f t="shared" ca="1" si="22"/>
        <v/>
      </c>
    </row>
    <row r="221" spans="1:35" x14ac:dyDescent="0.2">
      <c r="A221" s="151" t="str">
        <f ca="1">IF(C221="","",MAX($A$1:OFFSET(C221,-1,0))+1)</f>
        <v/>
      </c>
      <c r="B221" s="151" t="str">
        <f ca="1">IFERROR(IFERROR(IFERROR("Шаг2.Бланк заказа NEW №"&amp;VLOOKUP(A220+1,CHOOSE({1,2},'Шаг2.Бланк заказа NEW'!$B$19:$B$201,'Шаг2.Бланк заказа NEW'!$A$19:$A$201),1,0),
"Бланк OLD 0.8 04 №"&amp;VLOOKUP(A220+1-COUNT('Шаг2.Бланк заказа NEW'!$B$19:$B$201),CHOOSE({1,2},'Бланк OLD 0.8 04'!$B$18:$B$200,'Бланк OLD 0.8 04'!$A$18:$A$200),1,0)),
"Бланк OLD 2.0 04 №"&amp;VLOOKUP(A220+1-COUNT('Шаг2.Бланк заказа NEW'!$B$19:$B$201)-COUNT('Бланк OLD 0.8 04'!$B$18:$B$200),CHOOSE({1,2},'Бланк OLD 2.0 04 '!$B$18:$B$200,'Бланк OLD 2.0 04 '!$A$18:$A$200),1,0)),"")</f>
        <v/>
      </c>
      <c r="C221" s="152" t="str">
        <f ca="1">IFERROR(IFERROR(IFERROR(VLOOKUP(A220+1,CHOOSE({1,2},'Шаг2.Бланк заказа NEW'!$B$19:$B$201,'Шаг2.Бланк заказа NEW'!$A$19:$A$201),2,0),
VLOOKUP(A220+1-COUNT('Шаг2.Бланк заказа NEW'!$B$19:$B$201),CHOOSE({1,2},'Бланк OLD 0.8 04'!$B$18:$B$200,'Бланк OLD 0.8 04'!$A$18:$A$200),2,0)),
VLOOKUP(A220+1-COUNT('Шаг2.Бланк заказа NEW'!$B$19:$B$201)-COUNT('Бланк OLD 0.8 04'!$B$18:$B$200),CHOOSE({1,2},'Бланк OLD 2.0 04 '!$B$18:$B$200,'Бланк OLD 2.0 04 '!$A$18:$A$200),2,0)),"")</f>
        <v/>
      </c>
      <c r="D221" s="150" t="str">
        <f ca="1">IFERROR(VLOOKUP(C221,'Шаг1.Выбор плиты'!C:G,5,0),"")</f>
        <v/>
      </c>
      <c r="E221" s="147" t="str">
        <f ca="1">IFERROR(IFERROR(IF(VLOOKUP($A221,'Шаг2.Бланк заказа NEW'!$B$17:$N$201,2,0)="","",VLOOKUP($A221,'Шаг2.Бланк заказа NEW'!$B$17:$N$201,2,0)),
IF(VLOOKUP($A221-COUNT('Шаг2.Бланк заказа NEW'!$B$19:$B$201),'Бланк OLD 0.8 04'!$B$12:$K$200,2,0)="","",VLOOKUP($A221-COUNT('Шаг2.Бланк заказа NEW'!$B$19:$B$201),'Бланк OLD 0.8 04'!$B$12:$K$200,2,0))),
IF(VLOOKUP($A221-COUNT('Шаг2.Бланк заказа NEW'!$B$19:$B$201)-COUNT('Бланк OLD 0.8 04'!$B$18:$B$200),'Бланк OLD 2.0 04 '!$B$16:$K$200,2,0)="","",VLOOKUP($A221-COUNT('Шаг2.Бланк заказа NEW'!$B$19:$B$201)-COUNT('Бланк OLD 0.8 04'!$B$18:$B$200),'Бланк OLD 2.0 04 '!$B$16:$K$200,2,0)))</f>
        <v/>
      </c>
      <c r="F221" s="147" t="str">
        <f ca="1">IFERROR(IFERROR(IF(VLOOKUP($A221,'Шаг2.Бланк заказа NEW'!$B$17:$N$201,3,0)="","",VLOOKUP($A221,'Шаг2.Бланк заказа NEW'!$B$17:$N$201,3,0)),
IF(VLOOKUP($A221-COUNT('Шаг2.Бланк заказа NEW'!$B$19:$B$201),'Бланк OLD 0.8 04'!$B$12:$K$200,3,0)="","",VLOOKUP($A221-COUNT('Шаг2.Бланк заказа NEW'!$B$19:$B$201),'Бланк OLD 0.8 04'!$B$12:$K$200,3,0))),
IF(VLOOKUP($A221-COUNT('Шаг2.Бланк заказа NEW'!$B$19:$B$201)-COUNT('Бланк OLD 0.8 04'!$B$18:$B$200),'Бланк OLD 2.0 04 '!$B$16:$K$200,3,0)="","",VLOOKUP($A221-COUNT('Шаг2.Бланк заказа NEW'!$B$19:$B$201)-COUNT('Бланк OLD 0.8 04'!$B$18:$B$200),'Бланк OLD 2.0 04 '!$B$16:$K$200,3,0)))</f>
        <v/>
      </c>
      <c r="G221" s="176" t="str">
        <f ca="1">IF(IF(R221="","",IF(R221=1,SUMIFS('Шаг1.Выбор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плиты'!C:Q,12,0)),1))))))=0,
R221,
IF(R221="","",IF(R221=1,SUMIFS('Шаг1.Выбор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плиты'!N:N,R221,'Шаг1.Выбор плиты'!M:M,SMALL(INDIRECT("мм"&amp;VLOOKUP(C221,'Шаг1.Выбор плиты'!C:Q,12,0)),1)))))))</f>
        <v/>
      </c>
      <c r="H221" s="177" t="str">
        <f ca="1">IF(IF(S221="","",IF(S221=1,SUMIFS('Шаг1.Выбор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плиты'!C:Q,12,0)),1))))))=0,
S221,
IF(S221="","",IF(S221=1,SUMIFS('Шаг1.Выбор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плиты'!N:N,S221,'Шаг1.Выбор плиты'!M:M,SMALL(INDIRECT("мм"&amp;VLOOKUP(C221,'Шаг1.Выбор плиты'!C:Q,12,0)),1)))))))</f>
        <v/>
      </c>
      <c r="I221" s="147" t="str">
        <f ca="1">IFERROR(IFERROR(IF(VLOOKUP($A221,'Шаг2.Бланк заказа NEW'!$B$17:$N$201,6,0)="","",VLOOKUP($A221,'Шаг2.Бланк заказа NEW'!$B$17:$N$201,6,0)),
IF(VLOOKUP($A221-COUNT('Шаг2.Бланк заказа NEW'!$B$19:$B$201),'Бланк OLD 0.8 04'!$B$12:$K$200,6,0)="","",VLOOKUP($A221-COUNT('Шаг2.Бланк заказа NEW'!$B$19:$B$201),'Бланк OLD 0.8 04'!$B$12:$K$200,6,0))),
IF(VLOOKUP($A221-COUNT('Шаг2.Бланк заказа NEW'!$B$19:$B$201)-COUNT('Бланк OLD 0.8 04'!$B$18:$B$200),'Бланк OLD 2.0 04 '!$B$16:$K$200,6,0)="","",VLOOKUP($A221-COUNT('Шаг2.Бланк заказа NEW'!$B$19:$B$201)-COUNT('Бланк OLD 0.8 04'!$B$18:$B$200),'Бланк OLD 2.0 04 '!$B$16:$K$200,6,0)))</f>
        <v/>
      </c>
      <c r="J221" s="177" t="str">
        <f ca="1">IF(IF(T221="","",IF(T221=1,SUMIFS('Шаг1.Выбор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плиты'!C:Q,12,0)),1))))))=0,
T221,
IF(T221="","",IF(T221=1,SUMIFS('Шаг1.Выбор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плиты'!N:N,T221,'Шаг1.Выбор плиты'!M:M,SMALL(INDIRECT("мм"&amp;VLOOKUP(C221,'Шаг1.Выбор плиты'!C:Q,12,0)),1)))))))</f>
        <v/>
      </c>
      <c r="K221" s="177" t="str">
        <f ca="1">IF(IF(U221="","",IF(U221=1,SUMIFS('Шаг1.Выбор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плиты'!C:Q,12,0)),1))))))=0,
U221,
IF(U221="","",IF(U221=1,SUMIFS('Шаг1.Выбор плиты'!$G:$G,'Шаг1.Выбор плиты'!J:J,"*"&amp;RIGHT(VLOOKUP(C221,'Шаг1.Выбор плиты'!C:Q,8,0),4),'Шаг1.Выбор плиты'!L:L,IF(MID(C221,1,6)="ЛДСП P","TM"&amp;MID(VLOOKUP(C221,'Шаг1.Выбор плиты'!C:Q,10,0),3,2),MID(VLOOKUP(C221,'Шаг1.Выбор плиты'!C:Q,10,0),1,2)),
'Шаг1.Выбор плиты'!N:N,1),IF(SUMIFS('Шаг1.Выбор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плиты'!C:Q,12,0)),1))=0,
IF(SUMIFS('Шаг1.Выбор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плиты'!C:Q,12,0)),2))=0,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плиты'!C:Q,12,0)),3)),
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плиты'!C:Q,12,0)),2))),
(SUMIFS('Шаг1.Выбор плиты'!$G:$G,'Шаг1.Выбор плиты'!J:J,"*"&amp;RIGHT(VLOOKUP(C221,'Шаг1.Выбор плиты'!C:Q,8,0),4),'Шаг1.Выбор плиты'!L:L,VLOOKUP(C221,'Шаг1.Выбор плиты'!C:Q,10,0),'Шаг1.Выбор плиты'!N:N,U221,'Шаг1.Выбор плиты'!M:M,SMALL(INDIRECT("мм"&amp;VLOOKUP(C221,'Шаг1.Выбор плиты'!C:Q,12,0)),1)))))))</f>
        <v/>
      </c>
      <c r="L221" s="147" t="str">
        <f ca="1">IFERROR(IFERROR(IF(VLOOKUP($A221,'Шаг2.Бланк заказа NEW'!$B$17:$N$201,9,0)="","",VLOOKUP($A221,'Шаг2.Бланк заказа NEW'!$B$17:$N$201,9,0)),
IF(VLOOKUP($A221-COUNT('Шаг2.Бланк заказа NEW'!$B$19:$B$201),'Бланк OLD 0.8 04'!$B$12:$K$200,9,0)="","",VLOOKUP($A221-COUNT('Шаг2.Бланк заказа NEW'!$B$19:$B$201),'Бланк OLD 0.8 04'!$B$12:$K$200,9,0))),
IF(VLOOKUP($A221-COUNT('Шаг2.Бланк заказа NEW'!$B$19:$B$201)-COUNT('Бланк OLD 0.8 04'!$B$18:$B$200),'Бланк OLD 2.0 04 '!$B$16:$K$200,9,0)="","",VLOOKUP($A221-COUNT('Шаг2.Бланк заказа NEW'!$B$19:$B$201)-COUNT('Бланк OLD 0.8 04'!$B$18:$B$200),'Бланк OLD 2.0 04 '!$B$16:$K$200,9,0)))</f>
        <v/>
      </c>
      <c r="M221" s="154" t="str">
        <f t="shared" ca="1" si="20"/>
        <v/>
      </c>
      <c r="N221" s="153" t="str">
        <f ca="1">IFERROR(IF(VLOOKUP($A221,'Шаг2.Бланк заказа NEW'!$B$17:$N$201,11,0)="","",VLOOKUP($A221,'Шаг2.Бланк заказа NEW'!$B$17:$N$201,11,0)),
"Нет")</f>
        <v/>
      </c>
      <c r="O221" s="147" t="str">
        <f ca="1">IFERROR(IF(VLOOKUP($A221,'Шаг2.Бланк заказа NEW'!$B$17:$N$201,11,0)="","",VLOOKUP($A221,'Шаг2.Бланк заказа NEW'!$B$17:$N$201,12,0)),
"Нет")</f>
        <v/>
      </c>
      <c r="P221" s="153" t="str">
        <f ca="1">IFERROR(IF(VLOOKUP($A221,'Шаг2.Бланк заказа NEW'!$B$17:$N$201,13,0)="","",VLOOKUP($A221,'Шаг2.Бланк заказа NEW'!$B$17:$N$201,13,0)),
"Нет")</f>
        <v/>
      </c>
      <c r="Q221" s="147" t="str">
        <f ca="1">IFERROR(IF(VLOOKUP($A221,'Шаг2.Бланк заказа NEW'!$B$17:$O$201,14,0)="","",VLOOKUP($A221,'Шаг2.Бланк заказа NEW'!$B$17:$O$201,14,0)),"")</f>
        <v/>
      </c>
      <c r="R221" s="147" t="str">
        <f ca="1">IFERROR(IFERROR(IF(VLOOKUP($A221,'Шаг2.Бланк заказа NEW'!$B$17:$N$201,4,0)="","",VLOOKUP($A221,'Шаг2.Бланк заказа NEW'!$B$17:$N$201,4,0)),
IF(VLOOKUP($A221-COUNT('Шаг2.Бланк заказа NEW'!$B$19:$B$201),'Бланк OLD 0.8 04'!$B$12:$K$200,4,0)&gt;0,0.8,
IF(VLOOKUP($A221-COUNT('Шаг2.Бланк заказа NEW'!$B$19:$B$201),'Бланк OLD 0.8 04'!$B$12:$K$200,5,0)&gt;0,0.4,""))),
IF(VLOOKUP($A221-COUNT('Шаг2.Бланк заказа NEW'!$B$19:$B$201)-COUNT('Бланк OLD 0.8 04'!$B$18:$B$200),'Бланк OLD 2.0 04 '!$B$16:$K$200,4,0)&gt;0,2,IF(VLOOKUP($A221-COUNT('Шаг2.Бланк заказа NEW'!$B$19:$B$201)-COUNT('Бланк OLD 0.8 04'!$B$18:$B$200),'Бланк OLD 2.0 04 '!$B$16:$K$200,5,0)&gt;0,0.4,"")))</f>
        <v/>
      </c>
      <c r="S221" s="147" t="str">
        <f ca="1">IFERROR(IFERROR(IF(VLOOKUP($A221,'Шаг2.Бланк заказа NEW'!$B$17:$N$201,5,0)="","",VLOOKUP($A221,'Шаг2.Бланк заказа NEW'!$B$17:$N$201,5,0)),
IF(VLOOKUP($A221-COUNT('Шаг2.Бланк заказа NEW'!$B$19:$B$201),'Бланк OLD 0.8 04'!$B$12:$K$200,4,0)&gt;1,0.8,
IF(VLOOKUP($A221-COUNT('Шаг2.Бланк заказа NEW'!$B$19:$B$201),'Бланк OLD 0.8 04'!$B$12:$K$200,5,0)&gt;1,0.4,
IF(AND(VLOOKUP($A221-COUNT('Шаг2.Бланк заказа NEW'!$B$19:$B$201),'Бланк OLD 0.8 04'!$B$12:$K$200,4,0)&gt;0,VLOOKUP($A221-COUNT('Шаг2.Бланк заказа NEW'!$B$19:$B$201),'Бланк OLD 0.8 04'!$B$12:$K$200,5,0)&gt;0),0.4,"")))),
IF(VLOOKUP($A221-COUNT('Шаг2.Бланк заказа NEW'!$B$19:$B$201)-COUNT('Бланк OLD 0.8 04'!$B$18:$B$200),'Бланк OLD 2.0 04 '!$B$16:$K$200,4,0)&gt;1,2,
IF(VLOOKUP($A221-COUNT('Шаг2.Бланк заказа NEW'!$B$19:$B$201)-COUNT('Бланк OLD 0.8 04'!$B$18:$B$200),'Бланк OLD 2.0 04 '!$B$16:$K$200,5,0)&gt;1,0.4,IF(AND(VLOOKUP($A221-COUNT('Шаг2.Бланк заказа NEW'!$B$19:$B$201)-COUNT('Бланк OLD 0.8 04'!$B$18:$B$200),'Бланк OLD 2.0 04 '!$B$16:$K$200,4,0)&gt;0,VLOOKUP($A221-COUNT('Шаг2.Бланк заказа NEW'!$B$19:$B$201)-COUNT('Бланк OLD 0.8 04'!$B$18:$B$200),'Бланк OLD 2.0 04 '!$B$16:$K$200,5,0)&gt;0),0.4,""))))</f>
        <v/>
      </c>
      <c r="T221" s="147" t="str">
        <f ca="1">IFERROR(IFERROR(IF(VLOOKUP($A221,'Шаг2.Бланк заказа NEW'!$B$17:$N$201,7,0)="","",VLOOKUP($A221,'Шаг2.Бланк заказа NEW'!$B$17:$N$201,7,0)),
IF(VLOOKUP($A221-COUNT('Шаг2.Бланк заказа NEW'!$B$19:$B$201),'Бланк OLD 0.8 04'!$B$12:$K$200,7,0)&gt;0,0.8,
IF(VLOOKUP($A221-COUNT('Шаг2.Бланк заказа NEW'!$B$19:$B$201),'Бланк OLD 0.8 04'!$B$12:$K$200,8,0)&gt;0,0.4,""))),
IF(VLOOKUP($A221-COUNT('Шаг2.Бланк заказа NEW'!$B$19:$B$201)-COUNT('Бланк OLD 0.8 04'!$B$18:$B$200),'Бланк OLD 2.0 04 '!$B$16:$K$200,7,0)&gt;0,2,IF(VLOOKUP($A221-COUNT('Шаг2.Бланк заказа NEW'!$B$19:$B$201)-COUNT('Бланк OLD 0.8 04'!$B$18:$B$200),'Бланк OLD 2.0 04 '!$B$16:$K$200,8,0)&gt;0,0.4,"")))</f>
        <v/>
      </c>
      <c r="U221" s="147" t="str">
        <f ca="1">IFERROR(IFERROR(IF(VLOOKUP($A221,'Шаг2.Бланк заказа NEW'!$B$17:$N$201,8,0)="","",VLOOKUP($A221,'Шаг2.Бланк заказа NEW'!$B$17:$N$201,8,0)),
IF(VLOOKUP($A221-COUNT('Шаг2.Бланк заказа NEW'!$B$19:$B$201),'Бланк OLD 0.8 04'!$B$12:$K$200,7,0)&gt;1,0.8,
IF(VLOOKUP($A221-COUNT('Шаг2.Бланк заказа NEW'!$B$19:$B$201),'Бланк OLD 0.8 04'!$B$12:$K$200,8,0)&gt;1,0.4,
IF(AND(VLOOKUP($A221-COUNT('Шаг2.Бланк заказа NEW'!$B$19:$B$201),'Бланк OLD 0.8 04'!$B$12:$K$200,7,0)&gt;0,VLOOKUP($A221-COUNT('Шаг2.Бланк заказа NEW'!$B$19:$B$201),'Бланк OLD 0.8 04'!$B$12:$K$200,8,0)&gt;0),0.4,"")))),
IF(VLOOKUP($A221-COUNT('Шаг2.Бланк заказа NEW'!$B$19:$B$201)-COUNT('Бланк OLD 0.8 04'!$B$18:$B$200),'Бланк OLD 2.0 04 '!$B$16:$K$200,7,0)&gt;1,2,
IF(VLOOKUP($A221-COUNT('Шаг2.Бланк заказа NEW'!$B$19:$B$201)-COUNT('Бланк OLD 0.8 04'!$B$18:$B$200),'Бланк OLD 2.0 04 '!$B$16:$K$200,8,0)&gt;1,0.4,
IF(AND(VLOOKUP($A221-COUNT('Шаг2.Бланк заказа NEW'!$B$19:$B$201)-COUNT('Бланк OLD 0.8 04'!$B$18:$B$200),'Бланк OLD 2.0 04 '!$B$16:$K$200,7,0)&gt;0,VLOOKUP($A221-COUNT('Шаг2.Бланк заказа NEW'!$B$19:$B$201)-COUNT('Бланк OLD 0.8 04'!$B$18:$B$200),'Бланк OLD 2.0 04 '!$B$16:$K$200,8,0)&gt;0),0.4,""))))</f>
        <v/>
      </c>
      <c r="V221" s="146" t="str">
        <f ca="1">IFERROR(VLOOKUP(C221,'Шаг1.Выбор плиты'!C:S,12,0),"")</f>
        <v/>
      </c>
      <c r="W221" s="146" t="str">
        <f ca="1">IFERROR(VLOOKUP(C221,'Шаг1.Выбор плиты'!C:S,8,0),"")</f>
        <v/>
      </c>
      <c r="X221" s="146" t="str">
        <f ca="1">IFERROR(VLOOKUP(C221,'Шаг1.Выбор плиты'!C:S,10,0),"")</f>
        <v/>
      </c>
      <c r="Y221" s="147" t="str">
        <f t="shared" ca="1" si="18"/>
        <v/>
      </c>
      <c r="AD221" s="147" t="str">
        <f t="shared" ca="1" si="21"/>
        <v/>
      </c>
      <c r="AE221" s="147" t="str">
        <f t="shared" ca="1" si="19"/>
        <v/>
      </c>
      <c r="AF221" s="25"/>
      <c r="AH221" s="147" t="str">
        <f ca="1">IF(C221="","",VLOOKUP(C221,'Шаг1.Выбор плиты'!C:Q,7,0))</f>
        <v/>
      </c>
      <c r="AI221" s="147" t="str">
        <f t="shared" ca="1" si="22"/>
        <v/>
      </c>
    </row>
    <row r="222" spans="1:35" x14ac:dyDescent="0.2">
      <c r="A222" s="151" t="str">
        <f ca="1">IF(C222="","",MAX($A$1:OFFSET(C222,-1,0))+1)</f>
        <v/>
      </c>
      <c r="B222" s="151" t="str">
        <f ca="1">IFERROR(IFERROR(IFERROR("Шаг2.Бланк заказа NEW №"&amp;VLOOKUP(A221+1,CHOOSE({1,2},'Шаг2.Бланк заказа NEW'!$B$19:$B$201,'Шаг2.Бланк заказа NEW'!$A$19:$A$201),1,0),
"Бланк OLD 0.8 04 №"&amp;VLOOKUP(A221+1-COUNT('Шаг2.Бланк заказа NEW'!$B$19:$B$201),CHOOSE({1,2},'Бланк OLD 0.8 04'!$B$18:$B$200,'Бланк OLD 0.8 04'!$A$18:$A$200),1,0)),
"Бланк OLD 2.0 04 №"&amp;VLOOKUP(A221+1-COUNT('Шаг2.Бланк заказа NEW'!$B$19:$B$201)-COUNT('Бланк OLD 0.8 04'!$B$18:$B$200),CHOOSE({1,2},'Бланк OLD 2.0 04 '!$B$18:$B$200,'Бланк OLD 2.0 04 '!$A$18:$A$200),1,0)),"")</f>
        <v/>
      </c>
      <c r="C222" s="152" t="str">
        <f ca="1">IFERROR(IFERROR(IFERROR(VLOOKUP(A221+1,CHOOSE({1,2},'Шаг2.Бланк заказа NEW'!$B$19:$B$201,'Шаг2.Бланк заказа NEW'!$A$19:$A$201),2,0),
VLOOKUP(A221+1-COUNT('Шаг2.Бланк заказа NEW'!$B$19:$B$201),CHOOSE({1,2},'Бланк OLD 0.8 04'!$B$18:$B$200,'Бланк OLD 0.8 04'!$A$18:$A$200),2,0)),
VLOOKUP(A221+1-COUNT('Шаг2.Бланк заказа NEW'!$B$19:$B$201)-COUNT('Бланк OLD 0.8 04'!$B$18:$B$200),CHOOSE({1,2},'Бланк OLD 2.0 04 '!$B$18:$B$200,'Бланк OLD 2.0 04 '!$A$18:$A$200),2,0)),"")</f>
        <v/>
      </c>
      <c r="D222" s="150" t="str">
        <f ca="1">IFERROR(VLOOKUP(C222,'Шаг1.Выбор плиты'!C:G,5,0),"")</f>
        <v/>
      </c>
      <c r="E222" s="147" t="str">
        <f ca="1">IFERROR(IFERROR(IF(VLOOKUP($A222,'Шаг2.Бланк заказа NEW'!$B$17:$N$201,2,0)="","",VLOOKUP($A222,'Шаг2.Бланк заказа NEW'!$B$17:$N$201,2,0)),
IF(VLOOKUP($A222-COUNT('Шаг2.Бланк заказа NEW'!$B$19:$B$201),'Бланк OLD 0.8 04'!$B$12:$K$200,2,0)="","",VLOOKUP($A222-COUNT('Шаг2.Бланк заказа NEW'!$B$19:$B$201),'Бланк OLD 0.8 04'!$B$12:$K$200,2,0))),
IF(VLOOKUP($A222-COUNT('Шаг2.Бланк заказа NEW'!$B$19:$B$201)-COUNT('Бланк OLD 0.8 04'!$B$18:$B$200),'Бланк OLD 2.0 04 '!$B$16:$K$200,2,0)="","",VLOOKUP($A222-COUNT('Шаг2.Бланк заказа NEW'!$B$19:$B$201)-COUNT('Бланк OLD 0.8 04'!$B$18:$B$200),'Бланк OLD 2.0 04 '!$B$16:$K$200,2,0)))</f>
        <v/>
      </c>
      <c r="F222" s="147" t="str">
        <f ca="1">IFERROR(IFERROR(IF(VLOOKUP($A222,'Шаг2.Бланк заказа NEW'!$B$17:$N$201,3,0)="","",VLOOKUP($A222,'Шаг2.Бланк заказа NEW'!$B$17:$N$201,3,0)),
IF(VLOOKUP($A222-COUNT('Шаг2.Бланк заказа NEW'!$B$19:$B$201),'Бланк OLD 0.8 04'!$B$12:$K$200,3,0)="","",VLOOKUP($A222-COUNT('Шаг2.Бланк заказа NEW'!$B$19:$B$201),'Бланк OLD 0.8 04'!$B$12:$K$200,3,0))),
IF(VLOOKUP($A222-COUNT('Шаг2.Бланк заказа NEW'!$B$19:$B$201)-COUNT('Бланк OLD 0.8 04'!$B$18:$B$200),'Бланк OLD 2.0 04 '!$B$16:$K$200,3,0)="","",VLOOKUP($A222-COUNT('Шаг2.Бланк заказа NEW'!$B$19:$B$201)-COUNT('Бланк OLD 0.8 04'!$B$18:$B$200),'Бланк OLD 2.0 04 '!$B$16:$K$200,3,0)))</f>
        <v/>
      </c>
      <c r="G222" s="176" t="str">
        <f ca="1">IF(IF(R222="","",IF(R222=1,SUMIFS('Шаг1.Выбор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плиты'!C:Q,12,0)),1))))))=0,
R222,
IF(R222="","",IF(R222=1,SUMIFS('Шаг1.Выбор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плиты'!N:N,R222,'Шаг1.Выбор плиты'!M:M,SMALL(INDIRECT("мм"&amp;VLOOKUP(C222,'Шаг1.Выбор плиты'!C:Q,12,0)),1)))))))</f>
        <v/>
      </c>
      <c r="H222" s="177" t="str">
        <f ca="1">IF(IF(S222="","",IF(S222=1,SUMIFS('Шаг1.Выбор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плиты'!C:Q,12,0)),1))))))=0,
S222,
IF(S222="","",IF(S222=1,SUMIFS('Шаг1.Выбор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плиты'!N:N,S222,'Шаг1.Выбор плиты'!M:M,SMALL(INDIRECT("мм"&amp;VLOOKUP(C222,'Шаг1.Выбор плиты'!C:Q,12,0)),1)))))))</f>
        <v/>
      </c>
      <c r="I222" s="147" t="str">
        <f ca="1">IFERROR(IFERROR(IF(VLOOKUP($A222,'Шаг2.Бланк заказа NEW'!$B$17:$N$201,6,0)="","",VLOOKUP($A222,'Шаг2.Бланк заказа NEW'!$B$17:$N$201,6,0)),
IF(VLOOKUP($A222-COUNT('Шаг2.Бланк заказа NEW'!$B$19:$B$201),'Бланк OLD 0.8 04'!$B$12:$K$200,6,0)="","",VLOOKUP($A222-COUNT('Шаг2.Бланк заказа NEW'!$B$19:$B$201),'Бланк OLD 0.8 04'!$B$12:$K$200,6,0))),
IF(VLOOKUP($A222-COUNT('Шаг2.Бланк заказа NEW'!$B$19:$B$201)-COUNT('Бланк OLD 0.8 04'!$B$18:$B$200),'Бланк OLD 2.0 04 '!$B$16:$K$200,6,0)="","",VLOOKUP($A222-COUNT('Шаг2.Бланк заказа NEW'!$B$19:$B$201)-COUNT('Бланк OLD 0.8 04'!$B$18:$B$200),'Бланк OLD 2.0 04 '!$B$16:$K$200,6,0)))</f>
        <v/>
      </c>
      <c r="J222" s="177" t="str">
        <f ca="1">IF(IF(T222="","",IF(T222=1,SUMIFS('Шаг1.Выбор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плиты'!C:Q,12,0)),1))))))=0,
T222,
IF(T222="","",IF(T222=1,SUMIFS('Шаг1.Выбор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плиты'!N:N,T222,'Шаг1.Выбор плиты'!M:M,SMALL(INDIRECT("мм"&amp;VLOOKUP(C222,'Шаг1.Выбор плиты'!C:Q,12,0)),1)))))))</f>
        <v/>
      </c>
      <c r="K222" s="177" t="str">
        <f ca="1">IF(IF(U222="","",IF(U222=1,SUMIFS('Шаг1.Выбор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плиты'!C:Q,12,0)),1))))))=0,
U222,
IF(U222="","",IF(U222=1,SUMIFS('Шаг1.Выбор плиты'!$G:$G,'Шаг1.Выбор плиты'!J:J,"*"&amp;RIGHT(VLOOKUP(C222,'Шаг1.Выбор плиты'!C:Q,8,0),4),'Шаг1.Выбор плиты'!L:L,IF(MID(C222,1,6)="ЛДСП P","TM"&amp;MID(VLOOKUP(C222,'Шаг1.Выбор плиты'!C:Q,10,0),3,2),MID(VLOOKUP(C222,'Шаг1.Выбор плиты'!C:Q,10,0),1,2)),
'Шаг1.Выбор плиты'!N:N,1),IF(SUMIFS('Шаг1.Выбор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плиты'!C:Q,12,0)),1))=0,
IF(SUMIFS('Шаг1.Выбор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плиты'!C:Q,12,0)),2))=0,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плиты'!C:Q,12,0)),3)),
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плиты'!C:Q,12,0)),2))),
(SUMIFS('Шаг1.Выбор плиты'!$G:$G,'Шаг1.Выбор плиты'!J:J,"*"&amp;RIGHT(VLOOKUP(C222,'Шаг1.Выбор плиты'!C:Q,8,0),4),'Шаг1.Выбор плиты'!L:L,VLOOKUP(C222,'Шаг1.Выбор плиты'!C:Q,10,0),'Шаг1.Выбор плиты'!N:N,U222,'Шаг1.Выбор плиты'!M:M,SMALL(INDIRECT("мм"&amp;VLOOKUP(C222,'Шаг1.Выбор плиты'!C:Q,12,0)),1)))))))</f>
        <v/>
      </c>
      <c r="L222" s="147" t="str">
        <f ca="1">IFERROR(IFERROR(IF(VLOOKUP($A222,'Шаг2.Бланк заказа NEW'!$B$17:$N$201,9,0)="","",VLOOKUP($A222,'Шаг2.Бланк заказа NEW'!$B$17:$N$201,9,0)),
IF(VLOOKUP($A222-COUNT('Шаг2.Бланк заказа NEW'!$B$19:$B$201),'Бланк OLD 0.8 04'!$B$12:$K$200,9,0)="","",VLOOKUP($A222-COUNT('Шаг2.Бланк заказа NEW'!$B$19:$B$201),'Бланк OLD 0.8 04'!$B$12:$K$200,9,0))),
IF(VLOOKUP($A222-COUNT('Шаг2.Бланк заказа NEW'!$B$19:$B$201)-COUNT('Бланк OLD 0.8 04'!$B$18:$B$200),'Бланк OLD 2.0 04 '!$B$16:$K$200,9,0)="","",VLOOKUP($A222-COUNT('Шаг2.Бланк заказа NEW'!$B$19:$B$201)-COUNT('Бланк OLD 0.8 04'!$B$18:$B$200),'Бланк OLD 2.0 04 '!$B$16:$K$200,9,0)))</f>
        <v/>
      </c>
      <c r="M222" s="154" t="str">
        <f t="shared" ca="1" si="20"/>
        <v/>
      </c>
      <c r="N222" s="153" t="str">
        <f ca="1">IFERROR(IF(VLOOKUP($A222,'Шаг2.Бланк заказа NEW'!$B$17:$N$201,11,0)="","",VLOOKUP($A222,'Шаг2.Бланк заказа NEW'!$B$17:$N$201,11,0)),
"Нет")</f>
        <v/>
      </c>
      <c r="O222" s="147" t="str">
        <f ca="1">IFERROR(IF(VLOOKUP($A222,'Шаг2.Бланк заказа NEW'!$B$17:$N$201,11,0)="","",VLOOKUP($A222,'Шаг2.Бланк заказа NEW'!$B$17:$N$201,12,0)),
"Нет")</f>
        <v/>
      </c>
      <c r="P222" s="153" t="str">
        <f ca="1">IFERROR(IF(VLOOKUP($A222,'Шаг2.Бланк заказа NEW'!$B$17:$N$201,13,0)="","",VLOOKUP($A222,'Шаг2.Бланк заказа NEW'!$B$17:$N$201,13,0)),
"Нет")</f>
        <v/>
      </c>
      <c r="Q222" s="147" t="str">
        <f ca="1">IFERROR(IF(VLOOKUP($A222,'Шаг2.Бланк заказа NEW'!$B$17:$O$201,14,0)="","",VLOOKUP($A222,'Шаг2.Бланк заказа NEW'!$B$17:$O$201,14,0)),"")</f>
        <v/>
      </c>
      <c r="R222" s="147" t="str">
        <f ca="1">IFERROR(IFERROR(IF(VLOOKUP($A222,'Шаг2.Бланк заказа NEW'!$B$17:$N$201,4,0)="","",VLOOKUP($A222,'Шаг2.Бланк заказа NEW'!$B$17:$N$201,4,0)),
IF(VLOOKUP($A222-COUNT('Шаг2.Бланк заказа NEW'!$B$19:$B$201),'Бланк OLD 0.8 04'!$B$12:$K$200,4,0)&gt;0,0.8,
IF(VLOOKUP($A222-COUNT('Шаг2.Бланк заказа NEW'!$B$19:$B$201),'Бланк OLD 0.8 04'!$B$12:$K$200,5,0)&gt;0,0.4,""))),
IF(VLOOKUP($A222-COUNT('Шаг2.Бланк заказа NEW'!$B$19:$B$201)-COUNT('Бланк OLD 0.8 04'!$B$18:$B$200),'Бланк OLD 2.0 04 '!$B$16:$K$200,4,0)&gt;0,2,IF(VLOOKUP($A222-COUNT('Шаг2.Бланк заказа NEW'!$B$19:$B$201)-COUNT('Бланк OLD 0.8 04'!$B$18:$B$200),'Бланк OLD 2.0 04 '!$B$16:$K$200,5,0)&gt;0,0.4,"")))</f>
        <v/>
      </c>
      <c r="S222" s="147" t="str">
        <f ca="1">IFERROR(IFERROR(IF(VLOOKUP($A222,'Шаг2.Бланк заказа NEW'!$B$17:$N$201,5,0)="","",VLOOKUP($A222,'Шаг2.Бланк заказа NEW'!$B$17:$N$201,5,0)),
IF(VLOOKUP($A222-COUNT('Шаг2.Бланк заказа NEW'!$B$19:$B$201),'Бланк OLD 0.8 04'!$B$12:$K$200,4,0)&gt;1,0.8,
IF(VLOOKUP($A222-COUNT('Шаг2.Бланк заказа NEW'!$B$19:$B$201),'Бланк OLD 0.8 04'!$B$12:$K$200,5,0)&gt;1,0.4,
IF(AND(VLOOKUP($A222-COUNT('Шаг2.Бланк заказа NEW'!$B$19:$B$201),'Бланк OLD 0.8 04'!$B$12:$K$200,4,0)&gt;0,VLOOKUP($A222-COUNT('Шаг2.Бланк заказа NEW'!$B$19:$B$201),'Бланк OLD 0.8 04'!$B$12:$K$200,5,0)&gt;0),0.4,"")))),
IF(VLOOKUP($A222-COUNT('Шаг2.Бланк заказа NEW'!$B$19:$B$201)-COUNT('Бланк OLD 0.8 04'!$B$18:$B$200),'Бланк OLD 2.0 04 '!$B$16:$K$200,4,0)&gt;1,2,
IF(VLOOKUP($A222-COUNT('Шаг2.Бланк заказа NEW'!$B$19:$B$201)-COUNT('Бланк OLD 0.8 04'!$B$18:$B$200),'Бланк OLD 2.0 04 '!$B$16:$K$200,5,0)&gt;1,0.4,IF(AND(VLOOKUP($A222-COUNT('Шаг2.Бланк заказа NEW'!$B$19:$B$201)-COUNT('Бланк OLD 0.8 04'!$B$18:$B$200),'Бланк OLD 2.0 04 '!$B$16:$K$200,4,0)&gt;0,VLOOKUP($A222-COUNT('Шаг2.Бланк заказа NEW'!$B$19:$B$201)-COUNT('Бланк OLD 0.8 04'!$B$18:$B$200),'Бланк OLD 2.0 04 '!$B$16:$K$200,5,0)&gt;0),0.4,""))))</f>
        <v/>
      </c>
      <c r="T222" s="147" t="str">
        <f ca="1">IFERROR(IFERROR(IF(VLOOKUP($A222,'Шаг2.Бланк заказа NEW'!$B$17:$N$201,7,0)="","",VLOOKUP($A222,'Шаг2.Бланк заказа NEW'!$B$17:$N$201,7,0)),
IF(VLOOKUP($A222-COUNT('Шаг2.Бланк заказа NEW'!$B$19:$B$201),'Бланк OLD 0.8 04'!$B$12:$K$200,7,0)&gt;0,0.8,
IF(VLOOKUP($A222-COUNT('Шаг2.Бланк заказа NEW'!$B$19:$B$201),'Бланк OLD 0.8 04'!$B$12:$K$200,8,0)&gt;0,0.4,""))),
IF(VLOOKUP($A222-COUNT('Шаг2.Бланк заказа NEW'!$B$19:$B$201)-COUNT('Бланк OLD 0.8 04'!$B$18:$B$200),'Бланк OLD 2.0 04 '!$B$16:$K$200,7,0)&gt;0,2,IF(VLOOKUP($A222-COUNT('Шаг2.Бланк заказа NEW'!$B$19:$B$201)-COUNT('Бланк OLD 0.8 04'!$B$18:$B$200),'Бланк OLD 2.0 04 '!$B$16:$K$200,8,0)&gt;0,0.4,"")))</f>
        <v/>
      </c>
      <c r="U222" s="147" t="str">
        <f ca="1">IFERROR(IFERROR(IF(VLOOKUP($A222,'Шаг2.Бланк заказа NEW'!$B$17:$N$201,8,0)="","",VLOOKUP($A222,'Шаг2.Бланк заказа NEW'!$B$17:$N$201,8,0)),
IF(VLOOKUP($A222-COUNT('Шаг2.Бланк заказа NEW'!$B$19:$B$201),'Бланк OLD 0.8 04'!$B$12:$K$200,7,0)&gt;1,0.8,
IF(VLOOKUP($A222-COUNT('Шаг2.Бланк заказа NEW'!$B$19:$B$201),'Бланк OLD 0.8 04'!$B$12:$K$200,8,0)&gt;1,0.4,
IF(AND(VLOOKUP($A222-COUNT('Шаг2.Бланк заказа NEW'!$B$19:$B$201),'Бланк OLD 0.8 04'!$B$12:$K$200,7,0)&gt;0,VLOOKUP($A222-COUNT('Шаг2.Бланк заказа NEW'!$B$19:$B$201),'Бланк OLD 0.8 04'!$B$12:$K$200,8,0)&gt;0),0.4,"")))),
IF(VLOOKUP($A222-COUNT('Шаг2.Бланк заказа NEW'!$B$19:$B$201)-COUNT('Бланк OLD 0.8 04'!$B$18:$B$200),'Бланк OLD 2.0 04 '!$B$16:$K$200,7,0)&gt;1,2,
IF(VLOOKUP($A222-COUNT('Шаг2.Бланк заказа NEW'!$B$19:$B$201)-COUNT('Бланк OLD 0.8 04'!$B$18:$B$200),'Бланк OLD 2.0 04 '!$B$16:$K$200,8,0)&gt;1,0.4,
IF(AND(VLOOKUP($A222-COUNT('Шаг2.Бланк заказа NEW'!$B$19:$B$201)-COUNT('Бланк OLD 0.8 04'!$B$18:$B$200),'Бланк OLD 2.0 04 '!$B$16:$K$200,7,0)&gt;0,VLOOKUP($A222-COUNT('Шаг2.Бланк заказа NEW'!$B$19:$B$201)-COUNT('Бланк OLD 0.8 04'!$B$18:$B$200),'Бланк OLD 2.0 04 '!$B$16:$K$200,8,0)&gt;0),0.4,""))))</f>
        <v/>
      </c>
      <c r="V222" s="146" t="str">
        <f ca="1">IFERROR(VLOOKUP(C222,'Шаг1.Выбор плиты'!C:S,12,0),"")</f>
        <v/>
      </c>
      <c r="W222" s="146" t="str">
        <f ca="1">IFERROR(VLOOKUP(C222,'Шаг1.Выбор плиты'!C:S,8,0),"")</f>
        <v/>
      </c>
      <c r="X222" s="146" t="str">
        <f ca="1">IFERROR(VLOOKUP(C222,'Шаг1.Выбор плиты'!C:S,10,0),"")</f>
        <v/>
      </c>
      <c r="Y222" s="147" t="str">
        <f t="shared" ca="1" si="18"/>
        <v/>
      </c>
      <c r="AD222" s="147" t="str">
        <f t="shared" ca="1" si="21"/>
        <v/>
      </c>
      <c r="AE222" s="147" t="str">
        <f t="shared" ca="1" si="19"/>
        <v/>
      </c>
      <c r="AF222" s="25"/>
      <c r="AH222" s="147" t="str">
        <f ca="1">IF(C222="","",VLOOKUP(C222,'Шаг1.Выбор плиты'!C:Q,7,0))</f>
        <v/>
      </c>
      <c r="AI222" s="147" t="str">
        <f t="shared" ca="1" si="22"/>
        <v/>
      </c>
    </row>
    <row r="223" spans="1:35" x14ac:dyDescent="0.2">
      <c r="A223" s="151" t="str">
        <f ca="1">IF(C223="","",MAX($A$1:OFFSET(C223,-1,0))+1)</f>
        <v/>
      </c>
      <c r="B223" s="151" t="str">
        <f ca="1">IFERROR(IFERROR(IFERROR("Шаг2.Бланк заказа NEW №"&amp;VLOOKUP(A222+1,CHOOSE({1,2},'Шаг2.Бланк заказа NEW'!$B$19:$B$201,'Шаг2.Бланк заказа NEW'!$A$19:$A$201),1,0),
"Бланк OLD 0.8 04 №"&amp;VLOOKUP(A222+1-COUNT('Шаг2.Бланк заказа NEW'!$B$19:$B$201),CHOOSE({1,2},'Бланк OLD 0.8 04'!$B$18:$B$200,'Бланк OLD 0.8 04'!$A$18:$A$200),1,0)),
"Бланк OLD 2.0 04 №"&amp;VLOOKUP(A222+1-COUNT('Шаг2.Бланк заказа NEW'!$B$19:$B$201)-COUNT('Бланк OLD 0.8 04'!$B$18:$B$200),CHOOSE({1,2},'Бланк OLD 2.0 04 '!$B$18:$B$200,'Бланк OLD 2.0 04 '!$A$18:$A$200),1,0)),"")</f>
        <v/>
      </c>
      <c r="C223" s="152" t="str">
        <f ca="1">IFERROR(IFERROR(IFERROR(VLOOKUP(A222+1,CHOOSE({1,2},'Шаг2.Бланк заказа NEW'!$B$19:$B$201,'Шаг2.Бланк заказа NEW'!$A$19:$A$201),2,0),
VLOOKUP(A222+1-COUNT('Шаг2.Бланк заказа NEW'!$B$19:$B$201),CHOOSE({1,2},'Бланк OLD 0.8 04'!$B$18:$B$200,'Бланк OLD 0.8 04'!$A$18:$A$200),2,0)),
VLOOKUP(A222+1-COUNT('Шаг2.Бланк заказа NEW'!$B$19:$B$201)-COUNT('Бланк OLD 0.8 04'!$B$18:$B$200),CHOOSE({1,2},'Бланк OLD 2.0 04 '!$B$18:$B$200,'Бланк OLD 2.0 04 '!$A$18:$A$200),2,0)),"")</f>
        <v/>
      </c>
      <c r="D223" s="150" t="str">
        <f ca="1">IFERROR(VLOOKUP(C223,'Шаг1.Выбор плиты'!C:G,5,0),"")</f>
        <v/>
      </c>
      <c r="E223" s="147" t="str">
        <f ca="1">IFERROR(IFERROR(IF(VLOOKUP($A223,'Шаг2.Бланк заказа NEW'!$B$17:$N$201,2,0)="","",VLOOKUP($A223,'Шаг2.Бланк заказа NEW'!$B$17:$N$201,2,0)),
IF(VLOOKUP($A223-COUNT('Шаг2.Бланк заказа NEW'!$B$19:$B$201),'Бланк OLD 0.8 04'!$B$12:$K$200,2,0)="","",VLOOKUP($A223-COUNT('Шаг2.Бланк заказа NEW'!$B$19:$B$201),'Бланк OLD 0.8 04'!$B$12:$K$200,2,0))),
IF(VLOOKUP($A223-COUNT('Шаг2.Бланк заказа NEW'!$B$19:$B$201)-COUNT('Бланк OLD 0.8 04'!$B$18:$B$200),'Бланк OLD 2.0 04 '!$B$16:$K$200,2,0)="","",VLOOKUP($A223-COUNT('Шаг2.Бланк заказа NEW'!$B$19:$B$201)-COUNT('Бланк OLD 0.8 04'!$B$18:$B$200),'Бланк OLD 2.0 04 '!$B$16:$K$200,2,0)))</f>
        <v/>
      </c>
      <c r="F223" s="147" t="str">
        <f ca="1">IFERROR(IFERROR(IF(VLOOKUP($A223,'Шаг2.Бланк заказа NEW'!$B$17:$N$201,3,0)="","",VLOOKUP($A223,'Шаг2.Бланк заказа NEW'!$B$17:$N$201,3,0)),
IF(VLOOKUP($A223-COUNT('Шаг2.Бланк заказа NEW'!$B$19:$B$201),'Бланк OLD 0.8 04'!$B$12:$K$200,3,0)="","",VLOOKUP($A223-COUNT('Шаг2.Бланк заказа NEW'!$B$19:$B$201),'Бланк OLD 0.8 04'!$B$12:$K$200,3,0))),
IF(VLOOKUP($A223-COUNT('Шаг2.Бланк заказа NEW'!$B$19:$B$201)-COUNT('Бланк OLD 0.8 04'!$B$18:$B$200),'Бланк OLD 2.0 04 '!$B$16:$K$200,3,0)="","",VLOOKUP($A223-COUNT('Шаг2.Бланк заказа NEW'!$B$19:$B$201)-COUNT('Бланк OLD 0.8 04'!$B$18:$B$200),'Бланк OLD 2.0 04 '!$B$16:$K$200,3,0)))</f>
        <v/>
      </c>
      <c r="G223" s="176" t="str">
        <f ca="1">IF(IF(R223="","",IF(R223=1,SUMIFS('Шаг1.Выбор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плиты'!C:Q,12,0)),1))))))=0,
R223,
IF(R223="","",IF(R223=1,SUMIFS('Шаг1.Выбор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плиты'!N:N,R223,'Шаг1.Выбор плиты'!M:M,SMALL(INDIRECT("мм"&amp;VLOOKUP(C223,'Шаг1.Выбор плиты'!C:Q,12,0)),1)))))))</f>
        <v/>
      </c>
      <c r="H223" s="177" t="str">
        <f ca="1">IF(IF(S223="","",IF(S223=1,SUMIFS('Шаг1.Выбор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плиты'!C:Q,12,0)),1))))))=0,
S223,
IF(S223="","",IF(S223=1,SUMIFS('Шаг1.Выбор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плиты'!N:N,S223,'Шаг1.Выбор плиты'!M:M,SMALL(INDIRECT("мм"&amp;VLOOKUP(C223,'Шаг1.Выбор плиты'!C:Q,12,0)),1)))))))</f>
        <v/>
      </c>
      <c r="I223" s="147" t="str">
        <f ca="1">IFERROR(IFERROR(IF(VLOOKUP($A223,'Шаг2.Бланк заказа NEW'!$B$17:$N$201,6,0)="","",VLOOKUP($A223,'Шаг2.Бланк заказа NEW'!$B$17:$N$201,6,0)),
IF(VLOOKUP($A223-COUNT('Шаг2.Бланк заказа NEW'!$B$19:$B$201),'Бланк OLD 0.8 04'!$B$12:$K$200,6,0)="","",VLOOKUP($A223-COUNT('Шаг2.Бланк заказа NEW'!$B$19:$B$201),'Бланк OLD 0.8 04'!$B$12:$K$200,6,0))),
IF(VLOOKUP($A223-COUNT('Шаг2.Бланк заказа NEW'!$B$19:$B$201)-COUNT('Бланк OLD 0.8 04'!$B$18:$B$200),'Бланк OLD 2.0 04 '!$B$16:$K$200,6,0)="","",VLOOKUP($A223-COUNT('Шаг2.Бланк заказа NEW'!$B$19:$B$201)-COUNT('Бланк OLD 0.8 04'!$B$18:$B$200),'Бланк OLD 2.0 04 '!$B$16:$K$200,6,0)))</f>
        <v/>
      </c>
      <c r="J223" s="177" t="str">
        <f ca="1">IF(IF(T223="","",IF(T223=1,SUMIFS('Шаг1.Выбор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плиты'!C:Q,12,0)),1))))))=0,
T223,
IF(T223="","",IF(T223=1,SUMIFS('Шаг1.Выбор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плиты'!N:N,T223,'Шаг1.Выбор плиты'!M:M,SMALL(INDIRECT("мм"&amp;VLOOKUP(C223,'Шаг1.Выбор плиты'!C:Q,12,0)),1)))))))</f>
        <v/>
      </c>
      <c r="K223" s="177" t="str">
        <f ca="1">IF(IF(U223="","",IF(U223=1,SUMIFS('Шаг1.Выбор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плиты'!C:Q,12,0)),1))))))=0,
U223,
IF(U223="","",IF(U223=1,SUMIFS('Шаг1.Выбор плиты'!$G:$G,'Шаг1.Выбор плиты'!J:J,"*"&amp;RIGHT(VLOOKUP(C223,'Шаг1.Выбор плиты'!C:Q,8,0),4),'Шаг1.Выбор плиты'!L:L,IF(MID(C223,1,6)="ЛДСП P","TM"&amp;MID(VLOOKUP(C223,'Шаг1.Выбор плиты'!C:Q,10,0),3,2),MID(VLOOKUP(C223,'Шаг1.Выбор плиты'!C:Q,10,0),1,2)),
'Шаг1.Выбор плиты'!N:N,1),IF(SUMIFS('Шаг1.Выбор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плиты'!C:Q,12,0)),1))=0,
IF(SUMIFS('Шаг1.Выбор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плиты'!C:Q,12,0)),2))=0,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плиты'!C:Q,12,0)),3)),
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плиты'!C:Q,12,0)),2))),
(SUMIFS('Шаг1.Выбор плиты'!$G:$G,'Шаг1.Выбор плиты'!J:J,"*"&amp;RIGHT(VLOOKUP(C223,'Шаг1.Выбор плиты'!C:Q,8,0),4),'Шаг1.Выбор плиты'!L:L,VLOOKUP(C223,'Шаг1.Выбор плиты'!C:Q,10,0),'Шаг1.Выбор плиты'!N:N,U223,'Шаг1.Выбор плиты'!M:M,SMALL(INDIRECT("мм"&amp;VLOOKUP(C223,'Шаг1.Выбор плиты'!C:Q,12,0)),1)))))))</f>
        <v/>
      </c>
      <c r="L223" s="147" t="str">
        <f ca="1">IFERROR(IFERROR(IF(VLOOKUP($A223,'Шаг2.Бланк заказа NEW'!$B$17:$N$201,9,0)="","",VLOOKUP($A223,'Шаг2.Бланк заказа NEW'!$B$17:$N$201,9,0)),
IF(VLOOKUP($A223-COUNT('Шаг2.Бланк заказа NEW'!$B$19:$B$201),'Бланк OLD 0.8 04'!$B$12:$K$200,9,0)="","",VLOOKUP($A223-COUNT('Шаг2.Бланк заказа NEW'!$B$19:$B$201),'Бланк OLD 0.8 04'!$B$12:$K$200,9,0))),
IF(VLOOKUP($A223-COUNT('Шаг2.Бланк заказа NEW'!$B$19:$B$201)-COUNT('Бланк OLD 0.8 04'!$B$18:$B$200),'Бланк OLD 2.0 04 '!$B$16:$K$200,9,0)="","",VLOOKUP($A223-COUNT('Шаг2.Бланк заказа NEW'!$B$19:$B$201)-COUNT('Бланк OLD 0.8 04'!$B$18:$B$200),'Бланк OLD 2.0 04 '!$B$16:$K$200,9,0)))</f>
        <v/>
      </c>
      <c r="M223" s="154" t="str">
        <f t="shared" ca="1" si="20"/>
        <v/>
      </c>
      <c r="N223" s="153" t="str">
        <f ca="1">IFERROR(IF(VLOOKUP($A223,'Шаг2.Бланк заказа NEW'!$B$17:$N$201,11,0)="","",VLOOKUP($A223,'Шаг2.Бланк заказа NEW'!$B$17:$N$201,11,0)),
"Нет")</f>
        <v/>
      </c>
      <c r="O223" s="147" t="str">
        <f ca="1">IFERROR(IF(VLOOKUP($A223,'Шаг2.Бланк заказа NEW'!$B$17:$N$201,11,0)="","",VLOOKUP($A223,'Шаг2.Бланк заказа NEW'!$B$17:$N$201,12,0)),
"Нет")</f>
        <v/>
      </c>
      <c r="P223" s="153" t="str">
        <f ca="1">IFERROR(IF(VLOOKUP($A223,'Шаг2.Бланк заказа NEW'!$B$17:$N$201,13,0)="","",VLOOKUP($A223,'Шаг2.Бланк заказа NEW'!$B$17:$N$201,13,0)),
"Нет")</f>
        <v/>
      </c>
      <c r="Q223" s="147" t="str">
        <f ca="1">IFERROR(IF(VLOOKUP($A223,'Шаг2.Бланк заказа NEW'!$B$17:$O$201,14,0)="","",VLOOKUP($A223,'Шаг2.Бланк заказа NEW'!$B$17:$O$201,14,0)),"")</f>
        <v/>
      </c>
      <c r="R223" s="147" t="str">
        <f ca="1">IFERROR(IFERROR(IF(VLOOKUP($A223,'Шаг2.Бланк заказа NEW'!$B$17:$N$201,4,0)="","",VLOOKUP($A223,'Шаг2.Бланк заказа NEW'!$B$17:$N$201,4,0)),
IF(VLOOKUP($A223-COUNT('Шаг2.Бланк заказа NEW'!$B$19:$B$201),'Бланк OLD 0.8 04'!$B$12:$K$200,4,0)&gt;0,0.8,
IF(VLOOKUP($A223-COUNT('Шаг2.Бланк заказа NEW'!$B$19:$B$201),'Бланк OLD 0.8 04'!$B$12:$K$200,5,0)&gt;0,0.4,""))),
IF(VLOOKUP($A223-COUNT('Шаг2.Бланк заказа NEW'!$B$19:$B$201)-COUNT('Бланк OLD 0.8 04'!$B$18:$B$200),'Бланк OLD 2.0 04 '!$B$16:$K$200,4,0)&gt;0,2,IF(VLOOKUP($A223-COUNT('Шаг2.Бланк заказа NEW'!$B$19:$B$201)-COUNT('Бланк OLD 0.8 04'!$B$18:$B$200),'Бланк OLD 2.0 04 '!$B$16:$K$200,5,0)&gt;0,0.4,"")))</f>
        <v/>
      </c>
      <c r="S223" s="147" t="str">
        <f ca="1">IFERROR(IFERROR(IF(VLOOKUP($A223,'Шаг2.Бланк заказа NEW'!$B$17:$N$201,5,0)="","",VLOOKUP($A223,'Шаг2.Бланк заказа NEW'!$B$17:$N$201,5,0)),
IF(VLOOKUP($A223-COUNT('Шаг2.Бланк заказа NEW'!$B$19:$B$201),'Бланк OLD 0.8 04'!$B$12:$K$200,4,0)&gt;1,0.8,
IF(VLOOKUP($A223-COUNT('Шаг2.Бланк заказа NEW'!$B$19:$B$201),'Бланк OLD 0.8 04'!$B$12:$K$200,5,0)&gt;1,0.4,
IF(AND(VLOOKUP($A223-COUNT('Шаг2.Бланк заказа NEW'!$B$19:$B$201),'Бланк OLD 0.8 04'!$B$12:$K$200,4,0)&gt;0,VLOOKUP($A223-COUNT('Шаг2.Бланк заказа NEW'!$B$19:$B$201),'Бланк OLD 0.8 04'!$B$12:$K$200,5,0)&gt;0),0.4,"")))),
IF(VLOOKUP($A223-COUNT('Шаг2.Бланк заказа NEW'!$B$19:$B$201)-COUNT('Бланк OLD 0.8 04'!$B$18:$B$200),'Бланк OLD 2.0 04 '!$B$16:$K$200,4,0)&gt;1,2,
IF(VLOOKUP($A223-COUNT('Шаг2.Бланк заказа NEW'!$B$19:$B$201)-COUNT('Бланк OLD 0.8 04'!$B$18:$B$200),'Бланк OLD 2.0 04 '!$B$16:$K$200,5,0)&gt;1,0.4,IF(AND(VLOOKUP($A223-COUNT('Шаг2.Бланк заказа NEW'!$B$19:$B$201)-COUNT('Бланк OLD 0.8 04'!$B$18:$B$200),'Бланк OLD 2.0 04 '!$B$16:$K$200,4,0)&gt;0,VLOOKUP($A223-COUNT('Шаг2.Бланк заказа NEW'!$B$19:$B$201)-COUNT('Бланк OLD 0.8 04'!$B$18:$B$200),'Бланк OLD 2.0 04 '!$B$16:$K$200,5,0)&gt;0),0.4,""))))</f>
        <v/>
      </c>
      <c r="T223" s="147" t="str">
        <f ca="1">IFERROR(IFERROR(IF(VLOOKUP($A223,'Шаг2.Бланк заказа NEW'!$B$17:$N$201,7,0)="","",VLOOKUP($A223,'Шаг2.Бланк заказа NEW'!$B$17:$N$201,7,0)),
IF(VLOOKUP($A223-COUNT('Шаг2.Бланк заказа NEW'!$B$19:$B$201),'Бланк OLD 0.8 04'!$B$12:$K$200,7,0)&gt;0,0.8,
IF(VLOOKUP($A223-COUNT('Шаг2.Бланк заказа NEW'!$B$19:$B$201),'Бланк OLD 0.8 04'!$B$12:$K$200,8,0)&gt;0,0.4,""))),
IF(VLOOKUP($A223-COUNT('Шаг2.Бланк заказа NEW'!$B$19:$B$201)-COUNT('Бланк OLD 0.8 04'!$B$18:$B$200),'Бланк OLD 2.0 04 '!$B$16:$K$200,7,0)&gt;0,2,IF(VLOOKUP($A223-COUNT('Шаг2.Бланк заказа NEW'!$B$19:$B$201)-COUNT('Бланк OLD 0.8 04'!$B$18:$B$200),'Бланк OLD 2.0 04 '!$B$16:$K$200,8,0)&gt;0,0.4,"")))</f>
        <v/>
      </c>
      <c r="U223" s="147" t="str">
        <f ca="1">IFERROR(IFERROR(IF(VLOOKUP($A223,'Шаг2.Бланк заказа NEW'!$B$17:$N$201,8,0)="","",VLOOKUP($A223,'Шаг2.Бланк заказа NEW'!$B$17:$N$201,8,0)),
IF(VLOOKUP($A223-COUNT('Шаг2.Бланк заказа NEW'!$B$19:$B$201),'Бланк OLD 0.8 04'!$B$12:$K$200,7,0)&gt;1,0.8,
IF(VLOOKUP($A223-COUNT('Шаг2.Бланк заказа NEW'!$B$19:$B$201),'Бланк OLD 0.8 04'!$B$12:$K$200,8,0)&gt;1,0.4,
IF(AND(VLOOKUP($A223-COUNT('Шаг2.Бланк заказа NEW'!$B$19:$B$201),'Бланк OLD 0.8 04'!$B$12:$K$200,7,0)&gt;0,VLOOKUP($A223-COUNT('Шаг2.Бланк заказа NEW'!$B$19:$B$201),'Бланк OLD 0.8 04'!$B$12:$K$200,8,0)&gt;0),0.4,"")))),
IF(VLOOKUP($A223-COUNT('Шаг2.Бланк заказа NEW'!$B$19:$B$201)-COUNT('Бланк OLD 0.8 04'!$B$18:$B$200),'Бланк OLD 2.0 04 '!$B$16:$K$200,7,0)&gt;1,2,
IF(VLOOKUP($A223-COUNT('Шаг2.Бланк заказа NEW'!$B$19:$B$201)-COUNT('Бланк OLD 0.8 04'!$B$18:$B$200),'Бланк OLD 2.0 04 '!$B$16:$K$200,8,0)&gt;1,0.4,
IF(AND(VLOOKUP($A223-COUNT('Шаг2.Бланк заказа NEW'!$B$19:$B$201)-COUNT('Бланк OLD 0.8 04'!$B$18:$B$200),'Бланк OLD 2.0 04 '!$B$16:$K$200,7,0)&gt;0,VLOOKUP($A223-COUNT('Шаг2.Бланк заказа NEW'!$B$19:$B$201)-COUNT('Бланк OLD 0.8 04'!$B$18:$B$200),'Бланк OLD 2.0 04 '!$B$16:$K$200,8,0)&gt;0),0.4,""))))</f>
        <v/>
      </c>
      <c r="V223" s="146" t="str">
        <f ca="1">IFERROR(VLOOKUP(C223,'Шаг1.Выбор плиты'!C:S,12,0),"")</f>
        <v/>
      </c>
      <c r="W223" s="146" t="str">
        <f ca="1">IFERROR(VLOOKUP(C223,'Шаг1.Выбор плиты'!C:S,8,0),"")</f>
        <v/>
      </c>
      <c r="X223" s="146" t="str">
        <f ca="1">IFERROR(VLOOKUP(C223,'Шаг1.Выбор плиты'!C:S,10,0),"")</f>
        <v/>
      </c>
      <c r="Y223" s="147" t="str">
        <f t="shared" ca="1" si="18"/>
        <v/>
      </c>
      <c r="AD223" s="147" t="str">
        <f t="shared" ca="1" si="21"/>
        <v/>
      </c>
      <c r="AE223" s="147" t="str">
        <f t="shared" ca="1" si="19"/>
        <v/>
      </c>
      <c r="AF223" s="25"/>
      <c r="AH223" s="147" t="str">
        <f ca="1">IF(C223="","",VLOOKUP(C223,'Шаг1.Выбор плиты'!C:Q,7,0))</f>
        <v/>
      </c>
      <c r="AI223" s="147" t="str">
        <f t="shared" ca="1" si="22"/>
        <v/>
      </c>
    </row>
    <row r="224" spans="1:35" x14ac:dyDescent="0.2">
      <c r="A224" s="151" t="str">
        <f ca="1">IF(C224="","",MAX($A$1:OFFSET(C224,-1,0))+1)</f>
        <v/>
      </c>
      <c r="B224" s="151" t="str">
        <f ca="1">IFERROR(IFERROR(IFERROR("Шаг2.Бланк заказа NEW №"&amp;VLOOKUP(A223+1,CHOOSE({1,2},'Шаг2.Бланк заказа NEW'!$B$19:$B$201,'Шаг2.Бланк заказа NEW'!$A$19:$A$201),1,0),
"Бланк OLD 0.8 04 №"&amp;VLOOKUP(A223+1-COUNT('Шаг2.Бланк заказа NEW'!$B$19:$B$201),CHOOSE({1,2},'Бланк OLD 0.8 04'!$B$18:$B$200,'Бланк OLD 0.8 04'!$A$18:$A$200),1,0)),
"Бланк OLD 2.0 04 №"&amp;VLOOKUP(A223+1-COUNT('Шаг2.Бланк заказа NEW'!$B$19:$B$201)-COUNT('Бланк OLD 0.8 04'!$B$18:$B$200),CHOOSE({1,2},'Бланк OLD 2.0 04 '!$B$18:$B$200,'Бланк OLD 2.0 04 '!$A$18:$A$200),1,0)),"")</f>
        <v/>
      </c>
      <c r="C224" s="152" t="str">
        <f ca="1">IFERROR(IFERROR(IFERROR(VLOOKUP(A223+1,CHOOSE({1,2},'Шаг2.Бланк заказа NEW'!$B$19:$B$201,'Шаг2.Бланк заказа NEW'!$A$19:$A$201),2,0),
VLOOKUP(A223+1-COUNT('Шаг2.Бланк заказа NEW'!$B$19:$B$201),CHOOSE({1,2},'Бланк OLD 0.8 04'!$B$18:$B$200,'Бланк OLD 0.8 04'!$A$18:$A$200),2,0)),
VLOOKUP(A223+1-COUNT('Шаг2.Бланк заказа NEW'!$B$19:$B$201)-COUNT('Бланк OLD 0.8 04'!$B$18:$B$200),CHOOSE({1,2},'Бланк OLD 2.0 04 '!$B$18:$B$200,'Бланк OLD 2.0 04 '!$A$18:$A$200),2,0)),"")</f>
        <v/>
      </c>
      <c r="D224" s="150" t="str">
        <f ca="1">IFERROR(VLOOKUP(C224,'Шаг1.Выбор плиты'!C:G,5,0),"")</f>
        <v/>
      </c>
      <c r="E224" s="147" t="str">
        <f ca="1">IFERROR(IFERROR(IF(VLOOKUP($A224,'Шаг2.Бланк заказа NEW'!$B$17:$N$201,2,0)="","",VLOOKUP($A224,'Шаг2.Бланк заказа NEW'!$B$17:$N$201,2,0)),
IF(VLOOKUP($A224-COUNT('Шаг2.Бланк заказа NEW'!$B$19:$B$201),'Бланк OLD 0.8 04'!$B$12:$K$200,2,0)="","",VLOOKUP($A224-COUNT('Шаг2.Бланк заказа NEW'!$B$19:$B$201),'Бланк OLD 0.8 04'!$B$12:$K$200,2,0))),
IF(VLOOKUP($A224-COUNT('Шаг2.Бланк заказа NEW'!$B$19:$B$201)-COUNT('Бланк OLD 0.8 04'!$B$18:$B$200),'Бланк OLD 2.0 04 '!$B$16:$K$200,2,0)="","",VLOOKUP($A224-COUNT('Шаг2.Бланк заказа NEW'!$B$19:$B$201)-COUNT('Бланк OLD 0.8 04'!$B$18:$B$200),'Бланк OLD 2.0 04 '!$B$16:$K$200,2,0)))</f>
        <v/>
      </c>
      <c r="F224" s="147" t="str">
        <f ca="1">IFERROR(IFERROR(IF(VLOOKUP($A224,'Шаг2.Бланк заказа NEW'!$B$17:$N$201,3,0)="","",VLOOKUP($A224,'Шаг2.Бланк заказа NEW'!$B$17:$N$201,3,0)),
IF(VLOOKUP($A224-COUNT('Шаг2.Бланк заказа NEW'!$B$19:$B$201),'Бланк OLD 0.8 04'!$B$12:$K$200,3,0)="","",VLOOKUP($A224-COUNT('Шаг2.Бланк заказа NEW'!$B$19:$B$201),'Бланк OLD 0.8 04'!$B$12:$K$200,3,0))),
IF(VLOOKUP($A224-COUNT('Шаг2.Бланк заказа NEW'!$B$19:$B$201)-COUNT('Бланк OLD 0.8 04'!$B$18:$B$200),'Бланк OLD 2.0 04 '!$B$16:$K$200,3,0)="","",VLOOKUP($A224-COUNT('Шаг2.Бланк заказа NEW'!$B$19:$B$201)-COUNT('Бланк OLD 0.8 04'!$B$18:$B$200),'Бланк OLD 2.0 04 '!$B$16:$K$200,3,0)))</f>
        <v/>
      </c>
      <c r="G224" s="176" t="str">
        <f ca="1">IF(IF(R224="","",IF(R224=1,SUMIFS('Шаг1.Выбор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плиты'!C:Q,12,0)),1))))))=0,
R224,
IF(R224="","",IF(R224=1,SUMIFS('Шаг1.Выбор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плиты'!N:N,R224,'Шаг1.Выбор плиты'!M:M,SMALL(INDIRECT("мм"&amp;VLOOKUP(C224,'Шаг1.Выбор плиты'!C:Q,12,0)),1)))))))</f>
        <v/>
      </c>
      <c r="H224" s="177" t="str">
        <f ca="1">IF(IF(S224="","",IF(S224=1,SUMIFS('Шаг1.Выбор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плиты'!C:Q,12,0)),1))))))=0,
S224,
IF(S224="","",IF(S224=1,SUMIFS('Шаг1.Выбор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плиты'!N:N,S224,'Шаг1.Выбор плиты'!M:M,SMALL(INDIRECT("мм"&amp;VLOOKUP(C224,'Шаг1.Выбор плиты'!C:Q,12,0)),1)))))))</f>
        <v/>
      </c>
      <c r="I224" s="147" t="str">
        <f ca="1">IFERROR(IFERROR(IF(VLOOKUP($A224,'Шаг2.Бланк заказа NEW'!$B$17:$N$201,6,0)="","",VLOOKUP($A224,'Шаг2.Бланк заказа NEW'!$B$17:$N$201,6,0)),
IF(VLOOKUP($A224-COUNT('Шаг2.Бланк заказа NEW'!$B$19:$B$201),'Бланк OLD 0.8 04'!$B$12:$K$200,6,0)="","",VLOOKUP($A224-COUNT('Шаг2.Бланк заказа NEW'!$B$19:$B$201),'Бланк OLD 0.8 04'!$B$12:$K$200,6,0))),
IF(VLOOKUP($A224-COUNT('Шаг2.Бланк заказа NEW'!$B$19:$B$201)-COUNT('Бланк OLD 0.8 04'!$B$18:$B$200),'Бланк OLD 2.0 04 '!$B$16:$K$200,6,0)="","",VLOOKUP($A224-COUNT('Шаг2.Бланк заказа NEW'!$B$19:$B$201)-COUNT('Бланк OLD 0.8 04'!$B$18:$B$200),'Бланк OLD 2.0 04 '!$B$16:$K$200,6,0)))</f>
        <v/>
      </c>
      <c r="J224" s="177" t="str">
        <f ca="1">IF(IF(T224="","",IF(T224=1,SUMIFS('Шаг1.Выбор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плиты'!C:Q,12,0)),1))))))=0,
T224,
IF(T224="","",IF(T224=1,SUMIFS('Шаг1.Выбор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плиты'!N:N,T224,'Шаг1.Выбор плиты'!M:M,SMALL(INDIRECT("мм"&amp;VLOOKUP(C224,'Шаг1.Выбор плиты'!C:Q,12,0)),1)))))))</f>
        <v/>
      </c>
      <c r="K224" s="177" t="str">
        <f ca="1">IF(IF(U224="","",IF(U224=1,SUMIFS('Шаг1.Выбор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плиты'!C:Q,12,0)),1))))))=0,
U224,
IF(U224="","",IF(U224=1,SUMIFS('Шаг1.Выбор плиты'!$G:$G,'Шаг1.Выбор плиты'!J:J,"*"&amp;RIGHT(VLOOKUP(C224,'Шаг1.Выбор плиты'!C:Q,8,0),4),'Шаг1.Выбор плиты'!L:L,IF(MID(C224,1,6)="ЛДСП P","TM"&amp;MID(VLOOKUP(C224,'Шаг1.Выбор плиты'!C:Q,10,0),3,2),MID(VLOOKUP(C224,'Шаг1.Выбор плиты'!C:Q,10,0),1,2)),
'Шаг1.Выбор плиты'!N:N,1),IF(SUMIFS('Шаг1.Выбор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плиты'!C:Q,12,0)),1))=0,
IF(SUMIFS('Шаг1.Выбор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плиты'!C:Q,12,0)),2))=0,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плиты'!C:Q,12,0)),3)),
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плиты'!C:Q,12,0)),2))),
(SUMIFS('Шаг1.Выбор плиты'!$G:$G,'Шаг1.Выбор плиты'!J:J,"*"&amp;RIGHT(VLOOKUP(C224,'Шаг1.Выбор плиты'!C:Q,8,0),4),'Шаг1.Выбор плиты'!L:L,VLOOKUP(C224,'Шаг1.Выбор плиты'!C:Q,10,0),'Шаг1.Выбор плиты'!N:N,U224,'Шаг1.Выбор плиты'!M:M,SMALL(INDIRECT("мм"&amp;VLOOKUP(C224,'Шаг1.Выбор плиты'!C:Q,12,0)),1)))))))</f>
        <v/>
      </c>
      <c r="L224" s="147" t="str">
        <f ca="1">IFERROR(IFERROR(IF(VLOOKUP($A224,'Шаг2.Бланк заказа NEW'!$B$17:$N$201,9,0)="","",VLOOKUP($A224,'Шаг2.Бланк заказа NEW'!$B$17:$N$201,9,0)),
IF(VLOOKUP($A224-COUNT('Шаг2.Бланк заказа NEW'!$B$19:$B$201),'Бланк OLD 0.8 04'!$B$12:$K$200,9,0)="","",VLOOKUP($A224-COUNT('Шаг2.Бланк заказа NEW'!$B$19:$B$201),'Бланк OLD 0.8 04'!$B$12:$K$200,9,0))),
IF(VLOOKUP($A224-COUNT('Шаг2.Бланк заказа NEW'!$B$19:$B$201)-COUNT('Бланк OLD 0.8 04'!$B$18:$B$200),'Бланк OLD 2.0 04 '!$B$16:$K$200,9,0)="","",VLOOKUP($A224-COUNT('Шаг2.Бланк заказа NEW'!$B$19:$B$201)-COUNT('Бланк OLD 0.8 04'!$B$18:$B$200),'Бланк OLD 2.0 04 '!$B$16:$K$200,9,0)))</f>
        <v/>
      </c>
      <c r="M224" s="154" t="str">
        <f t="shared" ca="1" si="20"/>
        <v/>
      </c>
      <c r="N224" s="153" t="str">
        <f ca="1">IFERROR(IF(VLOOKUP($A224,'Шаг2.Бланк заказа NEW'!$B$17:$N$201,11,0)="","",VLOOKUP($A224,'Шаг2.Бланк заказа NEW'!$B$17:$N$201,11,0)),
"Нет")</f>
        <v/>
      </c>
      <c r="O224" s="147" t="str">
        <f ca="1">IFERROR(IF(VLOOKUP($A224,'Шаг2.Бланк заказа NEW'!$B$17:$N$201,11,0)="","",VLOOKUP($A224,'Шаг2.Бланк заказа NEW'!$B$17:$N$201,12,0)),
"Нет")</f>
        <v/>
      </c>
      <c r="P224" s="153" t="str">
        <f ca="1">IFERROR(IF(VLOOKUP($A224,'Шаг2.Бланк заказа NEW'!$B$17:$N$201,13,0)="","",VLOOKUP($A224,'Шаг2.Бланк заказа NEW'!$B$17:$N$201,13,0)),
"Нет")</f>
        <v/>
      </c>
      <c r="Q224" s="147" t="str">
        <f ca="1">IFERROR(IF(VLOOKUP($A224,'Шаг2.Бланк заказа NEW'!$B$17:$O$201,14,0)="","",VLOOKUP($A224,'Шаг2.Бланк заказа NEW'!$B$17:$O$201,14,0)),"")</f>
        <v/>
      </c>
      <c r="R224" s="147" t="str">
        <f ca="1">IFERROR(IFERROR(IF(VLOOKUP($A224,'Шаг2.Бланк заказа NEW'!$B$17:$N$201,4,0)="","",VLOOKUP($A224,'Шаг2.Бланк заказа NEW'!$B$17:$N$201,4,0)),
IF(VLOOKUP($A224-COUNT('Шаг2.Бланк заказа NEW'!$B$19:$B$201),'Бланк OLD 0.8 04'!$B$12:$K$200,4,0)&gt;0,0.8,
IF(VLOOKUP($A224-COUNT('Шаг2.Бланк заказа NEW'!$B$19:$B$201),'Бланк OLD 0.8 04'!$B$12:$K$200,5,0)&gt;0,0.4,""))),
IF(VLOOKUP($A224-COUNT('Шаг2.Бланк заказа NEW'!$B$19:$B$201)-COUNT('Бланк OLD 0.8 04'!$B$18:$B$200),'Бланк OLD 2.0 04 '!$B$16:$K$200,4,0)&gt;0,2,IF(VLOOKUP($A224-COUNT('Шаг2.Бланк заказа NEW'!$B$19:$B$201)-COUNT('Бланк OLD 0.8 04'!$B$18:$B$200),'Бланк OLD 2.0 04 '!$B$16:$K$200,5,0)&gt;0,0.4,"")))</f>
        <v/>
      </c>
      <c r="S224" s="147" t="str">
        <f ca="1">IFERROR(IFERROR(IF(VLOOKUP($A224,'Шаг2.Бланк заказа NEW'!$B$17:$N$201,5,0)="","",VLOOKUP($A224,'Шаг2.Бланк заказа NEW'!$B$17:$N$201,5,0)),
IF(VLOOKUP($A224-COUNT('Шаг2.Бланк заказа NEW'!$B$19:$B$201),'Бланк OLD 0.8 04'!$B$12:$K$200,4,0)&gt;1,0.8,
IF(VLOOKUP($A224-COUNT('Шаг2.Бланк заказа NEW'!$B$19:$B$201),'Бланк OLD 0.8 04'!$B$12:$K$200,5,0)&gt;1,0.4,
IF(AND(VLOOKUP($A224-COUNT('Шаг2.Бланк заказа NEW'!$B$19:$B$201),'Бланк OLD 0.8 04'!$B$12:$K$200,4,0)&gt;0,VLOOKUP($A224-COUNT('Шаг2.Бланк заказа NEW'!$B$19:$B$201),'Бланк OLD 0.8 04'!$B$12:$K$200,5,0)&gt;0),0.4,"")))),
IF(VLOOKUP($A224-COUNT('Шаг2.Бланк заказа NEW'!$B$19:$B$201)-COUNT('Бланк OLD 0.8 04'!$B$18:$B$200),'Бланк OLD 2.0 04 '!$B$16:$K$200,4,0)&gt;1,2,
IF(VLOOKUP($A224-COUNT('Шаг2.Бланк заказа NEW'!$B$19:$B$201)-COUNT('Бланк OLD 0.8 04'!$B$18:$B$200),'Бланк OLD 2.0 04 '!$B$16:$K$200,5,0)&gt;1,0.4,IF(AND(VLOOKUP($A224-COUNT('Шаг2.Бланк заказа NEW'!$B$19:$B$201)-COUNT('Бланк OLD 0.8 04'!$B$18:$B$200),'Бланк OLD 2.0 04 '!$B$16:$K$200,4,0)&gt;0,VLOOKUP($A224-COUNT('Шаг2.Бланк заказа NEW'!$B$19:$B$201)-COUNT('Бланк OLD 0.8 04'!$B$18:$B$200),'Бланк OLD 2.0 04 '!$B$16:$K$200,5,0)&gt;0),0.4,""))))</f>
        <v/>
      </c>
      <c r="T224" s="147" t="str">
        <f ca="1">IFERROR(IFERROR(IF(VLOOKUP($A224,'Шаг2.Бланк заказа NEW'!$B$17:$N$201,7,0)="","",VLOOKUP($A224,'Шаг2.Бланк заказа NEW'!$B$17:$N$201,7,0)),
IF(VLOOKUP($A224-COUNT('Шаг2.Бланк заказа NEW'!$B$19:$B$201),'Бланк OLD 0.8 04'!$B$12:$K$200,7,0)&gt;0,0.8,
IF(VLOOKUP($A224-COUNT('Шаг2.Бланк заказа NEW'!$B$19:$B$201),'Бланк OLD 0.8 04'!$B$12:$K$200,8,0)&gt;0,0.4,""))),
IF(VLOOKUP($A224-COUNT('Шаг2.Бланк заказа NEW'!$B$19:$B$201)-COUNT('Бланк OLD 0.8 04'!$B$18:$B$200),'Бланк OLD 2.0 04 '!$B$16:$K$200,7,0)&gt;0,2,IF(VLOOKUP($A224-COUNT('Шаг2.Бланк заказа NEW'!$B$19:$B$201)-COUNT('Бланк OLD 0.8 04'!$B$18:$B$200),'Бланк OLD 2.0 04 '!$B$16:$K$200,8,0)&gt;0,0.4,"")))</f>
        <v/>
      </c>
      <c r="U224" s="147" t="str">
        <f ca="1">IFERROR(IFERROR(IF(VLOOKUP($A224,'Шаг2.Бланк заказа NEW'!$B$17:$N$201,8,0)="","",VLOOKUP($A224,'Шаг2.Бланк заказа NEW'!$B$17:$N$201,8,0)),
IF(VLOOKUP($A224-COUNT('Шаг2.Бланк заказа NEW'!$B$19:$B$201),'Бланк OLD 0.8 04'!$B$12:$K$200,7,0)&gt;1,0.8,
IF(VLOOKUP($A224-COUNT('Шаг2.Бланк заказа NEW'!$B$19:$B$201),'Бланк OLD 0.8 04'!$B$12:$K$200,8,0)&gt;1,0.4,
IF(AND(VLOOKUP($A224-COUNT('Шаг2.Бланк заказа NEW'!$B$19:$B$201),'Бланк OLD 0.8 04'!$B$12:$K$200,7,0)&gt;0,VLOOKUP($A224-COUNT('Шаг2.Бланк заказа NEW'!$B$19:$B$201),'Бланк OLD 0.8 04'!$B$12:$K$200,8,0)&gt;0),0.4,"")))),
IF(VLOOKUP($A224-COUNT('Шаг2.Бланк заказа NEW'!$B$19:$B$201)-COUNT('Бланк OLD 0.8 04'!$B$18:$B$200),'Бланк OLD 2.0 04 '!$B$16:$K$200,7,0)&gt;1,2,
IF(VLOOKUP($A224-COUNT('Шаг2.Бланк заказа NEW'!$B$19:$B$201)-COUNT('Бланк OLD 0.8 04'!$B$18:$B$200),'Бланк OLD 2.0 04 '!$B$16:$K$200,8,0)&gt;1,0.4,
IF(AND(VLOOKUP($A224-COUNT('Шаг2.Бланк заказа NEW'!$B$19:$B$201)-COUNT('Бланк OLD 0.8 04'!$B$18:$B$200),'Бланк OLD 2.0 04 '!$B$16:$K$200,7,0)&gt;0,VLOOKUP($A224-COUNT('Шаг2.Бланк заказа NEW'!$B$19:$B$201)-COUNT('Бланк OLD 0.8 04'!$B$18:$B$200),'Бланк OLD 2.0 04 '!$B$16:$K$200,8,0)&gt;0),0.4,""))))</f>
        <v/>
      </c>
      <c r="V224" s="146" t="str">
        <f ca="1">IFERROR(VLOOKUP(C224,'Шаг1.Выбор плиты'!C:S,12,0),"")</f>
        <v/>
      </c>
      <c r="W224" s="146" t="str">
        <f ca="1">IFERROR(VLOOKUP(C224,'Шаг1.Выбор плиты'!C:S,8,0),"")</f>
        <v/>
      </c>
      <c r="X224" s="146" t="str">
        <f ca="1">IFERROR(VLOOKUP(C224,'Шаг1.Выбор плиты'!C:S,10,0),"")</f>
        <v/>
      </c>
      <c r="Y224" s="147" t="str">
        <f t="shared" ca="1" si="18"/>
        <v/>
      </c>
      <c r="AD224" s="147" t="str">
        <f t="shared" ca="1" si="21"/>
        <v/>
      </c>
      <c r="AE224" s="147" t="str">
        <f t="shared" ca="1" si="19"/>
        <v/>
      </c>
      <c r="AF224" s="25"/>
      <c r="AH224" s="147" t="str">
        <f ca="1">IF(C224="","",VLOOKUP(C224,'Шаг1.Выбор плиты'!C:Q,7,0))</f>
        <v/>
      </c>
      <c r="AI224" s="147" t="str">
        <f t="shared" ca="1" si="22"/>
        <v/>
      </c>
    </row>
    <row r="225" spans="1:35" x14ac:dyDescent="0.2">
      <c r="A225" s="151" t="str">
        <f ca="1">IF(C225="","",MAX($A$1:OFFSET(C225,-1,0))+1)</f>
        <v/>
      </c>
      <c r="B225" s="151" t="str">
        <f ca="1">IFERROR(IFERROR(IFERROR("Шаг2.Бланк заказа NEW №"&amp;VLOOKUP(A224+1,CHOOSE({1,2},'Шаг2.Бланк заказа NEW'!$B$19:$B$201,'Шаг2.Бланк заказа NEW'!$A$19:$A$201),1,0),
"Бланк OLD 0.8 04 №"&amp;VLOOKUP(A224+1-COUNT('Шаг2.Бланк заказа NEW'!$B$19:$B$201),CHOOSE({1,2},'Бланк OLD 0.8 04'!$B$18:$B$200,'Бланк OLD 0.8 04'!$A$18:$A$200),1,0)),
"Бланк OLD 2.0 04 №"&amp;VLOOKUP(A224+1-COUNT('Шаг2.Бланк заказа NEW'!$B$19:$B$201)-COUNT('Бланк OLD 0.8 04'!$B$18:$B$200),CHOOSE({1,2},'Бланк OLD 2.0 04 '!$B$18:$B$200,'Бланк OLD 2.0 04 '!$A$18:$A$200),1,0)),"")</f>
        <v/>
      </c>
      <c r="C225" s="152" t="str">
        <f ca="1">IFERROR(IFERROR(IFERROR(VLOOKUP(A224+1,CHOOSE({1,2},'Шаг2.Бланк заказа NEW'!$B$19:$B$201,'Шаг2.Бланк заказа NEW'!$A$19:$A$201),2,0),
VLOOKUP(A224+1-COUNT('Шаг2.Бланк заказа NEW'!$B$19:$B$201),CHOOSE({1,2},'Бланк OLD 0.8 04'!$B$18:$B$200,'Бланк OLD 0.8 04'!$A$18:$A$200),2,0)),
VLOOKUP(A224+1-COUNT('Шаг2.Бланк заказа NEW'!$B$19:$B$201)-COUNT('Бланк OLD 0.8 04'!$B$18:$B$200),CHOOSE({1,2},'Бланк OLD 2.0 04 '!$B$18:$B$200,'Бланк OLD 2.0 04 '!$A$18:$A$200),2,0)),"")</f>
        <v/>
      </c>
      <c r="D225" s="150" t="str">
        <f ca="1">IFERROR(VLOOKUP(C225,'Шаг1.Выбор плиты'!C:G,5,0),"")</f>
        <v/>
      </c>
      <c r="E225" s="147" t="str">
        <f ca="1">IFERROR(IFERROR(IF(VLOOKUP($A225,'Шаг2.Бланк заказа NEW'!$B$17:$N$201,2,0)="","",VLOOKUP($A225,'Шаг2.Бланк заказа NEW'!$B$17:$N$201,2,0)),
IF(VLOOKUP($A225-COUNT('Шаг2.Бланк заказа NEW'!$B$19:$B$201),'Бланк OLD 0.8 04'!$B$12:$K$200,2,0)="","",VLOOKUP($A225-COUNT('Шаг2.Бланк заказа NEW'!$B$19:$B$201),'Бланк OLD 0.8 04'!$B$12:$K$200,2,0))),
IF(VLOOKUP($A225-COUNT('Шаг2.Бланк заказа NEW'!$B$19:$B$201)-COUNT('Бланк OLD 0.8 04'!$B$18:$B$200),'Бланк OLD 2.0 04 '!$B$16:$K$200,2,0)="","",VLOOKUP($A225-COUNT('Шаг2.Бланк заказа NEW'!$B$19:$B$201)-COUNT('Бланк OLD 0.8 04'!$B$18:$B$200),'Бланк OLD 2.0 04 '!$B$16:$K$200,2,0)))</f>
        <v/>
      </c>
      <c r="F225" s="147" t="str">
        <f ca="1">IFERROR(IFERROR(IF(VLOOKUP($A225,'Шаг2.Бланк заказа NEW'!$B$17:$N$201,3,0)="","",VLOOKUP($A225,'Шаг2.Бланк заказа NEW'!$B$17:$N$201,3,0)),
IF(VLOOKUP($A225-COUNT('Шаг2.Бланк заказа NEW'!$B$19:$B$201),'Бланк OLD 0.8 04'!$B$12:$K$200,3,0)="","",VLOOKUP($A225-COUNT('Шаг2.Бланк заказа NEW'!$B$19:$B$201),'Бланк OLD 0.8 04'!$B$12:$K$200,3,0))),
IF(VLOOKUP($A225-COUNT('Шаг2.Бланк заказа NEW'!$B$19:$B$201)-COUNT('Бланк OLD 0.8 04'!$B$18:$B$200),'Бланк OLD 2.0 04 '!$B$16:$K$200,3,0)="","",VLOOKUP($A225-COUNT('Шаг2.Бланк заказа NEW'!$B$19:$B$201)-COUNT('Бланк OLD 0.8 04'!$B$18:$B$200),'Бланк OLD 2.0 04 '!$B$16:$K$200,3,0)))</f>
        <v/>
      </c>
      <c r="G225" s="176" t="str">
        <f ca="1">IF(IF(R225="","",IF(R225=1,SUMIFS('Шаг1.Выбор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плиты'!C:Q,12,0)),1))))))=0,
R225,
IF(R225="","",IF(R225=1,SUMIFS('Шаг1.Выбор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плиты'!N:N,R225,'Шаг1.Выбор плиты'!M:M,SMALL(INDIRECT("мм"&amp;VLOOKUP(C225,'Шаг1.Выбор плиты'!C:Q,12,0)),1)))))))</f>
        <v/>
      </c>
      <c r="H225" s="177" t="str">
        <f ca="1">IF(IF(S225="","",IF(S225=1,SUMIFS('Шаг1.Выбор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плиты'!C:Q,12,0)),1))))))=0,
S225,
IF(S225="","",IF(S225=1,SUMIFS('Шаг1.Выбор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плиты'!N:N,S225,'Шаг1.Выбор плиты'!M:M,SMALL(INDIRECT("мм"&amp;VLOOKUP(C225,'Шаг1.Выбор плиты'!C:Q,12,0)),1)))))))</f>
        <v/>
      </c>
      <c r="I225" s="147" t="str">
        <f ca="1">IFERROR(IFERROR(IF(VLOOKUP($A225,'Шаг2.Бланк заказа NEW'!$B$17:$N$201,6,0)="","",VLOOKUP($A225,'Шаг2.Бланк заказа NEW'!$B$17:$N$201,6,0)),
IF(VLOOKUP($A225-COUNT('Шаг2.Бланк заказа NEW'!$B$19:$B$201),'Бланк OLD 0.8 04'!$B$12:$K$200,6,0)="","",VLOOKUP($A225-COUNT('Шаг2.Бланк заказа NEW'!$B$19:$B$201),'Бланк OLD 0.8 04'!$B$12:$K$200,6,0))),
IF(VLOOKUP($A225-COUNT('Шаг2.Бланк заказа NEW'!$B$19:$B$201)-COUNT('Бланк OLD 0.8 04'!$B$18:$B$200),'Бланк OLD 2.0 04 '!$B$16:$K$200,6,0)="","",VLOOKUP($A225-COUNT('Шаг2.Бланк заказа NEW'!$B$19:$B$201)-COUNT('Бланк OLD 0.8 04'!$B$18:$B$200),'Бланк OLD 2.0 04 '!$B$16:$K$200,6,0)))</f>
        <v/>
      </c>
      <c r="J225" s="177" t="str">
        <f ca="1">IF(IF(T225="","",IF(T225=1,SUMIFS('Шаг1.Выбор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плиты'!C:Q,12,0)),1))))))=0,
T225,
IF(T225="","",IF(T225=1,SUMIFS('Шаг1.Выбор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плиты'!N:N,T225,'Шаг1.Выбор плиты'!M:M,SMALL(INDIRECT("мм"&amp;VLOOKUP(C225,'Шаг1.Выбор плиты'!C:Q,12,0)),1)))))))</f>
        <v/>
      </c>
      <c r="K225" s="177" t="str">
        <f ca="1">IF(IF(U225="","",IF(U225=1,SUMIFS('Шаг1.Выбор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плиты'!C:Q,12,0)),1))))))=0,
U225,
IF(U225="","",IF(U225=1,SUMIFS('Шаг1.Выбор плиты'!$G:$G,'Шаг1.Выбор плиты'!J:J,"*"&amp;RIGHT(VLOOKUP(C225,'Шаг1.Выбор плиты'!C:Q,8,0),4),'Шаг1.Выбор плиты'!L:L,IF(MID(C225,1,6)="ЛДСП P","TM"&amp;MID(VLOOKUP(C225,'Шаг1.Выбор плиты'!C:Q,10,0),3,2),MID(VLOOKUP(C225,'Шаг1.Выбор плиты'!C:Q,10,0),1,2)),
'Шаг1.Выбор плиты'!N:N,1),IF(SUMIFS('Шаг1.Выбор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плиты'!C:Q,12,0)),1))=0,
IF(SUMIFS('Шаг1.Выбор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плиты'!C:Q,12,0)),2))=0,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плиты'!C:Q,12,0)),3)),
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плиты'!C:Q,12,0)),2))),
(SUMIFS('Шаг1.Выбор плиты'!$G:$G,'Шаг1.Выбор плиты'!J:J,"*"&amp;RIGHT(VLOOKUP(C225,'Шаг1.Выбор плиты'!C:Q,8,0),4),'Шаг1.Выбор плиты'!L:L,VLOOKUP(C225,'Шаг1.Выбор плиты'!C:Q,10,0),'Шаг1.Выбор плиты'!N:N,U225,'Шаг1.Выбор плиты'!M:M,SMALL(INDIRECT("мм"&amp;VLOOKUP(C225,'Шаг1.Выбор плиты'!C:Q,12,0)),1)))))))</f>
        <v/>
      </c>
      <c r="L225" s="147" t="str">
        <f ca="1">IFERROR(IFERROR(IF(VLOOKUP($A225,'Шаг2.Бланк заказа NEW'!$B$17:$N$201,9,0)="","",VLOOKUP($A225,'Шаг2.Бланк заказа NEW'!$B$17:$N$201,9,0)),
IF(VLOOKUP($A225-COUNT('Шаг2.Бланк заказа NEW'!$B$19:$B$201),'Бланк OLD 0.8 04'!$B$12:$K$200,9,0)="","",VLOOKUP($A225-COUNT('Шаг2.Бланк заказа NEW'!$B$19:$B$201),'Бланк OLD 0.8 04'!$B$12:$K$200,9,0))),
IF(VLOOKUP($A225-COUNT('Шаг2.Бланк заказа NEW'!$B$19:$B$201)-COUNT('Бланк OLD 0.8 04'!$B$18:$B$200),'Бланк OLD 2.0 04 '!$B$16:$K$200,9,0)="","",VLOOKUP($A225-COUNT('Шаг2.Бланк заказа NEW'!$B$19:$B$201)-COUNT('Бланк OLD 0.8 04'!$B$18:$B$200),'Бланк OLD 2.0 04 '!$B$16:$K$200,9,0)))</f>
        <v/>
      </c>
      <c r="M225" s="154" t="str">
        <f t="shared" ca="1" si="20"/>
        <v/>
      </c>
      <c r="N225" s="153" t="str">
        <f ca="1">IFERROR(IF(VLOOKUP($A225,'Шаг2.Бланк заказа NEW'!$B$17:$N$201,11,0)="","",VLOOKUP($A225,'Шаг2.Бланк заказа NEW'!$B$17:$N$201,11,0)),
"Нет")</f>
        <v/>
      </c>
      <c r="O225" s="147" t="str">
        <f ca="1">IFERROR(IF(VLOOKUP($A225,'Шаг2.Бланк заказа NEW'!$B$17:$N$201,11,0)="","",VLOOKUP($A225,'Шаг2.Бланк заказа NEW'!$B$17:$N$201,12,0)),
"Нет")</f>
        <v/>
      </c>
      <c r="P225" s="153" t="str">
        <f ca="1">IFERROR(IF(VLOOKUP($A225,'Шаг2.Бланк заказа NEW'!$B$17:$N$201,13,0)="","",VLOOKUP($A225,'Шаг2.Бланк заказа NEW'!$B$17:$N$201,13,0)),
"Нет")</f>
        <v/>
      </c>
      <c r="Q225" s="147" t="str">
        <f ca="1">IFERROR(IF(VLOOKUP($A225,'Шаг2.Бланк заказа NEW'!$B$17:$O$201,14,0)="","",VLOOKUP($A225,'Шаг2.Бланк заказа NEW'!$B$17:$O$201,14,0)),"")</f>
        <v/>
      </c>
      <c r="R225" s="147" t="str">
        <f ca="1">IFERROR(IFERROR(IF(VLOOKUP($A225,'Шаг2.Бланк заказа NEW'!$B$17:$N$201,4,0)="","",VLOOKUP($A225,'Шаг2.Бланк заказа NEW'!$B$17:$N$201,4,0)),
IF(VLOOKUP($A225-COUNT('Шаг2.Бланк заказа NEW'!$B$19:$B$201),'Бланк OLD 0.8 04'!$B$12:$K$200,4,0)&gt;0,0.8,
IF(VLOOKUP($A225-COUNT('Шаг2.Бланк заказа NEW'!$B$19:$B$201),'Бланк OLD 0.8 04'!$B$12:$K$200,5,0)&gt;0,0.4,""))),
IF(VLOOKUP($A225-COUNT('Шаг2.Бланк заказа NEW'!$B$19:$B$201)-COUNT('Бланк OLD 0.8 04'!$B$18:$B$200),'Бланк OLD 2.0 04 '!$B$16:$K$200,4,0)&gt;0,2,IF(VLOOKUP($A225-COUNT('Шаг2.Бланк заказа NEW'!$B$19:$B$201)-COUNT('Бланк OLD 0.8 04'!$B$18:$B$200),'Бланк OLD 2.0 04 '!$B$16:$K$200,5,0)&gt;0,0.4,"")))</f>
        <v/>
      </c>
      <c r="S225" s="147" t="str">
        <f ca="1">IFERROR(IFERROR(IF(VLOOKUP($A225,'Шаг2.Бланк заказа NEW'!$B$17:$N$201,5,0)="","",VLOOKUP($A225,'Шаг2.Бланк заказа NEW'!$B$17:$N$201,5,0)),
IF(VLOOKUP($A225-COUNT('Шаг2.Бланк заказа NEW'!$B$19:$B$201),'Бланк OLD 0.8 04'!$B$12:$K$200,4,0)&gt;1,0.8,
IF(VLOOKUP($A225-COUNT('Шаг2.Бланк заказа NEW'!$B$19:$B$201),'Бланк OLD 0.8 04'!$B$12:$K$200,5,0)&gt;1,0.4,
IF(AND(VLOOKUP($A225-COUNT('Шаг2.Бланк заказа NEW'!$B$19:$B$201),'Бланк OLD 0.8 04'!$B$12:$K$200,4,0)&gt;0,VLOOKUP($A225-COUNT('Шаг2.Бланк заказа NEW'!$B$19:$B$201),'Бланк OLD 0.8 04'!$B$12:$K$200,5,0)&gt;0),0.4,"")))),
IF(VLOOKUP($A225-COUNT('Шаг2.Бланк заказа NEW'!$B$19:$B$201)-COUNT('Бланк OLD 0.8 04'!$B$18:$B$200),'Бланк OLD 2.0 04 '!$B$16:$K$200,4,0)&gt;1,2,
IF(VLOOKUP($A225-COUNT('Шаг2.Бланк заказа NEW'!$B$19:$B$201)-COUNT('Бланк OLD 0.8 04'!$B$18:$B$200),'Бланк OLD 2.0 04 '!$B$16:$K$200,5,0)&gt;1,0.4,IF(AND(VLOOKUP($A225-COUNT('Шаг2.Бланк заказа NEW'!$B$19:$B$201)-COUNT('Бланк OLD 0.8 04'!$B$18:$B$200),'Бланк OLD 2.0 04 '!$B$16:$K$200,4,0)&gt;0,VLOOKUP($A225-COUNT('Шаг2.Бланк заказа NEW'!$B$19:$B$201)-COUNT('Бланк OLD 0.8 04'!$B$18:$B$200),'Бланк OLD 2.0 04 '!$B$16:$K$200,5,0)&gt;0),0.4,""))))</f>
        <v/>
      </c>
      <c r="T225" s="147" t="str">
        <f ca="1">IFERROR(IFERROR(IF(VLOOKUP($A225,'Шаг2.Бланк заказа NEW'!$B$17:$N$201,7,0)="","",VLOOKUP($A225,'Шаг2.Бланк заказа NEW'!$B$17:$N$201,7,0)),
IF(VLOOKUP($A225-COUNT('Шаг2.Бланк заказа NEW'!$B$19:$B$201),'Бланк OLD 0.8 04'!$B$12:$K$200,7,0)&gt;0,0.8,
IF(VLOOKUP($A225-COUNT('Шаг2.Бланк заказа NEW'!$B$19:$B$201),'Бланк OLD 0.8 04'!$B$12:$K$200,8,0)&gt;0,0.4,""))),
IF(VLOOKUP($A225-COUNT('Шаг2.Бланк заказа NEW'!$B$19:$B$201)-COUNT('Бланк OLD 0.8 04'!$B$18:$B$200),'Бланк OLD 2.0 04 '!$B$16:$K$200,7,0)&gt;0,2,IF(VLOOKUP($A225-COUNT('Шаг2.Бланк заказа NEW'!$B$19:$B$201)-COUNT('Бланк OLD 0.8 04'!$B$18:$B$200),'Бланк OLD 2.0 04 '!$B$16:$K$200,8,0)&gt;0,0.4,"")))</f>
        <v/>
      </c>
      <c r="U225" s="147" t="str">
        <f ca="1">IFERROR(IFERROR(IF(VLOOKUP($A225,'Шаг2.Бланк заказа NEW'!$B$17:$N$201,8,0)="","",VLOOKUP($A225,'Шаг2.Бланк заказа NEW'!$B$17:$N$201,8,0)),
IF(VLOOKUP($A225-COUNT('Шаг2.Бланк заказа NEW'!$B$19:$B$201),'Бланк OLD 0.8 04'!$B$12:$K$200,7,0)&gt;1,0.8,
IF(VLOOKUP($A225-COUNT('Шаг2.Бланк заказа NEW'!$B$19:$B$201),'Бланк OLD 0.8 04'!$B$12:$K$200,8,0)&gt;1,0.4,
IF(AND(VLOOKUP($A225-COUNT('Шаг2.Бланк заказа NEW'!$B$19:$B$201),'Бланк OLD 0.8 04'!$B$12:$K$200,7,0)&gt;0,VLOOKUP($A225-COUNT('Шаг2.Бланк заказа NEW'!$B$19:$B$201),'Бланк OLD 0.8 04'!$B$12:$K$200,8,0)&gt;0),0.4,"")))),
IF(VLOOKUP($A225-COUNT('Шаг2.Бланк заказа NEW'!$B$19:$B$201)-COUNT('Бланк OLD 0.8 04'!$B$18:$B$200),'Бланк OLD 2.0 04 '!$B$16:$K$200,7,0)&gt;1,2,
IF(VLOOKUP($A225-COUNT('Шаг2.Бланк заказа NEW'!$B$19:$B$201)-COUNT('Бланк OLD 0.8 04'!$B$18:$B$200),'Бланк OLD 2.0 04 '!$B$16:$K$200,8,0)&gt;1,0.4,
IF(AND(VLOOKUP($A225-COUNT('Шаг2.Бланк заказа NEW'!$B$19:$B$201)-COUNT('Бланк OLD 0.8 04'!$B$18:$B$200),'Бланк OLD 2.0 04 '!$B$16:$K$200,7,0)&gt;0,VLOOKUP($A225-COUNT('Шаг2.Бланк заказа NEW'!$B$19:$B$201)-COUNT('Бланк OLD 0.8 04'!$B$18:$B$200),'Бланк OLD 2.0 04 '!$B$16:$K$200,8,0)&gt;0),0.4,""))))</f>
        <v/>
      </c>
      <c r="V225" s="146" t="str">
        <f ca="1">IFERROR(VLOOKUP(C225,'Шаг1.Выбор плиты'!C:S,12,0),"")</f>
        <v/>
      </c>
      <c r="W225" s="146" t="str">
        <f ca="1">IFERROR(VLOOKUP(C225,'Шаг1.Выбор плиты'!C:S,8,0),"")</f>
        <v/>
      </c>
      <c r="X225" s="146" t="str">
        <f ca="1">IFERROR(VLOOKUP(C225,'Шаг1.Выбор плиты'!C:S,10,0),"")</f>
        <v/>
      </c>
      <c r="Y225" s="147" t="str">
        <f t="shared" ca="1" si="18"/>
        <v/>
      </c>
      <c r="AD225" s="147" t="str">
        <f t="shared" ca="1" si="21"/>
        <v/>
      </c>
      <c r="AE225" s="147" t="str">
        <f t="shared" ca="1" si="19"/>
        <v/>
      </c>
      <c r="AF225" s="25"/>
      <c r="AH225" s="147" t="str">
        <f ca="1">IF(C225="","",VLOOKUP(C225,'Шаг1.Выбор плиты'!C:Q,7,0))</f>
        <v/>
      </c>
      <c r="AI225" s="147" t="str">
        <f t="shared" ca="1" si="22"/>
        <v/>
      </c>
    </row>
    <row r="226" spans="1:35" x14ac:dyDescent="0.2">
      <c r="A226" s="151" t="str">
        <f ca="1">IF(C226="","",MAX($A$1:OFFSET(C226,-1,0))+1)</f>
        <v/>
      </c>
      <c r="B226" s="151" t="str">
        <f ca="1">IFERROR(IFERROR(IFERROR("Шаг2.Бланк заказа NEW №"&amp;VLOOKUP(A225+1,CHOOSE({1,2},'Шаг2.Бланк заказа NEW'!$B$19:$B$201,'Шаг2.Бланк заказа NEW'!$A$19:$A$201),1,0),
"Бланк OLD 0.8 04 №"&amp;VLOOKUP(A225+1-COUNT('Шаг2.Бланк заказа NEW'!$B$19:$B$201),CHOOSE({1,2},'Бланк OLD 0.8 04'!$B$18:$B$200,'Бланк OLD 0.8 04'!$A$18:$A$200),1,0)),
"Бланк OLD 2.0 04 №"&amp;VLOOKUP(A225+1-COUNT('Шаг2.Бланк заказа NEW'!$B$19:$B$201)-COUNT('Бланк OLD 0.8 04'!$B$18:$B$200),CHOOSE({1,2},'Бланк OLD 2.0 04 '!$B$18:$B$200,'Бланк OLD 2.0 04 '!$A$18:$A$200),1,0)),"")</f>
        <v/>
      </c>
      <c r="C226" s="152" t="str">
        <f ca="1">IFERROR(IFERROR(IFERROR(VLOOKUP(A225+1,CHOOSE({1,2},'Шаг2.Бланк заказа NEW'!$B$19:$B$201,'Шаг2.Бланк заказа NEW'!$A$19:$A$201),2,0),
VLOOKUP(A225+1-COUNT('Шаг2.Бланк заказа NEW'!$B$19:$B$201),CHOOSE({1,2},'Бланк OLD 0.8 04'!$B$18:$B$200,'Бланк OLD 0.8 04'!$A$18:$A$200),2,0)),
VLOOKUP(A225+1-COUNT('Шаг2.Бланк заказа NEW'!$B$19:$B$201)-COUNT('Бланк OLD 0.8 04'!$B$18:$B$200),CHOOSE({1,2},'Бланк OLD 2.0 04 '!$B$18:$B$200,'Бланк OLD 2.0 04 '!$A$18:$A$200),2,0)),"")</f>
        <v/>
      </c>
      <c r="D226" s="150" t="str">
        <f ca="1">IFERROR(VLOOKUP(C226,'Шаг1.Выбор плиты'!C:G,5,0),"")</f>
        <v/>
      </c>
      <c r="E226" s="147" t="str">
        <f ca="1">IFERROR(IFERROR(IF(VLOOKUP($A226,'Шаг2.Бланк заказа NEW'!$B$17:$N$201,2,0)="","",VLOOKUP($A226,'Шаг2.Бланк заказа NEW'!$B$17:$N$201,2,0)),
IF(VLOOKUP($A226-COUNT('Шаг2.Бланк заказа NEW'!$B$19:$B$201),'Бланк OLD 0.8 04'!$B$12:$K$200,2,0)="","",VLOOKUP($A226-COUNT('Шаг2.Бланк заказа NEW'!$B$19:$B$201),'Бланк OLD 0.8 04'!$B$12:$K$200,2,0))),
IF(VLOOKUP($A226-COUNT('Шаг2.Бланк заказа NEW'!$B$19:$B$201)-COUNT('Бланк OLD 0.8 04'!$B$18:$B$200),'Бланк OLD 2.0 04 '!$B$16:$K$200,2,0)="","",VLOOKUP($A226-COUNT('Шаг2.Бланк заказа NEW'!$B$19:$B$201)-COUNT('Бланк OLD 0.8 04'!$B$18:$B$200),'Бланк OLD 2.0 04 '!$B$16:$K$200,2,0)))</f>
        <v/>
      </c>
      <c r="F226" s="147" t="str">
        <f ca="1">IFERROR(IFERROR(IF(VLOOKUP($A226,'Шаг2.Бланк заказа NEW'!$B$17:$N$201,3,0)="","",VLOOKUP($A226,'Шаг2.Бланк заказа NEW'!$B$17:$N$201,3,0)),
IF(VLOOKUP($A226-COUNT('Шаг2.Бланк заказа NEW'!$B$19:$B$201),'Бланк OLD 0.8 04'!$B$12:$K$200,3,0)="","",VLOOKUP($A226-COUNT('Шаг2.Бланк заказа NEW'!$B$19:$B$201),'Бланк OLD 0.8 04'!$B$12:$K$200,3,0))),
IF(VLOOKUP($A226-COUNT('Шаг2.Бланк заказа NEW'!$B$19:$B$201)-COUNT('Бланк OLD 0.8 04'!$B$18:$B$200),'Бланк OLD 2.0 04 '!$B$16:$K$200,3,0)="","",VLOOKUP($A226-COUNT('Шаг2.Бланк заказа NEW'!$B$19:$B$201)-COUNT('Бланк OLD 0.8 04'!$B$18:$B$200),'Бланк OLD 2.0 04 '!$B$16:$K$200,3,0)))</f>
        <v/>
      </c>
      <c r="G226" s="176" t="str">
        <f ca="1">IF(IF(R226="","",IF(R226=1,SUMIFS('Шаг1.Выбор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плиты'!C:Q,12,0)),1))))))=0,
R226,
IF(R226="","",IF(R226=1,SUMIFS('Шаг1.Выбор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плиты'!N:N,R226,'Шаг1.Выбор плиты'!M:M,SMALL(INDIRECT("мм"&amp;VLOOKUP(C226,'Шаг1.Выбор плиты'!C:Q,12,0)),1)))))))</f>
        <v/>
      </c>
      <c r="H226" s="177" t="str">
        <f ca="1">IF(IF(S226="","",IF(S226=1,SUMIFS('Шаг1.Выбор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плиты'!C:Q,12,0)),1))))))=0,
S226,
IF(S226="","",IF(S226=1,SUMIFS('Шаг1.Выбор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плиты'!N:N,S226,'Шаг1.Выбор плиты'!M:M,SMALL(INDIRECT("мм"&amp;VLOOKUP(C226,'Шаг1.Выбор плиты'!C:Q,12,0)),1)))))))</f>
        <v/>
      </c>
      <c r="I226" s="147" t="str">
        <f ca="1">IFERROR(IFERROR(IF(VLOOKUP($A226,'Шаг2.Бланк заказа NEW'!$B$17:$N$201,6,0)="","",VLOOKUP($A226,'Шаг2.Бланк заказа NEW'!$B$17:$N$201,6,0)),
IF(VLOOKUP($A226-COUNT('Шаг2.Бланк заказа NEW'!$B$19:$B$201),'Бланк OLD 0.8 04'!$B$12:$K$200,6,0)="","",VLOOKUP($A226-COUNT('Шаг2.Бланк заказа NEW'!$B$19:$B$201),'Бланк OLD 0.8 04'!$B$12:$K$200,6,0))),
IF(VLOOKUP($A226-COUNT('Шаг2.Бланк заказа NEW'!$B$19:$B$201)-COUNT('Бланк OLD 0.8 04'!$B$18:$B$200),'Бланк OLD 2.0 04 '!$B$16:$K$200,6,0)="","",VLOOKUP($A226-COUNT('Шаг2.Бланк заказа NEW'!$B$19:$B$201)-COUNT('Бланк OLD 0.8 04'!$B$18:$B$200),'Бланк OLD 2.0 04 '!$B$16:$K$200,6,0)))</f>
        <v/>
      </c>
      <c r="J226" s="177" t="str">
        <f ca="1">IF(IF(T226="","",IF(T226=1,SUMIFS('Шаг1.Выбор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плиты'!C:Q,12,0)),1))))))=0,
T226,
IF(T226="","",IF(T226=1,SUMIFS('Шаг1.Выбор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плиты'!N:N,T226,'Шаг1.Выбор плиты'!M:M,SMALL(INDIRECT("мм"&amp;VLOOKUP(C226,'Шаг1.Выбор плиты'!C:Q,12,0)),1)))))))</f>
        <v/>
      </c>
      <c r="K226" s="177" t="str">
        <f ca="1">IF(IF(U226="","",IF(U226=1,SUMIFS('Шаг1.Выбор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плиты'!C:Q,12,0)),1))))))=0,
U226,
IF(U226="","",IF(U226=1,SUMIFS('Шаг1.Выбор плиты'!$G:$G,'Шаг1.Выбор плиты'!J:J,"*"&amp;RIGHT(VLOOKUP(C226,'Шаг1.Выбор плиты'!C:Q,8,0),4),'Шаг1.Выбор плиты'!L:L,IF(MID(C226,1,6)="ЛДСП P","TM"&amp;MID(VLOOKUP(C226,'Шаг1.Выбор плиты'!C:Q,10,0),3,2),MID(VLOOKUP(C226,'Шаг1.Выбор плиты'!C:Q,10,0),1,2)),
'Шаг1.Выбор плиты'!N:N,1),IF(SUMIFS('Шаг1.Выбор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плиты'!C:Q,12,0)),1))=0,
IF(SUMIFS('Шаг1.Выбор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плиты'!C:Q,12,0)),2))=0,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плиты'!C:Q,12,0)),3)),
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плиты'!C:Q,12,0)),2))),
(SUMIFS('Шаг1.Выбор плиты'!$G:$G,'Шаг1.Выбор плиты'!J:J,"*"&amp;RIGHT(VLOOKUP(C226,'Шаг1.Выбор плиты'!C:Q,8,0),4),'Шаг1.Выбор плиты'!L:L,VLOOKUP(C226,'Шаг1.Выбор плиты'!C:Q,10,0),'Шаг1.Выбор плиты'!N:N,U226,'Шаг1.Выбор плиты'!M:M,SMALL(INDIRECT("мм"&amp;VLOOKUP(C226,'Шаг1.Выбор плиты'!C:Q,12,0)),1)))))))</f>
        <v/>
      </c>
      <c r="L226" s="147" t="str">
        <f ca="1">IFERROR(IFERROR(IF(VLOOKUP($A226,'Шаг2.Бланк заказа NEW'!$B$17:$N$201,9,0)="","",VLOOKUP($A226,'Шаг2.Бланк заказа NEW'!$B$17:$N$201,9,0)),
IF(VLOOKUP($A226-COUNT('Шаг2.Бланк заказа NEW'!$B$19:$B$201),'Бланк OLD 0.8 04'!$B$12:$K$200,9,0)="","",VLOOKUP($A226-COUNT('Шаг2.Бланк заказа NEW'!$B$19:$B$201),'Бланк OLD 0.8 04'!$B$12:$K$200,9,0))),
IF(VLOOKUP($A226-COUNT('Шаг2.Бланк заказа NEW'!$B$19:$B$201)-COUNT('Бланк OLD 0.8 04'!$B$18:$B$200),'Бланк OLD 2.0 04 '!$B$16:$K$200,9,0)="","",VLOOKUP($A226-COUNT('Шаг2.Бланк заказа NEW'!$B$19:$B$201)-COUNT('Бланк OLD 0.8 04'!$B$18:$B$200),'Бланк OLD 2.0 04 '!$B$16:$K$200,9,0)))</f>
        <v/>
      </c>
      <c r="M226" s="154" t="str">
        <f t="shared" ca="1" si="20"/>
        <v/>
      </c>
      <c r="N226" s="153" t="str">
        <f ca="1">IFERROR(IF(VLOOKUP($A226,'Шаг2.Бланк заказа NEW'!$B$17:$N$201,11,0)="","",VLOOKUP($A226,'Шаг2.Бланк заказа NEW'!$B$17:$N$201,11,0)),
"Нет")</f>
        <v/>
      </c>
      <c r="O226" s="147" t="str">
        <f ca="1">IFERROR(IF(VLOOKUP($A226,'Шаг2.Бланк заказа NEW'!$B$17:$N$201,11,0)="","",VLOOKUP($A226,'Шаг2.Бланк заказа NEW'!$B$17:$N$201,12,0)),
"Нет")</f>
        <v/>
      </c>
      <c r="P226" s="153" t="str">
        <f ca="1">IFERROR(IF(VLOOKUP($A226,'Шаг2.Бланк заказа NEW'!$B$17:$N$201,13,0)="","",VLOOKUP($A226,'Шаг2.Бланк заказа NEW'!$B$17:$N$201,13,0)),
"Нет")</f>
        <v/>
      </c>
      <c r="Q226" s="147" t="str">
        <f ca="1">IFERROR(IF(VLOOKUP($A226,'Шаг2.Бланк заказа NEW'!$B$17:$O$201,14,0)="","",VLOOKUP($A226,'Шаг2.Бланк заказа NEW'!$B$17:$O$201,14,0)),"")</f>
        <v/>
      </c>
      <c r="R226" s="147" t="str">
        <f ca="1">IFERROR(IFERROR(IF(VLOOKUP($A226,'Шаг2.Бланк заказа NEW'!$B$17:$N$201,4,0)="","",VLOOKUP($A226,'Шаг2.Бланк заказа NEW'!$B$17:$N$201,4,0)),
IF(VLOOKUP($A226-COUNT('Шаг2.Бланк заказа NEW'!$B$19:$B$201),'Бланк OLD 0.8 04'!$B$12:$K$200,4,0)&gt;0,0.8,
IF(VLOOKUP($A226-COUNT('Шаг2.Бланк заказа NEW'!$B$19:$B$201),'Бланк OLD 0.8 04'!$B$12:$K$200,5,0)&gt;0,0.4,""))),
IF(VLOOKUP($A226-COUNT('Шаг2.Бланк заказа NEW'!$B$19:$B$201)-COUNT('Бланк OLD 0.8 04'!$B$18:$B$200),'Бланк OLD 2.0 04 '!$B$16:$K$200,4,0)&gt;0,2,IF(VLOOKUP($A226-COUNT('Шаг2.Бланк заказа NEW'!$B$19:$B$201)-COUNT('Бланк OLD 0.8 04'!$B$18:$B$200),'Бланк OLD 2.0 04 '!$B$16:$K$200,5,0)&gt;0,0.4,"")))</f>
        <v/>
      </c>
      <c r="S226" s="147" t="str">
        <f ca="1">IFERROR(IFERROR(IF(VLOOKUP($A226,'Шаг2.Бланк заказа NEW'!$B$17:$N$201,5,0)="","",VLOOKUP($A226,'Шаг2.Бланк заказа NEW'!$B$17:$N$201,5,0)),
IF(VLOOKUP($A226-COUNT('Шаг2.Бланк заказа NEW'!$B$19:$B$201),'Бланк OLD 0.8 04'!$B$12:$K$200,4,0)&gt;1,0.8,
IF(VLOOKUP($A226-COUNT('Шаг2.Бланк заказа NEW'!$B$19:$B$201),'Бланк OLD 0.8 04'!$B$12:$K$200,5,0)&gt;1,0.4,
IF(AND(VLOOKUP($A226-COUNT('Шаг2.Бланк заказа NEW'!$B$19:$B$201),'Бланк OLD 0.8 04'!$B$12:$K$200,4,0)&gt;0,VLOOKUP($A226-COUNT('Шаг2.Бланк заказа NEW'!$B$19:$B$201),'Бланк OLD 0.8 04'!$B$12:$K$200,5,0)&gt;0),0.4,"")))),
IF(VLOOKUP($A226-COUNT('Шаг2.Бланк заказа NEW'!$B$19:$B$201)-COUNT('Бланк OLD 0.8 04'!$B$18:$B$200),'Бланк OLD 2.0 04 '!$B$16:$K$200,4,0)&gt;1,2,
IF(VLOOKUP($A226-COUNT('Шаг2.Бланк заказа NEW'!$B$19:$B$201)-COUNT('Бланк OLD 0.8 04'!$B$18:$B$200),'Бланк OLD 2.0 04 '!$B$16:$K$200,5,0)&gt;1,0.4,IF(AND(VLOOKUP($A226-COUNT('Шаг2.Бланк заказа NEW'!$B$19:$B$201)-COUNT('Бланк OLD 0.8 04'!$B$18:$B$200),'Бланк OLD 2.0 04 '!$B$16:$K$200,4,0)&gt;0,VLOOKUP($A226-COUNT('Шаг2.Бланк заказа NEW'!$B$19:$B$201)-COUNT('Бланк OLD 0.8 04'!$B$18:$B$200),'Бланк OLD 2.0 04 '!$B$16:$K$200,5,0)&gt;0),0.4,""))))</f>
        <v/>
      </c>
      <c r="T226" s="147" t="str">
        <f ca="1">IFERROR(IFERROR(IF(VLOOKUP($A226,'Шаг2.Бланк заказа NEW'!$B$17:$N$201,7,0)="","",VLOOKUP($A226,'Шаг2.Бланк заказа NEW'!$B$17:$N$201,7,0)),
IF(VLOOKUP($A226-COUNT('Шаг2.Бланк заказа NEW'!$B$19:$B$201),'Бланк OLD 0.8 04'!$B$12:$K$200,7,0)&gt;0,0.8,
IF(VLOOKUP($A226-COUNT('Шаг2.Бланк заказа NEW'!$B$19:$B$201),'Бланк OLD 0.8 04'!$B$12:$K$200,8,0)&gt;0,0.4,""))),
IF(VLOOKUP($A226-COUNT('Шаг2.Бланк заказа NEW'!$B$19:$B$201)-COUNT('Бланк OLD 0.8 04'!$B$18:$B$200),'Бланк OLD 2.0 04 '!$B$16:$K$200,7,0)&gt;0,2,IF(VLOOKUP($A226-COUNT('Шаг2.Бланк заказа NEW'!$B$19:$B$201)-COUNT('Бланк OLD 0.8 04'!$B$18:$B$200),'Бланк OLD 2.0 04 '!$B$16:$K$200,8,0)&gt;0,0.4,"")))</f>
        <v/>
      </c>
      <c r="U226" s="147" t="str">
        <f ca="1">IFERROR(IFERROR(IF(VLOOKUP($A226,'Шаг2.Бланк заказа NEW'!$B$17:$N$201,8,0)="","",VLOOKUP($A226,'Шаг2.Бланк заказа NEW'!$B$17:$N$201,8,0)),
IF(VLOOKUP($A226-COUNT('Шаг2.Бланк заказа NEW'!$B$19:$B$201),'Бланк OLD 0.8 04'!$B$12:$K$200,7,0)&gt;1,0.8,
IF(VLOOKUP($A226-COUNT('Шаг2.Бланк заказа NEW'!$B$19:$B$201),'Бланк OLD 0.8 04'!$B$12:$K$200,8,0)&gt;1,0.4,
IF(AND(VLOOKUP($A226-COUNT('Шаг2.Бланк заказа NEW'!$B$19:$B$201),'Бланк OLD 0.8 04'!$B$12:$K$200,7,0)&gt;0,VLOOKUP($A226-COUNT('Шаг2.Бланк заказа NEW'!$B$19:$B$201),'Бланк OLD 0.8 04'!$B$12:$K$200,8,0)&gt;0),0.4,"")))),
IF(VLOOKUP($A226-COUNT('Шаг2.Бланк заказа NEW'!$B$19:$B$201)-COUNT('Бланк OLD 0.8 04'!$B$18:$B$200),'Бланк OLD 2.0 04 '!$B$16:$K$200,7,0)&gt;1,2,
IF(VLOOKUP($A226-COUNT('Шаг2.Бланк заказа NEW'!$B$19:$B$201)-COUNT('Бланк OLD 0.8 04'!$B$18:$B$200),'Бланк OLD 2.0 04 '!$B$16:$K$200,8,0)&gt;1,0.4,
IF(AND(VLOOKUP($A226-COUNT('Шаг2.Бланк заказа NEW'!$B$19:$B$201)-COUNT('Бланк OLD 0.8 04'!$B$18:$B$200),'Бланк OLD 2.0 04 '!$B$16:$K$200,7,0)&gt;0,VLOOKUP($A226-COUNT('Шаг2.Бланк заказа NEW'!$B$19:$B$201)-COUNT('Бланк OLD 0.8 04'!$B$18:$B$200),'Бланк OLD 2.0 04 '!$B$16:$K$200,8,0)&gt;0),0.4,""))))</f>
        <v/>
      </c>
      <c r="V226" s="146" t="str">
        <f ca="1">IFERROR(VLOOKUP(C226,'Шаг1.Выбор плиты'!C:S,12,0),"")</f>
        <v/>
      </c>
      <c r="W226" s="146" t="str">
        <f ca="1">IFERROR(VLOOKUP(C226,'Шаг1.Выбор плиты'!C:S,8,0),"")</f>
        <v/>
      </c>
      <c r="X226" s="146" t="str">
        <f ca="1">IFERROR(VLOOKUP(C226,'Шаг1.Выбор плиты'!C:S,10,0),"")</f>
        <v/>
      </c>
      <c r="Y226" s="147" t="str">
        <f t="shared" ca="1" si="18"/>
        <v/>
      </c>
      <c r="AD226" s="147" t="str">
        <f t="shared" ca="1" si="21"/>
        <v/>
      </c>
      <c r="AE226" s="147" t="str">
        <f t="shared" ca="1" si="19"/>
        <v/>
      </c>
      <c r="AF226" s="25"/>
      <c r="AH226" s="147" t="str">
        <f ca="1">IF(C226="","",VLOOKUP(C226,'Шаг1.Выбор плиты'!C:Q,7,0))</f>
        <v/>
      </c>
      <c r="AI226" s="147" t="str">
        <f t="shared" ca="1" si="22"/>
        <v/>
      </c>
    </row>
    <row r="227" spans="1:35" x14ac:dyDescent="0.2">
      <c r="A227" s="151" t="str">
        <f ca="1">IF(C227="","",MAX($A$1:OFFSET(C227,-1,0))+1)</f>
        <v/>
      </c>
      <c r="B227" s="151" t="str">
        <f ca="1">IFERROR(IFERROR(IFERROR("Шаг2.Бланк заказа NEW №"&amp;VLOOKUP(A226+1,CHOOSE({1,2},'Шаг2.Бланк заказа NEW'!$B$19:$B$201,'Шаг2.Бланк заказа NEW'!$A$19:$A$201),1,0),
"Бланк OLD 0.8 04 №"&amp;VLOOKUP(A226+1-COUNT('Шаг2.Бланк заказа NEW'!$B$19:$B$201),CHOOSE({1,2},'Бланк OLD 0.8 04'!$B$18:$B$200,'Бланк OLD 0.8 04'!$A$18:$A$200),1,0)),
"Бланк OLD 2.0 04 №"&amp;VLOOKUP(A226+1-COUNT('Шаг2.Бланк заказа NEW'!$B$19:$B$201)-COUNT('Бланк OLD 0.8 04'!$B$18:$B$200),CHOOSE({1,2},'Бланк OLD 2.0 04 '!$B$18:$B$200,'Бланк OLD 2.0 04 '!$A$18:$A$200),1,0)),"")</f>
        <v/>
      </c>
      <c r="C227" s="152" t="str">
        <f ca="1">IFERROR(IFERROR(IFERROR(VLOOKUP(A226+1,CHOOSE({1,2},'Шаг2.Бланк заказа NEW'!$B$19:$B$201,'Шаг2.Бланк заказа NEW'!$A$19:$A$201),2,0),
VLOOKUP(A226+1-COUNT('Шаг2.Бланк заказа NEW'!$B$19:$B$201),CHOOSE({1,2},'Бланк OLD 0.8 04'!$B$18:$B$200,'Бланк OLD 0.8 04'!$A$18:$A$200),2,0)),
VLOOKUP(A226+1-COUNT('Шаг2.Бланк заказа NEW'!$B$19:$B$201)-COUNT('Бланк OLD 0.8 04'!$B$18:$B$200),CHOOSE({1,2},'Бланк OLD 2.0 04 '!$B$18:$B$200,'Бланк OLD 2.0 04 '!$A$18:$A$200),2,0)),"")</f>
        <v/>
      </c>
      <c r="D227" s="150" t="str">
        <f ca="1">IFERROR(VLOOKUP(C227,'Шаг1.Выбор плиты'!C:G,5,0),"")</f>
        <v/>
      </c>
      <c r="E227" s="147" t="str">
        <f ca="1">IFERROR(IFERROR(IF(VLOOKUP($A227,'Шаг2.Бланк заказа NEW'!$B$17:$N$201,2,0)="","",VLOOKUP($A227,'Шаг2.Бланк заказа NEW'!$B$17:$N$201,2,0)),
IF(VLOOKUP($A227-COUNT('Шаг2.Бланк заказа NEW'!$B$19:$B$201),'Бланк OLD 0.8 04'!$B$12:$K$200,2,0)="","",VLOOKUP($A227-COUNT('Шаг2.Бланк заказа NEW'!$B$19:$B$201),'Бланк OLD 0.8 04'!$B$12:$K$200,2,0))),
IF(VLOOKUP($A227-COUNT('Шаг2.Бланк заказа NEW'!$B$19:$B$201)-COUNT('Бланк OLD 0.8 04'!$B$18:$B$200),'Бланк OLD 2.0 04 '!$B$16:$K$200,2,0)="","",VLOOKUP($A227-COUNT('Шаг2.Бланк заказа NEW'!$B$19:$B$201)-COUNT('Бланк OLD 0.8 04'!$B$18:$B$200),'Бланк OLD 2.0 04 '!$B$16:$K$200,2,0)))</f>
        <v/>
      </c>
      <c r="F227" s="147" t="str">
        <f ca="1">IFERROR(IFERROR(IF(VLOOKUP($A227,'Шаг2.Бланк заказа NEW'!$B$17:$N$201,3,0)="","",VLOOKUP($A227,'Шаг2.Бланк заказа NEW'!$B$17:$N$201,3,0)),
IF(VLOOKUP($A227-COUNT('Шаг2.Бланк заказа NEW'!$B$19:$B$201),'Бланк OLD 0.8 04'!$B$12:$K$200,3,0)="","",VLOOKUP($A227-COUNT('Шаг2.Бланк заказа NEW'!$B$19:$B$201),'Бланк OLD 0.8 04'!$B$12:$K$200,3,0))),
IF(VLOOKUP($A227-COUNT('Шаг2.Бланк заказа NEW'!$B$19:$B$201)-COUNT('Бланк OLD 0.8 04'!$B$18:$B$200),'Бланк OLD 2.0 04 '!$B$16:$K$200,3,0)="","",VLOOKUP($A227-COUNT('Шаг2.Бланк заказа NEW'!$B$19:$B$201)-COUNT('Бланк OLD 0.8 04'!$B$18:$B$200),'Бланк OLD 2.0 04 '!$B$16:$K$200,3,0)))</f>
        <v/>
      </c>
      <c r="G227" s="176" t="str">
        <f ca="1">IF(IF(R227="","",IF(R227=1,SUMIFS('Шаг1.Выбор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плиты'!C:Q,12,0)),1))))))=0,
R227,
IF(R227="","",IF(R227=1,SUMIFS('Шаг1.Выбор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плиты'!N:N,R227,'Шаг1.Выбор плиты'!M:M,SMALL(INDIRECT("мм"&amp;VLOOKUP(C227,'Шаг1.Выбор плиты'!C:Q,12,0)),1)))))))</f>
        <v/>
      </c>
      <c r="H227" s="177" t="str">
        <f ca="1">IF(IF(S227="","",IF(S227=1,SUMIFS('Шаг1.Выбор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плиты'!C:Q,12,0)),1))))))=0,
S227,
IF(S227="","",IF(S227=1,SUMIFS('Шаг1.Выбор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плиты'!N:N,S227,'Шаг1.Выбор плиты'!M:M,SMALL(INDIRECT("мм"&amp;VLOOKUP(C227,'Шаг1.Выбор плиты'!C:Q,12,0)),1)))))))</f>
        <v/>
      </c>
      <c r="I227" s="147" t="str">
        <f ca="1">IFERROR(IFERROR(IF(VLOOKUP($A227,'Шаг2.Бланк заказа NEW'!$B$17:$N$201,6,0)="","",VLOOKUP($A227,'Шаг2.Бланк заказа NEW'!$B$17:$N$201,6,0)),
IF(VLOOKUP($A227-COUNT('Шаг2.Бланк заказа NEW'!$B$19:$B$201),'Бланк OLD 0.8 04'!$B$12:$K$200,6,0)="","",VLOOKUP($A227-COUNT('Шаг2.Бланк заказа NEW'!$B$19:$B$201),'Бланк OLD 0.8 04'!$B$12:$K$200,6,0))),
IF(VLOOKUP($A227-COUNT('Шаг2.Бланк заказа NEW'!$B$19:$B$201)-COUNT('Бланк OLD 0.8 04'!$B$18:$B$200),'Бланк OLD 2.0 04 '!$B$16:$K$200,6,0)="","",VLOOKUP($A227-COUNT('Шаг2.Бланк заказа NEW'!$B$19:$B$201)-COUNT('Бланк OLD 0.8 04'!$B$18:$B$200),'Бланк OLD 2.0 04 '!$B$16:$K$200,6,0)))</f>
        <v/>
      </c>
      <c r="J227" s="177" t="str">
        <f ca="1">IF(IF(T227="","",IF(T227=1,SUMIFS('Шаг1.Выбор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плиты'!C:Q,12,0)),1))))))=0,
T227,
IF(T227="","",IF(T227=1,SUMIFS('Шаг1.Выбор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плиты'!N:N,T227,'Шаг1.Выбор плиты'!M:M,SMALL(INDIRECT("мм"&amp;VLOOKUP(C227,'Шаг1.Выбор плиты'!C:Q,12,0)),1)))))))</f>
        <v/>
      </c>
      <c r="K227" s="177" t="str">
        <f ca="1">IF(IF(U227="","",IF(U227=1,SUMIFS('Шаг1.Выбор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плиты'!C:Q,12,0)),1))))))=0,
U227,
IF(U227="","",IF(U227=1,SUMIFS('Шаг1.Выбор плиты'!$G:$G,'Шаг1.Выбор плиты'!J:J,"*"&amp;RIGHT(VLOOKUP(C227,'Шаг1.Выбор плиты'!C:Q,8,0),4),'Шаг1.Выбор плиты'!L:L,IF(MID(C227,1,6)="ЛДСП P","TM"&amp;MID(VLOOKUP(C227,'Шаг1.Выбор плиты'!C:Q,10,0),3,2),MID(VLOOKUP(C227,'Шаг1.Выбор плиты'!C:Q,10,0),1,2)),
'Шаг1.Выбор плиты'!N:N,1),IF(SUMIFS('Шаг1.Выбор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плиты'!C:Q,12,0)),1))=0,
IF(SUMIFS('Шаг1.Выбор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плиты'!C:Q,12,0)),2))=0,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плиты'!C:Q,12,0)),3)),
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плиты'!C:Q,12,0)),2))),
(SUMIFS('Шаг1.Выбор плиты'!$G:$G,'Шаг1.Выбор плиты'!J:J,"*"&amp;RIGHT(VLOOKUP(C227,'Шаг1.Выбор плиты'!C:Q,8,0),4),'Шаг1.Выбор плиты'!L:L,VLOOKUP(C227,'Шаг1.Выбор плиты'!C:Q,10,0),'Шаг1.Выбор плиты'!N:N,U227,'Шаг1.Выбор плиты'!M:M,SMALL(INDIRECT("мм"&amp;VLOOKUP(C227,'Шаг1.Выбор плиты'!C:Q,12,0)),1)))))))</f>
        <v/>
      </c>
      <c r="L227" s="147" t="str">
        <f ca="1">IFERROR(IFERROR(IF(VLOOKUP($A227,'Шаг2.Бланк заказа NEW'!$B$17:$N$201,9,0)="","",VLOOKUP($A227,'Шаг2.Бланк заказа NEW'!$B$17:$N$201,9,0)),
IF(VLOOKUP($A227-COUNT('Шаг2.Бланк заказа NEW'!$B$19:$B$201),'Бланк OLD 0.8 04'!$B$12:$K$200,9,0)="","",VLOOKUP($A227-COUNT('Шаг2.Бланк заказа NEW'!$B$19:$B$201),'Бланк OLD 0.8 04'!$B$12:$K$200,9,0))),
IF(VLOOKUP($A227-COUNT('Шаг2.Бланк заказа NEW'!$B$19:$B$201)-COUNT('Бланк OLD 0.8 04'!$B$18:$B$200),'Бланк OLD 2.0 04 '!$B$16:$K$200,9,0)="","",VLOOKUP($A227-COUNT('Шаг2.Бланк заказа NEW'!$B$19:$B$201)-COUNT('Бланк OLD 0.8 04'!$B$18:$B$200),'Бланк OLD 2.0 04 '!$B$16:$K$200,9,0)))</f>
        <v/>
      </c>
      <c r="M227" s="154" t="str">
        <f t="shared" ca="1" si="20"/>
        <v/>
      </c>
      <c r="N227" s="153" t="str">
        <f ca="1">IFERROR(IF(VLOOKUP($A227,'Шаг2.Бланк заказа NEW'!$B$17:$N$201,11,0)="","",VLOOKUP($A227,'Шаг2.Бланк заказа NEW'!$B$17:$N$201,11,0)),
"Нет")</f>
        <v/>
      </c>
      <c r="O227" s="147" t="str">
        <f ca="1">IFERROR(IF(VLOOKUP($A227,'Шаг2.Бланк заказа NEW'!$B$17:$N$201,11,0)="","",VLOOKUP($A227,'Шаг2.Бланк заказа NEW'!$B$17:$N$201,12,0)),
"Нет")</f>
        <v/>
      </c>
      <c r="P227" s="153" t="str">
        <f ca="1">IFERROR(IF(VLOOKUP($A227,'Шаг2.Бланк заказа NEW'!$B$17:$N$201,13,0)="","",VLOOKUP($A227,'Шаг2.Бланк заказа NEW'!$B$17:$N$201,13,0)),
"Нет")</f>
        <v/>
      </c>
      <c r="Q227" s="147" t="str">
        <f ca="1">IFERROR(IF(VLOOKUP($A227,'Шаг2.Бланк заказа NEW'!$B$17:$O$201,14,0)="","",VLOOKUP($A227,'Шаг2.Бланк заказа NEW'!$B$17:$O$201,14,0)),"")</f>
        <v/>
      </c>
      <c r="R227" s="147" t="str">
        <f ca="1">IFERROR(IFERROR(IF(VLOOKUP($A227,'Шаг2.Бланк заказа NEW'!$B$17:$N$201,4,0)="","",VLOOKUP($A227,'Шаг2.Бланк заказа NEW'!$B$17:$N$201,4,0)),
IF(VLOOKUP($A227-COUNT('Шаг2.Бланк заказа NEW'!$B$19:$B$201),'Бланк OLD 0.8 04'!$B$12:$K$200,4,0)&gt;0,0.8,
IF(VLOOKUP($A227-COUNT('Шаг2.Бланк заказа NEW'!$B$19:$B$201),'Бланк OLD 0.8 04'!$B$12:$K$200,5,0)&gt;0,0.4,""))),
IF(VLOOKUP($A227-COUNT('Шаг2.Бланк заказа NEW'!$B$19:$B$201)-COUNT('Бланк OLD 0.8 04'!$B$18:$B$200),'Бланк OLD 2.0 04 '!$B$16:$K$200,4,0)&gt;0,2,IF(VLOOKUP($A227-COUNT('Шаг2.Бланк заказа NEW'!$B$19:$B$201)-COUNT('Бланк OLD 0.8 04'!$B$18:$B$200),'Бланк OLD 2.0 04 '!$B$16:$K$200,5,0)&gt;0,0.4,"")))</f>
        <v/>
      </c>
      <c r="S227" s="147" t="str">
        <f ca="1">IFERROR(IFERROR(IF(VLOOKUP($A227,'Шаг2.Бланк заказа NEW'!$B$17:$N$201,5,0)="","",VLOOKUP($A227,'Шаг2.Бланк заказа NEW'!$B$17:$N$201,5,0)),
IF(VLOOKUP($A227-COUNT('Шаг2.Бланк заказа NEW'!$B$19:$B$201),'Бланк OLD 0.8 04'!$B$12:$K$200,4,0)&gt;1,0.8,
IF(VLOOKUP($A227-COUNT('Шаг2.Бланк заказа NEW'!$B$19:$B$201),'Бланк OLD 0.8 04'!$B$12:$K$200,5,0)&gt;1,0.4,
IF(AND(VLOOKUP($A227-COUNT('Шаг2.Бланк заказа NEW'!$B$19:$B$201),'Бланк OLD 0.8 04'!$B$12:$K$200,4,0)&gt;0,VLOOKUP($A227-COUNT('Шаг2.Бланк заказа NEW'!$B$19:$B$201),'Бланк OLD 0.8 04'!$B$12:$K$200,5,0)&gt;0),0.4,"")))),
IF(VLOOKUP($A227-COUNT('Шаг2.Бланк заказа NEW'!$B$19:$B$201)-COUNT('Бланк OLD 0.8 04'!$B$18:$B$200),'Бланк OLD 2.0 04 '!$B$16:$K$200,4,0)&gt;1,2,
IF(VLOOKUP($A227-COUNT('Шаг2.Бланк заказа NEW'!$B$19:$B$201)-COUNT('Бланк OLD 0.8 04'!$B$18:$B$200),'Бланк OLD 2.0 04 '!$B$16:$K$200,5,0)&gt;1,0.4,IF(AND(VLOOKUP($A227-COUNT('Шаг2.Бланк заказа NEW'!$B$19:$B$201)-COUNT('Бланк OLD 0.8 04'!$B$18:$B$200),'Бланк OLD 2.0 04 '!$B$16:$K$200,4,0)&gt;0,VLOOKUP($A227-COUNT('Шаг2.Бланк заказа NEW'!$B$19:$B$201)-COUNT('Бланк OLD 0.8 04'!$B$18:$B$200),'Бланк OLD 2.0 04 '!$B$16:$K$200,5,0)&gt;0),0.4,""))))</f>
        <v/>
      </c>
      <c r="T227" s="147" t="str">
        <f ca="1">IFERROR(IFERROR(IF(VLOOKUP($A227,'Шаг2.Бланк заказа NEW'!$B$17:$N$201,7,0)="","",VLOOKUP($A227,'Шаг2.Бланк заказа NEW'!$B$17:$N$201,7,0)),
IF(VLOOKUP($A227-COUNT('Шаг2.Бланк заказа NEW'!$B$19:$B$201),'Бланк OLD 0.8 04'!$B$12:$K$200,7,0)&gt;0,0.8,
IF(VLOOKUP($A227-COUNT('Шаг2.Бланк заказа NEW'!$B$19:$B$201),'Бланк OLD 0.8 04'!$B$12:$K$200,8,0)&gt;0,0.4,""))),
IF(VLOOKUP($A227-COUNT('Шаг2.Бланк заказа NEW'!$B$19:$B$201)-COUNT('Бланк OLD 0.8 04'!$B$18:$B$200),'Бланк OLD 2.0 04 '!$B$16:$K$200,7,0)&gt;0,2,IF(VLOOKUP($A227-COUNT('Шаг2.Бланк заказа NEW'!$B$19:$B$201)-COUNT('Бланк OLD 0.8 04'!$B$18:$B$200),'Бланк OLD 2.0 04 '!$B$16:$K$200,8,0)&gt;0,0.4,"")))</f>
        <v/>
      </c>
      <c r="U227" s="147" t="str">
        <f ca="1">IFERROR(IFERROR(IF(VLOOKUP($A227,'Шаг2.Бланк заказа NEW'!$B$17:$N$201,8,0)="","",VLOOKUP($A227,'Шаг2.Бланк заказа NEW'!$B$17:$N$201,8,0)),
IF(VLOOKUP($A227-COUNT('Шаг2.Бланк заказа NEW'!$B$19:$B$201),'Бланк OLD 0.8 04'!$B$12:$K$200,7,0)&gt;1,0.8,
IF(VLOOKUP($A227-COUNT('Шаг2.Бланк заказа NEW'!$B$19:$B$201),'Бланк OLD 0.8 04'!$B$12:$K$200,8,0)&gt;1,0.4,
IF(AND(VLOOKUP($A227-COUNT('Шаг2.Бланк заказа NEW'!$B$19:$B$201),'Бланк OLD 0.8 04'!$B$12:$K$200,7,0)&gt;0,VLOOKUP($A227-COUNT('Шаг2.Бланк заказа NEW'!$B$19:$B$201),'Бланк OLD 0.8 04'!$B$12:$K$200,8,0)&gt;0),0.4,"")))),
IF(VLOOKUP($A227-COUNT('Шаг2.Бланк заказа NEW'!$B$19:$B$201)-COUNT('Бланк OLD 0.8 04'!$B$18:$B$200),'Бланк OLD 2.0 04 '!$B$16:$K$200,7,0)&gt;1,2,
IF(VLOOKUP($A227-COUNT('Шаг2.Бланк заказа NEW'!$B$19:$B$201)-COUNT('Бланк OLD 0.8 04'!$B$18:$B$200),'Бланк OLD 2.0 04 '!$B$16:$K$200,8,0)&gt;1,0.4,
IF(AND(VLOOKUP($A227-COUNT('Шаг2.Бланк заказа NEW'!$B$19:$B$201)-COUNT('Бланк OLD 0.8 04'!$B$18:$B$200),'Бланк OLD 2.0 04 '!$B$16:$K$200,7,0)&gt;0,VLOOKUP($A227-COUNT('Шаг2.Бланк заказа NEW'!$B$19:$B$201)-COUNT('Бланк OLD 0.8 04'!$B$18:$B$200),'Бланк OLD 2.0 04 '!$B$16:$K$200,8,0)&gt;0),0.4,""))))</f>
        <v/>
      </c>
      <c r="V227" s="146" t="str">
        <f ca="1">IFERROR(VLOOKUP(C227,'Шаг1.Выбор плиты'!C:S,12,0),"")</f>
        <v/>
      </c>
      <c r="W227" s="146" t="str">
        <f ca="1">IFERROR(VLOOKUP(C227,'Шаг1.Выбор плиты'!C:S,8,0),"")</f>
        <v/>
      </c>
      <c r="X227" s="146" t="str">
        <f ca="1">IFERROR(VLOOKUP(C227,'Шаг1.Выбор плиты'!C:S,10,0),"")</f>
        <v/>
      </c>
      <c r="Y227" s="147" t="str">
        <f t="shared" ca="1" si="18"/>
        <v/>
      </c>
      <c r="AD227" s="147" t="str">
        <f t="shared" ca="1" si="21"/>
        <v/>
      </c>
      <c r="AE227" s="147" t="str">
        <f t="shared" ca="1" si="19"/>
        <v/>
      </c>
      <c r="AF227" s="25"/>
      <c r="AH227" s="147" t="str">
        <f ca="1">IF(C227="","",VLOOKUP(C227,'Шаг1.Выбор плиты'!C:Q,7,0))</f>
        <v/>
      </c>
      <c r="AI227" s="147" t="str">
        <f t="shared" ca="1" si="22"/>
        <v/>
      </c>
    </row>
    <row r="228" spans="1:35" x14ac:dyDescent="0.2">
      <c r="A228" s="151" t="str">
        <f ca="1">IF(C228="","",MAX($A$1:OFFSET(C228,-1,0))+1)</f>
        <v/>
      </c>
      <c r="B228" s="151" t="str">
        <f ca="1">IFERROR(IFERROR(IFERROR("Шаг2.Бланк заказа NEW №"&amp;VLOOKUP(A227+1,CHOOSE({1,2},'Шаг2.Бланк заказа NEW'!$B$19:$B$201,'Шаг2.Бланк заказа NEW'!$A$19:$A$201),1,0),
"Бланк OLD 0.8 04 №"&amp;VLOOKUP(A227+1-COUNT('Шаг2.Бланк заказа NEW'!$B$19:$B$201),CHOOSE({1,2},'Бланк OLD 0.8 04'!$B$18:$B$200,'Бланк OLD 0.8 04'!$A$18:$A$200),1,0)),
"Бланк OLD 2.0 04 №"&amp;VLOOKUP(A227+1-COUNT('Шаг2.Бланк заказа NEW'!$B$19:$B$201)-COUNT('Бланк OLD 0.8 04'!$B$18:$B$200),CHOOSE({1,2},'Бланк OLD 2.0 04 '!$B$18:$B$200,'Бланк OLD 2.0 04 '!$A$18:$A$200),1,0)),"")</f>
        <v/>
      </c>
      <c r="C228" s="152" t="str">
        <f ca="1">IFERROR(IFERROR(IFERROR(VLOOKUP(A227+1,CHOOSE({1,2},'Шаг2.Бланк заказа NEW'!$B$19:$B$201,'Шаг2.Бланк заказа NEW'!$A$19:$A$201),2,0),
VLOOKUP(A227+1-COUNT('Шаг2.Бланк заказа NEW'!$B$19:$B$201),CHOOSE({1,2},'Бланк OLD 0.8 04'!$B$18:$B$200,'Бланк OLD 0.8 04'!$A$18:$A$200),2,0)),
VLOOKUP(A227+1-COUNT('Шаг2.Бланк заказа NEW'!$B$19:$B$201)-COUNT('Бланк OLD 0.8 04'!$B$18:$B$200),CHOOSE({1,2},'Бланк OLD 2.0 04 '!$B$18:$B$200,'Бланк OLD 2.0 04 '!$A$18:$A$200),2,0)),"")</f>
        <v/>
      </c>
      <c r="D228" s="150" t="str">
        <f ca="1">IFERROR(VLOOKUP(C228,'Шаг1.Выбор плиты'!C:G,5,0),"")</f>
        <v/>
      </c>
      <c r="E228" s="147" t="str">
        <f ca="1">IFERROR(IFERROR(IF(VLOOKUP($A228,'Шаг2.Бланк заказа NEW'!$B$17:$N$201,2,0)="","",VLOOKUP($A228,'Шаг2.Бланк заказа NEW'!$B$17:$N$201,2,0)),
IF(VLOOKUP($A228-COUNT('Шаг2.Бланк заказа NEW'!$B$19:$B$201),'Бланк OLD 0.8 04'!$B$12:$K$200,2,0)="","",VLOOKUP($A228-COUNT('Шаг2.Бланк заказа NEW'!$B$19:$B$201),'Бланк OLD 0.8 04'!$B$12:$K$200,2,0))),
IF(VLOOKUP($A228-COUNT('Шаг2.Бланк заказа NEW'!$B$19:$B$201)-COUNT('Бланк OLD 0.8 04'!$B$18:$B$200),'Бланк OLD 2.0 04 '!$B$16:$K$200,2,0)="","",VLOOKUP($A228-COUNT('Шаг2.Бланк заказа NEW'!$B$19:$B$201)-COUNT('Бланк OLD 0.8 04'!$B$18:$B$200),'Бланк OLD 2.0 04 '!$B$16:$K$200,2,0)))</f>
        <v/>
      </c>
      <c r="F228" s="147" t="str">
        <f ca="1">IFERROR(IFERROR(IF(VLOOKUP($A228,'Шаг2.Бланк заказа NEW'!$B$17:$N$201,3,0)="","",VLOOKUP($A228,'Шаг2.Бланк заказа NEW'!$B$17:$N$201,3,0)),
IF(VLOOKUP($A228-COUNT('Шаг2.Бланк заказа NEW'!$B$19:$B$201),'Бланк OLD 0.8 04'!$B$12:$K$200,3,0)="","",VLOOKUP($A228-COUNT('Шаг2.Бланк заказа NEW'!$B$19:$B$201),'Бланк OLD 0.8 04'!$B$12:$K$200,3,0))),
IF(VLOOKUP($A228-COUNT('Шаг2.Бланк заказа NEW'!$B$19:$B$201)-COUNT('Бланк OLD 0.8 04'!$B$18:$B$200),'Бланк OLD 2.0 04 '!$B$16:$K$200,3,0)="","",VLOOKUP($A228-COUNT('Шаг2.Бланк заказа NEW'!$B$19:$B$201)-COUNT('Бланк OLD 0.8 04'!$B$18:$B$200),'Бланк OLD 2.0 04 '!$B$16:$K$200,3,0)))</f>
        <v/>
      </c>
      <c r="G228" s="176" t="str">
        <f ca="1">IF(IF(R228="","",IF(R228=1,SUMIFS('Шаг1.Выбор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плиты'!C:Q,12,0)),1))))))=0,
R228,
IF(R228="","",IF(R228=1,SUMIFS('Шаг1.Выбор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плиты'!N:N,R228,'Шаг1.Выбор плиты'!M:M,SMALL(INDIRECT("мм"&amp;VLOOKUP(C228,'Шаг1.Выбор плиты'!C:Q,12,0)),1)))))))</f>
        <v/>
      </c>
      <c r="H228" s="177" t="str">
        <f ca="1">IF(IF(S228="","",IF(S228=1,SUMIFS('Шаг1.Выбор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плиты'!C:Q,12,0)),1))))))=0,
S228,
IF(S228="","",IF(S228=1,SUMIFS('Шаг1.Выбор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плиты'!N:N,S228,'Шаг1.Выбор плиты'!M:M,SMALL(INDIRECT("мм"&amp;VLOOKUP(C228,'Шаг1.Выбор плиты'!C:Q,12,0)),1)))))))</f>
        <v/>
      </c>
      <c r="I228" s="147" t="str">
        <f ca="1">IFERROR(IFERROR(IF(VLOOKUP($A228,'Шаг2.Бланк заказа NEW'!$B$17:$N$201,6,0)="","",VLOOKUP($A228,'Шаг2.Бланк заказа NEW'!$B$17:$N$201,6,0)),
IF(VLOOKUP($A228-COUNT('Шаг2.Бланк заказа NEW'!$B$19:$B$201),'Бланк OLD 0.8 04'!$B$12:$K$200,6,0)="","",VLOOKUP($A228-COUNT('Шаг2.Бланк заказа NEW'!$B$19:$B$201),'Бланк OLD 0.8 04'!$B$12:$K$200,6,0))),
IF(VLOOKUP($A228-COUNT('Шаг2.Бланк заказа NEW'!$B$19:$B$201)-COUNT('Бланк OLD 0.8 04'!$B$18:$B$200),'Бланк OLD 2.0 04 '!$B$16:$K$200,6,0)="","",VLOOKUP($A228-COUNT('Шаг2.Бланк заказа NEW'!$B$19:$B$201)-COUNT('Бланк OLD 0.8 04'!$B$18:$B$200),'Бланк OLD 2.0 04 '!$B$16:$K$200,6,0)))</f>
        <v/>
      </c>
      <c r="J228" s="177" t="str">
        <f ca="1">IF(IF(T228="","",IF(T228=1,SUMIFS('Шаг1.Выбор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плиты'!C:Q,12,0)),1))))))=0,
T228,
IF(T228="","",IF(T228=1,SUMIFS('Шаг1.Выбор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плиты'!N:N,T228,'Шаг1.Выбор плиты'!M:M,SMALL(INDIRECT("мм"&amp;VLOOKUP(C228,'Шаг1.Выбор плиты'!C:Q,12,0)),1)))))))</f>
        <v/>
      </c>
      <c r="K228" s="177" t="str">
        <f ca="1">IF(IF(U228="","",IF(U228=1,SUMIFS('Шаг1.Выбор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плиты'!C:Q,12,0)),1))))))=0,
U228,
IF(U228="","",IF(U228=1,SUMIFS('Шаг1.Выбор плиты'!$G:$G,'Шаг1.Выбор плиты'!J:J,"*"&amp;RIGHT(VLOOKUP(C228,'Шаг1.Выбор плиты'!C:Q,8,0),4),'Шаг1.Выбор плиты'!L:L,IF(MID(C228,1,6)="ЛДСП P","TM"&amp;MID(VLOOKUP(C228,'Шаг1.Выбор плиты'!C:Q,10,0),3,2),MID(VLOOKUP(C228,'Шаг1.Выбор плиты'!C:Q,10,0),1,2)),
'Шаг1.Выбор плиты'!N:N,1),IF(SUMIFS('Шаг1.Выбор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плиты'!C:Q,12,0)),1))=0,
IF(SUMIFS('Шаг1.Выбор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плиты'!C:Q,12,0)),2))=0,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плиты'!C:Q,12,0)),3)),
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плиты'!C:Q,12,0)),2))),
(SUMIFS('Шаг1.Выбор плиты'!$G:$G,'Шаг1.Выбор плиты'!J:J,"*"&amp;RIGHT(VLOOKUP(C228,'Шаг1.Выбор плиты'!C:Q,8,0),4),'Шаг1.Выбор плиты'!L:L,VLOOKUP(C228,'Шаг1.Выбор плиты'!C:Q,10,0),'Шаг1.Выбор плиты'!N:N,U228,'Шаг1.Выбор плиты'!M:M,SMALL(INDIRECT("мм"&amp;VLOOKUP(C228,'Шаг1.Выбор плиты'!C:Q,12,0)),1)))))))</f>
        <v/>
      </c>
      <c r="L228" s="147" t="str">
        <f ca="1">IFERROR(IFERROR(IF(VLOOKUP($A228,'Шаг2.Бланк заказа NEW'!$B$17:$N$201,9,0)="","",VLOOKUP($A228,'Шаг2.Бланк заказа NEW'!$B$17:$N$201,9,0)),
IF(VLOOKUP($A228-COUNT('Шаг2.Бланк заказа NEW'!$B$19:$B$201),'Бланк OLD 0.8 04'!$B$12:$K$200,9,0)="","",VLOOKUP($A228-COUNT('Шаг2.Бланк заказа NEW'!$B$19:$B$201),'Бланк OLD 0.8 04'!$B$12:$K$200,9,0))),
IF(VLOOKUP($A228-COUNT('Шаг2.Бланк заказа NEW'!$B$19:$B$201)-COUNT('Бланк OLD 0.8 04'!$B$18:$B$200),'Бланк OLD 2.0 04 '!$B$16:$K$200,9,0)="","",VLOOKUP($A228-COUNT('Шаг2.Бланк заказа NEW'!$B$19:$B$201)-COUNT('Бланк OLD 0.8 04'!$B$18:$B$200),'Бланк OLD 2.0 04 '!$B$16:$K$200,9,0)))</f>
        <v/>
      </c>
      <c r="M228" s="154" t="str">
        <f t="shared" ca="1" si="20"/>
        <v/>
      </c>
      <c r="N228" s="153" t="str">
        <f ca="1">IFERROR(IF(VLOOKUP($A228,'Шаг2.Бланк заказа NEW'!$B$17:$N$201,11,0)="","",VLOOKUP($A228,'Шаг2.Бланк заказа NEW'!$B$17:$N$201,11,0)),
"Нет")</f>
        <v/>
      </c>
      <c r="O228" s="147" t="str">
        <f ca="1">IFERROR(IF(VLOOKUP($A228,'Шаг2.Бланк заказа NEW'!$B$17:$N$201,11,0)="","",VLOOKUP($A228,'Шаг2.Бланк заказа NEW'!$B$17:$N$201,12,0)),
"Нет")</f>
        <v/>
      </c>
      <c r="P228" s="153" t="str">
        <f ca="1">IFERROR(IF(VLOOKUP($A228,'Шаг2.Бланк заказа NEW'!$B$17:$N$201,13,0)="","",VLOOKUP($A228,'Шаг2.Бланк заказа NEW'!$B$17:$N$201,13,0)),
"Нет")</f>
        <v/>
      </c>
      <c r="Q228" s="147" t="str">
        <f ca="1">IFERROR(IF(VLOOKUP($A228,'Шаг2.Бланк заказа NEW'!$B$17:$O$201,14,0)="","",VLOOKUP($A228,'Шаг2.Бланк заказа NEW'!$B$17:$O$201,14,0)),"")</f>
        <v/>
      </c>
      <c r="R228" s="147" t="str">
        <f ca="1">IFERROR(IFERROR(IF(VLOOKUP($A228,'Шаг2.Бланк заказа NEW'!$B$17:$N$201,4,0)="","",VLOOKUP($A228,'Шаг2.Бланк заказа NEW'!$B$17:$N$201,4,0)),
IF(VLOOKUP($A228-COUNT('Шаг2.Бланк заказа NEW'!$B$19:$B$201),'Бланк OLD 0.8 04'!$B$12:$K$200,4,0)&gt;0,0.8,
IF(VLOOKUP($A228-COUNT('Шаг2.Бланк заказа NEW'!$B$19:$B$201),'Бланк OLD 0.8 04'!$B$12:$K$200,5,0)&gt;0,0.4,""))),
IF(VLOOKUP($A228-COUNT('Шаг2.Бланк заказа NEW'!$B$19:$B$201)-COUNT('Бланк OLD 0.8 04'!$B$18:$B$200),'Бланк OLD 2.0 04 '!$B$16:$K$200,4,0)&gt;0,2,IF(VLOOKUP($A228-COUNT('Шаг2.Бланк заказа NEW'!$B$19:$B$201)-COUNT('Бланк OLD 0.8 04'!$B$18:$B$200),'Бланк OLD 2.0 04 '!$B$16:$K$200,5,0)&gt;0,0.4,"")))</f>
        <v/>
      </c>
      <c r="S228" s="147" t="str">
        <f ca="1">IFERROR(IFERROR(IF(VLOOKUP($A228,'Шаг2.Бланк заказа NEW'!$B$17:$N$201,5,0)="","",VLOOKUP($A228,'Шаг2.Бланк заказа NEW'!$B$17:$N$201,5,0)),
IF(VLOOKUP($A228-COUNT('Шаг2.Бланк заказа NEW'!$B$19:$B$201),'Бланк OLD 0.8 04'!$B$12:$K$200,4,0)&gt;1,0.8,
IF(VLOOKUP($A228-COUNT('Шаг2.Бланк заказа NEW'!$B$19:$B$201),'Бланк OLD 0.8 04'!$B$12:$K$200,5,0)&gt;1,0.4,
IF(AND(VLOOKUP($A228-COUNT('Шаг2.Бланк заказа NEW'!$B$19:$B$201),'Бланк OLD 0.8 04'!$B$12:$K$200,4,0)&gt;0,VLOOKUP($A228-COUNT('Шаг2.Бланк заказа NEW'!$B$19:$B$201),'Бланк OLD 0.8 04'!$B$12:$K$200,5,0)&gt;0),0.4,"")))),
IF(VLOOKUP($A228-COUNT('Шаг2.Бланк заказа NEW'!$B$19:$B$201)-COUNT('Бланк OLD 0.8 04'!$B$18:$B$200),'Бланк OLD 2.0 04 '!$B$16:$K$200,4,0)&gt;1,2,
IF(VLOOKUP($A228-COUNT('Шаг2.Бланк заказа NEW'!$B$19:$B$201)-COUNT('Бланк OLD 0.8 04'!$B$18:$B$200),'Бланк OLD 2.0 04 '!$B$16:$K$200,5,0)&gt;1,0.4,IF(AND(VLOOKUP($A228-COUNT('Шаг2.Бланк заказа NEW'!$B$19:$B$201)-COUNT('Бланк OLD 0.8 04'!$B$18:$B$200),'Бланк OLD 2.0 04 '!$B$16:$K$200,4,0)&gt;0,VLOOKUP($A228-COUNT('Шаг2.Бланк заказа NEW'!$B$19:$B$201)-COUNT('Бланк OLD 0.8 04'!$B$18:$B$200),'Бланк OLD 2.0 04 '!$B$16:$K$200,5,0)&gt;0),0.4,""))))</f>
        <v/>
      </c>
      <c r="T228" s="147" t="str">
        <f ca="1">IFERROR(IFERROR(IF(VLOOKUP($A228,'Шаг2.Бланк заказа NEW'!$B$17:$N$201,7,0)="","",VLOOKUP($A228,'Шаг2.Бланк заказа NEW'!$B$17:$N$201,7,0)),
IF(VLOOKUP($A228-COUNT('Шаг2.Бланк заказа NEW'!$B$19:$B$201),'Бланк OLD 0.8 04'!$B$12:$K$200,7,0)&gt;0,0.8,
IF(VLOOKUP($A228-COUNT('Шаг2.Бланк заказа NEW'!$B$19:$B$201),'Бланк OLD 0.8 04'!$B$12:$K$200,8,0)&gt;0,0.4,""))),
IF(VLOOKUP($A228-COUNT('Шаг2.Бланк заказа NEW'!$B$19:$B$201)-COUNT('Бланк OLD 0.8 04'!$B$18:$B$200),'Бланк OLD 2.0 04 '!$B$16:$K$200,7,0)&gt;0,2,IF(VLOOKUP($A228-COUNT('Шаг2.Бланк заказа NEW'!$B$19:$B$201)-COUNT('Бланк OLD 0.8 04'!$B$18:$B$200),'Бланк OLD 2.0 04 '!$B$16:$K$200,8,0)&gt;0,0.4,"")))</f>
        <v/>
      </c>
      <c r="U228" s="147" t="str">
        <f ca="1">IFERROR(IFERROR(IF(VLOOKUP($A228,'Шаг2.Бланк заказа NEW'!$B$17:$N$201,8,0)="","",VLOOKUP($A228,'Шаг2.Бланк заказа NEW'!$B$17:$N$201,8,0)),
IF(VLOOKUP($A228-COUNT('Шаг2.Бланк заказа NEW'!$B$19:$B$201),'Бланк OLD 0.8 04'!$B$12:$K$200,7,0)&gt;1,0.8,
IF(VLOOKUP($A228-COUNT('Шаг2.Бланк заказа NEW'!$B$19:$B$201),'Бланк OLD 0.8 04'!$B$12:$K$200,8,0)&gt;1,0.4,
IF(AND(VLOOKUP($A228-COUNT('Шаг2.Бланк заказа NEW'!$B$19:$B$201),'Бланк OLD 0.8 04'!$B$12:$K$200,7,0)&gt;0,VLOOKUP($A228-COUNT('Шаг2.Бланк заказа NEW'!$B$19:$B$201),'Бланк OLD 0.8 04'!$B$12:$K$200,8,0)&gt;0),0.4,"")))),
IF(VLOOKUP($A228-COUNT('Шаг2.Бланк заказа NEW'!$B$19:$B$201)-COUNT('Бланк OLD 0.8 04'!$B$18:$B$200),'Бланк OLD 2.0 04 '!$B$16:$K$200,7,0)&gt;1,2,
IF(VLOOKUP($A228-COUNT('Шаг2.Бланк заказа NEW'!$B$19:$B$201)-COUNT('Бланк OLD 0.8 04'!$B$18:$B$200),'Бланк OLD 2.0 04 '!$B$16:$K$200,8,0)&gt;1,0.4,
IF(AND(VLOOKUP($A228-COUNT('Шаг2.Бланк заказа NEW'!$B$19:$B$201)-COUNT('Бланк OLD 0.8 04'!$B$18:$B$200),'Бланк OLD 2.0 04 '!$B$16:$K$200,7,0)&gt;0,VLOOKUP($A228-COUNT('Шаг2.Бланк заказа NEW'!$B$19:$B$201)-COUNT('Бланк OLD 0.8 04'!$B$18:$B$200),'Бланк OLD 2.0 04 '!$B$16:$K$200,8,0)&gt;0),0.4,""))))</f>
        <v/>
      </c>
      <c r="V228" s="146" t="str">
        <f ca="1">IFERROR(VLOOKUP(C228,'Шаг1.Выбор плиты'!C:S,12,0),"")</f>
        <v/>
      </c>
      <c r="W228" s="146" t="str">
        <f ca="1">IFERROR(VLOOKUP(C228,'Шаг1.Выбор плиты'!C:S,8,0),"")</f>
        <v/>
      </c>
      <c r="X228" s="146" t="str">
        <f ca="1">IFERROR(VLOOKUP(C228,'Шаг1.Выбор плиты'!C:S,10,0),"")</f>
        <v/>
      </c>
      <c r="Y228" s="147" t="str">
        <f t="shared" ca="1" si="18"/>
        <v/>
      </c>
      <c r="AD228" s="147" t="str">
        <f t="shared" ca="1" si="21"/>
        <v/>
      </c>
      <c r="AE228" s="147" t="str">
        <f t="shared" ca="1" si="19"/>
        <v/>
      </c>
      <c r="AF228" s="25"/>
      <c r="AH228" s="147" t="str">
        <f ca="1">IF(C228="","",VLOOKUP(C228,'Шаг1.Выбор плиты'!C:Q,7,0))</f>
        <v/>
      </c>
      <c r="AI228" s="147" t="str">
        <f t="shared" ca="1" si="22"/>
        <v/>
      </c>
    </row>
    <row r="229" spans="1:35" x14ac:dyDescent="0.2">
      <c r="A229" s="151" t="str">
        <f ca="1">IF(C229="","",MAX($A$1:OFFSET(C229,-1,0))+1)</f>
        <v/>
      </c>
      <c r="B229" s="151" t="str">
        <f ca="1">IFERROR(IFERROR(IFERROR("Шаг2.Бланк заказа NEW №"&amp;VLOOKUP(A228+1,CHOOSE({1,2},'Шаг2.Бланк заказа NEW'!$B$19:$B$201,'Шаг2.Бланк заказа NEW'!$A$19:$A$201),1,0),
"Бланк OLD 0.8 04 №"&amp;VLOOKUP(A228+1-COUNT('Шаг2.Бланк заказа NEW'!$B$19:$B$201),CHOOSE({1,2},'Бланк OLD 0.8 04'!$B$18:$B$200,'Бланк OLD 0.8 04'!$A$18:$A$200),1,0)),
"Бланк OLD 2.0 04 №"&amp;VLOOKUP(A228+1-COUNT('Шаг2.Бланк заказа NEW'!$B$19:$B$201)-COUNT('Бланк OLD 0.8 04'!$B$18:$B$200),CHOOSE({1,2},'Бланк OLD 2.0 04 '!$B$18:$B$200,'Бланк OLD 2.0 04 '!$A$18:$A$200),1,0)),"")</f>
        <v/>
      </c>
      <c r="C229" s="152" t="str">
        <f ca="1">IFERROR(IFERROR(IFERROR(VLOOKUP(A228+1,CHOOSE({1,2},'Шаг2.Бланк заказа NEW'!$B$19:$B$201,'Шаг2.Бланк заказа NEW'!$A$19:$A$201),2,0),
VLOOKUP(A228+1-COUNT('Шаг2.Бланк заказа NEW'!$B$19:$B$201),CHOOSE({1,2},'Бланк OLD 0.8 04'!$B$18:$B$200,'Бланк OLD 0.8 04'!$A$18:$A$200),2,0)),
VLOOKUP(A228+1-COUNT('Шаг2.Бланк заказа NEW'!$B$19:$B$201)-COUNT('Бланк OLD 0.8 04'!$B$18:$B$200),CHOOSE({1,2},'Бланк OLD 2.0 04 '!$B$18:$B$200,'Бланк OLD 2.0 04 '!$A$18:$A$200),2,0)),"")</f>
        <v/>
      </c>
      <c r="D229" s="150" t="str">
        <f ca="1">IFERROR(VLOOKUP(C229,'Шаг1.Выбор плиты'!C:G,5,0),"")</f>
        <v/>
      </c>
      <c r="E229" s="147" t="str">
        <f ca="1">IFERROR(IFERROR(IF(VLOOKUP($A229,'Шаг2.Бланк заказа NEW'!$B$17:$N$201,2,0)="","",VLOOKUP($A229,'Шаг2.Бланк заказа NEW'!$B$17:$N$201,2,0)),
IF(VLOOKUP($A229-COUNT('Шаг2.Бланк заказа NEW'!$B$19:$B$201),'Бланк OLD 0.8 04'!$B$12:$K$200,2,0)="","",VLOOKUP($A229-COUNT('Шаг2.Бланк заказа NEW'!$B$19:$B$201),'Бланк OLD 0.8 04'!$B$12:$K$200,2,0))),
IF(VLOOKUP($A229-COUNT('Шаг2.Бланк заказа NEW'!$B$19:$B$201)-COUNT('Бланк OLD 0.8 04'!$B$18:$B$200),'Бланк OLD 2.0 04 '!$B$16:$K$200,2,0)="","",VLOOKUP($A229-COUNT('Шаг2.Бланк заказа NEW'!$B$19:$B$201)-COUNT('Бланк OLD 0.8 04'!$B$18:$B$200),'Бланк OLD 2.0 04 '!$B$16:$K$200,2,0)))</f>
        <v/>
      </c>
      <c r="F229" s="147" t="str">
        <f ca="1">IFERROR(IFERROR(IF(VLOOKUP($A229,'Шаг2.Бланк заказа NEW'!$B$17:$N$201,3,0)="","",VLOOKUP($A229,'Шаг2.Бланк заказа NEW'!$B$17:$N$201,3,0)),
IF(VLOOKUP($A229-COUNT('Шаг2.Бланк заказа NEW'!$B$19:$B$201),'Бланк OLD 0.8 04'!$B$12:$K$200,3,0)="","",VLOOKUP($A229-COUNT('Шаг2.Бланк заказа NEW'!$B$19:$B$201),'Бланк OLD 0.8 04'!$B$12:$K$200,3,0))),
IF(VLOOKUP($A229-COUNT('Шаг2.Бланк заказа NEW'!$B$19:$B$201)-COUNT('Бланк OLD 0.8 04'!$B$18:$B$200),'Бланк OLD 2.0 04 '!$B$16:$K$200,3,0)="","",VLOOKUP($A229-COUNT('Шаг2.Бланк заказа NEW'!$B$19:$B$201)-COUNT('Бланк OLD 0.8 04'!$B$18:$B$200),'Бланк OLD 2.0 04 '!$B$16:$K$200,3,0)))</f>
        <v/>
      </c>
      <c r="G229" s="176" t="str">
        <f ca="1">IF(IF(R229="","",IF(R229=1,SUMIFS('Шаг1.Выбор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плиты'!C:Q,12,0)),1))))))=0,
R229,
IF(R229="","",IF(R229=1,SUMIFS('Шаг1.Выбор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плиты'!N:N,R229,'Шаг1.Выбор плиты'!M:M,SMALL(INDIRECT("мм"&amp;VLOOKUP(C229,'Шаг1.Выбор плиты'!C:Q,12,0)),1)))))))</f>
        <v/>
      </c>
      <c r="H229" s="177" t="str">
        <f ca="1">IF(IF(S229="","",IF(S229=1,SUMIFS('Шаг1.Выбор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плиты'!C:Q,12,0)),1))))))=0,
S229,
IF(S229="","",IF(S229=1,SUMIFS('Шаг1.Выбор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плиты'!N:N,S229,'Шаг1.Выбор плиты'!M:M,SMALL(INDIRECT("мм"&amp;VLOOKUP(C229,'Шаг1.Выбор плиты'!C:Q,12,0)),1)))))))</f>
        <v/>
      </c>
      <c r="I229" s="147" t="str">
        <f ca="1">IFERROR(IFERROR(IF(VLOOKUP($A229,'Шаг2.Бланк заказа NEW'!$B$17:$N$201,6,0)="","",VLOOKUP($A229,'Шаг2.Бланк заказа NEW'!$B$17:$N$201,6,0)),
IF(VLOOKUP($A229-COUNT('Шаг2.Бланк заказа NEW'!$B$19:$B$201),'Бланк OLD 0.8 04'!$B$12:$K$200,6,0)="","",VLOOKUP($A229-COUNT('Шаг2.Бланк заказа NEW'!$B$19:$B$201),'Бланк OLD 0.8 04'!$B$12:$K$200,6,0))),
IF(VLOOKUP($A229-COUNT('Шаг2.Бланк заказа NEW'!$B$19:$B$201)-COUNT('Бланк OLD 0.8 04'!$B$18:$B$200),'Бланк OLD 2.0 04 '!$B$16:$K$200,6,0)="","",VLOOKUP($A229-COUNT('Шаг2.Бланк заказа NEW'!$B$19:$B$201)-COUNT('Бланк OLD 0.8 04'!$B$18:$B$200),'Бланк OLD 2.0 04 '!$B$16:$K$200,6,0)))</f>
        <v/>
      </c>
      <c r="J229" s="177" t="str">
        <f ca="1">IF(IF(T229="","",IF(T229=1,SUMIFS('Шаг1.Выбор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плиты'!C:Q,12,0)),1))))))=0,
T229,
IF(T229="","",IF(T229=1,SUMIFS('Шаг1.Выбор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плиты'!N:N,T229,'Шаг1.Выбор плиты'!M:M,SMALL(INDIRECT("мм"&amp;VLOOKUP(C229,'Шаг1.Выбор плиты'!C:Q,12,0)),1)))))))</f>
        <v/>
      </c>
      <c r="K229" s="177" t="str">
        <f ca="1">IF(IF(U229="","",IF(U229=1,SUMIFS('Шаг1.Выбор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плиты'!C:Q,12,0)),1))))))=0,
U229,
IF(U229="","",IF(U229=1,SUMIFS('Шаг1.Выбор плиты'!$G:$G,'Шаг1.Выбор плиты'!J:J,"*"&amp;RIGHT(VLOOKUP(C229,'Шаг1.Выбор плиты'!C:Q,8,0),4),'Шаг1.Выбор плиты'!L:L,IF(MID(C229,1,6)="ЛДСП P","TM"&amp;MID(VLOOKUP(C229,'Шаг1.Выбор плиты'!C:Q,10,0),3,2),MID(VLOOKUP(C229,'Шаг1.Выбор плиты'!C:Q,10,0),1,2)),
'Шаг1.Выбор плиты'!N:N,1),IF(SUMIFS('Шаг1.Выбор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плиты'!C:Q,12,0)),1))=0,
IF(SUMIFS('Шаг1.Выбор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плиты'!C:Q,12,0)),2))=0,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плиты'!C:Q,12,0)),3)),
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плиты'!C:Q,12,0)),2))),
(SUMIFS('Шаг1.Выбор плиты'!$G:$G,'Шаг1.Выбор плиты'!J:J,"*"&amp;RIGHT(VLOOKUP(C229,'Шаг1.Выбор плиты'!C:Q,8,0),4),'Шаг1.Выбор плиты'!L:L,VLOOKUP(C229,'Шаг1.Выбор плиты'!C:Q,10,0),'Шаг1.Выбор плиты'!N:N,U229,'Шаг1.Выбор плиты'!M:M,SMALL(INDIRECT("мм"&amp;VLOOKUP(C229,'Шаг1.Выбор плиты'!C:Q,12,0)),1)))))))</f>
        <v/>
      </c>
      <c r="L229" s="147" t="str">
        <f ca="1">IFERROR(IFERROR(IF(VLOOKUP($A229,'Шаг2.Бланк заказа NEW'!$B$17:$N$201,9,0)="","",VLOOKUP($A229,'Шаг2.Бланк заказа NEW'!$B$17:$N$201,9,0)),
IF(VLOOKUP($A229-COUNT('Шаг2.Бланк заказа NEW'!$B$19:$B$201),'Бланк OLD 0.8 04'!$B$12:$K$200,9,0)="","",VLOOKUP($A229-COUNT('Шаг2.Бланк заказа NEW'!$B$19:$B$201),'Бланк OLD 0.8 04'!$B$12:$K$200,9,0))),
IF(VLOOKUP($A229-COUNT('Шаг2.Бланк заказа NEW'!$B$19:$B$201)-COUNT('Бланк OLD 0.8 04'!$B$18:$B$200),'Бланк OLD 2.0 04 '!$B$16:$K$200,9,0)="","",VLOOKUP($A229-COUNT('Шаг2.Бланк заказа NEW'!$B$19:$B$201)-COUNT('Бланк OLD 0.8 04'!$B$18:$B$200),'Бланк OLD 2.0 04 '!$B$16:$K$200,9,0)))</f>
        <v/>
      </c>
      <c r="M229" s="154" t="str">
        <f t="shared" ca="1" si="20"/>
        <v/>
      </c>
      <c r="N229" s="153" t="str">
        <f ca="1">IFERROR(IF(VLOOKUP($A229,'Шаг2.Бланк заказа NEW'!$B$17:$N$201,11,0)="","",VLOOKUP($A229,'Шаг2.Бланк заказа NEW'!$B$17:$N$201,11,0)),
"Нет")</f>
        <v/>
      </c>
      <c r="O229" s="147" t="str">
        <f ca="1">IFERROR(IF(VLOOKUP($A229,'Шаг2.Бланк заказа NEW'!$B$17:$N$201,11,0)="","",VLOOKUP($A229,'Шаг2.Бланк заказа NEW'!$B$17:$N$201,12,0)),
"Нет")</f>
        <v/>
      </c>
      <c r="P229" s="153" t="str">
        <f ca="1">IFERROR(IF(VLOOKUP($A229,'Шаг2.Бланк заказа NEW'!$B$17:$N$201,13,0)="","",VLOOKUP($A229,'Шаг2.Бланк заказа NEW'!$B$17:$N$201,13,0)),
"Нет")</f>
        <v/>
      </c>
      <c r="Q229" s="147" t="str">
        <f ca="1">IFERROR(IF(VLOOKUP($A229,'Шаг2.Бланк заказа NEW'!$B$17:$O$201,14,0)="","",VLOOKUP($A229,'Шаг2.Бланк заказа NEW'!$B$17:$O$201,14,0)),"")</f>
        <v/>
      </c>
      <c r="R229" s="147" t="str">
        <f ca="1">IFERROR(IFERROR(IF(VLOOKUP($A229,'Шаг2.Бланк заказа NEW'!$B$17:$N$201,4,0)="","",VLOOKUP($A229,'Шаг2.Бланк заказа NEW'!$B$17:$N$201,4,0)),
IF(VLOOKUP($A229-COUNT('Шаг2.Бланк заказа NEW'!$B$19:$B$201),'Бланк OLD 0.8 04'!$B$12:$K$200,4,0)&gt;0,0.8,
IF(VLOOKUP($A229-COUNT('Шаг2.Бланк заказа NEW'!$B$19:$B$201),'Бланк OLD 0.8 04'!$B$12:$K$200,5,0)&gt;0,0.4,""))),
IF(VLOOKUP($A229-COUNT('Шаг2.Бланк заказа NEW'!$B$19:$B$201)-COUNT('Бланк OLD 0.8 04'!$B$18:$B$200),'Бланк OLD 2.0 04 '!$B$16:$K$200,4,0)&gt;0,2,IF(VLOOKUP($A229-COUNT('Шаг2.Бланк заказа NEW'!$B$19:$B$201)-COUNT('Бланк OLD 0.8 04'!$B$18:$B$200),'Бланк OLD 2.0 04 '!$B$16:$K$200,5,0)&gt;0,0.4,"")))</f>
        <v/>
      </c>
      <c r="S229" s="147" t="str">
        <f ca="1">IFERROR(IFERROR(IF(VLOOKUP($A229,'Шаг2.Бланк заказа NEW'!$B$17:$N$201,5,0)="","",VLOOKUP($A229,'Шаг2.Бланк заказа NEW'!$B$17:$N$201,5,0)),
IF(VLOOKUP($A229-COUNT('Шаг2.Бланк заказа NEW'!$B$19:$B$201),'Бланк OLD 0.8 04'!$B$12:$K$200,4,0)&gt;1,0.8,
IF(VLOOKUP($A229-COUNT('Шаг2.Бланк заказа NEW'!$B$19:$B$201),'Бланк OLD 0.8 04'!$B$12:$K$200,5,0)&gt;1,0.4,
IF(AND(VLOOKUP($A229-COUNT('Шаг2.Бланк заказа NEW'!$B$19:$B$201),'Бланк OLD 0.8 04'!$B$12:$K$200,4,0)&gt;0,VLOOKUP($A229-COUNT('Шаг2.Бланк заказа NEW'!$B$19:$B$201),'Бланк OLD 0.8 04'!$B$12:$K$200,5,0)&gt;0),0.4,"")))),
IF(VLOOKUP($A229-COUNT('Шаг2.Бланк заказа NEW'!$B$19:$B$201)-COUNT('Бланк OLD 0.8 04'!$B$18:$B$200),'Бланк OLD 2.0 04 '!$B$16:$K$200,4,0)&gt;1,2,
IF(VLOOKUP($A229-COUNT('Шаг2.Бланк заказа NEW'!$B$19:$B$201)-COUNT('Бланк OLD 0.8 04'!$B$18:$B$200),'Бланк OLD 2.0 04 '!$B$16:$K$200,5,0)&gt;1,0.4,IF(AND(VLOOKUP($A229-COUNT('Шаг2.Бланк заказа NEW'!$B$19:$B$201)-COUNT('Бланк OLD 0.8 04'!$B$18:$B$200),'Бланк OLD 2.0 04 '!$B$16:$K$200,4,0)&gt;0,VLOOKUP($A229-COUNT('Шаг2.Бланк заказа NEW'!$B$19:$B$201)-COUNT('Бланк OLD 0.8 04'!$B$18:$B$200),'Бланк OLD 2.0 04 '!$B$16:$K$200,5,0)&gt;0),0.4,""))))</f>
        <v/>
      </c>
      <c r="T229" s="147" t="str">
        <f ca="1">IFERROR(IFERROR(IF(VLOOKUP($A229,'Шаг2.Бланк заказа NEW'!$B$17:$N$201,7,0)="","",VLOOKUP($A229,'Шаг2.Бланк заказа NEW'!$B$17:$N$201,7,0)),
IF(VLOOKUP($A229-COUNT('Шаг2.Бланк заказа NEW'!$B$19:$B$201),'Бланк OLD 0.8 04'!$B$12:$K$200,7,0)&gt;0,0.8,
IF(VLOOKUP($A229-COUNT('Шаг2.Бланк заказа NEW'!$B$19:$B$201),'Бланк OLD 0.8 04'!$B$12:$K$200,8,0)&gt;0,0.4,""))),
IF(VLOOKUP($A229-COUNT('Шаг2.Бланк заказа NEW'!$B$19:$B$201)-COUNT('Бланк OLD 0.8 04'!$B$18:$B$200),'Бланк OLD 2.0 04 '!$B$16:$K$200,7,0)&gt;0,2,IF(VLOOKUP($A229-COUNT('Шаг2.Бланк заказа NEW'!$B$19:$B$201)-COUNT('Бланк OLD 0.8 04'!$B$18:$B$200),'Бланк OLD 2.0 04 '!$B$16:$K$200,8,0)&gt;0,0.4,"")))</f>
        <v/>
      </c>
      <c r="U229" s="147" t="str">
        <f ca="1">IFERROR(IFERROR(IF(VLOOKUP($A229,'Шаг2.Бланк заказа NEW'!$B$17:$N$201,8,0)="","",VLOOKUP($A229,'Шаг2.Бланк заказа NEW'!$B$17:$N$201,8,0)),
IF(VLOOKUP($A229-COUNT('Шаг2.Бланк заказа NEW'!$B$19:$B$201),'Бланк OLD 0.8 04'!$B$12:$K$200,7,0)&gt;1,0.8,
IF(VLOOKUP($A229-COUNT('Шаг2.Бланк заказа NEW'!$B$19:$B$201),'Бланк OLD 0.8 04'!$B$12:$K$200,8,0)&gt;1,0.4,
IF(AND(VLOOKUP($A229-COUNT('Шаг2.Бланк заказа NEW'!$B$19:$B$201),'Бланк OLD 0.8 04'!$B$12:$K$200,7,0)&gt;0,VLOOKUP($A229-COUNT('Шаг2.Бланк заказа NEW'!$B$19:$B$201),'Бланк OLD 0.8 04'!$B$12:$K$200,8,0)&gt;0),0.4,"")))),
IF(VLOOKUP($A229-COUNT('Шаг2.Бланк заказа NEW'!$B$19:$B$201)-COUNT('Бланк OLD 0.8 04'!$B$18:$B$200),'Бланк OLD 2.0 04 '!$B$16:$K$200,7,0)&gt;1,2,
IF(VLOOKUP($A229-COUNT('Шаг2.Бланк заказа NEW'!$B$19:$B$201)-COUNT('Бланк OLD 0.8 04'!$B$18:$B$200),'Бланк OLD 2.0 04 '!$B$16:$K$200,8,0)&gt;1,0.4,
IF(AND(VLOOKUP($A229-COUNT('Шаг2.Бланк заказа NEW'!$B$19:$B$201)-COUNT('Бланк OLD 0.8 04'!$B$18:$B$200),'Бланк OLD 2.0 04 '!$B$16:$K$200,7,0)&gt;0,VLOOKUP($A229-COUNT('Шаг2.Бланк заказа NEW'!$B$19:$B$201)-COUNT('Бланк OLD 0.8 04'!$B$18:$B$200),'Бланк OLD 2.0 04 '!$B$16:$K$200,8,0)&gt;0),0.4,""))))</f>
        <v/>
      </c>
      <c r="V229" s="146" t="str">
        <f ca="1">IFERROR(VLOOKUP(C229,'Шаг1.Выбор плиты'!C:S,12,0),"")</f>
        <v/>
      </c>
      <c r="W229" s="146" t="str">
        <f ca="1">IFERROR(VLOOKUP(C229,'Шаг1.Выбор плиты'!C:S,8,0),"")</f>
        <v/>
      </c>
      <c r="X229" s="146" t="str">
        <f ca="1">IFERROR(VLOOKUP(C229,'Шаг1.Выбор плиты'!C:S,10,0),"")</f>
        <v/>
      </c>
      <c r="Y229" s="147" t="str">
        <f t="shared" ca="1" si="18"/>
        <v/>
      </c>
      <c r="AD229" s="147" t="str">
        <f t="shared" ca="1" si="21"/>
        <v/>
      </c>
      <c r="AE229" s="147" t="str">
        <f t="shared" ca="1" si="19"/>
        <v/>
      </c>
      <c r="AF229" s="25"/>
      <c r="AH229" s="147" t="str">
        <f ca="1">IF(C229="","",VLOOKUP(C229,'Шаг1.Выбор плиты'!C:Q,7,0))</f>
        <v/>
      </c>
      <c r="AI229" s="147" t="str">
        <f t="shared" ca="1" si="22"/>
        <v/>
      </c>
    </row>
    <row r="230" spans="1:35" x14ac:dyDescent="0.2">
      <c r="A230" s="151" t="str">
        <f ca="1">IF(C230="","",MAX($A$1:OFFSET(C230,-1,0))+1)</f>
        <v/>
      </c>
      <c r="B230" s="151" t="str">
        <f ca="1">IFERROR(IFERROR(IFERROR("Шаг2.Бланк заказа NEW №"&amp;VLOOKUP(A229+1,CHOOSE({1,2},'Шаг2.Бланк заказа NEW'!$B$19:$B$201,'Шаг2.Бланк заказа NEW'!$A$19:$A$201),1,0),
"Бланк OLD 0.8 04 №"&amp;VLOOKUP(A229+1-COUNT('Шаг2.Бланк заказа NEW'!$B$19:$B$201),CHOOSE({1,2},'Бланк OLD 0.8 04'!$B$18:$B$200,'Бланк OLD 0.8 04'!$A$18:$A$200),1,0)),
"Бланк OLD 2.0 04 №"&amp;VLOOKUP(A229+1-COUNT('Шаг2.Бланк заказа NEW'!$B$19:$B$201)-COUNT('Бланк OLD 0.8 04'!$B$18:$B$200),CHOOSE({1,2},'Бланк OLD 2.0 04 '!$B$18:$B$200,'Бланк OLD 2.0 04 '!$A$18:$A$200),1,0)),"")</f>
        <v/>
      </c>
      <c r="C230" s="152" t="str">
        <f ca="1">IFERROR(IFERROR(IFERROR(VLOOKUP(A229+1,CHOOSE({1,2},'Шаг2.Бланк заказа NEW'!$B$19:$B$201,'Шаг2.Бланк заказа NEW'!$A$19:$A$201),2,0),
VLOOKUP(A229+1-COUNT('Шаг2.Бланк заказа NEW'!$B$19:$B$201),CHOOSE({1,2},'Бланк OLD 0.8 04'!$B$18:$B$200,'Бланк OLD 0.8 04'!$A$18:$A$200),2,0)),
VLOOKUP(A229+1-COUNT('Шаг2.Бланк заказа NEW'!$B$19:$B$201)-COUNT('Бланк OLD 0.8 04'!$B$18:$B$200),CHOOSE({1,2},'Бланк OLD 2.0 04 '!$B$18:$B$200,'Бланк OLD 2.0 04 '!$A$18:$A$200),2,0)),"")</f>
        <v/>
      </c>
      <c r="D230" s="150" t="str">
        <f ca="1">IFERROR(VLOOKUP(C230,'Шаг1.Выбор плиты'!C:G,5,0),"")</f>
        <v/>
      </c>
      <c r="E230" s="147" t="str">
        <f ca="1">IFERROR(IFERROR(IF(VLOOKUP($A230,'Шаг2.Бланк заказа NEW'!$B$17:$N$201,2,0)="","",VLOOKUP($A230,'Шаг2.Бланк заказа NEW'!$B$17:$N$201,2,0)),
IF(VLOOKUP($A230-COUNT('Шаг2.Бланк заказа NEW'!$B$19:$B$201),'Бланк OLD 0.8 04'!$B$12:$K$200,2,0)="","",VLOOKUP($A230-COUNT('Шаг2.Бланк заказа NEW'!$B$19:$B$201),'Бланк OLD 0.8 04'!$B$12:$K$200,2,0))),
IF(VLOOKUP($A230-COUNT('Шаг2.Бланк заказа NEW'!$B$19:$B$201)-COUNT('Бланк OLD 0.8 04'!$B$18:$B$200),'Бланк OLD 2.0 04 '!$B$16:$K$200,2,0)="","",VLOOKUP($A230-COUNT('Шаг2.Бланк заказа NEW'!$B$19:$B$201)-COUNT('Бланк OLD 0.8 04'!$B$18:$B$200),'Бланк OLD 2.0 04 '!$B$16:$K$200,2,0)))</f>
        <v/>
      </c>
      <c r="F230" s="147" t="str">
        <f ca="1">IFERROR(IFERROR(IF(VLOOKUP($A230,'Шаг2.Бланк заказа NEW'!$B$17:$N$201,3,0)="","",VLOOKUP($A230,'Шаг2.Бланк заказа NEW'!$B$17:$N$201,3,0)),
IF(VLOOKUP($A230-COUNT('Шаг2.Бланк заказа NEW'!$B$19:$B$201),'Бланк OLD 0.8 04'!$B$12:$K$200,3,0)="","",VLOOKUP($A230-COUNT('Шаг2.Бланк заказа NEW'!$B$19:$B$201),'Бланк OLD 0.8 04'!$B$12:$K$200,3,0))),
IF(VLOOKUP($A230-COUNT('Шаг2.Бланк заказа NEW'!$B$19:$B$201)-COUNT('Бланк OLD 0.8 04'!$B$18:$B$200),'Бланк OLD 2.0 04 '!$B$16:$K$200,3,0)="","",VLOOKUP($A230-COUNT('Шаг2.Бланк заказа NEW'!$B$19:$B$201)-COUNT('Бланк OLD 0.8 04'!$B$18:$B$200),'Бланк OLD 2.0 04 '!$B$16:$K$200,3,0)))</f>
        <v/>
      </c>
      <c r="G230" s="176" t="str">
        <f ca="1">IF(IF(R230="","",IF(R230=1,SUMIFS('Шаг1.Выбор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плиты'!C:Q,12,0)),1))))))=0,
R230,
IF(R230="","",IF(R230=1,SUMIFS('Шаг1.Выбор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плиты'!N:N,R230,'Шаг1.Выбор плиты'!M:M,SMALL(INDIRECT("мм"&amp;VLOOKUP(C230,'Шаг1.Выбор плиты'!C:Q,12,0)),1)))))))</f>
        <v/>
      </c>
      <c r="H230" s="177" t="str">
        <f ca="1">IF(IF(S230="","",IF(S230=1,SUMIFS('Шаг1.Выбор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плиты'!C:Q,12,0)),1))))))=0,
S230,
IF(S230="","",IF(S230=1,SUMIFS('Шаг1.Выбор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плиты'!N:N,S230,'Шаг1.Выбор плиты'!M:M,SMALL(INDIRECT("мм"&amp;VLOOKUP(C230,'Шаг1.Выбор плиты'!C:Q,12,0)),1)))))))</f>
        <v/>
      </c>
      <c r="I230" s="147" t="str">
        <f ca="1">IFERROR(IFERROR(IF(VLOOKUP($A230,'Шаг2.Бланк заказа NEW'!$B$17:$N$201,6,0)="","",VLOOKUP($A230,'Шаг2.Бланк заказа NEW'!$B$17:$N$201,6,0)),
IF(VLOOKUP($A230-COUNT('Шаг2.Бланк заказа NEW'!$B$19:$B$201),'Бланк OLD 0.8 04'!$B$12:$K$200,6,0)="","",VLOOKUP($A230-COUNT('Шаг2.Бланк заказа NEW'!$B$19:$B$201),'Бланк OLD 0.8 04'!$B$12:$K$200,6,0))),
IF(VLOOKUP($A230-COUNT('Шаг2.Бланк заказа NEW'!$B$19:$B$201)-COUNT('Бланк OLD 0.8 04'!$B$18:$B$200),'Бланк OLD 2.0 04 '!$B$16:$K$200,6,0)="","",VLOOKUP($A230-COUNT('Шаг2.Бланк заказа NEW'!$B$19:$B$201)-COUNT('Бланк OLD 0.8 04'!$B$18:$B$200),'Бланк OLD 2.0 04 '!$B$16:$K$200,6,0)))</f>
        <v/>
      </c>
      <c r="J230" s="177" t="str">
        <f ca="1">IF(IF(T230="","",IF(T230=1,SUMIFS('Шаг1.Выбор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плиты'!C:Q,12,0)),1))))))=0,
T230,
IF(T230="","",IF(T230=1,SUMIFS('Шаг1.Выбор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плиты'!N:N,T230,'Шаг1.Выбор плиты'!M:M,SMALL(INDIRECT("мм"&amp;VLOOKUP(C230,'Шаг1.Выбор плиты'!C:Q,12,0)),1)))))))</f>
        <v/>
      </c>
      <c r="K230" s="177" t="str">
        <f ca="1">IF(IF(U230="","",IF(U230=1,SUMIFS('Шаг1.Выбор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плиты'!C:Q,12,0)),1))))))=0,
U230,
IF(U230="","",IF(U230=1,SUMIFS('Шаг1.Выбор плиты'!$G:$G,'Шаг1.Выбор плиты'!J:J,"*"&amp;RIGHT(VLOOKUP(C230,'Шаг1.Выбор плиты'!C:Q,8,0),4),'Шаг1.Выбор плиты'!L:L,IF(MID(C230,1,6)="ЛДСП P","TM"&amp;MID(VLOOKUP(C230,'Шаг1.Выбор плиты'!C:Q,10,0),3,2),MID(VLOOKUP(C230,'Шаг1.Выбор плиты'!C:Q,10,0),1,2)),
'Шаг1.Выбор плиты'!N:N,1),IF(SUMIFS('Шаг1.Выбор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плиты'!C:Q,12,0)),1))=0,
IF(SUMIFS('Шаг1.Выбор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плиты'!C:Q,12,0)),2))=0,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плиты'!C:Q,12,0)),3)),
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плиты'!C:Q,12,0)),2))),
(SUMIFS('Шаг1.Выбор плиты'!$G:$G,'Шаг1.Выбор плиты'!J:J,"*"&amp;RIGHT(VLOOKUP(C230,'Шаг1.Выбор плиты'!C:Q,8,0),4),'Шаг1.Выбор плиты'!L:L,VLOOKUP(C230,'Шаг1.Выбор плиты'!C:Q,10,0),'Шаг1.Выбор плиты'!N:N,U230,'Шаг1.Выбор плиты'!M:M,SMALL(INDIRECT("мм"&amp;VLOOKUP(C230,'Шаг1.Выбор плиты'!C:Q,12,0)),1)))))))</f>
        <v/>
      </c>
      <c r="L230" s="147" t="str">
        <f ca="1">IFERROR(IFERROR(IF(VLOOKUP($A230,'Шаг2.Бланк заказа NEW'!$B$17:$N$201,9,0)="","",VLOOKUP($A230,'Шаг2.Бланк заказа NEW'!$B$17:$N$201,9,0)),
IF(VLOOKUP($A230-COUNT('Шаг2.Бланк заказа NEW'!$B$19:$B$201),'Бланк OLD 0.8 04'!$B$12:$K$200,9,0)="","",VLOOKUP($A230-COUNT('Шаг2.Бланк заказа NEW'!$B$19:$B$201),'Бланк OLD 0.8 04'!$B$12:$K$200,9,0))),
IF(VLOOKUP($A230-COUNT('Шаг2.Бланк заказа NEW'!$B$19:$B$201)-COUNT('Бланк OLD 0.8 04'!$B$18:$B$200),'Бланк OLD 2.0 04 '!$B$16:$K$200,9,0)="","",VLOOKUP($A230-COUNT('Шаг2.Бланк заказа NEW'!$B$19:$B$201)-COUNT('Бланк OLD 0.8 04'!$B$18:$B$200),'Бланк OLD 2.0 04 '!$B$16:$K$200,9,0)))</f>
        <v/>
      </c>
      <c r="M230" s="154" t="str">
        <f t="shared" ca="1" si="20"/>
        <v/>
      </c>
      <c r="N230" s="153" t="str">
        <f ca="1">IFERROR(IF(VLOOKUP($A230,'Шаг2.Бланк заказа NEW'!$B$17:$N$201,11,0)="","",VLOOKUP($A230,'Шаг2.Бланк заказа NEW'!$B$17:$N$201,11,0)),
"Нет")</f>
        <v/>
      </c>
      <c r="O230" s="147" t="str">
        <f ca="1">IFERROR(IF(VLOOKUP($A230,'Шаг2.Бланк заказа NEW'!$B$17:$N$201,11,0)="","",VLOOKUP($A230,'Шаг2.Бланк заказа NEW'!$B$17:$N$201,12,0)),
"Нет")</f>
        <v/>
      </c>
      <c r="P230" s="153" t="str">
        <f ca="1">IFERROR(IF(VLOOKUP($A230,'Шаг2.Бланк заказа NEW'!$B$17:$N$201,13,0)="","",VLOOKUP($A230,'Шаг2.Бланк заказа NEW'!$B$17:$N$201,13,0)),
"Нет")</f>
        <v/>
      </c>
      <c r="Q230" s="147" t="str">
        <f ca="1">IFERROR(IF(VLOOKUP($A230,'Шаг2.Бланк заказа NEW'!$B$17:$O$201,14,0)="","",VLOOKUP($A230,'Шаг2.Бланк заказа NEW'!$B$17:$O$201,14,0)),"")</f>
        <v/>
      </c>
      <c r="R230" s="147" t="str">
        <f ca="1">IFERROR(IFERROR(IF(VLOOKUP($A230,'Шаг2.Бланк заказа NEW'!$B$17:$N$201,4,0)="","",VLOOKUP($A230,'Шаг2.Бланк заказа NEW'!$B$17:$N$201,4,0)),
IF(VLOOKUP($A230-COUNT('Шаг2.Бланк заказа NEW'!$B$19:$B$201),'Бланк OLD 0.8 04'!$B$12:$K$200,4,0)&gt;0,0.8,
IF(VLOOKUP($A230-COUNT('Шаг2.Бланк заказа NEW'!$B$19:$B$201),'Бланк OLD 0.8 04'!$B$12:$K$200,5,0)&gt;0,0.4,""))),
IF(VLOOKUP($A230-COUNT('Шаг2.Бланк заказа NEW'!$B$19:$B$201)-COUNT('Бланк OLD 0.8 04'!$B$18:$B$200),'Бланк OLD 2.0 04 '!$B$16:$K$200,4,0)&gt;0,2,IF(VLOOKUP($A230-COUNT('Шаг2.Бланк заказа NEW'!$B$19:$B$201)-COUNT('Бланк OLD 0.8 04'!$B$18:$B$200),'Бланк OLD 2.0 04 '!$B$16:$K$200,5,0)&gt;0,0.4,"")))</f>
        <v/>
      </c>
      <c r="S230" s="147" t="str">
        <f ca="1">IFERROR(IFERROR(IF(VLOOKUP($A230,'Шаг2.Бланк заказа NEW'!$B$17:$N$201,5,0)="","",VLOOKUP($A230,'Шаг2.Бланк заказа NEW'!$B$17:$N$201,5,0)),
IF(VLOOKUP($A230-COUNT('Шаг2.Бланк заказа NEW'!$B$19:$B$201),'Бланк OLD 0.8 04'!$B$12:$K$200,4,0)&gt;1,0.8,
IF(VLOOKUP($A230-COUNT('Шаг2.Бланк заказа NEW'!$B$19:$B$201),'Бланк OLD 0.8 04'!$B$12:$K$200,5,0)&gt;1,0.4,
IF(AND(VLOOKUP($A230-COUNT('Шаг2.Бланк заказа NEW'!$B$19:$B$201),'Бланк OLD 0.8 04'!$B$12:$K$200,4,0)&gt;0,VLOOKUP($A230-COUNT('Шаг2.Бланк заказа NEW'!$B$19:$B$201),'Бланк OLD 0.8 04'!$B$12:$K$200,5,0)&gt;0),0.4,"")))),
IF(VLOOKUP($A230-COUNT('Шаг2.Бланк заказа NEW'!$B$19:$B$201)-COUNT('Бланк OLD 0.8 04'!$B$18:$B$200),'Бланк OLD 2.0 04 '!$B$16:$K$200,4,0)&gt;1,2,
IF(VLOOKUP($A230-COUNT('Шаг2.Бланк заказа NEW'!$B$19:$B$201)-COUNT('Бланк OLD 0.8 04'!$B$18:$B$200),'Бланк OLD 2.0 04 '!$B$16:$K$200,5,0)&gt;1,0.4,IF(AND(VLOOKUP($A230-COUNT('Шаг2.Бланк заказа NEW'!$B$19:$B$201)-COUNT('Бланк OLD 0.8 04'!$B$18:$B$200),'Бланк OLD 2.0 04 '!$B$16:$K$200,4,0)&gt;0,VLOOKUP($A230-COUNT('Шаг2.Бланк заказа NEW'!$B$19:$B$201)-COUNT('Бланк OLD 0.8 04'!$B$18:$B$200),'Бланк OLD 2.0 04 '!$B$16:$K$200,5,0)&gt;0),0.4,""))))</f>
        <v/>
      </c>
      <c r="T230" s="147" t="str">
        <f ca="1">IFERROR(IFERROR(IF(VLOOKUP($A230,'Шаг2.Бланк заказа NEW'!$B$17:$N$201,7,0)="","",VLOOKUP($A230,'Шаг2.Бланк заказа NEW'!$B$17:$N$201,7,0)),
IF(VLOOKUP($A230-COUNT('Шаг2.Бланк заказа NEW'!$B$19:$B$201),'Бланк OLD 0.8 04'!$B$12:$K$200,7,0)&gt;0,0.8,
IF(VLOOKUP($A230-COUNT('Шаг2.Бланк заказа NEW'!$B$19:$B$201),'Бланк OLD 0.8 04'!$B$12:$K$200,8,0)&gt;0,0.4,""))),
IF(VLOOKUP($A230-COUNT('Шаг2.Бланк заказа NEW'!$B$19:$B$201)-COUNT('Бланк OLD 0.8 04'!$B$18:$B$200),'Бланк OLD 2.0 04 '!$B$16:$K$200,7,0)&gt;0,2,IF(VLOOKUP($A230-COUNT('Шаг2.Бланк заказа NEW'!$B$19:$B$201)-COUNT('Бланк OLD 0.8 04'!$B$18:$B$200),'Бланк OLD 2.0 04 '!$B$16:$K$200,8,0)&gt;0,0.4,"")))</f>
        <v/>
      </c>
      <c r="U230" s="147" t="str">
        <f ca="1">IFERROR(IFERROR(IF(VLOOKUP($A230,'Шаг2.Бланк заказа NEW'!$B$17:$N$201,8,0)="","",VLOOKUP($A230,'Шаг2.Бланк заказа NEW'!$B$17:$N$201,8,0)),
IF(VLOOKUP($A230-COUNT('Шаг2.Бланк заказа NEW'!$B$19:$B$201),'Бланк OLD 0.8 04'!$B$12:$K$200,7,0)&gt;1,0.8,
IF(VLOOKUP($A230-COUNT('Шаг2.Бланк заказа NEW'!$B$19:$B$201),'Бланк OLD 0.8 04'!$B$12:$K$200,8,0)&gt;1,0.4,
IF(AND(VLOOKUP($A230-COUNT('Шаг2.Бланк заказа NEW'!$B$19:$B$201),'Бланк OLD 0.8 04'!$B$12:$K$200,7,0)&gt;0,VLOOKUP($A230-COUNT('Шаг2.Бланк заказа NEW'!$B$19:$B$201),'Бланк OLD 0.8 04'!$B$12:$K$200,8,0)&gt;0),0.4,"")))),
IF(VLOOKUP($A230-COUNT('Шаг2.Бланк заказа NEW'!$B$19:$B$201)-COUNT('Бланк OLD 0.8 04'!$B$18:$B$200),'Бланк OLD 2.0 04 '!$B$16:$K$200,7,0)&gt;1,2,
IF(VLOOKUP($A230-COUNT('Шаг2.Бланк заказа NEW'!$B$19:$B$201)-COUNT('Бланк OLD 0.8 04'!$B$18:$B$200),'Бланк OLD 2.0 04 '!$B$16:$K$200,8,0)&gt;1,0.4,
IF(AND(VLOOKUP($A230-COUNT('Шаг2.Бланк заказа NEW'!$B$19:$B$201)-COUNT('Бланк OLD 0.8 04'!$B$18:$B$200),'Бланк OLD 2.0 04 '!$B$16:$K$200,7,0)&gt;0,VLOOKUP($A230-COUNT('Шаг2.Бланк заказа NEW'!$B$19:$B$201)-COUNT('Бланк OLD 0.8 04'!$B$18:$B$200),'Бланк OLD 2.0 04 '!$B$16:$K$200,8,0)&gt;0),0.4,""))))</f>
        <v/>
      </c>
      <c r="V230" s="146" t="str">
        <f ca="1">IFERROR(VLOOKUP(C230,'Шаг1.Выбор плиты'!C:S,12,0),"")</f>
        <v/>
      </c>
      <c r="W230" s="146" t="str">
        <f ca="1">IFERROR(VLOOKUP(C230,'Шаг1.Выбор плиты'!C:S,8,0),"")</f>
        <v/>
      </c>
      <c r="X230" s="146" t="str">
        <f ca="1">IFERROR(VLOOKUP(C230,'Шаг1.Выбор плиты'!C:S,10,0),"")</f>
        <v/>
      </c>
      <c r="Y230" s="147" t="str">
        <f t="shared" ca="1" si="18"/>
        <v/>
      </c>
      <c r="AD230" s="147" t="str">
        <f t="shared" ca="1" si="21"/>
        <v/>
      </c>
      <c r="AE230" s="147" t="str">
        <f t="shared" ca="1" si="19"/>
        <v/>
      </c>
      <c r="AF230" s="25"/>
      <c r="AH230" s="147" t="str">
        <f ca="1">IF(C230="","",VLOOKUP(C230,'Шаг1.Выбор плиты'!C:Q,7,0))</f>
        <v/>
      </c>
      <c r="AI230" s="147" t="str">
        <f t="shared" ca="1" si="22"/>
        <v/>
      </c>
    </row>
    <row r="231" spans="1:35" x14ac:dyDescent="0.2">
      <c r="A231" s="151" t="str">
        <f ca="1">IF(C231="","",MAX($A$1:OFFSET(C231,-1,0))+1)</f>
        <v/>
      </c>
      <c r="B231" s="151" t="str">
        <f ca="1">IFERROR(IFERROR(IFERROR("Шаг2.Бланк заказа NEW №"&amp;VLOOKUP(A230+1,CHOOSE({1,2},'Шаг2.Бланк заказа NEW'!$B$19:$B$201,'Шаг2.Бланк заказа NEW'!$A$19:$A$201),1,0),
"Бланк OLD 0.8 04 №"&amp;VLOOKUP(A230+1-COUNT('Шаг2.Бланк заказа NEW'!$B$19:$B$201),CHOOSE({1,2},'Бланк OLD 0.8 04'!$B$18:$B$200,'Бланк OLD 0.8 04'!$A$18:$A$200),1,0)),
"Бланк OLD 2.0 04 №"&amp;VLOOKUP(A230+1-COUNT('Шаг2.Бланк заказа NEW'!$B$19:$B$201)-COUNT('Бланк OLD 0.8 04'!$B$18:$B$200),CHOOSE({1,2},'Бланк OLD 2.0 04 '!$B$18:$B$200,'Бланк OLD 2.0 04 '!$A$18:$A$200),1,0)),"")</f>
        <v/>
      </c>
      <c r="C231" s="152" t="str">
        <f ca="1">IFERROR(IFERROR(IFERROR(VLOOKUP(A230+1,CHOOSE({1,2},'Шаг2.Бланк заказа NEW'!$B$19:$B$201,'Шаг2.Бланк заказа NEW'!$A$19:$A$201),2,0),
VLOOKUP(A230+1-COUNT('Шаг2.Бланк заказа NEW'!$B$19:$B$201),CHOOSE({1,2},'Бланк OLD 0.8 04'!$B$18:$B$200,'Бланк OLD 0.8 04'!$A$18:$A$200),2,0)),
VLOOKUP(A230+1-COUNT('Шаг2.Бланк заказа NEW'!$B$19:$B$201)-COUNT('Бланк OLD 0.8 04'!$B$18:$B$200),CHOOSE({1,2},'Бланк OLD 2.0 04 '!$B$18:$B$200,'Бланк OLD 2.0 04 '!$A$18:$A$200),2,0)),"")</f>
        <v/>
      </c>
      <c r="D231" s="150" t="str">
        <f ca="1">IFERROR(VLOOKUP(C231,'Шаг1.Выбор плиты'!C:G,5,0),"")</f>
        <v/>
      </c>
      <c r="E231" s="147" t="str">
        <f ca="1">IFERROR(IFERROR(IF(VLOOKUP($A231,'Шаг2.Бланк заказа NEW'!$B$17:$N$201,2,0)="","",VLOOKUP($A231,'Шаг2.Бланк заказа NEW'!$B$17:$N$201,2,0)),
IF(VLOOKUP($A231-COUNT('Шаг2.Бланк заказа NEW'!$B$19:$B$201),'Бланк OLD 0.8 04'!$B$12:$K$200,2,0)="","",VLOOKUP($A231-COUNT('Шаг2.Бланк заказа NEW'!$B$19:$B$201),'Бланк OLD 0.8 04'!$B$12:$K$200,2,0))),
IF(VLOOKUP($A231-COUNT('Шаг2.Бланк заказа NEW'!$B$19:$B$201)-COUNT('Бланк OLD 0.8 04'!$B$18:$B$200),'Бланк OLD 2.0 04 '!$B$16:$K$200,2,0)="","",VLOOKUP($A231-COUNT('Шаг2.Бланк заказа NEW'!$B$19:$B$201)-COUNT('Бланк OLD 0.8 04'!$B$18:$B$200),'Бланк OLD 2.0 04 '!$B$16:$K$200,2,0)))</f>
        <v/>
      </c>
      <c r="F231" s="147" t="str">
        <f ca="1">IFERROR(IFERROR(IF(VLOOKUP($A231,'Шаг2.Бланк заказа NEW'!$B$17:$N$201,3,0)="","",VLOOKUP($A231,'Шаг2.Бланк заказа NEW'!$B$17:$N$201,3,0)),
IF(VLOOKUP($A231-COUNT('Шаг2.Бланк заказа NEW'!$B$19:$B$201),'Бланк OLD 0.8 04'!$B$12:$K$200,3,0)="","",VLOOKUP($A231-COUNT('Шаг2.Бланк заказа NEW'!$B$19:$B$201),'Бланк OLD 0.8 04'!$B$12:$K$200,3,0))),
IF(VLOOKUP($A231-COUNT('Шаг2.Бланк заказа NEW'!$B$19:$B$201)-COUNT('Бланк OLD 0.8 04'!$B$18:$B$200),'Бланк OLD 2.0 04 '!$B$16:$K$200,3,0)="","",VLOOKUP($A231-COUNT('Шаг2.Бланк заказа NEW'!$B$19:$B$201)-COUNT('Бланк OLD 0.8 04'!$B$18:$B$200),'Бланк OLD 2.0 04 '!$B$16:$K$200,3,0)))</f>
        <v/>
      </c>
      <c r="G231" s="176" t="str">
        <f ca="1">IF(IF(R231="","",IF(R231=1,SUMIFS('Шаг1.Выбор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плиты'!C:Q,12,0)),1))))))=0,
R231,
IF(R231="","",IF(R231=1,SUMIFS('Шаг1.Выбор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плиты'!N:N,R231,'Шаг1.Выбор плиты'!M:M,SMALL(INDIRECT("мм"&amp;VLOOKUP(C231,'Шаг1.Выбор плиты'!C:Q,12,0)),1)))))))</f>
        <v/>
      </c>
      <c r="H231" s="177" t="str">
        <f ca="1">IF(IF(S231="","",IF(S231=1,SUMIFS('Шаг1.Выбор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плиты'!C:Q,12,0)),1))))))=0,
S231,
IF(S231="","",IF(S231=1,SUMIFS('Шаг1.Выбор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плиты'!N:N,S231,'Шаг1.Выбор плиты'!M:M,SMALL(INDIRECT("мм"&amp;VLOOKUP(C231,'Шаг1.Выбор плиты'!C:Q,12,0)),1)))))))</f>
        <v/>
      </c>
      <c r="I231" s="147" t="str">
        <f ca="1">IFERROR(IFERROR(IF(VLOOKUP($A231,'Шаг2.Бланк заказа NEW'!$B$17:$N$201,6,0)="","",VLOOKUP($A231,'Шаг2.Бланк заказа NEW'!$B$17:$N$201,6,0)),
IF(VLOOKUP($A231-COUNT('Шаг2.Бланк заказа NEW'!$B$19:$B$201),'Бланк OLD 0.8 04'!$B$12:$K$200,6,0)="","",VLOOKUP($A231-COUNT('Шаг2.Бланк заказа NEW'!$B$19:$B$201),'Бланк OLD 0.8 04'!$B$12:$K$200,6,0))),
IF(VLOOKUP($A231-COUNT('Шаг2.Бланк заказа NEW'!$B$19:$B$201)-COUNT('Бланк OLD 0.8 04'!$B$18:$B$200),'Бланк OLD 2.0 04 '!$B$16:$K$200,6,0)="","",VLOOKUP($A231-COUNT('Шаг2.Бланк заказа NEW'!$B$19:$B$201)-COUNT('Бланк OLD 0.8 04'!$B$18:$B$200),'Бланк OLD 2.0 04 '!$B$16:$K$200,6,0)))</f>
        <v/>
      </c>
      <c r="J231" s="177" t="str">
        <f ca="1">IF(IF(T231="","",IF(T231=1,SUMIFS('Шаг1.Выбор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плиты'!C:Q,12,0)),1))))))=0,
T231,
IF(T231="","",IF(T231=1,SUMIFS('Шаг1.Выбор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плиты'!N:N,T231,'Шаг1.Выбор плиты'!M:M,SMALL(INDIRECT("мм"&amp;VLOOKUP(C231,'Шаг1.Выбор плиты'!C:Q,12,0)),1)))))))</f>
        <v/>
      </c>
      <c r="K231" s="177" t="str">
        <f ca="1">IF(IF(U231="","",IF(U231=1,SUMIFS('Шаг1.Выбор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плиты'!C:Q,12,0)),1))))))=0,
U231,
IF(U231="","",IF(U231=1,SUMIFS('Шаг1.Выбор плиты'!$G:$G,'Шаг1.Выбор плиты'!J:J,"*"&amp;RIGHT(VLOOKUP(C231,'Шаг1.Выбор плиты'!C:Q,8,0),4),'Шаг1.Выбор плиты'!L:L,IF(MID(C231,1,6)="ЛДСП P","TM"&amp;MID(VLOOKUP(C231,'Шаг1.Выбор плиты'!C:Q,10,0),3,2),MID(VLOOKUP(C231,'Шаг1.Выбор плиты'!C:Q,10,0),1,2)),
'Шаг1.Выбор плиты'!N:N,1),IF(SUMIFS('Шаг1.Выбор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плиты'!C:Q,12,0)),1))=0,
IF(SUMIFS('Шаг1.Выбор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плиты'!C:Q,12,0)),2))=0,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плиты'!C:Q,12,0)),3)),
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плиты'!C:Q,12,0)),2))),
(SUMIFS('Шаг1.Выбор плиты'!$G:$G,'Шаг1.Выбор плиты'!J:J,"*"&amp;RIGHT(VLOOKUP(C231,'Шаг1.Выбор плиты'!C:Q,8,0),4),'Шаг1.Выбор плиты'!L:L,VLOOKUP(C231,'Шаг1.Выбор плиты'!C:Q,10,0),'Шаг1.Выбор плиты'!N:N,U231,'Шаг1.Выбор плиты'!M:M,SMALL(INDIRECT("мм"&amp;VLOOKUP(C231,'Шаг1.Выбор плиты'!C:Q,12,0)),1)))))))</f>
        <v/>
      </c>
      <c r="L231" s="147" t="str">
        <f ca="1">IFERROR(IFERROR(IF(VLOOKUP($A231,'Шаг2.Бланк заказа NEW'!$B$17:$N$201,9,0)="","",VLOOKUP($A231,'Шаг2.Бланк заказа NEW'!$B$17:$N$201,9,0)),
IF(VLOOKUP($A231-COUNT('Шаг2.Бланк заказа NEW'!$B$19:$B$201),'Бланк OLD 0.8 04'!$B$12:$K$200,9,0)="","",VLOOKUP($A231-COUNT('Шаг2.Бланк заказа NEW'!$B$19:$B$201),'Бланк OLD 0.8 04'!$B$12:$K$200,9,0))),
IF(VLOOKUP($A231-COUNT('Шаг2.Бланк заказа NEW'!$B$19:$B$201)-COUNT('Бланк OLD 0.8 04'!$B$18:$B$200),'Бланк OLD 2.0 04 '!$B$16:$K$200,9,0)="","",VLOOKUP($A231-COUNT('Шаг2.Бланк заказа NEW'!$B$19:$B$201)-COUNT('Бланк OLD 0.8 04'!$B$18:$B$200),'Бланк OLD 2.0 04 '!$B$16:$K$200,9,0)))</f>
        <v/>
      </c>
      <c r="M231" s="154" t="str">
        <f t="shared" ca="1" si="20"/>
        <v/>
      </c>
      <c r="N231" s="153" t="str">
        <f ca="1">IFERROR(IF(VLOOKUP($A231,'Шаг2.Бланк заказа NEW'!$B$17:$N$201,11,0)="","",VLOOKUP($A231,'Шаг2.Бланк заказа NEW'!$B$17:$N$201,11,0)),
"Нет")</f>
        <v/>
      </c>
      <c r="O231" s="147" t="str">
        <f ca="1">IFERROR(IF(VLOOKUP($A231,'Шаг2.Бланк заказа NEW'!$B$17:$N$201,11,0)="","",VLOOKUP($A231,'Шаг2.Бланк заказа NEW'!$B$17:$N$201,12,0)),
"Нет")</f>
        <v/>
      </c>
      <c r="P231" s="153" t="str">
        <f ca="1">IFERROR(IF(VLOOKUP($A231,'Шаг2.Бланк заказа NEW'!$B$17:$N$201,13,0)="","",VLOOKUP($A231,'Шаг2.Бланк заказа NEW'!$B$17:$N$201,13,0)),
"Нет")</f>
        <v/>
      </c>
      <c r="Q231" s="147" t="str">
        <f ca="1">IFERROR(IF(VLOOKUP($A231,'Шаг2.Бланк заказа NEW'!$B$17:$O$201,14,0)="","",VLOOKUP($A231,'Шаг2.Бланк заказа NEW'!$B$17:$O$201,14,0)),"")</f>
        <v/>
      </c>
      <c r="R231" s="147" t="str">
        <f ca="1">IFERROR(IFERROR(IF(VLOOKUP($A231,'Шаг2.Бланк заказа NEW'!$B$17:$N$201,4,0)="","",VLOOKUP($A231,'Шаг2.Бланк заказа NEW'!$B$17:$N$201,4,0)),
IF(VLOOKUP($A231-COUNT('Шаг2.Бланк заказа NEW'!$B$19:$B$201),'Бланк OLD 0.8 04'!$B$12:$K$200,4,0)&gt;0,0.8,
IF(VLOOKUP($A231-COUNT('Шаг2.Бланк заказа NEW'!$B$19:$B$201),'Бланк OLD 0.8 04'!$B$12:$K$200,5,0)&gt;0,0.4,""))),
IF(VLOOKUP($A231-COUNT('Шаг2.Бланк заказа NEW'!$B$19:$B$201)-COUNT('Бланк OLD 0.8 04'!$B$18:$B$200),'Бланк OLD 2.0 04 '!$B$16:$K$200,4,0)&gt;0,2,IF(VLOOKUP($A231-COUNT('Шаг2.Бланк заказа NEW'!$B$19:$B$201)-COUNT('Бланк OLD 0.8 04'!$B$18:$B$200),'Бланк OLD 2.0 04 '!$B$16:$K$200,5,0)&gt;0,0.4,"")))</f>
        <v/>
      </c>
      <c r="S231" s="147" t="str">
        <f ca="1">IFERROR(IFERROR(IF(VLOOKUP($A231,'Шаг2.Бланк заказа NEW'!$B$17:$N$201,5,0)="","",VLOOKUP($A231,'Шаг2.Бланк заказа NEW'!$B$17:$N$201,5,0)),
IF(VLOOKUP($A231-COUNT('Шаг2.Бланк заказа NEW'!$B$19:$B$201),'Бланк OLD 0.8 04'!$B$12:$K$200,4,0)&gt;1,0.8,
IF(VLOOKUP($A231-COUNT('Шаг2.Бланк заказа NEW'!$B$19:$B$201),'Бланк OLD 0.8 04'!$B$12:$K$200,5,0)&gt;1,0.4,
IF(AND(VLOOKUP($A231-COUNT('Шаг2.Бланк заказа NEW'!$B$19:$B$201),'Бланк OLD 0.8 04'!$B$12:$K$200,4,0)&gt;0,VLOOKUP($A231-COUNT('Шаг2.Бланк заказа NEW'!$B$19:$B$201),'Бланк OLD 0.8 04'!$B$12:$K$200,5,0)&gt;0),0.4,"")))),
IF(VLOOKUP($A231-COUNT('Шаг2.Бланк заказа NEW'!$B$19:$B$201)-COUNT('Бланк OLD 0.8 04'!$B$18:$B$200),'Бланк OLD 2.0 04 '!$B$16:$K$200,4,0)&gt;1,2,
IF(VLOOKUP($A231-COUNT('Шаг2.Бланк заказа NEW'!$B$19:$B$201)-COUNT('Бланк OLD 0.8 04'!$B$18:$B$200),'Бланк OLD 2.0 04 '!$B$16:$K$200,5,0)&gt;1,0.4,IF(AND(VLOOKUP($A231-COUNT('Шаг2.Бланк заказа NEW'!$B$19:$B$201)-COUNT('Бланк OLD 0.8 04'!$B$18:$B$200),'Бланк OLD 2.0 04 '!$B$16:$K$200,4,0)&gt;0,VLOOKUP($A231-COUNT('Шаг2.Бланк заказа NEW'!$B$19:$B$201)-COUNT('Бланк OLD 0.8 04'!$B$18:$B$200),'Бланк OLD 2.0 04 '!$B$16:$K$200,5,0)&gt;0),0.4,""))))</f>
        <v/>
      </c>
      <c r="T231" s="147" t="str">
        <f ca="1">IFERROR(IFERROR(IF(VLOOKUP($A231,'Шаг2.Бланк заказа NEW'!$B$17:$N$201,7,0)="","",VLOOKUP($A231,'Шаг2.Бланк заказа NEW'!$B$17:$N$201,7,0)),
IF(VLOOKUP($A231-COUNT('Шаг2.Бланк заказа NEW'!$B$19:$B$201),'Бланк OLD 0.8 04'!$B$12:$K$200,7,0)&gt;0,0.8,
IF(VLOOKUP($A231-COUNT('Шаг2.Бланк заказа NEW'!$B$19:$B$201),'Бланк OLD 0.8 04'!$B$12:$K$200,8,0)&gt;0,0.4,""))),
IF(VLOOKUP($A231-COUNT('Шаг2.Бланк заказа NEW'!$B$19:$B$201)-COUNT('Бланк OLD 0.8 04'!$B$18:$B$200),'Бланк OLD 2.0 04 '!$B$16:$K$200,7,0)&gt;0,2,IF(VLOOKUP($A231-COUNT('Шаг2.Бланк заказа NEW'!$B$19:$B$201)-COUNT('Бланк OLD 0.8 04'!$B$18:$B$200),'Бланк OLD 2.0 04 '!$B$16:$K$200,8,0)&gt;0,0.4,"")))</f>
        <v/>
      </c>
      <c r="U231" s="147" t="str">
        <f ca="1">IFERROR(IFERROR(IF(VLOOKUP($A231,'Шаг2.Бланк заказа NEW'!$B$17:$N$201,8,0)="","",VLOOKUP($A231,'Шаг2.Бланк заказа NEW'!$B$17:$N$201,8,0)),
IF(VLOOKUP($A231-COUNT('Шаг2.Бланк заказа NEW'!$B$19:$B$201),'Бланк OLD 0.8 04'!$B$12:$K$200,7,0)&gt;1,0.8,
IF(VLOOKUP($A231-COUNT('Шаг2.Бланк заказа NEW'!$B$19:$B$201),'Бланк OLD 0.8 04'!$B$12:$K$200,8,0)&gt;1,0.4,
IF(AND(VLOOKUP($A231-COUNT('Шаг2.Бланк заказа NEW'!$B$19:$B$201),'Бланк OLD 0.8 04'!$B$12:$K$200,7,0)&gt;0,VLOOKUP($A231-COUNT('Шаг2.Бланк заказа NEW'!$B$19:$B$201),'Бланк OLD 0.8 04'!$B$12:$K$200,8,0)&gt;0),0.4,"")))),
IF(VLOOKUP($A231-COUNT('Шаг2.Бланк заказа NEW'!$B$19:$B$201)-COUNT('Бланк OLD 0.8 04'!$B$18:$B$200),'Бланк OLD 2.0 04 '!$B$16:$K$200,7,0)&gt;1,2,
IF(VLOOKUP($A231-COUNT('Шаг2.Бланк заказа NEW'!$B$19:$B$201)-COUNT('Бланк OLD 0.8 04'!$B$18:$B$200),'Бланк OLD 2.0 04 '!$B$16:$K$200,8,0)&gt;1,0.4,
IF(AND(VLOOKUP($A231-COUNT('Шаг2.Бланк заказа NEW'!$B$19:$B$201)-COUNT('Бланк OLD 0.8 04'!$B$18:$B$200),'Бланк OLD 2.0 04 '!$B$16:$K$200,7,0)&gt;0,VLOOKUP($A231-COUNT('Шаг2.Бланк заказа NEW'!$B$19:$B$201)-COUNT('Бланк OLD 0.8 04'!$B$18:$B$200),'Бланк OLD 2.0 04 '!$B$16:$K$200,8,0)&gt;0),0.4,""))))</f>
        <v/>
      </c>
      <c r="V231" s="146" t="str">
        <f ca="1">IFERROR(VLOOKUP(C231,'Шаг1.Выбор плиты'!C:S,12,0),"")</f>
        <v/>
      </c>
      <c r="W231" s="146" t="str">
        <f ca="1">IFERROR(VLOOKUP(C231,'Шаг1.Выбор плиты'!C:S,8,0),"")</f>
        <v/>
      </c>
      <c r="X231" s="146" t="str">
        <f ca="1">IFERROR(VLOOKUP(C231,'Шаг1.Выбор плиты'!C:S,10,0),"")</f>
        <v/>
      </c>
      <c r="Y231" s="147" t="str">
        <f t="shared" ca="1" si="18"/>
        <v/>
      </c>
      <c r="AD231" s="147" t="str">
        <f t="shared" ca="1" si="21"/>
        <v/>
      </c>
      <c r="AE231" s="147" t="str">
        <f t="shared" ca="1" si="19"/>
        <v/>
      </c>
      <c r="AF231" s="25"/>
      <c r="AH231" s="147" t="str">
        <f ca="1">IF(C231="","",VLOOKUP(C231,'Шаг1.Выбор плиты'!C:Q,7,0))</f>
        <v/>
      </c>
      <c r="AI231" s="147" t="str">
        <f t="shared" ca="1" si="22"/>
        <v/>
      </c>
    </row>
    <row r="232" spans="1:35" x14ac:dyDescent="0.2">
      <c r="A232" s="151" t="str">
        <f ca="1">IF(C232="","",MAX($A$1:OFFSET(C232,-1,0))+1)</f>
        <v/>
      </c>
      <c r="B232" s="151" t="str">
        <f ca="1">IFERROR(IFERROR(IFERROR("Шаг2.Бланк заказа NEW №"&amp;VLOOKUP(A231+1,CHOOSE({1,2},'Шаг2.Бланк заказа NEW'!$B$19:$B$201,'Шаг2.Бланк заказа NEW'!$A$19:$A$201),1,0),
"Бланк OLD 0.8 04 №"&amp;VLOOKUP(A231+1-COUNT('Шаг2.Бланк заказа NEW'!$B$19:$B$201),CHOOSE({1,2},'Бланк OLD 0.8 04'!$B$18:$B$200,'Бланк OLD 0.8 04'!$A$18:$A$200),1,0)),
"Бланк OLD 2.0 04 №"&amp;VLOOKUP(A231+1-COUNT('Шаг2.Бланк заказа NEW'!$B$19:$B$201)-COUNT('Бланк OLD 0.8 04'!$B$18:$B$200),CHOOSE({1,2},'Бланк OLD 2.0 04 '!$B$18:$B$200,'Бланк OLD 2.0 04 '!$A$18:$A$200),1,0)),"")</f>
        <v/>
      </c>
      <c r="C232" s="152" t="str">
        <f ca="1">IFERROR(IFERROR(IFERROR(VLOOKUP(A231+1,CHOOSE({1,2},'Шаг2.Бланк заказа NEW'!$B$19:$B$201,'Шаг2.Бланк заказа NEW'!$A$19:$A$201),2,0),
VLOOKUP(A231+1-COUNT('Шаг2.Бланк заказа NEW'!$B$19:$B$201),CHOOSE({1,2},'Бланк OLD 0.8 04'!$B$18:$B$200,'Бланк OLD 0.8 04'!$A$18:$A$200),2,0)),
VLOOKUP(A231+1-COUNT('Шаг2.Бланк заказа NEW'!$B$19:$B$201)-COUNT('Бланк OLD 0.8 04'!$B$18:$B$200),CHOOSE({1,2},'Бланк OLD 2.0 04 '!$B$18:$B$200,'Бланк OLD 2.0 04 '!$A$18:$A$200),2,0)),"")</f>
        <v/>
      </c>
      <c r="D232" s="150" t="str">
        <f ca="1">IFERROR(VLOOKUP(C232,'Шаг1.Выбор плиты'!C:G,5,0),"")</f>
        <v/>
      </c>
      <c r="E232" s="147" t="str">
        <f ca="1">IFERROR(IFERROR(IF(VLOOKUP($A232,'Шаг2.Бланк заказа NEW'!$B$17:$N$201,2,0)="","",VLOOKUP($A232,'Шаг2.Бланк заказа NEW'!$B$17:$N$201,2,0)),
IF(VLOOKUP($A232-COUNT('Шаг2.Бланк заказа NEW'!$B$19:$B$201),'Бланк OLD 0.8 04'!$B$12:$K$200,2,0)="","",VLOOKUP($A232-COUNT('Шаг2.Бланк заказа NEW'!$B$19:$B$201),'Бланк OLD 0.8 04'!$B$12:$K$200,2,0))),
IF(VLOOKUP($A232-COUNT('Шаг2.Бланк заказа NEW'!$B$19:$B$201)-COUNT('Бланк OLD 0.8 04'!$B$18:$B$200),'Бланк OLD 2.0 04 '!$B$16:$K$200,2,0)="","",VLOOKUP($A232-COUNT('Шаг2.Бланк заказа NEW'!$B$19:$B$201)-COUNT('Бланк OLD 0.8 04'!$B$18:$B$200),'Бланк OLD 2.0 04 '!$B$16:$K$200,2,0)))</f>
        <v/>
      </c>
      <c r="F232" s="147" t="str">
        <f ca="1">IFERROR(IFERROR(IF(VLOOKUP($A232,'Шаг2.Бланк заказа NEW'!$B$17:$N$201,3,0)="","",VLOOKUP($A232,'Шаг2.Бланк заказа NEW'!$B$17:$N$201,3,0)),
IF(VLOOKUP($A232-COUNT('Шаг2.Бланк заказа NEW'!$B$19:$B$201),'Бланк OLD 0.8 04'!$B$12:$K$200,3,0)="","",VLOOKUP($A232-COUNT('Шаг2.Бланк заказа NEW'!$B$19:$B$201),'Бланк OLD 0.8 04'!$B$12:$K$200,3,0))),
IF(VLOOKUP($A232-COUNT('Шаг2.Бланк заказа NEW'!$B$19:$B$201)-COUNT('Бланк OLD 0.8 04'!$B$18:$B$200),'Бланк OLD 2.0 04 '!$B$16:$K$200,3,0)="","",VLOOKUP($A232-COUNT('Шаг2.Бланк заказа NEW'!$B$19:$B$201)-COUNT('Бланк OLD 0.8 04'!$B$18:$B$200),'Бланк OLD 2.0 04 '!$B$16:$K$200,3,0)))</f>
        <v/>
      </c>
      <c r="G232" s="176" t="str">
        <f ca="1">IF(IF(R232="","",IF(R232=1,SUMIFS('Шаг1.Выбор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плиты'!C:Q,12,0)),1))))))=0,
R232,
IF(R232="","",IF(R232=1,SUMIFS('Шаг1.Выбор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плиты'!N:N,R232,'Шаг1.Выбор плиты'!M:M,SMALL(INDIRECT("мм"&amp;VLOOKUP(C232,'Шаг1.Выбор плиты'!C:Q,12,0)),1)))))))</f>
        <v/>
      </c>
      <c r="H232" s="177" t="str">
        <f ca="1">IF(IF(S232="","",IF(S232=1,SUMIFS('Шаг1.Выбор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плиты'!C:Q,12,0)),1))))))=0,
S232,
IF(S232="","",IF(S232=1,SUMIFS('Шаг1.Выбор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плиты'!N:N,S232,'Шаг1.Выбор плиты'!M:M,SMALL(INDIRECT("мм"&amp;VLOOKUP(C232,'Шаг1.Выбор плиты'!C:Q,12,0)),1)))))))</f>
        <v/>
      </c>
      <c r="I232" s="147" t="str">
        <f ca="1">IFERROR(IFERROR(IF(VLOOKUP($A232,'Шаг2.Бланк заказа NEW'!$B$17:$N$201,6,0)="","",VLOOKUP($A232,'Шаг2.Бланк заказа NEW'!$B$17:$N$201,6,0)),
IF(VLOOKUP($A232-COUNT('Шаг2.Бланк заказа NEW'!$B$19:$B$201),'Бланк OLD 0.8 04'!$B$12:$K$200,6,0)="","",VLOOKUP($A232-COUNT('Шаг2.Бланк заказа NEW'!$B$19:$B$201),'Бланк OLD 0.8 04'!$B$12:$K$200,6,0))),
IF(VLOOKUP($A232-COUNT('Шаг2.Бланк заказа NEW'!$B$19:$B$201)-COUNT('Бланк OLD 0.8 04'!$B$18:$B$200),'Бланк OLD 2.0 04 '!$B$16:$K$200,6,0)="","",VLOOKUP($A232-COUNT('Шаг2.Бланк заказа NEW'!$B$19:$B$201)-COUNT('Бланк OLD 0.8 04'!$B$18:$B$200),'Бланк OLD 2.0 04 '!$B$16:$K$200,6,0)))</f>
        <v/>
      </c>
      <c r="J232" s="177" t="str">
        <f ca="1">IF(IF(T232="","",IF(T232=1,SUMIFS('Шаг1.Выбор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плиты'!C:Q,12,0)),1))))))=0,
T232,
IF(T232="","",IF(T232=1,SUMIFS('Шаг1.Выбор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плиты'!N:N,T232,'Шаг1.Выбор плиты'!M:M,SMALL(INDIRECT("мм"&amp;VLOOKUP(C232,'Шаг1.Выбор плиты'!C:Q,12,0)),1)))))))</f>
        <v/>
      </c>
      <c r="K232" s="177" t="str">
        <f ca="1">IF(IF(U232="","",IF(U232=1,SUMIFS('Шаг1.Выбор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плиты'!C:Q,12,0)),1))))))=0,
U232,
IF(U232="","",IF(U232=1,SUMIFS('Шаг1.Выбор плиты'!$G:$G,'Шаг1.Выбор плиты'!J:J,"*"&amp;RIGHT(VLOOKUP(C232,'Шаг1.Выбор плиты'!C:Q,8,0),4),'Шаг1.Выбор плиты'!L:L,IF(MID(C232,1,6)="ЛДСП P","TM"&amp;MID(VLOOKUP(C232,'Шаг1.Выбор плиты'!C:Q,10,0),3,2),MID(VLOOKUP(C232,'Шаг1.Выбор плиты'!C:Q,10,0),1,2)),
'Шаг1.Выбор плиты'!N:N,1),IF(SUMIFS('Шаг1.Выбор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плиты'!C:Q,12,0)),1))=0,
IF(SUMIFS('Шаг1.Выбор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плиты'!C:Q,12,0)),2))=0,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плиты'!C:Q,12,0)),3)),
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плиты'!C:Q,12,0)),2))),
(SUMIFS('Шаг1.Выбор плиты'!$G:$G,'Шаг1.Выбор плиты'!J:J,"*"&amp;RIGHT(VLOOKUP(C232,'Шаг1.Выбор плиты'!C:Q,8,0),4),'Шаг1.Выбор плиты'!L:L,VLOOKUP(C232,'Шаг1.Выбор плиты'!C:Q,10,0),'Шаг1.Выбор плиты'!N:N,U232,'Шаг1.Выбор плиты'!M:M,SMALL(INDIRECT("мм"&amp;VLOOKUP(C232,'Шаг1.Выбор плиты'!C:Q,12,0)),1)))))))</f>
        <v/>
      </c>
      <c r="L232" s="147" t="str">
        <f ca="1">IFERROR(IFERROR(IF(VLOOKUP($A232,'Шаг2.Бланк заказа NEW'!$B$17:$N$201,9,0)="","",VLOOKUP($A232,'Шаг2.Бланк заказа NEW'!$B$17:$N$201,9,0)),
IF(VLOOKUP($A232-COUNT('Шаг2.Бланк заказа NEW'!$B$19:$B$201),'Бланк OLD 0.8 04'!$B$12:$K$200,9,0)="","",VLOOKUP($A232-COUNT('Шаг2.Бланк заказа NEW'!$B$19:$B$201),'Бланк OLD 0.8 04'!$B$12:$K$200,9,0))),
IF(VLOOKUP($A232-COUNT('Шаг2.Бланк заказа NEW'!$B$19:$B$201)-COUNT('Бланк OLD 0.8 04'!$B$18:$B$200),'Бланк OLD 2.0 04 '!$B$16:$K$200,9,0)="","",VLOOKUP($A232-COUNT('Шаг2.Бланк заказа NEW'!$B$19:$B$201)-COUNT('Бланк OLD 0.8 04'!$B$18:$B$200),'Бланк OLD 2.0 04 '!$B$16:$K$200,9,0)))</f>
        <v/>
      </c>
      <c r="M232" s="154" t="str">
        <f t="shared" ca="1" si="20"/>
        <v/>
      </c>
      <c r="N232" s="153" t="str">
        <f ca="1">IFERROR(IF(VLOOKUP($A232,'Шаг2.Бланк заказа NEW'!$B$17:$N$201,11,0)="","",VLOOKUP($A232,'Шаг2.Бланк заказа NEW'!$B$17:$N$201,11,0)),
"Нет")</f>
        <v/>
      </c>
      <c r="O232" s="147" t="str">
        <f ca="1">IFERROR(IF(VLOOKUP($A232,'Шаг2.Бланк заказа NEW'!$B$17:$N$201,11,0)="","",VLOOKUP($A232,'Шаг2.Бланк заказа NEW'!$B$17:$N$201,12,0)),
"Нет")</f>
        <v/>
      </c>
      <c r="P232" s="153" t="str">
        <f ca="1">IFERROR(IF(VLOOKUP($A232,'Шаг2.Бланк заказа NEW'!$B$17:$N$201,13,0)="","",VLOOKUP($A232,'Шаг2.Бланк заказа NEW'!$B$17:$N$201,13,0)),
"Нет")</f>
        <v/>
      </c>
      <c r="Q232" s="147" t="str">
        <f ca="1">IFERROR(IF(VLOOKUP($A232,'Шаг2.Бланк заказа NEW'!$B$17:$O$201,14,0)="","",VLOOKUP($A232,'Шаг2.Бланк заказа NEW'!$B$17:$O$201,14,0)),"")</f>
        <v/>
      </c>
      <c r="R232" s="147" t="str">
        <f ca="1">IFERROR(IFERROR(IF(VLOOKUP($A232,'Шаг2.Бланк заказа NEW'!$B$17:$N$201,4,0)="","",VLOOKUP($A232,'Шаг2.Бланк заказа NEW'!$B$17:$N$201,4,0)),
IF(VLOOKUP($A232-COUNT('Шаг2.Бланк заказа NEW'!$B$19:$B$201),'Бланк OLD 0.8 04'!$B$12:$K$200,4,0)&gt;0,0.8,
IF(VLOOKUP($A232-COUNT('Шаг2.Бланк заказа NEW'!$B$19:$B$201),'Бланк OLD 0.8 04'!$B$12:$K$200,5,0)&gt;0,0.4,""))),
IF(VLOOKUP($A232-COUNT('Шаг2.Бланк заказа NEW'!$B$19:$B$201)-COUNT('Бланк OLD 0.8 04'!$B$18:$B$200),'Бланк OLD 2.0 04 '!$B$16:$K$200,4,0)&gt;0,2,IF(VLOOKUP($A232-COUNT('Шаг2.Бланк заказа NEW'!$B$19:$B$201)-COUNT('Бланк OLD 0.8 04'!$B$18:$B$200),'Бланк OLD 2.0 04 '!$B$16:$K$200,5,0)&gt;0,0.4,"")))</f>
        <v/>
      </c>
      <c r="S232" s="147" t="str">
        <f ca="1">IFERROR(IFERROR(IF(VLOOKUP($A232,'Шаг2.Бланк заказа NEW'!$B$17:$N$201,5,0)="","",VLOOKUP($A232,'Шаг2.Бланк заказа NEW'!$B$17:$N$201,5,0)),
IF(VLOOKUP($A232-COUNT('Шаг2.Бланк заказа NEW'!$B$19:$B$201),'Бланк OLD 0.8 04'!$B$12:$K$200,4,0)&gt;1,0.8,
IF(VLOOKUP($A232-COUNT('Шаг2.Бланк заказа NEW'!$B$19:$B$201),'Бланк OLD 0.8 04'!$B$12:$K$200,5,0)&gt;1,0.4,
IF(AND(VLOOKUP($A232-COUNT('Шаг2.Бланк заказа NEW'!$B$19:$B$201),'Бланк OLD 0.8 04'!$B$12:$K$200,4,0)&gt;0,VLOOKUP($A232-COUNT('Шаг2.Бланк заказа NEW'!$B$19:$B$201),'Бланк OLD 0.8 04'!$B$12:$K$200,5,0)&gt;0),0.4,"")))),
IF(VLOOKUP($A232-COUNT('Шаг2.Бланк заказа NEW'!$B$19:$B$201)-COUNT('Бланк OLD 0.8 04'!$B$18:$B$200),'Бланк OLD 2.0 04 '!$B$16:$K$200,4,0)&gt;1,2,
IF(VLOOKUP($A232-COUNT('Шаг2.Бланк заказа NEW'!$B$19:$B$201)-COUNT('Бланк OLD 0.8 04'!$B$18:$B$200),'Бланк OLD 2.0 04 '!$B$16:$K$200,5,0)&gt;1,0.4,IF(AND(VLOOKUP($A232-COUNT('Шаг2.Бланк заказа NEW'!$B$19:$B$201)-COUNT('Бланк OLD 0.8 04'!$B$18:$B$200),'Бланк OLD 2.0 04 '!$B$16:$K$200,4,0)&gt;0,VLOOKUP($A232-COUNT('Шаг2.Бланк заказа NEW'!$B$19:$B$201)-COUNT('Бланк OLD 0.8 04'!$B$18:$B$200),'Бланк OLD 2.0 04 '!$B$16:$K$200,5,0)&gt;0),0.4,""))))</f>
        <v/>
      </c>
      <c r="T232" s="147" t="str">
        <f ca="1">IFERROR(IFERROR(IF(VLOOKUP($A232,'Шаг2.Бланк заказа NEW'!$B$17:$N$201,7,0)="","",VLOOKUP($A232,'Шаг2.Бланк заказа NEW'!$B$17:$N$201,7,0)),
IF(VLOOKUP($A232-COUNT('Шаг2.Бланк заказа NEW'!$B$19:$B$201),'Бланк OLD 0.8 04'!$B$12:$K$200,7,0)&gt;0,0.8,
IF(VLOOKUP($A232-COUNT('Шаг2.Бланк заказа NEW'!$B$19:$B$201),'Бланк OLD 0.8 04'!$B$12:$K$200,8,0)&gt;0,0.4,""))),
IF(VLOOKUP($A232-COUNT('Шаг2.Бланк заказа NEW'!$B$19:$B$201)-COUNT('Бланк OLD 0.8 04'!$B$18:$B$200),'Бланк OLD 2.0 04 '!$B$16:$K$200,7,0)&gt;0,2,IF(VLOOKUP($A232-COUNT('Шаг2.Бланк заказа NEW'!$B$19:$B$201)-COUNT('Бланк OLD 0.8 04'!$B$18:$B$200),'Бланк OLD 2.0 04 '!$B$16:$K$200,8,0)&gt;0,0.4,"")))</f>
        <v/>
      </c>
      <c r="U232" s="147" t="str">
        <f ca="1">IFERROR(IFERROR(IF(VLOOKUP($A232,'Шаг2.Бланк заказа NEW'!$B$17:$N$201,8,0)="","",VLOOKUP($A232,'Шаг2.Бланк заказа NEW'!$B$17:$N$201,8,0)),
IF(VLOOKUP($A232-COUNT('Шаг2.Бланк заказа NEW'!$B$19:$B$201),'Бланк OLD 0.8 04'!$B$12:$K$200,7,0)&gt;1,0.8,
IF(VLOOKUP($A232-COUNT('Шаг2.Бланк заказа NEW'!$B$19:$B$201),'Бланк OLD 0.8 04'!$B$12:$K$200,8,0)&gt;1,0.4,
IF(AND(VLOOKUP($A232-COUNT('Шаг2.Бланк заказа NEW'!$B$19:$B$201),'Бланк OLD 0.8 04'!$B$12:$K$200,7,0)&gt;0,VLOOKUP($A232-COUNT('Шаг2.Бланк заказа NEW'!$B$19:$B$201),'Бланк OLD 0.8 04'!$B$12:$K$200,8,0)&gt;0),0.4,"")))),
IF(VLOOKUP($A232-COUNT('Шаг2.Бланк заказа NEW'!$B$19:$B$201)-COUNT('Бланк OLD 0.8 04'!$B$18:$B$200),'Бланк OLD 2.0 04 '!$B$16:$K$200,7,0)&gt;1,2,
IF(VLOOKUP($A232-COUNT('Шаг2.Бланк заказа NEW'!$B$19:$B$201)-COUNT('Бланк OLD 0.8 04'!$B$18:$B$200),'Бланк OLD 2.0 04 '!$B$16:$K$200,8,0)&gt;1,0.4,
IF(AND(VLOOKUP($A232-COUNT('Шаг2.Бланк заказа NEW'!$B$19:$B$201)-COUNT('Бланк OLD 0.8 04'!$B$18:$B$200),'Бланк OLD 2.0 04 '!$B$16:$K$200,7,0)&gt;0,VLOOKUP($A232-COUNT('Шаг2.Бланк заказа NEW'!$B$19:$B$201)-COUNT('Бланк OLD 0.8 04'!$B$18:$B$200),'Бланк OLD 2.0 04 '!$B$16:$K$200,8,0)&gt;0),0.4,""))))</f>
        <v/>
      </c>
      <c r="V232" s="146" t="str">
        <f ca="1">IFERROR(VLOOKUP(C232,'Шаг1.Выбор плиты'!C:S,12,0),"")</f>
        <v/>
      </c>
      <c r="W232" s="146" t="str">
        <f ca="1">IFERROR(VLOOKUP(C232,'Шаг1.Выбор плиты'!C:S,8,0),"")</f>
        <v/>
      </c>
      <c r="X232" s="146" t="str">
        <f ca="1">IFERROR(VLOOKUP(C232,'Шаг1.Выбор плиты'!C:S,10,0),"")</f>
        <v/>
      </c>
      <c r="Y232" s="147" t="str">
        <f t="shared" ca="1" si="18"/>
        <v/>
      </c>
      <c r="AD232" s="147" t="str">
        <f t="shared" ca="1" si="21"/>
        <v/>
      </c>
      <c r="AE232" s="147" t="str">
        <f t="shared" ca="1" si="19"/>
        <v/>
      </c>
      <c r="AF232" s="25"/>
      <c r="AH232" s="147" t="str">
        <f ca="1">IF(C232="","",VLOOKUP(C232,'Шаг1.Выбор плиты'!C:Q,7,0))</f>
        <v/>
      </c>
      <c r="AI232" s="147" t="str">
        <f t="shared" ca="1" si="22"/>
        <v/>
      </c>
    </row>
    <row r="233" spans="1:35" x14ac:dyDescent="0.2">
      <c r="A233" s="151" t="str">
        <f ca="1">IF(C233="","",MAX($A$1:OFFSET(C233,-1,0))+1)</f>
        <v/>
      </c>
      <c r="B233" s="151" t="str">
        <f ca="1">IFERROR(IFERROR(IFERROR("Шаг2.Бланк заказа NEW №"&amp;VLOOKUP(A232+1,CHOOSE({1,2},'Шаг2.Бланк заказа NEW'!$B$19:$B$201,'Шаг2.Бланк заказа NEW'!$A$19:$A$201),1,0),
"Бланк OLD 0.8 04 №"&amp;VLOOKUP(A232+1-COUNT('Шаг2.Бланк заказа NEW'!$B$19:$B$201),CHOOSE({1,2},'Бланк OLD 0.8 04'!$B$18:$B$200,'Бланк OLD 0.8 04'!$A$18:$A$200),1,0)),
"Бланк OLD 2.0 04 №"&amp;VLOOKUP(A232+1-COUNT('Шаг2.Бланк заказа NEW'!$B$19:$B$201)-COUNT('Бланк OLD 0.8 04'!$B$18:$B$200),CHOOSE({1,2},'Бланк OLD 2.0 04 '!$B$18:$B$200,'Бланк OLD 2.0 04 '!$A$18:$A$200),1,0)),"")</f>
        <v/>
      </c>
      <c r="C233" s="152" t="str">
        <f ca="1">IFERROR(IFERROR(IFERROR(VLOOKUP(A232+1,CHOOSE({1,2},'Шаг2.Бланк заказа NEW'!$B$19:$B$201,'Шаг2.Бланк заказа NEW'!$A$19:$A$201),2,0),
VLOOKUP(A232+1-COUNT('Шаг2.Бланк заказа NEW'!$B$19:$B$201),CHOOSE({1,2},'Бланк OLD 0.8 04'!$B$18:$B$200,'Бланк OLD 0.8 04'!$A$18:$A$200),2,0)),
VLOOKUP(A232+1-COUNT('Шаг2.Бланк заказа NEW'!$B$19:$B$201)-COUNT('Бланк OLD 0.8 04'!$B$18:$B$200),CHOOSE({1,2},'Бланк OLD 2.0 04 '!$B$18:$B$200,'Бланк OLD 2.0 04 '!$A$18:$A$200),2,0)),"")</f>
        <v/>
      </c>
      <c r="D233" s="150" t="str">
        <f ca="1">IFERROR(VLOOKUP(C233,'Шаг1.Выбор плиты'!C:G,5,0),"")</f>
        <v/>
      </c>
      <c r="E233" s="147" t="str">
        <f ca="1">IFERROR(IFERROR(IF(VLOOKUP($A233,'Шаг2.Бланк заказа NEW'!$B$17:$N$201,2,0)="","",VLOOKUP($A233,'Шаг2.Бланк заказа NEW'!$B$17:$N$201,2,0)),
IF(VLOOKUP($A233-COUNT('Шаг2.Бланк заказа NEW'!$B$19:$B$201),'Бланк OLD 0.8 04'!$B$12:$K$200,2,0)="","",VLOOKUP($A233-COUNT('Шаг2.Бланк заказа NEW'!$B$19:$B$201),'Бланк OLD 0.8 04'!$B$12:$K$200,2,0))),
IF(VLOOKUP($A233-COUNT('Шаг2.Бланк заказа NEW'!$B$19:$B$201)-COUNT('Бланк OLD 0.8 04'!$B$18:$B$200),'Бланк OLD 2.0 04 '!$B$16:$K$200,2,0)="","",VLOOKUP($A233-COUNT('Шаг2.Бланк заказа NEW'!$B$19:$B$201)-COUNT('Бланк OLD 0.8 04'!$B$18:$B$200),'Бланк OLD 2.0 04 '!$B$16:$K$200,2,0)))</f>
        <v/>
      </c>
      <c r="F233" s="147" t="str">
        <f ca="1">IFERROR(IFERROR(IF(VLOOKUP($A233,'Шаг2.Бланк заказа NEW'!$B$17:$N$201,3,0)="","",VLOOKUP($A233,'Шаг2.Бланк заказа NEW'!$B$17:$N$201,3,0)),
IF(VLOOKUP($A233-COUNT('Шаг2.Бланк заказа NEW'!$B$19:$B$201),'Бланк OLD 0.8 04'!$B$12:$K$200,3,0)="","",VLOOKUP($A233-COUNT('Шаг2.Бланк заказа NEW'!$B$19:$B$201),'Бланк OLD 0.8 04'!$B$12:$K$200,3,0))),
IF(VLOOKUP($A233-COUNT('Шаг2.Бланк заказа NEW'!$B$19:$B$201)-COUNT('Бланк OLD 0.8 04'!$B$18:$B$200),'Бланк OLD 2.0 04 '!$B$16:$K$200,3,0)="","",VLOOKUP($A233-COUNT('Шаг2.Бланк заказа NEW'!$B$19:$B$201)-COUNT('Бланк OLD 0.8 04'!$B$18:$B$200),'Бланк OLD 2.0 04 '!$B$16:$K$200,3,0)))</f>
        <v/>
      </c>
      <c r="G233" s="176" t="str">
        <f ca="1">IF(IF(R233="","",IF(R233=1,SUMIFS('Шаг1.Выбор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плиты'!C:Q,12,0)),1))))))=0,
R233,
IF(R233="","",IF(R233=1,SUMIFS('Шаг1.Выбор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плиты'!N:N,R233,'Шаг1.Выбор плиты'!M:M,SMALL(INDIRECT("мм"&amp;VLOOKUP(C233,'Шаг1.Выбор плиты'!C:Q,12,0)),1)))))))</f>
        <v/>
      </c>
      <c r="H233" s="177" t="str">
        <f ca="1">IF(IF(S233="","",IF(S233=1,SUMIFS('Шаг1.Выбор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плиты'!C:Q,12,0)),1))))))=0,
S233,
IF(S233="","",IF(S233=1,SUMIFS('Шаг1.Выбор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плиты'!N:N,S233,'Шаг1.Выбор плиты'!M:M,SMALL(INDIRECT("мм"&amp;VLOOKUP(C233,'Шаг1.Выбор плиты'!C:Q,12,0)),1)))))))</f>
        <v/>
      </c>
      <c r="I233" s="147" t="str">
        <f ca="1">IFERROR(IFERROR(IF(VLOOKUP($A233,'Шаг2.Бланк заказа NEW'!$B$17:$N$201,6,0)="","",VLOOKUP($A233,'Шаг2.Бланк заказа NEW'!$B$17:$N$201,6,0)),
IF(VLOOKUP($A233-COUNT('Шаг2.Бланк заказа NEW'!$B$19:$B$201),'Бланк OLD 0.8 04'!$B$12:$K$200,6,0)="","",VLOOKUP($A233-COUNT('Шаг2.Бланк заказа NEW'!$B$19:$B$201),'Бланк OLD 0.8 04'!$B$12:$K$200,6,0))),
IF(VLOOKUP($A233-COUNT('Шаг2.Бланк заказа NEW'!$B$19:$B$201)-COUNT('Бланк OLD 0.8 04'!$B$18:$B$200),'Бланк OLD 2.0 04 '!$B$16:$K$200,6,0)="","",VLOOKUP($A233-COUNT('Шаг2.Бланк заказа NEW'!$B$19:$B$201)-COUNT('Бланк OLD 0.8 04'!$B$18:$B$200),'Бланк OLD 2.0 04 '!$B$16:$K$200,6,0)))</f>
        <v/>
      </c>
      <c r="J233" s="177" t="str">
        <f ca="1">IF(IF(T233="","",IF(T233=1,SUMIFS('Шаг1.Выбор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плиты'!C:Q,12,0)),1))))))=0,
T233,
IF(T233="","",IF(T233=1,SUMIFS('Шаг1.Выбор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плиты'!N:N,T233,'Шаг1.Выбор плиты'!M:M,SMALL(INDIRECT("мм"&amp;VLOOKUP(C233,'Шаг1.Выбор плиты'!C:Q,12,0)),1)))))))</f>
        <v/>
      </c>
      <c r="K233" s="177" t="str">
        <f ca="1">IF(IF(U233="","",IF(U233=1,SUMIFS('Шаг1.Выбор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плиты'!C:Q,12,0)),1))))))=0,
U233,
IF(U233="","",IF(U233=1,SUMIFS('Шаг1.Выбор плиты'!$G:$G,'Шаг1.Выбор плиты'!J:J,"*"&amp;RIGHT(VLOOKUP(C233,'Шаг1.Выбор плиты'!C:Q,8,0),4),'Шаг1.Выбор плиты'!L:L,IF(MID(C233,1,6)="ЛДСП P","TM"&amp;MID(VLOOKUP(C233,'Шаг1.Выбор плиты'!C:Q,10,0),3,2),MID(VLOOKUP(C233,'Шаг1.Выбор плиты'!C:Q,10,0),1,2)),
'Шаг1.Выбор плиты'!N:N,1),IF(SUMIFS('Шаг1.Выбор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плиты'!C:Q,12,0)),1))=0,
IF(SUMIFS('Шаг1.Выбор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плиты'!C:Q,12,0)),2))=0,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плиты'!C:Q,12,0)),3)),
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плиты'!C:Q,12,0)),2))),
(SUMIFS('Шаг1.Выбор плиты'!$G:$G,'Шаг1.Выбор плиты'!J:J,"*"&amp;RIGHT(VLOOKUP(C233,'Шаг1.Выбор плиты'!C:Q,8,0),4),'Шаг1.Выбор плиты'!L:L,VLOOKUP(C233,'Шаг1.Выбор плиты'!C:Q,10,0),'Шаг1.Выбор плиты'!N:N,U233,'Шаг1.Выбор плиты'!M:M,SMALL(INDIRECT("мм"&amp;VLOOKUP(C233,'Шаг1.Выбор плиты'!C:Q,12,0)),1)))))))</f>
        <v/>
      </c>
      <c r="L233" s="147" t="str">
        <f ca="1">IFERROR(IFERROR(IF(VLOOKUP($A233,'Шаг2.Бланк заказа NEW'!$B$17:$N$201,9,0)="","",VLOOKUP($A233,'Шаг2.Бланк заказа NEW'!$B$17:$N$201,9,0)),
IF(VLOOKUP($A233-COUNT('Шаг2.Бланк заказа NEW'!$B$19:$B$201),'Бланк OLD 0.8 04'!$B$12:$K$200,9,0)="","",VLOOKUP($A233-COUNT('Шаг2.Бланк заказа NEW'!$B$19:$B$201),'Бланк OLD 0.8 04'!$B$12:$K$200,9,0))),
IF(VLOOKUP($A233-COUNT('Шаг2.Бланк заказа NEW'!$B$19:$B$201)-COUNT('Бланк OLD 0.8 04'!$B$18:$B$200),'Бланк OLD 2.0 04 '!$B$16:$K$200,9,0)="","",VLOOKUP($A233-COUNT('Шаг2.Бланк заказа NEW'!$B$19:$B$201)-COUNT('Бланк OLD 0.8 04'!$B$18:$B$200),'Бланк OLD 2.0 04 '!$B$16:$K$200,9,0)))</f>
        <v/>
      </c>
      <c r="M233" s="154" t="str">
        <f t="shared" ca="1" si="20"/>
        <v/>
      </c>
      <c r="N233" s="153" t="str">
        <f ca="1">IFERROR(IF(VLOOKUP($A233,'Шаг2.Бланк заказа NEW'!$B$17:$N$201,11,0)="","",VLOOKUP($A233,'Шаг2.Бланк заказа NEW'!$B$17:$N$201,11,0)),
"Нет")</f>
        <v/>
      </c>
      <c r="O233" s="147" t="str">
        <f ca="1">IFERROR(IF(VLOOKUP($A233,'Шаг2.Бланк заказа NEW'!$B$17:$N$201,11,0)="","",VLOOKUP($A233,'Шаг2.Бланк заказа NEW'!$B$17:$N$201,12,0)),
"Нет")</f>
        <v/>
      </c>
      <c r="P233" s="153" t="str">
        <f ca="1">IFERROR(IF(VLOOKUP($A233,'Шаг2.Бланк заказа NEW'!$B$17:$N$201,13,0)="","",VLOOKUP($A233,'Шаг2.Бланк заказа NEW'!$B$17:$N$201,13,0)),
"Нет")</f>
        <v/>
      </c>
      <c r="Q233" s="147" t="str">
        <f ca="1">IFERROR(IF(VLOOKUP($A233,'Шаг2.Бланк заказа NEW'!$B$17:$O$201,14,0)="","",VLOOKUP($A233,'Шаг2.Бланк заказа NEW'!$B$17:$O$201,14,0)),"")</f>
        <v/>
      </c>
      <c r="R233" s="147" t="str">
        <f ca="1">IFERROR(IFERROR(IF(VLOOKUP($A233,'Шаг2.Бланк заказа NEW'!$B$17:$N$201,4,0)="","",VLOOKUP($A233,'Шаг2.Бланк заказа NEW'!$B$17:$N$201,4,0)),
IF(VLOOKUP($A233-COUNT('Шаг2.Бланк заказа NEW'!$B$19:$B$201),'Бланк OLD 0.8 04'!$B$12:$K$200,4,0)&gt;0,0.8,
IF(VLOOKUP($A233-COUNT('Шаг2.Бланк заказа NEW'!$B$19:$B$201),'Бланк OLD 0.8 04'!$B$12:$K$200,5,0)&gt;0,0.4,""))),
IF(VLOOKUP($A233-COUNT('Шаг2.Бланк заказа NEW'!$B$19:$B$201)-COUNT('Бланк OLD 0.8 04'!$B$18:$B$200),'Бланк OLD 2.0 04 '!$B$16:$K$200,4,0)&gt;0,2,IF(VLOOKUP($A233-COUNT('Шаг2.Бланк заказа NEW'!$B$19:$B$201)-COUNT('Бланк OLD 0.8 04'!$B$18:$B$200),'Бланк OLD 2.0 04 '!$B$16:$K$200,5,0)&gt;0,0.4,"")))</f>
        <v/>
      </c>
      <c r="S233" s="147" t="str">
        <f ca="1">IFERROR(IFERROR(IF(VLOOKUP($A233,'Шаг2.Бланк заказа NEW'!$B$17:$N$201,5,0)="","",VLOOKUP($A233,'Шаг2.Бланк заказа NEW'!$B$17:$N$201,5,0)),
IF(VLOOKUP($A233-COUNT('Шаг2.Бланк заказа NEW'!$B$19:$B$201),'Бланк OLD 0.8 04'!$B$12:$K$200,4,0)&gt;1,0.8,
IF(VLOOKUP($A233-COUNT('Шаг2.Бланк заказа NEW'!$B$19:$B$201),'Бланк OLD 0.8 04'!$B$12:$K$200,5,0)&gt;1,0.4,
IF(AND(VLOOKUP($A233-COUNT('Шаг2.Бланк заказа NEW'!$B$19:$B$201),'Бланк OLD 0.8 04'!$B$12:$K$200,4,0)&gt;0,VLOOKUP($A233-COUNT('Шаг2.Бланк заказа NEW'!$B$19:$B$201),'Бланк OLD 0.8 04'!$B$12:$K$200,5,0)&gt;0),0.4,"")))),
IF(VLOOKUP($A233-COUNT('Шаг2.Бланк заказа NEW'!$B$19:$B$201)-COUNT('Бланк OLD 0.8 04'!$B$18:$B$200),'Бланк OLD 2.0 04 '!$B$16:$K$200,4,0)&gt;1,2,
IF(VLOOKUP($A233-COUNT('Шаг2.Бланк заказа NEW'!$B$19:$B$201)-COUNT('Бланк OLD 0.8 04'!$B$18:$B$200),'Бланк OLD 2.0 04 '!$B$16:$K$200,5,0)&gt;1,0.4,IF(AND(VLOOKUP($A233-COUNT('Шаг2.Бланк заказа NEW'!$B$19:$B$201)-COUNT('Бланк OLD 0.8 04'!$B$18:$B$200),'Бланк OLD 2.0 04 '!$B$16:$K$200,4,0)&gt;0,VLOOKUP($A233-COUNT('Шаг2.Бланк заказа NEW'!$B$19:$B$201)-COUNT('Бланк OLD 0.8 04'!$B$18:$B$200),'Бланк OLD 2.0 04 '!$B$16:$K$200,5,0)&gt;0),0.4,""))))</f>
        <v/>
      </c>
      <c r="T233" s="147" t="str">
        <f ca="1">IFERROR(IFERROR(IF(VLOOKUP($A233,'Шаг2.Бланк заказа NEW'!$B$17:$N$201,7,0)="","",VLOOKUP($A233,'Шаг2.Бланк заказа NEW'!$B$17:$N$201,7,0)),
IF(VLOOKUP($A233-COUNT('Шаг2.Бланк заказа NEW'!$B$19:$B$201),'Бланк OLD 0.8 04'!$B$12:$K$200,7,0)&gt;0,0.8,
IF(VLOOKUP($A233-COUNT('Шаг2.Бланк заказа NEW'!$B$19:$B$201),'Бланк OLD 0.8 04'!$B$12:$K$200,8,0)&gt;0,0.4,""))),
IF(VLOOKUP($A233-COUNT('Шаг2.Бланк заказа NEW'!$B$19:$B$201)-COUNT('Бланк OLD 0.8 04'!$B$18:$B$200),'Бланк OLD 2.0 04 '!$B$16:$K$200,7,0)&gt;0,2,IF(VLOOKUP($A233-COUNT('Шаг2.Бланк заказа NEW'!$B$19:$B$201)-COUNT('Бланк OLD 0.8 04'!$B$18:$B$200),'Бланк OLD 2.0 04 '!$B$16:$K$200,8,0)&gt;0,0.4,"")))</f>
        <v/>
      </c>
      <c r="U233" s="147" t="str">
        <f ca="1">IFERROR(IFERROR(IF(VLOOKUP($A233,'Шаг2.Бланк заказа NEW'!$B$17:$N$201,8,0)="","",VLOOKUP($A233,'Шаг2.Бланк заказа NEW'!$B$17:$N$201,8,0)),
IF(VLOOKUP($A233-COUNT('Шаг2.Бланк заказа NEW'!$B$19:$B$201),'Бланк OLD 0.8 04'!$B$12:$K$200,7,0)&gt;1,0.8,
IF(VLOOKUP($A233-COUNT('Шаг2.Бланк заказа NEW'!$B$19:$B$201),'Бланк OLD 0.8 04'!$B$12:$K$200,8,0)&gt;1,0.4,
IF(AND(VLOOKUP($A233-COUNT('Шаг2.Бланк заказа NEW'!$B$19:$B$201),'Бланк OLD 0.8 04'!$B$12:$K$200,7,0)&gt;0,VLOOKUP($A233-COUNT('Шаг2.Бланк заказа NEW'!$B$19:$B$201),'Бланк OLD 0.8 04'!$B$12:$K$200,8,0)&gt;0),0.4,"")))),
IF(VLOOKUP($A233-COUNT('Шаг2.Бланк заказа NEW'!$B$19:$B$201)-COUNT('Бланк OLD 0.8 04'!$B$18:$B$200),'Бланк OLD 2.0 04 '!$B$16:$K$200,7,0)&gt;1,2,
IF(VLOOKUP($A233-COUNT('Шаг2.Бланк заказа NEW'!$B$19:$B$201)-COUNT('Бланк OLD 0.8 04'!$B$18:$B$200),'Бланк OLD 2.0 04 '!$B$16:$K$200,8,0)&gt;1,0.4,
IF(AND(VLOOKUP($A233-COUNT('Шаг2.Бланк заказа NEW'!$B$19:$B$201)-COUNT('Бланк OLD 0.8 04'!$B$18:$B$200),'Бланк OLD 2.0 04 '!$B$16:$K$200,7,0)&gt;0,VLOOKUP($A233-COUNT('Шаг2.Бланк заказа NEW'!$B$19:$B$201)-COUNT('Бланк OLD 0.8 04'!$B$18:$B$200),'Бланк OLD 2.0 04 '!$B$16:$K$200,8,0)&gt;0),0.4,""))))</f>
        <v/>
      </c>
      <c r="V233" s="146" t="str">
        <f ca="1">IFERROR(VLOOKUP(C233,'Шаг1.Выбор плиты'!C:S,12,0),"")</f>
        <v/>
      </c>
      <c r="W233" s="146" t="str">
        <f ca="1">IFERROR(VLOOKUP(C233,'Шаг1.Выбор плиты'!C:S,8,0),"")</f>
        <v/>
      </c>
      <c r="X233" s="146" t="str">
        <f ca="1">IFERROR(VLOOKUP(C233,'Шаг1.Выбор плиты'!C:S,10,0),"")</f>
        <v/>
      </c>
      <c r="Y233" s="147" t="str">
        <f t="shared" ca="1" si="18"/>
        <v/>
      </c>
      <c r="AD233" s="147" t="str">
        <f t="shared" ca="1" si="21"/>
        <v/>
      </c>
      <c r="AE233" s="147" t="str">
        <f t="shared" ca="1" si="19"/>
        <v/>
      </c>
      <c r="AF233" s="25"/>
      <c r="AH233" s="147" t="str">
        <f ca="1">IF(C233="","",VLOOKUP(C233,'Шаг1.Выбор плиты'!C:Q,7,0))</f>
        <v/>
      </c>
      <c r="AI233" s="147" t="str">
        <f t="shared" ca="1" si="22"/>
        <v/>
      </c>
    </row>
    <row r="234" spans="1:35" x14ac:dyDescent="0.2">
      <c r="A234" s="151" t="str">
        <f ca="1">IF(C234="","",MAX($A$1:OFFSET(C234,-1,0))+1)</f>
        <v/>
      </c>
      <c r="B234" s="151" t="str">
        <f ca="1">IFERROR(IFERROR(IFERROR("Шаг2.Бланк заказа NEW №"&amp;VLOOKUP(A233+1,CHOOSE({1,2},'Шаг2.Бланк заказа NEW'!$B$19:$B$201,'Шаг2.Бланк заказа NEW'!$A$19:$A$201),1,0),
"Бланк OLD 0.8 04 №"&amp;VLOOKUP(A233+1-COUNT('Шаг2.Бланк заказа NEW'!$B$19:$B$201),CHOOSE({1,2},'Бланк OLD 0.8 04'!$B$18:$B$200,'Бланк OLD 0.8 04'!$A$18:$A$200),1,0)),
"Бланк OLD 2.0 04 №"&amp;VLOOKUP(A233+1-COUNT('Шаг2.Бланк заказа NEW'!$B$19:$B$201)-COUNT('Бланк OLD 0.8 04'!$B$18:$B$200),CHOOSE({1,2},'Бланк OLD 2.0 04 '!$B$18:$B$200,'Бланк OLD 2.0 04 '!$A$18:$A$200),1,0)),"")</f>
        <v/>
      </c>
      <c r="C234" s="152" t="str">
        <f ca="1">IFERROR(IFERROR(IFERROR(VLOOKUP(A233+1,CHOOSE({1,2},'Шаг2.Бланк заказа NEW'!$B$19:$B$201,'Шаг2.Бланк заказа NEW'!$A$19:$A$201),2,0),
VLOOKUP(A233+1-COUNT('Шаг2.Бланк заказа NEW'!$B$19:$B$201),CHOOSE({1,2},'Бланк OLD 0.8 04'!$B$18:$B$200,'Бланк OLD 0.8 04'!$A$18:$A$200),2,0)),
VLOOKUP(A233+1-COUNT('Шаг2.Бланк заказа NEW'!$B$19:$B$201)-COUNT('Бланк OLD 0.8 04'!$B$18:$B$200),CHOOSE({1,2},'Бланк OLD 2.0 04 '!$B$18:$B$200,'Бланк OLD 2.0 04 '!$A$18:$A$200),2,0)),"")</f>
        <v/>
      </c>
      <c r="D234" s="150" t="str">
        <f ca="1">IFERROR(VLOOKUP(C234,'Шаг1.Выбор плиты'!C:G,5,0),"")</f>
        <v/>
      </c>
      <c r="E234" s="147" t="str">
        <f ca="1">IFERROR(IFERROR(IF(VLOOKUP($A234,'Шаг2.Бланк заказа NEW'!$B$17:$N$201,2,0)="","",VLOOKUP($A234,'Шаг2.Бланк заказа NEW'!$B$17:$N$201,2,0)),
IF(VLOOKUP($A234-COUNT('Шаг2.Бланк заказа NEW'!$B$19:$B$201),'Бланк OLD 0.8 04'!$B$12:$K$200,2,0)="","",VLOOKUP($A234-COUNT('Шаг2.Бланк заказа NEW'!$B$19:$B$201),'Бланк OLD 0.8 04'!$B$12:$K$200,2,0))),
IF(VLOOKUP($A234-COUNT('Шаг2.Бланк заказа NEW'!$B$19:$B$201)-COUNT('Бланк OLD 0.8 04'!$B$18:$B$200),'Бланк OLD 2.0 04 '!$B$16:$K$200,2,0)="","",VLOOKUP($A234-COUNT('Шаг2.Бланк заказа NEW'!$B$19:$B$201)-COUNT('Бланк OLD 0.8 04'!$B$18:$B$200),'Бланк OLD 2.0 04 '!$B$16:$K$200,2,0)))</f>
        <v/>
      </c>
      <c r="F234" s="147" t="str">
        <f ca="1">IFERROR(IFERROR(IF(VLOOKUP($A234,'Шаг2.Бланк заказа NEW'!$B$17:$N$201,3,0)="","",VLOOKUP($A234,'Шаг2.Бланк заказа NEW'!$B$17:$N$201,3,0)),
IF(VLOOKUP($A234-COUNT('Шаг2.Бланк заказа NEW'!$B$19:$B$201),'Бланк OLD 0.8 04'!$B$12:$K$200,3,0)="","",VLOOKUP($A234-COUNT('Шаг2.Бланк заказа NEW'!$B$19:$B$201),'Бланк OLD 0.8 04'!$B$12:$K$200,3,0))),
IF(VLOOKUP($A234-COUNT('Шаг2.Бланк заказа NEW'!$B$19:$B$201)-COUNT('Бланк OLD 0.8 04'!$B$18:$B$200),'Бланк OLD 2.0 04 '!$B$16:$K$200,3,0)="","",VLOOKUP($A234-COUNT('Шаг2.Бланк заказа NEW'!$B$19:$B$201)-COUNT('Бланк OLD 0.8 04'!$B$18:$B$200),'Бланк OLD 2.0 04 '!$B$16:$K$200,3,0)))</f>
        <v/>
      </c>
      <c r="G234" s="176" t="str">
        <f ca="1">IF(IF(R234="","",IF(R234=1,SUMIFS('Шаг1.Выбор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плиты'!C:Q,12,0)),1))))))=0,
R234,
IF(R234="","",IF(R234=1,SUMIFS('Шаг1.Выбор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плиты'!N:N,R234,'Шаг1.Выбор плиты'!M:M,SMALL(INDIRECT("мм"&amp;VLOOKUP(C234,'Шаг1.Выбор плиты'!C:Q,12,0)),1)))))))</f>
        <v/>
      </c>
      <c r="H234" s="177" t="str">
        <f ca="1">IF(IF(S234="","",IF(S234=1,SUMIFS('Шаг1.Выбор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плиты'!C:Q,12,0)),1))))))=0,
S234,
IF(S234="","",IF(S234=1,SUMIFS('Шаг1.Выбор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плиты'!N:N,S234,'Шаг1.Выбор плиты'!M:M,SMALL(INDIRECT("мм"&amp;VLOOKUP(C234,'Шаг1.Выбор плиты'!C:Q,12,0)),1)))))))</f>
        <v/>
      </c>
      <c r="I234" s="147" t="str">
        <f ca="1">IFERROR(IFERROR(IF(VLOOKUP($A234,'Шаг2.Бланк заказа NEW'!$B$17:$N$201,6,0)="","",VLOOKUP($A234,'Шаг2.Бланк заказа NEW'!$B$17:$N$201,6,0)),
IF(VLOOKUP($A234-COUNT('Шаг2.Бланк заказа NEW'!$B$19:$B$201),'Бланк OLD 0.8 04'!$B$12:$K$200,6,0)="","",VLOOKUP($A234-COUNT('Шаг2.Бланк заказа NEW'!$B$19:$B$201),'Бланк OLD 0.8 04'!$B$12:$K$200,6,0))),
IF(VLOOKUP($A234-COUNT('Шаг2.Бланк заказа NEW'!$B$19:$B$201)-COUNT('Бланк OLD 0.8 04'!$B$18:$B$200),'Бланк OLD 2.0 04 '!$B$16:$K$200,6,0)="","",VLOOKUP($A234-COUNT('Шаг2.Бланк заказа NEW'!$B$19:$B$201)-COUNT('Бланк OLD 0.8 04'!$B$18:$B$200),'Бланк OLD 2.0 04 '!$B$16:$K$200,6,0)))</f>
        <v/>
      </c>
      <c r="J234" s="177" t="str">
        <f ca="1">IF(IF(T234="","",IF(T234=1,SUMIFS('Шаг1.Выбор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плиты'!C:Q,12,0)),1))))))=0,
T234,
IF(T234="","",IF(T234=1,SUMIFS('Шаг1.Выбор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плиты'!N:N,T234,'Шаг1.Выбор плиты'!M:M,SMALL(INDIRECT("мм"&amp;VLOOKUP(C234,'Шаг1.Выбор плиты'!C:Q,12,0)),1)))))))</f>
        <v/>
      </c>
      <c r="K234" s="177" t="str">
        <f ca="1">IF(IF(U234="","",IF(U234=1,SUMIFS('Шаг1.Выбор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плиты'!C:Q,12,0)),1))))))=0,
U234,
IF(U234="","",IF(U234=1,SUMIFS('Шаг1.Выбор плиты'!$G:$G,'Шаг1.Выбор плиты'!J:J,"*"&amp;RIGHT(VLOOKUP(C234,'Шаг1.Выбор плиты'!C:Q,8,0),4),'Шаг1.Выбор плиты'!L:L,IF(MID(C234,1,6)="ЛДСП P","TM"&amp;MID(VLOOKUP(C234,'Шаг1.Выбор плиты'!C:Q,10,0),3,2),MID(VLOOKUP(C234,'Шаг1.Выбор плиты'!C:Q,10,0),1,2)),
'Шаг1.Выбор плиты'!N:N,1),IF(SUMIFS('Шаг1.Выбор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плиты'!C:Q,12,0)),1))=0,
IF(SUMIFS('Шаг1.Выбор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плиты'!C:Q,12,0)),2))=0,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плиты'!C:Q,12,0)),3)),
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плиты'!C:Q,12,0)),2))),
(SUMIFS('Шаг1.Выбор плиты'!$G:$G,'Шаг1.Выбор плиты'!J:J,"*"&amp;RIGHT(VLOOKUP(C234,'Шаг1.Выбор плиты'!C:Q,8,0),4),'Шаг1.Выбор плиты'!L:L,VLOOKUP(C234,'Шаг1.Выбор плиты'!C:Q,10,0),'Шаг1.Выбор плиты'!N:N,U234,'Шаг1.Выбор плиты'!M:M,SMALL(INDIRECT("мм"&amp;VLOOKUP(C234,'Шаг1.Выбор плиты'!C:Q,12,0)),1)))))))</f>
        <v/>
      </c>
      <c r="L234" s="147" t="str">
        <f ca="1">IFERROR(IFERROR(IF(VLOOKUP($A234,'Шаг2.Бланк заказа NEW'!$B$17:$N$201,9,0)="","",VLOOKUP($A234,'Шаг2.Бланк заказа NEW'!$B$17:$N$201,9,0)),
IF(VLOOKUP($A234-COUNT('Шаг2.Бланк заказа NEW'!$B$19:$B$201),'Бланк OLD 0.8 04'!$B$12:$K$200,9,0)="","",VLOOKUP($A234-COUNT('Шаг2.Бланк заказа NEW'!$B$19:$B$201),'Бланк OLD 0.8 04'!$B$12:$K$200,9,0))),
IF(VLOOKUP($A234-COUNT('Шаг2.Бланк заказа NEW'!$B$19:$B$201)-COUNT('Бланк OLD 0.8 04'!$B$18:$B$200),'Бланк OLD 2.0 04 '!$B$16:$K$200,9,0)="","",VLOOKUP($A234-COUNT('Шаг2.Бланк заказа NEW'!$B$19:$B$201)-COUNT('Бланк OLD 0.8 04'!$B$18:$B$200),'Бланк OLD 2.0 04 '!$B$16:$K$200,9,0)))</f>
        <v/>
      </c>
      <c r="M234" s="154" t="str">
        <f t="shared" ca="1" si="20"/>
        <v/>
      </c>
      <c r="N234" s="153" t="str">
        <f ca="1">IFERROR(IF(VLOOKUP($A234,'Шаг2.Бланк заказа NEW'!$B$17:$N$201,11,0)="","",VLOOKUP($A234,'Шаг2.Бланк заказа NEW'!$B$17:$N$201,11,0)),
"Нет")</f>
        <v/>
      </c>
      <c r="O234" s="147" t="str">
        <f ca="1">IFERROR(IF(VLOOKUP($A234,'Шаг2.Бланк заказа NEW'!$B$17:$N$201,11,0)="","",VLOOKUP($A234,'Шаг2.Бланк заказа NEW'!$B$17:$N$201,12,0)),
"Нет")</f>
        <v/>
      </c>
      <c r="P234" s="153" t="str">
        <f ca="1">IFERROR(IF(VLOOKUP($A234,'Шаг2.Бланк заказа NEW'!$B$17:$N$201,13,0)="","",VLOOKUP($A234,'Шаг2.Бланк заказа NEW'!$B$17:$N$201,13,0)),
"Нет")</f>
        <v/>
      </c>
      <c r="Q234" s="147" t="str">
        <f ca="1">IFERROR(IF(VLOOKUP($A234,'Шаг2.Бланк заказа NEW'!$B$17:$O$201,14,0)="","",VLOOKUP($A234,'Шаг2.Бланк заказа NEW'!$B$17:$O$201,14,0)),"")</f>
        <v/>
      </c>
      <c r="R234" s="147" t="str">
        <f ca="1">IFERROR(IFERROR(IF(VLOOKUP($A234,'Шаг2.Бланк заказа NEW'!$B$17:$N$201,4,0)="","",VLOOKUP($A234,'Шаг2.Бланк заказа NEW'!$B$17:$N$201,4,0)),
IF(VLOOKUP($A234-COUNT('Шаг2.Бланк заказа NEW'!$B$19:$B$201),'Бланк OLD 0.8 04'!$B$12:$K$200,4,0)&gt;0,0.8,
IF(VLOOKUP($A234-COUNT('Шаг2.Бланк заказа NEW'!$B$19:$B$201),'Бланк OLD 0.8 04'!$B$12:$K$200,5,0)&gt;0,0.4,""))),
IF(VLOOKUP($A234-COUNT('Шаг2.Бланк заказа NEW'!$B$19:$B$201)-COUNT('Бланк OLD 0.8 04'!$B$18:$B$200),'Бланк OLD 2.0 04 '!$B$16:$K$200,4,0)&gt;0,2,IF(VLOOKUP($A234-COUNT('Шаг2.Бланк заказа NEW'!$B$19:$B$201)-COUNT('Бланк OLD 0.8 04'!$B$18:$B$200),'Бланк OLD 2.0 04 '!$B$16:$K$200,5,0)&gt;0,0.4,"")))</f>
        <v/>
      </c>
      <c r="S234" s="147" t="str">
        <f ca="1">IFERROR(IFERROR(IF(VLOOKUP($A234,'Шаг2.Бланк заказа NEW'!$B$17:$N$201,5,0)="","",VLOOKUP($A234,'Шаг2.Бланк заказа NEW'!$B$17:$N$201,5,0)),
IF(VLOOKUP($A234-COUNT('Шаг2.Бланк заказа NEW'!$B$19:$B$201),'Бланк OLD 0.8 04'!$B$12:$K$200,4,0)&gt;1,0.8,
IF(VLOOKUP($A234-COUNT('Шаг2.Бланк заказа NEW'!$B$19:$B$201),'Бланк OLD 0.8 04'!$B$12:$K$200,5,0)&gt;1,0.4,
IF(AND(VLOOKUP($A234-COUNT('Шаг2.Бланк заказа NEW'!$B$19:$B$201),'Бланк OLD 0.8 04'!$B$12:$K$200,4,0)&gt;0,VLOOKUP($A234-COUNT('Шаг2.Бланк заказа NEW'!$B$19:$B$201),'Бланк OLD 0.8 04'!$B$12:$K$200,5,0)&gt;0),0.4,"")))),
IF(VLOOKUP($A234-COUNT('Шаг2.Бланк заказа NEW'!$B$19:$B$201)-COUNT('Бланк OLD 0.8 04'!$B$18:$B$200),'Бланк OLD 2.0 04 '!$B$16:$K$200,4,0)&gt;1,2,
IF(VLOOKUP($A234-COUNT('Шаг2.Бланк заказа NEW'!$B$19:$B$201)-COUNT('Бланк OLD 0.8 04'!$B$18:$B$200),'Бланк OLD 2.0 04 '!$B$16:$K$200,5,0)&gt;1,0.4,IF(AND(VLOOKUP($A234-COUNT('Шаг2.Бланк заказа NEW'!$B$19:$B$201)-COUNT('Бланк OLD 0.8 04'!$B$18:$B$200),'Бланк OLD 2.0 04 '!$B$16:$K$200,4,0)&gt;0,VLOOKUP($A234-COUNT('Шаг2.Бланк заказа NEW'!$B$19:$B$201)-COUNT('Бланк OLD 0.8 04'!$B$18:$B$200),'Бланк OLD 2.0 04 '!$B$16:$K$200,5,0)&gt;0),0.4,""))))</f>
        <v/>
      </c>
      <c r="T234" s="147" t="str">
        <f ca="1">IFERROR(IFERROR(IF(VLOOKUP($A234,'Шаг2.Бланк заказа NEW'!$B$17:$N$201,7,0)="","",VLOOKUP($A234,'Шаг2.Бланк заказа NEW'!$B$17:$N$201,7,0)),
IF(VLOOKUP($A234-COUNT('Шаг2.Бланк заказа NEW'!$B$19:$B$201),'Бланк OLD 0.8 04'!$B$12:$K$200,7,0)&gt;0,0.8,
IF(VLOOKUP($A234-COUNT('Шаг2.Бланк заказа NEW'!$B$19:$B$201),'Бланк OLD 0.8 04'!$B$12:$K$200,8,0)&gt;0,0.4,""))),
IF(VLOOKUP($A234-COUNT('Шаг2.Бланк заказа NEW'!$B$19:$B$201)-COUNT('Бланк OLD 0.8 04'!$B$18:$B$200),'Бланк OLD 2.0 04 '!$B$16:$K$200,7,0)&gt;0,2,IF(VLOOKUP($A234-COUNT('Шаг2.Бланк заказа NEW'!$B$19:$B$201)-COUNT('Бланк OLD 0.8 04'!$B$18:$B$200),'Бланк OLD 2.0 04 '!$B$16:$K$200,8,0)&gt;0,0.4,"")))</f>
        <v/>
      </c>
      <c r="U234" s="147" t="str">
        <f ca="1">IFERROR(IFERROR(IF(VLOOKUP($A234,'Шаг2.Бланк заказа NEW'!$B$17:$N$201,8,0)="","",VLOOKUP($A234,'Шаг2.Бланк заказа NEW'!$B$17:$N$201,8,0)),
IF(VLOOKUP($A234-COUNT('Шаг2.Бланк заказа NEW'!$B$19:$B$201),'Бланк OLD 0.8 04'!$B$12:$K$200,7,0)&gt;1,0.8,
IF(VLOOKUP($A234-COUNT('Шаг2.Бланк заказа NEW'!$B$19:$B$201),'Бланк OLD 0.8 04'!$B$12:$K$200,8,0)&gt;1,0.4,
IF(AND(VLOOKUP($A234-COUNT('Шаг2.Бланк заказа NEW'!$B$19:$B$201),'Бланк OLD 0.8 04'!$B$12:$K$200,7,0)&gt;0,VLOOKUP($A234-COUNT('Шаг2.Бланк заказа NEW'!$B$19:$B$201),'Бланк OLD 0.8 04'!$B$12:$K$200,8,0)&gt;0),0.4,"")))),
IF(VLOOKUP($A234-COUNT('Шаг2.Бланк заказа NEW'!$B$19:$B$201)-COUNT('Бланк OLD 0.8 04'!$B$18:$B$200),'Бланк OLD 2.0 04 '!$B$16:$K$200,7,0)&gt;1,2,
IF(VLOOKUP($A234-COUNT('Шаг2.Бланк заказа NEW'!$B$19:$B$201)-COUNT('Бланк OLD 0.8 04'!$B$18:$B$200),'Бланк OLD 2.0 04 '!$B$16:$K$200,8,0)&gt;1,0.4,
IF(AND(VLOOKUP($A234-COUNT('Шаг2.Бланк заказа NEW'!$B$19:$B$201)-COUNT('Бланк OLD 0.8 04'!$B$18:$B$200),'Бланк OLD 2.0 04 '!$B$16:$K$200,7,0)&gt;0,VLOOKUP($A234-COUNT('Шаг2.Бланк заказа NEW'!$B$19:$B$201)-COUNT('Бланк OLD 0.8 04'!$B$18:$B$200),'Бланк OLD 2.0 04 '!$B$16:$K$200,8,0)&gt;0),0.4,""))))</f>
        <v/>
      </c>
      <c r="V234" s="146" t="str">
        <f ca="1">IFERROR(VLOOKUP(C234,'Шаг1.Выбор плиты'!C:S,12,0),"")</f>
        <v/>
      </c>
      <c r="W234" s="146" t="str">
        <f ca="1">IFERROR(VLOOKUP(C234,'Шаг1.Выбор плиты'!C:S,8,0),"")</f>
        <v/>
      </c>
      <c r="X234" s="146" t="str">
        <f ca="1">IFERROR(VLOOKUP(C234,'Шаг1.Выбор плиты'!C:S,10,0),"")</f>
        <v/>
      </c>
      <c r="Y234" s="147" t="str">
        <f t="shared" ca="1" si="18"/>
        <v/>
      </c>
      <c r="AD234" s="147" t="str">
        <f t="shared" ca="1" si="21"/>
        <v/>
      </c>
      <c r="AE234" s="147" t="str">
        <f t="shared" ca="1" si="19"/>
        <v/>
      </c>
      <c r="AF234" s="25"/>
      <c r="AH234" s="147" t="str">
        <f ca="1">IF(C234="","",VLOOKUP(C234,'Шаг1.Выбор плиты'!C:Q,7,0))</f>
        <v/>
      </c>
      <c r="AI234" s="147" t="str">
        <f t="shared" ca="1" si="22"/>
        <v/>
      </c>
    </row>
    <row r="235" spans="1:35" x14ac:dyDescent="0.2">
      <c r="A235" s="151" t="str">
        <f ca="1">IF(C235="","",MAX($A$1:OFFSET(C235,-1,0))+1)</f>
        <v/>
      </c>
      <c r="B235" s="151" t="str">
        <f ca="1">IFERROR(IFERROR(IFERROR("Шаг2.Бланк заказа NEW №"&amp;VLOOKUP(A234+1,CHOOSE({1,2},'Шаг2.Бланк заказа NEW'!$B$19:$B$201,'Шаг2.Бланк заказа NEW'!$A$19:$A$201),1,0),
"Бланк OLD 0.8 04 №"&amp;VLOOKUP(A234+1-COUNT('Шаг2.Бланк заказа NEW'!$B$19:$B$201),CHOOSE({1,2},'Бланк OLD 0.8 04'!$B$18:$B$200,'Бланк OLD 0.8 04'!$A$18:$A$200),1,0)),
"Бланк OLD 2.0 04 №"&amp;VLOOKUP(A234+1-COUNT('Шаг2.Бланк заказа NEW'!$B$19:$B$201)-COUNT('Бланк OLD 0.8 04'!$B$18:$B$200),CHOOSE({1,2},'Бланк OLD 2.0 04 '!$B$18:$B$200,'Бланк OLD 2.0 04 '!$A$18:$A$200),1,0)),"")</f>
        <v/>
      </c>
      <c r="C235" s="152" t="str">
        <f ca="1">IFERROR(IFERROR(IFERROR(VLOOKUP(A234+1,CHOOSE({1,2},'Шаг2.Бланк заказа NEW'!$B$19:$B$201,'Шаг2.Бланк заказа NEW'!$A$19:$A$201),2,0),
VLOOKUP(A234+1-COUNT('Шаг2.Бланк заказа NEW'!$B$19:$B$201),CHOOSE({1,2},'Бланк OLD 0.8 04'!$B$18:$B$200,'Бланк OLD 0.8 04'!$A$18:$A$200),2,0)),
VLOOKUP(A234+1-COUNT('Шаг2.Бланк заказа NEW'!$B$19:$B$201)-COUNT('Бланк OLD 0.8 04'!$B$18:$B$200),CHOOSE({1,2},'Бланк OLD 2.0 04 '!$B$18:$B$200,'Бланк OLD 2.0 04 '!$A$18:$A$200),2,0)),"")</f>
        <v/>
      </c>
      <c r="D235" s="150" t="str">
        <f ca="1">IFERROR(VLOOKUP(C235,'Шаг1.Выбор плиты'!C:G,5,0),"")</f>
        <v/>
      </c>
      <c r="E235" s="147" t="str">
        <f ca="1">IFERROR(IFERROR(IF(VLOOKUP($A235,'Шаг2.Бланк заказа NEW'!$B$17:$N$201,2,0)="","",VLOOKUP($A235,'Шаг2.Бланк заказа NEW'!$B$17:$N$201,2,0)),
IF(VLOOKUP($A235-COUNT('Шаг2.Бланк заказа NEW'!$B$19:$B$201),'Бланк OLD 0.8 04'!$B$12:$K$200,2,0)="","",VLOOKUP($A235-COUNT('Шаг2.Бланк заказа NEW'!$B$19:$B$201),'Бланк OLD 0.8 04'!$B$12:$K$200,2,0))),
IF(VLOOKUP($A235-COUNT('Шаг2.Бланк заказа NEW'!$B$19:$B$201)-COUNT('Бланк OLD 0.8 04'!$B$18:$B$200),'Бланк OLD 2.0 04 '!$B$16:$K$200,2,0)="","",VLOOKUP($A235-COUNT('Шаг2.Бланк заказа NEW'!$B$19:$B$201)-COUNT('Бланк OLD 0.8 04'!$B$18:$B$200),'Бланк OLD 2.0 04 '!$B$16:$K$200,2,0)))</f>
        <v/>
      </c>
      <c r="F235" s="147" t="str">
        <f ca="1">IFERROR(IFERROR(IF(VLOOKUP($A235,'Шаг2.Бланк заказа NEW'!$B$17:$N$201,3,0)="","",VLOOKUP($A235,'Шаг2.Бланк заказа NEW'!$B$17:$N$201,3,0)),
IF(VLOOKUP($A235-COUNT('Шаг2.Бланк заказа NEW'!$B$19:$B$201),'Бланк OLD 0.8 04'!$B$12:$K$200,3,0)="","",VLOOKUP($A235-COUNT('Шаг2.Бланк заказа NEW'!$B$19:$B$201),'Бланк OLD 0.8 04'!$B$12:$K$200,3,0))),
IF(VLOOKUP($A235-COUNT('Шаг2.Бланк заказа NEW'!$B$19:$B$201)-COUNT('Бланк OLD 0.8 04'!$B$18:$B$200),'Бланк OLD 2.0 04 '!$B$16:$K$200,3,0)="","",VLOOKUP($A235-COUNT('Шаг2.Бланк заказа NEW'!$B$19:$B$201)-COUNT('Бланк OLD 0.8 04'!$B$18:$B$200),'Бланк OLD 2.0 04 '!$B$16:$K$200,3,0)))</f>
        <v/>
      </c>
      <c r="G235" s="176" t="str">
        <f ca="1">IF(IF(R235="","",IF(R235=1,SUMIFS('Шаг1.Выбор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плиты'!C:Q,12,0)),1))))))=0,
R235,
IF(R235="","",IF(R235=1,SUMIFS('Шаг1.Выбор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плиты'!N:N,R235,'Шаг1.Выбор плиты'!M:M,SMALL(INDIRECT("мм"&amp;VLOOKUP(C235,'Шаг1.Выбор плиты'!C:Q,12,0)),1)))))))</f>
        <v/>
      </c>
      <c r="H235" s="177" t="str">
        <f ca="1">IF(IF(S235="","",IF(S235=1,SUMIFS('Шаг1.Выбор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плиты'!C:Q,12,0)),1))))))=0,
S235,
IF(S235="","",IF(S235=1,SUMIFS('Шаг1.Выбор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плиты'!N:N,S235,'Шаг1.Выбор плиты'!M:M,SMALL(INDIRECT("мм"&amp;VLOOKUP(C235,'Шаг1.Выбор плиты'!C:Q,12,0)),1)))))))</f>
        <v/>
      </c>
      <c r="I235" s="147" t="str">
        <f ca="1">IFERROR(IFERROR(IF(VLOOKUP($A235,'Шаг2.Бланк заказа NEW'!$B$17:$N$201,6,0)="","",VLOOKUP($A235,'Шаг2.Бланк заказа NEW'!$B$17:$N$201,6,0)),
IF(VLOOKUP($A235-COUNT('Шаг2.Бланк заказа NEW'!$B$19:$B$201),'Бланк OLD 0.8 04'!$B$12:$K$200,6,0)="","",VLOOKUP($A235-COUNT('Шаг2.Бланк заказа NEW'!$B$19:$B$201),'Бланк OLD 0.8 04'!$B$12:$K$200,6,0))),
IF(VLOOKUP($A235-COUNT('Шаг2.Бланк заказа NEW'!$B$19:$B$201)-COUNT('Бланк OLD 0.8 04'!$B$18:$B$200),'Бланк OLD 2.0 04 '!$B$16:$K$200,6,0)="","",VLOOKUP($A235-COUNT('Шаг2.Бланк заказа NEW'!$B$19:$B$201)-COUNT('Бланк OLD 0.8 04'!$B$18:$B$200),'Бланк OLD 2.0 04 '!$B$16:$K$200,6,0)))</f>
        <v/>
      </c>
      <c r="J235" s="177" t="str">
        <f ca="1">IF(IF(T235="","",IF(T235=1,SUMIFS('Шаг1.Выбор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плиты'!C:Q,12,0)),1))))))=0,
T235,
IF(T235="","",IF(T235=1,SUMIFS('Шаг1.Выбор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плиты'!N:N,T235,'Шаг1.Выбор плиты'!M:M,SMALL(INDIRECT("мм"&amp;VLOOKUP(C235,'Шаг1.Выбор плиты'!C:Q,12,0)),1)))))))</f>
        <v/>
      </c>
      <c r="K235" s="177" t="str">
        <f ca="1">IF(IF(U235="","",IF(U235=1,SUMIFS('Шаг1.Выбор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плиты'!C:Q,12,0)),1))))))=0,
U235,
IF(U235="","",IF(U235=1,SUMIFS('Шаг1.Выбор плиты'!$G:$G,'Шаг1.Выбор плиты'!J:J,"*"&amp;RIGHT(VLOOKUP(C235,'Шаг1.Выбор плиты'!C:Q,8,0),4),'Шаг1.Выбор плиты'!L:L,IF(MID(C235,1,6)="ЛДСП P","TM"&amp;MID(VLOOKUP(C235,'Шаг1.Выбор плиты'!C:Q,10,0),3,2),MID(VLOOKUP(C235,'Шаг1.Выбор плиты'!C:Q,10,0),1,2)),
'Шаг1.Выбор плиты'!N:N,1),IF(SUMIFS('Шаг1.Выбор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плиты'!C:Q,12,0)),1))=0,
IF(SUMIFS('Шаг1.Выбор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плиты'!C:Q,12,0)),2))=0,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плиты'!C:Q,12,0)),3)),
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плиты'!C:Q,12,0)),2))),
(SUMIFS('Шаг1.Выбор плиты'!$G:$G,'Шаг1.Выбор плиты'!J:J,"*"&amp;RIGHT(VLOOKUP(C235,'Шаг1.Выбор плиты'!C:Q,8,0),4),'Шаг1.Выбор плиты'!L:L,VLOOKUP(C235,'Шаг1.Выбор плиты'!C:Q,10,0),'Шаг1.Выбор плиты'!N:N,U235,'Шаг1.Выбор плиты'!M:M,SMALL(INDIRECT("мм"&amp;VLOOKUP(C235,'Шаг1.Выбор плиты'!C:Q,12,0)),1)))))))</f>
        <v/>
      </c>
      <c r="L235" s="147" t="str">
        <f ca="1">IFERROR(IFERROR(IF(VLOOKUP($A235,'Шаг2.Бланк заказа NEW'!$B$17:$N$201,9,0)="","",VLOOKUP($A235,'Шаг2.Бланк заказа NEW'!$B$17:$N$201,9,0)),
IF(VLOOKUP($A235-COUNT('Шаг2.Бланк заказа NEW'!$B$19:$B$201),'Бланк OLD 0.8 04'!$B$12:$K$200,9,0)="","",VLOOKUP($A235-COUNT('Шаг2.Бланк заказа NEW'!$B$19:$B$201),'Бланк OLD 0.8 04'!$B$12:$K$200,9,0))),
IF(VLOOKUP($A235-COUNT('Шаг2.Бланк заказа NEW'!$B$19:$B$201)-COUNT('Бланк OLD 0.8 04'!$B$18:$B$200),'Бланк OLD 2.0 04 '!$B$16:$K$200,9,0)="","",VLOOKUP($A235-COUNT('Шаг2.Бланк заказа NEW'!$B$19:$B$201)-COUNT('Бланк OLD 0.8 04'!$B$18:$B$200),'Бланк OLD 2.0 04 '!$B$16:$K$200,9,0)))</f>
        <v/>
      </c>
      <c r="M235" s="154" t="str">
        <f t="shared" ca="1" si="20"/>
        <v/>
      </c>
      <c r="N235" s="153" t="str">
        <f ca="1">IFERROR(IF(VLOOKUP($A235,'Шаг2.Бланк заказа NEW'!$B$17:$N$201,11,0)="","",VLOOKUP($A235,'Шаг2.Бланк заказа NEW'!$B$17:$N$201,11,0)),
"Нет")</f>
        <v/>
      </c>
      <c r="O235" s="147" t="str">
        <f ca="1">IFERROR(IF(VLOOKUP($A235,'Шаг2.Бланк заказа NEW'!$B$17:$N$201,11,0)="","",VLOOKUP($A235,'Шаг2.Бланк заказа NEW'!$B$17:$N$201,12,0)),
"Нет")</f>
        <v/>
      </c>
      <c r="P235" s="153" t="str">
        <f ca="1">IFERROR(IF(VLOOKUP($A235,'Шаг2.Бланк заказа NEW'!$B$17:$N$201,13,0)="","",VLOOKUP($A235,'Шаг2.Бланк заказа NEW'!$B$17:$N$201,13,0)),
"Нет")</f>
        <v/>
      </c>
      <c r="Q235" s="147" t="str">
        <f ca="1">IFERROR(IF(VLOOKUP($A235,'Шаг2.Бланк заказа NEW'!$B$17:$O$201,14,0)="","",VLOOKUP($A235,'Шаг2.Бланк заказа NEW'!$B$17:$O$201,14,0)),"")</f>
        <v/>
      </c>
      <c r="R235" s="147" t="str">
        <f ca="1">IFERROR(IFERROR(IF(VLOOKUP($A235,'Шаг2.Бланк заказа NEW'!$B$17:$N$201,4,0)="","",VLOOKUP($A235,'Шаг2.Бланк заказа NEW'!$B$17:$N$201,4,0)),
IF(VLOOKUP($A235-COUNT('Шаг2.Бланк заказа NEW'!$B$19:$B$201),'Бланк OLD 0.8 04'!$B$12:$K$200,4,0)&gt;0,0.8,
IF(VLOOKUP($A235-COUNT('Шаг2.Бланк заказа NEW'!$B$19:$B$201),'Бланк OLD 0.8 04'!$B$12:$K$200,5,0)&gt;0,0.4,""))),
IF(VLOOKUP($A235-COUNT('Шаг2.Бланк заказа NEW'!$B$19:$B$201)-COUNT('Бланк OLD 0.8 04'!$B$18:$B$200),'Бланк OLD 2.0 04 '!$B$16:$K$200,4,0)&gt;0,2,IF(VLOOKUP($A235-COUNT('Шаг2.Бланк заказа NEW'!$B$19:$B$201)-COUNT('Бланк OLD 0.8 04'!$B$18:$B$200),'Бланк OLD 2.0 04 '!$B$16:$K$200,5,0)&gt;0,0.4,"")))</f>
        <v/>
      </c>
      <c r="S235" s="147" t="str">
        <f ca="1">IFERROR(IFERROR(IF(VLOOKUP($A235,'Шаг2.Бланк заказа NEW'!$B$17:$N$201,5,0)="","",VLOOKUP($A235,'Шаг2.Бланк заказа NEW'!$B$17:$N$201,5,0)),
IF(VLOOKUP($A235-COUNT('Шаг2.Бланк заказа NEW'!$B$19:$B$201),'Бланк OLD 0.8 04'!$B$12:$K$200,4,0)&gt;1,0.8,
IF(VLOOKUP($A235-COUNT('Шаг2.Бланк заказа NEW'!$B$19:$B$201),'Бланк OLD 0.8 04'!$B$12:$K$200,5,0)&gt;1,0.4,
IF(AND(VLOOKUP($A235-COUNT('Шаг2.Бланк заказа NEW'!$B$19:$B$201),'Бланк OLD 0.8 04'!$B$12:$K$200,4,0)&gt;0,VLOOKUP($A235-COUNT('Шаг2.Бланк заказа NEW'!$B$19:$B$201),'Бланк OLD 0.8 04'!$B$12:$K$200,5,0)&gt;0),0.4,"")))),
IF(VLOOKUP($A235-COUNT('Шаг2.Бланк заказа NEW'!$B$19:$B$201)-COUNT('Бланк OLD 0.8 04'!$B$18:$B$200),'Бланк OLD 2.0 04 '!$B$16:$K$200,4,0)&gt;1,2,
IF(VLOOKUP($A235-COUNT('Шаг2.Бланк заказа NEW'!$B$19:$B$201)-COUNT('Бланк OLD 0.8 04'!$B$18:$B$200),'Бланк OLD 2.0 04 '!$B$16:$K$200,5,0)&gt;1,0.4,IF(AND(VLOOKUP($A235-COUNT('Шаг2.Бланк заказа NEW'!$B$19:$B$201)-COUNT('Бланк OLD 0.8 04'!$B$18:$B$200),'Бланк OLD 2.0 04 '!$B$16:$K$200,4,0)&gt;0,VLOOKUP($A235-COUNT('Шаг2.Бланк заказа NEW'!$B$19:$B$201)-COUNT('Бланк OLD 0.8 04'!$B$18:$B$200),'Бланк OLD 2.0 04 '!$B$16:$K$200,5,0)&gt;0),0.4,""))))</f>
        <v/>
      </c>
      <c r="T235" s="147" t="str">
        <f ca="1">IFERROR(IFERROR(IF(VLOOKUP($A235,'Шаг2.Бланк заказа NEW'!$B$17:$N$201,7,0)="","",VLOOKUP($A235,'Шаг2.Бланк заказа NEW'!$B$17:$N$201,7,0)),
IF(VLOOKUP($A235-COUNT('Шаг2.Бланк заказа NEW'!$B$19:$B$201),'Бланк OLD 0.8 04'!$B$12:$K$200,7,0)&gt;0,0.8,
IF(VLOOKUP($A235-COUNT('Шаг2.Бланк заказа NEW'!$B$19:$B$201),'Бланк OLD 0.8 04'!$B$12:$K$200,8,0)&gt;0,0.4,""))),
IF(VLOOKUP($A235-COUNT('Шаг2.Бланк заказа NEW'!$B$19:$B$201)-COUNT('Бланк OLD 0.8 04'!$B$18:$B$200),'Бланк OLD 2.0 04 '!$B$16:$K$200,7,0)&gt;0,2,IF(VLOOKUP($A235-COUNT('Шаг2.Бланк заказа NEW'!$B$19:$B$201)-COUNT('Бланк OLD 0.8 04'!$B$18:$B$200),'Бланк OLD 2.0 04 '!$B$16:$K$200,8,0)&gt;0,0.4,"")))</f>
        <v/>
      </c>
      <c r="U235" s="147" t="str">
        <f ca="1">IFERROR(IFERROR(IF(VLOOKUP($A235,'Шаг2.Бланк заказа NEW'!$B$17:$N$201,8,0)="","",VLOOKUP($A235,'Шаг2.Бланк заказа NEW'!$B$17:$N$201,8,0)),
IF(VLOOKUP($A235-COUNT('Шаг2.Бланк заказа NEW'!$B$19:$B$201),'Бланк OLD 0.8 04'!$B$12:$K$200,7,0)&gt;1,0.8,
IF(VLOOKUP($A235-COUNT('Шаг2.Бланк заказа NEW'!$B$19:$B$201),'Бланк OLD 0.8 04'!$B$12:$K$200,8,0)&gt;1,0.4,
IF(AND(VLOOKUP($A235-COUNT('Шаг2.Бланк заказа NEW'!$B$19:$B$201),'Бланк OLD 0.8 04'!$B$12:$K$200,7,0)&gt;0,VLOOKUP($A235-COUNT('Шаг2.Бланк заказа NEW'!$B$19:$B$201),'Бланк OLD 0.8 04'!$B$12:$K$200,8,0)&gt;0),0.4,"")))),
IF(VLOOKUP($A235-COUNT('Шаг2.Бланк заказа NEW'!$B$19:$B$201)-COUNT('Бланк OLD 0.8 04'!$B$18:$B$200),'Бланк OLD 2.0 04 '!$B$16:$K$200,7,0)&gt;1,2,
IF(VLOOKUP($A235-COUNT('Шаг2.Бланк заказа NEW'!$B$19:$B$201)-COUNT('Бланк OLD 0.8 04'!$B$18:$B$200),'Бланк OLD 2.0 04 '!$B$16:$K$200,8,0)&gt;1,0.4,
IF(AND(VLOOKUP($A235-COUNT('Шаг2.Бланк заказа NEW'!$B$19:$B$201)-COUNT('Бланк OLD 0.8 04'!$B$18:$B$200),'Бланк OLD 2.0 04 '!$B$16:$K$200,7,0)&gt;0,VLOOKUP($A235-COUNT('Шаг2.Бланк заказа NEW'!$B$19:$B$201)-COUNT('Бланк OLD 0.8 04'!$B$18:$B$200),'Бланк OLD 2.0 04 '!$B$16:$K$200,8,0)&gt;0),0.4,""))))</f>
        <v/>
      </c>
      <c r="V235" s="146" t="str">
        <f ca="1">IFERROR(VLOOKUP(C235,'Шаг1.Выбор плиты'!C:S,12,0),"")</f>
        <v/>
      </c>
      <c r="W235" s="146" t="str">
        <f ca="1">IFERROR(VLOOKUP(C235,'Шаг1.Выбор плиты'!C:S,8,0),"")</f>
        <v/>
      </c>
      <c r="X235" s="146" t="str">
        <f ca="1">IFERROR(VLOOKUP(C235,'Шаг1.Выбор плиты'!C:S,10,0),"")</f>
        <v/>
      </c>
      <c r="Y235" s="147" t="str">
        <f t="shared" ca="1" si="18"/>
        <v/>
      </c>
      <c r="AD235" s="147" t="str">
        <f t="shared" ca="1" si="21"/>
        <v/>
      </c>
      <c r="AE235" s="147" t="str">
        <f t="shared" ca="1" si="19"/>
        <v/>
      </c>
      <c r="AF235" s="25"/>
      <c r="AH235" s="147" t="str">
        <f ca="1">IF(C235="","",VLOOKUP(C235,'Шаг1.Выбор плиты'!C:Q,7,0))</f>
        <v/>
      </c>
      <c r="AI235" s="147" t="str">
        <f t="shared" ca="1" si="22"/>
        <v/>
      </c>
    </row>
    <row r="236" spans="1:35" x14ac:dyDescent="0.2">
      <c r="A236" s="151" t="str">
        <f ca="1">IF(C236="","",MAX($A$1:OFFSET(C236,-1,0))+1)</f>
        <v/>
      </c>
      <c r="B236" s="151" t="str">
        <f ca="1">IFERROR(IFERROR(IFERROR("Шаг2.Бланк заказа NEW №"&amp;VLOOKUP(A235+1,CHOOSE({1,2},'Шаг2.Бланк заказа NEW'!$B$19:$B$201,'Шаг2.Бланк заказа NEW'!$A$19:$A$201),1,0),
"Бланк OLD 0.8 04 №"&amp;VLOOKUP(A235+1-COUNT('Шаг2.Бланк заказа NEW'!$B$19:$B$201),CHOOSE({1,2},'Бланк OLD 0.8 04'!$B$18:$B$200,'Бланк OLD 0.8 04'!$A$18:$A$200),1,0)),
"Бланк OLD 2.0 04 №"&amp;VLOOKUP(A235+1-COUNT('Шаг2.Бланк заказа NEW'!$B$19:$B$201)-COUNT('Бланк OLD 0.8 04'!$B$18:$B$200),CHOOSE({1,2},'Бланк OLD 2.0 04 '!$B$18:$B$200,'Бланк OLD 2.0 04 '!$A$18:$A$200),1,0)),"")</f>
        <v/>
      </c>
      <c r="C236" s="152" t="str">
        <f ca="1">IFERROR(IFERROR(IFERROR(VLOOKUP(A235+1,CHOOSE({1,2},'Шаг2.Бланк заказа NEW'!$B$19:$B$201,'Шаг2.Бланк заказа NEW'!$A$19:$A$201),2,0),
VLOOKUP(A235+1-COUNT('Шаг2.Бланк заказа NEW'!$B$19:$B$201),CHOOSE({1,2},'Бланк OLD 0.8 04'!$B$18:$B$200,'Бланк OLD 0.8 04'!$A$18:$A$200),2,0)),
VLOOKUP(A235+1-COUNT('Шаг2.Бланк заказа NEW'!$B$19:$B$201)-COUNT('Бланк OLD 0.8 04'!$B$18:$B$200),CHOOSE({1,2},'Бланк OLD 2.0 04 '!$B$18:$B$200,'Бланк OLD 2.0 04 '!$A$18:$A$200),2,0)),"")</f>
        <v/>
      </c>
      <c r="D236" s="150" t="str">
        <f ca="1">IFERROR(VLOOKUP(C236,'Шаг1.Выбор плиты'!C:G,5,0),"")</f>
        <v/>
      </c>
      <c r="E236" s="147" t="str">
        <f ca="1">IFERROR(IFERROR(IF(VLOOKUP($A236,'Шаг2.Бланк заказа NEW'!$B$17:$N$201,2,0)="","",VLOOKUP($A236,'Шаг2.Бланк заказа NEW'!$B$17:$N$201,2,0)),
IF(VLOOKUP($A236-COUNT('Шаг2.Бланк заказа NEW'!$B$19:$B$201),'Бланк OLD 0.8 04'!$B$12:$K$200,2,0)="","",VLOOKUP($A236-COUNT('Шаг2.Бланк заказа NEW'!$B$19:$B$201),'Бланк OLD 0.8 04'!$B$12:$K$200,2,0))),
IF(VLOOKUP($A236-COUNT('Шаг2.Бланк заказа NEW'!$B$19:$B$201)-COUNT('Бланк OLD 0.8 04'!$B$18:$B$200),'Бланк OLD 2.0 04 '!$B$16:$K$200,2,0)="","",VLOOKUP($A236-COUNT('Шаг2.Бланк заказа NEW'!$B$19:$B$201)-COUNT('Бланк OLD 0.8 04'!$B$18:$B$200),'Бланк OLD 2.0 04 '!$B$16:$K$200,2,0)))</f>
        <v/>
      </c>
      <c r="F236" s="147" t="str">
        <f ca="1">IFERROR(IFERROR(IF(VLOOKUP($A236,'Шаг2.Бланк заказа NEW'!$B$17:$N$201,3,0)="","",VLOOKUP($A236,'Шаг2.Бланк заказа NEW'!$B$17:$N$201,3,0)),
IF(VLOOKUP($A236-COUNT('Шаг2.Бланк заказа NEW'!$B$19:$B$201),'Бланк OLD 0.8 04'!$B$12:$K$200,3,0)="","",VLOOKUP($A236-COUNT('Шаг2.Бланк заказа NEW'!$B$19:$B$201),'Бланк OLD 0.8 04'!$B$12:$K$200,3,0))),
IF(VLOOKUP($A236-COUNT('Шаг2.Бланк заказа NEW'!$B$19:$B$201)-COUNT('Бланк OLD 0.8 04'!$B$18:$B$200),'Бланк OLD 2.0 04 '!$B$16:$K$200,3,0)="","",VLOOKUP($A236-COUNT('Шаг2.Бланк заказа NEW'!$B$19:$B$201)-COUNT('Бланк OLD 0.8 04'!$B$18:$B$200),'Бланк OLD 2.0 04 '!$B$16:$K$200,3,0)))</f>
        <v/>
      </c>
      <c r="G236" s="176" t="str">
        <f ca="1">IF(IF(R236="","",IF(R236=1,SUMIFS('Шаг1.Выбор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плиты'!C:Q,12,0)),1))))))=0,
R236,
IF(R236="","",IF(R236=1,SUMIFS('Шаг1.Выбор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плиты'!N:N,R236,'Шаг1.Выбор плиты'!M:M,SMALL(INDIRECT("мм"&amp;VLOOKUP(C236,'Шаг1.Выбор плиты'!C:Q,12,0)),1)))))))</f>
        <v/>
      </c>
      <c r="H236" s="177" t="str">
        <f ca="1">IF(IF(S236="","",IF(S236=1,SUMIFS('Шаг1.Выбор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плиты'!C:Q,12,0)),1))))))=0,
S236,
IF(S236="","",IF(S236=1,SUMIFS('Шаг1.Выбор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плиты'!N:N,S236,'Шаг1.Выбор плиты'!M:M,SMALL(INDIRECT("мм"&amp;VLOOKUP(C236,'Шаг1.Выбор плиты'!C:Q,12,0)),1)))))))</f>
        <v/>
      </c>
      <c r="I236" s="147" t="str">
        <f ca="1">IFERROR(IFERROR(IF(VLOOKUP($A236,'Шаг2.Бланк заказа NEW'!$B$17:$N$201,6,0)="","",VLOOKUP($A236,'Шаг2.Бланк заказа NEW'!$B$17:$N$201,6,0)),
IF(VLOOKUP($A236-COUNT('Шаг2.Бланк заказа NEW'!$B$19:$B$201),'Бланк OLD 0.8 04'!$B$12:$K$200,6,0)="","",VLOOKUP($A236-COUNT('Шаг2.Бланк заказа NEW'!$B$19:$B$201),'Бланк OLD 0.8 04'!$B$12:$K$200,6,0))),
IF(VLOOKUP($A236-COUNT('Шаг2.Бланк заказа NEW'!$B$19:$B$201)-COUNT('Бланк OLD 0.8 04'!$B$18:$B$200),'Бланк OLD 2.0 04 '!$B$16:$K$200,6,0)="","",VLOOKUP($A236-COUNT('Шаг2.Бланк заказа NEW'!$B$19:$B$201)-COUNT('Бланк OLD 0.8 04'!$B$18:$B$200),'Бланк OLD 2.0 04 '!$B$16:$K$200,6,0)))</f>
        <v/>
      </c>
      <c r="J236" s="177" t="str">
        <f ca="1">IF(IF(T236="","",IF(T236=1,SUMIFS('Шаг1.Выбор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плиты'!C:Q,12,0)),1))))))=0,
T236,
IF(T236="","",IF(T236=1,SUMIFS('Шаг1.Выбор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плиты'!N:N,T236,'Шаг1.Выбор плиты'!M:M,SMALL(INDIRECT("мм"&amp;VLOOKUP(C236,'Шаг1.Выбор плиты'!C:Q,12,0)),1)))))))</f>
        <v/>
      </c>
      <c r="K236" s="177" t="str">
        <f ca="1">IF(IF(U236="","",IF(U236=1,SUMIFS('Шаг1.Выбор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плиты'!C:Q,12,0)),1))))))=0,
U236,
IF(U236="","",IF(U236=1,SUMIFS('Шаг1.Выбор плиты'!$G:$G,'Шаг1.Выбор плиты'!J:J,"*"&amp;RIGHT(VLOOKUP(C236,'Шаг1.Выбор плиты'!C:Q,8,0),4),'Шаг1.Выбор плиты'!L:L,IF(MID(C236,1,6)="ЛДСП P","TM"&amp;MID(VLOOKUP(C236,'Шаг1.Выбор плиты'!C:Q,10,0),3,2),MID(VLOOKUP(C236,'Шаг1.Выбор плиты'!C:Q,10,0),1,2)),
'Шаг1.Выбор плиты'!N:N,1),IF(SUMIFS('Шаг1.Выбор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плиты'!C:Q,12,0)),1))=0,
IF(SUMIFS('Шаг1.Выбор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плиты'!C:Q,12,0)),2))=0,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плиты'!C:Q,12,0)),3)),
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плиты'!C:Q,12,0)),2))),
(SUMIFS('Шаг1.Выбор плиты'!$G:$G,'Шаг1.Выбор плиты'!J:J,"*"&amp;RIGHT(VLOOKUP(C236,'Шаг1.Выбор плиты'!C:Q,8,0),4),'Шаг1.Выбор плиты'!L:L,VLOOKUP(C236,'Шаг1.Выбор плиты'!C:Q,10,0),'Шаг1.Выбор плиты'!N:N,U236,'Шаг1.Выбор плиты'!M:M,SMALL(INDIRECT("мм"&amp;VLOOKUP(C236,'Шаг1.Выбор плиты'!C:Q,12,0)),1)))))))</f>
        <v/>
      </c>
      <c r="L236" s="147" t="str">
        <f ca="1">IFERROR(IFERROR(IF(VLOOKUP($A236,'Шаг2.Бланк заказа NEW'!$B$17:$N$201,9,0)="","",VLOOKUP($A236,'Шаг2.Бланк заказа NEW'!$B$17:$N$201,9,0)),
IF(VLOOKUP($A236-COUNT('Шаг2.Бланк заказа NEW'!$B$19:$B$201),'Бланк OLD 0.8 04'!$B$12:$K$200,9,0)="","",VLOOKUP($A236-COUNT('Шаг2.Бланк заказа NEW'!$B$19:$B$201),'Бланк OLD 0.8 04'!$B$12:$K$200,9,0))),
IF(VLOOKUP($A236-COUNT('Шаг2.Бланк заказа NEW'!$B$19:$B$201)-COUNT('Бланк OLD 0.8 04'!$B$18:$B$200),'Бланк OLD 2.0 04 '!$B$16:$K$200,9,0)="","",VLOOKUP($A236-COUNT('Шаг2.Бланк заказа NEW'!$B$19:$B$201)-COUNT('Бланк OLD 0.8 04'!$B$18:$B$200),'Бланк OLD 2.0 04 '!$B$16:$K$200,9,0)))</f>
        <v/>
      </c>
      <c r="M236" s="154" t="str">
        <f t="shared" ca="1" si="20"/>
        <v/>
      </c>
      <c r="N236" s="153" t="str">
        <f ca="1">IFERROR(IF(VLOOKUP($A236,'Шаг2.Бланк заказа NEW'!$B$17:$N$201,11,0)="","",VLOOKUP($A236,'Шаг2.Бланк заказа NEW'!$B$17:$N$201,11,0)),
"Нет")</f>
        <v/>
      </c>
      <c r="O236" s="147" t="str">
        <f ca="1">IFERROR(IF(VLOOKUP($A236,'Шаг2.Бланк заказа NEW'!$B$17:$N$201,11,0)="","",VLOOKUP($A236,'Шаг2.Бланк заказа NEW'!$B$17:$N$201,12,0)),
"Нет")</f>
        <v/>
      </c>
      <c r="P236" s="153" t="str">
        <f ca="1">IFERROR(IF(VLOOKUP($A236,'Шаг2.Бланк заказа NEW'!$B$17:$N$201,13,0)="","",VLOOKUP($A236,'Шаг2.Бланк заказа NEW'!$B$17:$N$201,13,0)),
"Нет")</f>
        <v/>
      </c>
      <c r="Q236" s="147" t="str">
        <f ca="1">IFERROR(IF(VLOOKUP($A236,'Шаг2.Бланк заказа NEW'!$B$17:$O$201,14,0)="","",VLOOKUP($A236,'Шаг2.Бланк заказа NEW'!$B$17:$O$201,14,0)),"")</f>
        <v/>
      </c>
      <c r="R236" s="147" t="str">
        <f ca="1">IFERROR(IFERROR(IF(VLOOKUP($A236,'Шаг2.Бланк заказа NEW'!$B$17:$N$201,4,0)="","",VLOOKUP($A236,'Шаг2.Бланк заказа NEW'!$B$17:$N$201,4,0)),
IF(VLOOKUP($A236-COUNT('Шаг2.Бланк заказа NEW'!$B$19:$B$201),'Бланк OLD 0.8 04'!$B$12:$K$200,4,0)&gt;0,0.8,
IF(VLOOKUP($A236-COUNT('Шаг2.Бланк заказа NEW'!$B$19:$B$201),'Бланк OLD 0.8 04'!$B$12:$K$200,5,0)&gt;0,0.4,""))),
IF(VLOOKUP($A236-COUNT('Шаг2.Бланк заказа NEW'!$B$19:$B$201)-COUNT('Бланк OLD 0.8 04'!$B$18:$B$200),'Бланк OLD 2.0 04 '!$B$16:$K$200,4,0)&gt;0,2,IF(VLOOKUP($A236-COUNT('Шаг2.Бланк заказа NEW'!$B$19:$B$201)-COUNT('Бланк OLD 0.8 04'!$B$18:$B$200),'Бланк OLD 2.0 04 '!$B$16:$K$200,5,0)&gt;0,0.4,"")))</f>
        <v/>
      </c>
      <c r="S236" s="147" t="str">
        <f ca="1">IFERROR(IFERROR(IF(VLOOKUP($A236,'Шаг2.Бланк заказа NEW'!$B$17:$N$201,5,0)="","",VLOOKUP($A236,'Шаг2.Бланк заказа NEW'!$B$17:$N$201,5,0)),
IF(VLOOKUP($A236-COUNT('Шаг2.Бланк заказа NEW'!$B$19:$B$201),'Бланк OLD 0.8 04'!$B$12:$K$200,4,0)&gt;1,0.8,
IF(VLOOKUP($A236-COUNT('Шаг2.Бланк заказа NEW'!$B$19:$B$201),'Бланк OLD 0.8 04'!$B$12:$K$200,5,0)&gt;1,0.4,
IF(AND(VLOOKUP($A236-COUNT('Шаг2.Бланк заказа NEW'!$B$19:$B$201),'Бланк OLD 0.8 04'!$B$12:$K$200,4,0)&gt;0,VLOOKUP($A236-COUNT('Шаг2.Бланк заказа NEW'!$B$19:$B$201),'Бланк OLD 0.8 04'!$B$12:$K$200,5,0)&gt;0),0.4,"")))),
IF(VLOOKUP($A236-COUNT('Шаг2.Бланк заказа NEW'!$B$19:$B$201)-COUNT('Бланк OLD 0.8 04'!$B$18:$B$200),'Бланк OLD 2.0 04 '!$B$16:$K$200,4,0)&gt;1,2,
IF(VLOOKUP($A236-COUNT('Шаг2.Бланк заказа NEW'!$B$19:$B$201)-COUNT('Бланк OLD 0.8 04'!$B$18:$B$200),'Бланк OLD 2.0 04 '!$B$16:$K$200,5,0)&gt;1,0.4,IF(AND(VLOOKUP($A236-COUNT('Шаг2.Бланк заказа NEW'!$B$19:$B$201)-COUNT('Бланк OLD 0.8 04'!$B$18:$B$200),'Бланк OLD 2.0 04 '!$B$16:$K$200,4,0)&gt;0,VLOOKUP($A236-COUNT('Шаг2.Бланк заказа NEW'!$B$19:$B$201)-COUNT('Бланк OLD 0.8 04'!$B$18:$B$200),'Бланк OLD 2.0 04 '!$B$16:$K$200,5,0)&gt;0),0.4,""))))</f>
        <v/>
      </c>
      <c r="T236" s="147" t="str">
        <f ca="1">IFERROR(IFERROR(IF(VLOOKUP($A236,'Шаг2.Бланк заказа NEW'!$B$17:$N$201,7,0)="","",VLOOKUP($A236,'Шаг2.Бланк заказа NEW'!$B$17:$N$201,7,0)),
IF(VLOOKUP($A236-COUNT('Шаг2.Бланк заказа NEW'!$B$19:$B$201),'Бланк OLD 0.8 04'!$B$12:$K$200,7,0)&gt;0,0.8,
IF(VLOOKUP($A236-COUNT('Шаг2.Бланк заказа NEW'!$B$19:$B$201),'Бланк OLD 0.8 04'!$B$12:$K$200,8,0)&gt;0,0.4,""))),
IF(VLOOKUP($A236-COUNT('Шаг2.Бланк заказа NEW'!$B$19:$B$201)-COUNT('Бланк OLD 0.8 04'!$B$18:$B$200),'Бланк OLD 2.0 04 '!$B$16:$K$200,7,0)&gt;0,2,IF(VLOOKUP($A236-COUNT('Шаг2.Бланк заказа NEW'!$B$19:$B$201)-COUNT('Бланк OLD 0.8 04'!$B$18:$B$200),'Бланк OLD 2.0 04 '!$B$16:$K$200,8,0)&gt;0,0.4,"")))</f>
        <v/>
      </c>
      <c r="U236" s="147" t="str">
        <f ca="1">IFERROR(IFERROR(IF(VLOOKUP($A236,'Шаг2.Бланк заказа NEW'!$B$17:$N$201,8,0)="","",VLOOKUP($A236,'Шаг2.Бланк заказа NEW'!$B$17:$N$201,8,0)),
IF(VLOOKUP($A236-COUNT('Шаг2.Бланк заказа NEW'!$B$19:$B$201),'Бланк OLD 0.8 04'!$B$12:$K$200,7,0)&gt;1,0.8,
IF(VLOOKUP($A236-COUNT('Шаг2.Бланк заказа NEW'!$B$19:$B$201),'Бланк OLD 0.8 04'!$B$12:$K$200,8,0)&gt;1,0.4,
IF(AND(VLOOKUP($A236-COUNT('Шаг2.Бланк заказа NEW'!$B$19:$B$201),'Бланк OLD 0.8 04'!$B$12:$K$200,7,0)&gt;0,VLOOKUP($A236-COUNT('Шаг2.Бланк заказа NEW'!$B$19:$B$201),'Бланк OLD 0.8 04'!$B$12:$K$200,8,0)&gt;0),0.4,"")))),
IF(VLOOKUP($A236-COUNT('Шаг2.Бланк заказа NEW'!$B$19:$B$201)-COUNT('Бланк OLD 0.8 04'!$B$18:$B$200),'Бланк OLD 2.0 04 '!$B$16:$K$200,7,0)&gt;1,2,
IF(VLOOKUP($A236-COUNT('Шаг2.Бланк заказа NEW'!$B$19:$B$201)-COUNT('Бланк OLD 0.8 04'!$B$18:$B$200),'Бланк OLD 2.0 04 '!$B$16:$K$200,8,0)&gt;1,0.4,
IF(AND(VLOOKUP($A236-COUNT('Шаг2.Бланк заказа NEW'!$B$19:$B$201)-COUNT('Бланк OLD 0.8 04'!$B$18:$B$200),'Бланк OLD 2.0 04 '!$B$16:$K$200,7,0)&gt;0,VLOOKUP($A236-COUNT('Шаг2.Бланк заказа NEW'!$B$19:$B$201)-COUNT('Бланк OLD 0.8 04'!$B$18:$B$200),'Бланк OLD 2.0 04 '!$B$16:$K$200,8,0)&gt;0),0.4,""))))</f>
        <v/>
      </c>
      <c r="V236" s="146" t="str">
        <f ca="1">IFERROR(VLOOKUP(C236,'Шаг1.Выбор плиты'!C:S,12,0),"")</f>
        <v/>
      </c>
      <c r="W236" s="146" t="str">
        <f ca="1">IFERROR(VLOOKUP(C236,'Шаг1.Выбор плиты'!C:S,8,0),"")</f>
        <v/>
      </c>
      <c r="X236" s="146" t="str">
        <f ca="1">IFERROR(VLOOKUP(C236,'Шаг1.Выбор плиты'!C:S,10,0),"")</f>
        <v/>
      </c>
      <c r="Y236" s="147" t="str">
        <f t="shared" ca="1" si="18"/>
        <v/>
      </c>
      <c r="AD236" s="147" t="str">
        <f t="shared" ca="1" si="21"/>
        <v/>
      </c>
      <c r="AE236" s="147" t="str">
        <f t="shared" ca="1" si="19"/>
        <v/>
      </c>
      <c r="AF236" s="25"/>
      <c r="AH236" s="147" t="str">
        <f ca="1">IF(C236="","",VLOOKUP(C236,'Шаг1.Выбор плиты'!C:Q,7,0))</f>
        <v/>
      </c>
      <c r="AI236" s="147" t="str">
        <f t="shared" ca="1" si="22"/>
        <v/>
      </c>
    </row>
    <row r="237" spans="1:35" x14ac:dyDescent="0.2">
      <c r="A237" s="151" t="str">
        <f ca="1">IF(C237="","",MAX($A$1:OFFSET(C237,-1,0))+1)</f>
        <v/>
      </c>
      <c r="B237" s="151" t="str">
        <f ca="1">IFERROR(IFERROR(IFERROR("Шаг2.Бланк заказа NEW №"&amp;VLOOKUP(A236+1,CHOOSE({1,2},'Шаг2.Бланк заказа NEW'!$B$19:$B$201,'Шаг2.Бланк заказа NEW'!$A$19:$A$201),1,0),
"Бланк OLD 0.8 04 №"&amp;VLOOKUP(A236+1-COUNT('Шаг2.Бланк заказа NEW'!$B$19:$B$201),CHOOSE({1,2},'Бланк OLD 0.8 04'!$B$18:$B$200,'Бланк OLD 0.8 04'!$A$18:$A$200),1,0)),
"Бланк OLD 2.0 04 №"&amp;VLOOKUP(A236+1-COUNT('Шаг2.Бланк заказа NEW'!$B$19:$B$201)-COUNT('Бланк OLD 0.8 04'!$B$18:$B$200),CHOOSE({1,2},'Бланк OLD 2.0 04 '!$B$18:$B$200,'Бланк OLD 2.0 04 '!$A$18:$A$200),1,0)),"")</f>
        <v/>
      </c>
      <c r="C237" s="152" t="str">
        <f ca="1">IFERROR(IFERROR(IFERROR(VLOOKUP(A236+1,CHOOSE({1,2},'Шаг2.Бланк заказа NEW'!$B$19:$B$201,'Шаг2.Бланк заказа NEW'!$A$19:$A$201),2,0),
VLOOKUP(A236+1-COUNT('Шаг2.Бланк заказа NEW'!$B$19:$B$201),CHOOSE({1,2},'Бланк OLD 0.8 04'!$B$18:$B$200,'Бланк OLD 0.8 04'!$A$18:$A$200),2,0)),
VLOOKUP(A236+1-COUNT('Шаг2.Бланк заказа NEW'!$B$19:$B$201)-COUNT('Бланк OLD 0.8 04'!$B$18:$B$200),CHOOSE({1,2},'Бланк OLD 2.0 04 '!$B$18:$B$200,'Бланк OLD 2.0 04 '!$A$18:$A$200),2,0)),"")</f>
        <v/>
      </c>
      <c r="D237" s="150" t="str">
        <f ca="1">IFERROR(VLOOKUP(C237,'Шаг1.Выбор плиты'!C:G,5,0),"")</f>
        <v/>
      </c>
      <c r="E237" s="147" t="str">
        <f ca="1">IFERROR(IFERROR(IF(VLOOKUP($A237,'Шаг2.Бланк заказа NEW'!$B$17:$N$201,2,0)="","",VLOOKUP($A237,'Шаг2.Бланк заказа NEW'!$B$17:$N$201,2,0)),
IF(VLOOKUP($A237-COUNT('Шаг2.Бланк заказа NEW'!$B$19:$B$201),'Бланк OLD 0.8 04'!$B$12:$K$200,2,0)="","",VLOOKUP($A237-COUNT('Шаг2.Бланк заказа NEW'!$B$19:$B$201),'Бланк OLD 0.8 04'!$B$12:$K$200,2,0))),
IF(VLOOKUP($A237-COUNT('Шаг2.Бланк заказа NEW'!$B$19:$B$201)-COUNT('Бланк OLD 0.8 04'!$B$18:$B$200),'Бланк OLD 2.0 04 '!$B$16:$K$200,2,0)="","",VLOOKUP($A237-COUNT('Шаг2.Бланк заказа NEW'!$B$19:$B$201)-COUNT('Бланк OLD 0.8 04'!$B$18:$B$200),'Бланк OLD 2.0 04 '!$B$16:$K$200,2,0)))</f>
        <v/>
      </c>
      <c r="F237" s="147" t="str">
        <f ca="1">IFERROR(IFERROR(IF(VLOOKUP($A237,'Шаг2.Бланк заказа NEW'!$B$17:$N$201,3,0)="","",VLOOKUP($A237,'Шаг2.Бланк заказа NEW'!$B$17:$N$201,3,0)),
IF(VLOOKUP($A237-COUNT('Шаг2.Бланк заказа NEW'!$B$19:$B$201),'Бланк OLD 0.8 04'!$B$12:$K$200,3,0)="","",VLOOKUP($A237-COUNT('Шаг2.Бланк заказа NEW'!$B$19:$B$201),'Бланк OLD 0.8 04'!$B$12:$K$200,3,0))),
IF(VLOOKUP($A237-COUNT('Шаг2.Бланк заказа NEW'!$B$19:$B$201)-COUNT('Бланк OLD 0.8 04'!$B$18:$B$200),'Бланк OLD 2.0 04 '!$B$16:$K$200,3,0)="","",VLOOKUP($A237-COUNT('Шаг2.Бланк заказа NEW'!$B$19:$B$201)-COUNT('Бланк OLD 0.8 04'!$B$18:$B$200),'Бланк OLD 2.0 04 '!$B$16:$K$200,3,0)))</f>
        <v/>
      </c>
      <c r="G237" s="176" t="str">
        <f ca="1">IF(IF(R237="","",IF(R237=1,SUMIFS('Шаг1.Выбор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плиты'!C:Q,12,0)),1))))))=0,
R237,
IF(R237="","",IF(R237=1,SUMIFS('Шаг1.Выбор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плиты'!N:N,R237,'Шаг1.Выбор плиты'!M:M,SMALL(INDIRECT("мм"&amp;VLOOKUP(C237,'Шаг1.Выбор плиты'!C:Q,12,0)),1)))))))</f>
        <v/>
      </c>
      <c r="H237" s="177" t="str">
        <f ca="1">IF(IF(S237="","",IF(S237=1,SUMIFS('Шаг1.Выбор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плиты'!C:Q,12,0)),1))))))=0,
S237,
IF(S237="","",IF(S237=1,SUMIFS('Шаг1.Выбор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плиты'!N:N,S237,'Шаг1.Выбор плиты'!M:M,SMALL(INDIRECT("мм"&amp;VLOOKUP(C237,'Шаг1.Выбор плиты'!C:Q,12,0)),1)))))))</f>
        <v/>
      </c>
      <c r="I237" s="147" t="str">
        <f ca="1">IFERROR(IFERROR(IF(VLOOKUP($A237,'Шаг2.Бланк заказа NEW'!$B$17:$N$201,6,0)="","",VLOOKUP($A237,'Шаг2.Бланк заказа NEW'!$B$17:$N$201,6,0)),
IF(VLOOKUP($A237-COUNT('Шаг2.Бланк заказа NEW'!$B$19:$B$201),'Бланк OLD 0.8 04'!$B$12:$K$200,6,0)="","",VLOOKUP($A237-COUNT('Шаг2.Бланк заказа NEW'!$B$19:$B$201),'Бланк OLD 0.8 04'!$B$12:$K$200,6,0))),
IF(VLOOKUP($A237-COUNT('Шаг2.Бланк заказа NEW'!$B$19:$B$201)-COUNT('Бланк OLD 0.8 04'!$B$18:$B$200),'Бланк OLD 2.0 04 '!$B$16:$K$200,6,0)="","",VLOOKUP($A237-COUNT('Шаг2.Бланк заказа NEW'!$B$19:$B$201)-COUNT('Бланк OLD 0.8 04'!$B$18:$B$200),'Бланк OLD 2.0 04 '!$B$16:$K$200,6,0)))</f>
        <v/>
      </c>
      <c r="J237" s="177" t="str">
        <f ca="1">IF(IF(T237="","",IF(T237=1,SUMIFS('Шаг1.Выбор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плиты'!C:Q,12,0)),1))))))=0,
T237,
IF(T237="","",IF(T237=1,SUMIFS('Шаг1.Выбор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плиты'!N:N,T237,'Шаг1.Выбор плиты'!M:M,SMALL(INDIRECT("мм"&amp;VLOOKUP(C237,'Шаг1.Выбор плиты'!C:Q,12,0)),1)))))))</f>
        <v/>
      </c>
      <c r="K237" s="177" t="str">
        <f ca="1">IF(IF(U237="","",IF(U237=1,SUMIFS('Шаг1.Выбор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плиты'!C:Q,12,0)),1))))))=0,
U237,
IF(U237="","",IF(U237=1,SUMIFS('Шаг1.Выбор плиты'!$G:$G,'Шаг1.Выбор плиты'!J:J,"*"&amp;RIGHT(VLOOKUP(C237,'Шаг1.Выбор плиты'!C:Q,8,0),4),'Шаг1.Выбор плиты'!L:L,IF(MID(C237,1,6)="ЛДСП P","TM"&amp;MID(VLOOKUP(C237,'Шаг1.Выбор плиты'!C:Q,10,0),3,2),MID(VLOOKUP(C237,'Шаг1.Выбор плиты'!C:Q,10,0),1,2)),
'Шаг1.Выбор плиты'!N:N,1),IF(SUMIFS('Шаг1.Выбор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плиты'!C:Q,12,0)),1))=0,
IF(SUMIFS('Шаг1.Выбор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плиты'!C:Q,12,0)),2))=0,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плиты'!C:Q,12,0)),3)),
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плиты'!C:Q,12,0)),2))),
(SUMIFS('Шаг1.Выбор плиты'!$G:$G,'Шаг1.Выбор плиты'!J:J,"*"&amp;RIGHT(VLOOKUP(C237,'Шаг1.Выбор плиты'!C:Q,8,0),4),'Шаг1.Выбор плиты'!L:L,VLOOKUP(C237,'Шаг1.Выбор плиты'!C:Q,10,0),'Шаг1.Выбор плиты'!N:N,U237,'Шаг1.Выбор плиты'!M:M,SMALL(INDIRECT("мм"&amp;VLOOKUP(C237,'Шаг1.Выбор плиты'!C:Q,12,0)),1)))))))</f>
        <v/>
      </c>
      <c r="L237" s="147" t="str">
        <f ca="1">IFERROR(IFERROR(IF(VLOOKUP($A237,'Шаг2.Бланк заказа NEW'!$B$17:$N$201,9,0)="","",VLOOKUP($A237,'Шаг2.Бланк заказа NEW'!$B$17:$N$201,9,0)),
IF(VLOOKUP($A237-COUNT('Шаг2.Бланк заказа NEW'!$B$19:$B$201),'Бланк OLD 0.8 04'!$B$12:$K$200,9,0)="","",VLOOKUP($A237-COUNT('Шаг2.Бланк заказа NEW'!$B$19:$B$201),'Бланк OLD 0.8 04'!$B$12:$K$200,9,0))),
IF(VLOOKUP($A237-COUNT('Шаг2.Бланк заказа NEW'!$B$19:$B$201)-COUNT('Бланк OLD 0.8 04'!$B$18:$B$200),'Бланк OLD 2.0 04 '!$B$16:$K$200,9,0)="","",VLOOKUP($A237-COUNT('Шаг2.Бланк заказа NEW'!$B$19:$B$201)-COUNT('Бланк OLD 0.8 04'!$B$18:$B$200),'Бланк OLD 2.0 04 '!$B$16:$K$200,9,0)))</f>
        <v/>
      </c>
      <c r="M237" s="154" t="str">
        <f t="shared" ca="1" si="20"/>
        <v/>
      </c>
      <c r="N237" s="153" t="str">
        <f ca="1">IFERROR(IF(VLOOKUP($A237,'Шаг2.Бланк заказа NEW'!$B$17:$N$201,11,0)="","",VLOOKUP($A237,'Шаг2.Бланк заказа NEW'!$B$17:$N$201,11,0)),
"Нет")</f>
        <v/>
      </c>
      <c r="O237" s="147" t="str">
        <f ca="1">IFERROR(IF(VLOOKUP($A237,'Шаг2.Бланк заказа NEW'!$B$17:$N$201,11,0)="","",VLOOKUP($A237,'Шаг2.Бланк заказа NEW'!$B$17:$N$201,12,0)),
"Нет")</f>
        <v/>
      </c>
      <c r="P237" s="153" t="str">
        <f ca="1">IFERROR(IF(VLOOKUP($A237,'Шаг2.Бланк заказа NEW'!$B$17:$N$201,13,0)="","",VLOOKUP($A237,'Шаг2.Бланк заказа NEW'!$B$17:$N$201,13,0)),
"Нет")</f>
        <v/>
      </c>
      <c r="Q237" s="147" t="str">
        <f ca="1">IFERROR(IF(VLOOKUP($A237,'Шаг2.Бланк заказа NEW'!$B$17:$O$201,14,0)="","",VLOOKUP($A237,'Шаг2.Бланк заказа NEW'!$B$17:$O$201,14,0)),"")</f>
        <v/>
      </c>
      <c r="R237" s="147" t="str">
        <f ca="1">IFERROR(IFERROR(IF(VLOOKUP($A237,'Шаг2.Бланк заказа NEW'!$B$17:$N$201,4,0)="","",VLOOKUP($A237,'Шаг2.Бланк заказа NEW'!$B$17:$N$201,4,0)),
IF(VLOOKUP($A237-COUNT('Шаг2.Бланк заказа NEW'!$B$19:$B$201),'Бланк OLD 0.8 04'!$B$12:$K$200,4,0)&gt;0,0.8,
IF(VLOOKUP($A237-COUNT('Шаг2.Бланк заказа NEW'!$B$19:$B$201),'Бланк OLD 0.8 04'!$B$12:$K$200,5,0)&gt;0,0.4,""))),
IF(VLOOKUP($A237-COUNT('Шаг2.Бланк заказа NEW'!$B$19:$B$201)-COUNT('Бланк OLD 0.8 04'!$B$18:$B$200),'Бланк OLD 2.0 04 '!$B$16:$K$200,4,0)&gt;0,2,IF(VLOOKUP($A237-COUNT('Шаг2.Бланк заказа NEW'!$B$19:$B$201)-COUNT('Бланк OLD 0.8 04'!$B$18:$B$200),'Бланк OLD 2.0 04 '!$B$16:$K$200,5,0)&gt;0,0.4,"")))</f>
        <v/>
      </c>
      <c r="S237" s="147" t="str">
        <f ca="1">IFERROR(IFERROR(IF(VLOOKUP($A237,'Шаг2.Бланк заказа NEW'!$B$17:$N$201,5,0)="","",VLOOKUP($A237,'Шаг2.Бланк заказа NEW'!$B$17:$N$201,5,0)),
IF(VLOOKUP($A237-COUNT('Шаг2.Бланк заказа NEW'!$B$19:$B$201),'Бланк OLD 0.8 04'!$B$12:$K$200,4,0)&gt;1,0.8,
IF(VLOOKUP($A237-COUNT('Шаг2.Бланк заказа NEW'!$B$19:$B$201),'Бланк OLD 0.8 04'!$B$12:$K$200,5,0)&gt;1,0.4,
IF(AND(VLOOKUP($A237-COUNT('Шаг2.Бланк заказа NEW'!$B$19:$B$201),'Бланк OLD 0.8 04'!$B$12:$K$200,4,0)&gt;0,VLOOKUP($A237-COUNT('Шаг2.Бланк заказа NEW'!$B$19:$B$201),'Бланк OLD 0.8 04'!$B$12:$K$200,5,0)&gt;0),0.4,"")))),
IF(VLOOKUP($A237-COUNT('Шаг2.Бланк заказа NEW'!$B$19:$B$201)-COUNT('Бланк OLD 0.8 04'!$B$18:$B$200),'Бланк OLD 2.0 04 '!$B$16:$K$200,4,0)&gt;1,2,
IF(VLOOKUP($A237-COUNT('Шаг2.Бланк заказа NEW'!$B$19:$B$201)-COUNT('Бланк OLD 0.8 04'!$B$18:$B$200),'Бланк OLD 2.0 04 '!$B$16:$K$200,5,0)&gt;1,0.4,IF(AND(VLOOKUP($A237-COUNT('Шаг2.Бланк заказа NEW'!$B$19:$B$201)-COUNT('Бланк OLD 0.8 04'!$B$18:$B$200),'Бланк OLD 2.0 04 '!$B$16:$K$200,4,0)&gt;0,VLOOKUP($A237-COUNT('Шаг2.Бланк заказа NEW'!$B$19:$B$201)-COUNT('Бланк OLD 0.8 04'!$B$18:$B$200),'Бланк OLD 2.0 04 '!$B$16:$K$200,5,0)&gt;0),0.4,""))))</f>
        <v/>
      </c>
      <c r="T237" s="147" t="str">
        <f ca="1">IFERROR(IFERROR(IF(VLOOKUP($A237,'Шаг2.Бланк заказа NEW'!$B$17:$N$201,7,0)="","",VLOOKUP($A237,'Шаг2.Бланк заказа NEW'!$B$17:$N$201,7,0)),
IF(VLOOKUP($A237-COUNT('Шаг2.Бланк заказа NEW'!$B$19:$B$201),'Бланк OLD 0.8 04'!$B$12:$K$200,7,0)&gt;0,0.8,
IF(VLOOKUP($A237-COUNT('Шаг2.Бланк заказа NEW'!$B$19:$B$201),'Бланк OLD 0.8 04'!$B$12:$K$200,8,0)&gt;0,0.4,""))),
IF(VLOOKUP($A237-COUNT('Шаг2.Бланк заказа NEW'!$B$19:$B$201)-COUNT('Бланк OLD 0.8 04'!$B$18:$B$200),'Бланк OLD 2.0 04 '!$B$16:$K$200,7,0)&gt;0,2,IF(VLOOKUP($A237-COUNT('Шаг2.Бланк заказа NEW'!$B$19:$B$201)-COUNT('Бланк OLD 0.8 04'!$B$18:$B$200),'Бланк OLD 2.0 04 '!$B$16:$K$200,8,0)&gt;0,0.4,"")))</f>
        <v/>
      </c>
      <c r="U237" s="147" t="str">
        <f ca="1">IFERROR(IFERROR(IF(VLOOKUP($A237,'Шаг2.Бланк заказа NEW'!$B$17:$N$201,8,0)="","",VLOOKUP($A237,'Шаг2.Бланк заказа NEW'!$B$17:$N$201,8,0)),
IF(VLOOKUP($A237-COUNT('Шаг2.Бланк заказа NEW'!$B$19:$B$201),'Бланк OLD 0.8 04'!$B$12:$K$200,7,0)&gt;1,0.8,
IF(VLOOKUP($A237-COUNT('Шаг2.Бланк заказа NEW'!$B$19:$B$201),'Бланк OLD 0.8 04'!$B$12:$K$200,8,0)&gt;1,0.4,
IF(AND(VLOOKUP($A237-COUNT('Шаг2.Бланк заказа NEW'!$B$19:$B$201),'Бланк OLD 0.8 04'!$B$12:$K$200,7,0)&gt;0,VLOOKUP($A237-COUNT('Шаг2.Бланк заказа NEW'!$B$19:$B$201),'Бланк OLD 0.8 04'!$B$12:$K$200,8,0)&gt;0),0.4,"")))),
IF(VLOOKUP($A237-COUNT('Шаг2.Бланк заказа NEW'!$B$19:$B$201)-COUNT('Бланк OLD 0.8 04'!$B$18:$B$200),'Бланк OLD 2.0 04 '!$B$16:$K$200,7,0)&gt;1,2,
IF(VLOOKUP($A237-COUNT('Шаг2.Бланк заказа NEW'!$B$19:$B$201)-COUNT('Бланк OLD 0.8 04'!$B$18:$B$200),'Бланк OLD 2.0 04 '!$B$16:$K$200,8,0)&gt;1,0.4,
IF(AND(VLOOKUP($A237-COUNT('Шаг2.Бланк заказа NEW'!$B$19:$B$201)-COUNT('Бланк OLD 0.8 04'!$B$18:$B$200),'Бланк OLD 2.0 04 '!$B$16:$K$200,7,0)&gt;0,VLOOKUP($A237-COUNT('Шаг2.Бланк заказа NEW'!$B$19:$B$201)-COUNT('Бланк OLD 0.8 04'!$B$18:$B$200),'Бланк OLD 2.0 04 '!$B$16:$K$200,8,0)&gt;0),0.4,""))))</f>
        <v/>
      </c>
      <c r="V237" s="146" t="str">
        <f ca="1">IFERROR(VLOOKUP(C237,'Шаг1.Выбор плиты'!C:S,12,0),"")</f>
        <v/>
      </c>
      <c r="W237" s="146" t="str">
        <f ca="1">IFERROR(VLOOKUP(C237,'Шаг1.Выбор плиты'!C:S,8,0),"")</f>
        <v/>
      </c>
      <c r="X237" s="146" t="str">
        <f ca="1">IFERROR(VLOOKUP(C237,'Шаг1.Выбор плиты'!C:S,10,0),"")</f>
        <v/>
      </c>
      <c r="Y237" s="147" t="str">
        <f t="shared" ca="1" si="18"/>
        <v/>
      </c>
      <c r="AD237" s="147" t="str">
        <f t="shared" ca="1" si="21"/>
        <v/>
      </c>
      <c r="AE237" s="147" t="str">
        <f t="shared" ca="1" si="19"/>
        <v/>
      </c>
      <c r="AF237" s="25"/>
      <c r="AH237" s="147" t="str">
        <f ca="1">IF(C237="","",VLOOKUP(C237,'Шаг1.Выбор плиты'!C:Q,7,0))</f>
        <v/>
      </c>
      <c r="AI237" s="147" t="str">
        <f t="shared" ca="1" si="22"/>
        <v/>
      </c>
    </row>
    <row r="238" spans="1:35" x14ac:dyDescent="0.2">
      <c r="A238" s="151" t="str">
        <f ca="1">IF(C238="","",MAX($A$1:OFFSET(C238,-1,0))+1)</f>
        <v/>
      </c>
      <c r="B238" s="151" t="str">
        <f ca="1">IFERROR(IFERROR(IFERROR("Шаг2.Бланк заказа NEW №"&amp;VLOOKUP(A237+1,CHOOSE({1,2},'Шаг2.Бланк заказа NEW'!$B$19:$B$201,'Шаг2.Бланк заказа NEW'!$A$19:$A$201),1,0),
"Бланк OLD 0.8 04 №"&amp;VLOOKUP(A237+1-COUNT('Шаг2.Бланк заказа NEW'!$B$19:$B$201),CHOOSE({1,2},'Бланк OLD 0.8 04'!$B$18:$B$200,'Бланк OLD 0.8 04'!$A$18:$A$200),1,0)),
"Бланк OLD 2.0 04 №"&amp;VLOOKUP(A237+1-COUNT('Шаг2.Бланк заказа NEW'!$B$19:$B$201)-COUNT('Бланк OLD 0.8 04'!$B$18:$B$200),CHOOSE({1,2},'Бланк OLD 2.0 04 '!$B$18:$B$200,'Бланк OLD 2.0 04 '!$A$18:$A$200),1,0)),"")</f>
        <v/>
      </c>
      <c r="C238" s="152" t="str">
        <f ca="1">IFERROR(IFERROR(IFERROR(VLOOKUP(A237+1,CHOOSE({1,2},'Шаг2.Бланк заказа NEW'!$B$19:$B$201,'Шаг2.Бланк заказа NEW'!$A$19:$A$201),2,0),
VLOOKUP(A237+1-COUNT('Шаг2.Бланк заказа NEW'!$B$19:$B$201),CHOOSE({1,2},'Бланк OLD 0.8 04'!$B$18:$B$200,'Бланк OLD 0.8 04'!$A$18:$A$200),2,0)),
VLOOKUP(A237+1-COUNT('Шаг2.Бланк заказа NEW'!$B$19:$B$201)-COUNT('Бланк OLD 0.8 04'!$B$18:$B$200),CHOOSE({1,2},'Бланк OLD 2.0 04 '!$B$18:$B$200,'Бланк OLD 2.0 04 '!$A$18:$A$200),2,0)),"")</f>
        <v/>
      </c>
      <c r="D238" s="150" t="str">
        <f ca="1">IFERROR(VLOOKUP(C238,'Шаг1.Выбор плиты'!C:G,5,0),"")</f>
        <v/>
      </c>
      <c r="E238" s="147" t="str">
        <f ca="1">IFERROR(IFERROR(IF(VLOOKUP($A238,'Шаг2.Бланк заказа NEW'!$B$17:$N$201,2,0)="","",VLOOKUP($A238,'Шаг2.Бланк заказа NEW'!$B$17:$N$201,2,0)),
IF(VLOOKUP($A238-COUNT('Шаг2.Бланк заказа NEW'!$B$19:$B$201),'Бланк OLD 0.8 04'!$B$12:$K$200,2,0)="","",VLOOKUP($A238-COUNT('Шаг2.Бланк заказа NEW'!$B$19:$B$201),'Бланк OLD 0.8 04'!$B$12:$K$200,2,0))),
IF(VLOOKUP($A238-COUNT('Шаг2.Бланк заказа NEW'!$B$19:$B$201)-COUNT('Бланк OLD 0.8 04'!$B$18:$B$200),'Бланк OLD 2.0 04 '!$B$16:$K$200,2,0)="","",VLOOKUP($A238-COUNT('Шаг2.Бланк заказа NEW'!$B$19:$B$201)-COUNT('Бланк OLD 0.8 04'!$B$18:$B$200),'Бланк OLD 2.0 04 '!$B$16:$K$200,2,0)))</f>
        <v/>
      </c>
      <c r="F238" s="147" t="str">
        <f ca="1">IFERROR(IFERROR(IF(VLOOKUP($A238,'Шаг2.Бланк заказа NEW'!$B$17:$N$201,3,0)="","",VLOOKUP($A238,'Шаг2.Бланк заказа NEW'!$B$17:$N$201,3,0)),
IF(VLOOKUP($A238-COUNT('Шаг2.Бланк заказа NEW'!$B$19:$B$201),'Бланк OLD 0.8 04'!$B$12:$K$200,3,0)="","",VLOOKUP($A238-COUNT('Шаг2.Бланк заказа NEW'!$B$19:$B$201),'Бланк OLD 0.8 04'!$B$12:$K$200,3,0))),
IF(VLOOKUP($A238-COUNT('Шаг2.Бланк заказа NEW'!$B$19:$B$201)-COUNT('Бланк OLD 0.8 04'!$B$18:$B$200),'Бланк OLD 2.0 04 '!$B$16:$K$200,3,0)="","",VLOOKUP($A238-COUNT('Шаг2.Бланк заказа NEW'!$B$19:$B$201)-COUNT('Бланк OLD 0.8 04'!$B$18:$B$200),'Бланк OLD 2.0 04 '!$B$16:$K$200,3,0)))</f>
        <v/>
      </c>
      <c r="G238" s="176" t="str">
        <f ca="1">IF(IF(R238="","",IF(R238=1,SUMIFS('Шаг1.Выбор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плиты'!C:Q,12,0)),1))))))=0,
R238,
IF(R238="","",IF(R238=1,SUMIFS('Шаг1.Выбор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плиты'!N:N,R238,'Шаг1.Выбор плиты'!M:M,SMALL(INDIRECT("мм"&amp;VLOOKUP(C238,'Шаг1.Выбор плиты'!C:Q,12,0)),1)))))))</f>
        <v/>
      </c>
      <c r="H238" s="177" t="str">
        <f ca="1">IF(IF(S238="","",IF(S238=1,SUMIFS('Шаг1.Выбор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плиты'!C:Q,12,0)),1))))))=0,
S238,
IF(S238="","",IF(S238=1,SUMIFS('Шаг1.Выбор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плиты'!N:N,S238,'Шаг1.Выбор плиты'!M:M,SMALL(INDIRECT("мм"&amp;VLOOKUP(C238,'Шаг1.Выбор плиты'!C:Q,12,0)),1)))))))</f>
        <v/>
      </c>
      <c r="I238" s="147" t="str">
        <f ca="1">IFERROR(IFERROR(IF(VLOOKUP($A238,'Шаг2.Бланк заказа NEW'!$B$17:$N$201,6,0)="","",VLOOKUP($A238,'Шаг2.Бланк заказа NEW'!$B$17:$N$201,6,0)),
IF(VLOOKUP($A238-COUNT('Шаг2.Бланк заказа NEW'!$B$19:$B$201),'Бланк OLD 0.8 04'!$B$12:$K$200,6,0)="","",VLOOKUP($A238-COUNT('Шаг2.Бланк заказа NEW'!$B$19:$B$201),'Бланк OLD 0.8 04'!$B$12:$K$200,6,0))),
IF(VLOOKUP($A238-COUNT('Шаг2.Бланк заказа NEW'!$B$19:$B$201)-COUNT('Бланк OLD 0.8 04'!$B$18:$B$200),'Бланк OLD 2.0 04 '!$B$16:$K$200,6,0)="","",VLOOKUP($A238-COUNT('Шаг2.Бланк заказа NEW'!$B$19:$B$201)-COUNT('Бланк OLD 0.8 04'!$B$18:$B$200),'Бланк OLD 2.0 04 '!$B$16:$K$200,6,0)))</f>
        <v/>
      </c>
      <c r="J238" s="177" t="str">
        <f ca="1">IF(IF(T238="","",IF(T238=1,SUMIFS('Шаг1.Выбор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плиты'!C:Q,12,0)),1))))))=0,
T238,
IF(T238="","",IF(T238=1,SUMIFS('Шаг1.Выбор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плиты'!N:N,T238,'Шаг1.Выбор плиты'!M:M,SMALL(INDIRECT("мм"&amp;VLOOKUP(C238,'Шаг1.Выбор плиты'!C:Q,12,0)),1)))))))</f>
        <v/>
      </c>
      <c r="K238" s="177" t="str">
        <f ca="1">IF(IF(U238="","",IF(U238=1,SUMIFS('Шаг1.Выбор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плиты'!C:Q,12,0)),1))))))=0,
U238,
IF(U238="","",IF(U238=1,SUMIFS('Шаг1.Выбор плиты'!$G:$G,'Шаг1.Выбор плиты'!J:J,"*"&amp;RIGHT(VLOOKUP(C238,'Шаг1.Выбор плиты'!C:Q,8,0),4),'Шаг1.Выбор плиты'!L:L,IF(MID(C238,1,6)="ЛДСП P","TM"&amp;MID(VLOOKUP(C238,'Шаг1.Выбор плиты'!C:Q,10,0),3,2),MID(VLOOKUP(C238,'Шаг1.Выбор плиты'!C:Q,10,0),1,2)),
'Шаг1.Выбор плиты'!N:N,1),IF(SUMIFS('Шаг1.Выбор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плиты'!C:Q,12,0)),1))=0,
IF(SUMIFS('Шаг1.Выбор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плиты'!C:Q,12,0)),2))=0,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плиты'!C:Q,12,0)),3)),
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плиты'!C:Q,12,0)),2))),
(SUMIFS('Шаг1.Выбор плиты'!$G:$G,'Шаг1.Выбор плиты'!J:J,"*"&amp;RIGHT(VLOOKUP(C238,'Шаг1.Выбор плиты'!C:Q,8,0),4),'Шаг1.Выбор плиты'!L:L,VLOOKUP(C238,'Шаг1.Выбор плиты'!C:Q,10,0),'Шаг1.Выбор плиты'!N:N,U238,'Шаг1.Выбор плиты'!M:M,SMALL(INDIRECT("мм"&amp;VLOOKUP(C238,'Шаг1.Выбор плиты'!C:Q,12,0)),1)))))))</f>
        <v/>
      </c>
      <c r="L238" s="147" t="str">
        <f ca="1">IFERROR(IFERROR(IF(VLOOKUP($A238,'Шаг2.Бланк заказа NEW'!$B$17:$N$201,9,0)="","",VLOOKUP($A238,'Шаг2.Бланк заказа NEW'!$B$17:$N$201,9,0)),
IF(VLOOKUP($A238-COUNT('Шаг2.Бланк заказа NEW'!$B$19:$B$201),'Бланк OLD 0.8 04'!$B$12:$K$200,9,0)="","",VLOOKUP($A238-COUNT('Шаг2.Бланк заказа NEW'!$B$19:$B$201),'Бланк OLD 0.8 04'!$B$12:$K$200,9,0))),
IF(VLOOKUP($A238-COUNT('Шаг2.Бланк заказа NEW'!$B$19:$B$201)-COUNT('Бланк OLD 0.8 04'!$B$18:$B$200),'Бланк OLD 2.0 04 '!$B$16:$K$200,9,0)="","",VLOOKUP($A238-COUNT('Шаг2.Бланк заказа NEW'!$B$19:$B$201)-COUNT('Бланк OLD 0.8 04'!$B$18:$B$200),'Бланк OLD 2.0 04 '!$B$16:$K$200,9,0)))</f>
        <v/>
      </c>
      <c r="M238" s="154" t="str">
        <f t="shared" ca="1" si="20"/>
        <v/>
      </c>
      <c r="N238" s="153" t="str">
        <f ca="1">IFERROR(IF(VLOOKUP($A238,'Шаг2.Бланк заказа NEW'!$B$17:$N$201,11,0)="","",VLOOKUP($A238,'Шаг2.Бланк заказа NEW'!$B$17:$N$201,11,0)),
"Нет")</f>
        <v/>
      </c>
      <c r="O238" s="147" t="str">
        <f ca="1">IFERROR(IF(VLOOKUP($A238,'Шаг2.Бланк заказа NEW'!$B$17:$N$201,11,0)="","",VLOOKUP($A238,'Шаг2.Бланк заказа NEW'!$B$17:$N$201,12,0)),
"Нет")</f>
        <v/>
      </c>
      <c r="P238" s="153" t="str">
        <f ca="1">IFERROR(IF(VLOOKUP($A238,'Шаг2.Бланк заказа NEW'!$B$17:$N$201,13,0)="","",VLOOKUP($A238,'Шаг2.Бланк заказа NEW'!$B$17:$N$201,13,0)),
"Нет")</f>
        <v/>
      </c>
      <c r="Q238" s="147" t="str">
        <f ca="1">IFERROR(IF(VLOOKUP($A238,'Шаг2.Бланк заказа NEW'!$B$17:$O$201,14,0)="","",VLOOKUP($A238,'Шаг2.Бланк заказа NEW'!$B$17:$O$201,14,0)),"")</f>
        <v/>
      </c>
      <c r="R238" s="147" t="str">
        <f ca="1">IFERROR(IFERROR(IF(VLOOKUP($A238,'Шаг2.Бланк заказа NEW'!$B$17:$N$201,4,0)="","",VLOOKUP($A238,'Шаг2.Бланк заказа NEW'!$B$17:$N$201,4,0)),
IF(VLOOKUP($A238-COUNT('Шаг2.Бланк заказа NEW'!$B$19:$B$201),'Бланк OLD 0.8 04'!$B$12:$K$200,4,0)&gt;0,0.8,
IF(VLOOKUP($A238-COUNT('Шаг2.Бланк заказа NEW'!$B$19:$B$201),'Бланк OLD 0.8 04'!$B$12:$K$200,5,0)&gt;0,0.4,""))),
IF(VLOOKUP($A238-COUNT('Шаг2.Бланк заказа NEW'!$B$19:$B$201)-COUNT('Бланк OLD 0.8 04'!$B$18:$B$200),'Бланк OLD 2.0 04 '!$B$16:$K$200,4,0)&gt;0,2,IF(VLOOKUP($A238-COUNT('Шаг2.Бланк заказа NEW'!$B$19:$B$201)-COUNT('Бланк OLD 0.8 04'!$B$18:$B$200),'Бланк OLD 2.0 04 '!$B$16:$K$200,5,0)&gt;0,0.4,"")))</f>
        <v/>
      </c>
      <c r="S238" s="147" t="str">
        <f ca="1">IFERROR(IFERROR(IF(VLOOKUP($A238,'Шаг2.Бланк заказа NEW'!$B$17:$N$201,5,0)="","",VLOOKUP($A238,'Шаг2.Бланк заказа NEW'!$B$17:$N$201,5,0)),
IF(VLOOKUP($A238-COUNT('Шаг2.Бланк заказа NEW'!$B$19:$B$201),'Бланк OLD 0.8 04'!$B$12:$K$200,4,0)&gt;1,0.8,
IF(VLOOKUP($A238-COUNT('Шаг2.Бланк заказа NEW'!$B$19:$B$201),'Бланк OLD 0.8 04'!$B$12:$K$200,5,0)&gt;1,0.4,
IF(AND(VLOOKUP($A238-COUNT('Шаг2.Бланк заказа NEW'!$B$19:$B$201),'Бланк OLD 0.8 04'!$B$12:$K$200,4,0)&gt;0,VLOOKUP($A238-COUNT('Шаг2.Бланк заказа NEW'!$B$19:$B$201),'Бланк OLD 0.8 04'!$B$12:$K$200,5,0)&gt;0),0.4,"")))),
IF(VLOOKUP($A238-COUNT('Шаг2.Бланк заказа NEW'!$B$19:$B$201)-COUNT('Бланк OLD 0.8 04'!$B$18:$B$200),'Бланк OLD 2.0 04 '!$B$16:$K$200,4,0)&gt;1,2,
IF(VLOOKUP($A238-COUNT('Шаг2.Бланк заказа NEW'!$B$19:$B$201)-COUNT('Бланк OLD 0.8 04'!$B$18:$B$200),'Бланк OLD 2.0 04 '!$B$16:$K$200,5,0)&gt;1,0.4,IF(AND(VLOOKUP($A238-COUNT('Шаг2.Бланк заказа NEW'!$B$19:$B$201)-COUNT('Бланк OLD 0.8 04'!$B$18:$B$200),'Бланк OLD 2.0 04 '!$B$16:$K$200,4,0)&gt;0,VLOOKUP($A238-COUNT('Шаг2.Бланк заказа NEW'!$B$19:$B$201)-COUNT('Бланк OLD 0.8 04'!$B$18:$B$200),'Бланк OLD 2.0 04 '!$B$16:$K$200,5,0)&gt;0),0.4,""))))</f>
        <v/>
      </c>
      <c r="T238" s="147" t="str">
        <f ca="1">IFERROR(IFERROR(IF(VLOOKUP($A238,'Шаг2.Бланк заказа NEW'!$B$17:$N$201,7,0)="","",VLOOKUP($A238,'Шаг2.Бланк заказа NEW'!$B$17:$N$201,7,0)),
IF(VLOOKUP($A238-COUNT('Шаг2.Бланк заказа NEW'!$B$19:$B$201),'Бланк OLD 0.8 04'!$B$12:$K$200,7,0)&gt;0,0.8,
IF(VLOOKUP($A238-COUNT('Шаг2.Бланк заказа NEW'!$B$19:$B$201),'Бланк OLD 0.8 04'!$B$12:$K$200,8,0)&gt;0,0.4,""))),
IF(VLOOKUP($A238-COUNT('Шаг2.Бланк заказа NEW'!$B$19:$B$201)-COUNT('Бланк OLD 0.8 04'!$B$18:$B$200),'Бланк OLD 2.0 04 '!$B$16:$K$200,7,0)&gt;0,2,IF(VLOOKUP($A238-COUNT('Шаг2.Бланк заказа NEW'!$B$19:$B$201)-COUNT('Бланк OLD 0.8 04'!$B$18:$B$200),'Бланк OLD 2.0 04 '!$B$16:$K$200,8,0)&gt;0,0.4,"")))</f>
        <v/>
      </c>
      <c r="U238" s="147" t="str">
        <f ca="1">IFERROR(IFERROR(IF(VLOOKUP($A238,'Шаг2.Бланк заказа NEW'!$B$17:$N$201,8,0)="","",VLOOKUP($A238,'Шаг2.Бланк заказа NEW'!$B$17:$N$201,8,0)),
IF(VLOOKUP($A238-COUNT('Шаг2.Бланк заказа NEW'!$B$19:$B$201),'Бланк OLD 0.8 04'!$B$12:$K$200,7,0)&gt;1,0.8,
IF(VLOOKUP($A238-COUNT('Шаг2.Бланк заказа NEW'!$B$19:$B$201),'Бланк OLD 0.8 04'!$B$12:$K$200,8,0)&gt;1,0.4,
IF(AND(VLOOKUP($A238-COUNT('Шаг2.Бланк заказа NEW'!$B$19:$B$201),'Бланк OLD 0.8 04'!$B$12:$K$200,7,0)&gt;0,VLOOKUP($A238-COUNT('Шаг2.Бланк заказа NEW'!$B$19:$B$201),'Бланк OLD 0.8 04'!$B$12:$K$200,8,0)&gt;0),0.4,"")))),
IF(VLOOKUP($A238-COUNT('Шаг2.Бланк заказа NEW'!$B$19:$B$201)-COUNT('Бланк OLD 0.8 04'!$B$18:$B$200),'Бланк OLD 2.0 04 '!$B$16:$K$200,7,0)&gt;1,2,
IF(VLOOKUP($A238-COUNT('Шаг2.Бланк заказа NEW'!$B$19:$B$201)-COUNT('Бланк OLD 0.8 04'!$B$18:$B$200),'Бланк OLD 2.0 04 '!$B$16:$K$200,8,0)&gt;1,0.4,
IF(AND(VLOOKUP($A238-COUNT('Шаг2.Бланк заказа NEW'!$B$19:$B$201)-COUNT('Бланк OLD 0.8 04'!$B$18:$B$200),'Бланк OLD 2.0 04 '!$B$16:$K$200,7,0)&gt;0,VLOOKUP($A238-COUNT('Шаг2.Бланк заказа NEW'!$B$19:$B$201)-COUNT('Бланк OLD 0.8 04'!$B$18:$B$200),'Бланк OLD 2.0 04 '!$B$16:$K$200,8,0)&gt;0),0.4,""))))</f>
        <v/>
      </c>
      <c r="V238" s="146" t="str">
        <f ca="1">IFERROR(VLOOKUP(C238,'Шаг1.Выбор плиты'!C:S,12,0),"")</f>
        <v/>
      </c>
      <c r="W238" s="146" t="str">
        <f ca="1">IFERROR(VLOOKUP(C238,'Шаг1.Выбор плиты'!C:S,8,0),"")</f>
        <v/>
      </c>
      <c r="X238" s="146" t="str">
        <f ca="1">IFERROR(VLOOKUP(C238,'Шаг1.Выбор плиты'!C:S,10,0),"")</f>
        <v/>
      </c>
      <c r="Y238" s="147" t="str">
        <f t="shared" ca="1" si="18"/>
        <v/>
      </c>
      <c r="AD238" s="147" t="str">
        <f t="shared" ca="1" si="21"/>
        <v/>
      </c>
      <c r="AE238" s="147" t="str">
        <f t="shared" ca="1" si="19"/>
        <v/>
      </c>
      <c r="AF238" s="25"/>
      <c r="AH238" s="147" t="str">
        <f ca="1">IF(C238="","",VLOOKUP(C238,'Шаг1.Выбор плиты'!C:Q,7,0))</f>
        <v/>
      </c>
      <c r="AI238" s="147" t="str">
        <f t="shared" ca="1" si="22"/>
        <v/>
      </c>
    </row>
    <row r="239" spans="1:35" x14ac:dyDescent="0.2">
      <c r="A239" s="151" t="str">
        <f ca="1">IF(C239="","",MAX($A$1:OFFSET(C239,-1,0))+1)</f>
        <v/>
      </c>
      <c r="B239" s="151" t="str">
        <f ca="1">IFERROR(IFERROR(IFERROR("Шаг2.Бланк заказа NEW №"&amp;VLOOKUP(A238+1,CHOOSE({1,2},'Шаг2.Бланк заказа NEW'!$B$19:$B$201,'Шаг2.Бланк заказа NEW'!$A$19:$A$201),1,0),
"Бланк OLD 0.8 04 №"&amp;VLOOKUP(A238+1-COUNT('Шаг2.Бланк заказа NEW'!$B$19:$B$201),CHOOSE({1,2},'Бланк OLD 0.8 04'!$B$18:$B$200,'Бланк OLD 0.8 04'!$A$18:$A$200),1,0)),
"Бланк OLD 2.0 04 №"&amp;VLOOKUP(A238+1-COUNT('Шаг2.Бланк заказа NEW'!$B$19:$B$201)-COUNT('Бланк OLD 0.8 04'!$B$18:$B$200),CHOOSE({1,2},'Бланк OLD 2.0 04 '!$B$18:$B$200,'Бланк OLD 2.0 04 '!$A$18:$A$200),1,0)),"")</f>
        <v/>
      </c>
      <c r="C239" s="152" t="str">
        <f ca="1">IFERROR(IFERROR(IFERROR(VLOOKUP(A238+1,CHOOSE({1,2},'Шаг2.Бланк заказа NEW'!$B$19:$B$201,'Шаг2.Бланк заказа NEW'!$A$19:$A$201),2,0),
VLOOKUP(A238+1-COUNT('Шаг2.Бланк заказа NEW'!$B$19:$B$201),CHOOSE({1,2},'Бланк OLD 0.8 04'!$B$18:$B$200,'Бланк OLD 0.8 04'!$A$18:$A$200),2,0)),
VLOOKUP(A238+1-COUNT('Шаг2.Бланк заказа NEW'!$B$19:$B$201)-COUNT('Бланк OLD 0.8 04'!$B$18:$B$200),CHOOSE({1,2},'Бланк OLD 2.0 04 '!$B$18:$B$200,'Бланк OLD 2.0 04 '!$A$18:$A$200),2,0)),"")</f>
        <v/>
      </c>
      <c r="D239" s="150" t="str">
        <f ca="1">IFERROR(VLOOKUP(C239,'Шаг1.Выбор плиты'!C:G,5,0),"")</f>
        <v/>
      </c>
      <c r="E239" s="147" t="str">
        <f ca="1">IFERROR(IFERROR(IF(VLOOKUP($A239,'Шаг2.Бланк заказа NEW'!$B$17:$N$201,2,0)="","",VLOOKUP($A239,'Шаг2.Бланк заказа NEW'!$B$17:$N$201,2,0)),
IF(VLOOKUP($A239-COUNT('Шаг2.Бланк заказа NEW'!$B$19:$B$201),'Бланк OLD 0.8 04'!$B$12:$K$200,2,0)="","",VLOOKUP($A239-COUNT('Шаг2.Бланк заказа NEW'!$B$19:$B$201),'Бланк OLD 0.8 04'!$B$12:$K$200,2,0))),
IF(VLOOKUP($A239-COUNT('Шаг2.Бланк заказа NEW'!$B$19:$B$201)-COUNT('Бланк OLD 0.8 04'!$B$18:$B$200),'Бланк OLD 2.0 04 '!$B$16:$K$200,2,0)="","",VLOOKUP($A239-COUNT('Шаг2.Бланк заказа NEW'!$B$19:$B$201)-COUNT('Бланк OLD 0.8 04'!$B$18:$B$200),'Бланк OLD 2.0 04 '!$B$16:$K$200,2,0)))</f>
        <v/>
      </c>
      <c r="F239" s="147" t="str">
        <f ca="1">IFERROR(IFERROR(IF(VLOOKUP($A239,'Шаг2.Бланк заказа NEW'!$B$17:$N$201,3,0)="","",VLOOKUP($A239,'Шаг2.Бланк заказа NEW'!$B$17:$N$201,3,0)),
IF(VLOOKUP($A239-COUNT('Шаг2.Бланк заказа NEW'!$B$19:$B$201),'Бланк OLD 0.8 04'!$B$12:$K$200,3,0)="","",VLOOKUP($A239-COUNT('Шаг2.Бланк заказа NEW'!$B$19:$B$201),'Бланк OLD 0.8 04'!$B$12:$K$200,3,0))),
IF(VLOOKUP($A239-COUNT('Шаг2.Бланк заказа NEW'!$B$19:$B$201)-COUNT('Бланк OLD 0.8 04'!$B$18:$B$200),'Бланк OLD 2.0 04 '!$B$16:$K$200,3,0)="","",VLOOKUP($A239-COUNT('Шаг2.Бланк заказа NEW'!$B$19:$B$201)-COUNT('Бланк OLD 0.8 04'!$B$18:$B$200),'Бланк OLD 2.0 04 '!$B$16:$K$200,3,0)))</f>
        <v/>
      </c>
      <c r="G239" s="176" t="str">
        <f ca="1">IF(IF(R239="","",IF(R239=1,SUMIFS('Шаг1.Выбор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плиты'!C:Q,12,0)),1))))))=0,
R239,
IF(R239="","",IF(R239=1,SUMIFS('Шаг1.Выбор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плиты'!N:N,R239,'Шаг1.Выбор плиты'!M:M,SMALL(INDIRECT("мм"&amp;VLOOKUP(C239,'Шаг1.Выбор плиты'!C:Q,12,0)),1)))))))</f>
        <v/>
      </c>
      <c r="H239" s="177" t="str">
        <f ca="1">IF(IF(S239="","",IF(S239=1,SUMIFS('Шаг1.Выбор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плиты'!C:Q,12,0)),1))))))=0,
S239,
IF(S239="","",IF(S239=1,SUMIFS('Шаг1.Выбор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плиты'!N:N,S239,'Шаг1.Выбор плиты'!M:M,SMALL(INDIRECT("мм"&amp;VLOOKUP(C239,'Шаг1.Выбор плиты'!C:Q,12,0)),1)))))))</f>
        <v/>
      </c>
      <c r="I239" s="147" t="str">
        <f ca="1">IFERROR(IFERROR(IF(VLOOKUP($A239,'Шаг2.Бланк заказа NEW'!$B$17:$N$201,6,0)="","",VLOOKUP($A239,'Шаг2.Бланк заказа NEW'!$B$17:$N$201,6,0)),
IF(VLOOKUP($A239-COUNT('Шаг2.Бланк заказа NEW'!$B$19:$B$201),'Бланк OLD 0.8 04'!$B$12:$K$200,6,0)="","",VLOOKUP($A239-COUNT('Шаг2.Бланк заказа NEW'!$B$19:$B$201),'Бланк OLD 0.8 04'!$B$12:$K$200,6,0))),
IF(VLOOKUP($A239-COUNT('Шаг2.Бланк заказа NEW'!$B$19:$B$201)-COUNT('Бланк OLD 0.8 04'!$B$18:$B$200),'Бланк OLD 2.0 04 '!$B$16:$K$200,6,0)="","",VLOOKUP($A239-COUNT('Шаг2.Бланк заказа NEW'!$B$19:$B$201)-COUNT('Бланк OLD 0.8 04'!$B$18:$B$200),'Бланк OLD 2.0 04 '!$B$16:$K$200,6,0)))</f>
        <v/>
      </c>
      <c r="J239" s="177" t="str">
        <f ca="1">IF(IF(T239="","",IF(T239=1,SUMIFS('Шаг1.Выбор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плиты'!C:Q,12,0)),1))))))=0,
T239,
IF(T239="","",IF(T239=1,SUMIFS('Шаг1.Выбор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плиты'!N:N,T239,'Шаг1.Выбор плиты'!M:M,SMALL(INDIRECT("мм"&amp;VLOOKUP(C239,'Шаг1.Выбор плиты'!C:Q,12,0)),1)))))))</f>
        <v/>
      </c>
      <c r="K239" s="177" t="str">
        <f ca="1">IF(IF(U239="","",IF(U239=1,SUMIFS('Шаг1.Выбор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плиты'!C:Q,12,0)),1))))))=0,
U239,
IF(U239="","",IF(U239=1,SUMIFS('Шаг1.Выбор плиты'!$G:$G,'Шаг1.Выбор плиты'!J:J,"*"&amp;RIGHT(VLOOKUP(C239,'Шаг1.Выбор плиты'!C:Q,8,0),4),'Шаг1.Выбор плиты'!L:L,IF(MID(C239,1,6)="ЛДСП P","TM"&amp;MID(VLOOKUP(C239,'Шаг1.Выбор плиты'!C:Q,10,0),3,2),MID(VLOOKUP(C239,'Шаг1.Выбор плиты'!C:Q,10,0),1,2)),
'Шаг1.Выбор плиты'!N:N,1),IF(SUMIFS('Шаг1.Выбор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плиты'!C:Q,12,0)),1))=0,
IF(SUMIFS('Шаг1.Выбор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плиты'!C:Q,12,0)),2))=0,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плиты'!C:Q,12,0)),3)),
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плиты'!C:Q,12,0)),2))),
(SUMIFS('Шаг1.Выбор плиты'!$G:$G,'Шаг1.Выбор плиты'!J:J,"*"&amp;RIGHT(VLOOKUP(C239,'Шаг1.Выбор плиты'!C:Q,8,0),4),'Шаг1.Выбор плиты'!L:L,VLOOKUP(C239,'Шаг1.Выбор плиты'!C:Q,10,0),'Шаг1.Выбор плиты'!N:N,U239,'Шаг1.Выбор плиты'!M:M,SMALL(INDIRECT("мм"&amp;VLOOKUP(C239,'Шаг1.Выбор плиты'!C:Q,12,0)),1)))))))</f>
        <v/>
      </c>
      <c r="L239" s="147" t="str">
        <f ca="1">IFERROR(IFERROR(IF(VLOOKUP($A239,'Шаг2.Бланк заказа NEW'!$B$17:$N$201,9,0)="","",VLOOKUP($A239,'Шаг2.Бланк заказа NEW'!$B$17:$N$201,9,0)),
IF(VLOOKUP($A239-COUNT('Шаг2.Бланк заказа NEW'!$B$19:$B$201),'Бланк OLD 0.8 04'!$B$12:$K$200,9,0)="","",VLOOKUP($A239-COUNT('Шаг2.Бланк заказа NEW'!$B$19:$B$201),'Бланк OLD 0.8 04'!$B$12:$K$200,9,0))),
IF(VLOOKUP($A239-COUNT('Шаг2.Бланк заказа NEW'!$B$19:$B$201)-COUNT('Бланк OLD 0.8 04'!$B$18:$B$200),'Бланк OLD 2.0 04 '!$B$16:$K$200,9,0)="","",VLOOKUP($A239-COUNT('Шаг2.Бланк заказа NEW'!$B$19:$B$201)-COUNT('Бланк OLD 0.8 04'!$B$18:$B$200),'Бланк OLD 2.0 04 '!$B$16:$K$200,9,0)))</f>
        <v/>
      </c>
      <c r="M239" s="154" t="str">
        <f t="shared" ca="1" si="20"/>
        <v/>
      </c>
      <c r="N239" s="153" t="str">
        <f ca="1">IFERROR(IF(VLOOKUP($A239,'Шаг2.Бланк заказа NEW'!$B$17:$N$201,11,0)="","",VLOOKUP($A239,'Шаг2.Бланк заказа NEW'!$B$17:$N$201,11,0)),
"Нет")</f>
        <v/>
      </c>
      <c r="O239" s="147" t="str">
        <f ca="1">IFERROR(IF(VLOOKUP($A239,'Шаг2.Бланк заказа NEW'!$B$17:$N$201,11,0)="","",VLOOKUP($A239,'Шаг2.Бланк заказа NEW'!$B$17:$N$201,12,0)),
"Нет")</f>
        <v/>
      </c>
      <c r="P239" s="153" t="str">
        <f ca="1">IFERROR(IF(VLOOKUP($A239,'Шаг2.Бланк заказа NEW'!$B$17:$N$201,13,0)="","",VLOOKUP($A239,'Шаг2.Бланк заказа NEW'!$B$17:$N$201,13,0)),
"Нет")</f>
        <v/>
      </c>
      <c r="Q239" s="147" t="str">
        <f ca="1">IFERROR(IF(VLOOKUP($A239,'Шаг2.Бланк заказа NEW'!$B$17:$O$201,14,0)="","",VLOOKUP($A239,'Шаг2.Бланк заказа NEW'!$B$17:$O$201,14,0)),"")</f>
        <v/>
      </c>
      <c r="R239" s="147" t="str">
        <f ca="1">IFERROR(IFERROR(IF(VLOOKUP($A239,'Шаг2.Бланк заказа NEW'!$B$17:$N$201,4,0)="","",VLOOKUP($A239,'Шаг2.Бланк заказа NEW'!$B$17:$N$201,4,0)),
IF(VLOOKUP($A239-COUNT('Шаг2.Бланк заказа NEW'!$B$19:$B$201),'Бланк OLD 0.8 04'!$B$12:$K$200,4,0)&gt;0,0.8,
IF(VLOOKUP($A239-COUNT('Шаг2.Бланк заказа NEW'!$B$19:$B$201),'Бланк OLD 0.8 04'!$B$12:$K$200,5,0)&gt;0,0.4,""))),
IF(VLOOKUP($A239-COUNT('Шаг2.Бланк заказа NEW'!$B$19:$B$201)-COUNT('Бланк OLD 0.8 04'!$B$18:$B$200),'Бланк OLD 2.0 04 '!$B$16:$K$200,4,0)&gt;0,2,IF(VLOOKUP($A239-COUNT('Шаг2.Бланк заказа NEW'!$B$19:$B$201)-COUNT('Бланк OLD 0.8 04'!$B$18:$B$200),'Бланк OLD 2.0 04 '!$B$16:$K$200,5,0)&gt;0,0.4,"")))</f>
        <v/>
      </c>
      <c r="S239" s="147" t="str">
        <f ca="1">IFERROR(IFERROR(IF(VLOOKUP($A239,'Шаг2.Бланк заказа NEW'!$B$17:$N$201,5,0)="","",VLOOKUP($A239,'Шаг2.Бланк заказа NEW'!$B$17:$N$201,5,0)),
IF(VLOOKUP($A239-COUNT('Шаг2.Бланк заказа NEW'!$B$19:$B$201),'Бланк OLD 0.8 04'!$B$12:$K$200,4,0)&gt;1,0.8,
IF(VLOOKUP($A239-COUNT('Шаг2.Бланк заказа NEW'!$B$19:$B$201),'Бланк OLD 0.8 04'!$B$12:$K$200,5,0)&gt;1,0.4,
IF(AND(VLOOKUP($A239-COUNT('Шаг2.Бланк заказа NEW'!$B$19:$B$201),'Бланк OLD 0.8 04'!$B$12:$K$200,4,0)&gt;0,VLOOKUP($A239-COUNT('Шаг2.Бланк заказа NEW'!$B$19:$B$201),'Бланк OLD 0.8 04'!$B$12:$K$200,5,0)&gt;0),0.4,"")))),
IF(VLOOKUP($A239-COUNT('Шаг2.Бланк заказа NEW'!$B$19:$B$201)-COUNT('Бланк OLD 0.8 04'!$B$18:$B$200),'Бланк OLD 2.0 04 '!$B$16:$K$200,4,0)&gt;1,2,
IF(VLOOKUP($A239-COUNT('Шаг2.Бланк заказа NEW'!$B$19:$B$201)-COUNT('Бланк OLD 0.8 04'!$B$18:$B$200),'Бланк OLD 2.0 04 '!$B$16:$K$200,5,0)&gt;1,0.4,IF(AND(VLOOKUP($A239-COUNT('Шаг2.Бланк заказа NEW'!$B$19:$B$201)-COUNT('Бланк OLD 0.8 04'!$B$18:$B$200),'Бланк OLD 2.0 04 '!$B$16:$K$200,4,0)&gt;0,VLOOKUP($A239-COUNT('Шаг2.Бланк заказа NEW'!$B$19:$B$201)-COUNT('Бланк OLD 0.8 04'!$B$18:$B$200),'Бланк OLD 2.0 04 '!$B$16:$K$200,5,0)&gt;0),0.4,""))))</f>
        <v/>
      </c>
      <c r="T239" s="147" t="str">
        <f ca="1">IFERROR(IFERROR(IF(VLOOKUP($A239,'Шаг2.Бланк заказа NEW'!$B$17:$N$201,7,0)="","",VLOOKUP($A239,'Шаг2.Бланк заказа NEW'!$B$17:$N$201,7,0)),
IF(VLOOKUP($A239-COUNT('Шаг2.Бланк заказа NEW'!$B$19:$B$201),'Бланк OLD 0.8 04'!$B$12:$K$200,7,0)&gt;0,0.8,
IF(VLOOKUP($A239-COUNT('Шаг2.Бланк заказа NEW'!$B$19:$B$201),'Бланк OLD 0.8 04'!$B$12:$K$200,8,0)&gt;0,0.4,""))),
IF(VLOOKUP($A239-COUNT('Шаг2.Бланк заказа NEW'!$B$19:$B$201)-COUNT('Бланк OLD 0.8 04'!$B$18:$B$200),'Бланк OLD 2.0 04 '!$B$16:$K$200,7,0)&gt;0,2,IF(VLOOKUP($A239-COUNT('Шаг2.Бланк заказа NEW'!$B$19:$B$201)-COUNT('Бланк OLD 0.8 04'!$B$18:$B$200),'Бланк OLD 2.0 04 '!$B$16:$K$200,8,0)&gt;0,0.4,"")))</f>
        <v/>
      </c>
      <c r="U239" s="147" t="str">
        <f ca="1">IFERROR(IFERROR(IF(VLOOKUP($A239,'Шаг2.Бланк заказа NEW'!$B$17:$N$201,8,0)="","",VLOOKUP($A239,'Шаг2.Бланк заказа NEW'!$B$17:$N$201,8,0)),
IF(VLOOKUP($A239-COUNT('Шаг2.Бланк заказа NEW'!$B$19:$B$201),'Бланк OLD 0.8 04'!$B$12:$K$200,7,0)&gt;1,0.8,
IF(VLOOKUP($A239-COUNT('Шаг2.Бланк заказа NEW'!$B$19:$B$201),'Бланк OLD 0.8 04'!$B$12:$K$200,8,0)&gt;1,0.4,
IF(AND(VLOOKUP($A239-COUNT('Шаг2.Бланк заказа NEW'!$B$19:$B$201),'Бланк OLD 0.8 04'!$B$12:$K$200,7,0)&gt;0,VLOOKUP($A239-COUNT('Шаг2.Бланк заказа NEW'!$B$19:$B$201),'Бланк OLD 0.8 04'!$B$12:$K$200,8,0)&gt;0),0.4,"")))),
IF(VLOOKUP($A239-COUNT('Шаг2.Бланк заказа NEW'!$B$19:$B$201)-COUNT('Бланк OLD 0.8 04'!$B$18:$B$200),'Бланк OLD 2.0 04 '!$B$16:$K$200,7,0)&gt;1,2,
IF(VLOOKUP($A239-COUNT('Шаг2.Бланк заказа NEW'!$B$19:$B$201)-COUNT('Бланк OLD 0.8 04'!$B$18:$B$200),'Бланк OLD 2.0 04 '!$B$16:$K$200,8,0)&gt;1,0.4,
IF(AND(VLOOKUP($A239-COUNT('Шаг2.Бланк заказа NEW'!$B$19:$B$201)-COUNT('Бланк OLD 0.8 04'!$B$18:$B$200),'Бланк OLD 2.0 04 '!$B$16:$K$200,7,0)&gt;0,VLOOKUP($A239-COUNT('Шаг2.Бланк заказа NEW'!$B$19:$B$201)-COUNT('Бланк OLD 0.8 04'!$B$18:$B$200),'Бланк OLD 2.0 04 '!$B$16:$K$200,8,0)&gt;0),0.4,""))))</f>
        <v/>
      </c>
      <c r="V239" s="146" t="str">
        <f ca="1">IFERROR(VLOOKUP(C239,'Шаг1.Выбор плиты'!C:S,12,0),"")</f>
        <v/>
      </c>
      <c r="W239" s="146" t="str">
        <f ca="1">IFERROR(VLOOKUP(C239,'Шаг1.Выбор плиты'!C:S,8,0),"")</f>
        <v/>
      </c>
      <c r="X239" s="146" t="str">
        <f ca="1">IFERROR(VLOOKUP(C239,'Шаг1.Выбор плиты'!C:S,10,0),"")</f>
        <v/>
      </c>
      <c r="Y239" s="147" t="str">
        <f t="shared" ca="1" si="18"/>
        <v/>
      </c>
      <c r="AD239" s="147" t="str">
        <f t="shared" ca="1" si="21"/>
        <v/>
      </c>
      <c r="AE239" s="147" t="str">
        <f t="shared" ca="1" si="19"/>
        <v/>
      </c>
      <c r="AF239" s="25"/>
      <c r="AH239" s="147" t="str">
        <f ca="1">IF(C239="","",VLOOKUP(C239,'Шаг1.Выбор плиты'!C:Q,7,0))</f>
        <v/>
      </c>
      <c r="AI239" s="147" t="str">
        <f t="shared" ca="1" si="22"/>
        <v/>
      </c>
    </row>
    <row r="240" spans="1:35" x14ac:dyDescent="0.2">
      <c r="A240" s="151" t="str">
        <f ca="1">IF(C240="","",MAX($A$1:OFFSET(C240,-1,0))+1)</f>
        <v/>
      </c>
      <c r="B240" s="151" t="str">
        <f ca="1">IFERROR(IFERROR(IFERROR("Шаг2.Бланк заказа NEW №"&amp;VLOOKUP(A239+1,CHOOSE({1,2},'Шаг2.Бланк заказа NEW'!$B$19:$B$201,'Шаг2.Бланк заказа NEW'!$A$19:$A$201),1,0),
"Бланк OLD 0.8 04 №"&amp;VLOOKUP(A239+1-COUNT('Шаг2.Бланк заказа NEW'!$B$19:$B$201),CHOOSE({1,2},'Бланк OLD 0.8 04'!$B$18:$B$200,'Бланк OLD 0.8 04'!$A$18:$A$200),1,0)),
"Бланк OLD 2.0 04 №"&amp;VLOOKUP(A239+1-COUNT('Шаг2.Бланк заказа NEW'!$B$19:$B$201)-COUNT('Бланк OLD 0.8 04'!$B$18:$B$200),CHOOSE({1,2},'Бланк OLD 2.0 04 '!$B$18:$B$200,'Бланк OLD 2.0 04 '!$A$18:$A$200),1,0)),"")</f>
        <v/>
      </c>
      <c r="C240" s="152" t="str">
        <f ca="1">IFERROR(IFERROR(IFERROR(VLOOKUP(A239+1,CHOOSE({1,2},'Шаг2.Бланк заказа NEW'!$B$19:$B$201,'Шаг2.Бланк заказа NEW'!$A$19:$A$201),2,0),
VLOOKUP(A239+1-COUNT('Шаг2.Бланк заказа NEW'!$B$19:$B$201),CHOOSE({1,2},'Бланк OLD 0.8 04'!$B$18:$B$200,'Бланк OLD 0.8 04'!$A$18:$A$200),2,0)),
VLOOKUP(A239+1-COUNT('Шаг2.Бланк заказа NEW'!$B$19:$B$201)-COUNT('Бланк OLD 0.8 04'!$B$18:$B$200),CHOOSE({1,2},'Бланк OLD 2.0 04 '!$B$18:$B$200,'Бланк OLD 2.0 04 '!$A$18:$A$200),2,0)),"")</f>
        <v/>
      </c>
      <c r="D240" s="150" t="str">
        <f ca="1">IFERROR(VLOOKUP(C240,'Шаг1.Выбор плиты'!C:G,5,0),"")</f>
        <v/>
      </c>
      <c r="E240" s="147" t="str">
        <f ca="1">IFERROR(IFERROR(IF(VLOOKUP($A240,'Шаг2.Бланк заказа NEW'!$B$17:$N$201,2,0)="","",VLOOKUP($A240,'Шаг2.Бланк заказа NEW'!$B$17:$N$201,2,0)),
IF(VLOOKUP($A240-COUNT('Шаг2.Бланк заказа NEW'!$B$19:$B$201),'Бланк OLD 0.8 04'!$B$12:$K$200,2,0)="","",VLOOKUP($A240-COUNT('Шаг2.Бланк заказа NEW'!$B$19:$B$201),'Бланк OLD 0.8 04'!$B$12:$K$200,2,0))),
IF(VLOOKUP($A240-COUNT('Шаг2.Бланк заказа NEW'!$B$19:$B$201)-COUNT('Бланк OLD 0.8 04'!$B$18:$B$200),'Бланк OLD 2.0 04 '!$B$16:$K$200,2,0)="","",VLOOKUP($A240-COUNT('Шаг2.Бланк заказа NEW'!$B$19:$B$201)-COUNT('Бланк OLD 0.8 04'!$B$18:$B$200),'Бланк OLD 2.0 04 '!$B$16:$K$200,2,0)))</f>
        <v/>
      </c>
      <c r="F240" s="147" t="str">
        <f ca="1">IFERROR(IFERROR(IF(VLOOKUP($A240,'Шаг2.Бланк заказа NEW'!$B$17:$N$201,3,0)="","",VLOOKUP($A240,'Шаг2.Бланк заказа NEW'!$B$17:$N$201,3,0)),
IF(VLOOKUP($A240-COUNT('Шаг2.Бланк заказа NEW'!$B$19:$B$201),'Бланк OLD 0.8 04'!$B$12:$K$200,3,0)="","",VLOOKUP($A240-COUNT('Шаг2.Бланк заказа NEW'!$B$19:$B$201),'Бланк OLD 0.8 04'!$B$12:$K$200,3,0))),
IF(VLOOKUP($A240-COUNT('Шаг2.Бланк заказа NEW'!$B$19:$B$201)-COUNT('Бланк OLD 0.8 04'!$B$18:$B$200),'Бланк OLD 2.0 04 '!$B$16:$K$200,3,0)="","",VLOOKUP($A240-COUNT('Шаг2.Бланк заказа NEW'!$B$19:$B$201)-COUNT('Бланк OLD 0.8 04'!$B$18:$B$200),'Бланк OLD 2.0 04 '!$B$16:$K$200,3,0)))</f>
        <v/>
      </c>
      <c r="G240" s="176" t="str">
        <f ca="1">IF(IF(R240="","",IF(R240=1,SUMIFS('Шаг1.Выбор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плиты'!C:Q,12,0)),1))))))=0,
R240,
IF(R240="","",IF(R240=1,SUMIFS('Шаг1.Выбор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плиты'!N:N,R240,'Шаг1.Выбор плиты'!M:M,SMALL(INDIRECT("мм"&amp;VLOOKUP(C240,'Шаг1.Выбор плиты'!C:Q,12,0)),1)))))))</f>
        <v/>
      </c>
      <c r="H240" s="177" t="str">
        <f ca="1">IF(IF(S240="","",IF(S240=1,SUMIFS('Шаг1.Выбор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плиты'!C:Q,12,0)),1))))))=0,
S240,
IF(S240="","",IF(S240=1,SUMIFS('Шаг1.Выбор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плиты'!N:N,S240,'Шаг1.Выбор плиты'!M:M,SMALL(INDIRECT("мм"&amp;VLOOKUP(C240,'Шаг1.Выбор плиты'!C:Q,12,0)),1)))))))</f>
        <v/>
      </c>
      <c r="I240" s="147" t="str">
        <f ca="1">IFERROR(IFERROR(IF(VLOOKUP($A240,'Шаг2.Бланк заказа NEW'!$B$17:$N$201,6,0)="","",VLOOKUP($A240,'Шаг2.Бланк заказа NEW'!$B$17:$N$201,6,0)),
IF(VLOOKUP($A240-COUNT('Шаг2.Бланк заказа NEW'!$B$19:$B$201),'Бланк OLD 0.8 04'!$B$12:$K$200,6,0)="","",VLOOKUP($A240-COUNT('Шаг2.Бланк заказа NEW'!$B$19:$B$201),'Бланк OLD 0.8 04'!$B$12:$K$200,6,0))),
IF(VLOOKUP($A240-COUNT('Шаг2.Бланк заказа NEW'!$B$19:$B$201)-COUNT('Бланк OLD 0.8 04'!$B$18:$B$200),'Бланк OLD 2.0 04 '!$B$16:$K$200,6,0)="","",VLOOKUP($A240-COUNT('Шаг2.Бланк заказа NEW'!$B$19:$B$201)-COUNT('Бланк OLD 0.8 04'!$B$18:$B$200),'Бланк OLD 2.0 04 '!$B$16:$K$200,6,0)))</f>
        <v/>
      </c>
      <c r="J240" s="177" t="str">
        <f ca="1">IF(IF(T240="","",IF(T240=1,SUMIFS('Шаг1.Выбор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плиты'!C:Q,12,0)),1))))))=0,
T240,
IF(T240="","",IF(T240=1,SUMIFS('Шаг1.Выбор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плиты'!N:N,T240,'Шаг1.Выбор плиты'!M:M,SMALL(INDIRECT("мм"&amp;VLOOKUP(C240,'Шаг1.Выбор плиты'!C:Q,12,0)),1)))))))</f>
        <v/>
      </c>
      <c r="K240" s="177" t="str">
        <f ca="1">IF(IF(U240="","",IF(U240=1,SUMIFS('Шаг1.Выбор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плиты'!C:Q,12,0)),1))))))=0,
U240,
IF(U240="","",IF(U240=1,SUMIFS('Шаг1.Выбор плиты'!$G:$G,'Шаг1.Выбор плиты'!J:J,"*"&amp;RIGHT(VLOOKUP(C240,'Шаг1.Выбор плиты'!C:Q,8,0),4),'Шаг1.Выбор плиты'!L:L,IF(MID(C240,1,6)="ЛДСП P","TM"&amp;MID(VLOOKUP(C240,'Шаг1.Выбор плиты'!C:Q,10,0),3,2),MID(VLOOKUP(C240,'Шаг1.Выбор плиты'!C:Q,10,0),1,2)),
'Шаг1.Выбор плиты'!N:N,1),IF(SUMIFS('Шаг1.Выбор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плиты'!C:Q,12,0)),1))=0,
IF(SUMIFS('Шаг1.Выбор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плиты'!C:Q,12,0)),2))=0,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плиты'!C:Q,12,0)),3)),
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плиты'!C:Q,12,0)),2))),
(SUMIFS('Шаг1.Выбор плиты'!$G:$G,'Шаг1.Выбор плиты'!J:J,"*"&amp;RIGHT(VLOOKUP(C240,'Шаг1.Выбор плиты'!C:Q,8,0),4),'Шаг1.Выбор плиты'!L:L,VLOOKUP(C240,'Шаг1.Выбор плиты'!C:Q,10,0),'Шаг1.Выбор плиты'!N:N,U240,'Шаг1.Выбор плиты'!M:M,SMALL(INDIRECT("мм"&amp;VLOOKUP(C240,'Шаг1.Выбор плиты'!C:Q,12,0)),1)))))))</f>
        <v/>
      </c>
      <c r="L240" s="147" t="str">
        <f ca="1">IFERROR(IFERROR(IF(VLOOKUP($A240,'Шаг2.Бланк заказа NEW'!$B$17:$N$201,9,0)="","",VLOOKUP($A240,'Шаг2.Бланк заказа NEW'!$B$17:$N$201,9,0)),
IF(VLOOKUP($A240-COUNT('Шаг2.Бланк заказа NEW'!$B$19:$B$201),'Бланк OLD 0.8 04'!$B$12:$K$200,9,0)="","",VLOOKUP($A240-COUNT('Шаг2.Бланк заказа NEW'!$B$19:$B$201),'Бланк OLD 0.8 04'!$B$12:$K$200,9,0))),
IF(VLOOKUP($A240-COUNT('Шаг2.Бланк заказа NEW'!$B$19:$B$201)-COUNT('Бланк OLD 0.8 04'!$B$18:$B$200),'Бланк OLD 2.0 04 '!$B$16:$K$200,9,0)="","",VLOOKUP($A240-COUNT('Шаг2.Бланк заказа NEW'!$B$19:$B$201)-COUNT('Бланк OLD 0.8 04'!$B$18:$B$200),'Бланк OLD 2.0 04 '!$B$16:$K$200,9,0)))</f>
        <v/>
      </c>
      <c r="M240" s="154" t="str">
        <f t="shared" ca="1" si="20"/>
        <v/>
      </c>
      <c r="N240" s="153" t="str">
        <f ca="1">IFERROR(IF(VLOOKUP($A240,'Шаг2.Бланк заказа NEW'!$B$17:$N$201,11,0)="","",VLOOKUP($A240,'Шаг2.Бланк заказа NEW'!$B$17:$N$201,11,0)),
"Нет")</f>
        <v/>
      </c>
      <c r="O240" s="147" t="str">
        <f ca="1">IFERROR(IF(VLOOKUP($A240,'Шаг2.Бланк заказа NEW'!$B$17:$N$201,11,0)="","",VLOOKUP($A240,'Шаг2.Бланк заказа NEW'!$B$17:$N$201,12,0)),
"Нет")</f>
        <v/>
      </c>
      <c r="P240" s="153" t="str">
        <f ca="1">IFERROR(IF(VLOOKUP($A240,'Шаг2.Бланк заказа NEW'!$B$17:$N$201,13,0)="","",VLOOKUP($A240,'Шаг2.Бланк заказа NEW'!$B$17:$N$201,13,0)),
"Нет")</f>
        <v/>
      </c>
      <c r="Q240" s="147" t="str">
        <f ca="1">IFERROR(IF(VLOOKUP($A240,'Шаг2.Бланк заказа NEW'!$B$17:$O$201,14,0)="","",VLOOKUP($A240,'Шаг2.Бланк заказа NEW'!$B$17:$O$201,14,0)),"")</f>
        <v/>
      </c>
      <c r="R240" s="147" t="str">
        <f ca="1">IFERROR(IFERROR(IF(VLOOKUP($A240,'Шаг2.Бланк заказа NEW'!$B$17:$N$201,4,0)="","",VLOOKUP($A240,'Шаг2.Бланк заказа NEW'!$B$17:$N$201,4,0)),
IF(VLOOKUP($A240-COUNT('Шаг2.Бланк заказа NEW'!$B$19:$B$201),'Бланк OLD 0.8 04'!$B$12:$K$200,4,0)&gt;0,0.8,
IF(VLOOKUP($A240-COUNT('Шаг2.Бланк заказа NEW'!$B$19:$B$201),'Бланк OLD 0.8 04'!$B$12:$K$200,5,0)&gt;0,0.4,""))),
IF(VLOOKUP($A240-COUNT('Шаг2.Бланк заказа NEW'!$B$19:$B$201)-COUNT('Бланк OLD 0.8 04'!$B$18:$B$200),'Бланк OLD 2.0 04 '!$B$16:$K$200,4,0)&gt;0,2,IF(VLOOKUP($A240-COUNT('Шаг2.Бланк заказа NEW'!$B$19:$B$201)-COUNT('Бланк OLD 0.8 04'!$B$18:$B$200),'Бланк OLD 2.0 04 '!$B$16:$K$200,5,0)&gt;0,0.4,"")))</f>
        <v/>
      </c>
      <c r="S240" s="147" t="str">
        <f ca="1">IFERROR(IFERROR(IF(VLOOKUP($A240,'Шаг2.Бланк заказа NEW'!$B$17:$N$201,5,0)="","",VLOOKUP($A240,'Шаг2.Бланк заказа NEW'!$B$17:$N$201,5,0)),
IF(VLOOKUP($A240-COUNT('Шаг2.Бланк заказа NEW'!$B$19:$B$201),'Бланк OLD 0.8 04'!$B$12:$K$200,4,0)&gt;1,0.8,
IF(VLOOKUP($A240-COUNT('Шаг2.Бланк заказа NEW'!$B$19:$B$201),'Бланк OLD 0.8 04'!$B$12:$K$200,5,0)&gt;1,0.4,
IF(AND(VLOOKUP($A240-COUNT('Шаг2.Бланк заказа NEW'!$B$19:$B$201),'Бланк OLD 0.8 04'!$B$12:$K$200,4,0)&gt;0,VLOOKUP($A240-COUNT('Шаг2.Бланк заказа NEW'!$B$19:$B$201),'Бланк OLD 0.8 04'!$B$12:$K$200,5,0)&gt;0),0.4,"")))),
IF(VLOOKUP($A240-COUNT('Шаг2.Бланк заказа NEW'!$B$19:$B$201)-COUNT('Бланк OLD 0.8 04'!$B$18:$B$200),'Бланк OLD 2.0 04 '!$B$16:$K$200,4,0)&gt;1,2,
IF(VLOOKUP($A240-COUNT('Шаг2.Бланк заказа NEW'!$B$19:$B$201)-COUNT('Бланк OLD 0.8 04'!$B$18:$B$200),'Бланк OLD 2.0 04 '!$B$16:$K$200,5,0)&gt;1,0.4,IF(AND(VLOOKUP($A240-COUNT('Шаг2.Бланк заказа NEW'!$B$19:$B$201)-COUNT('Бланк OLD 0.8 04'!$B$18:$B$200),'Бланк OLD 2.0 04 '!$B$16:$K$200,4,0)&gt;0,VLOOKUP($A240-COUNT('Шаг2.Бланк заказа NEW'!$B$19:$B$201)-COUNT('Бланк OLD 0.8 04'!$B$18:$B$200),'Бланк OLD 2.0 04 '!$B$16:$K$200,5,0)&gt;0),0.4,""))))</f>
        <v/>
      </c>
      <c r="T240" s="147" t="str">
        <f ca="1">IFERROR(IFERROR(IF(VLOOKUP($A240,'Шаг2.Бланк заказа NEW'!$B$17:$N$201,7,0)="","",VLOOKUP($A240,'Шаг2.Бланк заказа NEW'!$B$17:$N$201,7,0)),
IF(VLOOKUP($A240-COUNT('Шаг2.Бланк заказа NEW'!$B$19:$B$201),'Бланк OLD 0.8 04'!$B$12:$K$200,7,0)&gt;0,0.8,
IF(VLOOKUP($A240-COUNT('Шаг2.Бланк заказа NEW'!$B$19:$B$201),'Бланк OLD 0.8 04'!$B$12:$K$200,8,0)&gt;0,0.4,""))),
IF(VLOOKUP($A240-COUNT('Шаг2.Бланк заказа NEW'!$B$19:$B$201)-COUNT('Бланк OLD 0.8 04'!$B$18:$B$200),'Бланк OLD 2.0 04 '!$B$16:$K$200,7,0)&gt;0,2,IF(VLOOKUP($A240-COUNT('Шаг2.Бланк заказа NEW'!$B$19:$B$201)-COUNT('Бланк OLD 0.8 04'!$B$18:$B$200),'Бланк OLD 2.0 04 '!$B$16:$K$200,8,0)&gt;0,0.4,"")))</f>
        <v/>
      </c>
      <c r="U240" s="147" t="str">
        <f ca="1">IFERROR(IFERROR(IF(VLOOKUP($A240,'Шаг2.Бланк заказа NEW'!$B$17:$N$201,8,0)="","",VLOOKUP($A240,'Шаг2.Бланк заказа NEW'!$B$17:$N$201,8,0)),
IF(VLOOKUP($A240-COUNT('Шаг2.Бланк заказа NEW'!$B$19:$B$201),'Бланк OLD 0.8 04'!$B$12:$K$200,7,0)&gt;1,0.8,
IF(VLOOKUP($A240-COUNT('Шаг2.Бланк заказа NEW'!$B$19:$B$201),'Бланк OLD 0.8 04'!$B$12:$K$200,8,0)&gt;1,0.4,
IF(AND(VLOOKUP($A240-COUNT('Шаг2.Бланк заказа NEW'!$B$19:$B$201),'Бланк OLD 0.8 04'!$B$12:$K$200,7,0)&gt;0,VLOOKUP($A240-COUNT('Шаг2.Бланк заказа NEW'!$B$19:$B$201),'Бланк OLD 0.8 04'!$B$12:$K$200,8,0)&gt;0),0.4,"")))),
IF(VLOOKUP($A240-COUNT('Шаг2.Бланк заказа NEW'!$B$19:$B$201)-COUNT('Бланк OLD 0.8 04'!$B$18:$B$200),'Бланк OLD 2.0 04 '!$B$16:$K$200,7,0)&gt;1,2,
IF(VLOOKUP($A240-COUNT('Шаг2.Бланк заказа NEW'!$B$19:$B$201)-COUNT('Бланк OLD 0.8 04'!$B$18:$B$200),'Бланк OLD 2.0 04 '!$B$16:$K$200,8,0)&gt;1,0.4,
IF(AND(VLOOKUP($A240-COUNT('Шаг2.Бланк заказа NEW'!$B$19:$B$201)-COUNT('Бланк OLD 0.8 04'!$B$18:$B$200),'Бланк OLD 2.0 04 '!$B$16:$K$200,7,0)&gt;0,VLOOKUP($A240-COUNT('Шаг2.Бланк заказа NEW'!$B$19:$B$201)-COUNT('Бланк OLD 0.8 04'!$B$18:$B$200),'Бланк OLD 2.0 04 '!$B$16:$K$200,8,0)&gt;0),0.4,""))))</f>
        <v/>
      </c>
      <c r="V240" s="146" t="str">
        <f ca="1">IFERROR(VLOOKUP(C240,'Шаг1.Выбор плиты'!C:S,12,0),"")</f>
        <v/>
      </c>
      <c r="W240" s="146" t="str">
        <f ca="1">IFERROR(VLOOKUP(C240,'Шаг1.Выбор плиты'!C:S,8,0),"")</f>
        <v/>
      </c>
      <c r="X240" s="146" t="str">
        <f ca="1">IFERROR(VLOOKUP(C240,'Шаг1.Выбор плиты'!C:S,10,0),"")</f>
        <v/>
      </c>
      <c r="Y240" s="147" t="str">
        <f t="shared" ca="1" si="18"/>
        <v/>
      </c>
      <c r="AD240" s="147" t="str">
        <f t="shared" ca="1" si="21"/>
        <v/>
      </c>
      <c r="AE240" s="147" t="str">
        <f t="shared" ca="1" si="19"/>
        <v/>
      </c>
      <c r="AF240" s="25"/>
      <c r="AH240" s="147" t="str">
        <f ca="1">IF(C240="","",VLOOKUP(C240,'Шаг1.Выбор плиты'!C:Q,7,0))</f>
        <v/>
      </c>
      <c r="AI240" s="147" t="str">
        <f t="shared" ca="1" si="22"/>
        <v/>
      </c>
    </row>
    <row r="241" spans="1:35" x14ac:dyDescent="0.2">
      <c r="A241" s="151" t="str">
        <f ca="1">IF(C241="","",MAX($A$1:OFFSET(C241,-1,0))+1)</f>
        <v/>
      </c>
      <c r="B241" s="151" t="str">
        <f ca="1">IFERROR(IFERROR(IFERROR("Шаг2.Бланк заказа NEW №"&amp;VLOOKUP(A240+1,CHOOSE({1,2},'Шаг2.Бланк заказа NEW'!$B$19:$B$201,'Шаг2.Бланк заказа NEW'!$A$19:$A$201),1,0),
"Бланк OLD 0.8 04 №"&amp;VLOOKUP(A240+1-COUNT('Шаг2.Бланк заказа NEW'!$B$19:$B$201),CHOOSE({1,2},'Бланк OLD 0.8 04'!$B$18:$B$200,'Бланк OLD 0.8 04'!$A$18:$A$200),1,0)),
"Бланк OLD 2.0 04 №"&amp;VLOOKUP(A240+1-COUNT('Шаг2.Бланк заказа NEW'!$B$19:$B$201)-COUNT('Бланк OLD 0.8 04'!$B$18:$B$200),CHOOSE({1,2},'Бланк OLD 2.0 04 '!$B$18:$B$200,'Бланк OLD 2.0 04 '!$A$18:$A$200),1,0)),"")</f>
        <v/>
      </c>
      <c r="C241" s="152" t="str">
        <f ca="1">IFERROR(IFERROR(IFERROR(VLOOKUP(A240+1,CHOOSE({1,2},'Шаг2.Бланк заказа NEW'!$B$19:$B$201,'Шаг2.Бланк заказа NEW'!$A$19:$A$201),2,0),
VLOOKUP(A240+1-COUNT('Шаг2.Бланк заказа NEW'!$B$19:$B$201),CHOOSE({1,2},'Бланк OLD 0.8 04'!$B$18:$B$200,'Бланк OLD 0.8 04'!$A$18:$A$200),2,0)),
VLOOKUP(A240+1-COUNT('Шаг2.Бланк заказа NEW'!$B$19:$B$201)-COUNT('Бланк OLD 0.8 04'!$B$18:$B$200),CHOOSE({1,2},'Бланк OLD 2.0 04 '!$B$18:$B$200,'Бланк OLD 2.0 04 '!$A$18:$A$200),2,0)),"")</f>
        <v/>
      </c>
      <c r="D241" s="150" t="str">
        <f ca="1">IFERROR(VLOOKUP(C241,'Шаг1.Выбор плиты'!C:G,5,0),"")</f>
        <v/>
      </c>
      <c r="E241" s="147" t="str">
        <f ca="1">IFERROR(IFERROR(IF(VLOOKUP($A241,'Шаг2.Бланк заказа NEW'!$B$17:$N$201,2,0)="","",VLOOKUP($A241,'Шаг2.Бланк заказа NEW'!$B$17:$N$201,2,0)),
IF(VLOOKUP($A241-COUNT('Шаг2.Бланк заказа NEW'!$B$19:$B$201),'Бланк OLD 0.8 04'!$B$12:$K$200,2,0)="","",VLOOKUP($A241-COUNT('Шаг2.Бланк заказа NEW'!$B$19:$B$201),'Бланк OLD 0.8 04'!$B$12:$K$200,2,0))),
IF(VLOOKUP($A241-COUNT('Шаг2.Бланк заказа NEW'!$B$19:$B$201)-COUNT('Бланк OLD 0.8 04'!$B$18:$B$200),'Бланк OLD 2.0 04 '!$B$16:$K$200,2,0)="","",VLOOKUP($A241-COUNT('Шаг2.Бланк заказа NEW'!$B$19:$B$201)-COUNT('Бланк OLD 0.8 04'!$B$18:$B$200),'Бланк OLD 2.0 04 '!$B$16:$K$200,2,0)))</f>
        <v/>
      </c>
      <c r="F241" s="147" t="str">
        <f ca="1">IFERROR(IFERROR(IF(VLOOKUP($A241,'Шаг2.Бланк заказа NEW'!$B$17:$N$201,3,0)="","",VLOOKUP($A241,'Шаг2.Бланк заказа NEW'!$B$17:$N$201,3,0)),
IF(VLOOKUP($A241-COUNT('Шаг2.Бланк заказа NEW'!$B$19:$B$201),'Бланк OLD 0.8 04'!$B$12:$K$200,3,0)="","",VLOOKUP($A241-COUNT('Шаг2.Бланк заказа NEW'!$B$19:$B$201),'Бланк OLD 0.8 04'!$B$12:$K$200,3,0))),
IF(VLOOKUP($A241-COUNT('Шаг2.Бланк заказа NEW'!$B$19:$B$201)-COUNT('Бланк OLD 0.8 04'!$B$18:$B$200),'Бланк OLD 2.0 04 '!$B$16:$K$200,3,0)="","",VLOOKUP($A241-COUNT('Шаг2.Бланк заказа NEW'!$B$19:$B$201)-COUNT('Бланк OLD 0.8 04'!$B$18:$B$200),'Бланк OLD 2.0 04 '!$B$16:$K$200,3,0)))</f>
        <v/>
      </c>
      <c r="G241" s="176" t="str">
        <f ca="1">IF(IF(R241="","",IF(R241=1,SUMIFS('Шаг1.Выбор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плиты'!C:Q,12,0)),1))))))=0,
R241,
IF(R241="","",IF(R241=1,SUMIFS('Шаг1.Выбор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плиты'!N:N,R241,'Шаг1.Выбор плиты'!M:M,SMALL(INDIRECT("мм"&amp;VLOOKUP(C241,'Шаг1.Выбор плиты'!C:Q,12,0)),1)))))))</f>
        <v/>
      </c>
      <c r="H241" s="177" t="str">
        <f ca="1">IF(IF(S241="","",IF(S241=1,SUMIFS('Шаг1.Выбор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плиты'!C:Q,12,0)),1))))))=0,
S241,
IF(S241="","",IF(S241=1,SUMIFS('Шаг1.Выбор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плиты'!N:N,S241,'Шаг1.Выбор плиты'!M:M,SMALL(INDIRECT("мм"&amp;VLOOKUP(C241,'Шаг1.Выбор плиты'!C:Q,12,0)),1)))))))</f>
        <v/>
      </c>
      <c r="I241" s="147" t="str">
        <f ca="1">IFERROR(IFERROR(IF(VLOOKUP($A241,'Шаг2.Бланк заказа NEW'!$B$17:$N$201,6,0)="","",VLOOKUP($A241,'Шаг2.Бланк заказа NEW'!$B$17:$N$201,6,0)),
IF(VLOOKUP($A241-COUNT('Шаг2.Бланк заказа NEW'!$B$19:$B$201),'Бланк OLD 0.8 04'!$B$12:$K$200,6,0)="","",VLOOKUP($A241-COUNT('Шаг2.Бланк заказа NEW'!$B$19:$B$201),'Бланк OLD 0.8 04'!$B$12:$K$200,6,0))),
IF(VLOOKUP($A241-COUNT('Шаг2.Бланк заказа NEW'!$B$19:$B$201)-COUNT('Бланк OLD 0.8 04'!$B$18:$B$200),'Бланк OLD 2.0 04 '!$B$16:$K$200,6,0)="","",VLOOKUP($A241-COUNT('Шаг2.Бланк заказа NEW'!$B$19:$B$201)-COUNT('Бланк OLD 0.8 04'!$B$18:$B$200),'Бланк OLD 2.0 04 '!$B$16:$K$200,6,0)))</f>
        <v/>
      </c>
      <c r="J241" s="177" t="str">
        <f ca="1">IF(IF(T241="","",IF(T241=1,SUMIFS('Шаг1.Выбор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плиты'!C:Q,12,0)),1))))))=0,
T241,
IF(T241="","",IF(T241=1,SUMIFS('Шаг1.Выбор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плиты'!N:N,T241,'Шаг1.Выбор плиты'!M:M,SMALL(INDIRECT("мм"&amp;VLOOKUP(C241,'Шаг1.Выбор плиты'!C:Q,12,0)),1)))))))</f>
        <v/>
      </c>
      <c r="K241" s="177" t="str">
        <f ca="1">IF(IF(U241="","",IF(U241=1,SUMIFS('Шаг1.Выбор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плиты'!C:Q,12,0)),1))))))=0,
U241,
IF(U241="","",IF(U241=1,SUMIFS('Шаг1.Выбор плиты'!$G:$G,'Шаг1.Выбор плиты'!J:J,"*"&amp;RIGHT(VLOOKUP(C241,'Шаг1.Выбор плиты'!C:Q,8,0),4),'Шаг1.Выбор плиты'!L:L,IF(MID(C241,1,6)="ЛДСП P","TM"&amp;MID(VLOOKUP(C241,'Шаг1.Выбор плиты'!C:Q,10,0),3,2),MID(VLOOKUP(C241,'Шаг1.Выбор плиты'!C:Q,10,0),1,2)),
'Шаг1.Выбор плиты'!N:N,1),IF(SUMIFS('Шаг1.Выбор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плиты'!C:Q,12,0)),1))=0,
IF(SUMIFS('Шаг1.Выбор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плиты'!C:Q,12,0)),2))=0,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плиты'!C:Q,12,0)),3)),
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плиты'!C:Q,12,0)),2))),
(SUMIFS('Шаг1.Выбор плиты'!$G:$G,'Шаг1.Выбор плиты'!J:J,"*"&amp;RIGHT(VLOOKUP(C241,'Шаг1.Выбор плиты'!C:Q,8,0),4),'Шаг1.Выбор плиты'!L:L,VLOOKUP(C241,'Шаг1.Выбор плиты'!C:Q,10,0),'Шаг1.Выбор плиты'!N:N,U241,'Шаг1.Выбор плиты'!M:M,SMALL(INDIRECT("мм"&amp;VLOOKUP(C241,'Шаг1.Выбор плиты'!C:Q,12,0)),1)))))))</f>
        <v/>
      </c>
      <c r="L241" s="147" t="str">
        <f ca="1">IFERROR(IFERROR(IF(VLOOKUP($A241,'Шаг2.Бланк заказа NEW'!$B$17:$N$201,9,0)="","",VLOOKUP($A241,'Шаг2.Бланк заказа NEW'!$B$17:$N$201,9,0)),
IF(VLOOKUP($A241-COUNT('Шаг2.Бланк заказа NEW'!$B$19:$B$201),'Бланк OLD 0.8 04'!$B$12:$K$200,9,0)="","",VLOOKUP($A241-COUNT('Шаг2.Бланк заказа NEW'!$B$19:$B$201),'Бланк OLD 0.8 04'!$B$12:$K$200,9,0))),
IF(VLOOKUP($A241-COUNT('Шаг2.Бланк заказа NEW'!$B$19:$B$201)-COUNT('Бланк OLD 0.8 04'!$B$18:$B$200),'Бланк OLD 2.0 04 '!$B$16:$K$200,9,0)="","",VLOOKUP($A241-COUNT('Шаг2.Бланк заказа NEW'!$B$19:$B$201)-COUNT('Бланк OLD 0.8 04'!$B$18:$B$200),'Бланк OLD 2.0 04 '!$B$16:$K$200,9,0)))</f>
        <v/>
      </c>
      <c r="M241" s="154" t="str">
        <f t="shared" ca="1" si="20"/>
        <v/>
      </c>
      <c r="N241" s="153" t="str">
        <f ca="1">IFERROR(IF(VLOOKUP($A241,'Шаг2.Бланк заказа NEW'!$B$17:$N$201,11,0)="","",VLOOKUP($A241,'Шаг2.Бланк заказа NEW'!$B$17:$N$201,11,0)),
"Нет")</f>
        <v/>
      </c>
      <c r="O241" s="147" t="str">
        <f ca="1">IFERROR(IF(VLOOKUP($A241,'Шаг2.Бланк заказа NEW'!$B$17:$N$201,11,0)="","",VLOOKUP($A241,'Шаг2.Бланк заказа NEW'!$B$17:$N$201,12,0)),
"Нет")</f>
        <v/>
      </c>
      <c r="P241" s="153" t="str">
        <f ca="1">IFERROR(IF(VLOOKUP($A241,'Шаг2.Бланк заказа NEW'!$B$17:$N$201,13,0)="","",VLOOKUP($A241,'Шаг2.Бланк заказа NEW'!$B$17:$N$201,13,0)),
"Нет")</f>
        <v/>
      </c>
      <c r="Q241" s="147" t="str">
        <f ca="1">IFERROR(IF(VLOOKUP($A241,'Шаг2.Бланк заказа NEW'!$B$17:$O$201,14,0)="","",VLOOKUP($A241,'Шаг2.Бланк заказа NEW'!$B$17:$O$201,14,0)),"")</f>
        <v/>
      </c>
      <c r="R241" s="147" t="str">
        <f ca="1">IFERROR(IFERROR(IF(VLOOKUP($A241,'Шаг2.Бланк заказа NEW'!$B$17:$N$201,4,0)="","",VLOOKUP($A241,'Шаг2.Бланк заказа NEW'!$B$17:$N$201,4,0)),
IF(VLOOKUP($A241-COUNT('Шаг2.Бланк заказа NEW'!$B$19:$B$201),'Бланк OLD 0.8 04'!$B$12:$K$200,4,0)&gt;0,0.8,
IF(VLOOKUP($A241-COUNT('Шаг2.Бланк заказа NEW'!$B$19:$B$201),'Бланк OLD 0.8 04'!$B$12:$K$200,5,0)&gt;0,0.4,""))),
IF(VLOOKUP($A241-COUNT('Шаг2.Бланк заказа NEW'!$B$19:$B$201)-COUNT('Бланк OLD 0.8 04'!$B$18:$B$200),'Бланк OLD 2.0 04 '!$B$16:$K$200,4,0)&gt;0,2,IF(VLOOKUP($A241-COUNT('Шаг2.Бланк заказа NEW'!$B$19:$B$201)-COUNT('Бланк OLD 0.8 04'!$B$18:$B$200),'Бланк OLD 2.0 04 '!$B$16:$K$200,5,0)&gt;0,0.4,"")))</f>
        <v/>
      </c>
      <c r="S241" s="147" t="str">
        <f ca="1">IFERROR(IFERROR(IF(VLOOKUP($A241,'Шаг2.Бланк заказа NEW'!$B$17:$N$201,5,0)="","",VLOOKUP($A241,'Шаг2.Бланк заказа NEW'!$B$17:$N$201,5,0)),
IF(VLOOKUP($A241-COUNT('Шаг2.Бланк заказа NEW'!$B$19:$B$201),'Бланк OLD 0.8 04'!$B$12:$K$200,4,0)&gt;1,0.8,
IF(VLOOKUP($A241-COUNT('Шаг2.Бланк заказа NEW'!$B$19:$B$201),'Бланк OLD 0.8 04'!$B$12:$K$200,5,0)&gt;1,0.4,
IF(AND(VLOOKUP($A241-COUNT('Шаг2.Бланк заказа NEW'!$B$19:$B$201),'Бланк OLD 0.8 04'!$B$12:$K$200,4,0)&gt;0,VLOOKUP($A241-COUNT('Шаг2.Бланк заказа NEW'!$B$19:$B$201),'Бланк OLD 0.8 04'!$B$12:$K$200,5,0)&gt;0),0.4,"")))),
IF(VLOOKUP($A241-COUNT('Шаг2.Бланк заказа NEW'!$B$19:$B$201)-COUNT('Бланк OLD 0.8 04'!$B$18:$B$200),'Бланк OLD 2.0 04 '!$B$16:$K$200,4,0)&gt;1,2,
IF(VLOOKUP($A241-COUNT('Шаг2.Бланк заказа NEW'!$B$19:$B$201)-COUNT('Бланк OLD 0.8 04'!$B$18:$B$200),'Бланк OLD 2.0 04 '!$B$16:$K$200,5,0)&gt;1,0.4,IF(AND(VLOOKUP($A241-COUNT('Шаг2.Бланк заказа NEW'!$B$19:$B$201)-COUNT('Бланк OLD 0.8 04'!$B$18:$B$200),'Бланк OLD 2.0 04 '!$B$16:$K$200,4,0)&gt;0,VLOOKUP($A241-COUNT('Шаг2.Бланк заказа NEW'!$B$19:$B$201)-COUNT('Бланк OLD 0.8 04'!$B$18:$B$200),'Бланк OLD 2.0 04 '!$B$16:$K$200,5,0)&gt;0),0.4,""))))</f>
        <v/>
      </c>
      <c r="T241" s="147" t="str">
        <f ca="1">IFERROR(IFERROR(IF(VLOOKUP($A241,'Шаг2.Бланк заказа NEW'!$B$17:$N$201,7,0)="","",VLOOKUP($A241,'Шаг2.Бланк заказа NEW'!$B$17:$N$201,7,0)),
IF(VLOOKUP($A241-COUNT('Шаг2.Бланк заказа NEW'!$B$19:$B$201),'Бланк OLD 0.8 04'!$B$12:$K$200,7,0)&gt;0,0.8,
IF(VLOOKUP($A241-COUNT('Шаг2.Бланк заказа NEW'!$B$19:$B$201),'Бланк OLD 0.8 04'!$B$12:$K$200,8,0)&gt;0,0.4,""))),
IF(VLOOKUP($A241-COUNT('Шаг2.Бланк заказа NEW'!$B$19:$B$201)-COUNT('Бланк OLD 0.8 04'!$B$18:$B$200),'Бланк OLD 2.0 04 '!$B$16:$K$200,7,0)&gt;0,2,IF(VLOOKUP($A241-COUNT('Шаг2.Бланк заказа NEW'!$B$19:$B$201)-COUNT('Бланк OLD 0.8 04'!$B$18:$B$200),'Бланк OLD 2.0 04 '!$B$16:$K$200,8,0)&gt;0,0.4,"")))</f>
        <v/>
      </c>
      <c r="U241" s="147" t="str">
        <f ca="1">IFERROR(IFERROR(IF(VLOOKUP($A241,'Шаг2.Бланк заказа NEW'!$B$17:$N$201,8,0)="","",VLOOKUP($A241,'Шаг2.Бланк заказа NEW'!$B$17:$N$201,8,0)),
IF(VLOOKUP($A241-COUNT('Шаг2.Бланк заказа NEW'!$B$19:$B$201),'Бланк OLD 0.8 04'!$B$12:$K$200,7,0)&gt;1,0.8,
IF(VLOOKUP($A241-COUNT('Шаг2.Бланк заказа NEW'!$B$19:$B$201),'Бланк OLD 0.8 04'!$B$12:$K$200,8,0)&gt;1,0.4,
IF(AND(VLOOKUP($A241-COUNT('Шаг2.Бланк заказа NEW'!$B$19:$B$201),'Бланк OLD 0.8 04'!$B$12:$K$200,7,0)&gt;0,VLOOKUP($A241-COUNT('Шаг2.Бланк заказа NEW'!$B$19:$B$201),'Бланк OLD 0.8 04'!$B$12:$K$200,8,0)&gt;0),0.4,"")))),
IF(VLOOKUP($A241-COUNT('Шаг2.Бланк заказа NEW'!$B$19:$B$201)-COUNT('Бланк OLD 0.8 04'!$B$18:$B$200),'Бланк OLD 2.0 04 '!$B$16:$K$200,7,0)&gt;1,2,
IF(VLOOKUP($A241-COUNT('Шаг2.Бланк заказа NEW'!$B$19:$B$201)-COUNT('Бланк OLD 0.8 04'!$B$18:$B$200),'Бланк OLD 2.0 04 '!$B$16:$K$200,8,0)&gt;1,0.4,
IF(AND(VLOOKUP($A241-COUNT('Шаг2.Бланк заказа NEW'!$B$19:$B$201)-COUNT('Бланк OLD 0.8 04'!$B$18:$B$200),'Бланк OLD 2.0 04 '!$B$16:$K$200,7,0)&gt;0,VLOOKUP($A241-COUNT('Шаг2.Бланк заказа NEW'!$B$19:$B$201)-COUNT('Бланк OLD 0.8 04'!$B$18:$B$200),'Бланк OLD 2.0 04 '!$B$16:$K$200,8,0)&gt;0),0.4,""))))</f>
        <v/>
      </c>
      <c r="V241" s="146" t="str">
        <f ca="1">IFERROR(VLOOKUP(C241,'Шаг1.Выбор плиты'!C:S,12,0),"")</f>
        <v/>
      </c>
      <c r="W241" s="146" t="str">
        <f ca="1">IFERROR(VLOOKUP(C241,'Шаг1.Выбор плиты'!C:S,8,0),"")</f>
        <v/>
      </c>
      <c r="X241" s="146" t="str">
        <f ca="1">IFERROR(VLOOKUP(C241,'Шаг1.Выбор плиты'!C:S,10,0),"")</f>
        <v/>
      </c>
      <c r="Y241" s="147" t="str">
        <f t="shared" ca="1" si="18"/>
        <v/>
      </c>
      <c r="AD241" s="147" t="str">
        <f t="shared" ca="1" si="21"/>
        <v/>
      </c>
      <c r="AE241" s="147" t="str">
        <f t="shared" ca="1" si="19"/>
        <v/>
      </c>
      <c r="AF241" s="25"/>
      <c r="AH241" s="147" t="str">
        <f ca="1">IF(C241="","",VLOOKUP(C241,'Шаг1.Выбор плиты'!C:Q,7,0))</f>
        <v/>
      </c>
      <c r="AI241" s="147" t="str">
        <f t="shared" ca="1" si="22"/>
        <v/>
      </c>
    </row>
    <row r="242" spans="1:35" x14ac:dyDescent="0.2">
      <c r="A242" s="151" t="str">
        <f ca="1">IF(C242="","",MAX($A$1:OFFSET(C242,-1,0))+1)</f>
        <v/>
      </c>
      <c r="B242" s="151" t="str">
        <f ca="1">IFERROR(IFERROR(IFERROR("Шаг2.Бланк заказа NEW №"&amp;VLOOKUP(A241+1,CHOOSE({1,2},'Шаг2.Бланк заказа NEW'!$B$19:$B$201,'Шаг2.Бланк заказа NEW'!$A$19:$A$201),1,0),
"Бланк OLD 0.8 04 №"&amp;VLOOKUP(A241+1-COUNT('Шаг2.Бланк заказа NEW'!$B$19:$B$201),CHOOSE({1,2},'Бланк OLD 0.8 04'!$B$18:$B$200,'Бланк OLD 0.8 04'!$A$18:$A$200),1,0)),
"Бланк OLD 2.0 04 №"&amp;VLOOKUP(A241+1-COUNT('Шаг2.Бланк заказа NEW'!$B$19:$B$201)-COUNT('Бланк OLD 0.8 04'!$B$18:$B$200),CHOOSE({1,2},'Бланк OLD 2.0 04 '!$B$18:$B$200,'Бланк OLD 2.0 04 '!$A$18:$A$200),1,0)),"")</f>
        <v/>
      </c>
      <c r="C242" s="152" t="str">
        <f ca="1">IFERROR(IFERROR(IFERROR(VLOOKUP(A241+1,CHOOSE({1,2},'Шаг2.Бланк заказа NEW'!$B$19:$B$201,'Шаг2.Бланк заказа NEW'!$A$19:$A$201),2,0),
VLOOKUP(A241+1-COUNT('Шаг2.Бланк заказа NEW'!$B$19:$B$201),CHOOSE({1,2},'Бланк OLD 0.8 04'!$B$18:$B$200,'Бланк OLD 0.8 04'!$A$18:$A$200),2,0)),
VLOOKUP(A241+1-COUNT('Шаг2.Бланк заказа NEW'!$B$19:$B$201)-COUNT('Бланк OLD 0.8 04'!$B$18:$B$200),CHOOSE({1,2},'Бланк OLD 2.0 04 '!$B$18:$B$200,'Бланк OLD 2.0 04 '!$A$18:$A$200),2,0)),"")</f>
        <v/>
      </c>
      <c r="D242" s="150" t="str">
        <f ca="1">IFERROR(VLOOKUP(C242,'Шаг1.Выбор плиты'!C:G,5,0),"")</f>
        <v/>
      </c>
      <c r="E242" s="147" t="str">
        <f ca="1">IFERROR(IFERROR(IF(VLOOKUP($A242,'Шаг2.Бланк заказа NEW'!$B$17:$N$201,2,0)="","",VLOOKUP($A242,'Шаг2.Бланк заказа NEW'!$B$17:$N$201,2,0)),
IF(VLOOKUP($A242-COUNT('Шаг2.Бланк заказа NEW'!$B$19:$B$201),'Бланк OLD 0.8 04'!$B$12:$K$200,2,0)="","",VLOOKUP($A242-COUNT('Шаг2.Бланк заказа NEW'!$B$19:$B$201),'Бланк OLD 0.8 04'!$B$12:$K$200,2,0))),
IF(VLOOKUP($A242-COUNT('Шаг2.Бланк заказа NEW'!$B$19:$B$201)-COUNT('Бланк OLD 0.8 04'!$B$18:$B$200),'Бланк OLD 2.0 04 '!$B$16:$K$200,2,0)="","",VLOOKUP($A242-COUNT('Шаг2.Бланк заказа NEW'!$B$19:$B$201)-COUNT('Бланк OLD 0.8 04'!$B$18:$B$200),'Бланк OLD 2.0 04 '!$B$16:$K$200,2,0)))</f>
        <v/>
      </c>
      <c r="F242" s="147" t="str">
        <f ca="1">IFERROR(IFERROR(IF(VLOOKUP($A242,'Шаг2.Бланк заказа NEW'!$B$17:$N$201,3,0)="","",VLOOKUP($A242,'Шаг2.Бланк заказа NEW'!$B$17:$N$201,3,0)),
IF(VLOOKUP($A242-COUNT('Шаг2.Бланк заказа NEW'!$B$19:$B$201),'Бланк OLD 0.8 04'!$B$12:$K$200,3,0)="","",VLOOKUP($A242-COUNT('Шаг2.Бланк заказа NEW'!$B$19:$B$201),'Бланк OLD 0.8 04'!$B$12:$K$200,3,0))),
IF(VLOOKUP($A242-COUNT('Шаг2.Бланк заказа NEW'!$B$19:$B$201)-COUNT('Бланк OLD 0.8 04'!$B$18:$B$200),'Бланк OLD 2.0 04 '!$B$16:$K$200,3,0)="","",VLOOKUP($A242-COUNT('Шаг2.Бланк заказа NEW'!$B$19:$B$201)-COUNT('Бланк OLD 0.8 04'!$B$18:$B$200),'Бланк OLD 2.0 04 '!$B$16:$K$200,3,0)))</f>
        <v/>
      </c>
      <c r="G242" s="176" t="str">
        <f ca="1">IF(IF(R242="","",IF(R242=1,SUMIFS('Шаг1.Выбор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плиты'!C:Q,12,0)),1))))))=0,
R242,
IF(R242="","",IF(R242=1,SUMIFS('Шаг1.Выбор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плиты'!N:N,R242,'Шаг1.Выбор плиты'!M:M,SMALL(INDIRECT("мм"&amp;VLOOKUP(C242,'Шаг1.Выбор плиты'!C:Q,12,0)),1)))))))</f>
        <v/>
      </c>
      <c r="H242" s="177" t="str">
        <f ca="1">IF(IF(S242="","",IF(S242=1,SUMIFS('Шаг1.Выбор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плиты'!C:Q,12,0)),1))))))=0,
S242,
IF(S242="","",IF(S242=1,SUMIFS('Шаг1.Выбор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плиты'!N:N,S242,'Шаг1.Выбор плиты'!M:M,SMALL(INDIRECT("мм"&amp;VLOOKUP(C242,'Шаг1.Выбор плиты'!C:Q,12,0)),1)))))))</f>
        <v/>
      </c>
      <c r="I242" s="147" t="str">
        <f ca="1">IFERROR(IFERROR(IF(VLOOKUP($A242,'Шаг2.Бланк заказа NEW'!$B$17:$N$201,6,0)="","",VLOOKUP($A242,'Шаг2.Бланк заказа NEW'!$B$17:$N$201,6,0)),
IF(VLOOKUP($A242-COUNT('Шаг2.Бланк заказа NEW'!$B$19:$B$201),'Бланк OLD 0.8 04'!$B$12:$K$200,6,0)="","",VLOOKUP($A242-COUNT('Шаг2.Бланк заказа NEW'!$B$19:$B$201),'Бланк OLD 0.8 04'!$B$12:$K$200,6,0))),
IF(VLOOKUP($A242-COUNT('Шаг2.Бланк заказа NEW'!$B$19:$B$201)-COUNT('Бланк OLD 0.8 04'!$B$18:$B$200),'Бланк OLD 2.0 04 '!$B$16:$K$200,6,0)="","",VLOOKUP($A242-COUNT('Шаг2.Бланк заказа NEW'!$B$19:$B$201)-COUNT('Бланк OLD 0.8 04'!$B$18:$B$200),'Бланк OLD 2.0 04 '!$B$16:$K$200,6,0)))</f>
        <v/>
      </c>
      <c r="J242" s="177" t="str">
        <f ca="1">IF(IF(T242="","",IF(T242=1,SUMIFS('Шаг1.Выбор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плиты'!C:Q,12,0)),1))))))=0,
T242,
IF(T242="","",IF(T242=1,SUMIFS('Шаг1.Выбор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плиты'!N:N,T242,'Шаг1.Выбор плиты'!M:M,SMALL(INDIRECT("мм"&amp;VLOOKUP(C242,'Шаг1.Выбор плиты'!C:Q,12,0)),1)))))))</f>
        <v/>
      </c>
      <c r="K242" s="177" t="str">
        <f ca="1">IF(IF(U242="","",IF(U242=1,SUMIFS('Шаг1.Выбор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плиты'!C:Q,12,0)),1))))))=0,
U242,
IF(U242="","",IF(U242=1,SUMIFS('Шаг1.Выбор плиты'!$G:$G,'Шаг1.Выбор плиты'!J:J,"*"&amp;RIGHT(VLOOKUP(C242,'Шаг1.Выбор плиты'!C:Q,8,0),4),'Шаг1.Выбор плиты'!L:L,IF(MID(C242,1,6)="ЛДСП P","TM"&amp;MID(VLOOKUP(C242,'Шаг1.Выбор плиты'!C:Q,10,0),3,2),MID(VLOOKUP(C242,'Шаг1.Выбор плиты'!C:Q,10,0),1,2)),
'Шаг1.Выбор плиты'!N:N,1),IF(SUMIFS('Шаг1.Выбор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плиты'!C:Q,12,0)),1))=0,
IF(SUMIFS('Шаг1.Выбор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плиты'!C:Q,12,0)),2))=0,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плиты'!C:Q,12,0)),3)),
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плиты'!C:Q,12,0)),2))),
(SUMIFS('Шаг1.Выбор плиты'!$G:$G,'Шаг1.Выбор плиты'!J:J,"*"&amp;RIGHT(VLOOKUP(C242,'Шаг1.Выбор плиты'!C:Q,8,0),4),'Шаг1.Выбор плиты'!L:L,VLOOKUP(C242,'Шаг1.Выбор плиты'!C:Q,10,0),'Шаг1.Выбор плиты'!N:N,U242,'Шаг1.Выбор плиты'!M:M,SMALL(INDIRECT("мм"&amp;VLOOKUP(C242,'Шаг1.Выбор плиты'!C:Q,12,0)),1)))))))</f>
        <v/>
      </c>
      <c r="L242" s="147" t="str">
        <f ca="1">IFERROR(IFERROR(IF(VLOOKUP($A242,'Шаг2.Бланк заказа NEW'!$B$17:$N$201,9,0)="","",VLOOKUP($A242,'Шаг2.Бланк заказа NEW'!$B$17:$N$201,9,0)),
IF(VLOOKUP($A242-COUNT('Шаг2.Бланк заказа NEW'!$B$19:$B$201),'Бланк OLD 0.8 04'!$B$12:$K$200,9,0)="","",VLOOKUP($A242-COUNT('Шаг2.Бланк заказа NEW'!$B$19:$B$201),'Бланк OLD 0.8 04'!$B$12:$K$200,9,0))),
IF(VLOOKUP($A242-COUNT('Шаг2.Бланк заказа NEW'!$B$19:$B$201)-COUNT('Бланк OLD 0.8 04'!$B$18:$B$200),'Бланк OLD 2.0 04 '!$B$16:$K$200,9,0)="","",VLOOKUP($A242-COUNT('Шаг2.Бланк заказа NEW'!$B$19:$B$201)-COUNT('Бланк OLD 0.8 04'!$B$18:$B$200),'Бланк OLD 2.0 04 '!$B$16:$K$200,9,0)))</f>
        <v/>
      </c>
      <c r="M242" s="154" t="str">
        <f t="shared" ca="1" si="20"/>
        <v/>
      </c>
      <c r="N242" s="153" t="str">
        <f ca="1">IFERROR(IF(VLOOKUP($A242,'Шаг2.Бланк заказа NEW'!$B$17:$N$201,11,0)="","",VLOOKUP($A242,'Шаг2.Бланк заказа NEW'!$B$17:$N$201,11,0)),
"Нет")</f>
        <v/>
      </c>
      <c r="O242" s="147" t="str">
        <f ca="1">IFERROR(IF(VLOOKUP($A242,'Шаг2.Бланк заказа NEW'!$B$17:$N$201,11,0)="","",VLOOKUP($A242,'Шаг2.Бланк заказа NEW'!$B$17:$N$201,12,0)),
"Нет")</f>
        <v/>
      </c>
      <c r="P242" s="153" t="str">
        <f ca="1">IFERROR(IF(VLOOKUP($A242,'Шаг2.Бланк заказа NEW'!$B$17:$N$201,13,0)="","",VLOOKUP($A242,'Шаг2.Бланк заказа NEW'!$B$17:$N$201,13,0)),
"Нет")</f>
        <v/>
      </c>
      <c r="Q242" s="147" t="str">
        <f ca="1">IFERROR(IF(VLOOKUP($A242,'Шаг2.Бланк заказа NEW'!$B$17:$O$201,14,0)="","",VLOOKUP($A242,'Шаг2.Бланк заказа NEW'!$B$17:$O$201,14,0)),"")</f>
        <v/>
      </c>
      <c r="R242" s="147" t="str">
        <f ca="1">IFERROR(IFERROR(IF(VLOOKUP($A242,'Шаг2.Бланк заказа NEW'!$B$17:$N$201,4,0)="","",VLOOKUP($A242,'Шаг2.Бланк заказа NEW'!$B$17:$N$201,4,0)),
IF(VLOOKUP($A242-COUNT('Шаг2.Бланк заказа NEW'!$B$19:$B$201),'Бланк OLD 0.8 04'!$B$12:$K$200,4,0)&gt;0,0.8,
IF(VLOOKUP($A242-COUNT('Шаг2.Бланк заказа NEW'!$B$19:$B$201),'Бланк OLD 0.8 04'!$B$12:$K$200,5,0)&gt;0,0.4,""))),
IF(VLOOKUP($A242-COUNT('Шаг2.Бланк заказа NEW'!$B$19:$B$201)-COUNT('Бланк OLD 0.8 04'!$B$18:$B$200),'Бланк OLD 2.0 04 '!$B$16:$K$200,4,0)&gt;0,2,IF(VLOOKUP($A242-COUNT('Шаг2.Бланк заказа NEW'!$B$19:$B$201)-COUNT('Бланк OLD 0.8 04'!$B$18:$B$200),'Бланк OLD 2.0 04 '!$B$16:$K$200,5,0)&gt;0,0.4,"")))</f>
        <v/>
      </c>
      <c r="S242" s="147" t="str">
        <f ca="1">IFERROR(IFERROR(IF(VLOOKUP($A242,'Шаг2.Бланк заказа NEW'!$B$17:$N$201,5,0)="","",VLOOKUP($A242,'Шаг2.Бланк заказа NEW'!$B$17:$N$201,5,0)),
IF(VLOOKUP($A242-COUNT('Шаг2.Бланк заказа NEW'!$B$19:$B$201),'Бланк OLD 0.8 04'!$B$12:$K$200,4,0)&gt;1,0.8,
IF(VLOOKUP($A242-COUNT('Шаг2.Бланк заказа NEW'!$B$19:$B$201),'Бланк OLD 0.8 04'!$B$12:$K$200,5,0)&gt;1,0.4,
IF(AND(VLOOKUP($A242-COUNT('Шаг2.Бланк заказа NEW'!$B$19:$B$201),'Бланк OLD 0.8 04'!$B$12:$K$200,4,0)&gt;0,VLOOKUP($A242-COUNT('Шаг2.Бланк заказа NEW'!$B$19:$B$201),'Бланк OLD 0.8 04'!$B$12:$K$200,5,0)&gt;0),0.4,"")))),
IF(VLOOKUP($A242-COUNT('Шаг2.Бланк заказа NEW'!$B$19:$B$201)-COUNT('Бланк OLD 0.8 04'!$B$18:$B$200),'Бланк OLD 2.0 04 '!$B$16:$K$200,4,0)&gt;1,2,
IF(VLOOKUP($A242-COUNT('Шаг2.Бланк заказа NEW'!$B$19:$B$201)-COUNT('Бланк OLD 0.8 04'!$B$18:$B$200),'Бланк OLD 2.0 04 '!$B$16:$K$200,5,0)&gt;1,0.4,IF(AND(VLOOKUP($A242-COUNT('Шаг2.Бланк заказа NEW'!$B$19:$B$201)-COUNT('Бланк OLD 0.8 04'!$B$18:$B$200),'Бланк OLD 2.0 04 '!$B$16:$K$200,4,0)&gt;0,VLOOKUP($A242-COUNT('Шаг2.Бланк заказа NEW'!$B$19:$B$201)-COUNT('Бланк OLD 0.8 04'!$B$18:$B$200),'Бланк OLD 2.0 04 '!$B$16:$K$200,5,0)&gt;0),0.4,""))))</f>
        <v/>
      </c>
      <c r="T242" s="147" t="str">
        <f ca="1">IFERROR(IFERROR(IF(VLOOKUP($A242,'Шаг2.Бланк заказа NEW'!$B$17:$N$201,7,0)="","",VLOOKUP($A242,'Шаг2.Бланк заказа NEW'!$B$17:$N$201,7,0)),
IF(VLOOKUP($A242-COUNT('Шаг2.Бланк заказа NEW'!$B$19:$B$201),'Бланк OLD 0.8 04'!$B$12:$K$200,7,0)&gt;0,0.8,
IF(VLOOKUP($A242-COUNT('Шаг2.Бланк заказа NEW'!$B$19:$B$201),'Бланк OLD 0.8 04'!$B$12:$K$200,8,0)&gt;0,0.4,""))),
IF(VLOOKUP($A242-COUNT('Шаг2.Бланк заказа NEW'!$B$19:$B$201)-COUNT('Бланк OLD 0.8 04'!$B$18:$B$200),'Бланк OLD 2.0 04 '!$B$16:$K$200,7,0)&gt;0,2,IF(VLOOKUP($A242-COUNT('Шаг2.Бланк заказа NEW'!$B$19:$B$201)-COUNT('Бланк OLD 0.8 04'!$B$18:$B$200),'Бланк OLD 2.0 04 '!$B$16:$K$200,8,0)&gt;0,0.4,"")))</f>
        <v/>
      </c>
      <c r="U242" s="147" t="str">
        <f ca="1">IFERROR(IFERROR(IF(VLOOKUP($A242,'Шаг2.Бланк заказа NEW'!$B$17:$N$201,8,0)="","",VLOOKUP($A242,'Шаг2.Бланк заказа NEW'!$B$17:$N$201,8,0)),
IF(VLOOKUP($A242-COUNT('Шаг2.Бланк заказа NEW'!$B$19:$B$201),'Бланк OLD 0.8 04'!$B$12:$K$200,7,0)&gt;1,0.8,
IF(VLOOKUP($A242-COUNT('Шаг2.Бланк заказа NEW'!$B$19:$B$201),'Бланк OLD 0.8 04'!$B$12:$K$200,8,0)&gt;1,0.4,
IF(AND(VLOOKUP($A242-COUNT('Шаг2.Бланк заказа NEW'!$B$19:$B$201),'Бланк OLD 0.8 04'!$B$12:$K$200,7,0)&gt;0,VLOOKUP($A242-COUNT('Шаг2.Бланк заказа NEW'!$B$19:$B$201),'Бланк OLD 0.8 04'!$B$12:$K$200,8,0)&gt;0),0.4,"")))),
IF(VLOOKUP($A242-COUNT('Шаг2.Бланк заказа NEW'!$B$19:$B$201)-COUNT('Бланк OLD 0.8 04'!$B$18:$B$200),'Бланк OLD 2.0 04 '!$B$16:$K$200,7,0)&gt;1,2,
IF(VLOOKUP($A242-COUNT('Шаг2.Бланк заказа NEW'!$B$19:$B$201)-COUNT('Бланк OLD 0.8 04'!$B$18:$B$200),'Бланк OLD 2.0 04 '!$B$16:$K$200,8,0)&gt;1,0.4,
IF(AND(VLOOKUP($A242-COUNT('Шаг2.Бланк заказа NEW'!$B$19:$B$201)-COUNT('Бланк OLD 0.8 04'!$B$18:$B$200),'Бланк OLD 2.0 04 '!$B$16:$K$200,7,0)&gt;0,VLOOKUP($A242-COUNT('Шаг2.Бланк заказа NEW'!$B$19:$B$201)-COUNT('Бланк OLD 0.8 04'!$B$18:$B$200),'Бланк OLD 2.0 04 '!$B$16:$K$200,8,0)&gt;0),0.4,""))))</f>
        <v/>
      </c>
      <c r="V242" s="146" t="str">
        <f ca="1">IFERROR(VLOOKUP(C242,'Шаг1.Выбор плиты'!C:S,12,0),"")</f>
        <v/>
      </c>
      <c r="W242" s="146" t="str">
        <f ca="1">IFERROR(VLOOKUP(C242,'Шаг1.Выбор плиты'!C:S,8,0),"")</f>
        <v/>
      </c>
      <c r="X242" s="146" t="str">
        <f ca="1">IFERROR(VLOOKUP(C242,'Шаг1.Выбор плиты'!C:S,10,0),"")</f>
        <v/>
      </c>
      <c r="Y242" s="147" t="str">
        <f t="shared" ca="1" si="18"/>
        <v/>
      </c>
      <c r="AD242" s="147" t="str">
        <f t="shared" ca="1" si="21"/>
        <v/>
      </c>
      <c r="AE242" s="147" t="str">
        <f t="shared" ca="1" si="19"/>
        <v/>
      </c>
      <c r="AF242" s="25"/>
      <c r="AH242" s="147" t="str">
        <f ca="1">IF(C242="","",VLOOKUP(C242,'Шаг1.Выбор плиты'!C:Q,7,0))</f>
        <v/>
      </c>
      <c r="AI242" s="147" t="str">
        <f t="shared" ca="1" si="22"/>
        <v/>
      </c>
    </row>
    <row r="243" spans="1:35" x14ac:dyDescent="0.2">
      <c r="A243" s="151" t="str">
        <f ca="1">IF(C243="","",MAX($A$1:OFFSET(C243,-1,0))+1)</f>
        <v/>
      </c>
      <c r="B243" s="151" t="str">
        <f ca="1">IFERROR(IFERROR(IFERROR("Шаг2.Бланк заказа NEW №"&amp;VLOOKUP(A242+1,CHOOSE({1,2},'Шаг2.Бланк заказа NEW'!$B$19:$B$201,'Шаг2.Бланк заказа NEW'!$A$19:$A$201),1,0),
"Бланк OLD 0.8 04 №"&amp;VLOOKUP(A242+1-COUNT('Шаг2.Бланк заказа NEW'!$B$19:$B$201),CHOOSE({1,2},'Бланк OLD 0.8 04'!$B$18:$B$200,'Бланк OLD 0.8 04'!$A$18:$A$200),1,0)),
"Бланк OLD 2.0 04 №"&amp;VLOOKUP(A242+1-COUNT('Шаг2.Бланк заказа NEW'!$B$19:$B$201)-COUNT('Бланк OLD 0.8 04'!$B$18:$B$200),CHOOSE({1,2},'Бланк OLD 2.0 04 '!$B$18:$B$200,'Бланк OLD 2.0 04 '!$A$18:$A$200),1,0)),"")</f>
        <v/>
      </c>
      <c r="C243" s="152" t="str">
        <f ca="1">IFERROR(IFERROR(IFERROR(VLOOKUP(A242+1,CHOOSE({1,2},'Шаг2.Бланк заказа NEW'!$B$19:$B$201,'Шаг2.Бланк заказа NEW'!$A$19:$A$201),2,0),
VLOOKUP(A242+1-COUNT('Шаг2.Бланк заказа NEW'!$B$19:$B$201),CHOOSE({1,2},'Бланк OLD 0.8 04'!$B$18:$B$200,'Бланк OLD 0.8 04'!$A$18:$A$200),2,0)),
VLOOKUP(A242+1-COUNT('Шаг2.Бланк заказа NEW'!$B$19:$B$201)-COUNT('Бланк OLD 0.8 04'!$B$18:$B$200),CHOOSE({1,2},'Бланк OLD 2.0 04 '!$B$18:$B$200,'Бланк OLD 2.0 04 '!$A$18:$A$200),2,0)),"")</f>
        <v/>
      </c>
      <c r="D243" s="150" t="str">
        <f ca="1">IFERROR(VLOOKUP(C243,'Шаг1.Выбор плиты'!C:G,5,0),"")</f>
        <v/>
      </c>
      <c r="E243" s="147" t="str">
        <f ca="1">IFERROR(IFERROR(IF(VLOOKUP($A243,'Шаг2.Бланк заказа NEW'!$B$17:$N$201,2,0)="","",VLOOKUP($A243,'Шаг2.Бланк заказа NEW'!$B$17:$N$201,2,0)),
IF(VLOOKUP($A243-COUNT('Шаг2.Бланк заказа NEW'!$B$19:$B$201),'Бланк OLD 0.8 04'!$B$12:$K$200,2,0)="","",VLOOKUP($A243-COUNT('Шаг2.Бланк заказа NEW'!$B$19:$B$201),'Бланк OLD 0.8 04'!$B$12:$K$200,2,0))),
IF(VLOOKUP($A243-COUNT('Шаг2.Бланк заказа NEW'!$B$19:$B$201)-COUNT('Бланк OLD 0.8 04'!$B$18:$B$200),'Бланк OLD 2.0 04 '!$B$16:$K$200,2,0)="","",VLOOKUP($A243-COUNT('Шаг2.Бланк заказа NEW'!$B$19:$B$201)-COUNT('Бланк OLD 0.8 04'!$B$18:$B$200),'Бланк OLD 2.0 04 '!$B$16:$K$200,2,0)))</f>
        <v/>
      </c>
      <c r="F243" s="147" t="str">
        <f ca="1">IFERROR(IFERROR(IF(VLOOKUP($A243,'Шаг2.Бланк заказа NEW'!$B$17:$N$201,3,0)="","",VLOOKUP($A243,'Шаг2.Бланк заказа NEW'!$B$17:$N$201,3,0)),
IF(VLOOKUP($A243-COUNT('Шаг2.Бланк заказа NEW'!$B$19:$B$201),'Бланк OLD 0.8 04'!$B$12:$K$200,3,0)="","",VLOOKUP($A243-COUNT('Шаг2.Бланк заказа NEW'!$B$19:$B$201),'Бланк OLD 0.8 04'!$B$12:$K$200,3,0))),
IF(VLOOKUP($A243-COUNT('Шаг2.Бланк заказа NEW'!$B$19:$B$201)-COUNT('Бланк OLD 0.8 04'!$B$18:$B$200),'Бланк OLD 2.0 04 '!$B$16:$K$200,3,0)="","",VLOOKUP($A243-COUNT('Шаг2.Бланк заказа NEW'!$B$19:$B$201)-COUNT('Бланк OLD 0.8 04'!$B$18:$B$200),'Бланк OLD 2.0 04 '!$B$16:$K$200,3,0)))</f>
        <v/>
      </c>
      <c r="G243" s="176" t="str">
        <f ca="1">IF(IF(R243="","",IF(R243=1,SUMIFS('Шаг1.Выбор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плиты'!C:Q,12,0)),1))))))=0,
R243,
IF(R243="","",IF(R243=1,SUMIFS('Шаг1.Выбор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плиты'!N:N,R243,'Шаг1.Выбор плиты'!M:M,SMALL(INDIRECT("мм"&amp;VLOOKUP(C243,'Шаг1.Выбор плиты'!C:Q,12,0)),1)))))))</f>
        <v/>
      </c>
      <c r="H243" s="177" t="str">
        <f ca="1">IF(IF(S243="","",IF(S243=1,SUMIFS('Шаг1.Выбор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плиты'!C:Q,12,0)),1))))))=0,
S243,
IF(S243="","",IF(S243=1,SUMIFS('Шаг1.Выбор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плиты'!N:N,S243,'Шаг1.Выбор плиты'!M:M,SMALL(INDIRECT("мм"&amp;VLOOKUP(C243,'Шаг1.Выбор плиты'!C:Q,12,0)),1)))))))</f>
        <v/>
      </c>
      <c r="I243" s="147" t="str">
        <f ca="1">IFERROR(IFERROR(IF(VLOOKUP($A243,'Шаг2.Бланк заказа NEW'!$B$17:$N$201,6,0)="","",VLOOKUP($A243,'Шаг2.Бланк заказа NEW'!$B$17:$N$201,6,0)),
IF(VLOOKUP($A243-COUNT('Шаг2.Бланк заказа NEW'!$B$19:$B$201),'Бланк OLD 0.8 04'!$B$12:$K$200,6,0)="","",VLOOKUP($A243-COUNT('Шаг2.Бланк заказа NEW'!$B$19:$B$201),'Бланк OLD 0.8 04'!$B$12:$K$200,6,0))),
IF(VLOOKUP($A243-COUNT('Шаг2.Бланк заказа NEW'!$B$19:$B$201)-COUNT('Бланк OLD 0.8 04'!$B$18:$B$200),'Бланк OLD 2.0 04 '!$B$16:$K$200,6,0)="","",VLOOKUP($A243-COUNT('Шаг2.Бланк заказа NEW'!$B$19:$B$201)-COUNT('Бланк OLD 0.8 04'!$B$18:$B$200),'Бланк OLD 2.0 04 '!$B$16:$K$200,6,0)))</f>
        <v/>
      </c>
      <c r="J243" s="177" t="str">
        <f ca="1">IF(IF(T243="","",IF(T243=1,SUMIFS('Шаг1.Выбор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плиты'!C:Q,12,0)),1))))))=0,
T243,
IF(T243="","",IF(T243=1,SUMIFS('Шаг1.Выбор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плиты'!N:N,T243,'Шаг1.Выбор плиты'!M:M,SMALL(INDIRECT("мм"&amp;VLOOKUP(C243,'Шаг1.Выбор плиты'!C:Q,12,0)),1)))))))</f>
        <v/>
      </c>
      <c r="K243" s="177" t="str">
        <f ca="1">IF(IF(U243="","",IF(U243=1,SUMIFS('Шаг1.Выбор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плиты'!C:Q,12,0)),1))))))=0,
U243,
IF(U243="","",IF(U243=1,SUMIFS('Шаг1.Выбор плиты'!$G:$G,'Шаг1.Выбор плиты'!J:J,"*"&amp;RIGHT(VLOOKUP(C243,'Шаг1.Выбор плиты'!C:Q,8,0),4),'Шаг1.Выбор плиты'!L:L,IF(MID(C243,1,6)="ЛДСП P","TM"&amp;MID(VLOOKUP(C243,'Шаг1.Выбор плиты'!C:Q,10,0),3,2),MID(VLOOKUP(C243,'Шаг1.Выбор плиты'!C:Q,10,0),1,2)),
'Шаг1.Выбор плиты'!N:N,1),IF(SUMIFS('Шаг1.Выбор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плиты'!C:Q,12,0)),1))=0,
IF(SUMIFS('Шаг1.Выбор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плиты'!C:Q,12,0)),2))=0,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плиты'!C:Q,12,0)),3)),
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плиты'!C:Q,12,0)),2))),
(SUMIFS('Шаг1.Выбор плиты'!$G:$G,'Шаг1.Выбор плиты'!J:J,"*"&amp;RIGHT(VLOOKUP(C243,'Шаг1.Выбор плиты'!C:Q,8,0),4),'Шаг1.Выбор плиты'!L:L,VLOOKUP(C243,'Шаг1.Выбор плиты'!C:Q,10,0),'Шаг1.Выбор плиты'!N:N,U243,'Шаг1.Выбор плиты'!M:M,SMALL(INDIRECT("мм"&amp;VLOOKUP(C243,'Шаг1.Выбор плиты'!C:Q,12,0)),1)))))))</f>
        <v/>
      </c>
      <c r="L243" s="147" t="str">
        <f ca="1">IFERROR(IFERROR(IF(VLOOKUP($A243,'Шаг2.Бланк заказа NEW'!$B$17:$N$201,9,0)="","",VLOOKUP($A243,'Шаг2.Бланк заказа NEW'!$B$17:$N$201,9,0)),
IF(VLOOKUP($A243-COUNT('Шаг2.Бланк заказа NEW'!$B$19:$B$201),'Бланк OLD 0.8 04'!$B$12:$K$200,9,0)="","",VLOOKUP($A243-COUNT('Шаг2.Бланк заказа NEW'!$B$19:$B$201),'Бланк OLD 0.8 04'!$B$12:$K$200,9,0))),
IF(VLOOKUP($A243-COUNT('Шаг2.Бланк заказа NEW'!$B$19:$B$201)-COUNT('Бланк OLD 0.8 04'!$B$18:$B$200),'Бланк OLD 2.0 04 '!$B$16:$K$200,9,0)="","",VLOOKUP($A243-COUNT('Шаг2.Бланк заказа NEW'!$B$19:$B$201)-COUNT('Бланк OLD 0.8 04'!$B$18:$B$200),'Бланк OLD 2.0 04 '!$B$16:$K$200,9,0)))</f>
        <v/>
      </c>
      <c r="M243" s="154" t="str">
        <f t="shared" ca="1" si="20"/>
        <v/>
      </c>
      <c r="N243" s="153" t="str">
        <f ca="1">IFERROR(IF(VLOOKUP($A243,'Шаг2.Бланк заказа NEW'!$B$17:$N$201,11,0)="","",VLOOKUP($A243,'Шаг2.Бланк заказа NEW'!$B$17:$N$201,11,0)),
"Нет")</f>
        <v/>
      </c>
      <c r="O243" s="147" t="str">
        <f ca="1">IFERROR(IF(VLOOKUP($A243,'Шаг2.Бланк заказа NEW'!$B$17:$N$201,11,0)="","",VLOOKUP($A243,'Шаг2.Бланк заказа NEW'!$B$17:$N$201,12,0)),
"Нет")</f>
        <v/>
      </c>
      <c r="P243" s="153" t="str">
        <f ca="1">IFERROR(IF(VLOOKUP($A243,'Шаг2.Бланк заказа NEW'!$B$17:$N$201,13,0)="","",VLOOKUP($A243,'Шаг2.Бланк заказа NEW'!$B$17:$N$201,13,0)),
"Нет")</f>
        <v/>
      </c>
      <c r="Q243" s="147" t="str">
        <f ca="1">IFERROR(IF(VLOOKUP($A243,'Шаг2.Бланк заказа NEW'!$B$17:$O$201,14,0)="","",VLOOKUP($A243,'Шаг2.Бланк заказа NEW'!$B$17:$O$201,14,0)),"")</f>
        <v/>
      </c>
      <c r="R243" s="147" t="str">
        <f ca="1">IFERROR(IFERROR(IF(VLOOKUP($A243,'Шаг2.Бланк заказа NEW'!$B$17:$N$201,4,0)="","",VLOOKUP($A243,'Шаг2.Бланк заказа NEW'!$B$17:$N$201,4,0)),
IF(VLOOKUP($A243-COUNT('Шаг2.Бланк заказа NEW'!$B$19:$B$201),'Бланк OLD 0.8 04'!$B$12:$K$200,4,0)&gt;0,0.8,
IF(VLOOKUP($A243-COUNT('Шаг2.Бланк заказа NEW'!$B$19:$B$201),'Бланк OLD 0.8 04'!$B$12:$K$200,5,0)&gt;0,0.4,""))),
IF(VLOOKUP($A243-COUNT('Шаг2.Бланк заказа NEW'!$B$19:$B$201)-COUNT('Бланк OLD 0.8 04'!$B$18:$B$200),'Бланк OLD 2.0 04 '!$B$16:$K$200,4,0)&gt;0,2,IF(VLOOKUP($A243-COUNT('Шаг2.Бланк заказа NEW'!$B$19:$B$201)-COUNT('Бланк OLD 0.8 04'!$B$18:$B$200),'Бланк OLD 2.0 04 '!$B$16:$K$200,5,0)&gt;0,0.4,"")))</f>
        <v/>
      </c>
      <c r="S243" s="147" t="str">
        <f ca="1">IFERROR(IFERROR(IF(VLOOKUP($A243,'Шаг2.Бланк заказа NEW'!$B$17:$N$201,5,0)="","",VLOOKUP($A243,'Шаг2.Бланк заказа NEW'!$B$17:$N$201,5,0)),
IF(VLOOKUP($A243-COUNT('Шаг2.Бланк заказа NEW'!$B$19:$B$201),'Бланк OLD 0.8 04'!$B$12:$K$200,4,0)&gt;1,0.8,
IF(VLOOKUP($A243-COUNT('Шаг2.Бланк заказа NEW'!$B$19:$B$201),'Бланк OLD 0.8 04'!$B$12:$K$200,5,0)&gt;1,0.4,
IF(AND(VLOOKUP($A243-COUNT('Шаг2.Бланк заказа NEW'!$B$19:$B$201),'Бланк OLD 0.8 04'!$B$12:$K$200,4,0)&gt;0,VLOOKUP($A243-COUNT('Шаг2.Бланк заказа NEW'!$B$19:$B$201),'Бланк OLD 0.8 04'!$B$12:$K$200,5,0)&gt;0),0.4,"")))),
IF(VLOOKUP($A243-COUNT('Шаг2.Бланк заказа NEW'!$B$19:$B$201)-COUNT('Бланк OLD 0.8 04'!$B$18:$B$200),'Бланк OLD 2.0 04 '!$B$16:$K$200,4,0)&gt;1,2,
IF(VLOOKUP($A243-COUNT('Шаг2.Бланк заказа NEW'!$B$19:$B$201)-COUNT('Бланк OLD 0.8 04'!$B$18:$B$200),'Бланк OLD 2.0 04 '!$B$16:$K$200,5,0)&gt;1,0.4,IF(AND(VLOOKUP($A243-COUNT('Шаг2.Бланк заказа NEW'!$B$19:$B$201)-COUNT('Бланк OLD 0.8 04'!$B$18:$B$200),'Бланк OLD 2.0 04 '!$B$16:$K$200,4,0)&gt;0,VLOOKUP($A243-COUNT('Шаг2.Бланк заказа NEW'!$B$19:$B$201)-COUNT('Бланк OLD 0.8 04'!$B$18:$B$200),'Бланк OLD 2.0 04 '!$B$16:$K$200,5,0)&gt;0),0.4,""))))</f>
        <v/>
      </c>
      <c r="T243" s="147" t="str">
        <f ca="1">IFERROR(IFERROR(IF(VLOOKUP($A243,'Шаг2.Бланк заказа NEW'!$B$17:$N$201,7,0)="","",VLOOKUP($A243,'Шаг2.Бланк заказа NEW'!$B$17:$N$201,7,0)),
IF(VLOOKUP($A243-COUNT('Шаг2.Бланк заказа NEW'!$B$19:$B$201),'Бланк OLD 0.8 04'!$B$12:$K$200,7,0)&gt;0,0.8,
IF(VLOOKUP($A243-COUNT('Шаг2.Бланк заказа NEW'!$B$19:$B$201),'Бланк OLD 0.8 04'!$B$12:$K$200,8,0)&gt;0,0.4,""))),
IF(VLOOKUP($A243-COUNT('Шаг2.Бланк заказа NEW'!$B$19:$B$201)-COUNT('Бланк OLD 0.8 04'!$B$18:$B$200),'Бланк OLD 2.0 04 '!$B$16:$K$200,7,0)&gt;0,2,IF(VLOOKUP($A243-COUNT('Шаг2.Бланк заказа NEW'!$B$19:$B$201)-COUNT('Бланк OLD 0.8 04'!$B$18:$B$200),'Бланк OLD 2.0 04 '!$B$16:$K$200,8,0)&gt;0,0.4,"")))</f>
        <v/>
      </c>
      <c r="U243" s="147" t="str">
        <f ca="1">IFERROR(IFERROR(IF(VLOOKUP($A243,'Шаг2.Бланк заказа NEW'!$B$17:$N$201,8,0)="","",VLOOKUP($A243,'Шаг2.Бланк заказа NEW'!$B$17:$N$201,8,0)),
IF(VLOOKUP($A243-COUNT('Шаг2.Бланк заказа NEW'!$B$19:$B$201),'Бланк OLD 0.8 04'!$B$12:$K$200,7,0)&gt;1,0.8,
IF(VLOOKUP($A243-COUNT('Шаг2.Бланк заказа NEW'!$B$19:$B$201),'Бланк OLD 0.8 04'!$B$12:$K$200,8,0)&gt;1,0.4,
IF(AND(VLOOKUP($A243-COUNT('Шаг2.Бланк заказа NEW'!$B$19:$B$201),'Бланк OLD 0.8 04'!$B$12:$K$200,7,0)&gt;0,VLOOKUP($A243-COUNT('Шаг2.Бланк заказа NEW'!$B$19:$B$201),'Бланк OLD 0.8 04'!$B$12:$K$200,8,0)&gt;0),0.4,"")))),
IF(VLOOKUP($A243-COUNT('Шаг2.Бланк заказа NEW'!$B$19:$B$201)-COUNT('Бланк OLD 0.8 04'!$B$18:$B$200),'Бланк OLD 2.0 04 '!$B$16:$K$200,7,0)&gt;1,2,
IF(VLOOKUP($A243-COUNT('Шаг2.Бланк заказа NEW'!$B$19:$B$201)-COUNT('Бланк OLD 0.8 04'!$B$18:$B$200),'Бланк OLD 2.0 04 '!$B$16:$K$200,8,0)&gt;1,0.4,
IF(AND(VLOOKUP($A243-COUNT('Шаг2.Бланк заказа NEW'!$B$19:$B$201)-COUNT('Бланк OLD 0.8 04'!$B$18:$B$200),'Бланк OLD 2.0 04 '!$B$16:$K$200,7,0)&gt;0,VLOOKUP($A243-COUNT('Шаг2.Бланк заказа NEW'!$B$19:$B$201)-COUNT('Бланк OLD 0.8 04'!$B$18:$B$200),'Бланк OLD 2.0 04 '!$B$16:$K$200,8,0)&gt;0),0.4,""))))</f>
        <v/>
      </c>
      <c r="V243" s="146" t="str">
        <f ca="1">IFERROR(VLOOKUP(C243,'Шаг1.Выбор плиты'!C:S,12,0),"")</f>
        <v/>
      </c>
      <c r="W243" s="146" t="str">
        <f ca="1">IFERROR(VLOOKUP(C243,'Шаг1.Выбор плиты'!C:S,8,0),"")</f>
        <v/>
      </c>
      <c r="X243" s="146" t="str">
        <f ca="1">IFERROR(VLOOKUP(C243,'Шаг1.Выбор плиты'!C:S,10,0),"")</f>
        <v/>
      </c>
      <c r="Y243" s="147" t="str">
        <f t="shared" ca="1" si="18"/>
        <v/>
      </c>
      <c r="AD243" s="147" t="str">
        <f t="shared" ca="1" si="21"/>
        <v/>
      </c>
      <c r="AE243" s="147" t="str">
        <f t="shared" ca="1" si="19"/>
        <v/>
      </c>
      <c r="AF243" s="25"/>
      <c r="AH243" s="147" t="str">
        <f ca="1">IF(C243="","",VLOOKUP(C243,'Шаг1.Выбор плиты'!C:Q,7,0))</f>
        <v/>
      </c>
      <c r="AI243" s="147" t="str">
        <f t="shared" ca="1" si="22"/>
        <v/>
      </c>
    </row>
    <row r="244" spans="1:35" x14ac:dyDescent="0.2">
      <c r="A244" s="151" t="str">
        <f ca="1">IF(C244="","",MAX($A$1:OFFSET(C244,-1,0))+1)</f>
        <v/>
      </c>
      <c r="B244" s="151" t="str">
        <f ca="1">IFERROR(IFERROR(IFERROR("Шаг2.Бланк заказа NEW №"&amp;VLOOKUP(A243+1,CHOOSE({1,2},'Шаг2.Бланк заказа NEW'!$B$19:$B$201,'Шаг2.Бланк заказа NEW'!$A$19:$A$201),1,0),
"Бланк OLD 0.8 04 №"&amp;VLOOKUP(A243+1-COUNT('Шаг2.Бланк заказа NEW'!$B$19:$B$201),CHOOSE({1,2},'Бланк OLD 0.8 04'!$B$18:$B$200,'Бланк OLD 0.8 04'!$A$18:$A$200),1,0)),
"Бланк OLD 2.0 04 №"&amp;VLOOKUP(A243+1-COUNT('Шаг2.Бланк заказа NEW'!$B$19:$B$201)-COUNT('Бланк OLD 0.8 04'!$B$18:$B$200),CHOOSE({1,2},'Бланк OLD 2.0 04 '!$B$18:$B$200,'Бланк OLD 2.0 04 '!$A$18:$A$200),1,0)),"")</f>
        <v/>
      </c>
      <c r="C244" s="152" t="str">
        <f ca="1">IFERROR(IFERROR(IFERROR(VLOOKUP(A243+1,CHOOSE({1,2},'Шаг2.Бланк заказа NEW'!$B$19:$B$201,'Шаг2.Бланк заказа NEW'!$A$19:$A$201),2,0),
VLOOKUP(A243+1-COUNT('Шаг2.Бланк заказа NEW'!$B$19:$B$201),CHOOSE({1,2},'Бланк OLD 0.8 04'!$B$18:$B$200,'Бланк OLD 0.8 04'!$A$18:$A$200),2,0)),
VLOOKUP(A243+1-COUNT('Шаг2.Бланк заказа NEW'!$B$19:$B$201)-COUNT('Бланк OLD 0.8 04'!$B$18:$B$200),CHOOSE({1,2},'Бланк OLD 2.0 04 '!$B$18:$B$200,'Бланк OLD 2.0 04 '!$A$18:$A$200),2,0)),"")</f>
        <v/>
      </c>
      <c r="D244" s="150" t="str">
        <f ca="1">IFERROR(VLOOKUP(C244,'Шаг1.Выбор плиты'!C:G,5,0),"")</f>
        <v/>
      </c>
      <c r="E244" s="147" t="str">
        <f ca="1">IFERROR(IFERROR(IF(VLOOKUP($A244,'Шаг2.Бланк заказа NEW'!$B$17:$N$201,2,0)="","",VLOOKUP($A244,'Шаг2.Бланк заказа NEW'!$B$17:$N$201,2,0)),
IF(VLOOKUP($A244-COUNT('Шаг2.Бланк заказа NEW'!$B$19:$B$201),'Бланк OLD 0.8 04'!$B$12:$K$200,2,0)="","",VLOOKUP($A244-COUNT('Шаг2.Бланк заказа NEW'!$B$19:$B$201),'Бланк OLD 0.8 04'!$B$12:$K$200,2,0))),
IF(VLOOKUP($A244-COUNT('Шаг2.Бланк заказа NEW'!$B$19:$B$201)-COUNT('Бланк OLD 0.8 04'!$B$18:$B$200),'Бланк OLD 2.0 04 '!$B$16:$K$200,2,0)="","",VLOOKUP($A244-COUNT('Шаг2.Бланк заказа NEW'!$B$19:$B$201)-COUNT('Бланк OLD 0.8 04'!$B$18:$B$200),'Бланк OLD 2.0 04 '!$B$16:$K$200,2,0)))</f>
        <v/>
      </c>
      <c r="F244" s="147" t="str">
        <f ca="1">IFERROR(IFERROR(IF(VLOOKUP($A244,'Шаг2.Бланк заказа NEW'!$B$17:$N$201,3,0)="","",VLOOKUP($A244,'Шаг2.Бланк заказа NEW'!$B$17:$N$201,3,0)),
IF(VLOOKUP($A244-COUNT('Шаг2.Бланк заказа NEW'!$B$19:$B$201),'Бланк OLD 0.8 04'!$B$12:$K$200,3,0)="","",VLOOKUP($A244-COUNT('Шаг2.Бланк заказа NEW'!$B$19:$B$201),'Бланк OLD 0.8 04'!$B$12:$K$200,3,0))),
IF(VLOOKUP($A244-COUNT('Шаг2.Бланк заказа NEW'!$B$19:$B$201)-COUNT('Бланк OLD 0.8 04'!$B$18:$B$200),'Бланк OLD 2.0 04 '!$B$16:$K$200,3,0)="","",VLOOKUP($A244-COUNT('Шаг2.Бланк заказа NEW'!$B$19:$B$201)-COUNT('Бланк OLD 0.8 04'!$B$18:$B$200),'Бланк OLD 2.0 04 '!$B$16:$K$200,3,0)))</f>
        <v/>
      </c>
      <c r="G244" s="176" t="str">
        <f ca="1">IF(IF(R244="","",IF(R244=1,SUMIFS('Шаг1.Выбор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плиты'!C:Q,12,0)),1))))))=0,
R244,
IF(R244="","",IF(R244=1,SUMIFS('Шаг1.Выбор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плиты'!N:N,R244,'Шаг1.Выбор плиты'!M:M,SMALL(INDIRECT("мм"&amp;VLOOKUP(C244,'Шаг1.Выбор плиты'!C:Q,12,0)),1)))))))</f>
        <v/>
      </c>
      <c r="H244" s="177" t="str">
        <f ca="1">IF(IF(S244="","",IF(S244=1,SUMIFS('Шаг1.Выбор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плиты'!C:Q,12,0)),1))))))=0,
S244,
IF(S244="","",IF(S244=1,SUMIFS('Шаг1.Выбор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плиты'!N:N,S244,'Шаг1.Выбор плиты'!M:M,SMALL(INDIRECT("мм"&amp;VLOOKUP(C244,'Шаг1.Выбор плиты'!C:Q,12,0)),1)))))))</f>
        <v/>
      </c>
      <c r="I244" s="147" t="str">
        <f ca="1">IFERROR(IFERROR(IF(VLOOKUP($A244,'Шаг2.Бланк заказа NEW'!$B$17:$N$201,6,0)="","",VLOOKUP($A244,'Шаг2.Бланк заказа NEW'!$B$17:$N$201,6,0)),
IF(VLOOKUP($A244-COUNT('Шаг2.Бланк заказа NEW'!$B$19:$B$201),'Бланк OLD 0.8 04'!$B$12:$K$200,6,0)="","",VLOOKUP($A244-COUNT('Шаг2.Бланк заказа NEW'!$B$19:$B$201),'Бланк OLD 0.8 04'!$B$12:$K$200,6,0))),
IF(VLOOKUP($A244-COUNT('Шаг2.Бланк заказа NEW'!$B$19:$B$201)-COUNT('Бланк OLD 0.8 04'!$B$18:$B$200),'Бланк OLD 2.0 04 '!$B$16:$K$200,6,0)="","",VLOOKUP($A244-COUNT('Шаг2.Бланк заказа NEW'!$B$19:$B$201)-COUNT('Бланк OLD 0.8 04'!$B$18:$B$200),'Бланк OLD 2.0 04 '!$B$16:$K$200,6,0)))</f>
        <v/>
      </c>
      <c r="J244" s="177" t="str">
        <f ca="1">IF(IF(T244="","",IF(T244=1,SUMIFS('Шаг1.Выбор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плиты'!C:Q,12,0)),1))))))=0,
T244,
IF(T244="","",IF(T244=1,SUMIFS('Шаг1.Выбор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плиты'!N:N,T244,'Шаг1.Выбор плиты'!M:M,SMALL(INDIRECT("мм"&amp;VLOOKUP(C244,'Шаг1.Выбор плиты'!C:Q,12,0)),1)))))))</f>
        <v/>
      </c>
      <c r="K244" s="177" t="str">
        <f ca="1">IF(IF(U244="","",IF(U244=1,SUMIFS('Шаг1.Выбор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плиты'!C:Q,12,0)),1))))))=0,
U244,
IF(U244="","",IF(U244=1,SUMIFS('Шаг1.Выбор плиты'!$G:$G,'Шаг1.Выбор плиты'!J:J,"*"&amp;RIGHT(VLOOKUP(C244,'Шаг1.Выбор плиты'!C:Q,8,0),4),'Шаг1.Выбор плиты'!L:L,IF(MID(C244,1,6)="ЛДСП P","TM"&amp;MID(VLOOKUP(C244,'Шаг1.Выбор плиты'!C:Q,10,0),3,2),MID(VLOOKUP(C244,'Шаг1.Выбор плиты'!C:Q,10,0),1,2)),
'Шаг1.Выбор плиты'!N:N,1),IF(SUMIFS('Шаг1.Выбор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плиты'!C:Q,12,0)),1))=0,
IF(SUMIFS('Шаг1.Выбор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плиты'!C:Q,12,0)),2))=0,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плиты'!C:Q,12,0)),3)),
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плиты'!C:Q,12,0)),2))),
(SUMIFS('Шаг1.Выбор плиты'!$G:$G,'Шаг1.Выбор плиты'!J:J,"*"&amp;RIGHT(VLOOKUP(C244,'Шаг1.Выбор плиты'!C:Q,8,0),4),'Шаг1.Выбор плиты'!L:L,VLOOKUP(C244,'Шаг1.Выбор плиты'!C:Q,10,0),'Шаг1.Выбор плиты'!N:N,U244,'Шаг1.Выбор плиты'!M:M,SMALL(INDIRECT("мм"&amp;VLOOKUP(C244,'Шаг1.Выбор плиты'!C:Q,12,0)),1)))))))</f>
        <v/>
      </c>
      <c r="L244" s="147" t="str">
        <f ca="1">IFERROR(IFERROR(IF(VLOOKUP($A244,'Шаг2.Бланк заказа NEW'!$B$17:$N$201,9,0)="","",VLOOKUP($A244,'Шаг2.Бланк заказа NEW'!$B$17:$N$201,9,0)),
IF(VLOOKUP($A244-COUNT('Шаг2.Бланк заказа NEW'!$B$19:$B$201),'Бланк OLD 0.8 04'!$B$12:$K$200,9,0)="","",VLOOKUP($A244-COUNT('Шаг2.Бланк заказа NEW'!$B$19:$B$201),'Бланк OLD 0.8 04'!$B$12:$K$200,9,0))),
IF(VLOOKUP($A244-COUNT('Шаг2.Бланк заказа NEW'!$B$19:$B$201)-COUNT('Бланк OLD 0.8 04'!$B$18:$B$200),'Бланк OLD 2.0 04 '!$B$16:$K$200,9,0)="","",VLOOKUP($A244-COUNT('Шаг2.Бланк заказа NEW'!$B$19:$B$201)-COUNT('Бланк OLD 0.8 04'!$B$18:$B$200),'Бланк OLD 2.0 04 '!$B$16:$K$200,9,0)))</f>
        <v/>
      </c>
      <c r="M244" s="154" t="str">
        <f t="shared" ca="1" si="20"/>
        <v/>
      </c>
      <c r="N244" s="153" t="str">
        <f ca="1">IFERROR(IF(VLOOKUP($A244,'Шаг2.Бланк заказа NEW'!$B$17:$N$201,11,0)="","",VLOOKUP($A244,'Шаг2.Бланк заказа NEW'!$B$17:$N$201,11,0)),
"Нет")</f>
        <v/>
      </c>
      <c r="O244" s="147" t="str">
        <f ca="1">IFERROR(IF(VLOOKUP($A244,'Шаг2.Бланк заказа NEW'!$B$17:$N$201,11,0)="","",VLOOKUP($A244,'Шаг2.Бланк заказа NEW'!$B$17:$N$201,12,0)),
"Нет")</f>
        <v/>
      </c>
      <c r="P244" s="153" t="str">
        <f ca="1">IFERROR(IF(VLOOKUP($A244,'Шаг2.Бланк заказа NEW'!$B$17:$N$201,13,0)="","",VLOOKUP($A244,'Шаг2.Бланк заказа NEW'!$B$17:$N$201,13,0)),
"Нет")</f>
        <v/>
      </c>
      <c r="Q244" s="147" t="str">
        <f ca="1">IFERROR(IF(VLOOKUP($A244,'Шаг2.Бланк заказа NEW'!$B$17:$O$201,14,0)="","",VLOOKUP($A244,'Шаг2.Бланк заказа NEW'!$B$17:$O$201,14,0)),"")</f>
        <v/>
      </c>
      <c r="R244" s="147" t="str">
        <f ca="1">IFERROR(IFERROR(IF(VLOOKUP($A244,'Шаг2.Бланк заказа NEW'!$B$17:$N$201,4,0)="","",VLOOKUP($A244,'Шаг2.Бланк заказа NEW'!$B$17:$N$201,4,0)),
IF(VLOOKUP($A244-COUNT('Шаг2.Бланк заказа NEW'!$B$19:$B$201),'Бланк OLD 0.8 04'!$B$12:$K$200,4,0)&gt;0,0.8,
IF(VLOOKUP($A244-COUNT('Шаг2.Бланк заказа NEW'!$B$19:$B$201),'Бланк OLD 0.8 04'!$B$12:$K$200,5,0)&gt;0,0.4,""))),
IF(VLOOKUP($A244-COUNT('Шаг2.Бланк заказа NEW'!$B$19:$B$201)-COUNT('Бланк OLD 0.8 04'!$B$18:$B$200),'Бланк OLD 2.0 04 '!$B$16:$K$200,4,0)&gt;0,2,IF(VLOOKUP($A244-COUNT('Шаг2.Бланк заказа NEW'!$B$19:$B$201)-COUNT('Бланк OLD 0.8 04'!$B$18:$B$200),'Бланк OLD 2.0 04 '!$B$16:$K$200,5,0)&gt;0,0.4,"")))</f>
        <v/>
      </c>
      <c r="S244" s="147" t="str">
        <f ca="1">IFERROR(IFERROR(IF(VLOOKUP($A244,'Шаг2.Бланк заказа NEW'!$B$17:$N$201,5,0)="","",VLOOKUP($A244,'Шаг2.Бланк заказа NEW'!$B$17:$N$201,5,0)),
IF(VLOOKUP($A244-COUNT('Шаг2.Бланк заказа NEW'!$B$19:$B$201),'Бланк OLD 0.8 04'!$B$12:$K$200,4,0)&gt;1,0.8,
IF(VLOOKUP($A244-COUNT('Шаг2.Бланк заказа NEW'!$B$19:$B$201),'Бланк OLD 0.8 04'!$B$12:$K$200,5,0)&gt;1,0.4,
IF(AND(VLOOKUP($A244-COUNT('Шаг2.Бланк заказа NEW'!$B$19:$B$201),'Бланк OLD 0.8 04'!$B$12:$K$200,4,0)&gt;0,VLOOKUP($A244-COUNT('Шаг2.Бланк заказа NEW'!$B$19:$B$201),'Бланк OLD 0.8 04'!$B$12:$K$200,5,0)&gt;0),0.4,"")))),
IF(VLOOKUP($A244-COUNT('Шаг2.Бланк заказа NEW'!$B$19:$B$201)-COUNT('Бланк OLD 0.8 04'!$B$18:$B$200),'Бланк OLD 2.0 04 '!$B$16:$K$200,4,0)&gt;1,2,
IF(VLOOKUP($A244-COUNT('Шаг2.Бланк заказа NEW'!$B$19:$B$201)-COUNT('Бланк OLD 0.8 04'!$B$18:$B$200),'Бланк OLD 2.0 04 '!$B$16:$K$200,5,0)&gt;1,0.4,IF(AND(VLOOKUP($A244-COUNT('Шаг2.Бланк заказа NEW'!$B$19:$B$201)-COUNT('Бланк OLD 0.8 04'!$B$18:$B$200),'Бланк OLD 2.0 04 '!$B$16:$K$200,4,0)&gt;0,VLOOKUP($A244-COUNT('Шаг2.Бланк заказа NEW'!$B$19:$B$201)-COUNT('Бланк OLD 0.8 04'!$B$18:$B$200),'Бланк OLD 2.0 04 '!$B$16:$K$200,5,0)&gt;0),0.4,""))))</f>
        <v/>
      </c>
      <c r="T244" s="147" t="str">
        <f ca="1">IFERROR(IFERROR(IF(VLOOKUP($A244,'Шаг2.Бланк заказа NEW'!$B$17:$N$201,7,0)="","",VLOOKUP($A244,'Шаг2.Бланк заказа NEW'!$B$17:$N$201,7,0)),
IF(VLOOKUP($A244-COUNT('Шаг2.Бланк заказа NEW'!$B$19:$B$201),'Бланк OLD 0.8 04'!$B$12:$K$200,7,0)&gt;0,0.8,
IF(VLOOKUP($A244-COUNT('Шаг2.Бланк заказа NEW'!$B$19:$B$201),'Бланк OLD 0.8 04'!$B$12:$K$200,8,0)&gt;0,0.4,""))),
IF(VLOOKUP($A244-COUNT('Шаг2.Бланк заказа NEW'!$B$19:$B$201)-COUNT('Бланк OLD 0.8 04'!$B$18:$B$200),'Бланк OLD 2.0 04 '!$B$16:$K$200,7,0)&gt;0,2,IF(VLOOKUP($A244-COUNT('Шаг2.Бланк заказа NEW'!$B$19:$B$201)-COUNT('Бланк OLD 0.8 04'!$B$18:$B$200),'Бланк OLD 2.0 04 '!$B$16:$K$200,8,0)&gt;0,0.4,"")))</f>
        <v/>
      </c>
      <c r="U244" s="147" t="str">
        <f ca="1">IFERROR(IFERROR(IF(VLOOKUP($A244,'Шаг2.Бланк заказа NEW'!$B$17:$N$201,8,0)="","",VLOOKUP($A244,'Шаг2.Бланк заказа NEW'!$B$17:$N$201,8,0)),
IF(VLOOKUP($A244-COUNT('Шаг2.Бланк заказа NEW'!$B$19:$B$201),'Бланк OLD 0.8 04'!$B$12:$K$200,7,0)&gt;1,0.8,
IF(VLOOKUP($A244-COUNT('Шаг2.Бланк заказа NEW'!$B$19:$B$201),'Бланк OLD 0.8 04'!$B$12:$K$200,8,0)&gt;1,0.4,
IF(AND(VLOOKUP($A244-COUNT('Шаг2.Бланк заказа NEW'!$B$19:$B$201),'Бланк OLD 0.8 04'!$B$12:$K$200,7,0)&gt;0,VLOOKUP($A244-COUNT('Шаг2.Бланк заказа NEW'!$B$19:$B$201),'Бланк OLD 0.8 04'!$B$12:$K$200,8,0)&gt;0),0.4,"")))),
IF(VLOOKUP($A244-COUNT('Шаг2.Бланк заказа NEW'!$B$19:$B$201)-COUNT('Бланк OLD 0.8 04'!$B$18:$B$200),'Бланк OLD 2.0 04 '!$B$16:$K$200,7,0)&gt;1,2,
IF(VLOOKUP($A244-COUNT('Шаг2.Бланк заказа NEW'!$B$19:$B$201)-COUNT('Бланк OLD 0.8 04'!$B$18:$B$200),'Бланк OLD 2.0 04 '!$B$16:$K$200,8,0)&gt;1,0.4,
IF(AND(VLOOKUP($A244-COUNT('Шаг2.Бланк заказа NEW'!$B$19:$B$201)-COUNT('Бланк OLD 0.8 04'!$B$18:$B$200),'Бланк OLD 2.0 04 '!$B$16:$K$200,7,0)&gt;0,VLOOKUP($A244-COUNT('Шаг2.Бланк заказа NEW'!$B$19:$B$201)-COUNT('Бланк OLD 0.8 04'!$B$18:$B$200),'Бланк OLD 2.0 04 '!$B$16:$K$200,8,0)&gt;0),0.4,""))))</f>
        <v/>
      </c>
      <c r="V244" s="146" t="str">
        <f ca="1">IFERROR(VLOOKUP(C244,'Шаг1.Выбор плиты'!C:S,12,0),"")</f>
        <v/>
      </c>
      <c r="W244" s="146" t="str">
        <f ca="1">IFERROR(VLOOKUP(C244,'Шаг1.Выбор плиты'!C:S,8,0),"")</f>
        <v/>
      </c>
      <c r="X244" s="146" t="str">
        <f ca="1">IFERROR(VLOOKUP(C244,'Шаг1.Выбор плиты'!C:S,10,0),"")</f>
        <v/>
      </c>
      <c r="Y244" s="147" t="str">
        <f t="shared" ca="1" si="18"/>
        <v/>
      </c>
      <c r="AD244" s="147" t="str">
        <f t="shared" ca="1" si="21"/>
        <v/>
      </c>
      <c r="AE244" s="147" t="str">
        <f t="shared" ca="1" si="19"/>
        <v/>
      </c>
      <c r="AF244" s="25"/>
      <c r="AH244" s="147" t="str">
        <f ca="1">IF(C244="","",VLOOKUP(C244,'Шаг1.Выбор плиты'!C:Q,7,0))</f>
        <v/>
      </c>
      <c r="AI244" s="147" t="str">
        <f t="shared" ca="1" si="22"/>
        <v/>
      </c>
    </row>
    <row r="245" spans="1:35" x14ac:dyDescent="0.2">
      <c r="A245" s="151" t="str">
        <f ca="1">IF(C245="","",MAX($A$1:OFFSET(C245,-1,0))+1)</f>
        <v/>
      </c>
      <c r="B245" s="151" t="str">
        <f ca="1">IFERROR(IFERROR(IFERROR("Шаг2.Бланк заказа NEW №"&amp;VLOOKUP(A244+1,CHOOSE({1,2},'Шаг2.Бланк заказа NEW'!$B$19:$B$201,'Шаг2.Бланк заказа NEW'!$A$19:$A$201),1,0),
"Бланк OLD 0.8 04 №"&amp;VLOOKUP(A244+1-COUNT('Шаг2.Бланк заказа NEW'!$B$19:$B$201),CHOOSE({1,2},'Бланк OLD 0.8 04'!$B$18:$B$200,'Бланк OLD 0.8 04'!$A$18:$A$200),1,0)),
"Бланк OLD 2.0 04 №"&amp;VLOOKUP(A244+1-COUNT('Шаг2.Бланк заказа NEW'!$B$19:$B$201)-COUNT('Бланк OLD 0.8 04'!$B$18:$B$200),CHOOSE({1,2},'Бланк OLD 2.0 04 '!$B$18:$B$200,'Бланк OLD 2.0 04 '!$A$18:$A$200),1,0)),"")</f>
        <v/>
      </c>
      <c r="C245" s="152" t="str">
        <f ca="1">IFERROR(IFERROR(IFERROR(VLOOKUP(A244+1,CHOOSE({1,2},'Шаг2.Бланк заказа NEW'!$B$19:$B$201,'Шаг2.Бланк заказа NEW'!$A$19:$A$201),2,0),
VLOOKUP(A244+1-COUNT('Шаг2.Бланк заказа NEW'!$B$19:$B$201),CHOOSE({1,2},'Бланк OLD 0.8 04'!$B$18:$B$200,'Бланк OLD 0.8 04'!$A$18:$A$200),2,0)),
VLOOKUP(A244+1-COUNT('Шаг2.Бланк заказа NEW'!$B$19:$B$201)-COUNT('Бланк OLD 0.8 04'!$B$18:$B$200),CHOOSE({1,2},'Бланк OLD 2.0 04 '!$B$18:$B$200,'Бланк OLD 2.0 04 '!$A$18:$A$200),2,0)),"")</f>
        <v/>
      </c>
      <c r="D245" s="150" t="str">
        <f ca="1">IFERROR(VLOOKUP(C245,'Шаг1.Выбор плиты'!C:G,5,0),"")</f>
        <v/>
      </c>
      <c r="E245" s="147" t="str">
        <f ca="1">IFERROR(IFERROR(IF(VLOOKUP($A245,'Шаг2.Бланк заказа NEW'!$B$17:$N$201,2,0)="","",VLOOKUP($A245,'Шаг2.Бланк заказа NEW'!$B$17:$N$201,2,0)),
IF(VLOOKUP($A245-COUNT('Шаг2.Бланк заказа NEW'!$B$19:$B$201),'Бланк OLD 0.8 04'!$B$12:$K$200,2,0)="","",VLOOKUP($A245-COUNT('Шаг2.Бланк заказа NEW'!$B$19:$B$201),'Бланк OLD 0.8 04'!$B$12:$K$200,2,0))),
IF(VLOOKUP($A245-COUNT('Шаг2.Бланк заказа NEW'!$B$19:$B$201)-COUNT('Бланк OLD 0.8 04'!$B$18:$B$200),'Бланк OLD 2.0 04 '!$B$16:$K$200,2,0)="","",VLOOKUP($A245-COUNT('Шаг2.Бланк заказа NEW'!$B$19:$B$201)-COUNT('Бланк OLD 0.8 04'!$B$18:$B$200),'Бланк OLD 2.0 04 '!$B$16:$K$200,2,0)))</f>
        <v/>
      </c>
      <c r="F245" s="147" t="str">
        <f ca="1">IFERROR(IFERROR(IF(VLOOKUP($A245,'Шаг2.Бланк заказа NEW'!$B$17:$N$201,3,0)="","",VLOOKUP($A245,'Шаг2.Бланк заказа NEW'!$B$17:$N$201,3,0)),
IF(VLOOKUP($A245-COUNT('Шаг2.Бланк заказа NEW'!$B$19:$B$201),'Бланк OLD 0.8 04'!$B$12:$K$200,3,0)="","",VLOOKUP($A245-COUNT('Шаг2.Бланк заказа NEW'!$B$19:$B$201),'Бланк OLD 0.8 04'!$B$12:$K$200,3,0))),
IF(VLOOKUP($A245-COUNT('Шаг2.Бланк заказа NEW'!$B$19:$B$201)-COUNT('Бланк OLD 0.8 04'!$B$18:$B$200),'Бланк OLD 2.0 04 '!$B$16:$K$200,3,0)="","",VLOOKUP($A245-COUNT('Шаг2.Бланк заказа NEW'!$B$19:$B$201)-COUNT('Бланк OLD 0.8 04'!$B$18:$B$200),'Бланк OLD 2.0 04 '!$B$16:$K$200,3,0)))</f>
        <v/>
      </c>
      <c r="G245" s="176" t="str">
        <f ca="1">IF(IF(R245="","",IF(R245=1,SUMIFS('Шаг1.Выбор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плиты'!C:Q,12,0)),1))))))=0,
R245,
IF(R245="","",IF(R245=1,SUMIFS('Шаг1.Выбор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плиты'!N:N,R245,'Шаг1.Выбор плиты'!M:M,SMALL(INDIRECT("мм"&amp;VLOOKUP(C245,'Шаг1.Выбор плиты'!C:Q,12,0)),1)))))))</f>
        <v/>
      </c>
      <c r="H245" s="177" t="str">
        <f ca="1">IF(IF(S245="","",IF(S245=1,SUMIFS('Шаг1.Выбор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плиты'!C:Q,12,0)),1))))))=0,
S245,
IF(S245="","",IF(S245=1,SUMIFS('Шаг1.Выбор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плиты'!N:N,S245,'Шаг1.Выбор плиты'!M:M,SMALL(INDIRECT("мм"&amp;VLOOKUP(C245,'Шаг1.Выбор плиты'!C:Q,12,0)),1)))))))</f>
        <v/>
      </c>
      <c r="I245" s="147" t="str">
        <f ca="1">IFERROR(IFERROR(IF(VLOOKUP($A245,'Шаг2.Бланк заказа NEW'!$B$17:$N$201,6,0)="","",VLOOKUP($A245,'Шаг2.Бланк заказа NEW'!$B$17:$N$201,6,0)),
IF(VLOOKUP($A245-COUNT('Шаг2.Бланк заказа NEW'!$B$19:$B$201),'Бланк OLD 0.8 04'!$B$12:$K$200,6,0)="","",VLOOKUP($A245-COUNT('Шаг2.Бланк заказа NEW'!$B$19:$B$201),'Бланк OLD 0.8 04'!$B$12:$K$200,6,0))),
IF(VLOOKUP($A245-COUNT('Шаг2.Бланк заказа NEW'!$B$19:$B$201)-COUNT('Бланк OLD 0.8 04'!$B$18:$B$200),'Бланк OLD 2.0 04 '!$B$16:$K$200,6,0)="","",VLOOKUP($A245-COUNT('Шаг2.Бланк заказа NEW'!$B$19:$B$201)-COUNT('Бланк OLD 0.8 04'!$B$18:$B$200),'Бланк OLD 2.0 04 '!$B$16:$K$200,6,0)))</f>
        <v/>
      </c>
      <c r="J245" s="177" t="str">
        <f ca="1">IF(IF(T245="","",IF(T245=1,SUMIFS('Шаг1.Выбор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плиты'!C:Q,12,0)),1))))))=0,
T245,
IF(T245="","",IF(T245=1,SUMIFS('Шаг1.Выбор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плиты'!N:N,T245,'Шаг1.Выбор плиты'!M:M,SMALL(INDIRECT("мм"&amp;VLOOKUP(C245,'Шаг1.Выбор плиты'!C:Q,12,0)),1)))))))</f>
        <v/>
      </c>
      <c r="K245" s="177" t="str">
        <f ca="1">IF(IF(U245="","",IF(U245=1,SUMIFS('Шаг1.Выбор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плиты'!C:Q,12,0)),1))))))=0,
U245,
IF(U245="","",IF(U245=1,SUMIFS('Шаг1.Выбор плиты'!$G:$G,'Шаг1.Выбор плиты'!J:J,"*"&amp;RIGHT(VLOOKUP(C245,'Шаг1.Выбор плиты'!C:Q,8,0),4),'Шаг1.Выбор плиты'!L:L,IF(MID(C245,1,6)="ЛДСП P","TM"&amp;MID(VLOOKUP(C245,'Шаг1.Выбор плиты'!C:Q,10,0),3,2),MID(VLOOKUP(C245,'Шаг1.Выбор плиты'!C:Q,10,0),1,2)),
'Шаг1.Выбор плиты'!N:N,1),IF(SUMIFS('Шаг1.Выбор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плиты'!C:Q,12,0)),1))=0,
IF(SUMIFS('Шаг1.Выбор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плиты'!C:Q,12,0)),2))=0,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плиты'!C:Q,12,0)),3)),
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плиты'!C:Q,12,0)),2))),
(SUMIFS('Шаг1.Выбор плиты'!$G:$G,'Шаг1.Выбор плиты'!J:J,"*"&amp;RIGHT(VLOOKUP(C245,'Шаг1.Выбор плиты'!C:Q,8,0),4),'Шаг1.Выбор плиты'!L:L,VLOOKUP(C245,'Шаг1.Выбор плиты'!C:Q,10,0),'Шаг1.Выбор плиты'!N:N,U245,'Шаг1.Выбор плиты'!M:M,SMALL(INDIRECT("мм"&amp;VLOOKUP(C245,'Шаг1.Выбор плиты'!C:Q,12,0)),1)))))))</f>
        <v/>
      </c>
      <c r="L245" s="147" t="str">
        <f ca="1">IFERROR(IFERROR(IF(VLOOKUP($A245,'Шаг2.Бланк заказа NEW'!$B$17:$N$201,9,0)="","",VLOOKUP($A245,'Шаг2.Бланк заказа NEW'!$B$17:$N$201,9,0)),
IF(VLOOKUP($A245-COUNT('Шаг2.Бланк заказа NEW'!$B$19:$B$201),'Бланк OLD 0.8 04'!$B$12:$K$200,9,0)="","",VLOOKUP($A245-COUNT('Шаг2.Бланк заказа NEW'!$B$19:$B$201),'Бланк OLD 0.8 04'!$B$12:$K$200,9,0))),
IF(VLOOKUP($A245-COUNT('Шаг2.Бланк заказа NEW'!$B$19:$B$201)-COUNT('Бланк OLD 0.8 04'!$B$18:$B$200),'Бланк OLD 2.0 04 '!$B$16:$K$200,9,0)="","",VLOOKUP($A245-COUNT('Шаг2.Бланк заказа NEW'!$B$19:$B$201)-COUNT('Бланк OLD 0.8 04'!$B$18:$B$200),'Бланк OLD 2.0 04 '!$B$16:$K$200,9,0)))</f>
        <v/>
      </c>
      <c r="M245" s="154" t="str">
        <f t="shared" ca="1" si="20"/>
        <v/>
      </c>
      <c r="N245" s="153" t="str">
        <f ca="1">IFERROR(IF(VLOOKUP($A245,'Шаг2.Бланк заказа NEW'!$B$17:$N$201,11,0)="","",VLOOKUP($A245,'Шаг2.Бланк заказа NEW'!$B$17:$N$201,11,0)),
"Нет")</f>
        <v/>
      </c>
      <c r="O245" s="147" t="str">
        <f ca="1">IFERROR(IF(VLOOKUP($A245,'Шаг2.Бланк заказа NEW'!$B$17:$N$201,11,0)="","",VLOOKUP($A245,'Шаг2.Бланк заказа NEW'!$B$17:$N$201,12,0)),
"Нет")</f>
        <v/>
      </c>
      <c r="P245" s="153" t="str">
        <f ca="1">IFERROR(IF(VLOOKUP($A245,'Шаг2.Бланк заказа NEW'!$B$17:$N$201,13,0)="","",VLOOKUP($A245,'Шаг2.Бланк заказа NEW'!$B$17:$N$201,13,0)),
"Нет")</f>
        <v/>
      </c>
      <c r="Q245" s="147" t="str">
        <f ca="1">IFERROR(IF(VLOOKUP($A245,'Шаг2.Бланк заказа NEW'!$B$17:$O$201,14,0)="","",VLOOKUP($A245,'Шаг2.Бланк заказа NEW'!$B$17:$O$201,14,0)),"")</f>
        <v/>
      </c>
      <c r="R245" s="147" t="str">
        <f ca="1">IFERROR(IFERROR(IF(VLOOKUP($A245,'Шаг2.Бланк заказа NEW'!$B$17:$N$201,4,0)="","",VLOOKUP($A245,'Шаг2.Бланк заказа NEW'!$B$17:$N$201,4,0)),
IF(VLOOKUP($A245-COUNT('Шаг2.Бланк заказа NEW'!$B$19:$B$201),'Бланк OLD 0.8 04'!$B$12:$K$200,4,0)&gt;0,0.8,
IF(VLOOKUP($A245-COUNT('Шаг2.Бланк заказа NEW'!$B$19:$B$201),'Бланк OLD 0.8 04'!$B$12:$K$200,5,0)&gt;0,0.4,""))),
IF(VLOOKUP($A245-COUNT('Шаг2.Бланк заказа NEW'!$B$19:$B$201)-COUNT('Бланк OLD 0.8 04'!$B$18:$B$200),'Бланк OLD 2.0 04 '!$B$16:$K$200,4,0)&gt;0,2,IF(VLOOKUP($A245-COUNT('Шаг2.Бланк заказа NEW'!$B$19:$B$201)-COUNT('Бланк OLD 0.8 04'!$B$18:$B$200),'Бланк OLD 2.0 04 '!$B$16:$K$200,5,0)&gt;0,0.4,"")))</f>
        <v/>
      </c>
      <c r="S245" s="147" t="str">
        <f ca="1">IFERROR(IFERROR(IF(VLOOKUP($A245,'Шаг2.Бланк заказа NEW'!$B$17:$N$201,5,0)="","",VLOOKUP($A245,'Шаг2.Бланк заказа NEW'!$B$17:$N$201,5,0)),
IF(VLOOKUP($A245-COUNT('Шаг2.Бланк заказа NEW'!$B$19:$B$201),'Бланк OLD 0.8 04'!$B$12:$K$200,4,0)&gt;1,0.8,
IF(VLOOKUP($A245-COUNT('Шаг2.Бланк заказа NEW'!$B$19:$B$201),'Бланк OLD 0.8 04'!$B$12:$K$200,5,0)&gt;1,0.4,
IF(AND(VLOOKUP($A245-COUNT('Шаг2.Бланк заказа NEW'!$B$19:$B$201),'Бланк OLD 0.8 04'!$B$12:$K$200,4,0)&gt;0,VLOOKUP($A245-COUNT('Шаг2.Бланк заказа NEW'!$B$19:$B$201),'Бланк OLD 0.8 04'!$B$12:$K$200,5,0)&gt;0),0.4,"")))),
IF(VLOOKUP($A245-COUNT('Шаг2.Бланк заказа NEW'!$B$19:$B$201)-COUNT('Бланк OLD 0.8 04'!$B$18:$B$200),'Бланк OLD 2.0 04 '!$B$16:$K$200,4,0)&gt;1,2,
IF(VLOOKUP($A245-COUNT('Шаг2.Бланк заказа NEW'!$B$19:$B$201)-COUNT('Бланк OLD 0.8 04'!$B$18:$B$200),'Бланк OLD 2.0 04 '!$B$16:$K$200,5,0)&gt;1,0.4,IF(AND(VLOOKUP($A245-COUNT('Шаг2.Бланк заказа NEW'!$B$19:$B$201)-COUNT('Бланк OLD 0.8 04'!$B$18:$B$200),'Бланк OLD 2.0 04 '!$B$16:$K$200,4,0)&gt;0,VLOOKUP($A245-COUNT('Шаг2.Бланк заказа NEW'!$B$19:$B$201)-COUNT('Бланк OLD 0.8 04'!$B$18:$B$200),'Бланк OLD 2.0 04 '!$B$16:$K$200,5,0)&gt;0),0.4,""))))</f>
        <v/>
      </c>
      <c r="T245" s="147" t="str">
        <f ca="1">IFERROR(IFERROR(IF(VLOOKUP($A245,'Шаг2.Бланк заказа NEW'!$B$17:$N$201,7,0)="","",VLOOKUP($A245,'Шаг2.Бланк заказа NEW'!$B$17:$N$201,7,0)),
IF(VLOOKUP($A245-COUNT('Шаг2.Бланк заказа NEW'!$B$19:$B$201),'Бланк OLD 0.8 04'!$B$12:$K$200,7,0)&gt;0,0.8,
IF(VLOOKUP($A245-COUNT('Шаг2.Бланк заказа NEW'!$B$19:$B$201),'Бланк OLD 0.8 04'!$B$12:$K$200,8,0)&gt;0,0.4,""))),
IF(VLOOKUP($A245-COUNT('Шаг2.Бланк заказа NEW'!$B$19:$B$201)-COUNT('Бланк OLD 0.8 04'!$B$18:$B$200),'Бланк OLD 2.0 04 '!$B$16:$K$200,7,0)&gt;0,2,IF(VLOOKUP($A245-COUNT('Шаг2.Бланк заказа NEW'!$B$19:$B$201)-COUNT('Бланк OLD 0.8 04'!$B$18:$B$200),'Бланк OLD 2.0 04 '!$B$16:$K$200,8,0)&gt;0,0.4,"")))</f>
        <v/>
      </c>
      <c r="U245" s="147" t="str">
        <f ca="1">IFERROR(IFERROR(IF(VLOOKUP($A245,'Шаг2.Бланк заказа NEW'!$B$17:$N$201,8,0)="","",VLOOKUP($A245,'Шаг2.Бланк заказа NEW'!$B$17:$N$201,8,0)),
IF(VLOOKUP($A245-COUNT('Шаг2.Бланк заказа NEW'!$B$19:$B$201),'Бланк OLD 0.8 04'!$B$12:$K$200,7,0)&gt;1,0.8,
IF(VLOOKUP($A245-COUNT('Шаг2.Бланк заказа NEW'!$B$19:$B$201),'Бланк OLD 0.8 04'!$B$12:$K$200,8,0)&gt;1,0.4,
IF(AND(VLOOKUP($A245-COUNT('Шаг2.Бланк заказа NEW'!$B$19:$B$201),'Бланк OLD 0.8 04'!$B$12:$K$200,7,0)&gt;0,VLOOKUP($A245-COUNT('Шаг2.Бланк заказа NEW'!$B$19:$B$201),'Бланк OLD 0.8 04'!$B$12:$K$200,8,0)&gt;0),0.4,"")))),
IF(VLOOKUP($A245-COUNT('Шаг2.Бланк заказа NEW'!$B$19:$B$201)-COUNT('Бланк OLD 0.8 04'!$B$18:$B$200),'Бланк OLD 2.0 04 '!$B$16:$K$200,7,0)&gt;1,2,
IF(VLOOKUP($A245-COUNT('Шаг2.Бланк заказа NEW'!$B$19:$B$201)-COUNT('Бланк OLD 0.8 04'!$B$18:$B$200),'Бланк OLD 2.0 04 '!$B$16:$K$200,8,0)&gt;1,0.4,
IF(AND(VLOOKUP($A245-COUNT('Шаг2.Бланк заказа NEW'!$B$19:$B$201)-COUNT('Бланк OLD 0.8 04'!$B$18:$B$200),'Бланк OLD 2.0 04 '!$B$16:$K$200,7,0)&gt;0,VLOOKUP($A245-COUNT('Шаг2.Бланк заказа NEW'!$B$19:$B$201)-COUNT('Бланк OLD 0.8 04'!$B$18:$B$200),'Бланк OLD 2.0 04 '!$B$16:$K$200,8,0)&gt;0),0.4,""))))</f>
        <v/>
      </c>
      <c r="V245" s="146" t="str">
        <f ca="1">IFERROR(VLOOKUP(C245,'Шаг1.Выбор плиты'!C:S,12,0),"")</f>
        <v/>
      </c>
      <c r="W245" s="146" t="str">
        <f ca="1">IFERROR(VLOOKUP(C245,'Шаг1.Выбор плиты'!C:S,8,0),"")</f>
        <v/>
      </c>
      <c r="X245" s="146" t="str">
        <f ca="1">IFERROR(VLOOKUP(C245,'Шаг1.Выбор плиты'!C:S,10,0),"")</f>
        <v/>
      </c>
      <c r="Y245" s="147" t="str">
        <f t="shared" ca="1" si="18"/>
        <v/>
      </c>
      <c r="AD245" s="147" t="str">
        <f t="shared" ca="1" si="21"/>
        <v/>
      </c>
      <c r="AE245" s="147" t="str">
        <f t="shared" ca="1" si="19"/>
        <v/>
      </c>
      <c r="AF245" s="25"/>
      <c r="AH245" s="147" t="str">
        <f ca="1">IF(C245="","",VLOOKUP(C245,'Шаг1.Выбор плиты'!C:Q,7,0))</f>
        <v/>
      </c>
      <c r="AI245" s="147" t="str">
        <f t="shared" ca="1" si="22"/>
        <v/>
      </c>
    </row>
    <row r="246" spans="1:35" x14ac:dyDescent="0.2">
      <c r="A246" s="151" t="str">
        <f ca="1">IF(C246="","",MAX($A$1:OFFSET(C246,-1,0))+1)</f>
        <v/>
      </c>
      <c r="B246" s="151" t="str">
        <f ca="1">IFERROR(IFERROR(IFERROR("Шаг2.Бланк заказа NEW №"&amp;VLOOKUP(A245+1,CHOOSE({1,2},'Шаг2.Бланк заказа NEW'!$B$19:$B$201,'Шаг2.Бланк заказа NEW'!$A$19:$A$201),1,0),
"Бланк OLD 0.8 04 №"&amp;VLOOKUP(A245+1-COUNT('Шаг2.Бланк заказа NEW'!$B$19:$B$201),CHOOSE({1,2},'Бланк OLD 0.8 04'!$B$18:$B$200,'Бланк OLD 0.8 04'!$A$18:$A$200),1,0)),
"Бланк OLD 2.0 04 №"&amp;VLOOKUP(A245+1-COUNT('Шаг2.Бланк заказа NEW'!$B$19:$B$201)-COUNT('Бланк OLD 0.8 04'!$B$18:$B$200),CHOOSE({1,2},'Бланк OLD 2.0 04 '!$B$18:$B$200,'Бланк OLD 2.0 04 '!$A$18:$A$200),1,0)),"")</f>
        <v/>
      </c>
      <c r="C246" s="152" t="str">
        <f ca="1">IFERROR(IFERROR(IFERROR(VLOOKUP(A245+1,CHOOSE({1,2},'Шаг2.Бланк заказа NEW'!$B$19:$B$201,'Шаг2.Бланк заказа NEW'!$A$19:$A$201),2,0),
VLOOKUP(A245+1-COUNT('Шаг2.Бланк заказа NEW'!$B$19:$B$201),CHOOSE({1,2},'Бланк OLD 0.8 04'!$B$18:$B$200,'Бланк OLD 0.8 04'!$A$18:$A$200),2,0)),
VLOOKUP(A245+1-COUNT('Шаг2.Бланк заказа NEW'!$B$19:$B$201)-COUNT('Бланк OLD 0.8 04'!$B$18:$B$200),CHOOSE({1,2},'Бланк OLD 2.0 04 '!$B$18:$B$200,'Бланк OLD 2.0 04 '!$A$18:$A$200),2,0)),"")</f>
        <v/>
      </c>
      <c r="D246" s="150" t="str">
        <f ca="1">IFERROR(VLOOKUP(C246,'Шаг1.Выбор плиты'!C:G,5,0),"")</f>
        <v/>
      </c>
      <c r="E246" s="147" t="str">
        <f ca="1">IFERROR(IFERROR(IF(VLOOKUP($A246,'Шаг2.Бланк заказа NEW'!$B$17:$N$201,2,0)="","",VLOOKUP($A246,'Шаг2.Бланк заказа NEW'!$B$17:$N$201,2,0)),
IF(VLOOKUP($A246-COUNT('Шаг2.Бланк заказа NEW'!$B$19:$B$201),'Бланк OLD 0.8 04'!$B$12:$K$200,2,0)="","",VLOOKUP($A246-COUNT('Шаг2.Бланк заказа NEW'!$B$19:$B$201),'Бланк OLD 0.8 04'!$B$12:$K$200,2,0))),
IF(VLOOKUP($A246-COUNT('Шаг2.Бланк заказа NEW'!$B$19:$B$201)-COUNT('Бланк OLD 0.8 04'!$B$18:$B$200),'Бланк OLD 2.0 04 '!$B$16:$K$200,2,0)="","",VLOOKUP($A246-COUNT('Шаг2.Бланк заказа NEW'!$B$19:$B$201)-COUNT('Бланк OLD 0.8 04'!$B$18:$B$200),'Бланк OLD 2.0 04 '!$B$16:$K$200,2,0)))</f>
        <v/>
      </c>
      <c r="F246" s="147" t="str">
        <f ca="1">IFERROR(IFERROR(IF(VLOOKUP($A246,'Шаг2.Бланк заказа NEW'!$B$17:$N$201,3,0)="","",VLOOKUP($A246,'Шаг2.Бланк заказа NEW'!$B$17:$N$201,3,0)),
IF(VLOOKUP($A246-COUNT('Шаг2.Бланк заказа NEW'!$B$19:$B$201),'Бланк OLD 0.8 04'!$B$12:$K$200,3,0)="","",VLOOKUP($A246-COUNT('Шаг2.Бланк заказа NEW'!$B$19:$B$201),'Бланк OLD 0.8 04'!$B$12:$K$200,3,0))),
IF(VLOOKUP($A246-COUNT('Шаг2.Бланк заказа NEW'!$B$19:$B$201)-COUNT('Бланк OLD 0.8 04'!$B$18:$B$200),'Бланк OLD 2.0 04 '!$B$16:$K$200,3,0)="","",VLOOKUP($A246-COUNT('Шаг2.Бланк заказа NEW'!$B$19:$B$201)-COUNT('Бланк OLD 0.8 04'!$B$18:$B$200),'Бланк OLD 2.0 04 '!$B$16:$K$200,3,0)))</f>
        <v/>
      </c>
      <c r="G246" s="176" t="str">
        <f ca="1">IF(IF(R246="","",IF(R246=1,SUMIFS('Шаг1.Выбор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плиты'!C:Q,12,0)),1))))))=0,
R246,
IF(R246="","",IF(R246=1,SUMIFS('Шаг1.Выбор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плиты'!N:N,R246,'Шаг1.Выбор плиты'!M:M,SMALL(INDIRECT("мм"&amp;VLOOKUP(C246,'Шаг1.Выбор плиты'!C:Q,12,0)),1)))))))</f>
        <v/>
      </c>
      <c r="H246" s="177" t="str">
        <f ca="1">IF(IF(S246="","",IF(S246=1,SUMIFS('Шаг1.Выбор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плиты'!C:Q,12,0)),1))))))=0,
S246,
IF(S246="","",IF(S246=1,SUMIFS('Шаг1.Выбор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плиты'!N:N,S246,'Шаг1.Выбор плиты'!M:M,SMALL(INDIRECT("мм"&amp;VLOOKUP(C246,'Шаг1.Выбор плиты'!C:Q,12,0)),1)))))))</f>
        <v/>
      </c>
      <c r="I246" s="147" t="str">
        <f ca="1">IFERROR(IFERROR(IF(VLOOKUP($A246,'Шаг2.Бланк заказа NEW'!$B$17:$N$201,6,0)="","",VLOOKUP($A246,'Шаг2.Бланк заказа NEW'!$B$17:$N$201,6,0)),
IF(VLOOKUP($A246-COUNT('Шаг2.Бланк заказа NEW'!$B$19:$B$201),'Бланк OLD 0.8 04'!$B$12:$K$200,6,0)="","",VLOOKUP($A246-COUNT('Шаг2.Бланк заказа NEW'!$B$19:$B$201),'Бланк OLD 0.8 04'!$B$12:$K$200,6,0))),
IF(VLOOKUP($A246-COUNT('Шаг2.Бланк заказа NEW'!$B$19:$B$201)-COUNT('Бланк OLD 0.8 04'!$B$18:$B$200),'Бланк OLD 2.0 04 '!$B$16:$K$200,6,0)="","",VLOOKUP($A246-COUNT('Шаг2.Бланк заказа NEW'!$B$19:$B$201)-COUNT('Бланк OLD 0.8 04'!$B$18:$B$200),'Бланк OLD 2.0 04 '!$B$16:$K$200,6,0)))</f>
        <v/>
      </c>
      <c r="J246" s="177" t="str">
        <f ca="1">IF(IF(T246="","",IF(T246=1,SUMIFS('Шаг1.Выбор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плиты'!C:Q,12,0)),1))))))=0,
T246,
IF(T246="","",IF(T246=1,SUMIFS('Шаг1.Выбор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плиты'!N:N,T246,'Шаг1.Выбор плиты'!M:M,SMALL(INDIRECT("мм"&amp;VLOOKUP(C246,'Шаг1.Выбор плиты'!C:Q,12,0)),1)))))))</f>
        <v/>
      </c>
      <c r="K246" s="177" t="str">
        <f ca="1">IF(IF(U246="","",IF(U246=1,SUMIFS('Шаг1.Выбор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плиты'!C:Q,12,0)),1))))))=0,
U246,
IF(U246="","",IF(U246=1,SUMIFS('Шаг1.Выбор плиты'!$G:$G,'Шаг1.Выбор плиты'!J:J,"*"&amp;RIGHT(VLOOKUP(C246,'Шаг1.Выбор плиты'!C:Q,8,0),4),'Шаг1.Выбор плиты'!L:L,IF(MID(C246,1,6)="ЛДСП P","TM"&amp;MID(VLOOKUP(C246,'Шаг1.Выбор плиты'!C:Q,10,0),3,2),MID(VLOOKUP(C246,'Шаг1.Выбор плиты'!C:Q,10,0),1,2)),
'Шаг1.Выбор плиты'!N:N,1),IF(SUMIFS('Шаг1.Выбор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плиты'!C:Q,12,0)),1))=0,
IF(SUMIFS('Шаг1.Выбор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плиты'!C:Q,12,0)),2))=0,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плиты'!C:Q,12,0)),3)),
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плиты'!C:Q,12,0)),2))),
(SUMIFS('Шаг1.Выбор плиты'!$G:$G,'Шаг1.Выбор плиты'!J:J,"*"&amp;RIGHT(VLOOKUP(C246,'Шаг1.Выбор плиты'!C:Q,8,0),4),'Шаг1.Выбор плиты'!L:L,VLOOKUP(C246,'Шаг1.Выбор плиты'!C:Q,10,0),'Шаг1.Выбор плиты'!N:N,U246,'Шаг1.Выбор плиты'!M:M,SMALL(INDIRECT("мм"&amp;VLOOKUP(C246,'Шаг1.Выбор плиты'!C:Q,12,0)),1)))))))</f>
        <v/>
      </c>
      <c r="L246" s="147" t="str">
        <f ca="1">IFERROR(IFERROR(IF(VLOOKUP($A246,'Шаг2.Бланк заказа NEW'!$B$17:$N$201,9,0)="","",VLOOKUP($A246,'Шаг2.Бланк заказа NEW'!$B$17:$N$201,9,0)),
IF(VLOOKUP($A246-COUNT('Шаг2.Бланк заказа NEW'!$B$19:$B$201),'Бланк OLD 0.8 04'!$B$12:$K$200,9,0)="","",VLOOKUP($A246-COUNT('Шаг2.Бланк заказа NEW'!$B$19:$B$201),'Бланк OLD 0.8 04'!$B$12:$K$200,9,0))),
IF(VLOOKUP($A246-COUNT('Шаг2.Бланк заказа NEW'!$B$19:$B$201)-COUNT('Бланк OLD 0.8 04'!$B$18:$B$200),'Бланк OLD 2.0 04 '!$B$16:$K$200,9,0)="","",VLOOKUP($A246-COUNT('Шаг2.Бланк заказа NEW'!$B$19:$B$201)-COUNT('Бланк OLD 0.8 04'!$B$18:$B$200),'Бланк OLD 2.0 04 '!$B$16:$K$200,9,0)))</f>
        <v/>
      </c>
      <c r="M246" s="154" t="str">
        <f t="shared" ca="1" si="20"/>
        <v/>
      </c>
      <c r="N246" s="153" t="str">
        <f ca="1">IFERROR(IF(VLOOKUP($A246,'Шаг2.Бланк заказа NEW'!$B$17:$N$201,11,0)="","",VLOOKUP($A246,'Шаг2.Бланк заказа NEW'!$B$17:$N$201,11,0)),
"Нет")</f>
        <v/>
      </c>
      <c r="O246" s="147" t="str">
        <f ca="1">IFERROR(IF(VLOOKUP($A246,'Шаг2.Бланк заказа NEW'!$B$17:$N$201,11,0)="","",VLOOKUP($A246,'Шаг2.Бланк заказа NEW'!$B$17:$N$201,12,0)),
"Нет")</f>
        <v/>
      </c>
      <c r="P246" s="153" t="str">
        <f ca="1">IFERROR(IF(VLOOKUP($A246,'Шаг2.Бланк заказа NEW'!$B$17:$N$201,13,0)="","",VLOOKUP($A246,'Шаг2.Бланк заказа NEW'!$B$17:$N$201,13,0)),
"Нет")</f>
        <v/>
      </c>
      <c r="Q246" s="147" t="str">
        <f ca="1">IFERROR(IF(VLOOKUP($A246,'Шаг2.Бланк заказа NEW'!$B$17:$O$201,14,0)="","",VLOOKUP($A246,'Шаг2.Бланк заказа NEW'!$B$17:$O$201,14,0)),"")</f>
        <v/>
      </c>
      <c r="R246" s="147" t="str">
        <f ca="1">IFERROR(IFERROR(IF(VLOOKUP($A246,'Шаг2.Бланк заказа NEW'!$B$17:$N$201,4,0)="","",VLOOKUP($A246,'Шаг2.Бланк заказа NEW'!$B$17:$N$201,4,0)),
IF(VLOOKUP($A246-COUNT('Шаг2.Бланк заказа NEW'!$B$19:$B$201),'Бланк OLD 0.8 04'!$B$12:$K$200,4,0)&gt;0,0.8,
IF(VLOOKUP($A246-COUNT('Шаг2.Бланк заказа NEW'!$B$19:$B$201),'Бланк OLD 0.8 04'!$B$12:$K$200,5,0)&gt;0,0.4,""))),
IF(VLOOKUP($A246-COUNT('Шаг2.Бланк заказа NEW'!$B$19:$B$201)-COUNT('Бланк OLD 0.8 04'!$B$18:$B$200),'Бланк OLD 2.0 04 '!$B$16:$K$200,4,0)&gt;0,2,IF(VLOOKUP($A246-COUNT('Шаг2.Бланк заказа NEW'!$B$19:$B$201)-COUNT('Бланк OLD 0.8 04'!$B$18:$B$200),'Бланк OLD 2.0 04 '!$B$16:$K$200,5,0)&gt;0,0.4,"")))</f>
        <v/>
      </c>
      <c r="S246" s="147" t="str">
        <f ca="1">IFERROR(IFERROR(IF(VLOOKUP($A246,'Шаг2.Бланк заказа NEW'!$B$17:$N$201,5,0)="","",VLOOKUP($A246,'Шаг2.Бланк заказа NEW'!$B$17:$N$201,5,0)),
IF(VLOOKUP($A246-COUNT('Шаг2.Бланк заказа NEW'!$B$19:$B$201),'Бланк OLD 0.8 04'!$B$12:$K$200,4,0)&gt;1,0.8,
IF(VLOOKUP($A246-COUNT('Шаг2.Бланк заказа NEW'!$B$19:$B$201),'Бланк OLD 0.8 04'!$B$12:$K$200,5,0)&gt;1,0.4,
IF(AND(VLOOKUP($A246-COUNT('Шаг2.Бланк заказа NEW'!$B$19:$B$201),'Бланк OLD 0.8 04'!$B$12:$K$200,4,0)&gt;0,VLOOKUP($A246-COUNT('Шаг2.Бланк заказа NEW'!$B$19:$B$201),'Бланк OLD 0.8 04'!$B$12:$K$200,5,0)&gt;0),0.4,"")))),
IF(VLOOKUP($A246-COUNT('Шаг2.Бланк заказа NEW'!$B$19:$B$201)-COUNT('Бланк OLD 0.8 04'!$B$18:$B$200),'Бланк OLD 2.0 04 '!$B$16:$K$200,4,0)&gt;1,2,
IF(VLOOKUP($A246-COUNT('Шаг2.Бланк заказа NEW'!$B$19:$B$201)-COUNT('Бланк OLD 0.8 04'!$B$18:$B$200),'Бланк OLD 2.0 04 '!$B$16:$K$200,5,0)&gt;1,0.4,IF(AND(VLOOKUP($A246-COUNT('Шаг2.Бланк заказа NEW'!$B$19:$B$201)-COUNT('Бланк OLD 0.8 04'!$B$18:$B$200),'Бланк OLD 2.0 04 '!$B$16:$K$200,4,0)&gt;0,VLOOKUP($A246-COUNT('Шаг2.Бланк заказа NEW'!$B$19:$B$201)-COUNT('Бланк OLD 0.8 04'!$B$18:$B$200),'Бланк OLD 2.0 04 '!$B$16:$K$200,5,0)&gt;0),0.4,""))))</f>
        <v/>
      </c>
      <c r="T246" s="147" t="str">
        <f ca="1">IFERROR(IFERROR(IF(VLOOKUP($A246,'Шаг2.Бланк заказа NEW'!$B$17:$N$201,7,0)="","",VLOOKUP($A246,'Шаг2.Бланк заказа NEW'!$B$17:$N$201,7,0)),
IF(VLOOKUP($A246-COUNT('Шаг2.Бланк заказа NEW'!$B$19:$B$201),'Бланк OLD 0.8 04'!$B$12:$K$200,7,0)&gt;0,0.8,
IF(VLOOKUP($A246-COUNT('Шаг2.Бланк заказа NEW'!$B$19:$B$201),'Бланк OLD 0.8 04'!$B$12:$K$200,8,0)&gt;0,0.4,""))),
IF(VLOOKUP($A246-COUNT('Шаг2.Бланк заказа NEW'!$B$19:$B$201)-COUNT('Бланк OLD 0.8 04'!$B$18:$B$200),'Бланк OLD 2.0 04 '!$B$16:$K$200,7,0)&gt;0,2,IF(VLOOKUP($A246-COUNT('Шаг2.Бланк заказа NEW'!$B$19:$B$201)-COUNT('Бланк OLD 0.8 04'!$B$18:$B$200),'Бланк OLD 2.0 04 '!$B$16:$K$200,8,0)&gt;0,0.4,"")))</f>
        <v/>
      </c>
      <c r="U246" s="147" t="str">
        <f ca="1">IFERROR(IFERROR(IF(VLOOKUP($A246,'Шаг2.Бланк заказа NEW'!$B$17:$N$201,8,0)="","",VLOOKUP($A246,'Шаг2.Бланк заказа NEW'!$B$17:$N$201,8,0)),
IF(VLOOKUP($A246-COUNT('Шаг2.Бланк заказа NEW'!$B$19:$B$201),'Бланк OLD 0.8 04'!$B$12:$K$200,7,0)&gt;1,0.8,
IF(VLOOKUP($A246-COUNT('Шаг2.Бланк заказа NEW'!$B$19:$B$201),'Бланк OLD 0.8 04'!$B$12:$K$200,8,0)&gt;1,0.4,
IF(AND(VLOOKUP($A246-COUNT('Шаг2.Бланк заказа NEW'!$B$19:$B$201),'Бланк OLD 0.8 04'!$B$12:$K$200,7,0)&gt;0,VLOOKUP($A246-COUNT('Шаг2.Бланк заказа NEW'!$B$19:$B$201),'Бланк OLD 0.8 04'!$B$12:$K$200,8,0)&gt;0),0.4,"")))),
IF(VLOOKUP($A246-COUNT('Шаг2.Бланк заказа NEW'!$B$19:$B$201)-COUNT('Бланк OLD 0.8 04'!$B$18:$B$200),'Бланк OLD 2.0 04 '!$B$16:$K$200,7,0)&gt;1,2,
IF(VLOOKUP($A246-COUNT('Шаг2.Бланк заказа NEW'!$B$19:$B$201)-COUNT('Бланк OLD 0.8 04'!$B$18:$B$200),'Бланк OLD 2.0 04 '!$B$16:$K$200,8,0)&gt;1,0.4,
IF(AND(VLOOKUP($A246-COUNT('Шаг2.Бланк заказа NEW'!$B$19:$B$201)-COUNT('Бланк OLD 0.8 04'!$B$18:$B$200),'Бланк OLD 2.0 04 '!$B$16:$K$200,7,0)&gt;0,VLOOKUP($A246-COUNT('Шаг2.Бланк заказа NEW'!$B$19:$B$201)-COUNT('Бланк OLD 0.8 04'!$B$18:$B$200),'Бланк OLD 2.0 04 '!$B$16:$K$200,8,0)&gt;0),0.4,""))))</f>
        <v/>
      </c>
      <c r="V246" s="146" t="str">
        <f ca="1">IFERROR(VLOOKUP(C246,'Шаг1.Выбор плиты'!C:S,12,0),"")</f>
        <v/>
      </c>
      <c r="W246" s="146" t="str">
        <f ca="1">IFERROR(VLOOKUP(C246,'Шаг1.Выбор плиты'!C:S,8,0),"")</f>
        <v/>
      </c>
      <c r="X246" s="146" t="str">
        <f ca="1">IFERROR(VLOOKUP(C246,'Шаг1.Выбор плиты'!C:S,10,0),"")</f>
        <v/>
      </c>
      <c r="Y246" s="147" t="str">
        <f t="shared" ca="1" si="18"/>
        <v/>
      </c>
      <c r="AD246" s="147" t="str">
        <f t="shared" ca="1" si="21"/>
        <v/>
      </c>
      <c r="AE246" s="147" t="str">
        <f t="shared" ca="1" si="19"/>
        <v/>
      </c>
      <c r="AF246" s="25"/>
      <c r="AH246" s="147" t="str">
        <f ca="1">IF(C246="","",VLOOKUP(C246,'Шаг1.Выбор плиты'!C:Q,7,0))</f>
        <v/>
      </c>
      <c r="AI246" s="147" t="str">
        <f t="shared" ca="1" si="22"/>
        <v/>
      </c>
    </row>
    <row r="247" spans="1:35" x14ac:dyDescent="0.2">
      <c r="A247" s="151" t="str">
        <f ca="1">IF(C247="","",MAX($A$1:OFFSET(C247,-1,0))+1)</f>
        <v/>
      </c>
      <c r="B247" s="151" t="str">
        <f ca="1">IFERROR(IFERROR(IFERROR("Шаг2.Бланк заказа NEW №"&amp;VLOOKUP(A246+1,CHOOSE({1,2},'Шаг2.Бланк заказа NEW'!$B$19:$B$201,'Шаг2.Бланк заказа NEW'!$A$19:$A$201),1,0),
"Бланк OLD 0.8 04 №"&amp;VLOOKUP(A246+1-COUNT('Шаг2.Бланк заказа NEW'!$B$19:$B$201),CHOOSE({1,2},'Бланк OLD 0.8 04'!$B$18:$B$200,'Бланк OLD 0.8 04'!$A$18:$A$200),1,0)),
"Бланк OLD 2.0 04 №"&amp;VLOOKUP(A246+1-COUNT('Шаг2.Бланк заказа NEW'!$B$19:$B$201)-COUNT('Бланк OLD 0.8 04'!$B$18:$B$200),CHOOSE({1,2},'Бланк OLD 2.0 04 '!$B$18:$B$200,'Бланк OLD 2.0 04 '!$A$18:$A$200),1,0)),"")</f>
        <v/>
      </c>
      <c r="C247" s="152" t="str">
        <f ca="1">IFERROR(IFERROR(IFERROR(VLOOKUP(A246+1,CHOOSE({1,2},'Шаг2.Бланк заказа NEW'!$B$19:$B$201,'Шаг2.Бланк заказа NEW'!$A$19:$A$201),2,0),
VLOOKUP(A246+1-COUNT('Шаг2.Бланк заказа NEW'!$B$19:$B$201),CHOOSE({1,2},'Бланк OLD 0.8 04'!$B$18:$B$200,'Бланк OLD 0.8 04'!$A$18:$A$200),2,0)),
VLOOKUP(A246+1-COUNT('Шаг2.Бланк заказа NEW'!$B$19:$B$201)-COUNT('Бланк OLD 0.8 04'!$B$18:$B$200),CHOOSE({1,2},'Бланк OLD 2.0 04 '!$B$18:$B$200,'Бланк OLD 2.0 04 '!$A$18:$A$200),2,0)),"")</f>
        <v/>
      </c>
      <c r="D247" s="150" t="str">
        <f ca="1">IFERROR(VLOOKUP(C247,'Шаг1.Выбор плиты'!C:G,5,0),"")</f>
        <v/>
      </c>
      <c r="E247" s="147" t="str">
        <f ca="1">IFERROR(IFERROR(IF(VLOOKUP($A247,'Шаг2.Бланк заказа NEW'!$B$17:$N$201,2,0)="","",VLOOKUP($A247,'Шаг2.Бланк заказа NEW'!$B$17:$N$201,2,0)),
IF(VLOOKUP($A247-COUNT('Шаг2.Бланк заказа NEW'!$B$19:$B$201),'Бланк OLD 0.8 04'!$B$12:$K$200,2,0)="","",VLOOKUP($A247-COUNT('Шаг2.Бланк заказа NEW'!$B$19:$B$201),'Бланк OLD 0.8 04'!$B$12:$K$200,2,0))),
IF(VLOOKUP($A247-COUNT('Шаг2.Бланк заказа NEW'!$B$19:$B$201)-COUNT('Бланк OLD 0.8 04'!$B$18:$B$200),'Бланк OLD 2.0 04 '!$B$16:$K$200,2,0)="","",VLOOKUP($A247-COUNT('Шаг2.Бланк заказа NEW'!$B$19:$B$201)-COUNT('Бланк OLD 0.8 04'!$B$18:$B$200),'Бланк OLD 2.0 04 '!$B$16:$K$200,2,0)))</f>
        <v/>
      </c>
      <c r="F247" s="147" t="str">
        <f ca="1">IFERROR(IFERROR(IF(VLOOKUP($A247,'Шаг2.Бланк заказа NEW'!$B$17:$N$201,3,0)="","",VLOOKUP($A247,'Шаг2.Бланк заказа NEW'!$B$17:$N$201,3,0)),
IF(VLOOKUP($A247-COUNT('Шаг2.Бланк заказа NEW'!$B$19:$B$201),'Бланк OLD 0.8 04'!$B$12:$K$200,3,0)="","",VLOOKUP($A247-COUNT('Шаг2.Бланк заказа NEW'!$B$19:$B$201),'Бланк OLD 0.8 04'!$B$12:$K$200,3,0))),
IF(VLOOKUP($A247-COUNT('Шаг2.Бланк заказа NEW'!$B$19:$B$201)-COUNT('Бланк OLD 0.8 04'!$B$18:$B$200),'Бланк OLD 2.0 04 '!$B$16:$K$200,3,0)="","",VLOOKUP($A247-COUNT('Шаг2.Бланк заказа NEW'!$B$19:$B$201)-COUNT('Бланк OLD 0.8 04'!$B$18:$B$200),'Бланк OLD 2.0 04 '!$B$16:$K$200,3,0)))</f>
        <v/>
      </c>
      <c r="G247" s="176" t="str">
        <f ca="1">IF(IF(R247="","",IF(R247=1,SUMIFS('Шаг1.Выбор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плиты'!C:Q,12,0)),1))))))=0,
R247,
IF(R247="","",IF(R247=1,SUMIFS('Шаг1.Выбор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плиты'!N:N,R247,'Шаг1.Выбор плиты'!M:M,SMALL(INDIRECT("мм"&amp;VLOOKUP(C247,'Шаг1.Выбор плиты'!C:Q,12,0)),1)))))))</f>
        <v/>
      </c>
      <c r="H247" s="177" t="str">
        <f ca="1">IF(IF(S247="","",IF(S247=1,SUMIFS('Шаг1.Выбор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плиты'!C:Q,12,0)),1))))))=0,
S247,
IF(S247="","",IF(S247=1,SUMIFS('Шаг1.Выбор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плиты'!N:N,S247,'Шаг1.Выбор плиты'!M:M,SMALL(INDIRECT("мм"&amp;VLOOKUP(C247,'Шаг1.Выбор плиты'!C:Q,12,0)),1)))))))</f>
        <v/>
      </c>
      <c r="I247" s="147" t="str">
        <f ca="1">IFERROR(IFERROR(IF(VLOOKUP($A247,'Шаг2.Бланк заказа NEW'!$B$17:$N$201,6,0)="","",VLOOKUP($A247,'Шаг2.Бланк заказа NEW'!$B$17:$N$201,6,0)),
IF(VLOOKUP($A247-COUNT('Шаг2.Бланк заказа NEW'!$B$19:$B$201),'Бланк OLD 0.8 04'!$B$12:$K$200,6,0)="","",VLOOKUP($A247-COUNT('Шаг2.Бланк заказа NEW'!$B$19:$B$201),'Бланк OLD 0.8 04'!$B$12:$K$200,6,0))),
IF(VLOOKUP($A247-COUNT('Шаг2.Бланк заказа NEW'!$B$19:$B$201)-COUNT('Бланк OLD 0.8 04'!$B$18:$B$200),'Бланк OLD 2.0 04 '!$B$16:$K$200,6,0)="","",VLOOKUP($A247-COUNT('Шаг2.Бланк заказа NEW'!$B$19:$B$201)-COUNT('Бланк OLD 0.8 04'!$B$18:$B$200),'Бланк OLD 2.0 04 '!$B$16:$K$200,6,0)))</f>
        <v/>
      </c>
      <c r="J247" s="177" t="str">
        <f ca="1">IF(IF(T247="","",IF(T247=1,SUMIFS('Шаг1.Выбор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плиты'!C:Q,12,0)),1))))))=0,
T247,
IF(T247="","",IF(T247=1,SUMIFS('Шаг1.Выбор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плиты'!N:N,T247,'Шаг1.Выбор плиты'!M:M,SMALL(INDIRECT("мм"&amp;VLOOKUP(C247,'Шаг1.Выбор плиты'!C:Q,12,0)),1)))))))</f>
        <v/>
      </c>
      <c r="K247" s="177" t="str">
        <f ca="1">IF(IF(U247="","",IF(U247=1,SUMIFS('Шаг1.Выбор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плиты'!C:Q,12,0)),1))))))=0,
U247,
IF(U247="","",IF(U247=1,SUMIFS('Шаг1.Выбор плиты'!$G:$G,'Шаг1.Выбор плиты'!J:J,"*"&amp;RIGHT(VLOOKUP(C247,'Шаг1.Выбор плиты'!C:Q,8,0),4),'Шаг1.Выбор плиты'!L:L,IF(MID(C247,1,6)="ЛДСП P","TM"&amp;MID(VLOOKUP(C247,'Шаг1.Выбор плиты'!C:Q,10,0),3,2),MID(VLOOKUP(C247,'Шаг1.Выбор плиты'!C:Q,10,0),1,2)),
'Шаг1.Выбор плиты'!N:N,1),IF(SUMIFS('Шаг1.Выбор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плиты'!C:Q,12,0)),1))=0,
IF(SUMIFS('Шаг1.Выбор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плиты'!C:Q,12,0)),2))=0,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плиты'!C:Q,12,0)),3)),
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плиты'!C:Q,12,0)),2))),
(SUMIFS('Шаг1.Выбор плиты'!$G:$G,'Шаг1.Выбор плиты'!J:J,"*"&amp;RIGHT(VLOOKUP(C247,'Шаг1.Выбор плиты'!C:Q,8,0),4),'Шаг1.Выбор плиты'!L:L,VLOOKUP(C247,'Шаг1.Выбор плиты'!C:Q,10,0),'Шаг1.Выбор плиты'!N:N,U247,'Шаг1.Выбор плиты'!M:M,SMALL(INDIRECT("мм"&amp;VLOOKUP(C247,'Шаг1.Выбор плиты'!C:Q,12,0)),1)))))))</f>
        <v/>
      </c>
      <c r="L247" s="147" t="str">
        <f ca="1">IFERROR(IFERROR(IF(VLOOKUP($A247,'Шаг2.Бланк заказа NEW'!$B$17:$N$201,9,0)="","",VLOOKUP($A247,'Шаг2.Бланк заказа NEW'!$B$17:$N$201,9,0)),
IF(VLOOKUP($A247-COUNT('Шаг2.Бланк заказа NEW'!$B$19:$B$201),'Бланк OLD 0.8 04'!$B$12:$K$200,9,0)="","",VLOOKUP($A247-COUNT('Шаг2.Бланк заказа NEW'!$B$19:$B$201),'Бланк OLD 0.8 04'!$B$12:$K$200,9,0))),
IF(VLOOKUP($A247-COUNT('Шаг2.Бланк заказа NEW'!$B$19:$B$201)-COUNT('Бланк OLD 0.8 04'!$B$18:$B$200),'Бланк OLD 2.0 04 '!$B$16:$K$200,9,0)="","",VLOOKUP($A247-COUNT('Шаг2.Бланк заказа NEW'!$B$19:$B$201)-COUNT('Бланк OLD 0.8 04'!$B$18:$B$200),'Бланк OLD 2.0 04 '!$B$16:$K$200,9,0)))</f>
        <v/>
      </c>
      <c r="M247" s="154" t="str">
        <f t="shared" ca="1" si="20"/>
        <v/>
      </c>
      <c r="N247" s="153" t="str">
        <f ca="1">IFERROR(IF(VLOOKUP($A247,'Шаг2.Бланк заказа NEW'!$B$17:$N$201,11,0)="","",VLOOKUP($A247,'Шаг2.Бланк заказа NEW'!$B$17:$N$201,11,0)),
"Нет")</f>
        <v/>
      </c>
      <c r="O247" s="147" t="str">
        <f ca="1">IFERROR(IF(VLOOKUP($A247,'Шаг2.Бланк заказа NEW'!$B$17:$N$201,11,0)="","",VLOOKUP($A247,'Шаг2.Бланк заказа NEW'!$B$17:$N$201,12,0)),
"Нет")</f>
        <v/>
      </c>
      <c r="P247" s="153" t="str">
        <f ca="1">IFERROR(IF(VLOOKUP($A247,'Шаг2.Бланк заказа NEW'!$B$17:$N$201,13,0)="","",VLOOKUP($A247,'Шаг2.Бланк заказа NEW'!$B$17:$N$201,13,0)),
"Нет")</f>
        <v/>
      </c>
      <c r="Q247" s="147" t="str">
        <f ca="1">IFERROR(IF(VLOOKUP($A247,'Шаг2.Бланк заказа NEW'!$B$17:$O$201,14,0)="","",VLOOKUP($A247,'Шаг2.Бланк заказа NEW'!$B$17:$O$201,14,0)),"")</f>
        <v/>
      </c>
      <c r="R247" s="147" t="str">
        <f ca="1">IFERROR(IFERROR(IF(VLOOKUP($A247,'Шаг2.Бланк заказа NEW'!$B$17:$N$201,4,0)="","",VLOOKUP($A247,'Шаг2.Бланк заказа NEW'!$B$17:$N$201,4,0)),
IF(VLOOKUP($A247-COUNT('Шаг2.Бланк заказа NEW'!$B$19:$B$201),'Бланк OLD 0.8 04'!$B$12:$K$200,4,0)&gt;0,0.8,
IF(VLOOKUP($A247-COUNT('Шаг2.Бланк заказа NEW'!$B$19:$B$201),'Бланк OLD 0.8 04'!$B$12:$K$200,5,0)&gt;0,0.4,""))),
IF(VLOOKUP($A247-COUNT('Шаг2.Бланк заказа NEW'!$B$19:$B$201)-COUNT('Бланк OLD 0.8 04'!$B$18:$B$200),'Бланк OLD 2.0 04 '!$B$16:$K$200,4,0)&gt;0,2,IF(VLOOKUP($A247-COUNT('Шаг2.Бланк заказа NEW'!$B$19:$B$201)-COUNT('Бланк OLD 0.8 04'!$B$18:$B$200),'Бланк OLD 2.0 04 '!$B$16:$K$200,5,0)&gt;0,0.4,"")))</f>
        <v/>
      </c>
      <c r="S247" s="147" t="str">
        <f ca="1">IFERROR(IFERROR(IF(VLOOKUP($A247,'Шаг2.Бланк заказа NEW'!$B$17:$N$201,5,0)="","",VLOOKUP($A247,'Шаг2.Бланк заказа NEW'!$B$17:$N$201,5,0)),
IF(VLOOKUP($A247-COUNT('Шаг2.Бланк заказа NEW'!$B$19:$B$201),'Бланк OLD 0.8 04'!$B$12:$K$200,4,0)&gt;1,0.8,
IF(VLOOKUP($A247-COUNT('Шаг2.Бланк заказа NEW'!$B$19:$B$201),'Бланк OLD 0.8 04'!$B$12:$K$200,5,0)&gt;1,0.4,
IF(AND(VLOOKUP($A247-COUNT('Шаг2.Бланк заказа NEW'!$B$19:$B$201),'Бланк OLD 0.8 04'!$B$12:$K$200,4,0)&gt;0,VLOOKUP($A247-COUNT('Шаг2.Бланк заказа NEW'!$B$19:$B$201),'Бланк OLD 0.8 04'!$B$12:$K$200,5,0)&gt;0),0.4,"")))),
IF(VLOOKUP($A247-COUNT('Шаг2.Бланк заказа NEW'!$B$19:$B$201)-COUNT('Бланк OLD 0.8 04'!$B$18:$B$200),'Бланк OLD 2.0 04 '!$B$16:$K$200,4,0)&gt;1,2,
IF(VLOOKUP($A247-COUNT('Шаг2.Бланк заказа NEW'!$B$19:$B$201)-COUNT('Бланк OLD 0.8 04'!$B$18:$B$200),'Бланк OLD 2.0 04 '!$B$16:$K$200,5,0)&gt;1,0.4,IF(AND(VLOOKUP($A247-COUNT('Шаг2.Бланк заказа NEW'!$B$19:$B$201)-COUNT('Бланк OLD 0.8 04'!$B$18:$B$200),'Бланк OLD 2.0 04 '!$B$16:$K$200,4,0)&gt;0,VLOOKUP($A247-COUNT('Шаг2.Бланк заказа NEW'!$B$19:$B$201)-COUNT('Бланк OLD 0.8 04'!$B$18:$B$200),'Бланк OLD 2.0 04 '!$B$16:$K$200,5,0)&gt;0),0.4,""))))</f>
        <v/>
      </c>
      <c r="T247" s="147" t="str">
        <f ca="1">IFERROR(IFERROR(IF(VLOOKUP($A247,'Шаг2.Бланк заказа NEW'!$B$17:$N$201,7,0)="","",VLOOKUP($A247,'Шаг2.Бланк заказа NEW'!$B$17:$N$201,7,0)),
IF(VLOOKUP($A247-COUNT('Шаг2.Бланк заказа NEW'!$B$19:$B$201),'Бланк OLD 0.8 04'!$B$12:$K$200,7,0)&gt;0,0.8,
IF(VLOOKUP($A247-COUNT('Шаг2.Бланк заказа NEW'!$B$19:$B$201),'Бланк OLD 0.8 04'!$B$12:$K$200,8,0)&gt;0,0.4,""))),
IF(VLOOKUP($A247-COUNT('Шаг2.Бланк заказа NEW'!$B$19:$B$201)-COUNT('Бланк OLD 0.8 04'!$B$18:$B$200),'Бланк OLD 2.0 04 '!$B$16:$K$200,7,0)&gt;0,2,IF(VLOOKUP($A247-COUNT('Шаг2.Бланк заказа NEW'!$B$19:$B$201)-COUNT('Бланк OLD 0.8 04'!$B$18:$B$200),'Бланк OLD 2.0 04 '!$B$16:$K$200,8,0)&gt;0,0.4,"")))</f>
        <v/>
      </c>
      <c r="U247" s="147" t="str">
        <f ca="1">IFERROR(IFERROR(IF(VLOOKUP($A247,'Шаг2.Бланк заказа NEW'!$B$17:$N$201,8,0)="","",VLOOKUP($A247,'Шаг2.Бланк заказа NEW'!$B$17:$N$201,8,0)),
IF(VLOOKUP($A247-COUNT('Шаг2.Бланк заказа NEW'!$B$19:$B$201),'Бланк OLD 0.8 04'!$B$12:$K$200,7,0)&gt;1,0.8,
IF(VLOOKUP($A247-COUNT('Шаг2.Бланк заказа NEW'!$B$19:$B$201),'Бланк OLD 0.8 04'!$B$12:$K$200,8,0)&gt;1,0.4,
IF(AND(VLOOKUP($A247-COUNT('Шаг2.Бланк заказа NEW'!$B$19:$B$201),'Бланк OLD 0.8 04'!$B$12:$K$200,7,0)&gt;0,VLOOKUP($A247-COUNT('Шаг2.Бланк заказа NEW'!$B$19:$B$201),'Бланк OLD 0.8 04'!$B$12:$K$200,8,0)&gt;0),0.4,"")))),
IF(VLOOKUP($A247-COUNT('Шаг2.Бланк заказа NEW'!$B$19:$B$201)-COUNT('Бланк OLD 0.8 04'!$B$18:$B$200),'Бланк OLD 2.0 04 '!$B$16:$K$200,7,0)&gt;1,2,
IF(VLOOKUP($A247-COUNT('Шаг2.Бланк заказа NEW'!$B$19:$B$201)-COUNT('Бланк OLD 0.8 04'!$B$18:$B$200),'Бланк OLD 2.0 04 '!$B$16:$K$200,8,0)&gt;1,0.4,
IF(AND(VLOOKUP($A247-COUNT('Шаг2.Бланк заказа NEW'!$B$19:$B$201)-COUNT('Бланк OLD 0.8 04'!$B$18:$B$200),'Бланк OLD 2.0 04 '!$B$16:$K$200,7,0)&gt;0,VLOOKUP($A247-COUNT('Шаг2.Бланк заказа NEW'!$B$19:$B$201)-COUNT('Бланк OLD 0.8 04'!$B$18:$B$200),'Бланк OLD 2.0 04 '!$B$16:$K$200,8,0)&gt;0),0.4,""))))</f>
        <v/>
      </c>
      <c r="V247" s="146" t="str">
        <f ca="1">IFERROR(VLOOKUP(C247,'Шаг1.Выбор плиты'!C:S,12,0),"")</f>
        <v/>
      </c>
      <c r="W247" s="146" t="str">
        <f ca="1">IFERROR(VLOOKUP(C247,'Шаг1.Выбор плиты'!C:S,8,0),"")</f>
        <v/>
      </c>
      <c r="X247" s="146" t="str">
        <f ca="1">IFERROR(VLOOKUP(C247,'Шаг1.Выбор плиты'!C:S,10,0),"")</f>
        <v/>
      </c>
      <c r="Y247" s="147" t="str">
        <f t="shared" ca="1" si="18"/>
        <v/>
      </c>
      <c r="AD247" s="147" t="str">
        <f t="shared" ca="1" si="21"/>
        <v/>
      </c>
      <c r="AE247" s="147" t="str">
        <f t="shared" ca="1" si="19"/>
        <v/>
      </c>
      <c r="AF247" s="25"/>
      <c r="AH247" s="147" t="str">
        <f ca="1">IF(C247="","",VLOOKUP(C247,'Шаг1.Выбор плиты'!C:Q,7,0))</f>
        <v/>
      </c>
      <c r="AI247" s="147" t="str">
        <f t="shared" ca="1" si="22"/>
        <v/>
      </c>
    </row>
    <row r="248" spans="1:35" x14ac:dyDescent="0.2">
      <c r="A248" s="151" t="str">
        <f ca="1">IF(C248="","",MAX($A$1:OFFSET(C248,-1,0))+1)</f>
        <v/>
      </c>
      <c r="B248" s="151" t="str">
        <f ca="1">IFERROR(IFERROR(IFERROR("Шаг2.Бланк заказа NEW №"&amp;VLOOKUP(A247+1,CHOOSE({1,2},'Шаг2.Бланк заказа NEW'!$B$19:$B$201,'Шаг2.Бланк заказа NEW'!$A$19:$A$201),1,0),
"Бланк OLD 0.8 04 №"&amp;VLOOKUP(A247+1-COUNT('Шаг2.Бланк заказа NEW'!$B$19:$B$201),CHOOSE({1,2},'Бланк OLD 0.8 04'!$B$18:$B$200,'Бланк OLD 0.8 04'!$A$18:$A$200),1,0)),
"Бланк OLD 2.0 04 №"&amp;VLOOKUP(A247+1-COUNT('Шаг2.Бланк заказа NEW'!$B$19:$B$201)-COUNT('Бланк OLD 0.8 04'!$B$18:$B$200),CHOOSE({1,2},'Бланк OLD 2.0 04 '!$B$18:$B$200,'Бланк OLD 2.0 04 '!$A$18:$A$200),1,0)),"")</f>
        <v/>
      </c>
      <c r="C248" s="152" t="str">
        <f ca="1">IFERROR(IFERROR(IFERROR(VLOOKUP(A247+1,CHOOSE({1,2},'Шаг2.Бланк заказа NEW'!$B$19:$B$201,'Шаг2.Бланк заказа NEW'!$A$19:$A$201),2,0),
VLOOKUP(A247+1-COUNT('Шаг2.Бланк заказа NEW'!$B$19:$B$201),CHOOSE({1,2},'Бланк OLD 0.8 04'!$B$18:$B$200,'Бланк OLD 0.8 04'!$A$18:$A$200),2,0)),
VLOOKUP(A247+1-COUNT('Шаг2.Бланк заказа NEW'!$B$19:$B$201)-COUNT('Бланк OLD 0.8 04'!$B$18:$B$200),CHOOSE({1,2},'Бланк OLD 2.0 04 '!$B$18:$B$200,'Бланк OLD 2.0 04 '!$A$18:$A$200),2,0)),"")</f>
        <v/>
      </c>
      <c r="D248" s="150" t="str">
        <f ca="1">IFERROR(VLOOKUP(C248,'Шаг1.Выбор плиты'!C:G,5,0),"")</f>
        <v/>
      </c>
      <c r="E248" s="147" t="str">
        <f ca="1">IFERROR(IFERROR(IF(VLOOKUP($A248,'Шаг2.Бланк заказа NEW'!$B$17:$N$201,2,0)="","",VLOOKUP($A248,'Шаг2.Бланк заказа NEW'!$B$17:$N$201,2,0)),
IF(VLOOKUP($A248-COUNT('Шаг2.Бланк заказа NEW'!$B$19:$B$201),'Бланк OLD 0.8 04'!$B$12:$K$200,2,0)="","",VLOOKUP($A248-COUNT('Шаг2.Бланк заказа NEW'!$B$19:$B$201),'Бланк OLD 0.8 04'!$B$12:$K$200,2,0))),
IF(VLOOKUP($A248-COUNT('Шаг2.Бланк заказа NEW'!$B$19:$B$201)-COUNT('Бланк OLD 0.8 04'!$B$18:$B$200),'Бланк OLD 2.0 04 '!$B$16:$K$200,2,0)="","",VLOOKUP($A248-COUNT('Шаг2.Бланк заказа NEW'!$B$19:$B$201)-COUNT('Бланк OLD 0.8 04'!$B$18:$B$200),'Бланк OLD 2.0 04 '!$B$16:$K$200,2,0)))</f>
        <v/>
      </c>
      <c r="F248" s="147" t="str">
        <f ca="1">IFERROR(IFERROR(IF(VLOOKUP($A248,'Шаг2.Бланк заказа NEW'!$B$17:$N$201,3,0)="","",VLOOKUP($A248,'Шаг2.Бланк заказа NEW'!$B$17:$N$201,3,0)),
IF(VLOOKUP($A248-COUNT('Шаг2.Бланк заказа NEW'!$B$19:$B$201),'Бланк OLD 0.8 04'!$B$12:$K$200,3,0)="","",VLOOKUP($A248-COUNT('Шаг2.Бланк заказа NEW'!$B$19:$B$201),'Бланк OLD 0.8 04'!$B$12:$K$200,3,0))),
IF(VLOOKUP($A248-COUNT('Шаг2.Бланк заказа NEW'!$B$19:$B$201)-COUNT('Бланк OLD 0.8 04'!$B$18:$B$200),'Бланк OLD 2.0 04 '!$B$16:$K$200,3,0)="","",VLOOKUP($A248-COUNT('Шаг2.Бланк заказа NEW'!$B$19:$B$201)-COUNT('Бланк OLD 0.8 04'!$B$18:$B$200),'Бланк OLD 2.0 04 '!$B$16:$K$200,3,0)))</f>
        <v/>
      </c>
      <c r="G248" s="176" t="str">
        <f ca="1">IF(IF(R248="","",IF(R248=1,SUMIFS('Шаг1.Выбор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плиты'!C:Q,12,0)),1))))))=0,
R248,
IF(R248="","",IF(R248=1,SUMIFS('Шаг1.Выбор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плиты'!N:N,R248,'Шаг1.Выбор плиты'!M:M,SMALL(INDIRECT("мм"&amp;VLOOKUP(C248,'Шаг1.Выбор плиты'!C:Q,12,0)),1)))))))</f>
        <v/>
      </c>
      <c r="H248" s="177" t="str">
        <f ca="1">IF(IF(S248="","",IF(S248=1,SUMIFS('Шаг1.Выбор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плиты'!C:Q,12,0)),1))))))=0,
S248,
IF(S248="","",IF(S248=1,SUMIFS('Шаг1.Выбор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плиты'!N:N,S248,'Шаг1.Выбор плиты'!M:M,SMALL(INDIRECT("мм"&amp;VLOOKUP(C248,'Шаг1.Выбор плиты'!C:Q,12,0)),1)))))))</f>
        <v/>
      </c>
      <c r="I248" s="147" t="str">
        <f ca="1">IFERROR(IFERROR(IF(VLOOKUP($A248,'Шаг2.Бланк заказа NEW'!$B$17:$N$201,6,0)="","",VLOOKUP($A248,'Шаг2.Бланк заказа NEW'!$B$17:$N$201,6,0)),
IF(VLOOKUP($A248-COUNT('Шаг2.Бланк заказа NEW'!$B$19:$B$201),'Бланк OLD 0.8 04'!$B$12:$K$200,6,0)="","",VLOOKUP($A248-COUNT('Шаг2.Бланк заказа NEW'!$B$19:$B$201),'Бланк OLD 0.8 04'!$B$12:$K$200,6,0))),
IF(VLOOKUP($A248-COUNT('Шаг2.Бланк заказа NEW'!$B$19:$B$201)-COUNT('Бланк OLD 0.8 04'!$B$18:$B$200),'Бланк OLD 2.0 04 '!$B$16:$K$200,6,0)="","",VLOOKUP($A248-COUNT('Шаг2.Бланк заказа NEW'!$B$19:$B$201)-COUNT('Бланк OLD 0.8 04'!$B$18:$B$200),'Бланк OLD 2.0 04 '!$B$16:$K$200,6,0)))</f>
        <v/>
      </c>
      <c r="J248" s="177" t="str">
        <f ca="1">IF(IF(T248="","",IF(T248=1,SUMIFS('Шаг1.Выбор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плиты'!C:Q,12,0)),1))))))=0,
T248,
IF(T248="","",IF(T248=1,SUMIFS('Шаг1.Выбор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плиты'!N:N,T248,'Шаг1.Выбор плиты'!M:M,SMALL(INDIRECT("мм"&amp;VLOOKUP(C248,'Шаг1.Выбор плиты'!C:Q,12,0)),1)))))))</f>
        <v/>
      </c>
      <c r="K248" s="177" t="str">
        <f ca="1">IF(IF(U248="","",IF(U248=1,SUMIFS('Шаг1.Выбор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плиты'!C:Q,12,0)),1))))))=0,
U248,
IF(U248="","",IF(U248=1,SUMIFS('Шаг1.Выбор плиты'!$G:$G,'Шаг1.Выбор плиты'!J:J,"*"&amp;RIGHT(VLOOKUP(C248,'Шаг1.Выбор плиты'!C:Q,8,0),4),'Шаг1.Выбор плиты'!L:L,IF(MID(C248,1,6)="ЛДСП P","TM"&amp;MID(VLOOKUP(C248,'Шаг1.Выбор плиты'!C:Q,10,0),3,2),MID(VLOOKUP(C248,'Шаг1.Выбор плиты'!C:Q,10,0),1,2)),
'Шаг1.Выбор плиты'!N:N,1),IF(SUMIFS('Шаг1.Выбор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плиты'!C:Q,12,0)),1))=0,
IF(SUMIFS('Шаг1.Выбор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плиты'!C:Q,12,0)),2))=0,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плиты'!C:Q,12,0)),3)),
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плиты'!C:Q,12,0)),2))),
(SUMIFS('Шаг1.Выбор плиты'!$G:$G,'Шаг1.Выбор плиты'!J:J,"*"&amp;RIGHT(VLOOKUP(C248,'Шаг1.Выбор плиты'!C:Q,8,0),4),'Шаг1.Выбор плиты'!L:L,VLOOKUP(C248,'Шаг1.Выбор плиты'!C:Q,10,0),'Шаг1.Выбор плиты'!N:N,U248,'Шаг1.Выбор плиты'!M:M,SMALL(INDIRECT("мм"&amp;VLOOKUP(C248,'Шаг1.Выбор плиты'!C:Q,12,0)),1)))))))</f>
        <v/>
      </c>
      <c r="L248" s="147" t="str">
        <f ca="1">IFERROR(IFERROR(IF(VLOOKUP($A248,'Шаг2.Бланк заказа NEW'!$B$17:$N$201,9,0)="","",VLOOKUP($A248,'Шаг2.Бланк заказа NEW'!$B$17:$N$201,9,0)),
IF(VLOOKUP($A248-COUNT('Шаг2.Бланк заказа NEW'!$B$19:$B$201),'Бланк OLD 0.8 04'!$B$12:$K$200,9,0)="","",VLOOKUP($A248-COUNT('Шаг2.Бланк заказа NEW'!$B$19:$B$201),'Бланк OLD 0.8 04'!$B$12:$K$200,9,0))),
IF(VLOOKUP($A248-COUNT('Шаг2.Бланк заказа NEW'!$B$19:$B$201)-COUNT('Бланк OLD 0.8 04'!$B$18:$B$200),'Бланк OLD 2.0 04 '!$B$16:$K$200,9,0)="","",VLOOKUP($A248-COUNT('Шаг2.Бланк заказа NEW'!$B$19:$B$201)-COUNT('Бланк OLD 0.8 04'!$B$18:$B$200),'Бланк OLD 2.0 04 '!$B$16:$K$200,9,0)))</f>
        <v/>
      </c>
      <c r="M248" s="154" t="str">
        <f t="shared" ca="1" si="20"/>
        <v/>
      </c>
      <c r="N248" s="153" t="str">
        <f ca="1">IFERROR(IF(VLOOKUP($A248,'Шаг2.Бланк заказа NEW'!$B$17:$N$201,11,0)="","",VLOOKUP($A248,'Шаг2.Бланк заказа NEW'!$B$17:$N$201,11,0)),
"Нет")</f>
        <v/>
      </c>
      <c r="O248" s="147" t="str">
        <f ca="1">IFERROR(IF(VLOOKUP($A248,'Шаг2.Бланк заказа NEW'!$B$17:$N$201,11,0)="","",VLOOKUP($A248,'Шаг2.Бланк заказа NEW'!$B$17:$N$201,12,0)),
"Нет")</f>
        <v/>
      </c>
      <c r="P248" s="153" t="str">
        <f ca="1">IFERROR(IF(VLOOKUP($A248,'Шаг2.Бланк заказа NEW'!$B$17:$N$201,13,0)="","",VLOOKUP($A248,'Шаг2.Бланк заказа NEW'!$B$17:$N$201,13,0)),
"Нет")</f>
        <v/>
      </c>
      <c r="Q248" s="147" t="str">
        <f ca="1">IFERROR(IF(VLOOKUP($A248,'Шаг2.Бланк заказа NEW'!$B$17:$O$201,14,0)="","",VLOOKUP($A248,'Шаг2.Бланк заказа NEW'!$B$17:$O$201,14,0)),"")</f>
        <v/>
      </c>
      <c r="R248" s="147" t="str">
        <f ca="1">IFERROR(IFERROR(IF(VLOOKUP($A248,'Шаг2.Бланк заказа NEW'!$B$17:$N$201,4,0)="","",VLOOKUP($A248,'Шаг2.Бланк заказа NEW'!$B$17:$N$201,4,0)),
IF(VLOOKUP($A248-COUNT('Шаг2.Бланк заказа NEW'!$B$19:$B$201),'Бланк OLD 0.8 04'!$B$12:$K$200,4,0)&gt;0,0.8,
IF(VLOOKUP($A248-COUNT('Шаг2.Бланк заказа NEW'!$B$19:$B$201),'Бланк OLD 0.8 04'!$B$12:$K$200,5,0)&gt;0,0.4,""))),
IF(VLOOKUP($A248-COUNT('Шаг2.Бланк заказа NEW'!$B$19:$B$201)-COUNT('Бланк OLD 0.8 04'!$B$18:$B$200),'Бланк OLD 2.0 04 '!$B$16:$K$200,4,0)&gt;0,2,IF(VLOOKUP($A248-COUNT('Шаг2.Бланк заказа NEW'!$B$19:$B$201)-COUNT('Бланк OLD 0.8 04'!$B$18:$B$200),'Бланк OLD 2.0 04 '!$B$16:$K$200,5,0)&gt;0,0.4,"")))</f>
        <v/>
      </c>
      <c r="S248" s="147" t="str">
        <f ca="1">IFERROR(IFERROR(IF(VLOOKUP($A248,'Шаг2.Бланк заказа NEW'!$B$17:$N$201,5,0)="","",VLOOKUP($A248,'Шаг2.Бланк заказа NEW'!$B$17:$N$201,5,0)),
IF(VLOOKUP($A248-COUNT('Шаг2.Бланк заказа NEW'!$B$19:$B$201),'Бланк OLD 0.8 04'!$B$12:$K$200,4,0)&gt;1,0.8,
IF(VLOOKUP($A248-COUNT('Шаг2.Бланк заказа NEW'!$B$19:$B$201),'Бланк OLD 0.8 04'!$B$12:$K$200,5,0)&gt;1,0.4,
IF(AND(VLOOKUP($A248-COUNT('Шаг2.Бланк заказа NEW'!$B$19:$B$201),'Бланк OLD 0.8 04'!$B$12:$K$200,4,0)&gt;0,VLOOKUP($A248-COUNT('Шаг2.Бланк заказа NEW'!$B$19:$B$201),'Бланк OLD 0.8 04'!$B$12:$K$200,5,0)&gt;0),0.4,"")))),
IF(VLOOKUP($A248-COUNT('Шаг2.Бланк заказа NEW'!$B$19:$B$201)-COUNT('Бланк OLD 0.8 04'!$B$18:$B$200),'Бланк OLD 2.0 04 '!$B$16:$K$200,4,0)&gt;1,2,
IF(VLOOKUP($A248-COUNT('Шаг2.Бланк заказа NEW'!$B$19:$B$201)-COUNT('Бланк OLD 0.8 04'!$B$18:$B$200),'Бланк OLD 2.0 04 '!$B$16:$K$200,5,0)&gt;1,0.4,IF(AND(VLOOKUP($A248-COUNT('Шаг2.Бланк заказа NEW'!$B$19:$B$201)-COUNT('Бланк OLD 0.8 04'!$B$18:$B$200),'Бланк OLD 2.0 04 '!$B$16:$K$200,4,0)&gt;0,VLOOKUP($A248-COUNT('Шаг2.Бланк заказа NEW'!$B$19:$B$201)-COUNT('Бланк OLD 0.8 04'!$B$18:$B$200),'Бланк OLD 2.0 04 '!$B$16:$K$200,5,0)&gt;0),0.4,""))))</f>
        <v/>
      </c>
      <c r="T248" s="147" t="str">
        <f ca="1">IFERROR(IFERROR(IF(VLOOKUP($A248,'Шаг2.Бланк заказа NEW'!$B$17:$N$201,7,0)="","",VLOOKUP($A248,'Шаг2.Бланк заказа NEW'!$B$17:$N$201,7,0)),
IF(VLOOKUP($A248-COUNT('Шаг2.Бланк заказа NEW'!$B$19:$B$201),'Бланк OLD 0.8 04'!$B$12:$K$200,7,0)&gt;0,0.8,
IF(VLOOKUP($A248-COUNT('Шаг2.Бланк заказа NEW'!$B$19:$B$201),'Бланк OLD 0.8 04'!$B$12:$K$200,8,0)&gt;0,0.4,""))),
IF(VLOOKUP($A248-COUNT('Шаг2.Бланк заказа NEW'!$B$19:$B$201)-COUNT('Бланк OLD 0.8 04'!$B$18:$B$200),'Бланк OLD 2.0 04 '!$B$16:$K$200,7,0)&gt;0,2,IF(VLOOKUP($A248-COUNT('Шаг2.Бланк заказа NEW'!$B$19:$B$201)-COUNT('Бланк OLD 0.8 04'!$B$18:$B$200),'Бланк OLD 2.0 04 '!$B$16:$K$200,8,0)&gt;0,0.4,"")))</f>
        <v/>
      </c>
      <c r="U248" s="147" t="str">
        <f ca="1">IFERROR(IFERROR(IF(VLOOKUP($A248,'Шаг2.Бланк заказа NEW'!$B$17:$N$201,8,0)="","",VLOOKUP($A248,'Шаг2.Бланк заказа NEW'!$B$17:$N$201,8,0)),
IF(VLOOKUP($A248-COUNT('Шаг2.Бланк заказа NEW'!$B$19:$B$201),'Бланк OLD 0.8 04'!$B$12:$K$200,7,0)&gt;1,0.8,
IF(VLOOKUP($A248-COUNT('Шаг2.Бланк заказа NEW'!$B$19:$B$201),'Бланк OLD 0.8 04'!$B$12:$K$200,8,0)&gt;1,0.4,
IF(AND(VLOOKUP($A248-COUNT('Шаг2.Бланк заказа NEW'!$B$19:$B$201),'Бланк OLD 0.8 04'!$B$12:$K$200,7,0)&gt;0,VLOOKUP($A248-COUNT('Шаг2.Бланк заказа NEW'!$B$19:$B$201),'Бланк OLD 0.8 04'!$B$12:$K$200,8,0)&gt;0),0.4,"")))),
IF(VLOOKUP($A248-COUNT('Шаг2.Бланк заказа NEW'!$B$19:$B$201)-COUNT('Бланк OLD 0.8 04'!$B$18:$B$200),'Бланк OLD 2.0 04 '!$B$16:$K$200,7,0)&gt;1,2,
IF(VLOOKUP($A248-COUNT('Шаг2.Бланк заказа NEW'!$B$19:$B$201)-COUNT('Бланк OLD 0.8 04'!$B$18:$B$200),'Бланк OLD 2.0 04 '!$B$16:$K$200,8,0)&gt;1,0.4,
IF(AND(VLOOKUP($A248-COUNT('Шаг2.Бланк заказа NEW'!$B$19:$B$201)-COUNT('Бланк OLD 0.8 04'!$B$18:$B$200),'Бланк OLD 2.0 04 '!$B$16:$K$200,7,0)&gt;0,VLOOKUP($A248-COUNT('Шаг2.Бланк заказа NEW'!$B$19:$B$201)-COUNT('Бланк OLD 0.8 04'!$B$18:$B$200),'Бланк OLD 2.0 04 '!$B$16:$K$200,8,0)&gt;0),0.4,""))))</f>
        <v/>
      </c>
      <c r="V248" s="146" t="str">
        <f ca="1">IFERROR(VLOOKUP(C248,'Шаг1.Выбор плиты'!C:S,12,0),"")</f>
        <v/>
      </c>
      <c r="W248" s="146" t="str">
        <f ca="1">IFERROR(VLOOKUP(C248,'Шаг1.Выбор плиты'!C:S,8,0),"")</f>
        <v/>
      </c>
      <c r="X248" s="146" t="str">
        <f ca="1">IFERROR(VLOOKUP(C248,'Шаг1.Выбор плиты'!C:S,10,0),"")</f>
        <v/>
      </c>
      <c r="Y248" s="147" t="str">
        <f t="shared" ca="1" si="18"/>
        <v/>
      </c>
      <c r="AD248" s="147" t="str">
        <f t="shared" ca="1" si="21"/>
        <v/>
      </c>
      <c r="AE248" s="147" t="str">
        <f t="shared" ca="1" si="19"/>
        <v/>
      </c>
      <c r="AF248" s="25"/>
      <c r="AH248" s="147" t="str">
        <f ca="1">IF(C248="","",VLOOKUP(C248,'Шаг1.Выбор плиты'!C:Q,7,0))</f>
        <v/>
      </c>
      <c r="AI248" s="147" t="str">
        <f t="shared" ca="1" si="22"/>
        <v/>
      </c>
    </row>
    <row r="249" spans="1:35" x14ac:dyDescent="0.2">
      <c r="A249" s="151" t="str">
        <f ca="1">IF(C249="","",MAX($A$1:OFFSET(C249,-1,0))+1)</f>
        <v/>
      </c>
      <c r="B249" s="151" t="str">
        <f ca="1">IFERROR(IFERROR(IFERROR("Шаг2.Бланк заказа NEW №"&amp;VLOOKUP(A248+1,CHOOSE({1,2},'Шаг2.Бланк заказа NEW'!$B$19:$B$201,'Шаг2.Бланк заказа NEW'!$A$19:$A$201),1,0),
"Бланк OLD 0.8 04 №"&amp;VLOOKUP(A248+1-COUNT('Шаг2.Бланк заказа NEW'!$B$19:$B$201),CHOOSE({1,2},'Бланк OLD 0.8 04'!$B$18:$B$200,'Бланк OLD 0.8 04'!$A$18:$A$200),1,0)),
"Бланк OLD 2.0 04 №"&amp;VLOOKUP(A248+1-COUNT('Шаг2.Бланк заказа NEW'!$B$19:$B$201)-COUNT('Бланк OLD 0.8 04'!$B$18:$B$200),CHOOSE({1,2},'Бланк OLD 2.0 04 '!$B$18:$B$200,'Бланк OLD 2.0 04 '!$A$18:$A$200),1,0)),"")</f>
        <v/>
      </c>
      <c r="C249" s="152" t="str">
        <f ca="1">IFERROR(IFERROR(IFERROR(VLOOKUP(A248+1,CHOOSE({1,2},'Шаг2.Бланк заказа NEW'!$B$19:$B$201,'Шаг2.Бланк заказа NEW'!$A$19:$A$201),2,0),
VLOOKUP(A248+1-COUNT('Шаг2.Бланк заказа NEW'!$B$19:$B$201),CHOOSE({1,2},'Бланк OLD 0.8 04'!$B$18:$B$200,'Бланк OLD 0.8 04'!$A$18:$A$200),2,0)),
VLOOKUP(A248+1-COUNT('Шаг2.Бланк заказа NEW'!$B$19:$B$201)-COUNT('Бланк OLD 0.8 04'!$B$18:$B$200),CHOOSE({1,2},'Бланк OLD 2.0 04 '!$B$18:$B$200,'Бланк OLD 2.0 04 '!$A$18:$A$200),2,0)),"")</f>
        <v/>
      </c>
      <c r="D249" s="150" t="str">
        <f ca="1">IFERROR(VLOOKUP(C249,'Шаг1.Выбор плиты'!C:G,5,0),"")</f>
        <v/>
      </c>
      <c r="E249" s="147" t="str">
        <f ca="1">IFERROR(IFERROR(IF(VLOOKUP($A249,'Шаг2.Бланк заказа NEW'!$B$17:$N$201,2,0)="","",VLOOKUP($A249,'Шаг2.Бланк заказа NEW'!$B$17:$N$201,2,0)),
IF(VLOOKUP($A249-COUNT('Шаг2.Бланк заказа NEW'!$B$19:$B$201),'Бланк OLD 0.8 04'!$B$12:$K$200,2,0)="","",VLOOKUP($A249-COUNT('Шаг2.Бланк заказа NEW'!$B$19:$B$201),'Бланк OLD 0.8 04'!$B$12:$K$200,2,0))),
IF(VLOOKUP($A249-COUNT('Шаг2.Бланк заказа NEW'!$B$19:$B$201)-COUNT('Бланк OLD 0.8 04'!$B$18:$B$200),'Бланк OLD 2.0 04 '!$B$16:$K$200,2,0)="","",VLOOKUP($A249-COUNT('Шаг2.Бланк заказа NEW'!$B$19:$B$201)-COUNT('Бланк OLD 0.8 04'!$B$18:$B$200),'Бланк OLD 2.0 04 '!$B$16:$K$200,2,0)))</f>
        <v/>
      </c>
      <c r="F249" s="147" t="str">
        <f ca="1">IFERROR(IFERROR(IF(VLOOKUP($A249,'Шаг2.Бланк заказа NEW'!$B$17:$N$201,3,0)="","",VLOOKUP($A249,'Шаг2.Бланк заказа NEW'!$B$17:$N$201,3,0)),
IF(VLOOKUP($A249-COUNT('Шаг2.Бланк заказа NEW'!$B$19:$B$201),'Бланк OLD 0.8 04'!$B$12:$K$200,3,0)="","",VLOOKUP($A249-COUNT('Шаг2.Бланк заказа NEW'!$B$19:$B$201),'Бланк OLD 0.8 04'!$B$12:$K$200,3,0))),
IF(VLOOKUP($A249-COUNT('Шаг2.Бланк заказа NEW'!$B$19:$B$201)-COUNT('Бланк OLD 0.8 04'!$B$18:$B$200),'Бланк OLD 2.0 04 '!$B$16:$K$200,3,0)="","",VLOOKUP($A249-COUNT('Шаг2.Бланк заказа NEW'!$B$19:$B$201)-COUNT('Бланк OLD 0.8 04'!$B$18:$B$200),'Бланк OLD 2.0 04 '!$B$16:$K$200,3,0)))</f>
        <v/>
      </c>
      <c r="G249" s="176" t="str">
        <f ca="1">IF(IF(R249="","",IF(R249=1,SUMIFS('Шаг1.Выбор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плиты'!C:Q,12,0)),1))))))=0,
R249,
IF(R249="","",IF(R249=1,SUMIFS('Шаг1.Выбор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плиты'!N:N,R249,'Шаг1.Выбор плиты'!M:M,SMALL(INDIRECT("мм"&amp;VLOOKUP(C249,'Шаг1.Выбор плиты'!C:Q,12,0)),1)))))))</f>
        <v/>
      </c>
      <c r="H249" s="177" t="str">
        <f ca="1">IF(IF(S249="","",IF(S249=1,SUMIFS('Шаг1.Выбор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плиты'!C:Q,12,0)),1))))))=0,
S249,
IF(S249="","",IF(S249=1,SUMIFS('Шаг1.Выбор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плиты'!N:N,S249,'Шаг1.Выбор плиты'!M:M,SMALL(INDIRECT("мм"&amp;VLOOKUP(C249,'Шаг1.Выбор плиты'!C:Q,12,0)),1)))))))</f>
        <v/>
      </c>
      <c r="I249" s="147" t="str">
        <f ca="1">IFERROR(IFERROR(IF(VLOOKUP($A249,'Шаг2.Бланк заказа NEW'!$B$17:$N$201,6,0)="","",VLOOKUP($A249,'Шаг2.Бланк заказа NEW'!$B$17:$N$201,6,0)),
IF(VLOOKUP($A249-COUNT('Шаг2.Бланк заказа NEW'!$B$19:$B$201),'Бланк OLD 0.8 04'!$B$12:$K$200,6,0)="","",VLOOKUP($A249-COUNT('Шаг2.Бланк заказа NEW'!$B$19:$B$201),'Бланк OLD 0.8 04'!$B$12:$K$200,6,0))),
IF(VLOOKUP($A249-COUNT('Шаг2.Бланк заказа NEW'!$B$19:$B$201)-COUNT('Бланк OLD 0.8 04'!$B$18:$B$200),'Бланк OLD 2.0 04 '!$B$16:$K$200,6,0)="","",VLOOKUP($A249-COUNT('Шаг2.Бланк заказа NEW'!$B$19:$B$201)-COUNT('Бланк OLD 0.8 04'!$B$18:$B$200),'Бланк OLD 2.0 04 '!$B$16:$K$200,6,0)))</f>
        <v/>
      </c>
      <c r="J249" s="177" t="str">
        <f ca="1">IF(IF(T249="","",IF(T249=1,SUMIFS('Шаг1.Выбор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плиты'!C:Q,12,0)),1))))))=0,
T249,
IF(T249="","",IF(T249=1,SUMIFS('Шаг1.Выбор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плиты'!N:N,T249,'Шаг1.Выбор плиты'!M:M,SMALL(INDIRECT("мм"&amp;VLOOKUP(C249,'Шаг1.Выбор плиты'!C:Q,12,0)),1)))))))</f>
        <v/>
      </c>
      <c r="K249" s="177" t="str">
        <f ca="1">IF(IF(U249="","",IF(U249=1,SUMIFS('Шаг1.Выбор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плиты'!C:Q,12,0)),1))))))=0,
U249,
IF(U249="","",IF(U249=1,SUMIFS('Шаг1.Выбор плиты'!$G:$G,'Шаг1.Выбор плиты'!J:J,"*"&amp;RIGHT(VLOOKUP(C249,'Шаг1.Выбор плиты'!C:Q,8,0),4),'Шаг1.Выбор плиты'!L:L,IF(MID(C249,1,6)="ЛДСП P","TM"&amp;MID(VLOOKUP(C249,'Шаг1.Выбор плиты'!C:Q,10,0),3,2),MID(VLOOKUP(C249,'Шаг1.Выбор плиты'!C:Q,10,0),1,2)),
'Шаг1.Выбор плиты'!N:N,1),IF(SUMIFS('Шаг1.Выбор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плиты'!C:Q,12,0)),1))=0,
IF(SUMIFS('Шаг1.Выбор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плиты'!C:Q,12,0)),2))=0,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плиты'!C:Q,12,0)),3)),
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плиты'!C:Q,12,0)),2))),
(SUMIFS('Шаг1.Выбор плиты'!$G:$G,'Шаг1.Выбор плиты'!J:J,"*"&amp;RIGHT(VLOOKUP(C249,'Шаг1.Выбор плиты'!C:Q,8,0),4),'Шаг1.Выбор плиты'!L:L,VLOOKUP(C249,'Шаг1.Выбор плиты'!C:Q,10,0),'Шаг1.Выбор плиты'!N:N,U249,'Шаг1.Выбор плиты'!M:M,SMALL(INDIRECT("мм"&amp;VLOOKUP(C249,'Шаг1.Выбор плиты'!C:Q,12,0)),1)))))))</f>
        <v/>
      </c>
      <c r="L249" s="147" t="str">
        <f ca="1">IFERROR(IFERROR(IF(VLOOKUP($A249,'Шаг2.Бланк заказа NEW'!$B$17:$N$201,9,0)="","",VLOOKUP($A249,'Шаг2.Бланк заказа NEW'!$B$17:$N$201,9,0)),
IF(VLOOKUP($A249-COUNT('Шаг2.Бланк заказа NEW'!$B$19:$B$201),'Бланк OLD 0.8 04'!$B$12:$K$200,9,0)="","",VLOOKUP($A249-COUNT('Шаг2.Бланк заказа NEW'!$B$19:$B$201),'Бланк OLD 0.8 04'!$B$12:$K$200,9,0))),
IF(VLOOKUP($A249-COUNT('Шаг2.Бланк заказа NEW'!$B$19:$B$201)-COUNT('Бланк OLD 0.8 04'!$B$18:$B$200),'Бланк OLD 2.0 04 '!$B$16:$K$200,9,0)="","",VLOOKUP($A249-COUNT('Шаг2.Бланк заказа NEW'!$B$19:$B$201)-COUNT('Бланк OLD 0.8 04'!$B$18:$B$200),'Бланк OLD 2.0 04 '!$B$16:$K$200,9,0)))</f>
        <v/>
      </c>
      <c r="M249" s="154" t="str">
        <f t="shared" ca="1" si="20"/>
        <v/>
      </c>
      <c r="N249" s="153" t="str">
        <f ca="1">IFERROR(IF(VLOOKUP($A249,'Шаг2.Бланк заказа NEW'!$B$17:$N$201,11,0)="","",VLOOKUP($A249,'Шаг2.Бланк заказа NEW'!$B$17:$N$201,11,0)),
"Нет")</f>
        <v/>
      </c>
      <c r="O249" s="147" t="str">
        <f ca="1">IFERROR(IF(VLOOKUP($A249,'Шаг2.Бланк заказа NEW'!$B$17:$N$201,11,0)="","",VLOOKUP($A249,'Шаг2.Бланк заказа NEW'!$B$17:$N$201,12,0)),
"Нет")</f>
        <v/>
      </c>
      <c r="P249" s="153" t="str">
        <f ca="1">IFERROR(IF(VLOOKUP($A249,'Шаг2.Бланк заказа NEW'!$B$17:$N$201,13,0)="","",VLOOKUP($A249,'Шаг2.Бланк заказа NEW'!$B$17:$N$201,13,0)),
"Нет")</f>
        <v/>
      </c>
      <c r="Q249" s="147" t="str">
        <f ca="1">IFERROR(IF(VLOOKUP($A249,'Шаг2.Бланк заказа NEW'!$B$17:$O$201,14,0)="","",VLOOKUP($A249,'Шаг2.Бланк заказа NEW'!$B$17:$O$201,14,0)),"")</f>
        <v/>
      </c>
      <c r="R249" s="147" t="str">
        <f ca="1">IFERROR(IFERROR(IF(VLOOKUP($A249,'Шаг2.Бланк заказа NEW'!$B$17:$N$201,4,0)="","",VLOOKUP($A249,'Шаг2.Бланк заказа NEW'!$B$17:$N$201,4,0)),
IF(VLOOKUP($A249-COUNT('Шаг2.Бланк заказа NEW'!$B$19:$B$201),'Бланк OLD 0.8 04'!$B$12:$K$200,4,0)&gt;0,0.8,
IF(VLOOKUP($A249-COUNT('Шаг2.Бланк заказа NEW'!$B$19:$B$201),'Бланк OLD 0.8 04'!$B$12:$K$200,5,0)&gt;0,0.4,""))),
IF(VLOOKUP($A249-COUNT('Шаг2.Бланк заказа NEW'!$B$19:$B$201)-COUNT('Бланк OLD 0.8 04'!$B$18:$B$200),'Бланк OLD 2.0 04 '!$B$16:$K$200,4,0)&gt;0,2,IF(VLOOKUP($A249-COUNT('Шаг2.Бланк заказа NEW'!$B$19:$B$201)-COUNT('Бланк OLD 0.8 04'!$B$18:$B$200),'Бланк OLD 2.0 04 '!$B$16:$K$200,5,0)&gt;0,0.4,"")))</f>
        <v/>
      </c>
      <c r="S249" s="147" t="str">
        <f ca="1">IFERROR(IFERROR(IF(VLOOKUP($A249,'Шаг2.Бланк заказа NEW'!$B$17:$N$201,5,0)="","",VLOOKUP($A249,'Шаг2.Бланк заказа NEW'!$B$17:$N$201,5,0)),
IF(VLOOKUP($A249-COUNT('Шаг2.Бланк заказа NEW'!$B$19:$B$201),'Бланк OLD 0.8 04'!$B$12:$K$200,4,0)&gt;1,0.8,
IF(VLOOKUP($A249-COUNT('Шаг2.Бланк заказа NEW'!$B$19:$B$201),'Бланк OLD 0.8 04'!$B$12:$K$200,5,0)&gt;1,0.4,
IF(AND(VLOOKUP($A249-COUNT('Шаг2.Бланк заказа NEW'!$B$19:$B$201),'Бланк OLD 0.8 04'!$B$12:$K$200,4,0)&gt;0,VLOOKUP($A249-COUNT('Шаг2.Бланк заказа NEW'!$B$19:$B$201),'Бланк OLD 0.8 04'!$B$12:$K$200,5,0)&gt;0),0.4,"")))),
IF(VLOOKUP($A249-COUNT('Шаг2.Бланк заказа NEW'!$B$19:$B$201)-COUNT('Бланк OLD 0.8 04'!$B$18:$B$200),'Бланк OLD 2.0 04 '!$B$16:$K$200,4,0)&gt;1,2,
IF(VLOOKUP($A249-COUNT('Шаг2.Бланк заказа NEW'!$B$19:$B$201)-COUNT('Бланк OLD 0.8 04'!$B$18:$B$200),'Бланк OLD 2.0 04 '!$B$16:$K$200,5,0)&gt;1,0.4,IF(AND(VLOOKUP($A249-COUNT('Шаг2.Бланк заказа NEW'!$B$19:$B$201)-COUNT('Бланк OLD 0.8 04'!$B$18:$B$200),'Бланк OLD 2.0 04 '!$B$16:$K$200,4,0)&gt;0,VLOOKUP($A249-COUNT('Шаг2.Бланк заказа NEW'!$B$19:$B$201)-COUNT('Бланк OLD 0.8 04'!$B$18:$B$200),'Бланк OLD 2.0 04 '!$B$16:$K$200,5,0)&gt;0),0.4,""))))</f>
        <v/>
      </c>
      <c r="T249" s="147" t="str">
        <f ca="1">IFERROR(IFERROR(IF(VLOOKUP($A249,'Шаг2.Бланк заказа NEW'!$B$17:$N$201,7,0)="","",VLOOKUP($A249,'Шаг2.Бланк заказа NEW'!$B$17:$N$201,7,0)),
IF(VLOOKUP($A249-COUNT('Шаг2.Бланк заказа NEW'!$B$19:$B$201),'Бланк OLD 0.8 04'!$B$12:$K$200,7,0)&gt;0,0.8,
IF(VLOOKUP($A249-COUNT('Шаг2.Бланк заказа NEW'!$B$19:$B$201),'Бланк OLD 0.8 04'!$B$12:$K$200,8,0)&gt;0,0.4,""))),
IF(VLOOKUP($A249-COUNT('Шаг2.Бланк заказа NEW'!$B$19:$B$201)-COUNT('Бланк OLD 0.8 04'!$B$18:$B$200),'Бланк OLD 2.0 04 '!$B$16:$K$200,7,0)&gt;0,2,IF(VLOOKUP($A249-COUNT('Шаг2.Бланк заказа NEW'!$B$19:$B$201)-COUNT('Бланк OLD 0.8 04'!$B$18:$B$200),'Бланк OLD 2.0 04 '!$B$16:$K$200,8,0)&gt;0,0.4,"")))</f>
        <v/>
      </c>
      <c r="U249" s="147" t="str">
        <f ca="1">IFERROR(IFERROR(IF(VLOOKUP($A249,'Шаг2.Бланк заказа NEW'!$B$17:$N$201,8,0)="","",VLOOKUP($A249,'Шаг2.Бланк заказа NEW'!$B$17:$N$201,8,0)),
IF(VLOOKUP($A249-COUNT('Шаг2.Бланк заказа NEW'!$B$19:$B$201),'Бланк OLD 0.8 04'!$B$12:$K$200,7,0)&gt;1,0.8,
IF(VLOOKUP($A249-COUNT('Шаг2.Бланк заказа NEW'!$B$19:$B$201),'Бланк OLD 0.8 04'!$B$12:$K$200,8,0)&gt;1,0.4,
IF(AND(VLOOKUP($A249-COUNT('Шаг2.Бланк заказа NEW'!$B$19:$B$201),'Бланк OLD 0.8 04'!$B$12:$K$200,7,0)&gt;0,VLOOKUP($A249-COUNT('Шаг2.Бланк заказа NEW'!$B$19:$B$201),'Бланк OLD 0.8 04'!$B$12:$K$200,8,0)&gt;0),0.4,"")))),
IF(VLOOKUP($A249-COUNT('Шаг2.Бланк заказа NEW'!$B$19:$B$201)-COUNT('Бланк OLD 0.8 04'!$B$18:$B$200),'Бланк OLD 2.0 04 '!$B$16:$K$200,7,0)&gt;1,2,
IF(VLOOKUP($A249-COUNT('Шаг2.Бланк заказа NEW'!$B$19:$B$201)-COUNT('Бланк OLD 0.8 04'!$B$18:$B$200),'Бланк OLD 2.0 04 '!$B$16:$K$200,8,0)&gt;1,0.4,
IF(AND(VLOOKUP($A249-COUNT('Шаг2.Бланк заказа NEW'!$B$19:$B$201)-COUNT('Бланк OLD 0.8 04'!$B$18:$B$200),'Бланк OLD 2.0 04 '!$B$16:$K$200,7,0)&gt;0,VLOOKUP($A249-COUNT('Шаг2.Бланк заказа NEW'!$B$19:$B$201)-COUNT('Бланк OLD 0.8 04'!$B$18:$B$200),'Бланк OLD 2.0 04 '!$B$16:$K$200,8,0)&gt;0),0.4,""))))</f>
        <v/>
      </c>
      <c r="V249" s="146" t="str">
        <f ca="1">IFERROR(VLOOKUP(C249,'Шаг1.Выбор плиты'!C:S,12,0),"")</f>
        <v/>
      </c>
      <c r="W249" s="146" t="str">
        <f ca="1">IFERROR(VLOOKUP(C249,'Шаг1.Выбор плиты'!C:S,8,0),"")</f>
        <v/>
      </c>
      <c r="X249" s="146" t="str">
        <f ca="1">IFERROR(VLOOKUP(C249,'Шаг1.Выбор плиты'!C:S,10,0),"")</f>
        <v/>
      </c>
      <c r="Y249" s="147" t="str">
        <f t="shared" ca="1" si="18"/>
        <v/>
      </c>
      <c r="AD249" s="147" t="str">
        <f t="shared" ca="1" si="21"/>
        <v/>
      </c>
      <c r="AE249" s="147" t="str">
        <f t="shared" ca="1" si="19"/>
        <v/>
      </c>
      <c r="AF249" s="25"/>
      <c r="AH249" s="147" t="str">
        <f ca="1">IF(C249="","",VLOOKUP(C249,'Шаг1.Выбор плиты'!C:Q,7,0))</f>
        <v/>
      </c>
      <c r="AI249" s="147" t="str">
        <f t="shared" ca="1" si="22"/>
        <v/>
      </c>
    </row>
    <row r="250" spans="1:35" x14ac:dyDescent="0.2">
      <c r="A250" s="151" t="str">
        <f ca="1">IF(C250="","",MAX($A$1:OFFSET(C250,-1,0))+1)</f>
        <v/>
      </c>
      <c r="B250" s="151" t="str">
        <f ca="1">IFERROR(IFERROR(IFERROR("Шаг2.Бланк заказа NEW №"&amp;VLOOKUP(A249+1,CHOOSE({1,2},'Шаг2.Бланк заказа NEW'!$B$19:$B$201,'Шаг2.Бланк заказа NEW'!$A$19:$A$201),1,0),
"Бланк OLD 0.8 04 №"&amp;VLOOKUP(A249+1-COUNT('Шаг2.Бланк заказа NEW'!$B$19:$B$201),CHOOSE({1,2},'Бланк OLD 0.8 04'!$B$18:$B$200,'Бланк OLD 0.8 04'!$A$18:$A$200),1,0)),
"Бланк OLD 2.0 04 №"&amp;VLOOKUP(A249+1-COUNT('Шаг2.Бланк заказа NEW'!$B$19:$B$201)-COUNT('Бланк OLD 0.8 04'!$B$18:$B$200),CHOOSE({1,2},'Бланк OLD 2.0 04 '!$B$18:$B$200,'Бланк OLD 2.0 04 '!$A$18:$A$200),1,0)),"")</f>
        <v/>
      </c>
      <c r="C250" s="152" t="str">
        <f ca="1">IFERROR(IFERROR(IFERROR(VLOOKUP(A249+1,CHOOSE({1,2},'Шаг2.Бланк заказа NEW'!$B$19:$B$201,'Шаг2.Бланк заказа NEW'!$A$19:$A$201),2,0),
VLOOKUP(A249+1-COUNT('Шаг2.Бланк заказа NEW'!$B$19:$B$201),CHOOSE({1,2},'Бланк OLD 0.8 04'!$B$18:$B$200,'Бланк OLD 0.8 04'!$A$18:$A$200),2,0)),
VLOOKUP(A249+1-COUNT('Шаг2.Бланк заказа NEW'!$B$19:$B$201)-COUNT('Бланк OLD 0.8 04'!$B$18:$B$200),CHOOSE({1,2},'Бланк OLD 2.0 04 '!$B$18:$B$200,'Бланк OLD 2.0 04 '!$A$18:$A$200),2,0)),"")</f>
        <v/>
      </c>
      <c r="D250" s="150" t="str">
        <f ca="1">IFERROR(VLOOKUP(C250,'Шаг1.Выбор плиты'!C:G,5,0),"")</f>
        <v/>
      </c>
      <c r="E250" s="147" t="str">
        <f ca="1">IFERROR(IFERROR(IF(VLOOKUP($A250,'Шаг2.Бланк заказа NEW'!$B$17:$N$201,2,0)="","",VLOOKUP($A250,'Шаг2.Бланк заказа NEW'!$B$17:$N$201,2,0)),
IF(VLOOKUP($A250-COUNT('Шаг2.Бланк заказа NEW'!$B$19:$B$201),'Бланк OLD 0.8 04'!$B$12:$K$200,2,0)="","",VLOOKUP($A250-COUNT('Шаг2.Бланк заказа NEW'!$B$19:$B$201),'Бланк OLD 0.8 04'!$B$12:$K$200,2,0))),
IF(VLOOKUP($A250-COUNT('Шаг2.Бланк заказа NEW'!$B$19:$B$201)-COUNT('Бланк OLD 0.8 04'!$B$18:$B$200),'Бланк OLD 2.0 04 '!$B$16:$K$200,2,0)="","",VLOOKUP($A250-COUNT('Шаг2.Бланк заказа NEW'!$B$19:$B$201)-COUNT('Бланк OLD 0.8 04'!$B$18:$B$200),'Бланк OLD 2.0 04 '!$B$16:$K$200,2,0)))</f>
        <v/>
      </c>
      <c r="F250" s="147" t="str">
        <f ca="1">IFERROR(IFERROR(IF(VLOOKUP($A250,'Шаг2.Бланк заказа NEW'!$B$17:$N$201,3,0)="","",VLOOKUP($A250,'Шаг2.Бланк заказа NEW'!$B$17:$N$201,3,0)),
IF(VLOOKUP($A250-COUNT('Шаг2.Бланк заказа NEW'!$B$19:$B$201),'Бланк OLD 0.8 04'!$B$12:$K$200,3,0)="","",VLOOKUP($A250-COUNT('Шаг2.Бланк заказа NEW'!$B$19:$B$201),'Бланк OLD 0.8 04'!$B$12:$K$200,3,0))),
IF(VLOOKUP($A250-COUNT('Шаг2.Бланк заказа NEW'!$B$19:$B$201)-COUNT('Бланк OLD 0.8 04'!$B$18:$B$200),'Бланк OLD 2.0 04 '!$B$16:$K$200,3,0)="","",VLOOKUP($A250-COUNT('Шаг2.Бланк заказа NEW'!$B$19:$B$201)-COUNT('Бланк OLD 0.8 04'!$B$18:$B$200),'Бланк OLD 2.0 04 '!$B$16:$K$200,3,0)))</f>
        <v/>
      </c>
      <c r="G250" s="176" t="str">
        <f ca="1">IF(IF(R250="","",IF(R250=1,SUMIFS('Шаг1.Выбор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плиты'!C:Q,12,0)),1))))))=0,
R250,
IF(R250="","",IF(R250=1,SUMIFS('Шаг1.Выбор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плиты'!N:N,R250,'Шаг1.Выбор плиты'!M:M,SMALL(INDIRECT("мм"&amp;VLOOKUP(C250,'Шаг1.Выбор плиты'!C:Q,12,0)),1)))))))</f>
        <v/>
      </c>
      <c r="H250" s="177" t="str">
        <f ca="1">IF(IF(S250="","",IF(S250=1,SUMIFS('Шаг1.Выбор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плиты'!C:Q,12,0)),1))))))=0,
S250,
IF(S250="","",IF(S250=1,SUMIFS('Шаг1.Выбор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плиты'!N:N,S250,'Шаг1.Выбор плиты'!M:M,SMALL(INDIRECT("мм"&amp;VLOOKUP(C250,'Шаг1.Выбор плиты'!C:Q,12,0)),1)))))))</f>
        <v/>
      </c>
      <c r="I250" s="147" t="str">
        <f ca="1">IFERROR(IFERROR(IF(VLOOKUP($A250,'Шаг2.Бланк заказа NEW'!$B$17:$N$201,6,0)="","",VLOOKUP($A250,'Шаг2.Бланк заказа NEW'!$B$17:$N$201,6,0)),
IF(VLOOKUP($A250-COUNT('Шаг2.Бланк заказа NEW'!$B$19:$B$201),'Бланк OLD 0.8 04'!$B$12:$K$200,6,0)="","",VLOOKUP($A250-COUNT('Шаг2.Бланк заказа NEW'!$B$19:$B$201),'Бланк OLD 0.8 04'!$B$12:$K$200,6,0))),
IF(VLOOKUP($A250-COUNT('Шаг2.Бланк заказа NEW'!$B$19:$B$201)-COUNT('Бланк OLD 0.8 04'!$B$18:$B$200),'Бланк OLD 2.0 04 '!$B$16:$K$200,6,0)="","",VLOOKUP($A250-COUNT('Шаг2.Бланк заказа NEW'!$B$19:$B$201)-COUNT('Бланк OLD 0.8 04'!$B$18:$B$200),'Бланк OLD 2.0 04 '!$B$16:$K$200,6,0)))</f>
        <v/>
      </c>
      <c r="J250" s="177" t="str">
        <f ca="1">IF(IF(T250="","",IF(T250=1,SUMIFS('Шаг1.Выбор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плиты'!C:Q,12,0)),1))))))=0,
T250,
IF(T250="","",IF(T250=1,SUMIFS('Шаг1.Выбор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плиты'!N:N,T250,'Шаг1.Выбор плиты'!M:M,SMALL(INDIRECT("мм"&amp;VLOOKUP(C250,'Шаг1.Выбор плиты'!C:Q,12,0)),1)))))))</f>
        <v/>
      </c>
      <c r="K250" s="177" t="str">
        <f ca="1">IF(IF(U250="","",IF(U250=1,SUMIFS('Шаг1.Выбор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плиты'!C:Q,12,0)),1))))))=0,
U250,
IF(U250="","",IF(U250=1,SUMIFS('Шаг1.Выбор плиты'!$G:$G,'Шаг1.Выбор плиты'!J:J,"*"&amp;RIGHT(VLOOKUP(C250,'Шаг1.Выбор плиты'!C:Q,8,0),4),'Шаг1.Выбор плиты'!L:L,IF(MID(C250,1,6)="ЛДСП P","TM"&amp;MID(VLOOKUP(C250,'Шаг1.Выбор плиты'!C:Q,10,0),3,2),MID(VLOOKUP(C250,'Шаг1.Выбор плиты'!C:Q,10,0),1,2)),
'Шаг1.Выбор плиты'!N:N,1),IF(SUMIFS('Шаг1.Выбор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плиты'!C:Q,12,0)),1))=0,
IF(SUMIFS('Шаг1.Выбор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плиты'!C:Q,12,0)),2))=0,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плиты'!C:Q,12,0)),3)),
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плиты'!C:Q,12,0)),2))),
(SUMIFS('Шаг1.Выбор плиты'!$G:$G,'Шаг1.Выбор плиты'!J:J,"*"&amp;RIGHT(VLOOKUP(C250,'Шаг1.Выбор плиты'!C:Q,8,0),4),'Шаг1.Выбор плиты'!L:L,VLOOKUP(C250,'Шаг1.Выбор плиты'!C:Q,10,0),'Шаг1.Выбор плиты'!N:N,U250,'Шаг1.Выбор плиты'!M:M,SMALL(INDIRECT("мм"&amp;VLOOKUP(C250,'Шаг1.Выбор плиты'!C:Q,12,0)),1)))))))</f>
        <v/>
      </c>
      <c r="L250" s="147" t="str">
        <f ca="1">IFERROR(IFERROR(IF(VLOOKUP($A250,'Шаг2.Бланк заказа NEW'!$B$17:$N$201,9,0)="","",VLOOKUP($A250,'Шаг2.Бланк заказа NEW'!$B$17:$N$201,9,0)),
IF(VLOOKUP($A250-COUNT('Шаг2.Бланк заказа NEW'!$B$19:$B$201),'Бланк OLD 0.8 04'!$B$12:$K$200,9,0)="","",VLOOKUP($A250-COUNT('Шаг2.Бланк заказа NEW'!$B$19:$B$201),'Бланк OLD 0.8 04'!$B$12:$K$200,9,0))),
IF(VLOOKUP($A250-COUNT('Шаг2.Бланк заказа NEW'!$B$19:$B$201)-COUNT('Бланк OLD 0.8 04'!$B$18:$B$200),'Бланк OLD 2.0 04 '!$B$16:$K$200,9,0)="","",VLOOKUP($A250-COUNT('Шаг2.Бланк заказа NEW'!$B$19:$B$201)-COUNT('Бланк OLD 0.8 04'!$B$18:$B$200),'Бланк OLD 2.0 04 '!$B$16:$K$200,9,0)))</f>
        <v/>
      </c>
      <c r="M250" s="154" t="str">
        <f t="shared" ca="1" si="20"/>
        <v/>
      </c>
      <c r="N250" s="153" t="str">
        <f ca="1">IFERROR(IF(VLOOKUP($A250,'Шаг2.Бланк заказа NEW'!$B$17:$N$201,11,0)="","",VLOOKUP($A250,'Шаг2.Бланк заказа NEW'!$B$17:$N$201,11,0)),
"Нет")</f>
        <v/>
      </c>
      <c r="O250" s="147" t="str">
        <f ca="1">IFERROR(IF(VLOOKUP($A250,'Шаг2.Бланк заказа NEW'!$B$17:$N$201,11,0)="","",VLOOKUP($A250,'Шаг2.Бланк заказа NEW'!$B$17:$N$201,12,0)),
"Нет")</f>
        <v/>
      </c>
      <c r="P250" s="153" t="str">
        <f ca="1">IFERROR(IF(VLOOKUP($A250,'Шаг2.Бланк заказа NEW'!$B$17:$N$201,13,0)="","",VLOOKUP($A250,'Шаг2.Бланк заказа NEW'!$B$17:$N$201,13,0)),
"Нет")</f>
        <v/>
      </c>
      <c r="Q250" s="147" t="str">
        <f ca="1">IFERROR(IF(VLOOKUP($A250,'Шаг2.Бланк заказа NEW'!$B$17:$O$201,14,0)="","",VLOOKUP($A250,'Шаг2.Бланк заказа NEW'!$B$17:$O$201,14,0)),"")</f>
        <v/>
      </c>
      <c r="R250" s="147" t="str">
        <f ca="1">IFERROR(IFERROR(IF(VLOOKUP($A250,'Шаг2.Бланк заказа NEW'!$B$17:$N$201,4,0)="","",VLOOKUP($A250,'Шаг2.Бланк заказа NEW'!$B$17:$N$201,4,0)),
IF(VLOOKUP($A250-COUNT('Шаг2.Бланк заказа NEW'!$B$19:$B$201),'Бланк OLD 0.8 04'!$B$12:$K$200,4,0)&gt;0,0.8,
IF(VLOOKUP($A250-COUNT('Шаг2.Бланк заказа NEW'!$B$19:$B$201),'Бланк OLD 0.8 04'!$B$12:$K$200,5,0)&gt;0,0.4,""))),
IF(VLOOKUP($A250-COUNT('Шаг2.Бланк заказа NEW'!$B$19:$B$201)-COUNT('Бланк OLD 0.8 04'!$B$18:$B$200),'Бланк OLD 2.0 04 '!$B$16:$K$200,4,0)&gt;0,2,IF(VLOOKUP($A250-COUNT('Шаг2.Бланк заказа NEW'!$B$19:$B$201)-COUNT('Бланк OLD 0.8 04'!$B$18:$B$200),'Бланк OLD 2.0 04 '!$B$16:$K$200,5,0)&gt;0,0.4,"")))</f>
        <v/>
      </c>
      <c r="S250" s="147" t="str">
        <f ca="1">IFERROR(IFERROR(IF(VLOOKUP($A250,'Шаг2.Бланк заказа NEW'!$B$17:$N$201,5,0)="","",VLOOKUP($A250,'Шаг2.Бланк заказа NEW'!$B$17:$N$201,5,0)),
IF(VLOOKUP($A250-COUNT('Шаг2.Бланк заказа NEW'!$B$19:$B$201),'Бланк OLD 0.8 04'!$B$12:$K$200,4,0)&gt;1,0.8,
IF(VLOOKUP($A250-COUNT('Шаг2.Бланк заказа NEW'!$B$19:$B$201),'Бланк OLD 0.8 04'!$B$12:$K$200,5,0)&gt;1,0.4,
IF(AND(VLOOKUP($A250-COUNT('Шаг2.Бланк заказа NEW'!$B$19:$B$201),'Бланк OLD 0.8 04'!$B$12:$K$200,4,0)&gt;0,VLOOKUP($A250-COUNT('Шаг2.Бланк заказа NEW'!$B$19:$B$201),'Бланк OLD 0.8 04'!$B$12:$K$200,5,0)&gt;0),0.4,"")))),
IF(VLOOKUP($A250-COUNT('Шаг2.Бланк заказа NEW'!$B$19:$B$201)-COUNT('Бланк OLD 0.8 04'!$B$18:$B$200),'Бланк OLD 2.0 04 '!$B$16:$K$200,4,0)&gt;1,2,
IF(VLOOKUP($A250-COUNT('Шаг2.Бланк заказа NEW'!$B$19:$B$201)-COUNT('Бланк OLD 0.8 04'!$B$18:$B$200),'Бланк OLD 2.0 04 '!$B$16:$K$200,5,0)&gt;1,0.4,IF(AND(VLOOKUP($A250-COUNT('Шаг2.Бланк заказа NEW'!$B$19:$B$201)-COUNT('Бланк OLD 0.8 04'!$B$18:$B$200),'Бланк OLD 2.0 04 '!$B$16:$K$200,4,0)&gt;0,VLOOKUP($A250-COUNT('Шаг2.Бланк заказа NEW'!$B$19:$B$201)-COUNT('Бланк OLD 0.8 04'!$B$18:$B$200),'Бланк OLD 2.0 04 '!$B$16:$K$200,5,0)&gt;0),0.4,""))))</f>
        <v/>
      </c>
      <c r="T250" s="147" t="str">
        <f ca="1">IFERROR(IFERROR(IF(VLOOKUP($A250,'Шаг2.Бланк заказа NEW'!$B$17:$N$201,7,0)="","",VLOOKUP($A250,'Шаг2.Бланк заказа NEW'!$B$17:$N$201,7,0)),
IF(VLOOKUP($A250-COUNT('Шаг2.Бланк заказа NEW'!$B$19:$B$201),'Бланк OLD 0.8 04'!$B$12:$K$200,7,0)&gt;0,0.8,
IF(VLOOKUP($A250-COUNT('Шаг2.Бланк заказа NEW'!$B$19:$B$201),'Бланк OLD 0.8 04'!$B$12:$K$200,8,0)&gt;0,0.4,""))),
IF(VLOOKUP($A250-COUNT('Шаг2.Бланк заказа NEW'!$B$19:$B$201)-COUNT('Бланк OLD 0.8 04'!$B$18:$B$200),'Бланк OLD 2.0 04 '!$B$16:$K$200,7,0)&gt;0,2,IF(VLOOKUP($A250-COUNT('Шаг2.Бланк заказа NEW'!$B$19:$B$201)-COUNT('Бланк OLD 0.8 04'!$B$18:$B$200),'Бланк OLD 2.0 04 '!$B$16:$K$200,8,0)&gt;0,0.4,"")))</f>
        <v/>
      </c>
      <c r="U250" s="147" t="str">
        <f ca="1">IFERROR(IFERROR(IF(VLOOKUP($A250,'Шаг2.Бланк заказа NEW'!$B$17:$N$201,8,0)="","",VLOOKUP($A250,'Шаг2.Бланк заказа NEW'!$B$17:$N$201,8,0)),
IF(VLOOKUP($A250-COUNT('Шаг2.Бланк заказа NEW'!$B$19:$B$201),'Бланк OLD 0.8 04'!$B$12:$K$200,7,0)&gt;1,0.8,
IF(VLOOKUP($A250-COUNT('Шаг2.Бланк заказа NEW'!$B$19:$B$201),'Бланк OLD 0.8 04'!$B$12:$K$200,8,0)&gt;1,0.4,
IF(AND(VLOOKUP($A250-COUNT('Шаг2.Бланк заказа NEW'!$B$19:$B$201),'Бланк OLD 0.8 04'!$B$12:$K$200,7,0)&gt;0,VLOOKUP($A250-COUNT('Шаг2.Бланк заказа NEW'!$B$19:$B$201),'Бланк OLD 0.8 04'!$B$12:$K$200,8,0)&gt;0),0.4,"")))),
IF(VLOOKUP($A250-COUNT('Шаг2.Бланк заказа NEW'!$B$19:$B$201)-COUNT('Бланк OLD 0.8 04'!$B$18:$B$200),'Бланк OLD 2.0 04 '!$B$16:$K$200,7,0)&gt;1,2,
IF(VLOOKUP($A250-COUNT('Шаг2.Бланк заказа NEW'!$B$19:$B$201)-COUNT('Бланк OLD 0.8 04'!$B$18:$B$200),'Бланк OLD 2.0 04 '!$B$16:$K$200,8,0)&gt;1,0.4,
IF(AND(VLOOKUP($A250-COUNT('Шаг2.Бланк заказа NEW'!$B$19:$B$201)-COUNT('Бланк OLD 0.8 04'!$B$18:$B$200),'Бланк OLD 2.0 04 '!$B$16:$K$200,7,0)&gt;0,VLOOKUP($A250-COUNT('Шаг2.Бланк заказа NEW'!$B$19:$B$201)-COUNT('Бланк OLD 0.8 04'!$B$18:$B$200),'Бланк OLD 2.0 04 '!$B$16:$K$200,8,0)&gt;0),0.4,""))))</f>
        <v/>
      </c>
      <c r="V250" s="146" t="str">
        <f ca="1">IFERROR(VLOOKUP(C250,'Шаг1.Выбор плиты'!C:S,12,0),"")</f>
        <v/>
      </c>
      <c r="W250" s="146" t="str">
        <f ca="1">IFERROR(VLOOKUP(C250,'Шаг1.Выбор плиты'!C:S,8,0),"")</f>
        <v/>
      </c>
      <c r="X250" s="146" t="str">
        <f ca="1">IFERROR(VLOOKUP(C250,'Шаг1.Выбор плиты'!C:S,10,0),"")</f>
        <v/>
      </c>
      <c r="Y250" s="147" t="str">
        <f t="shared" ca="1" si="18"/>
        <v/>
      </c>
      <c r="AD250" s="147" t="str">
        <f t="shared" ca="1" si="21"/>
        <v/>
      </c>
      <c r="AE250" s="147" t="str">
        <f t="shared" ca="1" si="19"/>
        <v/>
      </c>
      <c r="AF250" s="25"/>
      <c r="AH250" s="147" t="str">
        <f ca="1">IF(C250="","",VLOOKUP(C250,'Шаг1.Выбор плиты'!C:Q,7,0))</f>
        <v/>
      </c>
      <c r="AI250" s="147" t="str">
        <f t="shared" ca="1" si="22"/>
        <v/>
      </c>
    </row>
    <row r="251" spans="1:35" x14ac:dyDescent="0.2">
      <c r="A251" s="151" t="str">
        <f ca="1">IF(C251="","",MAX($A$1:OFFSET(C251,-1,0))+1)</f>
        <v/>
      </c>
      <c r="B251" s="151" t="str">
        <f ca="1">IFERROR(IFERROR(IFERROR("Шаг2.Бланк заказа NEW №"&amp;VLOOKUP(A250+1,CHOOSE({1,2},'Шаг2.Бланк заказа NEW'!$B$19:$B$201,'Шаг2.Бланк заказа NEW'!$A$19:$A$201),1,0),
"Бланк OLD 0.8 04 №"&amp;VLOOKUP(A250+1-COUNT('Шаг2.Бланк заказа NEW'!$B$19:$B$201),CHOOSE({1,2},'Бланк OLD 0.8 04'!$B$18:$B$200,'Бланк OLD 0.8 04'!$A$18:$A$200),1,0)),
"Бланк OLD 2.0 04 №"&amp;VLOOKUP(A250+1-COUNT('Шаг2.Бланк заказа NEW'!$B$19:$B$201)-COUNT('Бланк OLD 0.8 04'!$B$18:$B$200),CHOOSE({1,2},'Бланк OLD 2.0 04 '!$B$18:$B$200,'Бланк OLD 2.0 04 '!$A$18:$A$200),1,0)),"")</f>
        <v/>
      </c>
      <c r="C251" s="152" t="str">
        <f ca="1">IFERROR(IFERROR(IFERROR(VLOOKUP(A250+1,CHOOSE({1,2},'Шаг2.Бланк заказа NEW'!$B$19:$B$201,'Шаг2.Бланк заказа NEW'!$A$19:$A$201),2,0),
VLOOKUP(A250+1-COUNT('Шаг2.Бланк заказа NEW'!$B$19:$B$201),CHOOSE({1,2},'Бланк OLD 0.8 04'!$B$18:$B$200,'Бланк OLD 0.8 04'!$A$18:$A$200),2,0)),
VLOOKUP(A250+1-COUNT('Шаг2.Бланк заказа NEW'!$B$19:$B$201)-COUNT('Бланк OLD 0.8 04'!$B$18:$B$200),CHOOSE({1,2},'Бланк OLD 2.0 04 '!$B$18:$B$200,'Бланк OLD 2.0 04 '!$A$18:$A$200),2,0)),"")</f>
        <v/>
      </c>
      <c r="D251" s="150" t="str">
        <f ca="1">IFERROR(VLOOKUP(C251,'Шаг1.Выбор плиты'!C:G,5,0),"")</f>
        <v/>
      </c>
      <c r="E251" s="147" t="str">
        <f ca="1">IFERROR(IFERROR(IF(VLOOKUP($A251,'Шаг2.Бланк заказа NEW'!$B$17:$N$201,2,0)="","",VLOOKUP($A251,'Шаг2.Бланк заказа NEW'!$B$17:$N$201,2,0)),
IF(VLOOKUP($A251-COUNT('Шаг2.Бланк заказа NEW'!$B$19:$B$201),'Бланк OLD 0.8 04'!$B$12:$K$200,2,0)="","",VLOOKUP($A251-COUNT('Шаг2.Бланк заказа NEW'!$B$19:$B$201),'Бланк OLD 0.8 04'!$B$12:$K$200,2,0))),
IF(VLOOKUP($A251-COUNT('Шаг2.Бланк заказа NEW'!$B$19:$B$201)-COUNT('Бланк OLD 0.8 04'!$B$18:$B$200),'Бланк OLD 2.0 04 '!$B$16:$K$200,2,0)="","",VLOOKUP($A251-COUNT('Шаг2.Бланк заказа NEW'!$B$19:$B$201)-COUNT('Бланк OLD 0.8 04'!$B$18:$B$200),'Бланк OLD 2.0 04 '!$B$16:$K$200,2,0)))</f>
        <v/>
      </c>
      <c r="F251" s="147" t="str">
        <f ca="1">IFERROR(IFERROR(IF(VLOOKUP($A251,'Шаг2.Бланк заказа NEW'!$B$17:$N$201,3,0)="","",VLOOKUP($A251,'Шаг2.Бланк заказа NEW'!$B$17:$N$201,3,0)),
IF(VLOOKUP($A251-COUNT('Шаг2.Бланк заказа NEW'!$B$19:$B$201),'Бланк OLD 0.8 04'!$B$12:$K$200,3,0)="","",VLOOKUP($A251-COUNT('Шаг2.Бланк заказа NEW'!$B$19:$B$201),'Бланк OLD 0.8 04'!$B$12:$K$200,3,0))),
IF(VLOOKUP($A251-COUNT('Шаг2.Бланк заказа NEW'!$B$19:$B$201)-COUNT('Бланк OLD 0.8 04'!$B$18:$B$200),'Бланк OLD 2.0 04 '!$B$16:$K$200,3,0)="","",VLOOKUP($A251-COUNT('Шаг2.Бланк заказа NEW'!$B$19:$B$201)-COUNT('Бланк OLD 0.8 04'!$B$18:$B$200),'Бланк OLD 2.0 04 '!$B$16:$K$200,3,0)))</f>
        <v/>
      </c>
      <c r="G251" s="176" t="str">
        <f ca="1">IF(IF(R251="","",IF(R251=1,SUMIFS('Шаг1.Выбор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плиты'!C:Q,12,0)),1))))))=0,
R251,
IF(R251="","",IF(R251=1,SUMIFS('Шаг1.Выбор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плиты'!N:N,R251,'Шаг1.Выбор плиты'!M:M,SMALL(INDIRECT("мм"&amp;VLOOKUP(C251,'Шаг1.Выбор плиты'!C:Q,12,0)),1)))))))</f>
        <v/>
      </c>
      <c r="H251" s="177" t="str">
        <f ca="1">IF(IF(S251="","",IF(S251=1,SUMIFS('Шаг1.Выбор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плиты'!C:Q,12,0)),1))))))=0,
S251,
IF(S251="","",IF(S251=1,SUMIFS('Шаг1.Выбор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плиты'!N:N,S251,'Шаг1.Выбор плиты'!M:M,SMALL(INDIRECT("мм"&amp;VLOOKUP(C251,'Шаг1.Выбор плиты'!C:Q,12,0)),1)))))))</f>
        <v/>
      </c>
      <c r="I251" s="147" t="str">
        <f ca="1">IFERROR(IFERROR(IF(VLOOKUP($A251,'Шаг2.Бланк заказа NEW'!$B$17:$N$201,6,0)="","",VLOOKUP($A251,'Шаг2.Бланк заказа NEW'!$B$17:$N$201,6,0)),
IF(VLOOKUP($A251-COUNT('Шаг2.Бланк заказа NEW'!$B$19:$B$201),'Бланк OLD 0.8 04'!$B$12:$K$200,6,0)="","",VLOOKUP($A251-COUNT('Шаг2.Бланк заказа NEW'!$B$19:$B$201),'Бланк OLD 0.8 04'!$B$12:$K$200,6,0))),
IF(VLOOKUP($A251-COUNT('Шаг2.Бланк заказа NEW'!$B$19:$B$201)-COUNT('Бланк OLD 0.8 04'!$B$18:$B$200),'Бланк OLD 2.0 04 '!$B$16:$K$200,6,0)="","",VLOOKUP($A251-COUNT('Шаг2.Бланк заказа NEW'!$B$19:$B$201)-COUNT('Бланк OLD 0.8 04'!$B$18:$B$200),'Бланк OLD 2.0 04 '!$B$16:$K$200,6,0)))</f>
        <v/>
      </c>
      <c r="J251" s="177" t="str">
        <f ca="1">IF(IF(T251="","",IF(T251=1,SUMIFS('Шаг1.Выбор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плиты'!C:Q,12,0)),1))))))=0,
T251,
IF(T251="","",IF(T251=1,SUMIFS('Шаг1.Выбор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плиты'!N:N,T251,'Шаг1.Выбор плиты'!M:M,SMALL(INDIRECT("мм"&amp;VLOOKUP(C251,'Шаг1.Выбор плиты'!C:Q,12,0)),1)))))))</f>
        <v/>
      </c>
      <c r="K251" s="177" t="str">
        <f ca="1">IF(IF(U251="","",IF(U251=1,SUMIFS('Шаг1.Выбор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плиты'!C:Q,12,0)),1))))))=0,
U251,
IF(U251="","",IF(U251=1,SUMIFS('Шаг1.Выбор плиты'!$G:$G,'Шаг1.Выбор плиты'!J:J,"*"&amp;RIGHT(VLOOKUP(C251,'Шаг1.Выбор плиты'!C:Q,8,0),4),'Шаг1.Выбор плиты'!L:L,IF(MID(C251,1,6)="ЛДСП P","TM"&amp;MID(VLOOKUP(C251,'Шаг1.Выбор плиты'!C:Q,10,0),3,2),MID(VLOOKUP(C251,'Шаг1.Выбор плиты'!C:Q,10,0),1,2)),
'Шаг1.Выбор плиты'!N:N,1),IF(SUMIFS('Шаг1.Выбор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плиты'!C:Q,12,0)),1))=0,
IF(SUMIFS('Шаг1.Выбор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плиты'!C:Q,12,0)),2))=0,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плиты'!C:Q,12,0)),3)),
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плиты'!C:Q,12,0)),2))),
(SUMIFS('Шаг1.Выбор плиты'!$G:$G,'Шаг1.Выбор плиты'!J:J,"*"&amp;RIGHT(VLOOKUP(C251,'Шаг1.Выбор плиты'!C:Q,8,0),4),'Шаг1.Выбор плиты'!L:L,VLOOKUP(C251,'Шаг1.Выбор плиты'!C:Q,10,0),'Шаг1.Выбор плиты'!N:N,U251,'Шаг1.Выбор плиты'!M:M,SMALL(INDIRECT("мм"&amp;VLOOKUP(C251,'Шаг1.Выбор плиты'!C:Q,12,0)),1)))))))</f>
        <v/>
      </c>
      <c r="L251" s="147" t="str">
        <f ca="1">IFERROR(IFERROR(IF(VLOOKUP($A251,'Шаг2.Бланк заказа NEW'!$B$17:$N$201,9,0)="","",VLOOKUP($A251,'Шаг2.Бланк заказа NEW'!$B$17:$N$201,9,0)),
IF(VLOOKUP($A251-COUNT('Шаг2.Бланк заказа NEW'!$B$19:$B$201),'Бланк OLD 0.8 04'!$B$12:$K$200,9,0)="","",VLOOKUP($A251-COUNT('Шаг2.Бланк заказа NEW'!$B$19:$B$201),'Бланк OLD 0.8 04'!$B$12:$K$200,9,0))),
IF(VLOOKUP($A251-COUNT('Шаг2.Бланк заказа NEW'!$B$19:$B$201)-COUNT('Бланк OLD 0.8 04'!$B$18:$B$200),'Бланк OLD 2.0 04 '!$B$16:$K$200,9,0)="","",VLOOKUP($A251-COUNT('Шаг2.Бланк заказа NEW'!$B$19:$B$201)-COUNT('Бланк OLD 0.8 04'!$B$18:$B$200),'Бланк OLD 2.0 04 '!$B$16:$K$200,9,0)))</f>
        <v/>
      </c>
      <c r="M251" s="154" t="str">
        <f t="shared" ca="1" si="20"/>
        <v/>
      </c>
      <c r="N251" s="153" t="str">
        <f ca="1">IFERROR(IF(VLOOKUP($A251,'Шаг2.Бланк заказа NEW'!$B$17:$N$201,11,0)="","",VLOOKUP($A251,'Шаг2.Бланк заказа NEW'!$B$17:$N$201,11,0)),
"Нет")</f>
        <v/>
      </c>
      <c r="O251" s="147" t="str">
        <f ca="1">IFERROR(IF(VLOOKUP($A251,'Шаг2.Бланк заказа NEW'!$B$17:$N$201,11,0)="","",VLOOKUP($A251,'Шаг2.Бланк заказа NEW'!$B$17:$N$201,12,0)),
"Нет")</f>
        <v/>
      </c>
      <c r="P251" s="153" t="str">
        <f ca="1">IFERROR(IF(VLOOKUP($A251,'Шаг2.Бланк заказа NEW'!$B$17:$N$201,13,0)="","",VLOOKUP($A251,'Шаг2.Бланк заказа NEW'!$B$17:$N$201,13,0)),
"Нет")</f>
        <v/>
      </c>
      <c r="Q251" s="147" t="str">
        <f ca="1">IFERROR(IF(VLOOKUP($A251,'Шаг2.Бланк заказа NEW'!$B$17:$O$201,14,0)="","",VLOOKUP($A251,'Шаг2.Бланк заказа NEW'!$B$17:$O$201,14,0)),"")</f>
        <v/>
      </c>
      <c r="R251" s="147" t="str">
        <f ca="1">IFERROR(IFERROR(IF(VLOOKUP($A251,'Шаг2.Бланк заказа NEW'!$B$17:$N$201,4,0)="","",VLOOKUP($A251,'Шаг2.Бланк заказа NEW'!$B$17:$N$201,4,0)),
IF(VLOOKUP($A251-COUNT('Шаг2.Бланк заказа NEW'!$B$19:$B$201),'Бланк OLD 0.8 04'!$B$12:$K$200,4,0)&gt;0,0.8,
IF(VLOOKUP($A251-COUNT('Шаг2.Бланк заказа NEW'!$B$19:$B$201),'Бланк OLD 0.8 04'!$B$12:$K$200,5,0)&gt;0,0.4,""))),
IF(VLOOKUP($A251-COUNT('Шаг2.Бланк заказа NEW'!$B$19:$B$201)-COUNT('Бланк OLD 0.8 04'!$B$18:$B$200),'Бланк OLD 2.0 04 '!$B$16:$K$200,4,0)&gt;0,2,IF(VLOOKUP($A251-COUNT('Шаг2.Бланк заказа NEW'!$B$19:$B$201)-COUNT('Бланк OLD 0.8 04'!$B$18:$B$200),'Бланк OLD 2.0 04 '!$B$16:$K$200,5,0)&gt;0,0.4,"")))</f>
        <v/>
      </c>
      <c r="S251" s="147" t="str">
        <f ca="1">IFERROR(IFERROR(IF(VLOOKUP($A251,'Шаг2.Бланк заказа NEW'!$B$17:$N$201,5,0)="","",VLOOKUP($A251,'Шаг2.Бланк заказа NEW'!$B$17:$N$201,5,0)),
IF(VLOOKUP($A251-COUNT('Шаг2.Бланк заказа NEW'!$B$19:$B$201),'Бланк OLD 0.8 04'!$B$12:$K$200,4,0)&gt;1,0.8,
IF(VLOOKUP($A251-COUNT('Шаг2.Бланк заказа NEW'!$B$19:$B$201),'Бланк OLD 0.8 04'!$B$12:$K$200,5,0)&gt;1,0.4,
IF(AND(VLOOKUP($A251-COUNT('Шаг2.Бланк заказа NEW'!$B$19:$B$201),'Бланк OLD 0.8 04'!$B$12:$K$200,4,0)&gt;0,VLOOKUP($A251-COUNT('Шаг2.Бланк заказа NEW'!$B$19:$B$201),'Бланк OLD 0.8 04'!$B$12:$K$200,5,0)&gt;0),0.4,"")))),
IF(VLOOKUP($A251-COUNT('Шаг2.Бланк заказа NEW'!$B$19:$B$201)-COUNT('Бланк OLD 0.8 04'!$B$18:$B$200),'Бланк OLD 2.0 04 '!$B$16:$K$200,4,0)&gt;1,2,
IF(VLOOKUP($A251-COUNT('Шаг2.Бланк заказа NEW'!$B$19:$B$201)-COUNT('Бланк OLD 0.8 04'!$B$18:$B$200),'Бланк OLD 2.0 04 '!$B$16:$K$200,5,0)&gt;1,0.4,IF(AND(VLOOKUP($A251-COUNT('Шаг2.Бланк заказа NEW'!$B$19:$B$201)-COUNT('Бланк OLD 0.8 04'!$B$18:$B$200),'Бланк OLD 2.0 04 '!$B$16:$K$200,4,0)&gt;0,VLOOKUP($A251-COUNT('Шаг2.Бланк заказа NEW'!$B$19:$B$201)-COUNT('Бланк OLD 0.8 04'!$B$18:$B$200),'Бланк OLD 2.0 04 '!$B$16:$K$200,5,0)&gt;0),0.4,""))))</f>
        <v/>
      </c>
      <c r="T251" s="147" t="str">
        <f ca="1">IFERROR(IFERROR(IF(VLOOKUP($A251,'Шаг2.Бланк заказа NEW'!$B$17:$N$201,7,0)="","",VLOOKUP($A251,'Шаг2.Бланк заказа NEW'!$B$17:$N$201,7,0)),
IF(VLOOKUP($A251-COUNT('Шаг2.Бланк заказа NEW'!$B$19:$B$201),'Бланк OLD 0.8 04'!$B$12:$K$200,7,0)&gt;0,0.8,
IF(VLOOKUP($A251-COUNT('Шаг2.Бланк заказа NEW'!$B$19:$B$201),'Бланк OLD 0.8 04'!$B$12:$K$200,8,0)&gt;0,0.4,""))),
IF(VLOOKUP($A251-COUNT('Шаг2.Бланк заказа NEW'!$B$19:$B$201)-COUNT('Бланк OLD 0.8 04'!$B$18:$B$200),'Бланк OLD 2.0 04 '!$B$16:$K$200,7,0)&gt;0,2,IF(VLOOKUP($A251-COUNT('Шаг2.Бланк заказа NEW'!$B$19:$B$201)-COUNT('Бланк OLD 0.8 04'!$B$18:$B$200),'Бланк OLD 2.0 04 '!$B$16:$K$200,8,0)&gt;0,0.4,"")))</f>
        <v/>
      </c>
      <c r="U251" s="147" t="str">
        <f ca="1">IFERROR(IFERROR(IF(VLOOKUP($A251,'Шаг2.Бланк заказа NEW'!$B$17:$N$201,8,0)="","",VLOOKUP($A251,'Шаг2.Бланк заказа NEW'!$B$17:$N$201,8,0)),
IF(VLOOKUP($A251-COUNT('Шаг2.Бланк заказа NEW'!$B$19:$B$201),'Бланк OLD 0.8 04'!$B$12:$K$200,7,0)&gt;1,0.8,
IF(VLOOKUP($A251-COUNT('Шаг2.Бланк заказа NEW'!$B$19:$B$201),'Бланк OLD 0.8 04'!$B$12:$K$200,8,0)&gt;1,0.4,
IF(AND(VLOOKUP($A251-COUNT('Шаг2.Бланк заказа NEW'!$B$19:$B$201),'Бланк OLD 0.8 04'!$B$12:$K$200,7,0)&gt;0,VLOOKUP($A251-COUNT('Шаг2.Бланк заказа NEW'!$B$19:$B$201),'Бланк OLD 0.8 04'!$B$12:$K$200,8,0)&gt;0),0.4,"")))),
IF(VLOOKUP($A251-COUNT('Шаг2.Бланк заказа NEW'!$B$19:$B$201)-COUNT('Бланк OLD 0.8 04'!$B$18:$B$200),'Бланк OLD 2.0 04 '!$B$16:$K$200,7,0)&gt;1,2,
IF(VLOOKUP($A251-COUNT('Шаг2.Бланк заказа NEW'!$B$19:$B$201)-COUNT('Бланк OLD 0.8 04'!$B$18:$B$200),'Бланк OLD 2.0 04 '!$B$16:$K$200,8,0)&gt;1,0.4,
IF(AND(VLOOKUP($A251-COUNT('Шаг2.Бланк заказа NEW'!$B$19:$B$201)-COUNT('Бланк OLD 0.8 04'!$B$18:$B$200),'Бланк OLD 2.0 04 '!$B$16:$K$200,7,0)&gt;0,VLOOKUP($A251-COUNT('Шаг2.Бланк заказа NEW'!$B$19:$B$201)-COUNT('Бланк OLD 0.8 04'!$B$18:$B$200),'Бланк OLD 2.0 04 '!$B$16:$K$200,8,0)&gt;0),0.4,""))))</f>
        <v/>
      </c>
      <c r="V251" s="146" t="str">
        <f ca="1">IFERROR(VLOOKUP(C251,'Шаг1.Выбор плиты'!C:S,12,0),"")</f>
        <v/>
      </c>
      <c r="W251" s="146" t="str">
        <f ca="1">IFERROR(VLOOKUP(C251,'Шаг1.Выбор плиты'!C:S,8,0),"")</f>
        <v/>
      </c>
      <c r="X251" s="146" t="str">
        <f ca="1">IFERROR(VLOOKUP(C251,'Шаг1.Выбор плиты'!C:S,10,0),"")</f>
        <v/>
      </c>
      <c r="Y251" s="147" t="str">
        <f t="shared" ca="1" si="18"/>
        <v/>
      </c>
      <c r="AD251" s="147" t="str">
        <f t="shared" ca="1" si="21"/>
        <v/>
      </c>
      <c r="AE251" s="147" t="str">
        <f t="shared" ca="1" si="19"/>
        <v/>
      </c>
      <c r="AF251" s="25"/>
      <c r="AH251" s="147" t="str">
        <f ca="1">IF(C251="","",VLOOKUP(C251,'Шаг1.Выбор плиты'!C:Q,7,0))</f>
        <v/>
      </c>
      <c r="AI251" s="147" t="str">
        <f t="shared" ca="1" si="22"/>
        <v/>
      </c>
    </row>
    <row r="252" spans="1:35" x14ac:dyDescent="0.2">
      <c r="A252" s="151" t="str">
        <f ca="1">IF(C252="","",MAX($A$1:OFFSET(C252,-1,0))+1)</f>
        <v/>
      </c>
      <c r="B252" s="151" t="str">
        <f ca="1">IFERROR(IFERROR(IFERROR("Шаг2.Бланк заказа NEW №"&amp;VLOOKUP(A251+1,CHOOSE({1,2},'Шаг2.Бланк заказа NEW'!$B$19:$B$201,'Шаг2.Бланк заказа NEW'!$A$19:$A$201),1,0),
"Бланк OLD 0.8 04 №"&amp;VLOOKUP(A251+1-COUNT('Шаг2.Бланк заказа NEW'!$B$19:$B$201),CHOOSE({1,2},'Бланк OLD 0.8 04'!$B$18:$B$200,'Бланк OLD 0.8 04'!$A$18:$A$200),1,0)),
"Бланк OLD 2.0 04 №"&amp;VLOOKUP(A251+1-COUNT('Шаг2.Бланк заказа NEW'!$B$19:$B$201)-COUNT('Бланк OLD 0.8 04'!$B$18:$B$200),CHOOSE({1,2},'Бланк OLD 2.0 04 '!$B$18:$B$200,'Бланк OLD 2.0 04 '!$A$18:$A$200),1,0)),"")</f>
        <v/>
      </c>
      <c r="C252" s="152" t="str">
        <f ca="1">IFERROR(IFERROR(IFERROR(VLOOKUP(A251+1,CHOOSE({1,2},'Шаг2.Бланк заказа NEW'!$B$19:$B$201,'Шаг2.Бланк заказа NEW'!$A$19:$A$201),2,0),
VLOOKUP(A251+1-COUNT('Шаг2.Бланк заказа NEW'!$B$19:$B$201),CHOOSE({1,2},'Бланк OLD 0.8 04'!$B$18:$B$200,'Бланк OLD 0.8 04'!$A$18:$A$200),2,0)),
VLOOKUP(A251+1-COUNT('Шаг2.Бланк заказа NEW'!$B$19:$B$201)-COUNT('Бланк OLD 0.8 04'!$B$18:$B$200),CHOOSE({1,2},'Бланк OLD 2.0 04 '!$B$18:$B$200,'Бланк OLD 2.0 04 '!$A$18:$A$200),2,0)),"")</f>
        <v/>
      </c>
      <c r="D252" s="150" t="str">
        <f ca="1">IFERROR(VLOOKUP(C252,'Шаг1.Выбор плиты'!C:G,5,0),"")</f>
        <v/>
      </c>
      <c r="E252" s="147" t="str">
        <f ca="1">IFERROR(IFERROR(IF(VLOOKUP($A252,'Шаг2.Бланк заказа NEW'!$B$17:$N$201,2,0)="","",VLOOKUP($A252,'Шаг2.Бланк заказа NEW'!$B$17:$N$201,2,0)),
IF(VLOOKUP($A252-COUNT('Шаг2.Бланк заказа NEW'!$B$19:$B$201),'Бланк OLD 0.8 04'!$B$12:$K$200,2,0)="","",VLOOKUP($A252-COUNT('Шаг2.Бланк заказа NEW'!$B$19:$B$201),'Бланк OLD 0.8 04'!$B$12:$K$200,2,0))),
IF(VLOOKUP($A252-COUNT('Шаг2.Бланк заказа NEW'!$B$19:$B$201)-COUNT('Бланк OLD 0.8 04'!$B$18:$B$200),'Бланк OLD 2.0 04 '!$B$16:$K$200,2,0)="","",VLOOKUP($A252-COUNT('Шаг2.Бланк заказа NEW'!$B$19:$B$201)-COUNT('Бланк OLD 0.8 04'!$B$18:$B$200),'Бланк OLD 2.0 04 '!$B$16:$K$200,2,0)))</f>
        <v/>
      </c>
      <c r="F252" s="147" t="str">
        <f ca="1">IFERROR(IFERROR(IF(VLOOKUP($A252,'Шаг2.Бланк заказа NEW'!$B$17:$N$201,3,0)="","",VLOOKUP($A252,'Шаг2.Бланк заказа NEW'!$B$17:$N$201,3,0)),
IF(VLOOKUP($A252-COUNT('Шаг2.Бланк заказа NEW'!$B$19:$B$201),'Бланк OLD 0.8 04'!$B$12:$K$200,3,0)="","",VLOOKUP($A252-COUNT('Шаг2.Бланк заказа NEW'!$B$19:$B$201),'Бланк OLD 0.8 04'!$B$12:$K$200,3,0))),
IF(VLOOKUP($A252-COUNT('Шаг2.Бланк заказа NEW'!$B$19:$B$201)-COUNT('Бланк OLD 0.8 04'!$B$18:$B$200),'Бланк OLD 2.0 04 '!$B$16:$K$200,3,0)="","",VLOOKUP($A252-COUNT('Шаг2.Бланк заказа NEW'!$B$19:$B$201)-COUNT('Бланк OLD 0.8 04'!$B$18:$B$200),'Бланк OLD 2.0 04 '!$B$16:$K$200,3,0)))</f>
        <v/>
      </c>
      <c r="G252" s="176" t="str">
        <f ca="1">IF(IF(R252="","",IF(R252=1,SUMIFS('Шаг1.Выбор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плиты'!C:Q,12,0)),1))))))=0,
R252,
IF(R252="","",IF(R252=1,SUMIFS('Шаг1.Выбор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плиты'!N:N,R252,'Шаг1.Выбор плиты'!M:M,SMALL(INDIRECT("мм"&amp;VLOOKUP(C252,'Шаг1.Выбор плиты'!C:Q,12,0)),1)))))))</f>
        <v/>
      </c>
      <c r="H252" s="177" t="str">
        <f ca="1">IF(IF(S252="","",IF(S252=1,SUMIFS('Шаг1.Выбор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плиты'!C:Q,12,0)),1))))))=0,
S252,
IF(S252="","",IF(S252=1,SUMIFS('Шаг1.Выбор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плиты'!N:N,S252,'Шаг1.Выбор плиты'!M:M,SMALL(INDIRECT("мм"&amp;VLOOKUP(C252,'Шаг1.Выбор плиты'!C:Q,12,0)),1)))))))</f>
        <v/>
      </c>
      <c r="I252" s="147" t="str">
        <f ca="1">IFERROR(IFERROR(IF(VLOOKUP($A252,'Шаг2.Бланк заказа NEW'!$B$17:$N$201,6,0)="","",VLOOKUP($A252,'Шаг2.Бланк заказа NEW'!$B$17:$N$201,6,0)),
IF(VLOOKUP($A252-COUNT('Шаг2.Бланк заказа NEW'!$B$19:$B$201),'Бланк OLD 0.8 04'!$B$12:$K$200,6,0)="","",VLOOKUP($A252-COUNT('Шаг2.Бланк заказа NEW'!$B$19:$B$201),'Бланк OLD 0.8 04'!$B$12:$K$200,6,0))),
IF(VLOOKUP($A252-COUNT('Шаг2.Бланк заказа NEW'!$B$19:$B$201)-COUNT('Бланк OLD 0.8 04'!$B$18:$B$200),'Бланк OLD 2.0 04 '!$B$16:$K$200,6,0)="","",VLOOKUP($A252-COUNT('Шаг2.Бланк заказа NEW'!$B$19:$B$201)-COUNT('Бланк OLD 0.8 04'!$B$18:$B$200),'Бланк OLD 2.0 04 '!$B$16:$K$200,6,0)))</f>
        <v/>
      </c>
      <c r="J252" s="177" t="str">
        <f ca="1">IF(IF(T252="","",IF(T252=1,SUMIFS('Шаг1.Выбор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плиты'!C:Q,12,0)),1))))))=0,
T252,
IF(T252="","",IF(T252=1,SUMIFS('Шаг1.Выбор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плиты'!N:N,T252,'Шаг1.Выбор плиты'!M:M,SMALL(INDIRECT("мм"&amp;VLOOKUP(C252,'Шаг1.Выбор плиты'!C:Q,12,0)),1)))))))</f>
        <v/>
      </c>
      <c r="K252" s="177" t="str">
        <f ca="1">IF(IF(U252="","",IF(U252=1,SUMIFS('Шаг1.Выбор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плиты'!C:Q,12,0)),1))))))=0,
U252,
IF(U252="","",IF(U252=1,SUMIFS('Шаг1.Выбор плиты'!$G:$G,'Шаг1.Выбор плиты'!J:J,"*"&amp;RIGHT(VLOOKUP(C252,'Шаг1.Выбор плиты'!C:Q,8,0),4),'Шаг1.Выбор плиты'!L:L,IF(MID(C252,1,6)="ЛДСП P","TM"&amp;MID(VLOOKUP(C252,'Шаг1.Выбор плиты'!C:Q,10,0),3,2),MID(VLOOKUP(C252,'Шаг1.Выбор плиты'!C:Q,10,0),1,2)),
'Шаг1.Выбор плиты'!N:N,1),IF(SUMIFS('Шаг1.Выбор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плиты'!C:Q,12,0)),1))=0,
IF(SUMIFS('Шаг1.Выбор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плиты'!C:Q,12,0)),2))=0,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плиты'!C:Q,12,0)),3)),
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плиты'!C:Q,12,0)),2))),
(SUMIFS('Шаг1.Выбор плиты'!$G:$G,'Шаг1.Выбор плиты'!J:J,"*"&amp;RIGHT(VLOOKUP(C252,'Шаг1.Выбор плиты'!C:Q,8,0),4),'Шаг1.Выбор плиты'!L:L,VLOOKUP(C252,'Шаг1.Выбор плиты'!C:Q,10,0),'Шаг1.Выбор плиты'!N:N,U252,'Шаг1.Выбор плиты'!M:M,SMALL(INDIRECT("мм"&amp;VLOOKUP(C252,'Шаг1.Выбор плиты'!C:Q,12,0)),1)))))))</f>
        <v/>
      </c>
      <c r="L252" s="147" t="str">
        <f ca="1">IFERROR(IFERROR(IF(VLOOKUP($A252,'Шаг2.Бланк заказа NEW'!$B$17:$N$201,9,0)="","",VLOOKUP($A252,'Шаг2.Бланк заказа NEW'!$B$17:$N$201,9,0)),
IF(VLOOKUP($A252-COUNT('Шаг2.Бланк заказа NEW'!$B$19:$B$201),'Бланк OLD 0.8 04'!$B$12:$K$200,9,0)="","",VLOOKUP($A252-COUNT('Шаг2.Бланк заказа NEW'!$B$19:$B$201),'Бланк OLD 0.8 04'!$B$12:$K$200,9,0))),
IF(VLOOKUP($A252-COUNT('Шаг2.Бланк заказа NEW'!$B$19:$B$201)-COUNT('Бланк OLD 0.8 04'!$B$18:$B$200),'Бланк OLD 2.0 04 '!$B$16:$K$200,9,0)="","",VLOOKUP($A252-COUNT('Шаг2.Бланк заказа NEW'!$B$19:$B$201)-COUNT('Бланк OLD 0.8 04'!$B$18:$B$200),'Бланк OLD 2.0 04 '!$B$16:$K$200,9,0)))</f>
        <v/>
      </c>
      <c r="M252" s="154" t="str">
        <f t="shared" ca="1" si="20"/>
        <v/>
      </c>
      <c r="N252" s="153" t="str">
        <f ca="1">IFERROR(IF(VLOOKUP($A252,'Шаг2.Бланк заказа NEW'!$B$17:$N$201,11,0)="","",VLOOKUP($A252,'Шаг2.Бланк заказа NEW'!$B$17:$N$201,11,0)),
"Нет")</f>
        <v/>
      </c>
      <c r="O252" s="147" t="str">
        <f ca="1">IFERROR(IF(VLOOKUP($A252,'Шаг2.Бланк заказа NEW'!$B$17:$N$201,11,0)="","",VLOOKUP($A252,'Шаг2.Бланк заказа NEW'!$B$17:$N$201,12,0)),
"Нет")</f>
        <v/>
      </c>
      <c r="P252" s="153" t="str">
        <f ca="1">IFERROR(IF(VLOOKUP($A252,'Шаг2.Бланк заказа NEW'!$B$17:$N$201,13,0)="","",VLOOKUP($A252,'Шаг2.Бланк заказа NEW'!$B$17:$N$201,13,0)),
"Нет")</f>
        <v/>
      </c>
      <c r="Q252" s="147" t="str">
        <f ca="1">IFERROR(IF(VLOOKUP($A252,'Шаг2.Бланк заказа NEW'!$B$17:$O$201,14,0)="","",VLOOKUP($A252,'Шаг2.Бланк заказа NEW'!$B$17:$O$201,14,0)),"")</f>
        <v/>
      </c>
      <c r="R252" s="147" t="str">
        <f ca="1">IFERROR(IFERROR(IF(VLOOKUP($A252,'Шаг2.Бланк заказа NEW'!$B$17:$N$201,4,0)="","",VLOOKUP($A252,'Шаг2.Бланк заказа NEW'!$B$17:$N$201,4,0)),
IF(VLOOKUP($A252-COUNT('Шаг2.Бланк заказа NEW'!$B$19:$B$201),'Бланк OLD 0.8 04'!$B$12:$K$200,4,0)&gt;0,0.8,
IF(VLOOKUP($A252-COUNT('Шаг2.Бланк заказа NEW'!$B$19:$B$201),'Бланк OLD 0.8 04'!$B$12:$K$200,5,0)&gt;0,0.4,""))),
IF(VLOOKUP($A252-COUNT('Шаг2.Бланк заказа NEW'!$B$19:$B$201)-COUNT('Бланк OLD 0.8 04'!$B$18:$B$200),'Бланк OLD 2.0 04 '!$B$16:$K$200,4,0)&gt;0,2,IF(VLOOKUP($A252-COUNT('Шаг2.Бланк заказа NEW'!$B$19:$B$201)-COUNT('Бланк OLD 0.8 04'!$B$18:$B$200),'Бланк OLD 2.0 04 '!$B$16:$K$200,5,0)&gt;0,0.4,"")))</f>
        <v/>
      </c>
      <c r="S252" s="147" t="str">
        <f ca="1">IFERROR(IFERROR(IF(VLOOKUP($A252,'Шаг2.Бланк заказа NEW'!$B$17:$N$201,5,0)="","",VLOOKUP($A252,'Шаг2.Бланк заказа NEW'!$B$17:$N$201,5,0)),
IF(VLOOKUP($A252-COUNT('Шаг2.Бланк заказа NEW'!$B$19:$B$201),'Бланк OLD 0.8 04'!$B$12:$K$200,4,0)&gt;1,0.8,
IF(VLOOKUP($A252-COUNT('Шаг2.Бланк заказа NEW'!$B$19:$B$201),'Бланк OLD 0.8 04'!$B$12:$K$200,5,0)&gt;1,0.4,
IF(AND(VLOOKUP($A252-COUNT('Шаг2.Бланк заказа NEW'!$B$19:$B$201),'Бланк OLD 0.8 04'!$B$12:$K$200,4,0)&gt;0,VLOOKUP($A252-COUNT('Шаг2.Бланк заказа NEW'!$B$19:$B$201),'Бланк OLD 0.8 04'!$B$12:$K$200,5,0)&gt;0),0.4,"")))),
IF(VLOOKUP($A252-COUNT('Шаг2.Бланк заказа NEW'!$B$19:$B$201)-COUNT('Бланк OLD 0.8 04'!$B$18:$B$200),'Бланк OLD 2.0 04 '!$B$16:$K$200,4,0)&gt;1,2,
IF(VLOOKUP($A252-COUNT('Шаг2.Бланк заказа NEW'!$B$19:$B$201)-COUNT('Бланк OLD 0.8 04'!$B$18:$B$200),'Бланк OLD 2.0 04 '!$B$16:$K$200,5,0)&gt;1,0.4,IF(AND(VLOOKUP($A252-COUNT('Шаг2.Бланк заказа NEW'!$B$19:$B$201)-COUNT('Бланк OLD 0.8 04'!$B$18:$B$200),'Бланк OLD 2.0 04 '!$B$16:$K$200,4,0)&gt;0,VLOOKUP($A252-COUNT('Шаг2.Бланк заказа NEW'!$B$19:$B$201)-COUNT('Бланк OLD 0.8 04'!$B$18:$B$200),'Бланк OLD 2.0 04 '!$B$16:$K$200,5,0)&gt;0),0.4,""))))</f>
        <v/>
      </c>
      <c r="T252" s="147" t="str">
        <f ca="1">IFERROR(IFERROR(IF(VLOOKUP($A252,'Шаг2.Бланк заказа NEW'!$B$17:$N$201,7,0)="","",VLOOKUP($A252,'Шаг2.Бланк заказа NEW'!$B$17:$N$201,7,0)),
IF(VLOOKUP($A252-COUNT('Шаг2.Бланк заказа NEW'!$B$19:$B$201),'Бланк OLD 0.8 04'!$B$12:$K$200,7,0)&gt;0,0.8,
IF(VLOOKUP($A252-COUNT('Шаг2.Бланк заказа NEW'!$B$19:$B$201),'Бланк OLD 0.8 04'!$B$12:$K$200,8,0)&gt;0,0.4,""))),
IF(VLOOKUP($A252-COUNT('Шаг2.Бланк заказа NEW'!$B$19:$B$201)-COUNT('Бланк OLD 0.8 04'!$B$18:$B$200),'Бланк OLD 2.0 04 '!$B$16:$K$200,7,0)&gt;0,2,IF(VLOOKUP($A252-COUNT('Шаг2.Бланк заказа NEW'!$B$19:$B$201)-COUNT('Бланк OLD 0.8 04'!$B$18:$B$200),'Бланк OLD 2.0 04 '!$B$16:$K$200,8,0)&gt;0,0.4,"")))</f>
        <v/>
      </c>
      <c r="U252" s="147" t="str">
        <f ca="1">IFERROR(IFERROR(IF(VLOOKUP($A252,'Шаг2.Бланк заказа NEW'!$B$17:$N$201,8,0)="","",VLOOKUP($A252,'Шаг2.Бланк заказа NEW'!$B$17:$N$201,8,0)),
IF(VLOOKUP($A252-COUNT('Шаг2.Бланк заказа NEW'!$B$19:$B$201),'Бланк OLD 0.8 04'!$B$12:$K$200,7,0)&gt;1,0.8,
IF(VLOOKUP($A252-COUNT('Шаг2.Бланк заказа NEW'!$B$19:$B$201),'Бланк OLD 0.8 04'!$B$12:$K$200,8,0)&gt;1,0.4,
IF(AND(VLOOKUP($A252-COUNT('Шаг2.Бланк заказа NEW'!$B$19:$B$201),'Бланк OLD 0.8 04'!$B$12:$K$200,7,0)&gt;0,VLOOKUP($A252-COUNT('Шаг2.Бланк заказа NEW'!$B$19:$B$201),'Бланк OLD 0.8 04'!$B$12:$K$200,8,0)&gt;0),0.4,"")))),
IF(VLOOKUP($A252-COUNT('Шаг2.Бланк заказа NEW'!$B$19:$B$201)-COUNT('Бланк OLD 0.8 04'!$B$18:$B$200),'Бланк OLD 2.0 04 '!$B$16:$K$200,7,0)&gt;1,2,
IF(VLOOKUP($A252-COUNT('Шаг2.Бланк заказа NEW'!$B$19:$B$201)-COUNT('Бланк OLD 0.8 04'!$B$18:$B$200),'Бланк OLD 2.0 04 '!$B$16:$K$200,8,0)&gt;1,0.4,
IF(AND(VLOOKUP($A252-COUNT('Шаг2.Бланк заказа NEW'!$B$19:$B$201)-COUNT('Бланк OLD 0.8 04'!$B$18:$B$200),'Бланк OLD 2.0 04 '!$B$16:$K$200,7,0)&gt;0,VLOOKUP($A252-COUNT('Шаг2.Бланк заказа NEW'!$B$19:$B$201)-COUNT('Бланк OLD 0.8 04'!$B$18:$B$200),'Бланк OLD 2.0 04 '!$B$16:$K$200,8,0)&gt;0),0.4,""))))</f>
        <v/>
      </c>
      <c r="V252" s="146" t="str">
        <f ca="1">IFERROR(VLOOKUP(C252,'Шаг1.Выбор плиты'!C:S,12,0),"")</f>
        <v/>
      </c>
      <c r="W252" s="146" t="str">
        <f ca="1">IFERROR(VLOOKUP(C252,'Шаг1.Выбор плиты'!C:S,8,0),"")</f>
        <v/>
      </c>
      <c r="X252" s="146" t="str">
        <f ca="1">IFERROR(VLOOKUP(C252,'Шаг1.Выбор плиты'!C:S,10,0),"")</f>
        <v/>
      </c>
      <c r="Y252" s="147" t="str">
        <f t="shared" ca="1" si="18"/>
        <v/>
      </c>
      <c r="AD252" s="147" t="str">
        <f t="shared" ca="1" si="21"/>
        <v/>
      </c>
      <c r="AE252" s="147" t="str">
        <f t="shared" ca="1" si="19"/>
        <v/>
      </c>
      <c r="AF252" s="25"/>
      <c r="AH252" s="147" t="str">
        <f ca="1">IF(C252="","",VLOOKUP(C252,'Шаг1.Выбор плиты'!C:Q,7,0))</f>
        <v/>
      </c>
      <c r="AI252" s="147" t="str">
        <f t="shared" ca="1" si="22"/>
        <v/>
      </c>
    </row>
    <row r="253" spans="1:35" x14ac:dyDescent="0.2">
      <c r="A253" s="151" t="str">
        <f ca="1">IF(C253="","",MAX($A$1:OFFSET(C253,-1,0))+1)</f>
        <v/>
      </c>
      <c r="B253" s="151" t="str">
        <f ca="1">IFERROR(IFERROR(IFERROR("Шаг2.Бланк заказа NEW №"&amp;VLOOKUP(A252+1,CHOOSE({1,2},'Шаг2.Бланк заказа NEW'!$B$19:$B$201,'Шаг2.Бланк заказа NEW'!$A$19:$A$201),1,0),
"Бланк OLD 0.8 04 №"&amp;VLOOKUP(A252+1-COUNT('Шаг2.Бланк заказа NEW'!$B$19:$B$201),CHOOSE({1,2},'Бланк OLD 0.8 04'!$B$18:$B$200,'Бланк OLD 0.8 04'!$A$18:$A$200),1,0)),
"Бланк OLD 2.0 04 №"&amp;VLOOKUP(A252+1-COUNT('Шаг2.Бланк заказа NEW'!$B$19:$B$201)-COUNT('Бланк OLD 0.8 04'!$B$18:$B$200),CHOOSE({1,2},'Бланк OLD 2.0 04 '!$B$18:$B$200,'Бланк OLD 2.0 04 '!$A$18:$A$200),1,0)),"")</f>
        <v/>
      </c>
      <c r="C253" s="152" t="str">
        <f ca="1">IFERROR(IFERROR(IFERROR(VLOOKUP(A252+1,CHOOSE({1,2},'Шаг2.Бланк заказа NEW'!$B$19:$B$201,'Шаг2.Бланк заказа NEW'!$A$19:$A$201),2,0),
VLOOKUP(A252+1-COUNT('Шаг2.Бланк заказа NEW'!$B$19:$B$201),CHOOSE({1,2},'Бланк OLD 0.8 04'!$B$18:$B$200,'Бланк OLD 0.8 04'!$A$18:$A$200),2,0)),
VLOOKUP(A252+1-COUNT('Шаг2.Бланк заказа NEW'!$B$19:$B$201)-COUNT('Бланк OLD 0.8 04'!$B$18:$B$200),CHOOSE({1,2},'Бланк OLD 2.0 04 '!$B$18:$B$200,'Бланк OLD 2.0 04 '!$A$18:$A$200),2,0)),"")</f>
        <v/>
      </c>
      <c r="D253" s="150" t="str">
        <f ca="1">IFERROR(VLOOKUP(C253,'Шаг1.Выбор плиты'!C:G,5,0),"")</f>
        <v/>
      </c>
      <c r="E253" s="147" t="str">
        <f ca="1">IFERROR(IFERROR(IF(VLOOKUP($A253,'Шаг2.Бланк заказа NEW'!$B$17:$N$201,2,0)="","",VLOOKUP($A253,'Шаг2.Бланк заказа NEW'!$B$17:$N$201,2,0)),
IF(VLOOKUP($A253-COUNT('Шаг2.Бланк заказа NEW'!$B$19:$B$201),'Бланк OLD 0.8 04'!$B$12:$K$200,2,0)="","",VLOOKUP($A253-COUNT('Шаг2.Бланк заказа NEW'!$B$19:$B$201),'Бланк OLD 0.8 04'!$B$12:$K$200,2,0))),
IF(VLOOKUP($A253-COUNT('Шаг2.Бланк заказа NEW'!$B$19:$B$201)-COUNT('Бланк OLD 0.8 04'!$B$18:$B$200),'Бланк OLD 2.0 04 '!$B$16:$K$200,2,0)="","",VLOOKUP($A253-COUNT('Шаг2.Бланк заказа NEW'!$B$19:$B$201)-COUNT('Бланк OLD 0.8 04'!$B$18:$B$200),'Бланк OLD 2.0 04 '!$B$16:$K$200,2,0)))</f>
        <v/>
      </c>
      <c r="F253" s="147" t="str">
        <f ca="1">IFERROR(IFERROR(IF(VLOOKUP($A253,'Шаг2.Бланк заказа NEW'!$B$17:$N$201,3,0)="","",VLOOKUP($A253,'Шаг2.Бланк заказа NEW'!$B$17:$N$201,3,0)),
IF(VLOOKUP($A253-COUNT('Шаг2.Бланк заказа NEW'!$B$19:$B$201),'Бланк OLD 0.8 04'!$B$12:$K$200,3,0)="","",VLOOKUP($A253-COUNT('Шаг2.Бланк заказа NEW'!$B$19:$B$201),'Бланк OLD 0.8 04'!$B$12:$K$200,3,0))),
IF(VLOOKUP($A253-COUNT('Шаг2.Бланк заказа NEW'!$B$19:$B$201)-COUNT('Бланк OLD 0.8 04'!$B$18:$B$200),'Бланк OLD 2.0 04 '!$B$16:$K$200,3,0)="","",VLOOKUP($A253-COUNT('Шаг2.Бланк заказа NEW'!$B$19:$B$201)-COUNT('Бланк OLD 0.8 04'!$B$18:$B$200),'Бланк OLD 2.0 04 '!$B$16:$K$200,3,0)))</f>
        <v/>
      </c>
      <c r="G253" s="176" t="str">
        <f ca="1">IF(IF(R253="","",IF(R253=1,SUMIFS('Шаг1.Выбор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плиты'!C:Q,12,0)),1))))))=0,
R253,
IF(R253="","",IF(R253=1,SUMIFS('Шаг1.Выбор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плиты'!N:N,R253,'Шаг1.Выбор плиты'!M:M,SMALL(INDIRECT("мм"&amp;VLOOKUP(C253,'Шаг1.Выбор плиты'!C:Q,12,0)),1)))))))</f>
        <v/>
      </c>
      <c r="H253" s="177" t="str">
        <f ca="1">IF(IF(S253="","",IF(S253=1,SUMIFS('Шаг1.Выбор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плиты'!C:Q,12,0)),1))))))=0,
S253,
IF(S253="","",IF(S253=1,SUMIFS('Шаг1.Выбор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плиты'!N:N,S253,'Шаг1.Выбор плиты'!M:M,SMALL(INDIRECT("мм"&amp;VLOOKUP(C253,'Шаг1.Выбор плиты'!C:Q,12,0)),1)))))))</f>
        <v/>
      </c>
      <c r="I253" s="147" t="str">
        <f ca="1">IFERROR(IFERROR(IF(VLOOKUP($A253,'Шаг2.Бланк заказа NEW'!$B$17:$N$201,6,0)="","",VLOOKUP($A253,'Шаг2.Бланк заказа NEW'!$B$17:$N$201,6,0)),
IF(VLOOKUP($A253-COUNT('Шаг2.Бланк заказа NEW'!$B$19:$B$201),'Бланк OLD 0.8 04'!$B$12:$K$200,6,0)="","",VLOOKUP($A253-COUNT('Шаг2.Бланк заказа NEW'!$B$19:$B$201),'Бланк OLD 0.8 04'!$B$12:$K$200,6,0))),
IF(VLOOKUP($A253-COUNT('Шаг2.Бланк заказа NEW'!$B$19:$B$201)-COUNT('Бланк OLD 0.8 04'!$B$18:$B$200),'Бланк OLD 2.0 04 '!$B$16:$K$200,6,0)="","",VLOOKUP($A253-COUNT('Шаг2.Бланк заказа NEW'!$B$19:$B$201)-COUNT('Бланк OLD 0.8 04'!$B$18:$B$200),'Бланк OLD 2.0 04 '!$B$16:$K$200,6,0)))</f>
        <v/>
      </c>
      <c r="J253" s="177" t="str">
        <f ca="1">IF(IF(T253="","",IF(T253=1,SUMIFS('Шаг1.Выбор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плиты'!C:Q,12,0)),1))))))=0,
T253,
IF(T253="","",IF(T253=1,SUMIFS('Шаг1.Выбор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плиты'!N:N,T253,'Шаг1.Выбор плиты'!M:M,SMALL(INDIRECT("мм"&amp;VLOOKUP(C253,'Шаг1.Выбор плиты'!C:Q,12,0)),1)))))))</f>
        <v/>
      </c>
      <c r="K253" s="177" t="str">
        <f ca="1">IF(IF(U253="","",IF(U253=1,SUMIFS('Шаг1.Выбор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плиты'!C:Q,12,0)),1))))))=0,
U253,
IF(U253="","",IF(U253=1,SUMIFS('Шаг1.Выбор плиты'!$G:$G,'Шаг1.Выбор плиты'!J:J,"*"&amp;RIGHT(VLOOKUP(C253,'Шаг1.Выбор плиты'!C:Q,8,0),4),'Шаг1.Выбор плиты'!L:L,IF(MID(C253,1,6)="ЛДСП P","TM"&amp;MID(VLOOKUP(C253,'Шаг1.Выбор плиты'!C:Q,10,0),3,2),MID(VLOOKUP(C253,'Шаг1.Выбор плиты'!C:Q,10,0),1,2)),
'Шаг1.Выбор плиты'!N:N,1),IF(SUMIFS('Шаг1.Выбор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плиты'!C:Q,12,0)),1))=0,
IF(SUMIFS('Шаг1.Выбор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плиты'!C:Q,12,0)),2))=0,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плиты'!C:Q,12,0)),3)),
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плиты'!C:Q,12,0)),2))),
(SUMIFS('Шаг1.Выбор плиты'!$G:$G,'Шаг1.Выбор плиты'!J:J,"*"&amp;RIGHT(VLOOKUP(C253,'Шаг1.Выбор плиты'!C:Q,8,0),4),'Шаг1.Выбор плиты'!L:L,VLOOKUP(C253,'Шаг1.Выбор плиты'!C:Q,10,0),'Шаг1.Выбор плиты'!N:N,U253,'Шаг1.Выбор плиты'!M:M,SMALL(INDIRECT("мм"&amp;VLOOKUP(C253,'Шаг1.Выбор плиты'!C:Q,12,0)),1)))))))</f>
        <v/>
      </c>
      <c r="L253" s="147" t="str">
        <f ca="1">IFERROR(IFERROR(IF(VLOOKUP($A253,'Шаг2.Бланк заказа NEW'!$B$17:$N$201,9,0)="","",VLOOKUP($A253,'Шаг2.Бланк заказа NEW'!$B$17:$N$201,9,0)),
IF(VLOOKUP($A253-COUNT('Шаг2.Бланк заказа NEW'!$B$19:$B$201),'Бланк OLD 0.8 04'!$B$12:$K$200,9,0)="","",VLOOKUP($A253-COUNT('Шаг2.Бланк заказа NEW'!$B$19:$B$201),'Бланк OLD 0.8 04'!$B$12:$K$200,9,0))),
IF(VLOOKUP($A253-COUNT('Шаг2.Бланк заказа NEW'!$B$19:$B$201)-COUNT('Бланк OLD 0.8 04'!$B$18:$B$200),'Бланк OLD 2.0 04 '!$B$16:$K$200,9,0)="","",VLOOKUP($A253-COUNT('Шаг2.Бланк заказа NEW'!$B$19:$B$201)-COUNT('Бланк OLD 0.8 04'!$B$18:$B$200),'Бланк OLD 2.0 04 '!$B$16:$K$200,9,0)))</f>
        <v/>
      </c>
      <c r="M253" s="154" t="str">
        <f t="shared" ca="1" si="20"/>
        <v/>
      </c>
      <c r="N253" s="153" t="str">
        <f ca="1">IFERROR(IF(VLOOKUP($A253,'Шаг2.Бланк заказа NEW'!$B$17:$N$201,11,0)="","",VLOOKUP($A253,'Шаг2.Бланк заказа NEW'!$B$17:$N$201,11,0)),
"Нет")</f>
        <v/>
      </c>
      <c r="O253" s="147" t="str">
        <f ca="1">IFERROR(IF(VLOOKUP($A253,'Шаг2.Бланк заказа NEW'!$B$17:$N$201,11,0)="","",VLOOKUP($A253,'Шаг2.Бланк заказа NEW'!$B$17:$N$201,12,0)),
"Нет")</f>
        <v/>
      </c>
      <c r="P253" s="153" t="str">
        <f ca="1">IFERROR(IF(VLOOKUP($A253,'Шаг2.Бланк заказа NEW'!$B$17:$N$201,13,0)="","",VLOOKUP($A253,'Шаг2.Бланк заказа NEW'!$B$17:$N$201,13,0)),
"Нет")</f>
        <v/>
      </c>
      <c r="Q253" s="147" t="str">
        <f ca="1">IFERROR(IF(VLOOKUP($A253,'Шаг2.Бланк заказа NEW'!$B$17:$O$201,14,0)="","",VLOOKUP($A253,'Шаг2.Бланк заказа NEW'!$B$17:$O$201,14,0)),"")</f>
        <v/>
      </c>
      <c r="R253" s="147" t="str">
        <f ca="1">IFERROR(IFERROR(IF(VLOOKUP($A253,'Шаг2.Бланк заказа NEW'!$B$17:$N$201,4,0)="","",VLOOKUP($A253,'Шаг2.Бланк заказа NEW'!$B$17:$N$201,4,0)),
IF(VLOOKUP($A253-COUNT('Шаг2.Бланк заказа NEW'!$B$19:$B$201),'Бланк OLD 0.8 04'!$B$12:$K$200,4,0)&gt;0,0.8,
IF(VLOOKUP($A253-COUNT('Шаг2.Бланк заказа NEW'!$B$19:$B$201),'Бланк OLD 0.8 04'!$B$12:$K$200,5,0)&gt;0,0.4,""))),
IF(VLOOKUP($A253-COUNT('Шаг2.Бланк заказа NEW'!$B$19:$B$201)-COUNT('Бланк OLD 0.8 04'!$B$18:$B$200),'Бланк OLD 2.0 04 '!$B$16:$K$200,4,0)&gt;0,2,IF(VLOOKUP($A253-COUNT('Шаг2.Бланк заказа NEW'!$B$19:$B$201)-COUNT('Бланк OLD 0.8 04'!$B$18:$B$200),'Бланк OLD 2.0 04 '!$B$16:$K$200,5,0)&gt;0,0.4,"")))</f>
        <v/>
      </c>
      <c r="S253" s="147" t="str">
        <f ca="1">IFERROR(IFERROR(IF(VLOOKUP($A253,'Шаг2.Бланк заказа NEW'!$B$17:$N$201,5,0)="","",VLOOKUP($A253,'Шаг2.Бланк заказа NEW'!$B$17:$N$201,5,0)),
IF(VLOOKUP($A253-COUNT('Шаг2.Бланк заказа NEW'!$B$19:$B$201),'Бланк OLD 0.8 04'!$B$12:$K$200,4,0)&gt;1,0.8,
IF(VLOOKUP($A253-COUNT('Шаг2.Бланк заказа NEW'!$B$19:$B$201),'Бланк OLD 0.8 04'!$B$12:$K$200,5,0)&gt;1,0.4,
IF(AND(VLOOKUP($A253-COUNT('Шаг2.Бланк заказа NEW'!$B$19:$B$201),'Бланк OLD 0.8 04'!$B$12:$K$200,4,0)&gt;0,VLOOKUP($A253-COUNT('Шаг2.Бланк заказа NEW'!$B$19:$B$201),'Бланк OLD 0.8 04'!$B$12:$K$200,5,0)&gt;0),0.4,"")))),
IF(VLOOKUP($A253-COUNT('Шаг2.Бланк заказа NEW'!$B$19:$B$201)-COUNT('Бланк OLD 0.8 04'!$B$18:$B$200),'Бланк OLD 2.0 04 '!$B$16:$K$200,4,0)&gt;1,2,
IF(VLOOKUP($A253-COUNT('Шаг2.Бланк заказа NEW'!$B$19:$B$201)-COUNT('Бланк OLD 0.8 04'!$B$18:$B$200),'Бланк OLD 2.0 04 '!$B$16:$K$200,5,0)&gt;1,0.4,IF(AND(VLOOKUP($A253-COUNT('Шаг2.Бланк заказа NEW'!$B$19:$B$201)-COUNT('Бланк OLD 0.8 04'!$B$18:$B$200),'Бланк OLD 2.0 04 '!$B$16:$K$200,4,0)&gt;0,VLOOKUP($A253-COUNT('Шаг2.Бланк заказа NEW'!$B$19:$B$201)-COUNT('Бланк OLD 0.8 04'!$B$18:$B$200),'Бланк OLD 2.0 04 '!$B$16:$K$200,5,0)&gt;0),0.4,""))))</f>
        <v/>
      </c>
      <c r="T253" s="147" t="str">
        <f ca="1">IFERROR(IFERROR(IF(VLOOKUP($A253,'Шаг2.Бланк заказа NEW'!$B$17:$N$201,7,0)="","",VLOOKUP($A253,'Шаг2.Бланк заказа NEW'!$B$17:$N$201,7,0)),
IF(VLOOKUP($A253-COUNT('Шаг2.Бланк заказа NEW'!$B$19:$B$201),'Бланк OLD 0.8 04'!$B$12:$K$200,7,0)&gt;0,0.8,
IF(VLOOKUP($A253-COUNT('Шаг2.Бланк заказа NEW'!$B$19:$B$201),'Бланк OLD 0.8 04'!$B$12:$K$200,8,0)&gt;0,0.4,""))),
IF(VLOOKUP($A253-COUNT('Шаг2.Бланк заказа NEW'!$B$19:$B$201)-COUNT('Бланк OLD 0.8 04'!$B$18:$B$200),'Бланк OLD 2.0 04 '!$B$16:$K$200,7,0)&gt;0,2,IF(VLOOKUP($A253-COUNT('Шаг2.Бланк заказа NEW'!$B$19:$B$201)-COUNT('Бланк OLD 0.8 04'!$B$18:$B$200),'Бланк OLD 2.0 04 '!$B$16:$K$200,8,0)&gt;0,0.4,"")))</f>
        <v/>
      </c>
      <c r="U253" s="147" t="str">
        <f ca="1">IFERROR(IFERROR(IF(VLOOKUP($A253,'Шаг2.Бланк заказа NEW'!$B$17:$N$201,8,0)="","",VLOOKUP($A253,'Шаг2.Бланк заказа NEW'!$B$17:$N$201,8,0)),
IF(VLOOKUP($A253-COUNT('Шаг2.Бланк заказа NEW'!$B$19:$B$201),'Бланк OLD 0.8 04'!$B$12:$K$200,7,0)&gt;1,0.8,
IF(VLOOKUP($A253-COUNT('Шаг2.Бланк заказа NEW'!$B$19:$B$201),'Бланк OLD 0.8 04'!$B$12:$K$200,8,0)&gt;1,0.4,
IF(AND(VLOOKUP($A253-COUNT('Шаг2.Бланк заказа NEW'!$B$19:$B$201),'Бланк OLD 0.8 04'!$B$12:$K$200,7,0)&gt;0,VLOOKUP($A253-COUNT('Шаг2.Бланк заказа NEW'!$B$19:$B$201),'Бланк OLD 0.8 04'!$B$12:$K$200,8,0)&gt;0),0.4,"")))),
IF(VLOOKUP($A253-COUNT('Шаг2.Бланк заказа NEW'!$B$19:$B$201)-COUNT('Бланк OLD 0.8 04'!$B$18:$B$200),'Бланк OLD 2.0 04 '!$B$16:$K$200,7,0)&gt;1,2,
IF(VLOOKUP($A253-COUNT('Шаг2.Бланк заказа NEW'!$B$19:$B$201)-COUNT('Бланк OLD 0.8 04'!$B$18:$B$200),'Бланк OLD 2.0 04 '!$B$16:$K$200,8,0)&gt;1,0.4,
IF(AND(VLOOKUP($A253-COUNT('Шаг2.Бланк заказа NEW'!$B$19:$B$201)-COUNT('Бланк OLD 0.8 04'!$B$18:$B$200),'Бланк OLD 2.0 04 '!$B$16:$K$200,7,0)&gt;0,VLOOKUP($A253-COUNT('Шаг2.Бланк заказа NEW'!$B$19:$B$201)-COUNT('Бланк OLD 0.8 04'!$B$18:$B$200),'Бланк OLD 2.0 04 '!$B$16:$K$200,8,0)&gt;0),0.4,""))))</f>
        <v/>
      </c>
      <c r="V253" s="146" t="str">
        <f ca="1">IFERROR(VLOOKUP(C253,'Шаг1.Выбор плиты'!C:S,12,0),"")</f>
        <v/>
      </c>
      <c r="W253" s="146" t="str">
        <f ca="1">IFERROR(VLOOKUP(C253,'Шаг1.Выбор плиты'!C:S,8,0),"")</f>
        <v/>
      </c>
      <c r="X253" s="146" t="str">
        <f ca="1">IFERROR(VLOOKUP(C253,'Шаг1.Выбор плиты'!C:S,10,0),"")</f>
        <v/>
      </c>
      <c r="Y253" s="147" t="str">
        <f t="shared" ca="1" si="18"/>
        <v/>
      </c>
      <c r="AD253" s="147" t="str">
        <f t="shared" ca="1" si="21"/>
        <v/>
      </c>
      <c r="AE253" s="147" t="str">
        <f t="shared" ca="1" si="19"/>
        <v/>
      </c>
      <c r="AF253" s="25"/>
      <c r="AH253" s="147" t="str">
        <f ca="1">IF(C253="","",VLOOKUP(C253,'Шаг1.Выбор плиты'!C:Q,7,0))</f>
        <v/>
      </c>
      <c r="AI253" s="147" t="str">
        <f t="shared" ca="1" si="22"/>
        <v/>
      </c>
    </row>
    <row r="254" spans="1:35" x14ac:dyDescent="0.2">
      <c r="A254" s="151" t="str">
        <f ca="1">IF(C254="","",MAX($A$1:OFFSET(C254,-1,0))+1)</f>
        <v/>
      </c>
      <c r="B254" s="151" t="str">
        <f ca="1">IFERROR(IFERROR(IFERROR("Шаг2.Бланк заказа NEW №"&amp;VLOOKUP(A253+1,CHOOSE({1,2},'Шаг2.Бланк заказа NEW'!$B$19:$B$201,'Шаг2.Бланк заказа NEW'!$A$19:$A$201),1,0),
"Бланк OLD 0.8 04 №"&amp;VLOOKUP(A253+1-COUNT('Шаг2.Бланк заказа NEW'!$B$19:$B$201),CHOOSE({1,2},'Бланк OLD 0.8 04'!$B$18:$B$200,'Бланк OLD 0.8 04'!$A$18:$A$200),1,0)),
"Бланк OLD 2.0 04 №"&amp;VLOOKUP(A253+1-COUNT('Шаг2.Бланк заказа NEW'!$B$19:$B$201)-COUNT('Бланк OLD 0.8 04'!$B$18:$B$200),CHOOSE({1,2},'Бланк OLD 2.0 04 '!$B$18:$B$200,'Бланк OLD 2.0 04 '!$A$18:$A$200),1,0)),"")</f>
        <v/>
      </c>
      <c r="C254" s="152" t="str">
        <f ca="1">IFERROR(IFERROR(IFERROR(VLOOKUP(A253+1,CHOOSE({1,2},'Шаг2.Бланк заказа NEW'!$B$19:$B$201,'Шаг2.Бланк заказа NEW'!$A$19:$A$201),2,0),
VLOOKUP(A253+1-COUNT('Шаг2.Бланк заказа NEW'!$B$19:$B$201),CHOOSE({1,2},'Бланк OLD 0.8 04'!$B$18:$B$200,'Бланк OLD 0.8 04'!$A$18:$A$200),2,0)),
VLOOKUP(A253+1-COUNT('Шаг2.Бланк заказа NEW'!$B$19:$B$201)-COUNT('Бланк OLD 0.8 04'!$B$18:$B$200),CHOOSE({1,2},'Бланк OLD 2.0 04 '!$B$18:$B$200,'Бланк OLD 2.0 04 '!$A$18:$A$200),2,0)),"")</f>
        <v/>
      </c>
      <c r="D254" s="150" t="str">
        <f ca="1">IFERROR(VLOOKUP(C254,'Шаг1.Выбор плиты'!C:G,5,0),"")</f>
        <v/>
      </c>
      <c r="E254" s="147" t="str">
        <f ca="1">IFERROR(IFERROR(IF(VLOOKUP($A254,'Шаг2.Бланк заказа NEW'!$B$17:$N$201,2,0)="","",VLOOKUP($A254,'Шаг2.Бланк заказа NEW'!$B$17:$N$201,2,0)),
IF(VLOOKUP($A254-COUNT('Шаг2.Бланк заказа NEW'!$B$19:$B$201),'Бланк OLD 0.8 04'!$B$12:$K$200,2,0)="","",VLOOKUP($A254-COUNT('Шаг2.Бланк заказа NEW'!$B$19:$B$201),'Бланк OLD 0.8 04'!$B$12:$K$200,2,0))),
IF(VLOOKUP($A254-COUNT('Шаг2.Бланк заказа NEW'!$B$19:$B$201)-COUNT('Бланк OLD 0.8 04'!$B$18:$B$200),'Бланк OLD 2.0 04 '!$B$16:$K$200,2,0)="","",VLOOKUP($A254-COUNT('Шаг2.Бланк заказа NEW'!$B$19:$B$201)-COUNT('Бланк OLD 0.8 04'!$B$18:$B$200),'Бланк OLD 2.0 04 '!$B$16:$K$200,2,0)))</f>
        <v/>
      </c>
      <c r="F254" s="147" t="str">
        <f ca="1">IFERROR(IFERROR(IF(VLOOKUP($A254,'Шаг2.Бланк заказа NEW'!$B$17:$N$201,3,0)="","",VLOOKUP($A254,'Шаг2.Бланк заказа NEW'!$B$17:$N$201,3,0)),
IF(VLOOKUP($A254-COUNT('Шаг2.Бланк заказа NEW'!$B$19:$B$201),'Бланк OLD 0.8 04'!$B$12:$K$200,3,0)="","",VLOOKUP($A254-COUNT('Шаг2.Бланк заказа NEW'!$B$19:$B$201),'Бланк OLD 0.8 04'!$B$12:$K$200,3,0))),
IF(VLOOKUP($A254-COUNT('Шаг2.Бланк заказа NEW'!$B$19:$B$201)-COUNT('Бланк OLD 0.8 04'!$B$18:$B$200),'Бланк OLD 2.0 04 '!$B$16:$K$200,3,0)="","",VLOOKUP($A254-COUNT('Шаг2.Бланк заказа NEW'!$B$19:$B$201)-COUNT('Бланк OLD 0.8 04'!$B$18:$B$200),'Бланк OLD 2.0 04 '!$B$16:$K$200,3,0)))</f>
        <v/>
      </c>
      <c r="G254" s="176" t="str">
        <f ca="1">IF(IF(R254="","",IF(R254=1,SUMIFS('Шаг1.Выбор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плиты'!C:Q,12,0)),1))))))=0,
R254,
IF(R254="","",IF(R254=1,SUMIFS('Шаг1.Выбор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плиты'!N:N,R254,'Шаг1.Выбор плиты'!M:M,SMALL(INDIRECT("мм"&amp;VLOOKUP(C254,'Шаг1.Выбор плиты'!C:Q,12,0)),1)))))))</f>
        <v/>
      </c>
      <c r="H254" s="177" t="str">
        <f ca="1">IF(IF(S254="","",IF(S254=1,SUMIFS('Шаг1.Выбор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плиты'!C:Q,12,0)),1))))))=0,
S254,
IF(S254="","",IF(S254=1,SUMIFS('Шаг1.Выбор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плиты'!N:N,S254,'Шаг1.Выбор плиты'!M:M,SMALL(INDIRECT("мм"&amp;VLOOKUP(C254,'Шаг1.Выбор плиты'!C:Q,12,0)),1)))))))</f>
        <v/>
      </c>
      <c r="I254" s="147" t="str">
        <f ca="1">IFERROR(IFERROR(IF(VLOOKUP($A254,'Шаг2.Бланк заказа NEW'!$B$17:$N$201,6,0)="","",VLOOKUP($A254,'Шаг2.Бланк заказа NEW'!$B$17:$N$201,6,0)),
IF(VLOOKUP($A254-COUNT('Шаг2.Бланк заказа NEW'!$B$19:$B$201),'Бланк OLD 0.8 04'!$B$12:$K$200,6,0)="","",VLOOKUP($A254-COUNT('Шаг2.Бланк заказа NEW'!$B$19:$B$201),'Бланк OLD 0.8 04'!$B$12:$K$200,6,0))),
IF(VLOOKUP($A254-COUNT('Шаг2.Бланк заказа NEW'!$B$19:$B$201)-COUNT('Бланк OLD 0.8 04'!$B$18:$B$200),'Бланк OLD 2.0 04 '!$B$16:$K$200,6,0)="","",VLOOKUP($A254-COUNT('Шаг2.Бланк заказа NEW'!$B$19:$B$201)-COUNT('Бланк OLD 0.8 04'!$B$18:$B$200),'Бланк OLD 2.0 04 '!$B$16:$K$200,6,0)))</f>
        <v/>
      </c>
      <c r="J254" s="177" t="str">
        <f ca="1">IF(IF(T254="","",IF(T254=1,SUMIFS('Шаг1.Выбор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плиты'!C:Q,12,0)),1))))))=0,
T254,
IF(T254="","",IF(T254=1,SUMIFS('Шаг1.Выбор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плиты'!N:N,T254,'Шаг1.Выбор плиты'!M:M,SMALL(INDIRECT("мм"&amp;VLOOKUP(C254,'Шаг1.Выбор плиты'!C:Q,12,0)),1)))))))</f>
        <v/>
      </c>
      <c r="K254" s="177" t="str">
        <f ca="1">IF(IF(U254="","",IF(U254=1,SUMIFS('Шаг1.Выбор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плиты'!C:Q,12,0)),1))))))=0,
U254,
IF(U254="","",IF(U254=1,SUMIFS('Шаг1.Выбор плиты'!$G:$G,'Шаг1.Выбор плиты'!J:J,"*"&amp;RIGHT(VLOOKUP(C254,'Шаг1.Выбор плиты'!C:Q,8,0),4),'Шаг1.Выбор плиты'!L:L,IF(MID(C254,1,6)="ЛДСП P","TM"&amp;MID(VLOOKUP(C254,'Шаг1.Выбор плиты'!C:Q,10,0),3,2),MID(VLOOKUP(C254,'Шаг1.Выбор плиты'!C:Q,10,0),1,2)),
'Шаг1.Выбор плиты'!N:N,1),IF(SUMIFS('Шаг1.Выбор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плиты'!C:Q,12,0)),1))=0,
IF(SUMIFS('Шаг1.Выбор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плиты'!C:Q,12,0)),2))=0,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плиты'!C:Q,12,0)),3)),
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плиты'!C:Q,12,0)),2))),
(SUMIFS('Шаг1.Выбор плиты'!$G:$G,'Шаг1.Выбор плиты'!J:J,"*"&amp;RIGHT(VLOOKUP(C254,'Шаг1.Выбор плиты'!C:Q,8,0),4),'Шаг1.Выбор плиты'!L:L,VLOOKUP(C254,'Шаг1.Выбор плиты'!C:Q,10,0),'Шаг1.Выбор плиты'!N:N,U254,'Шаг1.Выбор плиты'!M:M,SMALL(INDIRECT("мм"&amp;VLOOKUP(C254,'Шаг1.Выбор плиты'!C:Q,12,0)),1)))))))</f>
        <v/>
      </c>
      <c r="L254" s="147" t="str">
        <f ca="1">IFERROR(IFERROR(IF(VLOOKUP($A254,'Шаг2.Бланк заказа NEW'!$B$17:$N$201,9,0)="","",VLOOKUP($A254,'Шаг2.Бланк заказа NEW'!$B$17:$N$201,9,0)),
IF(VLOOKUP($A254-COUNT('Шаг2.Бланк заказа NEW'!$B$19:$B$201),'Бланк OLD 0.8 04'!$B$12:$K$200,9,0)="","",VLOOKUP($A254-COUNT('Шаг2.Бланк заказа NEW'!$B$19:$B$201),'Бланк OLD 0.8 04'!$B$12:$K$200,9,0))),
IF(VLOOKUP($A254-COUNT('Шаг2.Бланк заказа NEW'!$B$19:$B$201)-COUNT('Бланк OLD 0.8 04'!$B$18:$B$200),'Бланк OLD 2.0 04 '!$B$16:$K$200,9,0)="","",VLOOKUP($A254-COUNT('Шаг2.Бланк заказа NEW'!$B$19:$B$201)-COUNT('Бланк OLD 0.8 04'!$B$18:$B$200),'Бланк OLD 2.0 04 '!$B$16:$K$200,9,0)))</f>
        <v/>
      </c>
      <c r="M254" s="154" t="str">
        <f t="shared" ca="1" si="20"/>
        <v/>
      </c>
      <c r="N254" s="153" t="str">
        <f ca="1">IFERROR(IF(VLOOKUP($A254,'Шаг2.Бланк заказа NEW'!$B$17:$N$201,11,0)="","",VLOOKUP($A254,'Шаг2.Бланк заказа NEW'!$B$17:$N$201,11,0)),
"Нет")</f>
        <v/>
      </c>
      <c r="O254" s="147" t="str">
        <f ca="1">IFERROR(IF(VLOOKUP($A254,'Шаг2.Бланк заказа NEW'!$B$17:$N$201,11,0)="","",VLOOKUP($A254,'Шаг2.Бланк заказа NEW'!$B$17:$N$201,12,0)),
"Нет")</f>
        <v/>
      </c>
      <c r="P254" s="153" t="str">
        <f ca="1">IFERROR(IF(VLOOKUP($A254,'Шаг2.Бланк заказа NEW'!$B$17:$N$201,13,0)="","",VLOOKUP($A254,'Шаг2.Бланк заказа NEW'!$B$17:$N$201,13,0)),
"Нет")</f>
        <v/>
      </c>
      <c r="Q254" s="147" t="str">
        <f ca="1">IFERROR(IF(VLOOKUP($A254,'Шаг2.Бланк заказа NEW'!$B$17:$O$201,14,0)="","",VLOOKUP($A254,'Шаг2.Бланк заказа NEW'!$B$17:$O$201,14,0)),"")</f>
        <v/>
      </c>
      <c r="R254" s="147" t="str">
        <f ca="1">IFERROR(IFERROR(IF(VLOOKUP($A254,'Шаг2.Бланк заказа NEW'!$B$17:$N$201,4,0)="","",VLOOKUP($A254,'Шаг2.Бланк заказа NEW'!$B$17:$N$201,4,0)),
IF(VLOOKUP($A254-COUNT('Шаг2.Бланк заказа NEW'!$B$19:$B$201),'Бланк OLD 0.8 04'!$B$12:$K$200,4,0)&gt;0,0.8,
IF(VLOOKUP($A254-COUNT('Шаг2.Бланк заказа NEW'!$B$19:$B$201),'Бланк OLD 0.8 04'!$B$12:$K$200,5,0)&gt;0,0.4,""))),
IF(VLOOKUP($A254-COUNT('Шаг2.Бланк заказа NEW'!$B$19:$B$201)-COUNT('Бланк OLD 0.8 04'!$B$18:$B$200),'Бланк OLD 2.0 04 '!$B$16:$K$200,4,0)&gt;0,2,IF(VLOOKUP($A254-COUNT('Шаг2.Бланк заказа NEW'!$B$19:$B$201)-COUNT('Бланк OLD 0.8 04'!$B$18:$B$200),'Бланк OLD 2.0 04 '!$B$16:$K$200,5,0)&gt;0,0.4,"")))</f>
        <v/>
      </c>
      <c r="S254" s="147" t="str">
        <f ca="1">IFERROR(IFERROR(IF(VLOOKUP($A254,'Шаг2.Бланк заказа NEW'!$B$17:$N$201,5,0)="","",VLOOKUP($A254,'Шаг2.Бланк заказа NEW'!$B$17:$N$201,5,0)),
IF(VLOOKUP($A254-COUNT('Шаг2.Бланк заказа NEW'!$B$19:$B$201),'Бланк OLD 0.8 04'!$B$12:$K$200,4,0)&gt;1,0.8,
IF(VLOOKUP($A254-COUNT('Шаг2.Бланк заказа NEW'!$B$19:$B$201),'Бланк OLD 0.8 04'!$B$12:$K$200,5,0)&gt;1,0.4,
IF(AND(VLOOKUP($A254-COUNT('Шаг2.Бланк заказа NEW'!$B$19:$B$201),'Бланк OLD 0.8 04'!$B$12:$K$200,4,0)&gt;0,VLOOKUP($A254-COUNT('Шаг2.Бланк заказа NEW'!$B$19:$B$201),'Бланк OLD 0.8 04'!$B$12:$K$200,5,0)&gt;0),0.4,"")))),
IF(VLOOKUP($A254-COUNT('Шаг2.Бланк заказа NEW'!$B$19:$B$201)-COUNT('Бланк OLD 0.8 04'!$B$18:$B$200),'Бланк OLD 2.0 04 '!$B$16:$K$200,4,0)&gt;1,2,
IF(VLOOKUP($A254-COUNT('Шаг2.Бланк заказа NEW'!$B$19:$B$201)-COUNT('Бланк OLD 0.8 04'!$B$18:$B$200),'Бланк OLD 2.0 04 '!$B$16:$K$200,5,0)&gt;1,0.4,IF(AND(VLOOKUP($A254-COUNT('Шаг2.Бланк заказа NEW'!$B$19:$B$201)-COUNT('Бланк OLD 0.8 04'!$B$18:$B$200),'Бланк OLD 2.0 04 '!$B$16:$K$200,4,0)&gt;0,VLOOKUP($A254-COUNT('Шаг2.Бланк заказа NEW'!$B$19:$B$201)-COUNT('Бланк OLD 0.8 04'!$B$18:$B$200),'Бланк OLD 2.0 04 '!$B$16:$K$200,5,0)&gt;0),0.4,""))))</f>
        <v/>
      </c>
      <c r="T254" s="147" t="str">
        <f ca="1">IFERROR(IFERROR(IF(VLOOKUP($A254,'Шаг2.Бланк заказа NEW'!$B$17:$N$201,7,0)="","",VLOOKUP($A254,'Шаг2.Бланк заказа NEW'!$B$17:$N$201,7,0)),
IF(VLOOKUP($A254-COUNT('Шаг2.Бланк заказа NEW'!$B$19:$B$201),'Бланк OLD 0.8 04'!$B$12:$K$200,7,0)&gt;0,0.8,
IF(VLOOKUP($A254-COUNT('Шаг2.Бланк заказа NEW'!$B$19:$B$201),'Бланк OLD 0.8 04'!$B$12:$K$200,8,0)&gt;0,0.4,""))),
IF(VLOOKUP($A254-COUNT('Шаг2.Бланк заказа NEW'!$B$19:$B$201)-COUNT('Бланк OLD 0.8 04'!$B$18:$B$200),'Бланк OLD 2.0 04 '!$B$16:$K$200,7,0)&gt;0,2,IF(VLOOKUP($A254-COUNT('Шаг2.Бланк заказа NEW'!$B$19:$B$201)-COUNT('Бланк OLD 0.8 04'!$B$18:$B$200),'Бланк OLD 2.0 04 '!$B$16:$K$200,8,0)&gt;0,0.4,"")))</f>
        <v/>
      </c>
      <c r="U254" s="147" t="str">
        <f ca="1">IFERROR(IFERROR(IF(VLOOKUP($A254,'Шаг2.Бланк заказа NEW'!$B$17:$N$201,8,0)="","",VLOOKUP($A254,'Шаг2.Бланк заказа NEW'!$B$17:$N$201,8,0)),
IF(VLOOKUP($A254-COUNT('Шаг2.Бланк заказа NEW'!$B$19:$B$201),'Бланк OLD 0.8 04'!$B$12:$K$200,7,0)&gt;1,0.8,
IF(VLOOKUP($A254-COUNT('Шаг2.Бланк заказа NEW'!$B$19:$B$201),'Бланк OLD 0.8 04'!$B$12:$K$200,8,0)&gt;1,0.4,
IF(AND(VLOOKUP($A254-COUNT('Шаг2.Бланк заказа NEW'!$B$19:$B$201),'Бланк OLD 0.8 04'!$B$12:$K$200,7,0)&gt;0,VLOOKUP($A254-COUNT('Шаг2.Бланк заказа NEW'!$B$19:$B$201),'Бланк OLD 0.8 04'!$B$12:$K$200,8,0)&gt;0),0.4,"")))),
IF(VLOOKUP($A254-COUNT('Шаг2.Бланк заказа NEW'!$B$19:$B$201)-COUNT('Бланк OLD 0.8 04'!$B$18:$B$200),'Бланк OLD 2.0 04 '!$B$16:$K$200,7,0)&gt;1,2,
IF(VLOOKUP($A254-COUNT('Шаг2.Бланк заказа NEW'!$B$19:$B$201)-COUNT('Бланк OLD 0.8 04'!$B$18:$B$200),'Бланк OLD 2.0 04 '!$B$16:$K$200,8,0)&gt;1,0.4,
IF(AND(VLOOKUP($A254-COUNT('Шаг2.Бланк заказа NEW'!$B$19:$B$201)-COUNT('Бланк OLD 0.8 04'!$B$18:$B$200),'Бланк OLD 2.0 04 '!$B$16:$K$200,7,0)&gt;0,VLOOKUP($A254-COUNT('Шаг2.Бланк заказа NEW'!$B$19:$B$201)-COUNT('Бланк OLD 0.8 04'!$B$18:$B$200),'Бланк OLD 2.0 04 '!$B$16:$K$200,8,0)&gt;0),0.4,""))))</f>
        <v/>
      </c>
      <c r="V254" s="146" t="str">
        <f ca="1">IFERROR(VLOOKUP(C254,'Шаг1.Выбор плиты'!C:S,12,0),"")</f>
        <v/>
      </c>
      <c r="W254" s="146" t="str">
        <f ca="1">IFERROR(VLOOKUP(C254,'Шаг1.Выбор плиты'!C:S,8,0),"")</f>
        <v/>
      </c>
      <c r="X254" s="146" t="str">
        <f ca="1">IFERROR(VLOOKUP(C254,'Шаг1.Выбор плиты'!C:S,10,0),"")</f>
        <v/>
      </c>
      <c r="Y254" s="147" t="str">
        <f t="shared" ca="1" si="18"/>
        <v/>
      </c>
      <c r="AD254" s="147" t="str">
        <f t="shared" ca="1" si="21"/>
        <v/>
      </c>
      <c r="AE254" s="147" t="str">
        <f t="shared" ca="1" si="19"/>
        <v/>
      </c>
      <c r="AF254" s="25"/>
      <c r="AH254" s="147" t="str">
        <f ca="1">IF(C254="","",VLOOKUP(C254,'Шаг1.Выбор плиты'!C:Q,7,0))</f>
        <v/>
      </c>
      <c r="AI254" s="147" t="str">
        <f t="shared" ca="1" si="22"/>
        <v/>
      </c>
    </row>
    <row r="255" spans="1:35" x14ac:dyDescent="0.2">
      <c r="A255" s="151" t="str">
        <f ca="1">IF(C255="","",MAX($A$1:OFFSET(C255,-1,0))+1)</f>
        <v/>
      </c>
      <c r="B255" s="151" t="str">
        <f ca="1">IFERROR(IFERROR(IFERROR("Шаг2.Бланк заказа NEW №"&amp;VLOOKUP(A254+1,CHOOSE({1,2},'Шаг2.Бланк заказа NEW'!$B$19:$B$201,'Шаг2.Бланк заказа NEW'!$A$19:$A$201),1,0),
"Бланк OLD 0.8 04 №"&amp;VLOOKUP(A254+1-COUNT('Шаг2.Бланк заказа NEW'!$B$19:$B$201),CHOOSE({1,2},'Бланк OLD 0.8 04'!$B$18:$B$200,'Бланк OLD 0.8 04'!$A$18:$A$200),1,0)),
"Бланк OLD 2.0 04 №"&amp;VLOOKUP(A254+1-COUNT('Шаг2.Бланк заказа NEW'!$B$19:$B$201)-COUNT('Бланк OLD 0.8 04'!$B$18:$B$200),CHOOSE({1,2},'Бланк OLD 2.0 04 '!$B$18:$B$200,'Бланк OLD 2.0 04 '!$A$18:$A$200),1,0)),"")</f>
        <v/>
      </c>
      <c r="C255" s="152" t="str">
        <f ca="1">IFERROR(IFERROR(IFERROR(VLOOKUP(A254+1,CHOOSE({1,2},'Шаг2.Бланк заказа NEW'!$B$19:$B$201,'Шаг2.Бланк заказа NEW'!$A$19:$A$201),2,0),
VLOOKUP(A254+1-COUNT('Шаг2.Бланк заказа NEW'!$B$19:$B$201),CHOOSE({1,2},'Бланк OLD 0.8 04'!$B$18:$B$200,'Бланк OLD 0.8 04'!$A$18:$A$200),2,0)),
VLOOKUP(A254+1-COUNT('Шаг2.Бланк заказа NEW'!$B$19:$B$201)-COUNT('Бланк OLD 0.8 04'!$B$18:$B$200),CHOOSE({1,2},'Бланк OLD 2.0 04 '!$B$18:$B$200,'Бланк OLD 2.0 04 '!$A$18:$A$200),2,0)),"")</f>
        <v/>
      </c>
      <c r="D255" s="150" t="str">
        <f ca="1">IFERROR(VLOOKUP(C255,'Шаг1.Выбор плиты'!C:G,5,0),"")</f>
        <v/>
      </c>
      <c r="E255" s="147" t="str">
        <f ca="1">IFERROR(IFERROR(IF(VLOOKUP($A255,'Шаг2.Бланк заказа NEW'!$B$17:$N$201,2,0)="","",VLOOKUP($A255,'Шаг2.Бланк заказа NEW'!$B$17:$N$201,2,0)),
IF(VLOOKUP($A255-COUNT('Шаг2.Бланк заказа NEW'!$B$19:$B$201),'Бланк OLD 0.8 04'!$B$12:$K$200,2,0)="","",VLOOKUP($A255-COUNT('Шаг2.Бланк заказа NEW'!$B$19:$B$201),'Бланк OLD 0.8 04'!$B$12:$K$200,2,0))),
IF(VLOOKUP($A255-COUNT('Шаг2.Бланк заказа NEW'!$B$19:$B$201)-COUNT('Бланк OLD 0.8 04'!$B$18:$B$200),'Бланк OLD 2.0 04 '!$B$16:$K$200,2,0)="","",VLOOKUP($A255-COUNT('Шаг2.Бланк заказа NEW'!$B$19:$B$201)-COUNT('Бланк OLD 0.8 04'!$B$18:$B$200),'Бланк OLD 2.0 04 '!$B$16:$K$200,2,0)))</f>
        <v/>
      </c>
      <c r="F255" s="147" t="str">
        <f ca="1">IFERROR(IFERROR(IF(VLOOKUP($A255,'Шаг2.Бланк заказа NEW'!$B$17:$N$201,3,0)="","",VLOOKUP($A255,'Шаг2.Бланк заказа NEW'!$B$17:$N$201,3,0)),
IF(VLOOKUP($A255-COUNT('Шаг2.Бланк заказа NEW'!$B$19:$B$201),'Бланк OLD 0.8 04'!$B$12:$K$200,3,0)="","",VLOOKUP($A255-COUNT('Шаг2.Бланк заказа NEW'!$B$19:$B$201),'Бланк OLD 0.8 04'!$B$12:$K$200,3,0))),
IF(VLOOKUP($A255-COUNT('Шаг2.Бланк заказа NEW'!$B$19:$B$201)-COUNT('Бланк OLD 0.8 04'!$B$18:$B$200),'Бланк OLD 2.0 04 '!$B$16:$K$200,3,0)="","",VLOOKUP($A255-COUNT('Шаг2.Бланк заказа NEW'!$B$19:$B$201)-COUNT('Бланк OLD 0.8 04'!$B$18:$B$200),'Бланк OLD 2.0 04 '!$B$16:$K$200,3,0)))</f>
        <v/>
      </c>
      <c r="G255" s="176" t="str">
        <f ca="1">IF(IF(R255="","",IF(R255=1,SUMIFS('Шаг1.Выбор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плиты'!C:Q,12,0)),1))))))=0,
R255,
IF(R255="","",IF(R255=1,SUMIFS('Шаг1.Выбор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плиты'!N:N,R255,'Шаг1.Выбор плиты'!M:M,SMALL(INDIRECT("мм"&amp;VLOOKUP(C255,'Шаг1.Выбор плиты'!C:Q,12,0)),1)))))))</f>
        <v/>
      </c>
      <c r="H255" s="177" t="str">
        <f ca="1">IF(IF(S255="","",IF(S255=1,SUMIFS('Шаг1.Выбор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плиты'!C:Q,12,0)),1))))))=0,
S255,
IF(S255="","",IF(S255=1,SUMIFS('Шаг1.Выбор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плиты'!N:N,S255,'Шаг1.Выбор плиты'!M:M,SMALL(INDIRECT("мм"&amp;VLOOKUP(C255,'Шаг1.Выбор плиты'!C:Q,12,0)),1)))))))</f>
        <v/>
      </c>
      <c r="I255" s="147" t="str">
        <f ca="1">IFERROR(IFERROR(IF(VLOOKUP($A255,'Шаг2.Бланк заказа NEW'!$B$17:$N$201,6,0)="","",VLOOKUP($A255,'Шаг2.Бланк заказа NEW'!$B$17:$N$201,6,0)),
IF(VLOOKUP($A255-COUNT('Шаг2.Бланк заказа NEW'!$B$19:$B$201),'Бланк OLD 0.8 04'!$B$12:$K$200,6,0)="","",VLOOKUP($A255-COUNT('Шаг2.Бланк заказа NEW'!$B$19:$B$201),'Бланк OLD 0.8 04'!$B$12:$K$200,6,0))),
IF(VLOOKUP($A255-COUNT('Шаг2.Бланк заказа NEW'!$B$19:$B$201)-COUNT('Бланк OLD 0.8 04'!$B$18:$B$200),'Бланк OLD 2.0 04 '!$B$16:$K$200,6,0)="","",VLOOKUP($A255-COUNT('Шаг2.Бланк заказа NEW'!$B$19:$B$201)-COUNT('Бланк OLD 0.8 04'!$B$18:$B$200),'Бланк OLD 2.0 04 '!$B$16:$K$200,6,0)))</f>
        <v/>
      </c>
      <c r="J255" s="177" t="str">
        <f ca="1">IF(IF(T255="","",IF(T255=1,SUMIFS('Шаг1.Выбор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плиты'!C:Q,12,0)),1))))))=0,
T255,
IF(T255="","",IF(T255=1,SUMIFS('Шаг1.Выбор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плиты'!N:N,T255,'Шаг1.Выбор плиты'!M:M,SMALL(INDIRECT("мм"&amp;VLOOKUP(C255,'Шаг1.Выбор плиты'!C:Q,12,0)),1)))))))</f>
        <v/>
      </c>
      <c r="K255" s="177" t="str">
        <f ca="1">IF(IF(U255="","",IF(U255=1,SUMIFS('Шаг1.Выбор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плиты'!C:Q,12,0)),1))))))=0,
U255,
IF(U255="","",IF(U255=1,SUMIFS('Шаг1.Выбор плиты'!$G:$G,'Шаг1.Выбор плиты'!J:J,"*"&amp;RIGHT(VLOOKUP(C255,'Шаг1.Выбор плиты'!C:Q,8,0),4),'Шаг1.Выбор плиты'!L:L,IF(MID(C255,1,6)="ЛДСП P","TM"&amp;MID(VLOOKUP(C255,'Шаг1.Выбор плиты'!C:Q,10,0),3,2),MID(VLOOKUP(C255,'Шаг1.Выбор плиты'!C:Q,10,0),1,2)),
'Шаг1.Выбор плиты'!N:N,1),IF(SUMIFS('Шаг1.Выбор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плиты'!C:Q,12,0)),1))=0,
IF(SUMIFS('Шаг1.Выбор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плиты'!C:Q,12,0)),2))=0,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плиты'!C:Q,12,0)),3)),
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плиты'!C:Q,12,0)),2))),
(SUMIFS('Шаг1.Выбор плиты'!$G:$G,'Шаг1.Выбор плиты'!J:J,"*"&amp;RIGHT(VLOOKUP(C255,'Шаг1.Выбор плиты'!C:Q,8,0),4),'Шаг1.Выбор плиты'!L:L,VLOOKUP(C255,'Шаг1.Выбор плиты'!C:Q,10,0),'Шаг1.Выбор плиты'!N:N,U255,'Шаг1.Выбор плиты'!M:M,SMALL(INDIRECT("мм"&amp;VLOOKUP(C255,'Шаг1.Выбор плиты'!C:Q,12,0)),1)))))))</f>
        <v/>
      </c>
      <c r="L255" s="147" t="str">
        <f ca="1">IFERROR(IFERROR(IF(VLOOKUP($A255,'Шаг2.Бланк заказа NEW'!$B$17:$N$201,9,0)="","",VLOOKUP($A255,'Шаг2.Бланк заказа NEW'!$B$17:$N$201,9,0)),
IF(VLOOKUP($A255-COUNT('Шаг2.Бланк заказа NEW'!$B$19:$B$201),'Бланк OLD 0.8 04'!$B$12:$K$200,9,0)="","",VLOOKUP($A255-COUNT('Шаг2.Бланк заказа NEW'!$B$19:$B$201),'Бланк OLD 0.8 04'!$B$12:$K$200,9,0))),
IF(VLOOKUP($A255-COUNT('Шаг2.Бланк заказа NEW'!$B$19:$B$201)-COUNT('Бланк OLD 0.8 04'!$B$18:$B$200),'Бланк OLD 2.0 04 '!$B$16:$K$200,9,0)="","",VLOOKUP($A255-COUNT('Шаг2.Бланк заказа NEW'!$B$19:$B$201)-COUNT('Бланк OLD 0.8 04'!$B$18:$B$200),'Бланк OLD 2.0 04 '!$B$16:$K$200,9,0)))</f>
        <v/>
      </c>
      <c r="M255" s="154" t="str">
        <f t="shared" ca="1" si="20"/>
        <v/>
      </c>
      <c r="N255" s="153" t="str">
        <f ca="1">IFERROR(IF(VLOOKUP($A255,'Шаг2.Бланк заказа NEW'!$B$17:$N$201,11,0)="","",VLOOKUP($A255,'Шаг2.Бланк заказа NEW'!$B$17:$N$201,11,0)),
"Нет")</f>
        <v/>
      </c>
      <c r="O255" s="147" t="str">
        <f ca="1">IFERROR(IF(VLOOKUP($A255,'Шаг2.Бланк заказа NEW'!$B$17:$N$201,11,0)="","",VLOOKUP($A255,'Шаг2.Бланк заказа NEW'!$B$17:$N$201,12,0)),
"Нет")</f>
        <v/>
      </c>
      <c r="P255" s="153" t="str">
        <f ca="1">IFERROR(IF(VLOOKUP($A255,'Шаг2.Бланк заказа NEW'!$B$17:$N$201,13,0)="","",VLOOKUP($A255,'Шаг2.Бланк заказа NEW'!$B$17:$N$201,13,0)),
"Нет")</f>
        <v/>
      </c>
      <c r="Q255" s="147" t="str">
        <f ca="1">IFERROR(IF(VLOOKUP($A255,'Шаг2.Бланк заказа NEW'!$B$17:$O$201,14,0)="","",VLOOKUP($A255,'Шаг2.Бланк заказа NEW'!$B$17:$O$201,14,0)),"")</f>
        <v/>
      </c>
      <c r="R255" s="147" t="str">
        <f ca="1">IFERROR(IFERROR(IF(VLOOKUP($A255,'Шаг2.Бланк заказа NEW'!$B$17:$N$201,4,0)="","",VLOOKUP($A255,'Шаг2.Бланк заказа NEW'!$B$17:$N$201,4,0)),
IF(VLOOKUP($A255-COUNT('Шаг2.Бланк заказа NEW'!$B$19:$B$201),'Бланк OLD 0.8 04'!$B$12:$K$200,4,0)&gt;0,0.8,
IF(VLOOKUP($A255-COUNT('Шаг2.Бланк заказа NEW'!$B$19:$B$201),'Бланк OLD 0.8 04'!$B$12:$K$200,5,0)&gt;0,0.4,""))),
IF(VLOOKUP($A255-COUNT('Шаг2.Бланк заказа NEW'!$B$19:$B$201)-COUNT('Бланк OLD 0.8 04'!$B$18:$B$200),'Бланк OLD 2.0 04 '!$B$16:$K$200,4,0)&gt;0,2,IF(VLOOKUP($A255-COUNT('Шаг2.Бланк заказа NEW'!$B$19:$B$201)-COUNT('Бланк OLD 0.8 04'!$B$18:$B$200),'Бланк OLD 2.0 04 '!$B$16:$K$200,5,0)&gt;0,0.4,"")))</f>
        <v/>
      </c>
      <c r="S255" s="147" t="str">
        <f ca="1">IFERROR(IFERROR(IF(VLOOKUP($A255,'Шаг2.Бланк заказа NEW'!$B$17:$N$201,5,0)="","",VLOOKUP($A255,'Шаг2.Бланк заказа NEW'!$B$17:$N$201,5,0)),
IF(VLOOKUP($A255-COUNT('Шаг2.Бланк заказа NEW'!$B$19:$B$201),'Бланк OLD 0.8 04'!$B$12:$K$200,4,0)&gt;1,0.8,
IF(VLOOKUP($A255-COUNT('Шаг2.Бланк заказа NEW'!$B$19:$B$201),'Бланк OLD 0.8 04'!$B$12:$K$200,5,0)&gt;1,0.4,
IF(AND(VLOOKUP($A255-COUNT('Шаг2.Бланк заказа NEW'!$B$19:$B$201),'Бланк OLD 0.8 04'!$B$12:$K$200,4,0)&gt;0,VLOOKUP($A255-COUNT('Шаг2.Бланк заказа NEW'!$B$19:$B$201),'Бланк OLD 0.8 04'!$B$12:$K$200,5,0)&gt;0),0.4,"")))),
IF(VLOOKUP($A255-COUNT('Шаг2.Бланк заказа NEW'!$B$19:$B$201)-COUNT('Бланк OLD 0.8 04'!$B$18:$B$200),'Бланк OLD 2.0 04 '!$B$16:$K$200,4,0)&gt;1,2,
IF(VLOOKUP($A255-COUNT('Шаг2.Бланк заказа NEW'!$B$19:$B$201)-COUNT('Бланк OLD 0.8 04'!$B$18:$B$200),'Бланк OLD 2.0 04 '!$B$16:$K$200,5,0)&gt;1,0.4,IF(AND(VLOOKUP($A255-COUNT('Шаг2.Бланк заказа NEW'!$B$19:$B$201)-COUNT('Бланк OLD 0.8 04'!$B$18:$B$200),'Бланк OLD 2.0 04 '!$B$16:$K$200,4,0)&gt;0,VLOOKUP($A255-COUNT('Шаг2.Бланк заказа NEW'!$B$19:$B$201)-COUNT('Бланк OLD 0.8 04'!$B$18:$B$200),'Бланк OLD 2.0 04 '!$B$16:$K$200,5,0)&gt;0),0.4,""))))</f>
        <v/>
      </c>
      <c r="T255" s="147" t="str">
        <f ca="1">IFERROR(IFERROR(IF(VLOOKUP($A255,'Шаг2.Бланк заказа NEW'!$B$17:$N$201,7,0)="","",VLOOKUP($A255,'Шаг2.Бланк заказа NEW'!$B$17:$N$201,7,0)),
IF(VLOOKUP($A255-COUNT('Шаг2.Бланк заказа NEW'!$B$19:$B$201),'Бланк OLD 0.8 04'!$B$12:$K$200,7,0)&gt;0,0.8,
IF(VLOOKUP($A255-COUNT('Шаг2.Бланк заказа NEW'!$B$19:$B$201),'Бланк OLD 0.8 04'!$B$12:$K$200,8,0)&gt;0,0.4,""))),
IF(VLOOKUP($A255-COUNT('Шаг2.Бланк заказа NEW'!$B$19:$B$201)-COUNT('Бланк OLD 0.8 04'!$B$18:$B$200),'Бланк OLD 2.0 04 '!$B$16:$K$200,7,0)&gt;0,2,IF(VLOOKUP($A255-COUNT('Шаг2.Бланк заказа NEW'!$B$19:$B$201)-COUNT('Бланк OLD 0.8 04'!$B$18:$B$200),'Бланк OLD 2.0 04 '!$B$16:$K$200,8,0)&gt;0,0.4,"")))</f>
        <v/>
      </c>
      <c r="U255" s="147" t="str">
        <f ca="1">IFERROR(IFERROR(IF(VLOOKUP($A255,'Шаг2.Бланк заказа NEW'!$B$17:$N$201,8,0)="","",VLOOKUP($A255,'Шаг2.Бланк заказа NEW'!$B$17:$N$201,8,0)),
IF(VLOOKUP($A255-COUNT('Шаг2.Бланк заказа NEW'!$B$19:$B$201),'Бланк OLD 0.8 04'!$B$12:$K$200,7,0)&gt;1,0.8,
IF(VLOOKUP($A255-COUNT('Шаг2.Бланк заказа NEW'!$B$19:$B$201),'Бланк OLD 0.8 04'!$B$12:$K$200,8,0)&gt;1,0.4,
IF(AND(VLOOKUP($A255-COUNT('Шаг2.Бланк заказа NEW'!$B$19:$B$201),'Бланк OLD 0.8 04'!$B$12:$K$200,7,0)&gt;0,VLOOKUP($A255-COUNT('Шаг2.Бланк заказа NEW'!$B$19:$B$201),'Бланк OLD 0.8 04'!$B$12:$K$200,8,0)&gt;0),0.4,"")))),
IF(VLOOKUP($A255-COUNT('Шаг2.Бланк заказа NEW'!$B$19:$B$201)-COUNT('Бланк OLD 0.8 04'!$B$18:$B$200),'Бланк OLD 2.0 04 '!$B$16:$K$200,7,0)&gt;1,2,
IF(VLOOKUP($A255-COUNT('Шаг2.Бланк заказа NEW'!$B$19:$B$201)-COUNT('Бланк OLD 0.8 04'!$B$18:$B$200),'Бланк OLD 2.0 04 '!$B$16:$K$200,8,0)&gt;1,0.4,
IF(AND(VLOOKUP($A255-COUNT('Шаг2.Бланк заказа NEW'!$B$19:$B$201)-COUNT('Бланк OLD 0.8 04'!$B$18:$B$200),'Бланк OLD 2.0 04 '!$B$16:$K$200,7,0)&gt;0,VLOOKUP($A255-COUNT('Шаг2.Бланк заказа NEW'!$B$19:$B$201)-COUNT('Бланк OLD 0.8 04'!$B$18:$B$200),'Бланк OLD 2.0 04 '!$B$16:$K$200,8,0)&gt;0),0.4,""))))</f>
        <v/>
      </c>
      <c r="V255" s="146" t="str">
        <f ca="1">IFERROR(VLOOKUP(C255,'Шаг1.Выбор плиты'!C:S,12,0),"")</f>
        <v/>
      </c>
      <c r="W255" s="146" t="str">
        <f ca="1">IFERROR(VLOOKUP(C255,'Шаг1.Выбор плиты'!C:S,8,0),"")</f>
        <v/>
      </c>
      <c r="X255" s="146" t="str">
        <f ca="1">IFERROR(VLOOKUP(C255,'Шаг1.Выбор плиты'!C:S,10,0),"")</f>
        <v/>
      </c>
      <c r="Y255" s="147" t="str">
        <f t="shared" ca="1" si="18"/>
        <v/>
      </c>
      <c r="AD255" s="147" t="str">
        <f t="shared" ca="1" si="21"/>
        <v/>
      </c>
      <c r="AE255" s="147" t="str">
        <f t="shared" ca="1" si="19"/>
        <v/>
      </c>
      <c r="AF255" s="25"/>
      <c r="AH255" s="147" t="str">
        <f ca="1">IF(C255="","",VLOOKUP(C255,'Шаг1.Выбор плиты'!C:Q,7,0))</f>
        <v/>
      </c>
      <c r="AI255" s="147" t="str">
        <f t="shared" ca="1" si="22"/>
        <v/>
      </c>
    </row>
    <row r="256" spans="1:35" x14ac:dyDescent="0.2">
      <c r="A256" s="151" t="str">
        <f ca="1">IF(C256="","",MAX($A$1:OFFSET(C256,-1,0))+1)</f>
        <v/>
      </c>
      <c r="B256" s="151" t="str">
        <f ca="1">IFERROR(IFERROR(IFERROR("Шаг2.Бланк заказа NEW №"&amp;VLOOKUP(A255+1,CHOOSE({1,2},'Шаг2.Бланк заказа NEW'!$B$19:$B$201,'Шаг2.Бланк заказа NEW'!$A$19:$A$201),1,0),
"Бланк OLD 0.8 04 №"&amp;VLOOKUP(A255+1-COUNT('Шаг2.Бланк заказа NEW'!$B$19:$B$201),CHOOSE({1,2},'Бланк OLD 0.8 04'!$B$18:$B$200,'Бланк OLD 0.8 04'!$A$18:$A$200),1,0)),
"Бланк OLD 2.0 04 №"&amp;VLOOKUP(A255+1-COUNT('Шаг2.Бланк заказа NEW'!$B$19:$B$201)-COUNT('Бланк OLD 0.8 04'!$B$18:$B$200),CHOOSE({1,2},'Бланк OLD 2.0 04 '!$B$18:$B$200,'Бланк OLD 2.0 04 '!$A$18:$A$200),1,0)),"")</f>
        <v/>
      </c>
      <c r="C256" s="152" t="str">
        <f ca="1">IFERROR(IFERROR(IFERROR(VLOOKUP(A255+1,CHOOSE({1,2},'Шаг2.Бланк заказа NEW'!$B$19:$B$201,'Шаг2.Бланк заказа NEW'!$A$19:$A$201),2,0),
VLOOKUP(A255+1-COUNT('Шаг2.Бланк заказа NEW'!$B$19:$B$201),CHOOSE({1,2},'Бланк OLD 0.8 04'!$B$18:$B$200,'Бланк OLD 0.8 04'!$A$18:$A$200),2,0)),
VLOOKUP(A255+1-COUNT('Шаг2.Бланк заказа NEW'!$B$19:$B$201)-COUNT('Бланк OLD 0.8 04'!$B$18:$B$200),CHOOSE({1,2},'Бланк OLD 2.0 04 '!$B$18:$B$200,'Бланк OLD 2.0 04 '!$A$18:$A$200),2,0)),"")</f>
        <v/>
      </c>
      <c r="D256" s="150" t="str">
        <f ca="1">IFERROR(VLOOKUP(C256,'Шаг1.Выбор плиты'!C:G,5,0),"")</f>
        <v/>
      </c>
      <c r="E256" s="147" t="str">
        <f ca="1">IFERROR(IFERROR(IF(VLOOKUP($A256,'Шаг2.Бланк заказа NEW'!$B$17:$N$201,2,0)="","",VLOOKUP($A256,'Шаг2.Бланк заказа NEW'!$B$17:$N$201,2,0)),
IF(VLOOKUP($A256-COUNT('Шаг2.Бланк заказа NEW'!$B$19:$B$201),'Бланк OLD 0.8 04'!$B$12:$K$200,2,0)="","",VLOOKUP($A256-COUNT('Шаг2.Бланк заказа NEW'!$B$19:$B$201),'Бланк OLD 0.8 04'!$B$12:$K$200,2,0))),
IF(VLOOKUP($A256-COUNT('Шаг2.Бланк заказа NEW'!$B$19:$B$201)-COUNT('Бланк OLD 0.8 04'!$B$18:$B$200),'Бланк OLD 2.0 04 '!$B$16:$K$200,2,0)="","",VLOOKUP($A256-COUNT('Шаг2.Бланк заказа NEW'!$B$19:$B$201)-COUNT('Бланк OLD 0.8 04'!$B$18:$B$200),'Бланк OLD 2.0 04 '!$B$16:$K$200,2,0)))</f>
        <v/>
      </c>
      <c r="F256" s="147" t="str">
        <f ca="1">IFERROR(IFERROR(IF(VLOOKUP($A256,'Шаг2.Бланк заказа NEW'!$B$17:$N$201,3,0)="","",VLOOKUP($A256,'Шаг2.Бланк заказа NEW'!$B$17:$N$201,3,0)),
IF(VLOOKUP($A256-COUNT('Шаг2.Бланк заказа NEW'!$B$19:$B$201),'Бланк OLD 0.8 04'!$B$12:$K$200,3,0)="","",VLOOKUP($A256-COUNT('Шаг2.Бланк заказа NEW'!$B$19:$B$201),'Бланк OLD 0.8 04'!$B$12:$K$200,3,0))),
IF(VLOOKUP($A256-COUNT('Шаг2.Бланк заказа NEW'!$B$19:$B$201)-COUNT('Бланк OLD 0.8 04'!$B$18:$B$200),'Бланк OLD 2.0 04 '!$B$16:$K$200,3,0)="","",VLOOKUP($A256-COUNT('Шаг2.Бланк заказа NEW'!$B$19:$B$201)-COUNT('Бланк OLD 0.8 04'!$B$18:$B$200),'Бланк OLD 2.0 04 '!$B$16:$K$200,3,0)))</f>
        <v/>
      </c>
      <c r="G256" s="176" t="str">
        <f ca="1">IF(IF(R256="","",IF(R256=1,SUMIFS('Шаг1.Выбор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плиты'!C:Q,12,0)),1))))))=0,
R256,
IF(R256="","",IF(R256=1,SUMIFS('Шаг1.Выбор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плиты'!N:N,R256,'Шаг1.Выбор плиты'!M:M,SMALL(INDIRECT("мм"&amp;VLOOKUP(C256,'Шаг1.Выбор плиты'!C:Q,12,0)),1)))))))</f>
        <v/>
      </c>
      <c r="H256" s="177" t="str">
        <f ca="1">IF(IF(S256="","",IF(S256=1,SUMIFS('Шаг1.Выбор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плиты'!C:Q,12,0)),1))))))=0,
S256,
IF(S256="","",IF(S256=1,SUMIFS('Шаг1.Выбор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плиты'!N:N,S256,'Шаг1.Выбор плиты'!M:M,SMALL(INDIRECT("мм"&amp;VLOOKUP(C256,'Шаг1.Выбор плиты'!C:Q,12,0)),1)))))))</f>
        <v/>
      </c>
      <c r="I256" s="147" t="str">
        <f ca="1">IFERROR(IFERROR(IF(VLOOKUP($A256,'Шаг2.Бланк заказа NEW'!$B$17:$N$201,6,0)="","",VLOOKUP($A256,'Шаг2.Бланк заказа NEW'!$B$17:$N$201,6,0)),
IF(VLOOKUP($A256-COUNT('Шаг2.Бланк заказа NEW'!$B$19:$B$201),'Бланк OLD 0.8 04'!$B$12:$K$200,6,0)="","",VLOOKUP($A256-COUNT('Шаг2.Бланк заказа NEW'!$B$19:$B$201),'Бланк OLD 0.8 04'!$B$12:$K$200,6,0))),
IF(VLOOKUP($A256-COUNT('Шаг2.Бланк заказа NEW'!$B$19:$B$201)-COUNT('Бланк OLD 0.8 04'!$B$18:$B$200),'Бланк OLD 2.0 04 '!$B$16:$K$200,6,0)="","",VLOOKUP($A256-COUNT('Шаг2.Бланк заказа NEW'!$B$19:$B$201)-COUNT('Бланк OLD 0.8 04'!$B$18:$B$200),'Бланк OLD 2.0 04 '!$B$16:$K$200,6,0)))</f>
        <v/>
      </c>
      <c r="J256" s="177" t="str">
        <f ca="1">IF(IF(T256="","",IF(T256=1,SUMIFS('Шаг1.Выбор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плиты'!C:Q,12,0)),1))))))=0,
T256,
IF(T256="","",IF(T256=1,SUMIFS('Шаг1.Выбор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плиты'!N:N,T256,'Шаг1.Выбор плиты'!M:M,SMALL(INDIRECT("мм"&amp;VLOOKUP(C256,'Шаг1.Выбор плиты'!C:Q,12,0)),1)))))))</f>
        <v/>
      </c>
      <c r="K256" s="177" t="str">
        <f ca="1">IF(IF(U256="","",IF(U256=1,SUMIFS('Шаг1.Выбор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плиты'!C:Q,12,0)),1))))))=0,
U256,
IF(U256="","",IF(U256=1,SUMIFS('Шаг1.Выбор плиты'!$G:$G,'Шаг1.Выбор плиты'!J:J,"*"&amp;RIGHT(VLOOKUP(C256,'Шаг1.Выбор плиты'!C:Q,8,0),4),'Шаг1.Выбор плиты'!L:L,IF(MID(C256,1,6)="ЛДСП P","TM"&amp;MID(VLOOKUP(C256,'Шаг1.Выбор плиты'!C:Q,10,0),3,2),MID(VLOOKUP(C256,'Шаг1.Выбор плиты'!C:Q,10,0),1,2)),
'Шаг1.Выбор плиты'!N:N,1),IF(SUMIFS('Шаг1.Выбор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плиты'!C:Q,12,0)),1))=0,
IF(SUMIFS('Шаг1.Выбор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плиты'!C:Q,12,0)),2))=0,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плиты'!C:Q,12,0)),3)),
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плиты'!C:Q,12,0)),2))),
(SUMIFS('Шаг1.Выбор плиты'!$G:$G,'Шаг1.Выбор плиты'!J:J,"*"&amp;RIGHT(VLOOKUP(C256,'Шаг1.Выбор плиты'!C:Q,8,0),4),'Шаг1.Выбор плиты'!L:L,VLOOKUP(C256,'Шаг1.Выбор плиты'!C:Q,10,0),'Шаг1.Выбор плиты'!N:N,U256,'Шаг1.Выбор плиты'!M:M,SMALL(INDIRECT("мм"&amp;VLOOKUP(C256,'Шаг1.Выбор плиты'!C:Q,12,0)),1)))))))</f>
        <v/>
      </c>
      <c r="L256" s="147" t="str">
        <f ca="1">IFERROR(IFERROR(IF(VLOOKUP($A256,'Шаг2.Бланк заказа NEW'!$B$17:$N$201,9,0)="","",VLOOKUP($A256,'Шаг2.Бланк заказа NEW'!$B$17:$N$201,9,0)),
IF(VLOOKUP($A256-COUNT('Шаг2.Бланк заказа NEW'!$B$19:$B$201),'Бланк OLD 0.8 04'!$B$12:$K$200,9,0)="","",VLOOKUP($A256-COUNT('Шаг2.Бланк заказа NEW'!$B$19:$B$201),'Бланк OLD 0.8 04'!$B$12:$K$200,9,0))),
IF(VLOOKUP($A256-COUNT('Шаг2.Бланк заказа NEW'!$B$19:$B$201)-COUNT('Бланк OLD 0.8 04'!$B$18:$B$200),'Бланк OLD 2.0 04 '!$B$16:$K$200,9,0)="","",VLOOKUP($A256-COUNT('Шаг2.Бланк заказа NEW'!$B$19:$B$201)-COUNT('Бланк OLD 0.8 04'!$B$18:$B$200),'Бланк OLD 2.0 04 '!$B$16:$K$200,9,0)))</f>
        <v/>
      </c>
      <c r="M256" s="154" t="str">
        <f t="shared" ca="1" si="20"/>
        <v/>
      </c>
      <c r="N256" s="153" t="str">
        <f ca="1">IFERROR(IF(VLOOKUP($A256,'Шаг2.Бланк заказа NEW'!$B$17:$N$201,11,0)="","",VLOOKUP($A256,'Шаг2.Бланк заказа NEW'!$B$17:$N$201,11,0)),
"Нет")</f>
        <v/>
      </c>
      <c r="O256" s="147" t="str">
        <f ca="1">IFERROR(IF(VLOOKUP($A256,'Шаг2.Бланк заказа NEW'!$B$17:$N$201,11,0)="","",VLOOKUP($A256,'Шаг2.Бланк заказа NEW'!$B$17:$N$201,12,0)),
"Нет")</f>
        <v/>
      </c>
      <c r="P256" s="153" t="str">
        <f ca="1">IFERROR(IF(VLOOKUP($A256,'Шаг2.Бланк заказа NEW'!$B$17:$N$201,13,0)="","",VLOOKUP($A256,'Шаг2.Бланк заказа NEW'!$B$17:$N$201,13,0)),
"Нет")</f>
        <v/>
      </c>
      <c r="Q256" s="147" t="str">
        <f ca="1">IFERROR(IF(VLOOKUP($A256,'Шаг2.Бланк заказа NEW'!$B$17:$O$201,14,0)="","",VLOOKUP($A256,'Шаг2.Бланк заказа NEW'!$B$17:$O$201,14,0)),"")</f>
        <v/>
      </c>
      <c r="R256" s="147" t="str">
        <f ca="1">IFERROR(IFERROR(IF(VLOOKUP($A256,'Шаг2.Бланк заказа NEW'!$B$17:$N$201,4,0)="","",VLOOKUP($A256,'Шаг2.Бланк заказа NEW'!$B$17:$N$201,4,0)),
IF(VLOOKUP($A256-COUNT('Шаг2.Бланк заказа NEW'!$B$19:$B$201),'Бланк OLD 0.8 04'!$B$12:$K$200,4,0)&gt;0,0.8,
IF(VLOOKUP($A256-COUNT('Шаг2.Бланк заказа NEW'!$B$19:$B$201),'Бланк OLD 0.8 04'!$B$12:$K$200,5,0)&gt;0,0.4,""))),
IF(VLOOKUP($A256-COUNT('Шаг2.Бланк заказа NEW'!$B$19:$B$201)-COUNT('Бланк OLD 0.8 04'!$B$18:$B$200),'Бланк OLD 2.0 04 '!$B$16:$K$200,4,0)&gt;0,2,IF(VLOOKUP($A256-COUNT('Шаг2.Бланк заказа NEW'!$B$19:$B$201)-COUNT('Бланк OLD 0.8 04'!$B$18:$B$200),'Бланк OLD 2.0 04 '!$B$16:$K$200,5,0)&gt;0,0.4,"")))</f>
        <v/>
      </c>
      <c r="S256" s="147" t="str">
        <f ca="1">IFERROR(IFERROR(IF(VLOOKUP($A256,'Шаг2.Бланк заказа NEW'!$B$17:$N$201,5,0)="","",VLOOKUP($A256,'Шаг2.Бланк заказа NEW'!$B$17:$N$201,5,0)),
IF(VLOOKUP($A256-COUNT('Шаг2.Бланк заказа NEW'!$B$19:$B$201),'Бланк OLD 0.8 04'!$B$12:$K$200,4,0)&gt;1,0.8,
IF(VLOOKUP($A256-COUNT('Шаг2.Бланк заказа NEW'!$B$19:$B$201),'Бланк OLD 0.8 04'!$B$12:$K$200,5,0)&gt;1,0.4,
IF(AND(VLOOKUP($A256-COUNT('Шаг2.Бланк заказа NEW'!$B$19:$B$201),'Бланк OLD 0.8 04'!$B$12:$K$200,4,0)&gt;0,VLOOKUP($A256-COUNT('Шаг2.Бланк заказа NEW'!$B$19:$B$201),'Бланк OLD 0.8 04'!$B$12:$K$200,5,0)&gt;0),0.4,"")))),
IF(VLOOKUP($A256-COUNT('Шаг2.Бланк заказа NEW'!$B$19:$B$201)-COUNT('Бланк OLD 0.8 04'!$B$18:$B$200),'Бланк OLD 2.0 04 '!$B$16:$K$200,4,0)&gt;1,2,
IF(VLOOKUP($A256-COUNT('Шаг2.Бланк заказа NEW'!$B$19:$B$201)-COUNT('Бланк OLD 0.8 04'!$B$18:$B$200),'Бланк OLD 2.0 04 '!$B$16:$K$200,5,0)&gt;1,0.4,IF(AND(VLOOKUP($A256-COUNT('Шаг2.Бланк заказа NEW'!$B$19:$B$201)-COUNT('Бланк OLD 0.8 04'!$B$18:$B$200),'Бланк OLD 2.0 04 '!$B$16:$K$200,4,0)&gt;0,VLOOKUP($A256-COUNT('Шаг2.Бланк заказа NEW'!$B$19:$B$201)-COUNT('Бланк OLD 0.8 04'!$B$18:$B$200),'Бланк OLD 2.0 04 '!$B$16:$K$200,5,0)&gt;0),0.4,""))))</f>
        <v/>
      </c>
      <c r="T256" s="147" t="str">
        <f ca="1">IFERROR(IFERROR(IF(VLOOKUP($A256,'Шаг2.Бланк заказа NEW'!$B$17:$N$201,7,0)="","",VLOOKUP($A256,'Шаг2.Бланк заказа NEW'!$B$17:$N$201,7,0)),
IF(VLOOKUP($A256-COUNT('Шаг2.Бланк заказа NEW'!$B$19:$B$201),'Бланк OLD 0.8 04'!$B$12:$K$200,7,0)&gt;0,0.8,
IF(VLOOKUP($A256-COUNT('Шаг2.Бланк заказа NEW'!$B$19:$B$201),'Бланк OLD 0.8 04'!$B$12:$K$200,8,0)&gt;0,0.4,""))),
IF(VLOOKUP($A256-COUNT('Шаг2.Бланк заказа NEW'!$B$19:$B$201)-COUNT('Бланк OLD 0.8 04'!$B$18:$B$200),'Бланк OLD 2.0 04 '!$B$16:$K$200,7,0)&gt;0,2,IF(VLOOKUP($A256-COUNT('Шаг2.Бланк заказа NEW'!$B$19:$B$201)-COUNT('Бланк OLD 0.8 04'!$B$18:$B$200),'Бланк OLD 2.0 04 '!$B$16:$K$200,8,0)&gt;0,0.4,"")))</f>
        <v/>
      </c>
      <c r="U256" s="147" t="str">
        <f ca="1">IFERROR(IFERROR(IF(VLOOKUP($A256,'Шаг2.Бланк заказа NEW'!$B$17:$N$201,8,0)="","",VLOOKUP($A256,'Шаг2.Бланк заказа NEW'!$B$17:$N$201,8,0)),
IF(VLOOKUP($A256-COUNT('Шаг2.Бланк заказа NEW'!$B$19:$B$201),'Бланк OLD 0.8 04'!$B$12:$K$200,7,0)&gt;1,0.8,
IF(VLOOKUP($A256-COUNT('Шаг2.Бланк заказа NEW'!$B$19:$B$201),'Бланк OLD 0.8 04'!$B$12:$K$200,8,0)&gt;1,0.4,
IF(AND(VLOOKUP($A256-COUNT('Шаг2.Бланк заказа NEW'!$B$19:$B$201),'Бланк OLD 0.8 04'!$B$12:$K$200,7,0)&gt;0,VLOOKUP($A256-COUNT('Шаг2.Бланк заказа NEW'!$B$19:$B$201),'Бланк OLD 0.8 04'!$B$12:$K$200,8,0)&gt;0),0.4,"")))),
IF(VLOOKUP($A256-COUNT('Шаг2.Бланк заказа NEW'!$B$19:$B$201)-COUNT('Бланк OLD 0.8 04'!$B$18:$B$200),'Бланк OLD 2.0 04 '!$B$16:$K$200,7,0)&gt;1,2,
IF(VLOOKUP($A256-COUNT('Шаг2.Бланк заказа NEW'!$B$19:$B$201)-COUNT('Бланк OLD 0.8 04'!$B$18:$B$200),'Бланк OLD 2.0 04 '!$B$16:$K$200,8,0)&gt;1,0.4,
IF(AND(VLOOKUP($A256-COUNT('Шаг2.Бланк заказа NEW'!$B$19:$B$201)-COUNT('Бланк OLD 0.8 04'!$B$18:$B$200),'Бланк OLD 2.0 04 '!$B$16:$K$200,7,0)&gt;0,VLOOKUP($A256-COUNT('Шаг2.Бланк заказа NEW'!$B$19:$B$201)-COUNT('Бланк OLD 0.8 04'!$B$18:$B$200),'Бланк OLD 2.0 04 '!$B$16:$K$200,8,0)&gt;0),0.4,""))))</f>
        <v/>
      </c>
      <c r="V256" s="146" t="str">
        <f ca="1">IFERROR(VLOOKUP(C256,'Шаг1.Выбор плиты'!C:S,12,0),"")</f>
        <v/>
      </c>
      <c r="W256" s="146" t="str">
        <f ca="1">IFERROR(VLOOKUP(C256,'Шаг1.Выбор плиты'!C:S,8,0),"")</f>
        <v/>
      </c>
      <c r="X256" s="146" t="str">
        <f ca="1">IFERROR(VLOOKUP(C256,'Шаг1.Выбор плиты'!C:S,10,0),"")</f>
        <v/>
      </c>
      <c r="Y256" s="147" t="str">
        <f t="shared" ca="1" si="18"/>
        <v/>
      </c>
      <c r="AD256" s="147" t="str">
        <f t="shared" ca="1" si="21"/>
        <v/>
      </c>
      <c r="AE256" s="147" t="str">
        <f t="shared" ca="1" si="19"/>
        <v/>
      </c>
      <c r="AF256" s="25"/>
      <c r="AH256" s="147" t="str">
        <f ca="1">IF(C256="","",VLOOKUP(C256,'Шаг1.Выбор плиты'!C:Q,7,0))</f>
        <v/>
      </c>
      <c r="AI256" s="147" t="str">
        <f t="shared" ca="1" si="22"/>
        <v/>
      </c>
    </row>
    <row r="257" spans="1:35" x14ac:dyDescent="0.2">
      <c r="A257" s="151" t="str">
        <f ca="1">IF(C257="","",MAX($A$1:OFFSET(C257,-1,0))+1)</f>
        <v/>
      </c>
      <c r="B257" s="151" t="str">
        <f ca="1">IFERROR(IFERROR(IFERROR("Шаг2.Бланк заказа NEW №"&amp;VLOOKUP(A256+1,CHOOSE({1,2},'Шаг2.Бланк заказа NEW'!$B$19:$B$201,'Шаг2.Бланк заказа NEW'!$A$19:$A$201),1,0),
"Бланк OLD 0.8 04 №"&amp;VLOOKUP(A256+1-COUNT('Шаг2.Бланк заказа NEW'!$B$19:$B$201),CHOOSE({1,2},'Бланк OLD 0.8 04'!$B$18:$B$200,'Бланк OLD 0.8 04'!$A$18:$A$200),1,0)),
"Бланк OLD 2.0 04 №"&amp;VLOOKUP(A256+1-COUNT('Шаг2.Бланк заказа NEW'!$B$19:$B$201)-COUNT('Бланк OLD 0.8 04'!$B$18:$B$200),CHOOSE({1,2},'Бланк OLD 2.0 04 '!$B$18:$B$200,'Бланк OLD 2.0 04 '!$A$18:$A$200),1,0)),"")</f>
        <v/>
      </c>
      <c r="C257" s="152" t="str">
        <f ca="1">IFERROR(IFERROR(IFERROR(VLOOKUP(A256+1,CHOOSE({1,2},'Шаг2.Бланк заказа NEW'!$B$19:$B$201,'Шаг2.Бланк заказа NEW'!$A$19:$A$201),2,0),
VLOOKUP(A256+1-COUNT('Шаг2.Бланк заказа NEW'!$B$19:$B$201),CHOOSE({1,2},'Бланк OLD 0.8 04'!$B$18:$B$200,'Бланк OLD 0.8 04'!$A$18:$A$200),2,0)),
VLOOKUP(A256+1-COUNT('Шаг2.Бланк заказа NEW'!$B$19:$B$201)-COUNT('Бланк OLD 0.8 04'!$B$18:$B$200),CHOOSE({1,2},'Бланк OLD 2.0 04 '!$B$18:$B$200,'Бланк OLD 2.0 04 '!$A$18:$A$200),2,0)),"")</f>
        <v/>
      </c>
      <c r="D257" s="150" t="str">
        <f ca="1">IFERROR(VLOOKUP(C257,'Шаг1.Выбор плиты'!C:G,5,0),"")</f>
        <v/>
      </c>
      <c r="E257" s="147" t="str">
        <f ca="1">IFERROR(IFERROR(IF(VLOOKUP($A257,'Шаг2.Бланк заказа NEW'!$B$17:$N$201,2,0)="","",VLOOKUP($A257,'Шаг2.Бланк заказа NEW'!$B$17:$N$201,2,0)),
IF(VLOOKUP($A257-COUNT('Шаг2.Бланк заказа NEW'!$B$19:$B$201),'Бланк OLD 0.8 04'!$B$12:$K$200,2,0)="","",VLOOKUP($A257-COUNT('Шаг2.Бланк заказа NEW'!$B$19:$B$201),'Бланк OLD 0.8 04'!$B$12:$K$200,2,0))),
IF(VLOOKUP($A257-COUNT('Шаг2.Бланк заказа NEW'!$B$19:$B$201)-COUNT('Бланк OLD 0.8 04'!$B$18:$B$200),'Бланк OLD 2.0 04 '!$B$16:$K$200,2,0)="","",VLOOKUP($A257-COUNT('Шаг2.Бланк заказа NEW'!$B$19:$B$201)-COUNT('Бланк OLD 0.8 04'!$B$18:$B$200),'Бланк OLD 2.0 04 '!$B$16:$K$200,2,0)))</f>
        <v/>
      </c>
      <c r="F257" s="147" t="str">
        <f ca="1">IFERROR(IFERROR(IF(VLOOKUP($A257,'Шаг2.Бланк заказа NEW'!$B$17:$N$201,3,0)="","",VLOOKUP($A257,'Шаг2.Бланк заказа NEW'!$B$17:$N$201,3,0)),
IF(VLOOKUP($A257-COUNT('Шаг2.Бланк заказа NEW'!$B$19:$B$201),'Бланк OLD 0.8 04'!$B$12:$K$200,3,0)="","",VLOOKUP($A257-COUNT('Шаг2.Бланк заказа NEW'!$B$19:$B$201),'Бланк OLD 0.8 04'!$B$12:$K$200,3,0))),
IF(VLOOKUP($A257-COUNT('Шаг2.Бланк заказа NEW'!$B$19:$B$201)-COUNT('Бланк OLD 0.8 04'!$B$18:$B$200),'Бланк OLD 2.0 04 '!$B$16:$K$200,3,0)="","",VLOOKUP($A257-COUNT('Шаг2.Бланк заказа NEW'!$B$19:$B$201)-COUNT('Бланк OLD 0.8 04'!$B$18:$B$200),'Бланк OLD 2.0 04 '!$B$16:$K$200,3,0)))</f>
        <v/>
      </c>
      <c r="G257" s="176" t="str">
        <f ca="1">IF(IF(R257="","",IF(R257=1,SUMIFS('Шаг1.Выбор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плиты'!C:Q,12,0)),1))))))=0,
R257,
IF(R257="","",IF(R257=1,SUMIFS('Шаг1.Выбор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плиты'!N:N,R257,'Шаг1.Выбор плиты'!M:M,SMALL(INDIRECT("мм"&amp;VLOOKUP(C257,'Шаг1.Выбор плиты'!C:Q,12,0)),1)))))))</f>
        <v/>
      </c>
      <c r="H257" s="177" t="str">
        <f ca="1">IF(IF(S257="","",IF(S257=1,SUMIFS('Шаг1.Выбор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плиты'!C:Q,12,0)),1))))))=0,
S257,
IF(S257="","",IF(S257=1,SUMIFS('Шаг1.Выбор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плиты'!N:N,S257,'Шаг1.Выбор плиты'!M:M,SMALL(INDIRECT("мм"&amp;VLOOKUP(C257,'Шаг1.Выбор плиты'!C:Q,12,0)),1)))))))</f>
        <v/>
      </c>
      <c r="I257" s="147" t="str">
        <f ca="1">IFERROR(IFERROR(IF(VLOOKUP($A257,'Шаг2.Бланк заказа NEW'!$B$17:$N$201,6,0)="","",VLOOKUP($A257,'Шаг2.Бланк заказа NEW'!$B$17:$N$201,6,0)),
IF(VLOOKUP($A257-COUNT('Шаг2.Бланк заказа NEW'!$B$19:$B$201),'Бланк OLD 0.8 04'!$B$12:$K$200,6,0)="","",VLOOKUP($A257-COUNT('Шаг2.Бланк заказа NEW'!$B$19:$B$201),'Бланк OLD 0.8 04'!$B$12:$K$200,6,0))),
IF(VLOOKUP($A257-COUNT('Шаг2.Бланк заказа NEW'!$B$19:$B$201)-COUNT('Бланк OLD 0.8 04'!$B$18:$B$200),'Бланк OLD 2.0 04 '!$B$16:$K$200,6,0)="","",VLOOKUP($A257-COUNT('Шаг2.Бланк заказа NEW'!$B$19:$B$201)-COUNT('Бланк OLD 0.8 04'!$B$18:$B$200),'Бланк OLD 2.0 04 '!$B$16:$K$200,6,0)))</f>
        <v/>
      </c>
      <c r="J257" s="177" t="str">
        <f ca="1">IF(IF(T257="","",IF(T257=1,SUMIFS('Шаг1.Выбор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плиты'!C:Q,12,0)),1))))))=0,
T257,
IF(T257="","",IF(T257=1,SUMIFS('Шаг1.Выбор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плиты'!N:N,T257,'Шаг1.Выбор плиты'!M:M,SMALL(INDIRECT("мм"&amp;VLOOKUP(C257,'Шаг1.Выбор плиты'!C:Q,12,0)),1)))))))</f>
        <v/>
      </c>
      <c r="K257" s="177" t="str">
        <f ca="1">IF(IF(U257="","",IF(U257=1,SUMIFS('Шаг1.Выбор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плиты'!C:Q,12,0)),1))))))=0,
U257,
IF(U257="","",IF(U257=1,SUMIFS('Шаг1.Выбор плиты'!$G:$G,'Шаг1.Выбор плиты'!J:J,"*"&amp;RIGHT(VLOOKUP(C257,'Шаг1.Выбор плиты'!C:Q,8,0),4),'Шаг1.Выбор плиты'!L:L,IF(MID(C257,1,6)="ЛДСП P","TM"&amp;MID(VLOOKUP(C257,'Шаг1.Выбор плиты'!C:Q,10,0),3,2),MID(VLOOKUP(C257,'Шаг1.Выбор плиты'!C:Q,10,0),1,2)),
'Шаг1.Выбор плиты'!N:N,1),IF(SUMIFS('Шаг1.Выбор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плиты'!C:Q,12,0)),1))=0,
IF(SUMIFS('Шаг1.Выбор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плиты'!C:Q,12,0)),2))=0,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плиты'!C:Q,12,0)),3)),
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плиты'!C:Q,12,0)),2))),
(SUMIFS('Шаг1.Выбор плиты'!$G:$G,'Шаг1.Выбор плиты'!J:J,"*"&amp;RIGHT(VLOOKUP(C257,'Шаг1.Выбор плиты'!C:Q,8,0),4),'Шаг1.Выбор плиты'!L:L,VLOOKUP(C257,'Шаг1.Выбор плиты'!C:Q,10,0),'Шаг1.Выбор плиты'!N:N,U257,'Шаг1.Выбор плиты'!M:M,SMALL(INDIRECT("мм"&amp;VLOOKUP(C257,'Шаг1.Выбор плиты'!C:Q,12,0)),1)))))))</f>
        <v/>
      </c>
      <c r="L257" s="147" t="str">
        <f ca="1">IFERROR(IFERROR(IF(VLOOKUP($A257,'Шаг2.Бланк заказа NEW'!$B$17:$N$201,9,0)="","",VLOOKUP($A257,'Шаг2.Бланк заказа NEW'!$B$17:$N$201,9,0)),
IF(VLOOKUP($A257-COUNT('Шаг2.Бланк заказа NEW'!$B$19:$B$201),'Бланк OLD 0.8 04'!$B$12:$K$200,9,0)="","",VLOOKUP($A257-COUNT('Шаг2.Бланк заказа NEW'!$B$19:$B$201),'Бланк OLD 0.8 04'!$B$12:$K$200,9,0))),
IF(VLOOKUP($A257-COUNT('Шаг2.Бланк заказа NEW'!$B$19:$B$201)-COUNT('Бланк OLD 0.8 04'!$B$18:$B$200),'Бланк OLD 2.0 04 '!$B$16:$K$200,9,0)="","",VLOOKUP($A257-COUNT('Шаг2.Бланк заказа NEW'!$B$19:$B$201)-COUNT('Бланк OLD 0.8 04'!$B$18:$B$200),'Бланк OLD 2.0 04 '!$B$16:$K$200,9,0)))</f>
        <v/>
      </c>
      <c r="M257" s="154" t="str">
        <f t="shared" ca="1" si="20"/>
        <v/>
      </c>
      <c r="N257" s="153" t="str">
        <f ca="1">IFERROR(IF(VLOOKUP($A257,'Шаг2.Бланк заказа NEW'!$B$17:$N$201,11,0)="","",VLOOKUP($A257,'Шаг2.Бланк заказа NEW'!$B$17:$N$201,11,0)),
"Нет")</f>
        <v/>
      </c>
      <c r="O257" s="147" t="str">
        <f ca="1">IFERROR(IF(VLOOKUP($A257,'Шаг2.Бланк заказа NEW'!$B$17:$N$201,11,0)="","",VLOOKUP($A257,'Шаг2.Бланк заказа NEW'!$B$17:$N$201,12,0)),
"Нет")</f>
        <v/>
      </c>
      <c r="P257" s="153" t="str">
        <f ca="1">IFERROR(IF(VLOOKUP($A257,'Шаг2.Бланк заказа NEW'!$B$17:$N$201,13,0)="","",VLOOKUP($A257,'Шаг2.Бланк заказа NEW'!$B$17:$N$201,13,0)),
"Нет")</f>
        <v/>
      </c>
      <c r="Q257" s="147" t="str">
        <f ca="1">IFERROR(IF(VLOOKUP($A257,'Шаг2.Бланк заказа NEW'!$B$17:$O$201,14,0)="","",VLOOKUP($A257,'Шаг2.Бланк заказа NEW'!$B$17:$O$201,14,0)),"")</f>
        <v/>
      </c>
      <c r="R257" s="147" t="str">
        <f ca="1">IFERROR(IFERROR(IF(VLOOKUP($A257,'Шаг2.Бланк заказа NEW'!$B$17:$N$201,4,0)="","",VLOOKUP($A257,'Шаг2.Бланк заказа NEW'!$B$17:$N$201,4,0)),
IF(VLOOKUP($A257-COUNT('Шаг2.Бланк заказа NEW'!$B$19:$B$201),'Бланк OLD 0.8 04'!$B$12:$K$200,4,0)&gt;0,0.8,
IF(VLOOKUP($A257-COUNT('Шаг2.Бланк заказа NEW'!$B$19:$B$201),'Бланк OLD 0.8 04'!$B$12:$K$200,5,0)&gt;0,0.4,""))),
IF(VLOOKUP($A257-COUNT('Шаг2.Бланк заказа NEW'!$B$19:$B$201)-COUNT('Бланк OLD 0.8 04'!$B$18:$B$200),'Бланк OLD 2.0 04 '!$B$16:$K$200,4,0)&gt;0,2,IF(VLOOKUP($A257-COUNT('Шаг2.Бланк заказа NEW'!$B$19:$B$201)-COUNT('Бланк OLD 0.8 04'!$B$18:$B$200),'Бланк OLD 2.0 04 '!$B$16:$K$200,5,0)&gt;0,0.4,"")))</f>
        <v/>
      </c>
      <c r="S257" s="147" t="str">
        <f ca="1">IFERROR(IFERROR(IF(VLOOKUP($A257,'Шаг2.Бланк заказа NEW'!$B$17:$N$201,5,0)="","",VLOOKUP($A257,'Шаг2.Бланк заказа NEW'!$B$17:$N$201,5,0)),
IF(VLOOKUP($A257-COUNT('Шаг2.Бланк заказа NEW'!$B$19:$B$201),'Бланк OLD 0.8 04'!$B$12:$K$200,4,0)&gt;1,0.8,
IF(VLOOKUP($A257-COUNT('Шаг2.Бланк заказа NEW'!$B$19:$B$201),'Бланк OLD 0.8 04'!$B$12:$K$200,5,0)&gt;1,0.4,
IF(AND(VLOOKUP($A257-COUNT('Шаг2.Бланк заказа NEW'!$B$19:$B$201),'Бланк OLD 0.8 04'!$B$12:$K$200,4,0)&gt;0,VLOOKUP($A257-COUNT('Шаг2.Бланк заказа NEW'!$B$19:$B$201),'Бланк OLD 0.8 04'!$B$12:$K$200,5,0)&gt;0),0.4,"")))),
IF(VLOOKUP($A257-COUNT('Шаг2.Бланк заказа NEW'!$B$19:$B$201)-COUNT('Бланк OLD 0.8 04'!$B$18:$B$200),'Бланк OLD 2.0 04 '!$B$16:$K$200,4,0)&gt;1,2,
IF(VLOOKUP($A257-COUNT('Шаг2.Бланк заказа NEW'!$B$19:$B$201)-COUNT('Бланк OLD 0.8 04'!$B$18:$B$200),'Бланк OLD 2.0 04 '!$B$16:$K$200,5,0)&gt;1,0.4,IF(AND(VLOOKUP($A257-COUNT('Шаг2.Бланк заказа NEW'!$B$19:$B$201)-COUNT('Бланк OLD 0.8 04'!$B$18:$B$200),'Бланк OLD 2.0 04 '!$B$16:$K$200,4,0)&gt;0,VLOOKUP($A257-COUNT('Шаг2.Бланк заказа NEW'!$B$19:$B$201)-COUNT('Бланк OLD 0.8 04'!$B$18:$B$200),'Бланк OLD 2.0 04 '!$B$16:$K$200,5,0)&gt;0),0.4,""))))</f>
        <v/>
      </c>
      <c r="T257" s="147" t="str">
        <f ca="1">IFERROR(IFERROR(IF(VLOOKUP($A257,'Шаг2.Бланк заказа NEW'!$B$17:$N$201,7,0)="","",VLOOKUP($A257,'Шаг2.Бланк заказа NEW'!$B$17:$N$201,7,0)),
IF(VLOOKUP($A257-COUNT('Шаг2.Бланк заказа NEW'!$B$19:$B$201),'Бланк OLD 0.8 04'!$B$12:$K$200,7,0)&gt;0,0.8,
IF(VLOOKUP($A257-COUNT('Шаг2.Бланк заказа NEW'!$B$19:$B$201),'Бланк OLD 0.8 04'!$B$12:$K$200,8,0)&gt;0,0.4,""))),
IF(VLOOKUP($A257-COUNT('Шаг2.Бланк заказа NEW'!$B$19:$B$201)-COUNT('Бланк OLD 0.8 04'!$B$18:$B$200),'Бланк OLD 2.0 04 '!$B$16:$K$200,7,0)&gt;0,2,IF(VLOOKUP($A257-COUNT('Шаг2.Бланк заказа NEW'!$B$19:$B$201)-COUNT('Бланк OLD 0.8 04'!$B$18:$B$200),'Бланк OLD 2.0 04 '!$B$16:$K$200,8,0)&gt;0,0.4,"")))</f>
        <v/>
      </c>
      <c r="U257" s="147" t="str">
        <f ca="1">IFERROR(IFERROR(IF(VLOOKUP($A257,'Шаг2.Бланк заказа NEW'!$B$17:$N$201,8,0)="","",VLOOKUP($A257,'Шаг2.Бланк заказа NEW'!$B$17:$N$201,8,0)),
IF(VLOOKUP($A257-COUNT('Шаг2.Бланк заказа NEW'!$B$19:$B$201),'Бланк OLD 0.8 04'!$B$12:$K$200,7,0)&gt;1,0.8,
IF(VLOOKUP($A257-COUNT('Шаг2.Бланк заказа NEW'!$B$19:$B$201),'Бланк OLD 0.8 04'!$B$12:$K$200,8,0)&gt;1,0.4,
IF(AND(VLOOKUP($A257-COUNT('Шаг2.Бланк заказа NEW'!$B$19:$B$201),'Бланк OLD 0.8 04'!$B$12:$K$200,7,0)&gt;0,VLOOKUP($A257-COUNT('Шаг2.Бланк заказа NEW'!$B$19:$B$201),'Бланк OLD 0.8 04'!$B$12:$K$200,8,0)&gt;0),0.4,"")))),
IF(VLOOKUP($A257-COUNT('Шаг2.Бланк заказа NEW'!$B$19:$B$201)-COUNT('Бланк OLD 0.8 04'!$B$18:$B$200),'Бланк OLD 2.0 04 '!$B$16:$K$200,7,0)&gt;1,2,
IF(VLOOKUP($A257-COUNT('Шаг2.Бланк заказа NEW'!$B$19:$B$201)-COUNT('Бланк OLD 0.8 04'!$B$18:$B$200),'Бланк OLD 2.0 04 '!$B$16:$K$200,8,0)&gt;1,0.4,
IF(AND(VLOOKUP($A257-COUNT('Шаг2.Бланк заказа NEW'!$B$19:$B$201)-COUNT('Бланк OLD 0.8 04'!$B$18:$B$200),'Бланк OLD 2.0 04 '!$B$16:$K$200,7,0)&gt;0,VLOOKUP($A257-COUNT('Шаг2.Бланк заказа NEW'!$B$19:$B$201)-COUNT('Бланк OLD 0.8 04'!$B$18:$B$200),'Бланк OLD 2.0 04 '!$B$16:$K$200,8,0)&gt;0),0.4,""))))</f>
        <v/>
      </c>
      <c r="V257" s="146" t="str">
        <f ca="1">IFERROR(VLOOKUP(C257,'Шаг1.Выбор плиты'!C:S,12,0),"")</f>
        <v/>
      </c>
      <c r="W257" s="146" t="str">
        <f ca="1">IFERROR(VLOOKUP(C257,'Шаг1.Выбор плиты'!C:S,8,0),"")</f>
        <v/>
      </c>
      <c r="X257" s="146" t="str">
        <f ca="1">IFERROR(VLOOKUP(C257,'Шаг1.Выбор плиты'!C:S,10,0),"")</f>
        <v/>
      </c>
      <c r="Y257" s="147" t="str">
        <f t="shared" ca="1" si="18"/>
        <v/>
      </c>
      <c r="AD257" s="147" t="str">
        <f t="shared" ca="1" si="21"/>
        <v/>
      </c>
      <c r="AE257" s="147" t="str">
        <f t="shared" ca="1" si="19"/>
        <v/>
      </c>
      <c r="AF257" s="25"/>
      <c r="AH257" s="147" t="str">
        <f ca="1">IF(C257="","",VLOOKUP(C257,'Шаг1.Выбор плиты'!C:Q,7,0))</f>
        <v/>
      </c>
      <c r="AI257" s="147" t="str">
        <f t="shared" ca="1" si="22"/>
        <v/>
      </c>
    </row>
    <row r="258" spans="1:35" x14ac:dyDescent="0.2">
      <c r="A258" s="151" t="str">
        <f ca="1">IF(C258="","",MAX($A$1:OFFSET(C258,-1,0))+1)</f>
        <v/>
      </c>
      <c r="B258" s="151" t="str">
        <f ca="1">IFERROR(IFERROR(IFERROR("Шаг2.Бланк заказа NEW №"&amp;VLOOKUP(A257+1,CHOOSE({1,2},'Шаг2.Бланк заказа NEW'!$B$19:$B$201,'Шаг2.Бланк заказа NEW'!$A$19:$A$201),1,0),
"Бланк OLD 0.8 04 №"&amp;VLOOKUP(A257+1-COUNT('Шаг2.Бланк заказа NEW'!$B$19:$B$201),CHOOSE({1,2},'Бланк OLD 0.8 04'!$B$18:$B$200,'Бланк OLD 0.8 04'!$A$18:$A$200),1,0)),
"Бланк OLD 2.0 04 №"&amp;VLOOKUP(A257+1-COUNT('Шаг2.Бланк заказа NEW'!$B$19:$B$201)-COUNT('Бланк OLD 0.8 04'!$B$18:$B$200),CHOOSE({1,2},'Бланк OLD 2.0 04 '!$B$18:$B$200,'Бланк OLD 2.0 04 '!$A$18:$A$200),1,0)),"")</f>
        <v/>
      </c>
      <c r="C258" s="152" t="str">
        <f ca="1">IFERROR(IFERROR(IFERROR(VLOOKUP(A257+1,CHOOSE({1,2},'Шаг2.Бланк заказа NEW'!$B$19:$B$201,'Шаг2.Бланк заказа NEW'!$A$19:$A$201),2,0),
VLOOKUP(A257+1-COUNT('Шаг2.Бланк заказа NEW'!$B$19:$B$201),CHOOSE({1,2},'Бланк OLD 0.8 04'!$B$18:$B$200,'Бланк OLD 0.8 04'!$A$18:$A$200),2,0)),
VLOOKUP(A257+1-COUNT('Шаг2.Бланк заказа NEW'!$B$19:$B$201)-COUNT('Бланк OLD 0.8 04'!$B$18:$B$200),CHOOSE({1,2},'Бланк OLD 2.0 04 '!$B$18:$B$200,'Бланк OLD 2.0 04 '!$A$18:$A$200),2,0)),"")</f>
        <v/>
      </c>
      <c r="D258" s="150" t="str">
        <f ca="1">IFERROR(VLOOKUP(C258,'Шаг1.Выбор плиты'!C:G,5,0),"")</f>
        <v/>
      </c>
      <c r="E258" s="147" t="str">
        <f ca="1">IFERROR(IFERROR(IF(VLOOKUP($A258,'Шаг2.Бланк заказа NEW'!$B$17:$N$201,2,0)="","",VLOOKUP($A258,'Шаг2.Бланк заказа NEW'!$B$17:$N$201,2,0)),
IF(VLOOKUP($A258-COUNT('Шаг2.Бланк заказа NEW'!$B$19:$B$201),'Бланк OLD 0.8 04'!$B$12:$K$200,2,0)="","",VLOOKUP($A258-COUNT('Шаг2.Бланк заказа NEW'!$B$19:$B$201),'Бланк OLD 0.8 04'!$B$12:$K$200,2,0))),
IF(VLOOKUP($A258-COUNT('Шаг2.Бланк заказа NEW'!$B$19:$B$201)-COUNT('Бланк OLD 0.8 04'!$B$18:$B$200),'Бланк OLD 2.0 04 '!$B$16:$K$200,2,0)="","",VLOOKUP($A258-COUNT('Шаг2.Бланк заказа NEW'!$B$19:$B$201)-COUNT('Бланк OLD 0.8 04'!$B$18:$B$200),'Бланк OLD 2.0 04 '!$B$16:$K$200,2,0)))</f>
        <v/>
      </c>
      <c r="F258" s="147" t="str">
        <f ca="1">IFERROR(IFERROR(IF(VLOOKUP($A258,'Шаг2.Бланк заказа NEW'!$B$17:$N$201,3,0)="","",VLOOKUP($A258,'Шаг2.Бланк заказа NEW'!$B$17:$N$201,3,0)),
IF(VLOOKUP($A258-COUNT('Шаг2.Бланк заказа NEW'!$B$19:$B$201),'Бланк OLD 0.8 04'!$B$12:$K$200,3,0)="","",VLOOKUP($A258-COUNT('Шаг2.Бланк заказа NEW'!$B$19:$B$201),'Бланк OLD 0.8 04'!$B$12:$K$200,3,0))),
IF(VLOOKUP($A258-COUNT('Шаг2.Бланк заказа NEW'!$B$19:$B$201)-COUNT('Бланк OLD 0.8 04'!$B$18:$B$200),'Бланк OLD 2.0 04 '!$B$16:$K$200,3,0)="","",VLOOKUP($A258-COUNT('Шаг2.Бланк заказа NEW'!$B$19:$B$201)-COUNT('Бланк OLD 0.8 04'!$B$18:$B$200),'Бланк OLD 2.0 04 '!$B$16:$K$200,3,0)))</f>
        <v/>
      </c>
      <c r="G258" s="176" t="str">
        <f ca="1">IF(IF(R258="","",IF(R258=1,SUMIFS('Шаг1.Выбор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плиты'!C:Q,12,0)),1))))))=0,
R258,
IF(R258="","",IF(R258=1,SUMIFS('Шаг1.Выбор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плиты'!N:N,R258,'Шаг1.Выбор плиты'!M:M,SMALL(INDIRECT("мм"&amp;VLOOKUP(C258,'Шаг1.Выбор плиты'!C:Q,12,0)),1)))))))</f>
        <v/>
      </c>
      <c r="H258" s="177" t="str">
        <f ca="1">IF(IF(S258="","",IF(S258=1,SUMIFS('Шаг1.Выбор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плиты'!C:Q,12,0)),1))))))=0,
S258,
IF(S258="","",IF(S258=1,SUMIFS('Шаг1.Выбор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плиты'!N:N,S258,'Шаг1.Выбор плиты'!M:M,SMALL(INDIRECT("мм"&amp;VLOOKUP(C258,'Шаг1.Выбор плиты'!C:Q,12,0)),1)))))))</f>
        <v/>
      </c>
      <c r="I258" s="147" t="str">
        <f ca="1">IFERROR(IFERROR(IF(VLOOKUP($A258,'Шаг2.Бланк заказа NEW'!$B$17:$N$201,6,0)="","",VLOOKUP($A258,'Шаг2.Бланк заказа NEW'!$B$17:$N$201,6,0)),
IF(VLOOKUP($A258-COUNT('Шаг2.Бланк заказа NEW'!$B$19:$B$201),'Бланк OLD 0.8 04'!$B$12:$K$200,6,0)="","",VLOOKUP($A258-COUNT('Шаг2.Бланк заказа NEW'!$B$19:$B$201),'Бланк OLD 0.8 04'!$B$12:$K$200,6,0))),
IF(VLOOKUP($A258-COUNT('Шаг2.Бланк заказа NEW'!$B$19:$B$201)-COUNT('Бланк OLD 0.8 04'!$B$18:$B$200),'Бланк OLD 2.0 04 '!$B$16:$K$200,6,0)="","",VLOOKUP($A258-COUNT('Шаг2.Бланк заказа NEW'!$B$19:$B$201)-COUNT('Бланк OLD 0.8 04'!$B$18:$B$200),'Бланк OLD 2.0 04 '!$B$16:$K$200,6,0)))</f>
        <v/>
      </c>
      <c r="J258" s="177" t="str">
        <f ca="1">IF(IF(T258="","",IF(T258=1,SUMIFS('Шаг1.Выбор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плиты'!C:Q,12,0)),1))))))=0,
T258,
IF(T258="","",IF(T258=1,SUMIFS('Шаг1.Выбор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плиты'!N:N,T258,'Шаг1.Выбор плиты'!M:M,SMALL(INDIRECT("мм"&amp;VLOOKUP(C258,'Шаг1.Выбор плиты'!C:Q,12,0)),1)))))))</f>
        <v/>
      </c>
      <c r="K258" s="177" t="str">
        <f ca="1">IF(IF(U258="","",IF(U258=1,SUMIFS('Шаг1.Выбор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плиты'!C:Q,12,0)),1))))))=0,
U258,
IF(U258="","",IF(U258=1,SUMIFS('Шаг1.Выбор плиты'!$G:$G,'Шаг1.Выбор плиты'!J:J,"*"&amp;RIGHT(VLOOKUP(C258,'Шаг1.Выбор плиты'!C:Q,8,0),4),'Шаг1.Выбор плиты'!L:L,IF(MID(C258,1,6)="ЛДСП P","TM"&amp;MID(VLOOKUP(C258,'Шаг1.Выбор плиты'!C:Q,10,0),3,2),MID(VLOOKUP(C258,'Шаг1.Выбор плиты'!C:Q,10,0),1,2)),
'Шаг1.Выбор плиты'!N:N,1),IF(SUMIFS('Шаг1.Выбор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плиты'!C:Q,12,0)),1))=0,
IF(SUMIFS('Шаг1.Выбор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плиты'!C:Q,12,0)),2))=0,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плиты'!C:Q,12,0)),3)),
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плиты'!C:Q,12,0)),2))),
(SUMIFS('Шаг1.Выбор плиты'!$G:$G,'Шаг1.Выбор плиты'!J:J,"*"&amp;RIGHT(VLOOKUP(C258,'Шаг1.Выбор плиты'!C:Q,8,0),4),'Шаг1.Выбор плиты'!L:L,VLOOKUP(C258,'Шаг1.Выбор плиты'!C:Q,10,0),'Шаг1.Выбор плиты'!N:N,U258,'Шаг1.Выбор плиты'!M:M,SMALL(INDIRECT("мм"&amp;VLOOKUP(C258,'Шаг1.Выбор плиты'!C:Q,12,0)),1)))))))</f>
        <v/>
      </c>
      <c r="L258" s="147" t="str">
        <f ca="1">IFERROR(IFERROR(IF(VLOOKUP($A258,'Шаг2.Бланк заказа NEW'!$B$17:$N$201,9,0)="","",VLOOKUP($A258,'Шаг2.Бланк заказа NEW'!$B$17:$N$201,9,0)),
IF(VLOOKUP($A258-COUNT('Шаг2.Бланк заказа NEW'!$B$19:$B$201),'Бланк OLD 0.8 04'!$B$12:$K$200,9,0)="","",VLOOKUP($A258-COUNT('Шаг2.Бланк заказа NEW'!$B$19:$B$201),'Бланк OLD 0.8 04'!$B$12:$K$200,9,0))),
IF(VLOOKUP($A258-COUNT('Шаг2.Бланк заказа NEW'!$B$19:$B$201)-COUNT('Бланк OLD 0.8 04'!$B$18:$B$200),'Бланк OLD 2.0 04 '!$B$16:$K$200,9,0)="","",VLOOKUP($A258-COUNT('Шаг2.Бланк заказа NEW'!$B$19:$B$201)-COUNT('Бланк OLD 0.8 04'!$B$18:$B$200),'Бланк OLD 2.0 04 '!$B$16:$K$200,9,0)))</f>
        <v/>
      </c>
      <c r="M258" s="154" t="str">
        <f t="shared" ca="1" si="20"/>
        <v/>
      </c>
      <c r="N258" s="153" t="str">
        <f ca="1">IFERROR(IF(VLOOKUP($A258,'Шаг2.Бланк заказа NEW'!$B$17:$N$201,11,0)="","",VLOOKUP($A258,'Шаг2.Бланк заказа NEW'!$B$17:$N$201,11,0)),
"Нет")</f>
        <v/>
      </c>
      <c r="O258" s="147" t="str">
        <f ca="1">IFERROR(IF(VLOOKUP($A258,'Шаг2.Бланк заказа NEW'!$B$17:$N$201,11,0)="","",VLOOKUP($A258,'Шаг2.Бланк заказа NEW'!$B$17:$N$201,12,0)),
"Нет")</f>
        <v/>
      </c>
      <c r="P258" s="153" t="str">
        <f ca="1">IFERROR(IF(VLOOKUP($A258,'Шаг2.Бланк заказа NEW'!$B$17:$N$201,13,0)="","",VLOOKUP($A258,'Шаг2.Бланк заказа NEW'!$B$17:$N$201,13,0)),
"Нет")</f>
        <v/>
      </c>
      <c r="Q258" s="147" t="str">
        <f ca="1">IFERROR(IF(VLOOKUP($A258,'Шаг2.Бланк заказа NEW'!$B$17:$O$201,14,0)="","",VLOOKUP($A258,'Шаг2.Бланк заказа NEW'!$B$17:$O$201,14,0)),"")</f>
        <v/>
      </c>
      <c r="R258" s="147" t="str">
        <f ca="1">IFERROR(IFERROR(IF(VLOOKUP($A258,'Шаг2.Бланк заказа NEW'!$B$17:$N$201,4,0)="","",VLOOKUP($A258,'Шаг2.Бланк заказа NEW'!$B$17:$N$201,4,0)),
IF(VLOOKUP($A258-COUNT('Шаг2.Бланк заказа NEW'!$B$19:$B$201),'Бланк OLD 0.8 04'!$B$12:$K$200,4,0)&gt;0,0.8,
IF(VLOOKUP($A258-COUNT('Шаг2.Бланк заказа NEW'!$B$19:$B$201),'Бланк OLD 0.8 04'!$B$12:$K$200,5,0)&gt;0,0.4,""))),
IF(VLOOKUP($A258-COUNT('Шаг2.Бланк заказа NEW'!$B$19:$B$201)-COUNT('Бланк OLD 0.8 04'!$B$18:$B$200),'Бланк OLD 2.0 04 '!$B$16:$K$200,4,0)&gt;0,2,IF(VLOOKUP($A258-COUNT('Шаг2.Бланк заказа NEW'!$B$19:$B$201)-COUNT('Бланк OLD 0.8 04'!$B$18:$B$200),'Бланк OLD 2.0 04 '!$B$16:$K$200,5,0)&gt;0,0.4,"")))</f>
        <v/>
      </c>
      <c r="S258" s="147" t="str">
        <f ca="1">IFERROR(IFERROR(IF(VLOOKUP($A258,'Шаг2.Бланк заказа NEW'!$B$17:$N$201,5,0)="","",VLOOKUP($A258,'Шаг2.Бланк заказа NEW'!$B$17:$N$201,5,0)),
IF(VLOOKUP($A258-COUNT('Шаг2.Бланк заказа NEW'!$B$19:$B$201),'Бланк OLD 0.8 04'!$B$12:$K$200,4,0)&gt;1,0.8,
IF(VLOOKUP($A258-COUNT('Шаг2.Бланк заказа NEW'!$B$19:$B$201),'Бланк OLD 0.8 04'!$B$12:$K$200,5,0)&gt;1,0.4,
IF(AND(VLOOKUP($A258-COUNT('Шаг2.Бланк заказа NEW'!$B$19:$B$201),'Бланк OLD 0.8 04'!$B$12:$K$200,4,0)&gt;0,VLOOKUP($A258-COUNT('Шаг2.Бланк заказа NEW'!$B$19:$B$201),'Бланк OLD 0.8 04'!$B$12:$K$200,5,0)&gt;0),0.4,"")))),
IF(VLOOKUP($A258-COUNT('Шаг2.Бланк заказа NEW'!$B$19:$B$201)-COUNT('Бланк OLD 0.8 04'!$B$18:$B$200),'Бланк OLD 2.0 04 '!$B$16:$K$200,4,0)&gt;1,2,
IF(VLOOKUP($A258-COUNT('Шаг2.Бланк заказа NEW'!$B$19:$B$201)-COUNT('Бланк OLD 0.8 04'!$B$18:$B$200),'Бланк OLD 2.0 04 '!$B$16:$K$200,5,0)&gt;1,0.4,IF(AND(VLOOKUP($A258-COUNT('Шаг2.Бланк заказа NEW'!$B$19:$B$201)-COUNT('Бланк OLD 0.8 04'!$B$18:$B$200),'Бланк OLD 2.0 04 '!$B$16:$K$200,4,0)&gt;0,VLOOKUP($A258-COUNT('Шаг2.Бланк заказа NEW'!$B$19:$B$201)-COUNT('Бланк OLD 0.8 04'!$B$18:$B$200),'Бланк OLD 2.0 04 '!$B$16:$K$200,5,0)&gt;0),0.4,""))))</f>
        <v/>
      </c>
      <c r="T258" s="147" t="str">
        <f ca="1">IFERROR(IFERROR(IF(VLOOKUP($A258,'Шаг2.Бланк заказа NEW'!$B$17:$N$201,7,0)="","",VLOOKUP($A258,'Шаг2.Бланк заказа NEW'!$B$17:$N$201,7,0)),
IF(VLOOKUP($A258-COUNT('Шаг2.Бланк заказа NEW'!$B$19:$B$201),'Бланк OLD 0.8 04'!$B$12:$K$200,7,0)&gt;0,0.8,
IF(VLOOKUP($A258-COUNT('Шаг2.Бланк заказа NEW'!$B$19:$B$201),'Бланк OLD 0.8 04'!$B$12:$K$200,8,0)&gt;0,0.4,""))),
IF(VLOOKUP($A258-COUNT('Шаг2.Бланк заказа NEW'!$B$19:$B$201)-COUNT('Бланк OLD 0.8 04'!$B$18:$B$200),'Бланк OLD 2.0 04 '!$B$16:$K$200,7,0)&gt;0,2,IF(VLOOKUP($A258-COUNT('Шаг2.Бланк заказа NEW'!$B$19:$B$201)-COUNT('Бланк OLD 0.8 04'!$B$18:$B$200),'Бланк OLD 2.0 04 '!$B$16:$K$200,8,0)&gt;0,0.4,"")))</f>
        <v/>
      </c>
      <c r="U258" s="147" t="str">
        <f ca="1">IFERROR(IFERROR(IF(VLOOKUP($A258,'Шаг2.Бланк заказа NEW'!$B$17:$N$201,8,0)="","",VLOOKUP($A258,'Шаг2.Бланк заказа NEW'!$B$17:$N$201,8,0)),
IF(VLOOKUP($A258-COUNT('Шаг2.Бланк заказа NEW'!$B$19:$B$201),'Бланк OLD 0.8 04'!$B$12:$K$200,7,0)&gt;1,0.8,
IF(VLOOKUP($A258-COUNT('Шаг2.Бланк заказа NEW'!$B$19:$B$201),'Бланк OLD 0.8 04'!$B$12:$K$200,8,0)&gt;1,0.4,
IF(AND(VLOOKUP($A258-COUNT('Шаг2.Бланк заказа NEW'!$B$19:$B$201),'Бланк OLD 0.8 04'!$B$12:$K$200,7,0)&gt;0,VLOOKUP($A258-COUNT('Шаг2.Бланк заказа NEW'!$B$19:$B$201),'Бланк OLD 0.8 04'!$B$12:$K$200,8,0)&gt;0),0.4,"")))),
IF(VLOOKUP($A258-COUNT('Шаг2.Бланк заказа NEW'!$B$19:$B$201)-COUNT('Бланк OLD 0.8 04'!$B$18:$B$200),'Бланк OLD 2.0 04 '!$B$16:$K$200,7,0)&gt;1,2,
IF(VLOOKUP($A258-COUNT('Шаг2.Бланк заказа NEW'!$B$19:$B$201)-COUNT('Бланк OLD 0.8 04'!$B$18:$B$200),'Бланк OLD 2.0 04 '!$B$16:$K$200,8,0)&gt;1,0.4,
IF(AND(VLOOKUP($A258-COUNT('Шаг2.Бланк заказа NEW'!$B$19:$B$201)-COUNT('Бланк OLD 0.8 04'!$B$18:$B$200),'Бланк OLD 2.0 04 '!$B$16:$K$200,7,0)&gt;0,VLOOKUP($A258-COUNT('Шаг2.Бланк заказа NEW'!$B$19:$B$201)-COUNT('Бланк OLD 0.8 04'!$B$18:$B$200),'Бланк OLD 2.0 04 '!$B$16:$K$200,8,0)&gt;0),0.4,""))))</f>
        <v/>
      </c>
      <c r="V258" s="146" t="str">
        <f ca="1">IFERROR(VLOOKUP(C258,'Шаг1.Выбор плиты'!C:S,12,0),"")</f>
        <v/>
      </c>
      <c r="W258" s="146" t="str">
        <f ca="1">IFERROR(VLOOKUP(C258,'Шаг1.Выбор плиты'!C:S,8,0),"")</f>
        <v/>
      </c>
      <c r="X258" s="146" t="str">
        <f ca="1">IFERROR(VLOOKUP(C258,'Шаг1.Выбор плиты'!C:S,10,0),"")</f>
        <v/>
      </c>
      <c r="Y258" s="147" t="str">
        <f t="shared" ca="1" si="18"/>
        <v/>
      </c>
      <c r="AD258" s="147" t="str">
        <f t="shared" ca="1" si="21"/>
        <v/>
      </c>
      <c r="AE258" s="147" t="str">
        <f t="shared" ca="1" si="19"/>
        <v/>
      </c>
      <c r="AF258" s="25"/>
      <c r="AH258" s="147" t="str">
        <f ca="1">IF(C258="","",VLOOKUP(C258,'Шаг1.Выбор плиты'!C:Q,7,0))</f>
        <v/>
      </c>
      <c r="AI258" s="147" t="str">
        <f t="shared" ca="1" si="22"/>
        <v/>
      </c>
    </row>
    <row r="259" spans="1:35" x14ac:dyDescent="0.2">
      <c r="A259" s="151" t="str">
        <f ca="1">IF(C259="","",MAX($A$1:OFFSET(C259,-1,0))+1)</f>
        <v/>
      </c>
      <c r="B259" s="151" t="str">
        <f ca="1">IFERROR(IFERROR(IFERROR("Шаг2.Бланк заказа NEW №"&amp;VLOOKUP(A258+1,CHOOSE({1,2},'Шаг2.Бланк заказа NEW'!$B$19:$B$201,'Шаг2.Бланк заказа NEW'!$A$19:$A$201),1,0),
"Бланк OLD 0.8 04 №"&amp;VLOOKUP(A258+1-COUNT('Шаг2.Бланк заказа NEW'!$B$19:$B$201),CHOOSE({1,2},'Бланк OLD 0.8 04'!$B$18:$B$200,'Бланк OLD 0.8 04'!$A$18:$A$200),1,0)),
"Бланк OLD 2.0 04 №"&amp;VLOOKUP(A258+1-COUNT('Шаг2.Бланк заказа NEW'!$B$19:$B$201)-COUNT('Бланк OLD 0.8 04'!$B$18:$B$200),CHOOSE({1,2},'Бланк OLD 2.0 04 '!$B$18:$B$200,'Бланк OLD 2.0 04 '!$A$18:$A$200),1,0)),"")</f>
        <v/>
      </c>
      <c r="C259" s="152" t="str">
        <f ca="1">IFERROR(IFERROR(IFERROR(VLOOKUP(A258+1,CHOOSE({1,2},'Шаг2.Бланк заказа NEW'!$B$19:$B$201,'Шаг2.Бланк заказа NEW'!$A$19:$A$201),2,0),
VLOOKUP(A258+1-COUNT('Шаг2.Бланк заказа NEW'!$B$19:$B$201),CHOOSE({1,2},'Бланк OLD 0.8 04'!$B$18:$B$200,'Бланк OLD 0.8 04'!$A$18:$A$200),2,0)),
VLOOKUP(A258+1-COUNT('Шаг2.Бланк заказа NEW'!$B$19:$B$201)-COUNT('Бланк OLD 0.8 04'!$B$18:$B$200),CHOOSE({1,2},'Бланк OLD 2.0 04 '!$B$18:$B$200,'Бланк OLD 2.0 04 '!$A$18:$A$200),2,0)),"")</f>
        <v/>
      </c>
      <c r="D259" s="150" t="str">
        <f ca="1">IFERROR(VLOOKUP(C259,'Шаг1.Выбор плиты'!C:G,5,0),"")</f>
        <v/>
      </c>
      <c r="E259" s="147" t="str">
        <f ca="1">IFERROR(IFERROR(IF(VLOOKUP($A259,'Шаг2.Бланк заказа NEW'!$B$17:$N$201,2,0)="","",VLOOKUP($A259,'Шаг2.Бланк заказа NEW'!$B$17:$N$201,2,0)),
IF(VLOOKUP($A259-COUNT('Шаг2.Бланк заказа NEW'!$B$19:$B$201),'Бланк OLD 0.8 04'!$B$12:$K$200,2,0)="","",VLOOKUP($A259-COUNT('Шаг2.Бланк заказа NEW'!$B$19:$B$201),'Бланк OLD 0.8 04'!$B$12:$K$200,2,0))),
IF(VLOOKUP($A259-COUNT('Шаг2.Бланк заказа NEW'!$B$19:$B$201)-COUNT('Бланк OLD 0.8 04'!$B$18:$B$200),'Бланк OLD 2.0 04 '!$B$16:$K$200,2,0)="","",VLOOKUP($A259-COUNT('Шаг2.Бланк заказа NEW'!$B$19:$B$201)-COUNT('Бланк OLD 0.8 04'!$B$18:$B$200),'Бланк OLD 2.0 04 '!$B$16:$K$200,2,0)))</f>
        <v/>
      </c>
      <c r="F259" s="147" t="str">
        <f ca="1">IFERROR(IFERROR(IF(VLOOKUP($A259,'Шаг2.Бланк заказа NEW'!$B$17:$N$201,3,0)="","",VLOOKUP($A259,'Шаг2.Бланк заказа NEW'!$B$17:$N$201,3,0)),
IF(VLOOKUP($A259-COUNT('Шаг2.Бланк заказа NEW'!$B$19:$B$201),'Бланк OLD 0.8 04'!$B$12:$K$200,3,0)="","",VLOOKUP($A259-COUNT('Шаг2.Бланк заказа NEW'!$B$19:$B$201),'Бланк OLD 0.8 04'!$B$12:$K$200,3,0))),
IF(VLOOKUP($A259-COUNT('Шаг2.Бланк заказа NEW'!$B$19:$B$201)-COUNT('Бланк OLD 0.8 04'!$B$18:$B$200),'Бланк OLD 2.0 04 '!$B$16:$K$200,3,0)="","",VLOOKUP($A259-COUNT('Шаг2.Бланк заказа NEW'!$B$19:$B$201)-COUNT('Бланк OLD 0.8 04'!$B$18:$B$200),'Бланк OLD 2.0 04 '!$B$16:$K$200,3,0)))</f>
        <v/>
      </c>
      <c r="G259" s="176" t="str">
        <f ca="1">IF(IF(R259="","",IF(R259=1,SUMIFS('Шаг1.Выбор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плиты'!C:Q,12,0)),1))))))=0,
R259,
IF(R259="","",IF(R259=1,SUMIFS('Шаг1.Выбор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плиты'!N:N,R259,'Шаг1.Выбор плиты'!M:M,SMALL(INDIRECT("мм"&amp;VLOOKUP(C259,'Шаг1.Выбор плиты'!C:Q,12,0)),1)))))))</f>
        <v/>
      </c>
      <c r="H259" s="177" t="str">
        <f ca="1">IF(IF(S259="","",IF(S259=1,SUMIFS('Шаг1.Выбор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плиты'!C:Q,12,0)),1))))))=0,
S259,
IF(S259="","",IF(S259=1,SUMIFS('Шаг1.Выбор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плиты'!N:N,S259,'Шаг1.Выбор плиты'!M:M,SMALL(INDIRECT("мм"&amp;VLOOKUP(C259,'Шаг1.Выбор плиты'!C:Q,12,0)),1)))))))</f>
        <v/>
      </c>
      <c r="I259" s="147" t="str">
        <f ca="1">IFERROR(IFERROR(IF(VLOOKUP($A259,'Шаг2.Бланк заказа NEW'!$B$17:$N$201,6,0)="","",VLOOKUP($A259,'Шаг2.Бланк заказа NEW'!$B$17:$N$201,6,0)),
IF(VLOOKUP($A259-COUNT('Шаг2.Бланк заказа NEW'!$B$19:$B$201),'Бланк OLD 0.8 04'!$B$12:$K$200,6,0)="","",VLOOKUP($A259-COUNT('Шаг2.Бланк заказа NEW'!$B$19:$B$201),'Бланк OLD 0.8 04'!$B$12:$K$200,6,0))),
IF(VLOOKUP($A259-COUNT('Шаг2.Бланк заказа NEW'!$B$19:$B$201)-COUNT('Бланк OLD 0.8 04'!$B$18:$B$200),'Бланк OLD 2.0 04 '!$B$16:$K$200,6,0)="","",VLOOKUP($A259-COUNT('Шаг2.Бланк заказа NEW'!$B$19:$B$201)-COUNT('Бланк OLD 0.8 04'!$B$18:$B$200),'Бланк OLD 2.0 04 '!$B$16:$K$200,6,0)))</f>
        <v/>
      </c>
      <c r="J259" s="177" t="str">
        <f ca="1">IF(IF(T259="","",IF(T259=1,SUMIFS('Шаг1.Выбор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плиты'!C:Q,12,0)),1))))))=0,
T259,
IF(T259="","",IF(T259=1,SUMIFS('Шаг1.Выбор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плиты'!N:N,T259,'Шаг1.Выбор плиты'!M:M,SMALL(INDIRECT("мм"&amp;VLOOKUP(C259,'Шаг1.Выбор плиты'!C:Q,12,0)),1)))))))</f>
        <v/>
      </c>
      <c r="K259" s="177" t="str">
        <f ca="1">IF(IF(U259="","",IF(U259=1,SUMIFS('Шаг1.Выбор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плиты'!C:Q,12,0)),1))))))=0,
U259,
IF(U259="","",IF(U259=1,SUMIFS('Шаг1.Выбор плиты'!$G:$G,'Шаг1.Выбор плиты'!J:J,"*"&amp;RIGHT(VLOOKUP(C259,'Шаг1.Выбор плиты'!C:Q,8,0),4),'Шаг1.Выбор плиты'!L:L,IF(MID(C259,1,6)="ЛДСП P","TM"&amp;MID(VLOOKUP(C259,'Шаг1.Выбор плиты'!C:Q,10,0),3,2),MID(VLOOKUP(C259,'Шаг1.Выбор плиты'!C:Q,10,0),1,2)),
'Шаг1.Выбор плиты'!N:N,1),IF(SUMIFS('Шаг1.Выбор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плиты'!C:Q,12,0)),1))=0,
IF(SUMIFS('Шаг1.Выбор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плиты'!C:Q,12,0)),2))=0,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плиты'!C:Q,12,0)),3)),
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плиты'!C:Q,12,0)),2))),
(SUMIFS('Шаг1.Выбор плиты'!$G:$G,'Шаг1.Выбор плиты'!J:J,"*"&amp;RIGHT(VLOOKUP(C259,'Шаг1.Выбор плиты'!C:Q,8,0),4),'Шаг1.Выбор плиты'!L:L,VLOOKUP(C259,'Шаг1.Выбор плиты'!C:Q,10,0),'Шаг1.Выбор плиты'!N:N,U259,'Шаг1.Выбор плиты'!M:M,SMALL(INDIRECT("мм"&amp;VLOOKUP(C259,'Шаг1.Выбор плиты'!C:Q,12,0)),1)))))))</f>
        <v/>
      </c>
      <c r="L259" s="147" t="str">
        <f ca="1">IFERROR(IFERROR(IF(VLOOKUP($A259,'Шаг2.Бланк заказа NEW'!$B$17:$N$201,9,0)="","",VLOOKUP($A259,'Шаг2.Бланк заказа NEW'!$B$17:$N$201,9,0)),
IF(VLOOKUP($A259-COUNT('Шаг2.Бланк заказа NEW'!$B$19:$B$201),'Бланк OLD 0.8 04'!$B$12:$K$200,9,0)="","",VLOOKUP($A259-COUNT('Шаг2.Бланк заказа NEW'!$B$19:$B$201),'Бланк OLD 0.8 04'!$B$12:$K$200,9,0))),
IF(VLOOKUP($A259-COUNT('Шаг2.Бланк заказа NEW'!$B$19:$B$201)-COUNT('Бланк OLD 0.8 04'!$B$18:$B$200),'Бланк OLD 2.0 04 '!$B$16:$K$200,9,0)="","",VLOOKUP($A259-COUNT('Шаг2.Бланк заказа NEW'!$B$19:$B$201)-COUNT('Бланк OLD 0.8 04'!$B$18:$B$200),'Бланк OLD 2.0 04 '!$B$16:$K$200,9,0)))</f>
        <v/>
      </c>
      <c r="M259" s="154" t="str">
        <f t="shared" ca="1" si="20"/>
        <v/>
      </c>
      <c r="N259" s="153" t="str">
        <f ca="1">IFERROR(IF(VLOOKUP($A259,'Шаг2.Бланк заказа NEW'!$B$17:$N$201,11,0)="","",VLOOKUP($A259,'Шаг2.Бланк заказа NEW'!$B$17:$N$201,11,0)),
"Нет")</f>
        <v/>
      </c>
      <c r="O259" s="147" t="str">
        <f ca="1">IFERROR(IF(VLOOKUP($A259,'Шаг2.Бланк заказа NEW'!$B$17:$N$201,11,0)="","",VLOOKUP($A259,'Шаг2.Бланк заказа NEW'!$B$17:$N$201,12,0)),
"Нет")</f>
        <v/>
      </c>
      <c r="P259" s="153" t="str">
        <f ca="1">IFERROR(IF(VLOOKUP($A259,'Шаг2.Бланк заказа NEW'!$B$17:$N$201,13,0)="","",VLOOKUP($A259,'Шаг2.Бланк заказа NEW'!$B$17:$N$201,13,0)),
"Нет")</f>
        <v/>
      </c>
      <c r="Q259" s="147" t="str">
        <f ca="1">IFERROR(IF(VLOOKUP($A259,'Шаг2.Бланк заказа NEW'!$B$17:$O$201,14,0)="","",VLOOKUP($A259,'Шаг2.Бланк заказа NEW'!$B$17:$O$201,14,0)),"")</f>
        <v/>
      </c>
      <c r="R259" s="147" t="str">
        <f ca="1">IFERROR(IFERROR(IF(VLOOKUP($A259,'Шаг2.Бланк заказа NEW'!$B$17:$N$201,4,0)="","",VLOOKUP($A259,'Шаг2.Бланк заказа NEW'!$B$17:$N$201,4,0)),
IF(VLOOKUP($A259-COUNT('Шаг2.Бланк заказа NEW'!$B$19:$B$201),'Бланк OLD 0.8 04'!$B$12:$K$200,4,0)&gt;0,0.8,
IF(VLOOKUP($A259-COUNT('Шаг2.Бланк заказа NEW'!$B$19:$B$201),'Бланк OLD 0.8 04'!$B$12:$K$200,5,0)&gt;0,0.4,""))),
IF(VLOOKUP($A259-COUNT('Шаг2.Бланк заказа NEW'!$B$19:$B$201)-COUNT('Бланк OLD 0.8 04'!$B$18:$B$200),'Бланк OLD 2.0 04 '!$B$16:$K$200,4,0)&gt;0,2,IF(VLOOKUP($A259-COUNT('Шаг2.Бланк заказа NEW'!$B$19:$B$201)-COUNT('Бланк OLD 0.8 04'!$B$18:$B$200),'Бланк OLD 2.0 04 '!$B$16:$K$200,5,0)&gt;0,0.4,"")))</f>
        <v/>
      </c>
      <c r="S259" s="147" t="str">
        <f ca="1">IFERROR(IFERROR(IF(VLOOKUP($A259,'Шаг2.Бланк заказа NEW'!$B$17:$N$201,5,0)="","",VLOOKUP($A259,'Шаг2.Бланк заказа NEW'!$B$17:$N$201,5,0)),
IF(VLOOKUP($A259-COUNT('Шаг2.Бланк заказа NEW'!$B$19:$B$201),'Бланк OLD 0.8 04'!$B$12:$K$200,4,0)&gt;1,0.8,
IF(VLOOKUP($A259-COUNT('Шаг2.Бланк заказа NEW'!$B$19:$B$201),'Бланк OLD 0.8 04'!$B$12:$K$200,5,0)&gt;1,0.4,
IF(AND(VLOOKUP($A259-COUNT('Шаг2.Бланк заказа NEW'!$B$19:$B$201),'Бланк OLD 0.8 04'!$B$12:$K$200,4,0)&gt;0,VLOOKUP($A259-COUNT('Шаг2.Бланк заказа NEW'!$B$19:$B$201),'Бланк OLD 0.8 04'!$B$12:$K$200,5,0)&gt;0),0.4,"")))),
IF(VLOOKUP($A259-COUNT('Шаг2.Бланк заказа NEW'!$B$19:$B$201)-COUNT('Бланк OLD 0.8 04'!$B$18:$B$200),'Бланк OLD 2.0 04 '!$B$16:$K$200,4,0)&gt;1,2,
IF(VLOOKUP($A259-COUNT('Шаг2.Бланк заказа NEW'!$B$19:$B$201)-COUNT('Бланк OLD 0.8 04'!$B$18:$B$200),'Бланк OLD 2.0 04 '!$B$16:$K$200,5,0)&gt;1,0.4,IF(AND(VLOOKUP($A259-COUNT('Шаг2.Бланк заказа NEW'!$B$19:$B$201)-COUNT('Бланк OLD 0.8 04'!$B$18:$B$200),'Бланк OLD 2.0 04 '!$B$16:$K$200,4,0)&gt;0,VLOOKUP($A259-COUNT('Шаг2.Бланк заказа NEW'!$B$19:$B$201)-COUNT('Бланк OLD 0.8 04'!$B$18:$B$200),'Бланк OLD 2.0 04 '!$B$16:$K$200,5,0)&gt;0),0.4,""))))</f>
        <v/>
      </c>
      <c r="T259" s="147" t="str">
        <f ca="1">IFERROR(IFERROR(IF(VLOOKUP($A259,'Шаг2.Бланк заказа NEW'!$B$17:$N$201,7,0)="","",VLOOKUP($A259,'Шаг2.Бланк заказа NEW'!$B$17:$N$201,7,0)),
IF(VLOOKUP($A259-COUNT('Шаг2.Бланк заказа NEW'!$B$19:$B$201),'Бланк OLD 0.8 04'!$B$12:$K$200,7,0)&gt;0,0.8,
IF(VLOOKUP($A259-COUNT('Шаг2.Бланк заказа NEW'!$B$19:$B$201),'Бланк OLD 0.8 04'!$B$12:$K$200,8,0)&gt;0,0.4,""))),
IF(VLOOKUP($A259-COUNT('Шаг2.Бланк заказа NEW'!$B$19:$B$201)-COUNT('Бланк OLD 0.8 04'!$B$18:$B$200),'Бланк OLD 2.0 04 '!$B$16:$K$200,7,0)&gt;0,2,IF(VLOOKUP($A259-COUNT('Шаг2.Бланк заказа NEW'!$B$19:$B$201)-COUNT('Бланк OLD 0.8 04'!$B$18:$B$200),'Бланк OLD 2.0 04 '!$B$16:$K$200,8,0)&gt;0,0.4,"")))</f>
        <v/>
      </c>
      <c r="U259" s="147" t="str">
        <f ca="1">IFERROR(IFERROR(IF(VLOOKUP($A259,'Шаг2.Бланк заказа NEW'!$B$17:$N$201,8,0)="","",VLOOKUP($A259,'Шаг2.Бланк заказа NEW'!$B$17:$N$201,8,0)),
IF(VLOOKUP($A259-COUNT('Шаг2.Бланк заказа NEW'!$B$19:$B$201),'Бланк OLD 0.8 04'!$B$12:$K$200,7,0)&gt;1,0.8,
IF(VLOOKUP($A259-COUNT('Шаг2.Бланк заказа NEW'!$B$19:$B$201),'Бланк OLD 0.8 04'!$B$12:$K$200,8,0)&gt;1,0.4,
IF(AND(VLOOKUP($A259-COUNT('Шаг2.Бланк заказа NEW'!$B$19:$B$201),'Бланк OLD 0.8 04'!$B$12:$K$200,7,0)&gt;0,VLOOKUP($A259-COUNT('Шаг2.Бланк заказа NEW'!$B$19:$B$201),'Бланк OLD 0.8 04'!$B$12:$K$200,8,0)&gt;0),0.4,"")))),
IF(VLOOKUP($A259-COUNT('Шаг2.Бланк заказа NEW'!$B$19:$B$201)-COUNT('Бланк OLD 0.8 04'!$B$18:$B$200),'Бланк OLD 2.0 04 '!$B$16:$K$200,7,0)&gt;1,2,
IF(VLOOKUP($A259-COUNT('Шаг2.Бланк заказа NEW'!$B$19:$B$201)-COUNT('Бланк OLD 0.8 04'!$B$18:$B$200),'Бланк OLD 2.0 04 '!$B$16:$K$200,8,0)&gt;1,0.4,
IF(AND(VLOOKUP($A259-COUNT('Шаг2.Бланк заказа NEW'!$B$19:$B$201)-COUNT('Бланк OLD 0.8 04'!$B$18:$B$200),'Бланк OLD 2.0 04 '!$B$16:$K$200,7,0)&gt;0,VLOOKUP($A259-COUNT('Шаг2.Бланк заказа NEW'!$B$19:$B$201)-COUNT('Бланк OLD 0.8 04'!$B$18:$B$200),'Бланк OLD 2.0 04 '!$B$16:$K$200,8,0)&gt;0),0.4,""))))</f>
        <v/>
      </c>
      <c r="V259" s="146" t="str">
        <f ca="1">IFERROR(VLOOKUP(C259,'Шаг1.Выбор плиты'!C:S,12,0),"")</f>
        <v/>
      </c>
      <c r="W259" s="146" t="str">
        <f ca="1">IFERROR(VLOOKUP(C259,'Шаг1.Выбор плиты'!C:S,8,0),"")</f>
        <v/>
      </c>
      <c r="X259" s="146" t="str">
        <f ca="1">IFERROR(VLOOKUP(C259,'Шаг1.Выбор плиты'!C:S,10,0),"")</f>
        <v/>
      </c>
      <c r="Y259" s="147" t="str">
        <f t="shared" ref="Y259:Y322" ca="1" si="23">IF(C259="","",$Z$7)</f>
        <v/>
      </c>
      <c r="AD259" s="147" t="str">
        <f t="shared" ca="1" si="21"/>
        <v/>
      </c>
      <c r="AE259" s="147" t="str">
        <f t="shared" ref="AE259:AE322" ca="1" si="24">IF(B259="","","kwadrat"&amp;(V259*1))</f>
        <v/>
      </c>
      <c r="AF259" s="25"/>
      <c r="AH259" s="147" t="str">
        <f ca="1">IF(C259="","",VLOOKUP(C259,'Шаг1.Выбор плиты'!C:Q,7,0))</f>
        <v/>
      </c>
      <c r="AI259" s="147" t="str">
        <f t="shared" ca="1" si="22"/>
        <v/>
      </c>
    </row>
    <row r="260" spans="1:35" x14ac:dyDescent="0.2">
      <c r="A260" s="151" t="str">
        <f ca="1">IF(C260="","",MAX($A$1:OFFSET(C260,-1,0))+1)</f>
        <v/>
      </c>
      <c r="B260" s="151" t="str">
        <f ca="1">IFERROR(IFERROR(IFERROR("Шаг2.Бланк заказа NEW №"&amp;VLOOKUP(A259+1,CHOOSE({1,2},'Шаг2.Бланк заказа NEW'!$B$19:$B$201,'Шаг2.Бланк заказа NEW'!$A$19:$A$201),1,0),
"Бланк OLD 0.8 04 №"&amp;VLOOKUP(A259+1-COUNT('Шаг2.Бланк заказа NEW'!$B$19:$B$201),CHOOSE({1,2},'Бланк OLD 0.8 04'!$B$18:$B$200,'Бланк OLD 0.8 04'!$A$18:$A$200),1,0)),
"Бланк OLD 2.0 04 №"&amp;VLOOKUP(A259+1-COUNT('Шаг2.Бланк заказа NEW'!$B$19:$B$201)-COUNT('Бланк OLD 0.8 04'!$B$18:$B$200),CHOOSE({1,2},'Бланк OLD 2.0 04 '!$B$18:$B$200,'Бланк OLD 2.0 04 '!$A$18:$A$200),1,0)),"")</f>
        <v/>
      </c>
      <c r="C260" s="152" t="str">
        <f ca="1">IFERROR(IFERROR(IFERROR(VLOOKUP(A259+1,CHOOSE({1,2},'Шаг2.Бланк заказа NEW'!$B$19:$B$201,'Шаг2.Бланк заказа NEW'!$A$19:$A$201),2,0),
VLOOKUP(A259+1-COUNT('Шаг2.Бланк заказа NEW'!$B$19:$B$201),CHOOSE({1,2},'Бланк OLD 0.8 04'!$B$18:$B$200,'Бланк OLD 0.8 04'!$A$18:$A$200),2,0)),
VLOOKUP(A259+1-COUNT('Шаг2.Бланк заказа NEW'!$B$19:$B$201)-COUNT('Бланк OLD 0.8 04'!$B$18:$B$200),CHOOSE({1,2},'Бланк OLD 2.0 04 '!$B$18:$B$200,'Бланк OLD 2.0 04 '!$A$18:$A$200),2,0)),"")</f>
        <v/>
      </c>
      <c r="D260" s="150" t="str">
        <f ca="1">IFERROR(VLOOKUP(C260,'Шаг1.Выбор плиты'!C:G,5,0),"")</f>
        <v/>
      </c>
      <c r="E260" s="147" t="str">
        <f ca="1">IFERROR(IFERROR(IF(VLOOKUP($A260,'Шаг2.Бланк заказа NEW'!$B$17:$N$201,2,0)="","",VLOOKUP($A260,'Шаг2.Бланк заказа NEW'!$B$17:$N$201,2,0)),
IF(VLOOKUP($A260-COUNT('Шаг2.Бланк заказа NEW'!$B$19:$B$201),'Бланк OLD 0.8 04'!$B$12:$K$200,2,0)="","",VLOOKUP($A260-COUNT('Шаг2.Бланк заказа NEW'!$B$19:$B$201),'Бланк OLD 0.8 04'!$B$12:$K$200,2,0))),
IF(VLOOKUP($A260-COUNT('Шаг2.Бланк заказа NEW'!$B$19:$B$201)-COUNT('Бланк OLD 0.8 04'!$B$18:$B$200),'Бланк OLD 2.0 04 '!$B$16:$K$200,2,0)="","",VLOOKUP($A260-COUNT('Шаг2.Бланк заказа NEW'!$B$19:$B$201)-COUNT('Бланк OLD 0.8 04'!$B$18:$B$200),'Бланк OLD 2.0 04 '!$B$16:$K$200,2,0)))</f>
        <v/>
      </c>
      <c r="F260" s="147" t="str">
        <f ca="1">IFERROR(IFERROR(IF(VLOOKUP($A260,'Шаг2.Бланк заказа NEW'!$B$17:$N$201,3,0)="","",VLOOKUP($A260,'Шаг2.Бланк заказа NEW'!$B$17:$N$201,3,0)),
IF(VLOOKUP($A260-COUNT('Шаг2.Бланк заказа NEW'!$B$19:$B$201),'Бланк OLD 0.8 04'!$B$12:$K$200,3,0)="","",VLOOKUP($A260-COUNT('Шаг2.Бланк заказа NEW'!$B$19:$B$201),'Бланк OLD 0.8 04'!$B$12:$K$200,3,0))),
IF(VLOOKUP($A260-COUNT('Шаг2.Бланк заказа NEW'!$B$19:$B$201)-COUNT('Бланк OLD 0.8 04'!$B$18:$B$200),'Бланк OLD 2.0 04 '!$B$16:$K$200,3,0)="","",VLOOKUP($A260-COUNT('Шаг2.Бланк заказа NEW'!$B$19:$B$201)-COUNT('Бланк OLD 0.8 04'!$B$18:$B$200),'Бланк OLD 2.0 04 '!$B$16:$K$200,3,0)))</f>
        <v/>
      </c>
      <c r="G260" s="176" t="str">
        <f ca="1">IF(IF(R260="","",IF(R260=1,SUMIFS('Шаг1.Выбор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плиты'!C:Q,12,0)),1))))))=0,
R260,
IF(R260="","",IF(R260=1,SUMIFS('Шаг1.Выбор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плиты'!N:N,R260,'Шаг1.Выбор плиты'!M:M,SMALL(INDIRECT("мм"&amp;VLOOKUP(C260,'Шаг1.Выбор плиты'!C:Q,12,0)),1)))))))</f>
        <v/>
      </c>
      <c r="H260" s="177" t="str">
        <f ca="1">IF(IF(S260="","",IF(S260=1,SUMIFS('Шаг1.Выбор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плиты'!C:Q,12,0)),1))))))=0,
S260,
IF(S260="","",IF(S260=1,SUMIFS('Шаг1.Выбор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плиты'!N:N,S260,'Шаг1.Выбор плиты'!M:M,SMALL(INDIRECT("мм"&amp;VLOOKUP(C260,'Шаг1.Выбор плиты'!C:Q,12,0)),1)))))))</f>
        <v/>
      </c>
      <c r="I260" s="147" t="str">
        <f ca="1">IFERROR(IFERROR(IF(VLOOKUP($A260,'Шаг2.Бланк заказа NEW'!$B$17:$N$201,6,0)="","",VLOOKUP($A260,'Шаг2.Бланк заказа NEW'!$B$17:$N$201,6,0)),
IF(VLOOKUP($A260-COUNT('Шаг2.Бланк заказа NEW'!$B$19:$B$201),'Бланк OLD 0.8 04'!$B$12:$K$200,6,0)="","",VLOOKUP($A260-COUNT('Шаг2.Бланк заказа NEW'!$B$19:$B$201),'Бланк OLD 0.8 04'!$B$12:$K$200,6,0))),
IF(VLOOKUP($A260-COUNT('Шаг2.Бланк заказа NEW'!$B$19:$B$201)-COUNT('Бланк OLD 0.8 04'!$B$18:$B$200),'Бланк OLD 2.0 04 '!$B$16:$K$200,6,0)="","",VLOOKUP($A260-COUNT('Шаг2.Бланк заказа NEW'!$B$19:$B$201)-COUNT('Бланк OLD 0.8 04'!$B$18:$B$200),'Бланк OLD 2.0 04 '!$B$16:$K$200,6,0)))</f>
        <v/>
      </c>
      <c r="J260" s="177" t="str">
        <f ca="1">IF(IF(T260="","",IF(T260=1,SUMIFS('Шаг1.Выбор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плиты'!C:Q,12,0)),1))))))=0,
T260,
IF(T260="","",IF(T260=1,SUMIFS('Шаг1.Выбор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плиты'!N:N,T260,'Шаг1.Выбор плиты'!M:M,SMALL(INDIRECT("мм"&amp;VLOOKUP(C260,'Шаг1.Выбор плиты'!C:Q,12,0)),1)))))))</f>
        <v/>
      </c>
      <c r="K260" s="177" t="str">
        <f ca="1">IF(IF(U260="","",IF(U260=1,SUMIFS('Шаг1.Выбор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плиты'!C:Q,12,0)),1))))))=0,
U260,
IF(U260="","",IF(U260=1,SUMIFS('Шаг1.Выбор плиты'!$G:$G,'Шаг1.Выбор плиты'!J:J,"*"&amp;RIGHT(VLOOKUP(C260,'Шаг1.Выбор плиты'!C:Q,8,0),4),'Шаг1.Выбор плиты'!L:L,IF(MID(C260,1,6)="ЛДСП P","TM"&amp;MID(VLOOKUP(C260,'Шаг1.Выбор плиты'!C:Q,10,0),3,2),MID(VLOOKUP(C260,'Шаг1.Выбор плиты'!C:Q,10,0),1,2)),
'Шаг1.Выбор плиты'!N:N,1),IF(SUMIFS('Шаг1.Выбор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плиты'!C:Q,12,0)),1))=0,
IF(SUMIFS('Шаг1.Выбор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плиты'!C:Q,12,0)),2))=0,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плиты'!C:Q,12,0)),3)),
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плиты'!C:Q,12,0)),2))),
(SUMIFS('Шаг1.Выбор плиты'!$G:$G,'Шаг1.Выбор плиты'!J:J,"*"&amp;RIGHT(VLOOKUP(C260,'Шаг1.Выбор плиты'!C:Q,8,0),4),'Шаг1.Выбор плиты'!L:L,VLOOKUP(C260,'Шаг1.Выбор плиты'!C:Q,10,0),'Шаг1.Выбор плиты'!N:N,U260,'Шаг1.Выбор плиты'!M:M,SMALL(INDIRECT("мм"&amp;VLOOKUP(C260,'Шаг1.Выбор плиты'!C:Q,12,0)),1)))))))</f>
        <v/>
      </c>
      <c r="L260" s="147" t="str">
        <f ca="1">IFERROR(IFERROR(IF(VLOOKUP($A260,'Шаг2.Бланк заказа NEW'!$B$17:$N$201,9,0)="","",VLOOKUP($A260,'Шаг2.Бланк заказа NEW'!$B$17:$N$201,9,0)),
IF(VLOOKUP($A260-COUNT('Шаг2.Бланк заказа NEW'!$B$19:$B$201),'Бланк OLD 0.8 04'!$B$12:$K$200,9,0)="","",VLOOKUP($A260-COUNT('Шаг2.Бланк заказа NEW'!$B$19:$B$201),'Бланк OLD 0.8 04'!$B$12:$K$200,9,0))),
IF(VLOOKUP($A260-COUNT('Шаг2.Бланк заказа NEW'!$B$19:$B$201)-COUNT('Бланк OLD 0.8 04'!$B$18:$B$200),'Бланк OLD 2.0 04 '!$B$16:$K$200,9,0)="","",VLOOKUP($A260-COUNT('Шаг2.Бланк заказа NEW'!$B$19:$B$201)-COUNT('Бланк OLD 0.8 04'!$B$18:$B$200),'Бланк OLD 2.0 04 '!$B$16:$K$200,9,0)))</f>
        <v/>
      </c>
      <c r="M260" s="154" t="str">
        <f t="shared" ca="1" si="20"/>
        <v/>
      </c>
      <c r="N260" s="153" t="str">
        <f ca="1">IFERROR(IF(VLOOKUP($A260,'Шаг2.Бланк заказа NEW'!$B$17:$N$201,11,0)="","",VLOOKUP($A260,'Шаг2.Бланк заказа NEW'!$B$17:$N$201,11,0)),
"Нет")</f>
        <v/>
      </c>
      <c r="O260" s="147" t="str">
        <f ca="1">IFERROR(IF(VLOOKUP($A260,'Шаг2.Бланк заказа NEW'!$B$17:$N$201,11,0)="","",VLOOKUP($A260,'Шаг2.Бланк заказа NEW'!$B$17:$N$201,12,0)),
"Нет")</f>
        <v/>
      </c>
      <c r="P260" s="153" t="str">
        <f ca="1">IFERROR(IF(VLOOKUP($A260,'Шаг2.Бланк заказа NEW'!$B$17:$N$201,13,0)="","",VLOOKUP($A260,'Шаг2.Бланк заказа NEW'!$B$17:$N$201,13,0)),
"Нет")</f>
        <v/>
      </c>
      <c r="Q260" s="147" t="str">
        <f ca="1">IFERROR(IF(VLOOKUP($A260,'Шаг2.Бланк заказа NEW'!$B$17:$O$201,14,0)="","",VLOOKUP($A260,'Шаг2.Бланк заказа NEW'!$B$17:$O$201,14,0)),"")</f>
        <v/>
      </c>
      <c r="R260" s="147" t="str">
        <f ca="1">IFERROR(IFERROR(IF(VLOOKUP($A260,'Шаг2.Бланк заказа NEW'!$B$17:$N$201,4,0)="","",VLOOKUP($A260,'Шаг2.Бланк заказа NEW'!$B$17:$N$201,4,0)),
IF(VLOOKUP($A260-COUNT('Шаг2.Бланк заказа NEW'!$B$19:$B$201),'Бланк OLD 0.8 04'!$B$12:$K$200,4,0)&gt;0,0.8,
IF(VLOOKUP($A260-COUNT('Шаг2.Бланк заказа NEW'!$B$19:$B$201),'Бланк OLD 0.8 04'!$B$12:$K$200,5,0)&gt;0,0.4,""))),
IF(VLOOKUP($A260-COUNT('Шаг2.Бланк заказа NEW'!$B$19:$B$201)-COUNT('Бланк OLD 0.8 04'!$B$18:$B$200),'Бланк OLD 2.0 04 '!$B$16:$K$200,4,0)&gt;0,2,IF(VLOOKUP($A260-COUNT('Шаг2.Бланк заказа NEW'!$B$19:$B$201)-COUNT('Бланк OLD 0.8 04'!$B$18:$B$200),'Бланк OLD 2.0 04 '!$B$16:$K$200,5,0)&gt;0,0.4,"")))</f>
        <v/>
      </c>
      <c r="S260" s="147" t="str">
        <f ca="1">IFERROR(IFERROR(IF(VLOOKUP($A260,'Шаг2.Бланк заказа NEW'!$B$17:$N$201,5,0)="","",VLOOKUP($A260,'Шаг2.Бланк заказа NEW'!$B$17:$N$201,5,0)),
IF(VLOOKUP($A260-COUNT('Шаг2.Бланк заказа NEW'!$B$19:$B$201),'Бланк OLD 0.8 04'!$B$12:$K$200,4,0)&gt;1,0.8,
IF(VLOOKUP($A260-COUNT('Шаг2.Бланк заказа NEW'!$B$19:$B$201),'Бланк OLD 0.8 04'!$B$12:$K$200,5,0)&gt;1,0.4,
IF(AND(VLOOKUP($A260-COUNT('Шаг2.Бланк заказа NEW'!$B$19:$B$201),'Бланк OLD 0.8 04'!$B$12:$K$200,4,0)&gt;0,VLOOKUP($A260-COUNT('Шаг2.Бланк заказа NEW'!$B$19:$B$201),'Бланк OLD 0.8 04'!$B$12:$K$200,5,0)&gt;0),0.4,"")))),
IF(VLOOKUP($A260-COUNT('Шаг2.Бланк заказа NEW'!$B$19:$B$201)-COUNT('Бланк OLD 0.8 04'!$B$18:$B$200),'Бланк OLD 2.0 04 '!$B$16:$K$200,4,0)&gt;1,2,
IF(VLOOKUP($A260-COUNT('Шаг2.Бланк заказа NEW'!$B$19:$B$201)-COUNT('Бланк OLD 0.8 04'!$B$18:$B$200),'Бланк OLD 2.0 04 '!$B$16:$K$200,5,0)&gt;1,0.4,IF(AND(VLOOKUP($A260-COUNT('Шаг2.Бланк заказа NEW'!$B$19:$B$201)-COUNT('Бланк OLD 0.8 04'!$B$18:$B$200),'Бланк OLD 2.0 04 '!$B$16:$K$200,4,0)&gt;0,VLOOKUP($A260-COUNT('Шаг2.Бланк заказа NEW'!$B$19:$B$201)-COUNT('Бланк OLD 0.8 04'!$B$18:$B$200),'Бланк OLD 2.0 04 '!$B$16:$K$200,5,0)&gt;0),0.4,""))))</f>
        <v/>
      </c>
      <c r="T260" s="147" t="str">
        <f ca="1">IFERROR(IFERROR(IF(VLOOKUP($A260,'Шаг2.Бланк заказа NEW'!$B$17:$N$201,7,0)="","",VLOOKUP($A260,'Шаг2.Бланк заказа NEW'!$B$17:$N$201,7,0)),
IF(VLOOKUP($A260-COUNT('Шаг2.Бланк заказа NEW'!$B$19:$B$201),'Бланк OLD 0.8 04'!$B$12:$K$200,7,0)&gt;0,0.8,
IF(VLOOKUP($A260-COUNT('Шаг2.Бланк заказа NEW'!$B$19:$B$201),'Бланк OLD 0.8 04'!$B$12:$K$200,8,0)&gt;0,0.4,""))),
IF(VLOOKUP($A260-COUNT('Шаг2.Бланк заказа NEW'!$B$19:$B$201)-COUNT('Бланк OLD 0.8 04'!$B$18:$B$200),'Бланк OLD 2.0 04 '!$B$16:$K$200,7,0)&gt;0,2,IF(VLOOKUP($A260-COUNT('Шаг2.Бланк заказа NEW'!$B$19:$B$201)-COUNT('Бланк OLD 0.8 04'!$B$18:$B$200),'Бланк OLD 2.0 04 '!$B$16:$K$200,8,0)&gt;0,0.4,"")))</f>
        <v/>
      </c>
      <c r="U260" s="147" t="str">
        <f ca="1">IFERROR(IFERROR(IF(VLOOKUP($A260,'Шаг2.Бланк заказа NEW'!$B$17:$N$201,8,0)="","",VLOOKUP($A260,'Шаг2.Бланк заказа NEW'!$B$17:$N$201,8,0)),
IF(VLOOKUP($A260-COUNT('Шаг2.Бланк заказа NEW'!$B$19:$B$201),'Бланк OLD 0.8 04'!$B$12:$K$200,7,0)&gt;1,0.8,
IF(VLOOKUP($A260-COUNT('Шаг2.Бланк заказа NEW'!$B$19:$B$201),'Бланк OLD 0.8 04'!$B$12:$K$200,8,0)&gt;1,0.4,
IF(AND(VLOOKUP($A260-COUNT('Шаг2.Бланк заказа NEW'!$B$19:$B$201),'Бланк OLD 0.8 04'!$B$12:$K$200,7,0)&gt;0,VLOOKUP($A260-COUNT('Шаг2.Бланк заказа NEW'!$B$19:$B$201),'Бланк OLD 0.8 04'!$B$12:$K$200,8,0)&gt;0),0.4,"")))),
IF(VLOOKUP($A260-COUNT('Шаг2.Бланк заказа NEW'!$B$19:$B$201)-COUNT('Бланк OLD 0.8 04'!$B$18:$B$200),'Бланк OLD 2.0 04 '!$B$16:$K$200,7,0)&gt;1,2,
IF(VLOOKUP($A260-COUNT('Шаг2.Бланк заказа NEW'!$B$19:$B$201)-COUNT('Бланк OLD 0.8 04'!$B$18:$B$200),'Бланк OLD 2.0 04 '!$B$16:$K$200,8,0)&gt;1,0.4,
IF(AND(VLOOKUP($A260-COUNT('Шаг2.Бланк заказа NEW'!$B$19:$B$201)-COUNT('Бланк OLD 0.8 04'!$B$18:$B$200),'Бланк OLD 2.0 04 '!$B$16:$K$200,7,0)&gt;0,VLOOKUP($A260-COUNT('Шаг2.Бланк заказа NEW'!$B$19:$B$201)-COUNT('Бланк OLD 0.8 04'!$B$18:$B$200),'Бланк OLD 2.0 04 '!$B$16:$K$200,8,0)&gt;0),0.4,""))))</f>
        <v/>
      </c>
      <c r="V260" s="146" t="str">
        <f ca="1">IFERROR(VLOOKUP(C260,'Шаг1.Выбор плиты'!C:S,12,0),"")</f>
        <v/>
      </c>
      <c r="W260" s="146" t="str">
        <f ca="1">IFERROR(VLOOKUP(C260,'Шаг1.Выбор плиты'!C:S,8,0),"")</f>
        <v/>
      </c>
      <c r="X260" s="146" t="str">
        <f ca="1">IFERROR(VLOOKUP(C260,'Шаг1.Выбор плиты'!C:S,10,0),"")</f>
        <v/>
      </c>
      <c r="Y260" s="147" t="str">
        <f t="shared" ca="1" si="23"/>
        <v/>
      </c>
      <c r="AD260" s="147" t="str">
        <f t="shared" ca="1" si="21"/>
        <v/>
      </c>
      <c r="AE260" s="147" t="str">
        <f t="shared" ca="1" si="24"/>
        <v/>
      </c>
      <c r="AF260" s="25"/>
      <c r="AH260" s="147" t="str">
        <f ca="1">IF(C260="","",VLOOKUP(C260,'Шаг1.Выбор плиты'!C:Q,7,0))</f>
        <v/>
      </c>
      <c r="AI260" s="147" t="str">
        <f t="shared" ca="1" si="22"/>
        <v/>
      </c>
    </row>
    <row r="261" spans="1:35" x14ac:dyDescent="0.2">
      <c r="A261" s="151" t="str">
        <f ca="1">IF(C261="","",MAX($A$1:OFFSET(C261,-1,0))+1)</f>
        <v/>
      </c>
      <c r="B261" s="151" t="str">
        <f ca="1">IFERROR(IFERROR(IFERROR("Шаг2.Бланк заказа NEW №"&amp;VLOOKUP(A260+1,CHOOSE({1,2},'Шаг2.Бланк заказа NEW'!$B$19:$B$201,'Шаг2.Бланк заказа NEW'!$A$19:$A$201),1,0),
"Бланк OLD 0.8 04 №"&amp;VLOOKUP(A260+1-COUNT('Шаг2.Бланк заказа NEW'!$B$19:$B$201),CHOOSE({1,2},'Бланк OLD 0.8 04'!$B$18:$B$200,'Бланк OLD 0.8 04'!$A$18:$A$200),1,0)),
"Бланк OLD 2.0 04 №"&amp;VLOOKUP(A260+1-COUNT('Шаг2.Бланк заказа NEW'!$B$19:$B$201)-COUNT('Бланк OLD 0.8 04'!$B$18:$B$200),CHOOSE({1,2},'Бланк OLD 2.0 04 '!$B$18:$B$200,'Бланк OLD 2.0 04 '!$A$18:$A$200),1,0)),"")</f>
        <v/>
      </c>
      <c r="C261" s="152" t="str">
        <f ca="1">IFERROR(IFERROR(IFERROR(VLOOKUP(A260+1,CHOOSE({1,2},'Шаг2.Бланк заказа NEW'!$B$19:$B$201,'Шаг2.Бланк заказа NEW'!$A$19:$A$201),2,0),
VLOOKUP(A260+1-COUNT('Шаг2.Бланк заказа NEW'!$B$19:$B$201),CHOOSE({1,2},'Бланк OLD 0.8 04'!$B$18:$B$200,'Бланк OLD 0.8 04'!$A$18:$A$200),2,0)),
VLOOKUP(A260+1-COUNT('Шаг2.Бланк заказа NEW'!$B$19:$B$201)-COUNT('Бланк OLD 0.8 04'!$B$18:$B$200),CHOOSE({1,2},'Бланк OLD 2.0 04 '!$B$18:$B$200,'Бланк OLD 2.0 04 '!$A$18:$A$200),2,0)),"")</f>
        <v/>
      </c>
      <c r="D261" s="150" t="str">
        <f ca="1">IFERROR(VLOOKUP(C261,'Шаг1.Выбор плиты'!C:G,5,0),"")</f>
        <v/>
      </c>
      <c r="E261" s="147" t="str">
        <f ca="1">IFERROR(IFERROR(IF(VLOOKUP($A261,'Шаг2.Бланк заказа NEW'!$B$17:$N$201,2,0)="","",VLOOKUP($A261,'Шаг2.Бланк заказа NEW'!$B$17:$N$201,2,0)),
IF(VLOOKUP($A261-COUNT('Шаг2.Бланк заказа NEW'!$B$19:$B$201),'Бланк OLD 0.8 04'!$B$12:$K$200,2,0)="","",VLOOKUP($A261-COUNT('Шаг2.Бланк заказа NEW'!$B$19:$B$201),'Бланк OLD 0.8 04'!$B$12:$K$200,2,0))),
IF(VLOOKUP($A261-COUNT('Шаг2.Бланк заказа NEW'!$B$19:$B$201)-COUNT('Бланк OLD 0.8 04'!$B$18:$B$200),'Бланк OLD 2.0 04 '!$B$16:$K$200,2,0)="","",VLOOKUP($A261-COUNT('Шаг2.Бланк заказа NEW'!$B$19:$B$201)-COUNT('Бланк OLD 0.8 04'!$B$18:$B$200),'Бланк OLD 2.0 04 '!$B$16:$K$200,2,0)))</f>
        <v/>
      </c>
      <c r="F261" s="147" t="str">
        <f ca="1">IFERROR(IFERROR(IF(VLOOKUP($A261,'Шаг2.Бланк заказа NEW'!$B$17:$N$201,3,0)="","",VLOOKUP($A261,'Шаг2.Бланк заказа NEW'!$B$17:$N$201,3,0)),
IF(VLOOKUP($A261-COUNT('Шаг2.Бланк заказа NEW'!$B$19:$B$201),'Бланк OLD 0.8 04'!$B$12:$K$200,3,0)="","",VLOOKUP($A261-COUNT('Шаг2.Бланк заказа NEW'!$B$19:$B$201),'Бланк OLD 0.8 04'!$B$12:$K$200,3,0))),
IF(VLOOKUP($A261-COUNT('Шаг2.Бланк заказа NEW'!$B$19:$B$201)-COUNT('Бланк OLD 0.8 04'!$B$18:$B$200),'Бланк OLD 2.0 04 '!$B$16:$K$200,3,0)="","",VLOOKUP($A261-COUNT('Шаг2.Бланк заказа NEW'!$B$19:$B$201)-COUNT('Бланк OLD 0.8 04'!$B$18:$B$200),'Бланк OLD 2.0 04 '!$B$16:$K$200,3,0)))</f>
        <v/>
      </c>
      <c r="G261" s="176" t="str">
        <f ca="1">IF(IF(R261="","",IF(R261=1,SUMIFS('Шаг1.Выбор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плиты'!C:Q,12,0)),1))))))=0,
R261,
IF(R261="","",IF(R261=1,SUMIFS('Шаг1.Выбор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плиты'!N:N,R261,'Шаг1.Выбор плиты'!M:M,SMALL(INDIRECT("мм"&amp;VLOOKUP(C261,'Шаг1.Выбор плиты'!C:Q,12,0)),1)))))))</f>
        <v/>
      </c>
      <c r="H261" s="177" t="str">
        <f ca="1">IF(IF(S261="","",IF(S261=1,SUMIFS('Шаг1.Выбор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плиты'!C:Q,12,0)),1))))))=0,
S261,
IF(S261="","",IF(S261=1,SUMIFS('Шаг1.Выбор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плиты'!N:N,S261,'Шаг1.Выбор плиты'!M:M,SMALL(INDIRECT("мм"&amp;VLOOKUP(C261,'Шаг1.Выбор плиты'!C:Q,12,0)),1)))))))</f>
        <v/>
      </c>
      <c r="I261" s="147" t="str">
        <f ca="1">IFERROR(IFERROR(IF(VLOOKUP($A261,'Шаг2.Бланк заказа NEW'!$B$17:$N$201,6,0)="","",VLOOKUP($A261,'Шаг2.Бланк заказа NEW'!$B$17:$N$201,6,0)),
IF(VLOOKUP($A261-COUNT('Шаг2.Бланк заказа NEW'!$B$19:$B$201),'Бланк OLD 0.8 04'!$B$12:$K$200,6,0)="","",VLOOKUP($A261-COUNT('Шаг2.Бланк заказа NEW'!$B$19:$B$201),'Бланк OLD 0.8 04'!$B$12:$K$200,6,0))),
IF(VLOOKUP($A261-COUNT('Шаг2.Бланк заказа NEW'!$B$19:$B$201)-COUNT('Бланк OLD 0.8 04'!$B$18:$B$200),'Бланк OLD 2.0 04 '!$B$16:$K$200,6,0)="","",VLOOKUP($A261-COUNT('Шаг2.Бланк заказа NEW'!$B$19:$B$201)-COUNT('Бланк OLD 0.8 04'!$B$18:$B$200),'Бланк OLD 2.0 04 '!$B$16:$K$200,6,0)))</f>
        <v/>
      </c>
      <c r="J261" s="177" t="str">
        <f ca="1">IF(IF(T261="","",IF(T261=1,SUMIFS('Шаг1.Выбор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плиты'!C:Q,12,0)),1))))))=0,
T261,
IF(T261="","",IF(T261=1,SUMIFS('Шаг1.Выбор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плиты'!N:N,T261,'Шаг1.Выбор плиты'!M:M,SMALL(INDIRECT("мм"&amp;VLOOKUP(C261,'Шаг1.Выбор плиты'!C:Q,12,0)),1)))))))</f>
        <v/>
      </c>
      <c r="K261" s="177" t="str">
        <f ca="1">IF(IF(U261="","",IF(U261=1,SUMIFS('Шаг1.Выбор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плиты'!C:Q,12,0)),1))))))=0,
U261,
IF(U261="","",IF(U261=1,SUMIFS('Шаг1.Выбор плиты'!$G:$G,'Шаг1.Выбор плиты'!J:J,"*"&amp;RIGHT(VLOOKUP(C261,'Шаг1.Выбор плиты'!C:Q,8,0),4),'Шаг1.Выбор плиты'!L:L,IF(MID(C261,1,6)="ЛДСП P","TM"&amp;MID(VLOOKUP(C261,'Шаг1.Выбор плиты'!C:Q,10,0),3,2),MID(VLOOKUP(C261,'Шаг1.Выбор плиты'!C:Q,10,0),1,2)),
'Шаг1.Выбор плиты'!N:N,1),IF(SUMIFS('Шаг1.Выбор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плиты'!C:Q,12,0)),1))=0,
IF(SUMIFS('Шаг1.Выбор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плиты'!C:Q,12,0)),2))=0,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плиты'!C:Q,12,0)),3)),
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плиты'!C:Q,12,0)),2))),
(SUMIFS('Шаг1.Выбор плиты'!$G:$G,'Шаг1.Выбор плиты'!J:J,"*"&amp;RIGHT(VLOOKUP(C261,'Шаг1.Выбор плиты'!C:Q,8,0),4),'Шаг1.Выбор плиты'!L:L,VLOOKUP(C261,'Шаг1.Выбор плиты'!C:Q,10,0),'Шаг1.Выбор плиты'!N:N,U261,'Шаг1.Выбор плиты'!M:M,SMALL(INDIRECT("мм"&amp;VLOOKUP(C261,'Шаг1.Выбор плиты'!C:Q,12,0)),1)))))))</f>
        <v/>
      </c>
      <c r="L261" s="147" t="str">
        <f ca="1">IFERROR(IFERROR(IF(VLOOKUP($A261,'Шаг2.Бланк заказа NEW'!$B$17:$N$201,9,0)="","",VLOOKUP($A261,'Шаг2.Бланк заказа NEW'!$B$17:$N$201,9,0)),
IF(VLOOKUP($A261-COUNT('Шаг2.Бланк заказа NEW'!$B$19:$B$201),'Бланк OLD 0.8 04'!$B$12:$K$200,9,0)="","",VLOOKUP($A261-COUNT('Шаг2.Бланк заказа NEW'!$B$19:$B$201),'Бланк OLD 0.8 04'!$B$12:$K$200,9,0))),
IF(VLOOKUP($A261-COUNT('Шаг2.Бланк заказа NEW'!$B$19:$B$201)-COUNT('Бланк OLD 0.8 04'!$B$18:$B$200),'Бланк OLD 2.0 04 '!$B$16:$K$200,9,0)="","",VLOOKUP($A261-COUNT('Шаг2.Бланк заказа NEW'!$B$19:$B$201)-COUNT('Бланк OLD 0.8 04'!$B$18:$B$200),'Бланк OLD 2.0 04 '!$B$16:$K$200,9,0)))</f>
        <v/>
      </c>
      <c r="M261" s="154" t="str">
        <f t="shared" ca="1" si="20"/>
        <v/>
      </c>
      <c r="N261" s="153" t="str">
        <f ca="1">IFERROR(IF(VLOOKUP($A261,'Шаг2.Бланк заказа NEW'!$B$17:$N$201,11,0)="","",VLOOKUP($A261,'Шаг2.Бланк заказа NEW'!$B$17:$N$201,11,0)),
"Нет")</f>
        <v/>
      </c>
      <c r="O261" s="147" t="str">
        <f ca="1">IFERROR(IF(VLOOKUP($A261,'Шаг2.Бланк заказа NEW'!$B$17:$N$201,11,0)="","",VLOOKUP($A261,'Шаг2.Бланк заказа NEW'!$B$17:$N$201,12,0)),
"Нет")</f>
        <v/>
      </c>
      <c r="P261" s="153" t="str">
        <f ca="1">IFERROR(IF(VLOOKUP($A261,'Шаг2.Бланк заказа NEW'!$B$17:$N$201,13,0)="","",VLOOKUP($A261,'Шаг2.Бланк заказа NEW'!$B$17:$N$201,13,0)),
"Нет")</f>
        <v/>
      </c>
      <c r="Q261" s="147" t="str">
        <f ca="1">IFERROR(IF(VLOOKUP($A261,'Шаг2.Бланк заказа NEW'!$B$17:$O$201,14,0)="","",VLOOKUP($A261,'Шаг2.Бланк заказа NEW'!$B$17:$O$201,14,0)),"")</f>
        <v/>
      </c>
      <c r="R261" s="147" t="str">
        <f ca="1">IFERROR(IFERROR(IF(VLOOKUP($A261,'Шаг2.Бланк заказа NEW'!$B$17:$N$201,4,0)="","",VLOOKUP($A261,'Шаг2.Бланк заказа NEW'!$B$17:$N$201,4,0)),
IF(VLOOKUP($A261-COUNT('Шаг2.Бланк заказа NEW'!$B$19:$B$201),'Бланк OLD 0.8 04'!$B$12:$K$200,4,0)&gt;0,0.8,
IF(VLOOKUP($A261-COUNT('Шаг2.Бланк заказа NEW'!$B$19:$B$201),'Бланк OLD 0.8 04'!$B$12:$K$200,5,0)&gt;0,0.4,""))),
IF(VLOOKUP($A261-COUNT('Шаг2.Бланк заказа NEW'!$B$19:$B$201)-COUNT('Бланк OLD 0.8 04'!$B$18:$B$200),'Бланк OLD 2.0 04 '!$B$16:$K$200,4,0)&gt;0,2,IF(VLOOKUP($A261-COUNT('Шаг2.Бланк заказа NEW'!$B$19:$B$201)-COUNT('Бланк OLD 0.8 04'!$B$18:$B$200),'Бланк OLD 2.0 04 '!$B$16:$K$200,5,0)&gt;0,0.4,"")))</f>
        <v/>
      </c>
      <c r="S261" s="147" t="str">
        <f ca="1">IFERROR(IFERROR(IF(VLOOKUP($A261,'Шаг2.Бланк заказа NEW'!$B$17:$N$201,5,0)="","",VLOOKUP($A261,'Шаг2.Бланк заказа NEW'!$B$17:$N$201,5,0)),
IF(VLOOKUP($A261-COUNT('Шаг2.Бланк заказа NEW'!$B$19:$B$201),'Бланк OLD 0.8 04'!$B$12:$K$200,4,0)&gt;1,0.8,
IF(VLOOKUP($A261-COUNT('Шаг2.Бланк заказа NEW'!$B$19:$B$201),'Бланк OLD 0.8 04'!$B$12:$K$200,5,0)&gt;1,0.4,
IF(AND(VLOOKUP($A261-COUNT('Шаг2.Бланк заказа NEW'!$B$19:$B$201),'Бланк OLD 0.8 04'!$B$12:$K$200,4,0)&gt;0,VLOOKUP($A261-COUNT('Шаг2.Бланк заказа NEW'!$B$19:$B$201),'Бланк OLD 0.8 04'!$B$12:$K$200,5,0)&gt;0),0.4,"")))),
IF(VLOOKUP($A261-COUNT('Шаг2.Бланк заказа NEW'!$B$19:$B$201)-COUNT('Бланк OLD 0.8 04'!$B$18:$B$200),'Бланк OLD 2.0 04 '!$B$16:$K$200,4,0)&gt;1,2,
IF(VLOOKUP($A261-COUNT('Шаг2.Бланк заказа NEW'!$B$19:$B$201)-COUNT('Бланк OLD 0.8 04'!$B$18:$B$200),'Бланк OLD 2.0 04 '!$B$16:$K$200,5,0)&gt;1,0.4,IF(AND(VLOOKUP($A261-COUNT('Шаг2.Бланк заказа NEW'!$B$19:$B$201)-COUNT('Бланк OLD 0.8 04'!$B$18:$B$200),'Бланк OLD 2.0 04 '!$B$16:$K$200,4,0)&gt;0,VLOOKUP($A261-COUNT('Шаг2.Бланк заказа NEW'!$B$19:$B$201)-COUNT('Бланк OLD 0.8 04'!$B$18:$B$200),'Бланк OLD 2.0 04 '!$B$16:$K$200,5,0)&gt;0),0.4,""))))</f>
        <v/>
      </c>
      <c r="T261" s="147" t="str">
        <f ca="1">IFERROR(IFERROR(IF(VLOOKUP($A261,'Шаг2.Бланк заказа NEW'!$B$17:$N$201,7,0)="","",VLOOKUP($A261,'Шаг2.Бланк заказа NEW'!$B$17:$N$201,7,0)),
IF(VLOOKUP($A261-COUNT('Шаг2.Бланк заказа NEW'!$B$19:$B$201),'Бланк OLD 0.8 04'!$B$12:$K$200,7,0)&gt;0,0.8,
IF(VLOOKUP($A261-COUNT('Шаг2.Бланк заказа NEW'!$B$19:$B$201),'Бланк OLD 0.8 04'!$B$12:$K$200,8,0)&gt;0,0.4,""))),
IF(VLOOKUP($A261-COUNT('Шаг2.Бланк заказа NEW'!$B$19:$B$201)-COUNT('Бланк OLD 0.8 04'!$B$18:$B$200),'Бланк OLD 2.0 04 '!$B$16:$K$200,7,0)&gt;0,2,IF(VLOOKUP($A261-COUNT('Шаг2.Бланк заказа NEW'!$B$19:$B$201)-COUNT('Бланк OLD 0.8 04'!$B$18:$B$200),'Бланк OLD 2.0 04 '!$B$16:$K$200,8,0)&gt;0,0.4,"")))</f>
        <v/>
      </c>
      <c r="U261" s="147" t="str">
        <f ca="1">IFERROR(IFERROR(IF(VLOOKUP($A261,'Шаг2.Бланк заказа NEW'!$B$17:$N$201,8,0)="","",VLOOKUP($A261,'Шаг2.Бланк заказа NEW'!$B$17:$N$201,8,0)),
IF(VLOOKUP($A261-COUNT('Шаг2.Бланк заказа NEW'!$B$19:$B$201),'Бланк OLD 0.8 04'!$B$12:$K$200,7,0)&gt;1,0.8,
IF(VLOOKUP($A261-COUNT('Шаг2.Бланк заказа NEW'!$B$19:$B$201),'Бланк OLD 0.8 04'!$B$12:$K$200,8,0)&gt;1,0.4,
IF(AND(VLOOKUP($A261-COUNT('Шаг2.Бланк заказа NEW'!$B$19:$B$201),'Бланк OLD 0.8 04'!$B$12:$K$200,7,0)&gt;0,VLOOKUP($A261-COUNT('Шаг2.Бланк заказа NEW'!$B$19:$B$201),'Бланк OLD 0.8 04'!$B$12:$K$200,8,0)&gt;0),0.4,"")))),
IF(VLOOKUP($A261-COUNT('Шаг2.Бланк заказа NEW'!$B$19:$B$201)-COUNT('Бланк OLD 0.8 04'!$B$18:$B$200),'Бланк OLD 2.0 04 '!$B$16:$K$200,7,0)&gt;1,2,
IF(VLOOKUP($A261-COUNT('Шаг2.Бланк заказа NEW'!$B$19:$B$201)-COUNT('Бланк OLD 0.8 04'!$B$18:$B$200),'Бланк OLD 2.0 04 '!$B$16:$K$200,8,0)&gt;1,0.4,
IF(AND(VLOOKUP($A261-COUNT('Шаг2.Бланк заказа NEW'!$B$19:$B$201)-COUNT('Бланк OLD 0.8 04'!$B$18:$B$200),'Бланк OLD 2.0 04 '!$B$16:$K$200,7,0)&gt;0,VLOOKUP($A261-COUNT('Шаг2.Бланк заказа NEW'!$B$19:$B$201)-COUNT('Бланк OLD 0.8 04'!$B$18:$B$200),'Бланк OLD 2.0 04 '!$B$16:$K$200,8,0)&gt;0),0.4,""))))</f>
        <v/>
      </c>
      <c r="V261" s="146" t="str">
        <f ca="1">IFERROR(VLOOKUP(C261,'Шаг1.Выбор плиты'!C:S,12,0),"")</f>
        <v/>
      </c>
      <c r="W261" s="146" t="str">
        <f ca="1">IFERROR(VLOOKUP(C261,'Шаг1.Выбор плиты'!C:S,8,0),"")</f>
        <v/>
      </c>
      <c r="X261" s="146" t="str">
        <f ca="1">IFERROR(VLOOKUP(C261,'Шаг1.Выбор плиты'!C:S,10,0),"")</f>
        <v/>
      </c>
      <c r="Y261" s="147" t="str">
        <f t="shared" ca="1" si="23"/>
        <v/>
      </c>
      <c r="AD261" s="147" t="str">
        <f t="shared" ca="1" si="21"/>
        <v/>
      </c>
      <c r="AE261" s="147" t="str">
        <f t="shared" ca="1" si="24"/>
        <v/>
      </c>
      <c r="AF261" s="25"/>
      <c r="AH261" s="147" t="str">
        <f ca="1">IF(C261="","",VLOOKUP(C261,'Шаг1.Выбор плиты'!C:Q,7,0))</f>
        <v/>
      </c>
      <c r="AI261" s="147" t="str">
        <f t="shared" ca="1" si="22"/>
        <v/>
      </c>
    </row>
    <row r="262" spans="1:35" x14ac:dyDescent="0.2">
      <c r="A262" s="151" t="str">
        <f ca="1">IF(C262="","",MAX($A$1:OFFSET(C262,-1,0))+1)</f>
        <v/>
      </c>
      <c r="B262" s="151" t="str">
        <f ca="1">IFERROR(IFERROR(IFERROR("Шаг2.Бланк заказа NEW №"&amp;VLOOKUP(A261+1,CHOOSE({1,2},'Шаг2.Бланк заказа NEW'!$B$19:$B$201,'Шаг2.Бланк заказа NEW'!$A$19:$A$201),1,0),
"Бланк OLD 0.8 04 №"&amp;VLOOKUP(A261+1-COUNT('Шаг2.Бланк заказа NEW'!$B$19:$B$201),CHOOSE({1,2},'Бланк OLD 0.8 04'!$B$18:$B$200,'Бланк OLD 0.8 04'!$A$18:$A$200),1,0)),
"Бланк OLD 2.0 04 №"&amp;VLOOKUP(A261+1-COUNT('Шаг2.Бланк заказа NEW'!$B$19:$B$201)-COUNT('Бланк OLD 0.8 04'!$B$18:$B$200),CHOOSE({1,2},'Бланк OLD 2.0 04 '!$B$18:$B$200,'Бланк OLD 2.0 04 '!$A$18:$A$200),1,0)),"")</f>
        <v/>
      </c>
      <c r="C262" s="152" t="str">
        <f ca="1">IFERROR(IFERROR(IFERROR(VLOOKUP(A261+1,CHOOSE({1,2},'Шаг2.Бланк заказа NEW'!$B$19:$B$201,'Шаг2.Бланк заказа NEW'!$A$19:$A$201),2,0),
VLOOKUP(A261+1-COUNT('Шаг2.Бланк заказа NEW'!$B$19:$B$201),CHOOSE({1,2},'Бланк OLD 0.8 04'!$B$18:$B$200,'Бланк OLD 0.8 04'!$A$18:$A$200),2,0)),
VLOOKUP(A261+1-COUNT('Шаг2.Бланк заказа NEW'!$B$19:$B$201)-COUNT('Бланк OLD 0.8 04'!$B$18:$B$200),CHOOSE({1,2},'Бланк OLD 2.0 04 '!$B$18:$B$200,'Бланк OLD 2.0 04 '!$A$18:$A$200),2,0)),"")</f>
        <v/>
      </c>
      <c r="D262" s="150" t="str">
        <f ca="1">IFERROR(VLOOKUP(C262,'Шаг1.Выбор плиты'!C:G,5,0),"")</f>
        <v/>
      </c>
      <c r="E262" s="147" t="str">
        <f ca="1">IFERROR(IFERROR(IF(VLOOKUP($A262,'Шаг2.Бланк заказа NEW'!$B$17:$N$201,2,0)="","",VLOOKUP($A262,'Шаг2.Бланк заказа NEW'!$B$17:$N$201,2,0)),
IF(VLOOKUP($A262-COUNT('Шаг2.Бланк заказа NEW'!$B$19:$B$201),'Бланк OLD 0.8 04'!$B$12:$K$200,2,0)="","",VLOOKUP($A262-COUNT('Шаг2.Бланк заказа NEW'!$B$19:$B$201),'Бланк OLD 0.8 04'!$B$12:$K$200,2,0))),
IF(VLOOKUP($A262-COUNT('Шаг2.Бланк заказа NEW'!$B$19:$B$201)-COUNT('Бланк OLD 0.8 04'!$B$18:$B$200),'Бланк OLD 2.0 04 '!$B$16:$K$200,2,0)="","",VLOOKUP($A262-COUNT('Шаг2.Бланк заказа NEW'!$B$19:$B$201)-COUNT('Бланк OLD 0.8 04'!$B$18:$B$200),'Бланк OLD 2.0 04 '!$B$16:$K$200,2,0)))</f>
        <v/>
      </c>
      <c r="F262" s="147" t="str">
        <f ca="1">IFERROR(IFERROR(IF(VLOOKUP($A262,'Шаг2.Бланк заказа NEW'!$B$17:$N$201,3,0)="","",VLOOKUP($A262,'Шаг2.Бланк заказа NEW'!$B$17:$N$201,3,0)),
IF(VLOOKUP($A262-COUNT('Шаг2.Бланк заказа NEW'!$B$19:$B$201),'Бланк OLD 0.8 04'!$B$12:$K$200,3,0)="","",VLOOKUP($A262-COUNT('Шаг2.Бланк заказа NEW'!$B$19:$B$201),'Бланк OLD 0.8 04'!$B$12:$K$200,3,0))),
IF(VLOOKUP($A262-COUNT('Шаг2.Бланк заказа NEW'!$B$19:$B$201)-COUNT('Бланк OLD 0.8 04'!$B$18:$B$200),'Бланк OLD 2.0 04 '!$B$16:$K$200,3,0)="","",VLOOKUP($A262-COUNT('Шаг2.Бланк заказа NEW'!$B$19:$B$201)-COUNT('Бланк OLD 0.8 04'!$B$18:$B$200),'Бланк OLD 2.0 04 '!$B$16:$K$200,3,0)))</f>
        <v/>
      </c>
      <c r="G262" s="176" t="str">
        <f ca="1">IF(IF(R262="","",IF(R262=1,SUMIFS('Шаг1.Выбор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плиты'!C:Q,12,0)),1))))))=0,
R262,
IF(R262="","",IF(R262=1,SUMIFS('Шаг1.Выбор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плиты'!N:N,R262,'Шаг1.Выбор плиты'!M:M,SMALL(INDIRECT("мм"&amp;VLOOKUP(C262,'Шаг1.Выбор плиты'!C:Q,12,0)),1)))))))</f>
        <v/>
      </c>
      <c r="H262" s="177" t="str">
        <f ca="1">IF(IF(S262="","",IF(S262=1,SUMIFS('Шаг1.Выбор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плиты'!C:Q,12,0)),1))))))=0,
S262,
IF(S262="","",IF(S262=1,SUMIFS('Шаг1.Выбор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плиты'!N:N,S262,'Шаг1.Выбор плиты'!M:M,SMALL(INDIRECT("мм"&amp;VLOOKUP(C262,'Шаг1.Выбор плиты'!C:Q,12,0)),1)))))))</f>
        <v/>
      </c>
      <c r="I262" s="147" t="str">
        <f ca="1">IFERROR(IFERROR(IF(VLOOKUP($A262,'Шаг2.Бланк заказа NEW'!$B$17:$N$201,6,0)="","",VLOOKUP($A262,'Шаг2.Бланк заказа NEW'!$B$17:$N$201,6,0)),
IF(VLOOKUP($A262-COUNT('Шаг2.Бланк заказа NEW'!$B$19:$B$201),'Бланк OLD 0.8 04'!$B$12:$K$200,6,0)="","",VLOOKUP($A262-COUNT('Шаг2.Бланк заказа NEW'!$B$19:$B$201),'Бланк OLD 0.8 04'!$B$12:$K$200,6,0))),
IF(VLOOKUP($A262-COUNT('Шаг2.Бланк заказа NEW'!$B$19:$B$201)-COUNT('Бланк OLD 0.8 04'!$B$18:$B$200),'Бланк OLD 2.0 04 '!$B$16:$K$200,6,0)="","",VLOOKUP($A262-COUNT('Шаг2.Бланк заказа NEW'!$B$19:$B$201)-COUNT('Бланк OLD 0.8 04'!$B$18:$B$200),'Бланк OLD 2.0 04 '!$B$16:$K$200,6,0)))</f>
        <v/>
      </c>
      <c r="J262" s="177" t="str">
        <f ca="1">IF(IF(T262="","",IF(T262=1,SUMIFS('Шаг1.Выбор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плиты'!C:Q,12,0)),1))))))=0,
T262,
IF(T262="","",IF(T262=1,SUMIFS('Шаг1.Выбор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плиты'!N:N,T262,'Шаг1.Выбор плиты'!M:M,SMALL(INDIRECT("мм"&amp;VLOOKUP(C262,'Шаг1.Выбор плиты'!C:Q,12,0)),1)))))))</f>
        <v/>
      </c>
      <c r="K262" s="177" t="str">
        <f ca="1">IF(IF(U262="","",IF(U262=1,SUMIFS('Шаг1.Выбор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плиты'!C:Q,12,0)),1))))))=0,
U262,
IF(U262="","",IF(U262=1,SUMIFS('Шаг1.Выбор плиты'!$G:$G,'Шаг1.Выбор плиты'!J:J,"*"&amp;RIGHT(VLOOKUP(C262,'Шаг1.Выбор плиты'!C:Q,8,0),4),'Шаг1.Выбор плиты'!L:L,IF(MID(C262,1,6)="ЛДСП P","TM"&amp;MID(VLOOKUP(C262,'Шаг1.Выбор плиты'!C:Q,10,0),3,2),MID(VLOOKUP(C262,'Шаг1.Выбор плиты'!C:Q,10,0),1,2)),
'Шаг1.Выбор плиты'!N:N,1),IF(SUMIFS('Шаг1.Выбор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плиты'!C:Q,12,0)),1))=0,
IF(SUMIFS('Шаг1.Выбор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плиты'!C:Q,12,0)),2))=0,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плиты'!C:Q,12,0)),3)),
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плиты'!C:Q,12,0)),2))),
(SUMIFS('Шаг1.Выбор плиты'!$G:$G,'Шаг1.Выбор плиты'!J:J,"*"&amp;RIGHT(VLOOKUP(C262,'Шаг1.Выбор плиты'!C:Q,8,0),4),'Шаг1.Выбор плиты'!L:L,VLOOKUP(C262,'Шаг1.Выбор плиты'!C:Q,10,0),'Шаг1.Выбор плиты'!N:N,U262,'Шаг1.Выбор плиты'!M:M,SMALL(INDIRECT("мм"&amp;VLOOKUP(C262,'Шаг1.Выбор плиты'!C:Q,12,0)),1)))))))</f>
        <v/>
      </c>
      <c r="L262" s="147" t="str">
        <f ca="1">IFERROR(IFERROR(IF(VLOOKUP($A262,'Шаг2.Бланк заказа NEW'!$B$17:$N$201,9,0)="","",VLOOKUP($A262,'Шаг2.Бланк заказа NEW'!$B$17:$N$201,9,0)),
IF(VLOOKUP($A262-COUNT('Шаг2.Бланк заказа NEW'!$B$19:$B$201),'Бланк OLD 0.8 04'!$B$12:$K$200,9,0)="","",VLOOKUP($A262-COUNT('Шаг2.Бланк заказа NEW'!$B$19:$B$201),'Бланк OLD 0.8 04'!$B$12:$K$200,9,0))),
IF(VLOOKUP($A262-COUNT('Шаг2.Бланк заказа NEW'!$B$19:$B$201)-COUNT('Бланк OLD 0.8 04'!$B$18:$B$200),'Бланк OLD 2.0 04 '!$B$16:$K$200,9,0)="","",VLOOKUP($A262-COUNT('Шаг2.Бланк заказа NEW'!$B$19:$B$201)-COUNT('Бланк OLD 0.8 04'!$B$18:$B$200),'Бланк OLD 2.0 04 '!$B$16:$K$200,9,0)))</f>
        <v/>
      </c>
      <c r="M262" s="154" t="str">
        <f t="shared" ca="1" si="20"/>
        <v/>
      </c>
      <c r="N262" s="153" t="str">
        <f ca="1">IFERROR(IF(VLOOKUP($A262,'Шаг2.Бланк заказа NEW'!$B$17:$N$201,11,0)="","",VLOOKUP($A262,'Шаг2.Бланк заказа NEW'!$B$17:$N$201,11,0)),
"Нет")</f>
        <v/>
      </c>
      <c r="O262" s="147" t="str">
        <f ca="1">IFERROR(IF(VLOOKUP($A262,'Шаг2.Бланк заказа NEW'!$B$17:$N$201,11,0)="","",VLOOKUP($A262,'Шаг2.Бланк заказа NEW'!$B$17:$N$201,12,0)),
"Нет")</f>
        <v/>
      </c>
      <c r="P262" s="153" t="str">
        <f ca="1">IFERROR(IF(VLOOKUP($A262,'Шаг2.Бланк заказа NEW'!$B$17:$N$201,13,0)="","",VLOOKUP($A262,'Шаг2.Бланк заказа NEW'!$B$17:$N$201,13,0)),
"Нет")</f>
        <v/>
      </c>
      <c r="Q262" s="147" t="str">
        <f ca="1">IFERROR(IF(VLOOKUP($A262,'Шаг2.Бланк заказа NEW'!$B$17:$O$201,14,0)="","",VLOOKUP($A262,'Шаг2.Бланк заказа NEW'!$B$17:$O$201,14,0)),"")</f>
        <v/>
      </c>
      <c r="R262" s="147" t="str">
        <f ca="1">IFERROR(IFERROR(IF(VLOOKUP($A262,'Шаг2.Бланк заказа NEW'!$B$17:$N$201,4,0)="","",VLOOKUP($A262,'Шаг2.Бланк заказа NEW'!$B$17:$N$201,4,0)),
IF(VLOOKUP($A262-COUNT('Шаг2.Бланк заказа NEW'!$B$19:$B$201),'Бланк OLD 0.8 04'!$B$12:$K$200,4,0)&gt;0,0.8,
IF(VLOOKUP($A262-COUNT('Шаг2.Бланк заказа NEW'!$B$19:$B$201),'Бланк OLD 0.8 04'!$B$12:$K$200,5,0)&gt;0,0.4,""))),
IF(VLOOKUP($A262-COUNT('Шаг2.Бланк заказа NEW'!$B$19:$B$201)-COUNT('Бланк OLD 0.8 04'!$B$18:$B$200),'Бланк OLD 2.0 04 '!$B$16:$K$200,4,0)&gt;0,2,IF(VLOOKUP($A262-COUNT('Шаг2.Бланк заказа NEW'!$B$19:$B$201)-COUNT('Бланк OLD 0.8 04'!$B$18:$B$200),'Бланк OLD 2.0 04 '!$B$16:$K$200,5,0)&gt;0,0.4,"")))</f>
        <v/>
      </c>
      <c r="S262" s="147" t="str">
        <f ca="1">IFERROR(IFERROR(IF(VLOOKUP($A262,'Шаг2.Бланк заказа NEW'!$B$17:$N$201,5,0)="","",VLOOKUP($A262,'Шаг2.Бланк заказа NEW'!$B$17:$N$201,5,0)),
IF(VLOOKUP($A262-COUNT('Шаг2.Бланк заказа NEW'!$B$19:$B$201),'Бланк OLD 0.8 04'!$B$12:$K$200,4,0)&gt;1,0.8,
IF(VLOOKUP($A262-COUNT('Шаг2.Бланк заказа NEW'!$B$19:$B$201),'Бланк OLD 0.8 04'!$B$12:$K$200,5,0)&gt;1,0.4,
IF(AND(VLOOKUP($A262-COUNT('Шаг2.Бланк заказа NEW'!$B$19:$B$201),'Бланк OLD 0.8 04'!$B$12:$K$200,4,0)&gt;0,VLOOKUP($A262-COUNT('Шаг2.Бланк заказа NEW'!$B$19:$B$201),'Бланк OLD 0.8 04'!$B$12:$K$200,5,0)&gt;0),0.4,"")))),
IF(VLOOKUP($A262-COUNT('Шаг2.Бланк заказа NEW'!$B$19:$B$201)-COUNT('Бланк OLD 0.8 04'!$B$18:$B$200),'Бланк OLD 2.0 04 '!$B$16:$K$200,4,0)&gt;1,2,
IF(VLOOKUP($A262-COUNT('Шаг2.Бланк заказа NEW'!$B$19:$B$201)-COUNT('Бланк OLD 0.8 04'!$B$18:$B$200),'Бланк OLD 2.0 04 '!$B$16:$K$200,5,0)&gt;1,0.4,IF(AND(VLOOKUP($A262-COUNT('Шаг2.Бланк заказа NEW'!$B$19:$B$201)-COUNT('Бланк OLD 0.8 04'!$B$18:$B$200),'Бланк OLD 2.0 04 '!$B$16:$K$200,4,0)&gt;0,VLOOKUP($A262-COUNT('Шаг2.Бланк заказа NEW'!$B$19:$B$201)-COUNT('Бланк OLD 0.8 04'!$B$18:$B$200),'Бланк OLD 2.0 04 '!$B$16:$K$200,5,0)&gt;0),0.4,""))))</f>
        <v/>
      </c>
      <c r="T262" s="147" t="str">
        <f ca="1">IFERROR(IFERROR(IF(VLOOKUP($A262,'Шаг2.Бланк заказа NEW'!$B$17:$N$201,7,0)="","",VLOOKUP($A262,'Шаг2.Бланк заказа NEW'!$B$17:$N$201,7,0)),
IF(VLOOKUP($A262-COUNT('Шаг2.Бланк заказа NEW'!$B$19:$B$201),'Бланк OLD 0.8 04'!$B$12:$K$200,7,0)&gt;0,0.8,
IF(VLOOKUP($A262-COUNT('Шаг2.Бланк заказа NEW'!$B$19:$B$201),'Бланк OLD 0.8 04'!$B$12:$K$200,8,0)&gt;0,0.4,""))),
IF(VLOOKUP($A262-COUNT('Шаг2.Бланк заказа NEW'!$B$19:$B$201)-COUNT('Бланк OLD 0.8 04'!$B$18:$B$200),'Бланк OLD 2.0 04 '!$B$16:$K$200,7,0)&gt;0,2,IF(VLOOKUP($A262-COUNT('Шаг2.Бланк заказа NEW'!$B$19:$B$201)-COUNT('Бланк OLD 0.8 04'!$B$18:$B$200),'Бланк OLD 2.0 04 '!$B$16:$K$200,8,0)&gt;0,0.4,"")))</f>
        <v/>
      </c>
      <c r="U262" s="147" t="str">
        <f ca="1">IFERROR(IFERROR(IF(VLOOKUP($A262,'Шаг2.Бланк заказа NEW'!$B$17:$N$201,8,0)="","",VLOOKUP($A262,'Шаг2.Бланк заказа NEW'!$B$17:$N$201,8,0)),
IF(VLOOKUP($A262-COUNT('Шаг2.Бланк заказа NEW'!$B$19:$B$201),'Бланк OLD 0.8 04'!$B$12:$K$200,7,0)&gt;1,0.8,
IF(VLOOKUP($A262-COUNT('Шаг2.Бланк заказа NEW'!$B$19:$B$201),'Бланк OLD 0.8 04'!$B$12:$K$200,8,0)&gt;1,0.4,
IF(AND(VLOOKUP($A262-COUNT('Шаг2.Бланк заказа NEW'!$B$19:$B$201),'Бланк OLD 0.8 04'!$B$12:$K$200,7,0)&gt;0,VLOOKUP($A262-COUNT('Шаг2.Бланк заказа NEW'!$B$19:$B$201),'Бланк OLD 0.8 04'!$B$12:$K$200,8,0)&gt;0),0.4,"")))),
IF(VLOOKUP($A262-COUNT('Шаг2.Бланк заказа NEW'!$B$19:$B$201)-COUNT('Бланк OLD 0.8 04'!$B$18:$B$200),'Бланк OLD 2.0 04 '!$B$16:$K$200,7,0)&gt;1,2,
IF(VLOOKUP($A262-COUNT('Шаг2.Бланк заказа NEW'!$B$19:$B$201)-COUNT('Бланк OLD 0.8 04'!$B$18:$B$200),'Бланк OLD 2.0 04 '!$B$16:$K$200,8,0)&gt;1,0.4,
IF(AND(VLOOKUP($A262-COUNT('Шаг2.Бланк заказа NEW'!$B$19:$B$201)-COUNT('Бланк OLD 0.8 04'!$B$18:$B$200),'Бланк OLD 2.0 04 '!$B$16:$K$200,7,0)&gt;0,VLOOKUP($A262-COUNT('Шаг2.Бланк заказа NEW'!$B$19:$B$201)-COUNT('Бланк OLD 0.8 04'!$B$18:$B$200),'Бланк OLD 2.0 04 '!$B$16:$K$200,8,0)&gt;0),0.4,""))))</f>
        <v/>
      </c>
      <c r="V262" s="146" t="str">
        <f ca="1">IFERROR(VLOOKUP(C262,'Шаг1.Выбор плиты'!C:S,12,0),"")</f>
        <v/>
      </c>
      <c r="W262" s="146" t="str">
        <f ca="1">IFERROR(VLOOKUP(C262,'Шаг1.Выбор плиты'!C:S,8,0),"")</f>
        <v/>
      </c>
      <c r="X262" s="146" t="str">
        <f ca="1">IFERROR(VLOOKUP(C262,'Шаг1.Выбор плиты'!C:S,10,0),"")</f>
        <v/>
      </c>
      <c r="Y262" s="147" t="str">
        <f t="shared" ca="1" si="23"/>
        <v/>
      </c>
      <c r="AD262" s="147" t="str">
        <f t="shared" ca="1" si="21"/>
        <v/>
      </c>
      <c r="AE262" s="147" t="str">
        <f t="shared" ca="1" si="24"/>
        <v/>
      </c>
      <c r="AF262" s="25"/>
      <c r="AH262" s="147" t="str">
        <f ca="1">IF(C262="","",VLOOKUP(C262,'Шаг1.Выбор плиты'!C:Q,7,0))</f>
        <v/>
      </c>
      <c r="AI262" s="147" t="str">
        <f t="shared" ca="1" si="22"/>
        <v/>
      </c>
    </row>
    <row r="263" spans="1:35" x14ac:dyDescent="0.2">
      <c r="A263" s="151" t="str">
        <f ca="1">IF(C263="","",MAX($A$1:OFFSET(C263,-1,0))+1)</f>
        <v/>
      </c>
      <c r="B263" s="151" t="str">
        <f ca="1">IFERROR(IFERROR(IFERROR("Шаг2.Бланк заказа NEW №"&amp;VLOOKUP(A262+1,CHOOSE({1,2},'Шаг2.Бланк заказа NEW'!$B$19:$B$201,'Шаг2.Бланк заказа NEW'!$A$19:$A$201),1,0),
"Бланк OLD 0.8 04 №"&amp;VLOOKUP(A262+1-COUNT('Шаг2.Бланк заказа NEW'!$B$19:$B$201),CHOOSE({1,2},'Бланк OLD 0.8 04'!$B$18:$B$200,'Бланк OLD 0.8 04'!$A$18:$A$200),1,0)),
"Бланк OLD 2.0 04 №"&amp;VLOOKUP(A262+1-COUNT('Шаг2.Бланк заказа NEW'!$B$19:$B$201)-COUNT('Бланк OLD 0.8 04'!$B$18:$B$200),CHOOSE({1,2},'Бланк OLD 2.0 04 '!$B$18:$B$200,'Бланк OLD 2.0 04 '!$A$18:$A$200),1,0)),"")</f>
        <v/>
      </c>
      <c r="C263" s="152" t="str">
        <f ca="1">IFERROR(IFERROR(IFERROR(VLOOKUP(A262+1,CHOOSE({1,2},'Шаг2.Бланк заказа NEW'!$B$19:$B$201,'Шаг2.Бланк заказа NEW'!$A$19:$A$201),2,0),
VLOOKUP(A262+1-COUNT('Шаг2.Бланк заказа NEW'!$B$19:$B$201),CHOOSE({1,2},'Бланк OLD 0.8 04'!$B$18:$B$200,'Бланк OLD 0.8 04'!$A$18:$A$200),2,0)),
VLOOKUP(A262+1-COUNT('Шаг2.Бланк заказа NEW'!$B$19:$B$201)-COUNT('Бланк OLD 0.8 04'!$B$18:$B$200),CHOOSE({1,2},'Бланк OLD 2.0 04 '!$B$18:$B$200,'Бланк OLD 2.0 04 '!$A$18:$A$200),2,0)),"")</f>
        <v/>
      </c>
      <c r="D263" s="150" t="str">
        <f ca="1">IFERROR(VLOOKUP(C263,'Шаг1.Выбор плиты'!C:G,5,0),"")</f>
        <v/>
      </c>
      <c r="E263" s="147" t="str">
        <f ca="1">IFERROR(IFERROR(IF(VLOOKUP($A263,'Шаг2.Бланк заказа NEW'!$B$17:$N$201,2,0)="","",VLOOKUP($A263,'Шаг2.Бланк заказа NEW'!$B$17:$N$201,2,0)),
IF(VLOOKUP($A263-COUNT('Шаг2.Бланк заказа NEW'!$B$19:$B$201),'Бланк OLD 0.8 04'!$B$12:$K$200,2,0)="","",VLOOKUP($A263-COUNT('Шаг2.Бланк заказа NEW'!$B$19:$B$201),'Бланк OLD 0.8 04'!$B$12:$K$200,2,0))),
IF(VLOOKUP($A263-COUNT('Шаг2.Бланк заказа NEW'!$B$19:$B$201)-COUNT('Бланк OLD 0.8 04'!$B$18:$B$200),'Бланк OLD 2.0 04 '!$B$16:$K$200,2,0)="","",VLOOKUP($A263-COUNT('Шаг2.Бланк заказа NEW'!$B$19:$B$201)-COUNT('Бланк OLD 0.8 04'!$B$18:$B$200),'Бланк OLD 2.0 04 '!$B$16:$K$200,2,0)))</f>
        <v/>
      </c>
      <c r="F263" s="147" t="str">
        <f ca="1">IFERROR(IFERROR(IF(VLOOKUP($A263,'Шаг2.Бланк заказа NEW'!$B$17:$N$201,3,0)="","",VLOOKUP($A263,'Шаг2.Бланк заказа NEW'!$B$17:$N$201,3,0)),
IF(VLOOKUP($A263-COUNT('Шаг2.Бланк заказа NEW'!$B$19:$B$201),'Бланк OLD 0.8 04'!$B$12:$K$200,3,0)="","",VLOOKUP($A263-COUNT('Шаг2.Бланк заказа NEW'!$B$19:$B$201),'Бланк OLD 0.8 04'!$B$12:$K$200,3,0))),
IF(VLOOKUP($A263-COUNT('Шаг2.Бланк заказа NEW'!$B$19:$B$201)-COUNT('Бланк OLD 0.8 04'!$B$18:$B$200),'Бланк OLD 2.0 04 '!$B$16:$K$200,3,0)="","",VLOOKUP($A263-COUNT('Шаг2.Бланк заказа NEW'!$B$19:$B$201)-COUNT('Бланк OLD 0.8 04'!$B$18:$B$200),'Бланк OLD 2.0 04 '!$B$16:$K$200,3,0)))</f>
        <v/>
      </c>
      <c r="G263" s="176" t="str">
        <f ca="1">IF(IF(R263="","",IF(R263=1,SUMIFS('Шаг1.Выбор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плиты'!C:Q,12,0)),1))))))=0,
R263,
IF(R263="","",IF(R263=1,SUMIFS('Шаг1.Выбор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плиты'!N:N,R263,'Шаг1.Выбор плиты'!M:M,SMALL(INDIRECT("мм"&amp;VLOOKUP(C263,'Шаг1.Выбор плиты'!C:Q,12,0)),1)))))))</f>
        <v/>
      </c>
      <c r="H263" s="177" t="str">
        <f ca="1">IF(IF(S263="","",IF(S263=1,SUMIFS('Шаг1.Выбор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плиты'!C:Q,12,0)),1))))))=0,
S263,
IF(S263="","",IF(S263=1,SUMIFS('Шаг1.Выбор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плиты'!N:N,S263,'Шаг1.Выбор плиты'!M:M,SMALL(INDIRECT("мм"&amp;VLOOKUP(C263,'Шаг1.Выбор плиты'!C:Q,12,0)),1)))))))</f>
        <v/>
      </c>
      <c r="I263" s="147" t="str">
        <f ca="1">IFERROR(IFERROR(IF(VLOOKUP($A263,'Шаг2.Бланк заказа NEW'!$B$17:$N$201,6,0)="","",VLOOKUP($A263,'Шаг2.Бланк заказа NEW'!$B$17:$N$201,6,0)),
IF(VLOOKUP($A263-COUNT('Шаг2.Бланк заказа NEW'!$B$19:$B$201),'Бланк OLD 0.8 04'!$B$12:$K$200,6,0)="","",VLOOKUP($A263-COUNT('Шаг2.Бланк заказа NEW'!$B$19:$B$201),'Бланк OLD 0.8 04'!$B$12:$K$200,6,0))),
IF(VLOOKUP($A263-COUNT('Шаг2.Бланк заказа NEW'!$B$19:$B$201)-COUNT('Бланк OLD 0.8 04'!$B$18:$B$200),'Бланк OLD 2.0 04 '!$B$16:$K$200,6,0)="","",VLOOKUP($A263-COUNT('Шаг2.Бланк заказа NEW'!$B$19:$B$201)-COUNT('Бланк OLD 0.8 04'!$B$18:$B$200),'Бланк OLD 2.0 04 '!$B$16:$K$200,6,0)))</f>
        <v/>
      </c>
      <c r="J263" s="177" t="str">
        <f ca="1">IF(IF(T263="","",IF(T263=1,SUMIFS('Шаг1.Выбор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плиты'!C:Q,12,0)),1))))))=0,
T263,
IF(T263="","",IF(T263=1,SUMIFS('Шаг1.Выбор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плиты'!N:N,T263,'Шаг1.Выбор плиты'!M:M,SMALL(INDIRECT("мм"&amp;VLOOKUP(C263,'Шаг1.Выбор плиты'!C:Q,12,0)),1)))))))</f>
        <v/>
      </c>
      <c r="K263" s="177" t="str">
        <f ca="1">IF(IF(U263="","",IF(U263=1,SUMIFS('Шаг1.Выбор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плиты'!C:Q,12,0)),1))))))=0,
U263,
IF(U263="","",IF(U263=1,SUMIFS('Шаг1.Выбор плиты'!$G:$G,'Шаг1.Выбор плиты'!J:J,"*"&amp;RIGHT(VLOOKUP(C263,'Шаг1.Выбор плиты'!C:Q,8,0),4),'Шаг1.Выбор плиты'!L:L,IF(MID(C263,1,6)="ЛДСП P","TM"&amp;MID(VLOOKUP(C263,'Шаг1.Выбор плиты'!C:Q,10,0),3,2),MID(VLOOKUP(C263,'Шаг1.Выбор плиты'!C:Q,10,0),1,2)),
'Шаг1.Выбор плиты'!N:N,1),IF(SUMIFS('Шаг1.Выбор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плиты'!C:Q,12,0)),1))=0,
IF(SUMIFS('Шаг1.Выбор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плиты'!C:Q,12,0)),2))=0,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плиты'!C:Q,12,0)),3)),
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плиты'!C:Q,12,0)),2))),
(SUMIFS('Шаг1.Выбор плиты'!$G:$G,'Шаг1.Выбор плиты'!J:J,"*"&amp;RIGHT(VLOOKUP(C263,'Шаг1.Выбор плиты'!C:Q,8,0),4),'Шаг1.Выбор плиты'!L:L,VLOOKUP(C263,'Шаг1.Выбор плиты'!C:Q,10,0),'Шаг1.Выбор плиты'!N:N,U263,'Шаг1.Выбор плиты'!M:M,SMALL(INDIRECT("мм"&amp;VLOOKUP(C263,'Шаг1.Выбор плиты'!C:Q,12,0)),1)))))))</f>
        <v/>
      </c>
      <c r="L263" s="147" t="str">
        <f ca="1">IFERROR(IFERROR(IF(VLOOKUP($A263,'Шаг2.Бланк заказа NEW'!$B$17:$N$201,9,0)="","",VLOOKUP($A263,'Шаг2.Бланк заказа NEW'!$B$17:$N$201,9,0)),
IF(VLOOKUP($A263-COUNT('Шаг2.Бланк заказа NEW'!$B$19:$B$201),'Бланк OLD 0.8 04'!$B$12:$K$200,9,0)="","",VLOOKUP($A263-COUNT('Шаг2.Бланк заказа NEW'!$B$19:$B$201),'Бланк OLD 0.8 04'!$B$12:$K$200,9,0))),
IF(VLOOKUP($A263-COUNT('Шаг2.Бланк заказа NEW'!$B$19:$B$201)-COUNT('Бланк OLD 0.8 04'!$B$18:$B$200),'Бланк OLD 2.0 04 '!$B$16:$K$200,9,0)="","",VLOOKUP($A263-COUNT('Шаг2.Бланк заказа NEW'!$B$19:$B$201)-COUNT('Бланк OLD 0.8 04'!$B$18:$B$200),'Бланк OLD 2.0 04 '!$B$16:$K$200,9,0)))</f>
        <v/>
      </c>
      <c r="M263" s="154" t="str">
        <f t="shared" ca="1" si="20"/>
        <v/>
      </c>
      <c r="N263" s="153" t="str">
        <f ca="1">IFERROR(IF(VLOOKUP($A263,'Шаг2.Бланк заказа NEW'!$B$17:$N$201,11,0)="","",VLOOKUP($A263,'Шаг2.Бланк заказа NEW'!$B$17:$N$201,11,0)),
"Нет")</f>
        <v/>
      </c>
      <c r="O263" s="147" t="str">
        <f ca="1">IFERROR(IF(VLOOKUP($A263,'Шаг2.Бланк заказа NEW'!$B$17:$N$201,11,0)="","",VLOOKUP($A263,'Шаг2.Бланк заказа NEW'!$B$17:$N$201,12,0)),
"Нет")</f>
        <v/>
      </c>
      <c r="P263" s="153" t="str">
        <f ca="1">IFERROR(IF(VLOOKUP($A263,'Шаг2.Бланк заказа NEW'!$B$17:$N$201,13,0)="","",VLOOKUP($A263,'Шаг2.Бланк заказа NEW'!$B$17:$N$201,13,0)),
"Нет")</f>
        <v/>
      </c>
      <c r="Q263" s="147" t="str">
        <f ca="1">IFERROR(IF(VLOOKUP($A263,'Шаг2.Бланк заказа NEW'!$B$17:$O$201,14,0)="","",VLOOKUP($A263,'Шаг2.Бланк заказа NEW'!$B$17:$O$201,14,0)),"")</f>
        <v/>
      </c>
      <c r="R263" s="147" t="str">
        <f ca="1">IFERROR(IFERROR(IF(VLOOKUP($A263,'Шаг2.Бланк заказа NEW'!$B$17:$N$201,4,0)="","",VLOOKUP($A263,'Шаг2.Бланк заказа NEW'!$B$17:$N$201,4,0)),
IF(VLOOKUP($A263-COUNT('Шаг2.Бланк заказа NEW'!$B$19:$B$201),'Бланк OLD 0.8 04'!$B$12:$K$200,4,0)&gt;0,0.8,
IF(VLOOKUP($A263-COUNT('Шаг2.Бланк заказа NEW'!$B$19:$B$201),'Бланк OLD 0.8 04'!$B$12:$K$200,5,0)&gt;0,0.4,""))),
IF(VLOOKUP($A263-COUNT('Шаг2.Бланк заказа NEW'!$B$19:$B$201)-COUNT('Бланк OLD 0.8 04'!$B$18:$B$200),'Бланк OLD 2.0 04 '!$B$16:$K$200,4,0)&gt;0,2,IF(VLOOKUP($A263-COUNT('Шаг2.Бланк заказа NEW'!$B$19:$B$201)-COUNT('Бланк OLD 0.8 04'!$B$18:$B$200),'Бланк OLD 2.0 04 '!$B$16:$K$200,5,0)&gt;0,0.4,"")))</f>
        <v/>
      </c>
      <c r="S263" s="147" t="str">
        <f ca="1">IFERROR(IFERROR(IF(VLOOKUP($A263,'Шаг2.Бланк заказа NEW'!$B$17:$N$201,5,0)="","",VLOOKUP($A263,'Шаг2.Бланк заказа NEW'!$B$17:$N$201,5,0)),
IF(VLOOKUP($A263-COUNT('Шаг2.Бланк заказа NEW'!$B$19:$B$201),'Бланк OLD 0.8 04'!$B$12:$K$200,4,0)&gt;1,0.8,
IF(VLOOKUP($A263-COUNT('Шаг2.Бланк заказа NEW'!$B$19:$B$201),'Бланк OLD 0.8 04'!$B$12:$K$200,5,0)&gt;1,0.4,
IF(AND(VLOOKUP($A263-COUNT('Шаг2.Бланк заказа NEW'!$B$19:$B$201),'Бланк OLD 0.8 04'!$B$12:$K$200,4,0)&gt;0,VLOOKUP($A263-COUNT('Шаг2.Бланк заказа NEW'!$B$19:$B$201),'Бланк OLD 0.8 04'!$B$12:$K$200,5,0)&gt;0),0.4,"")))),
IF(VLOOKUP($A263-COUNT('Шаг2.Бланк заказа NEW'!$B$19:$B$201)-COUNT('Бланк OLD 0.8 04'!$B$18:$B$200),'Бланк OLD 2.0 04 '!$B$16:$K$200,4,0)&gt;1,2,
IF(VLOOKUP($A263-COUNT('Шаг2.Бланк заказа NEW'!$B$19:$B$201)-COUNT('Бланк OLD 0.8 04'!$B$18:$B$200),'Бланк OLD 2.0 04 '!$B$16:$K$200,5,0)&gt;1,0.4,IF(AND(VLOOKUP($A263-COUNT('Шаг2.Бланк заказа NEW'!$B$19:$B$201)-COUNT('Бланк OLD 0.8 04'!$B$18:$B$200),'Бланк OLD 2.0 04 '!$B$16:$K$200,4,0)&gt;0,VLOOKUP($A263-COUNT('Шаг2.Бланк заказа NEW'!$B$19:$B$201)-COUNT('Бланк OLD 0.8 04'!$B$18:$B$200),'Бланк OLD 2.0 04 '!$B$16:$K$200,5,0)&gt;0),0.4,""))))</f>
        <v/>
      </c>
      <c r="T263" s="147" t="str">
        <f ca="1">IFERROR(IFERROR(IF(VLOOKUP($A263,'Шаг2.Бланк заказа NEW'!$B$17:$N$201,7,0)="","",VLOOKUP($A263,'Шаг2.Бланк заказа NEW'!$B$17:$N$201,7,0)),
IF(VLOOKUP($A263-COUNT('Шаг2.Бланк заказа NEW'!$B$19:$B$201),'Бланк OLD 0.8 04'!$B$12:$K$200,7,0)&gt;0,0.8,
IF(VLOOKUP($A263-COUNT('Шаг2.Бланк заказа NEW'!$B$19:$B$201),'Бланк OLD 0.8 04'!$B$12:$K$200,8,0)&gt;0,0.4,""))),
IF(VLOOKUP($A263-COUNT('Шаг2.Бланк заказа NEW'!$B$19:$B$201)-COUNT('Бланк OLD 0.8 04'!$B$18:$B$200),'Бланк OLD 2.0 04 '!$B$16:$K$200,7,0)&gt;0,2,IF(VLOOKUP($A263-COUNT('Шаг2.Бланк заказа NEW'!$B$19:$B$201)-COUNT('Бланк OLD 0.8 04'!$B$18:$B$200),'Бланк OLD 2.0 04 '!$B$16:$K$200,8,0)&gt;0,0.4,"")))</f>
        <v/>
      </c>
      <c r="U263" s="147" t="str">
        <f ca="1">IFERROR(IFERROR(IF(VLOOKUP($A263,'Шаг2.Бланк заказа NEW'!$B$17:$N$201,8,0)="","",VLOOKUP($A263,'Шаг2.Бланк заказа NEW'!$B$17:$N$201,8,0)),
IF(VLOOKUP($A263-COUNT('Шаг2.Бланк заказа NEW'!$B$19:$B$201),'Бланк OLD 0.8 04'!$B$12:$K$200,7,0)&gt;1,0.8,
IF(VLOOKUP($A263-COUNT('Шаг2.Бланк заказа NEW'!$B$19:$B$201),'Бланк OLD 0.8 04'!$B$12:$K$200,8,0)&gt;1,0.4,
IF(AND(VLOOKUP($A263-COUNT('Шаг2.Бланк заказа NEW'!$B$19:$B$201),'Бланк OLD 0.8 04'!$B$12:$K$200,7,0)&gt;0,VLOOKUP($A263-COUNT('Шаг2.Бланк заказа NEW'!$B$19:$B$201),'Бланк OLD 0.8 04'!$B$12:$K$200,8,0)&gt;0),0.4,"")))),
IF(VLOOKUP($A263-COUNT('Шаг2.Бланк заказа NEW'!$B$19:$B$201)-COUNT('Бланк OLD 0.8 04'!$B$18:$B$200),'Бланк OLD 2.0 04 '!$B$16:$K$200,7,0)&gt;1,2,
IF(VLOOKUP($A263-COUNT('Шаг2.Бланк заказа NEW'!$B$19:$B$201)-COUNT('Бланк OLD 0.8 04'!$B$18:$B$200),'Бланк OLD 2.0 04 '!$B$16:$K$200,8,0)&gt;1,0.4,
IF(AND(VLOOKUP($A263-COUNT('Шаг2.Бланк заказа NEW'!$B$19:$B$201)-COUNT('Бланк OLD 0.8 04'!$B$18:$B$200),'Бланк OLD 2.0 04 '!$B$16:$K$200,7,0)&gt;0,VLOOKUP($A263-COUNT('Шаг2.Бланк заказа NEW'!$B$19:$B$201)-COUNT('Бланк OLD 0.8 04'!$B$18:$B$200),'Бланк OLD 2.0 04 '!$B$16:$K$200,8,0)&gt;0),0.4,""))))</f>
        <v/>
      </c>
      <c r="V263" s="146" t="str">
        <f ca="1">IFERROR(VLOOKUP(C263,'Шаг1.Выбор плиты'!C:S,12,0),"")</f>
        <v/>
      </c>
      <c r="W263" s="146" t="str">
        <f ca="1">IFERROR(VLOOKUP(C263,'Шаг1.Выбор плиты'!C:S,8,0),"")</f>
        <v/>
      </c>
      <c r="X263" s="146" t="str">
        <f ca="1">IFERROR(VLOOKUP(C263,'Шаг1.Выбор плиты'!C:S,10,0),"")</f>
        <v/>
      </c>
      <c r="Y263" s="147" t="str">
        <f t="shared" ca="1" si="23"/>
        <v/>
      </c>
      <c r="AD263" s="147" t="str">
        <f t="shared" ca="1" si="21"/>
        <v/>
      </c>
      <c r="AE263" s="147" t="str">
        <f t="shared" ca="1" si="24"/>
        <v/>
      </c>
      <c r="AF263" s="25"/>
      <c r="AH263" s="147" t="str">
        <f ca="1">IF(C263="","",VLOOKUP(C263,'Шаг1.Выбор плиты'!C:Q,7,0))</f>
        <v/>
      </c>
      <c r="AI263" s="147" t="str">
        <f t="shared" ca="1" si="22"/>
        <v/>
      </c>
    </row>
    <row r="264" spans="1:35" x14ac:dyDescent="0.2">
      <c r="A264" s="151" t="str">
        <f ca="1">IF(C264="","",MAX($A$1:OFFSET(C264,-1,0))+1)</f>
        <v/>
      </c>
      <c r="B264" s="151" t="str">
        <f ca="1">IFERROR(IFERROR(IFERROR("Шаг2.Бланк заказа NEW №"&amp;VLOOKUP(A263+1,CHOOSE({1,2},'Шаг2.Бланк заказа NEW'!$B$19:$B$201,'Шаг2.Бланк заказа NEW'!$A$19:$A$201),1,0),
"Бланк OLD 0.8 04 №"&amp;VLOOKUP(A263+1-COUNT('Шаг2.Бланк заказа NEW'!$B$19:$B$201),CHOOSE({1,2},'Бланк OLD 0.8 04'!$B$18:$B$200,'Бланк OLD 0.8 04'!$A$18:$A$200),1,0)),
"Бланк OLD 2.0 04 №"&amp;VLOOKUP(A263+1-COUNT('Шаг2.Бланк заказа NEW'!$B$19:$B$201)-COUNT('Бланк OLD 0.8 04'!$B$18:$B$200),CHOOSE({1,2},'Бланк OLD 2.0 04 '!$B$18:$B$200,'Бланк OLD 2.0 04 '!$A$18:$A$200),1,0)),"")</f>
        <v/>
      </c>
      <c r="C264" s="152" t="str">
        <f ca="1">IFERROR(IFERROR(IFERROR(VLOOKUP(A263+1,CHOOSE({1,2},'Шаг2.Бланк заказа NEW'!$B$19:$B$201,'Шаг2.Бланк заказа NEW'!$A$19:$A$201),2,0),
VLOOKUP(A263+1-COUNT('Шаг2.Бланк заказа NEW'!$B$19:$B$201),CHOOSE({1,2},'Бланк OLD 0.8 04'!$B$18:$B$200,'Бланк OLD 0.8 04'!$A$18:$A$200),2,0)),
VLOOKUP(A263+1-COUNT('Шаг2.Бланк заказа NEW'!$B$19:$B$201)-COUNT('Бланк OLD 0.8 04'!$B$18:$B$200),CHOOSE({1,2},'Бланк OLD 2.0 04 '!$B$18:$B$200,'Бланк OLD 2.0 04 '!$A$18:$A$200),2,0)),"")</f>
        <v/>
      </c>
      <c r="D264" s="150" t="str">
        <f ca="1">IFERROR(VLOOKUP(C264,'Шаг1.Выбор плиты'!C:G,5,0),"")</f>
        <v/>
      </c>
      <c r="E264" s="147" t="str">
        <f ca="1">IFERROR(IFERROR(IF(VLOOKUP($A264,'Шаг2.Бланк заказа NEW'!$B$17:$N$201,2,0)="","",VLOOKUP($A264,'Шаг2.Бланк заказа NEW'!$B$17:$N$201,2,0)),
IF(VLOOKUP($A264-COUNT('Шаг2.Бланк заказа NEW'!$B$19:$B$201),'Бланк OLD 0.8 04'!$B$12:$K$200,2,0)="","",VLOOKUP($A264-COUNT('Шаг2.Бланк заказа NEW'!$B$19:$B$201),'Бланк OLD 0.8 04'!$B$12:$K$200,2,0))),
IF(VLOOKUP($A264-COUNT('Шаг2.Бланк заказа NEW'!$B$19:$B$201)-COUNT('Бланк OLD 0.8 04'!$B$18:$B$200),'Бланк OLD 2.0 04 '!$B$16:$K$200,2,0)="","",VLOOKUP($A264-COUNT('Шаг2.Бланк заказа NEW'!$B$19:$B$201)-COUNT('Бланк OLD 0.8 04'!$B$18:$B$200),'Бланк OLD 2.0 04 '!$B$16:$K$200,2,0)))</f>
        <v/>
      </c>
      <c r="F264" s="147" t="str">
        <f ca="1">IFERROR(IFERROR(IF(VLOOKUP($A264,'Шаг2.Бланк заказа NEW'!$B$17:$N$201,3,0)="","",VLOOKUP($A264,'Шаг2.Бланк заказа NEW'!$B$17:$N$201,3,0)),
IF(VLOOKUP($A264-COUNT('Шаг2.Бланк заказа NEW'!$B$19:$B$201),'Бланк OLD 0.8 04'!$B$12:$K$200,3,0)="","",VLOOKUP($A264-COUNT('Шаг2.Бланк заказа NEW'!$B$19:$B$201),'Бланк OLD 0.8 04'!$B$12:$K$200,3,0))),
IF(VLOOKUP($A264-COUNT('Шаг2.Бланк заказа NEW'!$B$19:$B$201)-COUNT('Бланк OLD 0.8 04'!$B$18:$B$200),'Бланк OLD 2.0 04 '!$B$16:$K$200,3,0)="","",VLOOKUP($A264-COUNT('Шаг2.Бланк заказа NEW'!$B$19:$B$201)-COUNT('Бланк OLD 0.8 04'!$B$18:$B$200),'Бланк OLD 2.0 04 '!$B$16:$K$200,3,0)))</f>
        <v/>
      </c>
      <c r="G264" s="176" t="str">
        <f ca="1">IF(IF(R264="","",IF(R264=1,SUMIFS('Шаг1.Выбор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плиты'!C:Q,12,0)),1))))))=0,
R264,
IF(R264="","",IF(R264=1,SUMIFS('Шаг1.Выбор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плиты'!N:N,R264,'Шаг1.Выбор плиты'!M:M,SMALL(INDIRECT("мм"&amp;VLOOKUP(C264,'Шаг1.Выбор плиты'!C:Q,12,0)),1)))))))</f>
        <v/>
      </c>
      <c r="H264" s="177" t="str">
        <f ca="1">IF(IF(S264="","",IF(S264=1,SUMIFS('Шаг1.Выбор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плиты'!C:Q,12,0)),1))))))=0,
S264,
IF(S264="","",IF(S264=1,SUMIFS('Шаг1.Выбор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плиты'!N:N,S264,'Шаг1.Выбор плиты'!M:M,SMALL(INDIRECT("мм"&amp;VLOOKUP(C264,'Шаг1.Выбор плиты'!C:Q,12,0)),1)))))))</f>
        <v/>
      </c>
      <c r="I264" s="147" t="str">
        <f ca="1">IFERROR(IFERROR(IF(VLOOKUP($A264,'Шаг2.Бланк заказа NEW'!$B$17:$N$201,6,0)="","",VLOOKUP($A264,'Шаг2.Бланк заказа NEW'!$B$17:$N$201,6,0)),
IF(VLOOKUP($A264-COUNT('Шаг2.Бланк заказа NEW'!$B$19:$B$201),'Бланк OLD 0.8 04'!$B$12:$K$200,6,0)="","",VLOOKUP($A264-COUNT('Шаг2.Бланк заказа NEW'!$B$19:$B$201),'Бланк OLD 0.8 04'!$B$12:$K$200,6,0))),
IF(VLOOKUP($A264-COUNT('Шаг2.Бланк заказа NEW'!$B$19:$B$201)-COUNT('Бланк OLD 0.8 04'!$B$18:$B$200),'Бланк OLD 2.0 04 '!$B$16:$K$200,6,0)="","",VLOOKUP($A264-COUNT('Шаг2.Бланк заказа NEW'!$B$19:$B$201)-COUNT('Бланк OLD 0.8 04'!$B$18:$B$200),'Бланк OLD 2.0 04 '!$B$16:$K$200,6,0)))</f>
        <v/>
      </c>
      <c r="J264" s="177" t="str">
        <f ca="1">IF(IF(T264="","",IF(T264=1,SUMIFS('Шаг1.Выбор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плиты'!C:Q,12,0)),1))))))=0,
T264,
IF(T264="","",IF(T264=1,SUMIFS('Шаг1.Выбор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плиты'!N:N,T264,'Шаг1.Выбор плиты'!M:M,SMALL(INDIRECT("мм"&amp;VLOOKUP(C264,'Шаг1.Выбор плиты'!C:Q,12,0)),1)))))))</f>
        <v/>
      </c>
      <c r="K264" s="177" t="str">
        <f ca="1">IF(IF(U264="","",IF(U264=1,SUMIFS('Шаг1.Выбор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плиты'!C:Q,12,0)),1))))))=0,
U264,
IF(U264="","",IF(U264=1,SUMIFS('Шаг1.Выбор плиты'!$G:$G,'Шаг1.Выбор плиты'!J:J,"*"&amp;RIGHT(VLOOKUP(C264,'Шаг1.Выбор плиты'!C:Q,8,0),4),'Шаг1.Выбор плиты'!L:L,IF(MID(C264,1,6)="ЛДСП P","TM"&amp;MID(VLOOKUP(C264,'Шаг1.Выбор плиты'!C:Q,10,0),3,2),MID(VLOOKUP(C264,'Шаг1.Выбор плиты'!C:Q,10,0),1,2)),
'Шаг1.Выбор плиты'!N:N,1),IF(SUMIFS('Шаг1.Выбор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плиты'!C:Q,12,0)),1))=0,
IF(SUMIFS('Шаг1.Выбор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плиты'!C:Q,12,0)),2))=0,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плиты'!C:Q,12,0)),3)),
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плиты'!C:Q,12,0)),2))),
(SUMIFS('Шаг1.Выбор плиты'!$G:$G,'Шаг1.Выбор плиты'!J:J,"*"&amp;RIGHT(VLOOKUP(C264,'Шаг1.Выбор плиты'!C:Q,8,0),4),'Шаг1.Выбор плиты'!L:L,VLOOKUP(C264,'Шаг1.Выбор плиты'!C:Q,10,0),'Шаг1.Выбор плиты'!N:N,U264,'Шаг1.Выбор плиты'!M:M,SMALL(INDIRECT("мм"&amp;VLOOKUP(C264,'Шаг1.Выбор плиты'!C:Q,12,0)),1)))))))</f>
        <v/>
      </c>
      <c r="L264" s="147" t="str">
        <f ca="1">IFERROR(IFERROR(IF(VLOOKUP($A264,'Шаг2.Бланк заказа NEW'!$B$17:$N$201,9,0)="","",VLOOKUP($A264,'Шаг2.Бланк заказа NEW'!$B$17:$N$201,9,0)),
IF(VLOOKUP($A264-COUNT('Шаг2.Бланк заказа NEW'!$B$19:$B$201),'Бланк OLD 0.8 04'!$B$12:$K$200,9,0)="","",VLOOKUP($A264-COUNT('Шаг2.Бланк заказа NEW'!$B$19:$B$201),'Бланк OLD 0.8 04'!$B$12:$K$200,9,0))),
IF(VLOOKUP($A264-COUNT('Шаг2.Бланк заказа NEW'!$B$19:$B$201)-COUNT('Бланк OLD 0.8 04'!$B$18:$B$200),'Бланк OLD 2.0 04 '!$B$16:$K$200,9,0)="","",VLOOKUP($A264-COUNT('Шаг2.Бланк заказа NEW'!$B$19:$B$201)-COUNT('Бланк OLD 0.8 04'!$B$18:$B$200),'Бланк OLD 2.0 04 '!$B$16:$K$200,9,0)))</f>
        <v/>
      </c>
      <c r="M264" s="154" t="str">
        <f t="shared" ca="1" si="20"/>
        <v/>
      </c>
      <c r="N264" s="153" t="str">
        <f ca="1">IFERROR(IF(VLOOKUP($A264,'Шаг2.Бланк заказа NEW'!$B$17:$N$201,11,0)="","",VLOOKUP($A264,'Шаг2.Бланк заказа NEW'!$B$17:$N$201,11,0)),
"Нет")</f>
        <v/>
      </c>
      <c r="O264" s="147" t="str">
        <f ca="1">IFERROR(IF(VLOOKUP($A264,'Шаг2.Бланк заказа NEW'!$B$17:$N$201,11,0)="","",VLOOKUP($A264,'Шаг2.Бланк заказа NEW'!$B$17:$N$201,12,0)),
"Нет")</f>
        <v/>
      </c>
      <c r="P264" s="153" t="str">
        <f ca="1">IFERROR(IF(VLOOKUP($A264,'Шаг2.Бланк заказа NEW'!$B$17:$N$201,13,0)="","",VLOOKUP($A264,'Шаг2.Бланк заказа NEW'!$B$17:$N$201,13,0)),
"Нет")</f>
        <v/>
      </c>
      <c r="Q264" s="147" t="str">
        <f ca="1">IFERROR(IF(VLOOKUP($A264,'Шаг2.Бланк заказа NEW'!$B$17:$O$201,14,0)="","",VLOOKUP($A264,'Шаг2.Бланк заказа NEW'!$B$17:$O$201,14,0)),"")</f>
        <v/>
      </c>
      <c r="R264" s="147" t="str">
        <f ca="1">IFERROR(IFERROR(IF(VLOOKUP($A264,'Шаг2.Бланк заказа NEW'!$B$17:$N$201,4,0)="","",VLOOKUP($A264,'Шаг2.Бланк заказа NEW'!$B$17:$N$201,4,0)),
IF(VLOOKUP($A264-COUNT('Шаг2.Бланк заказа NEW'!$B$19:$B$201),'Бланк OLD 0.8 04'!$B$12:$K$200,4,0)&gt;0,0.8,
IF(VLOOKUP($A264-COUNT('Шаг2.Бланк заказа NEW'!$B$19:$B$201),'Бланк OLD 0.8 04'!$B$12:$K$200,5,0)&gt;0,0.4,""))),
IF(VLOOKUP($A264-COUNT('Шаг2.Бланк заказа NEW'!$B$19:$B$201)-COUNT('Бланк OLD 0.8 04'!$B$18:$B$200),'Бланк OLD 2.0 04 '!$B$16:$K$200,4,0)&gt;0,2,IF(VLOOKUP($A264-COUNT('Шаг2.Бланк заказа NEW'!$B$19:$B$201)-COUNT('Бланк OLD 0.8 04'!$B$18:$B$200),'Бланк OLD 2.0 04 '!$B$16:$K$200,5,0)&gt;0,0.4,"")))</f>
        <v/>
      </c>
      <c r="S264" s="147" t="str">
        <f ca="1">IFERROR(IFERROR(IF(VLOOKUP($A264,'Шаг2.Бланк заказа NEW'!$B$17:$N$201,5,0)="","",VLOOKUP($A264,'Шаг2.Бланк заказа NEW'!$B$17:$N$201,5,0)),
IF(VLOOKUP($A264-COUNT('Шаг2.Бланк заказа NEW'!$B$19:$B$201),'Бланк OLD 0.8 04'!$B$12:$K$200,4,0)&gt;1,0.8,
IF(VLOOKUP($A264-COUNT('Шаг2.Бланк заказа NEW'!$B$19:$B$201),'Бланк OLD 0.8 04'!$B$12:$K$200,5,0)&gt;1,0.4,
IF(AND(VLOOKUP($A264-COUNT('Шаг2.Бланк заказа NEW'!$B$19:$B$201),'Бланк OLD 0.8 04'!$B$12:$K$200,4,0)&gt;0,VLOOKUP($A264-COUNT('Шаг2.Бланк заказа NEW'!$B$19:$B$201),'Бланк OLD 0.8 04'!$B$12:$K$200,5,0)&gt;0),0.4,"")))),
IF(VLOOKUP($A264-COUNT('Шаг2.Бланк заказа NEW'!$B$19:$B$201)-COUNT('Бланк OLD 0.8 04'!$B$18:$B$200),'Бланк OLD 2.0 04 '!$B$16:$K$200,4,0)&gt;1,2,
IF(VLOOKUP($A264-COUNT('Шаг2.Бланк заказа NEW'!$B$19:$B$201)-COUNT('Бланк OLD 0.8 04'!$B$18:$B$200),'Бланк OLD 2.0 04 '!$B$16:$K$200,5,0)&gt;1,0.4,IF(AND(VLOOKUP($A264-COUNT('Шаг2.Бланк заказа NEW'!$B$19:$B$201)-COUNT('Бланк OLD 0.8 04'!$B$18:$B$200),'Бланк OLD 2.0 04 '!$B$16:$K$200,4,0)&gt;0,VLOOKUP($A264-COUNT('Шаг2.Бланк заказа NEW'!$B$19:$B$201)-COUNT('Бланк OLD 0.8 04'!$B$18:$B$200),'Бланк OLD 2.0 04 '!$B$16:$K$200,5,0)&gt;0),0.4,""))))</f>
        <v/>
      </c>
      <c r="T264" s="147" t="str">
        <f ca="1">IFERROR(IFERROR(IF(VLOOKUP($A264,'Шаг2.Бланк заказа NEW'!$B$17:$N$201,7,0)="","",VLOOKUP($A264,'Шаг2.Бланк заказа NEW'!$B$17:$N$201,7,0)),
IF(VLOOKUP($A264-COUNT('Шаг2.Бланк заказа NEW'!$B$19:$B$201),'Бланк OLD 0.8 04'!$B$12:$K$200,7,0)&gt;0,0.8,
IF(VLOOKUP($A264-COUNT('Шаг2.Бланк заказа NEW'!$B$19:$B$201),'Бланк OLD 0.8 04'!$B$12:$K$200,8,0)&gt;0,0.4,""))),
IF(VLOOKUP($A264-COUNT('Шаг2.Бланк заказа NEW'!$B$19:$B$201)-COUNT('Бланк OLD 0.8 04'!$B$18:$B$200),'Бланк OLD 2.0 04 '!$B$16:$K$200,7,0)&gt;0,2,IF(VLOOKUP($A264-COUNT('Шаг2.Бланк заказа NEW'!$B$19:$B$201)-COUNT('Бланк OLD 0.8 04'!$B$18:$B$200),'Бланк OLD 2.0 04 '!$B$16:$K$200,8,0)&gt;0,0.4,"")))</f>
        <v/>
      </c>
      <c r="U264" s="147" t="str">
        <f ca="1">IFERROR(IFERROR(IF(VLOOKUP($A264,'Шаг2.Бланк заказа NEW'!$B$17:$N$201,8,0)="","",VLOOKUP($A264,'Шаг2.Бланк заказа NEW'!$B$17:$N$201,8,0)),
IF(VLOOKUP($A264-COUNT('Шаг2.Бланк заказа NEW'!$B$19:$B$201),'Бланк OLD 0.8 04'!$B$12:$K$200,7,0)&gt;1,0.8,
IF(VLOOKUP($A264-COUNT('Шаг2.Бланк заказа NEW'!$B$19:$B$201),'Бланк OLD 0.8 04'!$B$12:$K$200,8,0)&gt;1,0.4,
IF(AND(VLOOKUP($A264-COUNT('Шаг2.Бланк заказа NEW'!$B$19:$B$201),'Бланк OLD 0.8 04'!$B$12:$K$200,7,0)&gt;0,VLOOKUP($A264-COUNT('Шаг2.Бланк заказа NEW'!$B$19:$B$201),'Бланк OLD 0.8 04'!$B$12:$K$200,8,0)&gt;0),0.4,"")))),
IF(VLOOKUP($A264-COUNT('Шаг2.Бланк заказа NEW'!$B$19:$B$201)-COUNT('Бланк OLD 0.8 04'!$B$18:$B$200),'Бланк OLD 2.0 04 '!$B$16:$K$200,7,0)&gt;1,2,
IF(VLOOKUP($A264-COUNT('Шаг2.Бланк заказа NEW'!$B$19:$B$201)-COUNT('Бланк OLD 0.8 04'!$B$18:$B$200),'Бланк OLD 2.0 04 '!$B$16:$K$200,8,0)&gt;1,0.4,
IF(AND(VLOOKUP($A264-COUNT('Шаг2.Бланк заказа NEW'!$B$19:$B$201)-COUNT('Бланк OLD 0.8 04'!$B$18:$B$200),'Бланк OLD 2.0 04 '!$B$16:$K$200,7,0)&gt;0,VLOOKUP($A264-COUNT('Шаг2.Бланк заказа NEW'!$B$19:$B$201)-COUNT('Бланк OLD 0.8 04'!$B$18:$B$200),'Бланк OLD 2.0 04 '!$B$16:$K$200,8,0)&gt;0),0.4,""))))</f>
        <v/>
      </c>
      <c r="V264" s="146" t="str">
        <f ca="1">IFERROR(VLOOKUP(C264,'Шаг1.Выбор плиты'!C:S,12,0),"")</f>
        <v/>
      </c>
      <c r="W264" s="146" t="str">
        <f ca="1">IFERROR(VLOOKUP(C264,'Шаг1.Выбор плиты'!C:S,8,0),"")</f>
        <v/>
      </c>
      <c r="X264" s="146" t="str">
        <f ca="1">IFERROR(VLOOKUP(C264,'Шаг1.Выбор плиты'!C:S,10,0),"")</f>
        <v/>
      </c>
      <c r="Y264" s="147" t="str">
        <f t="shared" ca="1" si="23"/>
        <v/>
      </c>
      <c r="AD264" s="147" t="str">
        <f t="shared" ca="1" si="21"/>
        <v/>
      </c>
      <c r="AE264" s="147" t="str">
        <f t="shared" ca="1" si="24"/>
        <v/>
      </c>
      <c r="AF264" s="25"/>
      <c r="AH264" s="147" t="str">
        <f ca="1">IF(C264="","",VLOOKUP(C264,'Шаг1.Выбор плиты'!C:Q,7,0))</f>
        <v/>
      </c>
      <c r="AI264" s="147" t="str">
        <f t="shared" ca="1" si="22"/>
        <v/>
      </c>
    </row>
    <row r="265" spans="1:35" x14ac:dyDescent="0.2">
      <c r="A265" s="151" t="str">
        <f ca="1">IF(C265="","",MAX($A$1:OFFSET(C265,-1,0))+1)</f>
        <v/>
      </c>
      <c r="B265" s="151" t="str">
        <f ca="1">IFERROR(IFERROR(IFERROR("Шаг2.Бланк заказа NEW №"&amp;VLOOKUP(A264+1,CHOOSE({1,2},'Шаг2.Бланк заказа NEW'!$B$19:$B$201,'Шаг2.Бланк заказа NEW'!$A$19:$A$201),1,0),
"Бланк OLD 0.8 04 №"&amp;VLOOKUP(A264+1-COUNT('Шаг2.Бланк заказа NEW'!$B$19:$B$201),CHOOSE({1,2},'Бланк OLD 0.8 04'!$B$18:$B$200,'Бланк OLD 0.8 04'!$A$18:$A$200),1,0)),
"Бланк OLD 2.0 04 №"&amp;VLOOKUP(A264+1-COUNT('Шаг2.Бланк заказа NEW'!$B$19:$B$201)-COUNT('Бланк OLD 0.8 04'!$B$18:$B$200),CHOOSE({1,2},'Бланк OLD 2.0 04 '!$B$18:$B$200,'Бланк OLD 2.0 04 '!$A$18:$A$200),1,0)),"")</f>
        <v/>
      </c>
      <c r="C265" s="152" t="str">
        <f ca="1">IFERROR(IFERROR(IFERROR(VLOOKUP(A264+1,CHOOSE({1,2},'Шаг2.Бланк заказа NEW'!$B$19:$B$201,'Шаг2.Бланк заказа NEW'!$A$19:$A$201),2,0),
VLOOKUP(A264+1-COUNT('Шаг2.Бланк заказа NEW'!$B$19:$B$201),CHOOSE({1,2},'Бланк OLD 0.8 04'!$B$18:$B$200,'Бланк OLD 0.8 04'!$A$18:$A$200),2,0)),
VLOOKUP(A264+1-COUNT('Шаг2.Бланк заказа NEW'!$B$19:$B$201)-COUNT('Бланк OLD 0.8 04'!$B$18:$B$200),CHOOSE({1,2},'Бланк OLD 2.0 04 '!$B$18:$B$200,'Бланк OLD 2.0 04 '!$A$18:$A$200),2,0)),"")</f>
        <v/>
      </c>
      <c r="D265" s="150" t="str">
        <f ca="1">IFERROR(VLOOKUP(C265,'Шаг1.Выбор плиты'!C:G,5,0),"")</f>
        <v/>
      </c>
      <c r="E265" s="147" t="str">
        <f ca="1">IFERROR(IFERROR(IF(VLOOKUP($A265,'Шаг2.Бланк заказа NEW'!$B$17:$N$201,2,0)="","",VLOOKUP($A265,'Шаг2.Бланк заказа NEW'!$B$17:$N$201,2,0)),
IF(VLOOKUP($A265-COUNT('Шаг2.Бланк заказа NEW'!$B$19:$B$201),'Бланк OLD 0.8 04'!$B$12:$K$200,2,0)="","",VLOOKUP($A265-COUNT('Шаг2.Бланк заказа NEW'!$B$19:$B$201),'Бланк OLD 0.8 04'!$B$12:$K$200,2,0))),
IF(VLOOKUP($A265-COUNT('Шаг2.Бланк заказа NEW'!$B$19:$B$201)-COUNT('Бланк OLD 0.8 04'!$B$18:$B$200),'Бланк OLD 2.0 04 '!$B$16:$K$200,2,0)="","",VLOOKUP($A265-COUNT('Шаг2.Бланк заказа NEW'!$B$19:$B$201)-COUNT('Бланк OLD 0.8 04'!$B$18:$B$200),'Бланк OLD 2.0 04 '!$B$16:$K$200,2,0)))</f>
        <v/>
      </c>
      <c r="F265" s="147" t="str">
        <f ca="1">IFERROR(IFERROR(IF(VLOOKUP($A265,'Шаг2.Бланк заказа NEW'!$B$17:$N$201,3,0)="","",VLOOKUP($A265,'Шаг2.Бланк заказа NEW'!$B$17:$N$201,3,0)),
IF(VLOOKUP($A265-COUNT('Шаг2.Бланк заказа NEW'!$B$19:$B$201),'Бланк OLD 0.8 04'!$B$12:$K$200,3,0)="","",VLOOKUP($A265-COUNT('Шаг2.Бланк заказа NEW'!$B$19:$B$201),'Бланк OLD 0.8 04'!$B$12:$K$200,3,0))),
IF(VLOOKUP($A265-COUNT('Шаг2.Бланк заказа NEW'!$B$19:$B$201)-COUNT('Бланк OLD 0.8 04'!$B$18:$B$200),'Бланк OLD 2.0 04 '!$B$16:$K$200,3,0)="","",VLOOKUP($A265-COUNT('Шаг2.Бланк заказа NEW'!$B$19:$B$201)-COUNT('Бланк OLD 0.8 04'!$B$18:$B$200),'Бланк OLD 2.0 04 '!$B$16:$K$200,3,0)))</f>
        <v/>
      </c>
      <c r="G265" s="176" t="str">
        <f ca="1">IF(IF(R265="","",IF(R265=1,SUMIFS('Шаг1.Выбор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плиты'!C:Q,12,0)),1))))))=0,
R265,
IF(R265="","",IF(R265=1,SUMIFS('Шаг1.Выбор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плиты'!N:N,R265,'Шаг1.Выбор плиты'!M:M,SMALL(INDIRECT("мм"&amp;VLOOKUP(C265,'Шаг1.Выбор плиты'!C:Q,12,0)),1)))))))</f>
        <v/>
      </c>
      <c r="H265" s="177" t="str">
        <f ca="1">IF(IF(S265="","",IF(S265=1,SUMIFS('Шаг1.Выбор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плиты'!C:Q,12,0)),1))))))=0,
S265,
IF(S265="","",IF(S265=1,SUMIFS('Шаг1.Выбор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плиты'!N:N,S265,'Шаг1.Выбор плиты'!M:M,SMALL(INDIRECT("мм"&amp;VLOOKUP(C265,'Шаг1.Выбор плиты'!C:Q,12,0)),1)))))))</f>
        <v/>
      </c>
      <c r="I265" s="147" t="str">
        <f ca="1">IFERROR(IFERROR(IF(VLOOKUP($A265,'Шаг2.Бланк заказа NEW'!$B$17:$N$201,6,0)="","",VLOOKUP($A265,'Шаг2.Бланк заказа NEW'!$B$17:$N$201,6,0)),
IF(VLOOKUP($A265-COUNT('Шаг2.Бланк заказа NEW'!$B$19:$B$201),'Бланк OLD 0.8 04'!$B$12:$K$200,6,0)="","",VLOOKUP($A265-COUNT('Шаг2.Бланк заказа NEW'!$B$19:$B$201),'Бланк OLD 0.8 04'!$B$12:$K$200,6,0))),
IF(VLOOKUP($A265-COUNT('Шаг2.Бланк заказа NEW'!$B$19:$B$201)-COUNT('Бланк OLD 0.8 04'!$B$18:$B$200),'Бланк OLD 2.0 04 '!$B$16:$K$200,6,0)="","",VLOOKUP($A265-COUNT('Шаг2.Бланк заказа NEW'!$B$19:$B$201)-COUNT('Бланк OLD 0.8 04'!$B$18:$B$200),'Бланк OLD 2.0 04 '!$B$16:$K$200,6,0)))</f>
        <v/>
      </c>
      <c r="J265" s="177" t="str">
        <f ca="1">IF(IF(T265="","",IF(T265=1,SUMIFS('Шаг1.Выбор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плиты'!C:Q,12,0)),1))))))=0,
T265,
IF(T265="","",IF(T265=1,SUMIFS('Шаг1.Выбор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плиты'!N:N,T265,'Шаг1.Выбор плиты'!M:M,SMALL(INDIRECT("мм"&amp;VLOOKUP(C265,'Шаг1.Выбор плиты'!C:Q,12,0)),1)))))))</f>
        <v/>
      </c>
      <c r="K265" s="177" t="str">
        <f ca="1">IF(IF(U265="","",IF(U265=1,SUMIFS('Шаг1.Выбор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плиты'!C:Q,12,0)),1))))))=0,
U265,
IF(U265="","",IF(U265=1,SUMIFS('Шаг1.Выбор плиты'!$G:$G,'Шаг1.Выбор плиты'!J:J,"*"&amp;RIGHT(VLOOKUP(C265,'Шаг1.Выбор плиты'!C:Q,8,0),4),'Шаг1.Выбор плиты'!L:L,IF(MID(C265,1,6)="ЛДСП P","TM"&amp;MID(VLOOKUP(C265,'Шаг1.Выбор плиты'!C:Q,10,0),3,2),MID(VLOOKUP(C265,'Шаг1.Выбор плиты'!C:Q,10,0),1,2)),
'Шаг1.Выбор плиты'!N:N,1),IF(SUMIFS('Шаг1.Выбор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плиты'!C:Q,12,0)),1))=0,
IF(SUMIFS('Шаг1.Выбор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плиты'!C:Q,12,0)),2))=0,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плиты'!C:Q,12,0)),3)),
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плиты'!C:Q,12,0)),2))),
(SUMIFS('Шаг1.Выбор плиты'!$G:$G,'Шаг1.Выбор плиты'!J:J,"*"&amp;RIGHT(VLOOKUP(C265,'Шаг1.Выбор плиты'!C:Q,8,0),4),'Шаг1.Выбор плиты'!L:L,VLOOKUP(C265,'Шаг1.Выбор плиты'!C:Q,10,0),'Шаг1.Выбор плиты'!N:N,U265,'Шаг1.Выбор плиты'!M:M,SMALL(INDIRECT("мм"&amp;VLOOKUP(C265,'Шаг1.Выбор плиты'!C:Q,12,0)),1)))))))</f>
        <v/>
      </c>
      <c r="L265" s="147" t="str">
        <f ca="1">IFERROR(IFERROR(IF(VLOOKUP($A265,'Шаг2.Бланк заказа NEW'!$B$17:$N$201,9,0)="","",VLOOKUP($A265,'Шаг2.Бланк заказа NEW'!$B$17:$N$201,9,0)),
IF(VLOOKUP($A265-COUNT('Шаг2.Бланк заказа NEW'!$B$19:$B$201),'Бланк OLD 0.8 04'!$B$12:$K$200,9,0)="","",VLOOKUP($A265-COUNT('Шаг2.Бланк заказа NEW'!$B$19:$B$201),'Бланк OLD 0.8 04'!$B$12:$K$200,9,0))),
IF(VLOOKUP($A265-COUNT('Шаг2.Бланк заказа NEW'!$B$19:$B$201)-COUNT('Бланк OLD 0.8 04'!$B$18:$B$200),'Бланк OLD 2.0 04 '!$B$16:$K$200,9,0)="","",VLOOKUP($A265-COUNT('Шаг2.Бланк заказа NEW'!$B$19:$B$201)-COUNT('Бланк OLD 0.8 04'!$B$18:$B$200),'Бланк OLD 2.0 04 '!$B$16:$K$200,9,0)))</f>
        <v/>
      </c>
      <c r="M265" s="154" t="str">
        <f t="shared" ca="1" si="20"/>
        <v/>
      </c>
      <c r="N265" s="153" t="str">
        <f ca="1">IFERROR(IF(VLOOKUP($A265,'Шаг2.Бланк заказа NEW'!$B$17:$N$201,11,0)="","",VLOOKUP($A265,'Шаг2.Бланк заказа NEW'!$B$17:$N$201,11,0)),
"Нет")</f>
        <v/>
      </c>
      <c r="O265" s="147" t="str">
        <f ca="1">IFERROR(IF(VLOOKUP($A265,'Шаг2.Бланк заказа NEW'!$B$17:$N$201,11,0)="","",VLOOKUP($A265,'Шаг2.Бланк заказа NEW'!$B$17:$N$201,12,0)),
"Нет")</f>
        <v/>
      </c>
      <c r="P265" s="153" t="str">
        <f ca="1">IFERROR(IF(VLOOKUP($A265,'Шаг2.Бланк заказа NEW'!$B$17:$N$201,13,0)="","",VLOOKUP($A265,'Шаг2.Бланк заказа NEW'!$B$17:$N$201,13,0)),
"Нет")</f>
        <v/>
      </c>
      <c r="Q265" s="147" t="str">
        <f ca="1">IFERROR(IF(VLOOKUP($A265,'Шаг2.Бланк заказа NEW'!$B$17:$O$201,14,0)="","",VLOOKUP($A265,'Шаг2.Бланк заказа NEW'!$B$17:$O$201,14,0)),"")</f>
        <v/>
      </c>
      <c r="R265" s="147" t="str">
        <f ca="1">IFERROR(IFERROR(IF(VLOOKUP($A265,'Шаг2.Бланк заказа NEW'!$B$17:$N$201,4,0)="","",VLOOKUP($A265,'Шаг2.Бланк заказа NEW'!$B$17:$N$201,4,0)),
IF(VLOOKUP($A265-COUNT('Шаг2.Бланк заказа NEW'!$B$19:$B$201),'Бланк OLD 0.8 04'!$B$12:$K$200,4,0)&gt;0,0.8,
IF(VLOOKUP($A265-COUNT('Шаг2.Бланк заказа NEW'!$B$19:$B$201),'Бланк OLD 0.8 04'!$B$12:$K$200,5,0)&gt;0,0.4,""))),
IF(VLOOKUP($A265-COUNT('Шаг2.Бланк заказа NEW'!$B$19:$B$201)-COUNT('Бланк OLD 0.8 04'!$B$18:$B$200),'Бланк OLD 2.0 04 '!$B$16:$K$200,4,0)&gt;0,2,IF(VLOOKUP($A265-COUNT('Шаг2.Бланк заказа NEW'!$B$19:$B$201)-COUNT('Бланк OLD 0.8 04'!$B$18:$B$200),'Бланк OLD 2.0 04 '!$B$16:$K$200,5,0)&gt;0,0.4,"")))</f>
        <v/>
      </c>
      <c r="S265" s="147" t="str">
        <f ca="1">IFERROR(IFERROR(IF(VLOOKUP($A265,'Шаг2.Бланк заказа NEW'!$B$17:$N$201,5,0)="","",VLOOKUP($A265,'Шаг2.Бланк заказа NEW'!$B$17:$N$201,5,0)),
IF(VLOOKUP($A265-COUNT('Шаг2.Бланк заказа NEW'!$B$19:$B$201),'Бланк OLD 0.8 04'!$B$12:$K$200,4,0)&gt;1,0.8,
IF(VLOOKUP($A265-COUNT('Шаг2.Бланк заказа NEW'!$B$19:$B$201),'Бланк OLD 0.8 04'!$B$12:$K$200,5,0)&gt;1,0.4,
IF(AND(VLOOKUP($A265-COUNT('Шаг2.Бланк заказа NEW'!$B$19:$B$201),'Бланк OLD 0.8 04'!$B$12:$K$200,4,0)&gt;0,VLOOKUP($A265-COUNT('Шаг2.Бланк заказа NEW'!$B$19:$B$201),'Бланк OLD 0.8 04'!$B$12:$K$200,5,0)&gt;0),0.4,"")))),
IF(VLOOKUP($A265-COUNT('Шаг2.Бланк заказа NEW'!$B$19:$B$201)-COUNT('Бланк OLD 0.8 04'!$B$18:$B$200),'Бланк OLD 2.0 04 '!$B$16:$K$200,4,0)&gt;1,2,
IF(VLOOKUP($A265-COUNT('Шаг2.Бланк заказа NEW'!$B$19:$B$201)-COUNT('Бланк OLD 0.8 04'!$B$18:$B$200),'Бланк OLD 2.0 04 '!$B$16:$K$200,5,0)&gt;1,0.4,IF(AND(VLOOKUP($A265-COUNT('Шаг2.Бланк заказа NEW'!$B$19:$B$201)-COUNT('Бланк OLD 0.8 04'!$B$18:$B$200),'Бланк OLD 2.0 04 '!$B$16:$K$200,4,0)&gt;0,VLOOKUP($A265-COUNT('Шаг2.Бланк заказа NEW'!$B$19:$B$201)-COUNT('Бланк OLD 0.8 04'!$B$18:$B$200),'Бланк OLD 2.0 04 '!$B$16:$K$200,5,0)&gt;0),0.4,""))))</f>
        <v/>
      </c>
      <c r="T265" s="147" t="str">
        <f ca="1">IFERROR(IFERROR(IF(VLOOKUP($A265,'Шаг2.Бланк заказа NEW'!$B$17:$N$201,7,0)="","",VLOOKUP($A265,'Шаг2.Бланк заказа NEW'!$B$17:$N$201,7,0)),
IF(VLOOKUP($A265-COUNT('Шаг2.Бланк заказа NEW'!$B$19:$B$201),'Бланк OLD 0.8 04'!$B$12:$K$200,7,0)&gt;0,0.8,
IF(VLOOKUP($A265-COUNT('Шаг2.Бланк заказа NEW'!$B$19:$B$201),'Бланк OLD 0.8 04'!$B$12:$K$200,8,0)&gt;0,0.4,""))),
IF(VLOOKUP($A265-COUNT('Шаг2.Бланк заказа NEW'!$B$19:$B$201)-COUNT('Бланк OLD 0.8 04'!$B$18:$B$200),'Бланк OLD 2.0 04 '!$B$16:$K$200,7,0)&gt;0,2,IF(VLOOKUP($A265-COUNT('Шаг2.Бланк заказа NEW'!$B$19:$B$201)-COUNT('Бланк OLD 0.8 04'!$B$18:$B$200),'Бланк OLD 2.0 04 '!$B$16:$K$200,8,0)&gt;0,0.4,"")))</f>
        <v/>
      </c>
      <c r="U265" s="147" t="str">
        <f ca="1">IFERROR(IFERROR(IF(VLOOKUP($A265,'Шаг2.Бланк заказа NEW'!$B$17:$N$201,8,0)="","",VLOOKUP($A265,'Шаг2.Бланк заказа NEW'!$B$17:$N$201,8,0)),
IF(VLOOKUP($A265-COUNT('Шаг2.Бланк заказа NEW'!$B$19:$B$201),'Бланк OLD 0.8 04'!$B$12:$K$200,7,0)&gt;1,0.8,
IF(VLOOKUP($A265-COUNT('Шаг2.Бланк заказа NEW'!$B$19:$B$201),'Бланк OLD 0.8 04'!$B$12:$K$200,8,0)&gt;1,0.4,
IF(AND(VLOOKUP($A265-COUNT('Шаг2.Бланк заказа NEW'!$B$19:$B$201),'Бланк OLD 0.8 04'!$B$12:$K$200,7,0)&gt;0,VLOOKUP($A265-COUNT('Шаг2.Бланк заказа NEW'!$B$19:$B$201),'Бланк OLD 0.8 04'!$B$12:$K$200,8,0)&gt;0),0.4,"")))),
IF(VLOOKUP($A265-COUNT('Шаг2.Бланк заказа NEW'!$B$19:$B$201)-COUNT('Бланк OLD 0.8 04'!$B$18:$B$200),'Бланк OLD 2.0 04 '!$B$16:$K$200,7,0)&gt;1,2,
IF(VLOOKUP($A265-COUNT('Шаг2.Бланк заказа NEW'!$B$19:$B$201)-COUNT('Бланк OLD 0.8 04'!$B$18:$B$200),'Бланк OLD 2.0 04 '!$B$16:$K$200,8,0)&gt;1,0.4,
IF(AND(VLOOKUP($A265-COUNT('Шаг2.Бланк заказа NEW'!$B$19:$B$201)-COUNT('Бланк OLD 0.8 04'!$B$18:$B$200),'Бланк OLD 2.0 04 '!$B$16:$K$200,7,0)&gt;0,VLOOKUP($A265-COUNT('Шаг2.Бланк заказа NEW'!$B$19:$B$201)-COUNT('Бланк OLD 0.8 04'!$B$18:$B$200),'Бланк OLD 2.0 04 '!$B$16:$K$200,8,0)&gt;0),0.4,""))))</f>
        <v/>
      </c>
      <c r="V265" s="146" t="str">
        <f ca="1">IFERROR(VLOOKUP(C265,'Шаг1.Выбор плиты'!C:S,12,0),"")</f>
        <v/>
      </c>
      <c r="W265" s="146" t="str">
        <f ca="1">IFERROR(VLOOKUP(C265,'Шаг1.Выбор плиты'!C:S,8,0),"")</f>
        <v/>
      </c>
      <c r="X265" s="146" t="str">
        <f ca="1">IFERROR(VLOOKUP(C265,'Шаг1.Выбор плиты'!C:S,10,0),"")</f>
        <v/>
      </c>
      <c r="Y265" s="147" t="str">
        <f t="shared" ca="1" si="23"/>
        <v/>
      </c>
      <c r="AD265" s="147" t="str">
        <f t="shared" ca="1" si="21"/>
        <v/>
      </c>
      <c r="AE265" s="147" t="str">
        <f t="shared" ca="1" si="24"/>
        <v/>
      </c>
      <c r="AF265" s="25"/>
      <c r="AH265" s="147" t="str">
        <f ca="1">IF(C265="","",VLOOKUP(C265,'Шаг1.Выбор плиты'!C:Q,7,0))</f>
        <v/>
      </c>
      <c r="AI265" s="147" t="str">
        <f t="shared" ca="1" si="22"/>
        <v/>
      </c>
    </row>
    <row r="266" spans="1:35" x14ac:dyDescent="0.2">
      <c r="A266" s="151" t="str">
        <f ca="1">IF(C266="","",MAX($A$1:OFFSET(C266,-1,0))+1)</f>
        <v/>
      </c>
      <c r="B266" s="151" t="str">
        <f ca="1">IFERROR(IFERROR(IFERROR("Шаг2.Бланк заказа NEW №"&amp;VLOOKUP(A265+1,CHOOSE({1,2},'Шаг2.Бланк заказа NEW'!$B$19:$B$201,'Шаг2.Бланк заказа NEW'!$A$19:$A$201),1,0),
"Бланк OLD 0.8 04 №"&amp;VLOOKUP(A265+1-COUNT('Шаг2.Бланк заказа NEW'!$B$19:$B$201),CHOOSE({1,2},'Бланк OLD 0.8 04'!$B$18:$B$200,'Бланк OLD 0.8 04'!$A$18:$A$200),1,0)),
"Бланк OLD 2.0 04 №"&amp;VLOOKUP(A265+1-COUNT('Шаг2.Бланк заказа NEW'!$B$19:$B$201)-COUNT('Бланк OLD 0.8 04'!$B$18:$B$200),CHOOSE({1,2},'Бланк OLD 2.0 04 '!$B$18:$B$200,'Бланк OLD 2.0 04 '!$A$18:$A$200),1,0)),"")</f>
        <v/>
      </c>
      <c r="C266" s="152" t="str">
        <f ca="1">IFERROR(IFERROR(IFERROR(VLOOKUP(A265+1,CHOOSE({1,2},'Шаг2.Бланк заказа NEW'!$B$19:$B$201,'Шаг2.Бланк заказа NEW'!$A$19:$A$201),2,0),
VLOOKUP(A265+1-COUNT('Шаг2.Бланк заказа NEW'!$B$19:$B$201),CHOOSE({1,2},'Бланк OLD 0.8 04'!$B$18:$B$200,'Бланк OLD 0.8 04'!$A$18:$A$200),2,0)),
VLOOKUP(A265+1-COUNT('Шаг2.Бланк заказа NEW'!$B$19:$B$201)-COUNT('Бланк OLD 0.8 04'!$B$18:$B$200),CHOOSE({1,2},'Бланк OLD 2.0 04 '!$B$18:$B$200,'Бланк OLD 2.0 04 '!$A$18:$A$200),2,0)),"")</f>
        <v/>
      </c>
      <c r="D266" s="150" t="str">
        <f ca="1">IFERROR(VLOOKUP(C266,'Шаг1.Выбор плиты'!C:G,5,0),"")</f>
        <v/>
      </c>
      <c r="E266" s="147" t="str">
        <f ca="1">IFERROR(IFERROR(IF(VLOOKUP($A266,'Шаг2.Бланк заказа NEW'!$B$17:$N$201,2,0)="","",VLOOKUP($A266,'Шаг2.Бланк заказа NEW'!$B$17:$N$201,2,0)),
IF(VLOOKUP($A266-COUNT('Шаг2.Бланк заказа NEW'!$B$19:$B$201),'Бланк OLD 0.8 04'!$B$12:$K$200,2,0)="","",VLOOKUP($A266-COUNT('Шаг2.Бланк заказа NEW'!$B$19:$B$201),'Бланк OLD 0.8 04'!$B$12:$K$200,2,0))),
IF(VLOOKUP($A266-COUNT('Шаг2.Бланк заказа NEW'!$B$19:$B$201)-COUNT('Бланк OLD 0.8 04'!$B$18:$B$200),'Бланк OLD 2.0 04 '!$B$16:$K$200,2,0)="","",VLOOKUP($A266-COUNT('Шаг2.Бланк заказа NEW'!$B$19:$B$201)-COUNT('Бланк OLD 0.8 04'!$B$18:$B$200),'Бланк OLD 2.0 04 '!$B$16:$K$200,2,0)))</f>
        <v/>
      </c>
      <c r="F266" s="147" t="str">
        <f ca="1">IFERROR(IFERROR(IF(VLOOKUP($A266,'Шаг2.Бланк заказа NEW'!$B$17:$N$201,3,0)="","",VLOOKUP($A266,'Шаг2.Бланк заказа NEW'!$B$17:$N$201,3,0)),
IF(VLOOKUP($A266-COUNT('Шаг2.Бланк заказа NEW'!$B$19:$B$201),'Бланк OLD 0.8 04'!$B$12:$K$200,3,0)="","",VLOOKUP($A266-COUNT('Шаг2.Бланк заказа NEW'!$B$19:$B$201),'Бланк OLD 0.8 04'!$B$12:$K$200,3,0))),
IF(VLOOKUP($A266-COUNT('Шаг2.Бланк заказа NEW'!$B$19:$B$201)-COUNT('Бланк OLD 0.8 04'!$B$18:$B$200),'Бланк OLD 2.0 04 '!$B$16:$K$200,3,0)="","",VLOOKUP($A266-COUNT('Шаг2.Бланк заказа NEW'!$B$19:$B$201)-COUNT('Бланк OLD 0.8 04'!$B$18:$B$200),'Бланк OLD 2.0 04 '!$B$16:$K$200,3,0)))</f>
        <v/>
      </c>
      <c r="G266" s="176" t="str">
        <f ca="1">IF(IF(R266="","",IF(R266=1,SUMIFS('Шаг1.Выбор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плиты'!C:Q,12,0)),1))))))=0,
R266,
IF(R266="","",IF(R266=1,SUMIFS('Шаг1.Выбор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плиты'!N:N,R266,'Шаг1.Выбор плиты'!M:M,SMALL(INDIRECT("мм"&amp;VLOOKUP(C266,'Шаг1.Выбор плиты'!C:Q,12,0)),1)))))))</f>
        <v/>
      </c>
      <c r="H266" s="177" t="str">
        <f ca="1">IF(IF(S266="","",IF(S266=1,SUMIFS('Шаг1.Выбор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плиты'!C:Q,12,0)),1))))))=0,
S266,
IF(S266="","",IF(S266=1,SUMIFS('Шаг1.Выбор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плиты'!N:N,S266,'Шаг1.Выбор плиты'!M:M,SMALL(INDIRECT("мм"&amp;VLOOKUP(C266,'Шаг1.Выбор плиты'!C:Q,12,0)),1)))))))</f>
        <v/>
      </c>
      <c r="I266" s="147" t="str">
        <f ca="1">IFERROR(IFERROR(IF(VLOOKUP($A266,'Шаг2.Бланк заказа NEW'!$B$17:$N$201,6,0)="","",VLOOKUP($A266,'Шаг2.Бланк заказа NEW'!$B$17:$N$201,6,0)),
IF(VLOOKUP($A266-COUNT('Шаг2.Бланк заказа NEW'!$B$19:$B$201),'Бланк OLD 0.8 04'!$B$12:$K$200,6,0)="","",VLOOKUP($A266-COUNT('Шаг2.Бланк заказа NEW'!$B$19:$B$201),'Бланк OLD 0.8 04'!$B$12:$K$200,6,0))),
IF(VLOOKUP($A266-COUNT('Шаг2.Бланк заказа NEW'!$B$19:$B$201)-COUNT('Бланк OLD 0.8 04'!$B$18:$B$200),'Бланк OLD 2.0 04 '!$B$16:$K$200,6,0)="","",VLOOKUP($A266-COUNT('Шаг2.Бланк заказа NEW'!$B$19:$B$201)-COUNT('Бланк OLD 0.8 04'!$B$18:$B$200),'Бланк OLD 2.0 04 '!$B$16:$K$200,6,0)))</f>
        <v/>
      </c>
      <c r="J266" s="177" t="str">
        <f ca="1">IF(IF(T266="","",IF(T266=1,SUMIFS('Шаг1.Выбор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плиты'!C:Q,12,0)),1))))))=0,
T266,
IF(T266="","",IF(T266=1,SUMIFS('Шаг1.Выбор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плиты'!N:N,T266,'Шаг1.Выбор плиты'!M:M,SMALL(INDIRECT("мм"&amp;VLOOKUP(C266,'Шаг1.Выбор плиты'!C:Q,12,0)),1)))))))</f>
        <v/>
      </c>
      <c r="K266" s="177" t="str">
        <f ca="1">IF(IF(U266="","",IF(U266=1,SUMIFS('Шаг1.Выбор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плиты'!C:Q,12,0)),1))))))=0,
U266,
IF(U266="","",IF(U266=1,SUMIFS('Шаг1.Выбор плиты'!$G:$G,'Шаг1.Выбор плиты'!J:J,"*"&amp;RIGHT(VLOOKUP(C266,'Шаг1.Выбор плиты'!C:Q,8,0),4),'Шаг1.Выбор плиты'!L:L,IF(MID(C266,1,6)="ЛДСП P","TM"&amp;MID(VLOOKUP(C266,'Шаг1.Выбор плиты'!C:Q,10,0),3,2),MID(VLOOKUP(C266,'Шаг1.Выбор плиты'!C:Q,10,0),1,2)),
'Шаг1.Выбор плиты'!N:N,1),IF(SUMIFS('Шаг1.Выбор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плиты'!C:Q,12,0)),1))=0,
IF(SUMIFS('Шаг1.Выбор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плиты'!C:Q,12,0)),2))=0,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плиты'!C:Q,12,0)),3)),
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плиты'!C:Q,12,0)),2))),
(SUMIFS('Шаг1.Выбор плиты'!$G:$G,'Шаг1.Выбор плиты'!J:J,"*"&amp;RIGHT(VLOOKUP(C266,'Шаг1.Выбор плиты'!C:Q,8,0),4),'Шаг1.Выбор плиты'!L:L,VLOOKUP(C266,'Шаг1.Выбор плиты'!C:Q,10,0),'Шаг1.Выбор плиты'!N:N,U266,'Шаг1.Выбор плиты'!M:M,SMALL(INDIRECT("мм"&amp;VLOOKUP(C266,'Шаг1.Выбор плиты'!C:Q,12,0)),1)))))))</f>
        <v/>
      </c>
      <c r="L266" s="147" t="str">
        <f ca="1">IFERROR(IFERROR(IF(VLOOKUP($A266,'Шаг2.Бланк заказа NEW'!$B$17:$N$201,9,0)="","",VLOOKUP($A266,'Шаг2.Бланк заказа NEW'!$B$17:$N$201,9,0)),
IF(VLOOKUP($A266-COUNT('Шаг2.Бланк заказа NEW'!$B$19:$B$201),'Бланк OLD 0.8 04'!$B$12:$K$200,9,0)="","",VLOOKUP($A266-COUNT('Шаг2.Бланк заказа NEW'!$B$19:$B$201),'Бланк OLD 0.8 04'!$B$12:$K$200,9,0))),
IF(VLOOKUP($A266-COUNT('Шаг2.Бланк заказа NEW'!$B$19:$B$201)-COUNT('Бланк OLD 0.8 04'!$B$18:$B$200),'Бланк OLD 2.0 04 '!$B$16:$K$200,9,0)="","",VLOOKUP($A266-COUNT('Шаг2.Бланк заказа NEW'!$B$19:$B$201)-COUNT('Бланк OLD 0.8 04'!$B$18:$B$200),'Бланк OLD 2.0 04 '!$B$16:$K$200,9,0)))</f>
        <v/>
      </c>
      <c r="M266" s="154" t="str">
        <f t="shared" ca="1" si="20"/>
        <v/>
      </c>
      <c r="N266" s="153" t="str">
        <f ca="1">IFERROR(IF(VLOOKUP($A266,'Шаг2.Бланк заказа NEW'!$B$17:$N$201,11,0)="","",VLOOKUP($A266,'Шаг2.Бланк заказа NEW'!$B$17:$N$201,11,0)),
"Нет")</f>
        <v/>
      </c>
      <c r="O266" s="147" t="str">
        <f ca="1">IFERROR(IF(VLOOKUP($A266,'Шаг2.Бланк заказа NEW'!$B$17:$N$201,11,0)="","",VLOOKUP($A266,'Шаг2.Бланк заказа NEW'!$B$17:$N$201,12,0)),
"Нет")</f>
        <v/>
      </c>
      <c r="P266" s="153" t="str">
        <f ca="1">IFERROR(IF(VLOOKUP($A266,'Шаг2.Бланк заказа NEW'!$B$17:$N$201,13,0)="","",VLOOKUP($A266,'Шаг2.Бланк заказа NEW'!$B$17:$N$201,13,0)),
"Нет")</f>
        <v/>
      </c>
      <c r="Q266" s="147" t="str">
        <f ca="1">IFERROR(IF(VLOOKUP($A266,'Шаг2.Бланк заказа NEW'!$B$17:$O$201,14,0)="","",VLOOKUP($A266,'Шаг2.Бланк заказа NEW'!$B$17:$O$201,14,0)),"")</f>
        <v/>
      </c>
      <c r="R266" s="147" t="str">
        <f ca="1">IFERROR(IFERROR(IF(VLOOKUP($A266,'Шаг2.Бланк заказа NEW'!$B$17:$N$201,4,0)="","",VLOOKUP($A266,'Шаг2.Бланк заказа NEW'!$B$17:$N$201,4,0)),
IF(VLOOKUP($A266-COUNT('Шаг2.Бланк заказа NEW'!$B$19:$B$201),'Бланк OLD 0.8 04'!$B$12:$K$200,4,0)&gt;0,0.8,
IF(VLOOKUP($A266-COUNT('Шаг2.Бланк заказа NEW'!$B$19:$B$201),'Бланк OLD 0.8 04'!$B$12:$K$200,5,0)&gt;0,0.4,""))),
IF(VLOOKUP($A266-COUNT('Шаг2.Бланк заказа NEW'!$B$19:$B$201)-COUNT('Бланк OLD 0.8 04'!$B$18:$B$200),'Бланк OLD 2.0 04 '!$B$16:$K$200,4,0)&gt;0,2,IF(VLOOKUP($A266-COUNT('Шаг2.Бланк заказа NEW'!$B$19:$B$201)-COUNT('Бланк OLD 0.8 04'!$B$18:$B$200),'Бланк OLD 2.0 04 '!$B$16:$K$200,5,0)&gt;0,0.4,"")))</f>
        <v/>
      </c>
      <c r="S266" s="147" t="str">
        <f ca="1">IFERROR(IFERROR(IF(VLOOKUP($A266,'Шаг2.Бланк заказа NEW'!$B$17:$N$201,5,0)="","",VLOOKUP($A266,'Шаг2.Бланк заказа NEW'!$B$17:$N$201,5,0)),
IF(VLOOKUP($A266-COUNT('Шаг2.Бланк заказа NEW'!$B$19:$B$201),'Бланк OLD 0.8 04'!$B$12:$K$200,4,0)&gt;1,0.8,
IF(VLOOKUP($A266-COUNT('Шаг2.Бланк заказа NEW'!$B$19:$B$201),'Бланк OLD 0.8 04'!$B$12:$K$200,5,0)&gt;1,0.4,
IF(AND(VLOOKUP($A266-COUNT('Шаг2.Бланк заказа NEW'!$B$19:$B$201),'Бланк OLD 0.8 04'!$B$12:$K$200,4,0)&gt;0,VLOOKUP($A266-COUNT('Шаг2.Бланк заказа NEW'!$B$19:$B$201),'Бланк OLD 0.8 04'!$B$12:$K$200,5,0)&gt;0),0.4,"")))),
IF(VLOOKUP($A266-COUNT('Шаг2.Бланк заказа NEW'!$B$19:$B$201)-COUNT('Бланк OLD 0.8 04'!$B$18:$B$200),'Бланк OLD 2.0 04 '!$B$16:$K$200,4,0)&gt;1,2,
IF(VLOOKUP($A266-COUNT('Шаг2.Бланк заказа NEW'!$B$19:$B$201)-COUNT('Бланк OLD 0.8 04'!$B$18:$B$200),'Бланк OLD 2.0 04 '!$B$16:$K$200,5,0)&gt;1,0.4,IF(AND(VLOOKUP($A266-COUNT('Шаг2.Бланк заказа NEW'!$B$19:$B$201)-COUNT('Бланк OLD 0.8 04'!$B$18:$B$200),'Бланк OLD 2.0 04 '!$B$16:$K$200,4,0)&gt;0,VLOOKUP($A266-COUNT('Шаг2.Бланк заказа NEW'!$B$19:$B$201)-COUNT('Бланк OLD 0.8 04'!$B$18:$B$200),'Бланк OLD 2.0 04 '!$B$16:$K$200,5,0)&gt;0),0.4,""))))</f>
        <v/>
      </c>
      <c r="T266" s="147" t="str">
        <f ca="1">IFERROR(IFERROR(IF(VLOOKUP($A266,'Шаг2.Бланк заказа NEW'!$B$17:$N$201,7,0)="","",VLOOKUP($A266,'Шаг2.Бланк заказа NEW'!$B$17:$N$201,7,0)),
IF(VLOOKUP($A266-COUNT('Шаг2.Бланк заказа NEW'!$B$19:$B$201),'Бланк OLD 0.8 04'!$B$12:$K$200,7,0)&gt;0,0.8,
IF(VLOOKUP($A266-COUNT('Шаг2.Бланк заказа NEW'!$B$19:$B$201),'Бланк OLD 0.8 04'!$B$12:$K$200,8,0)&gt;0,0.4,""))),
IF(VLOOKUP($A266-COUNT('Шаг2.Бланк заказа NEW'!$B$19:$B$201)-COUNT('Бланк OLD 0.8 04'!$B$18:$B$200),'Бланк OLD 2.0 04 '!$B$16:$K$200,7,0)&gt;0,2,IF(VLOOKUP($A266-COUNT('Шаг2.Бланк заказа NEW'!$B$19:$B$201)-COUNT('Бланк OLD 0.8 04'!$B$18:$B$200),'Бланк OLD 2.0 04 '!$B$16:$K$200,8,0)&gt;0,0.4,"")))</f>
        <v/>
      </c>
      <c r="U266" s="147" t="str">
        <f ca="1">IFERROR(IFERROR(IF(VLOOKUP($A266,'Шаг2.Бланк заказа NEW'!$B$17:$N$201,8,0)="","",VLOOKUP($A266,'Шаг2.Бланк заказа NEW'!$B$17:$N$201,8,0)),
IF(VLOOKUP($A266-COUNT('Шаг2.Бланк заказа NEW'!$B$19:$B$201),'Бланк OLD 0.8 04'!$B$12:$K$200,7,0)&gt;1,0.8,
IF(VLOOKUP($A266-COUNT('Шаг2.Бланк заказа NEW'!$B$19:$B$201),'Бланк OLD 0.8 04'!$B$12:$K$200,8,0)&gt;1,0.4,
IF(AND(VLOOKUP($A266-COUNT('Шаг2.Бланк заказа NEW'!$B$19:$B$201),'Бланк OLD 0.8 04'!$B$12:$K$200,7,0)&gt;0,VLOOKUP($A266-COUNT('Шаг2.Бланк заказа NEW'!$B$19:$B$201),'Бланк OLD 0.8 04'!$B$12:$K$200,8,0)&gt;0),0.4,"")))),
IF(VLOOKUP($A266-COUNT('Шаг2.Бланк заказа NEW'!$B$19:$B$201)-COUNT('Бланк OLD 0.8 04'!$B$18:$B$200),'Бланк OLD 2.0 04 '!$B$16:$K$200,7,0)&gt;1,2,
IF(VLOOKUP($A266-COUNT('Шаг2.Бланк заказа NEW'!$B$19:$B$201)-COUNT('Бланк OLD 0.8 04'!$B$18:$B$200),'Бланк OLD 2.0 04 '!$B$16:$K$200,8,0)&gt;1,0.4,
IF(AND(VLOOKUP($A266-COUNT('Шаг2.Бланк заказа NEW'!$B$19:$B$201)-COUNT('Бланк OLD 0.8 04'!$B$18:$B$200),'Бланк OLD 2.0 04 '!$B$16:$K$200,7,0)&gt;0,VLOOKUP($A266-COUNT('Шаг2.Бланк заказа NEW'!$B$19:$B$201)-COUNT('Бланк OLD 0.8 04'!$B$18:$B$200),'Бланк OLD 2.0 04 '!$B$16:$K$200,8,0)&gt;0),0.4,""))))</f>
        <v/>
      </c>
      <c r="V266" s="146" t="str">
        <f ca="1">IFERROR(VLOOKUP(C266,'Шаг1.Выбор плиты'!C:S,12,0),"")</f>
        <v/>
      </c>
      <c r="W266" s="146" t="str">
        <f ca="1">IFERROR(VLOOKUP(C266,'Шаг1.Выбор плиты'!C:S,8,0),"")</f>
        <v/>
      </c>
      <c r="X266" s="146" t="str">
        <f ca="1">IFERROR(VLOOKUP(C266,'Шаг1.Выбор плиты'!C:S,10,0),"")</f>
        <v/>
      </c>
      <c r="Y266" s="147" t="str">
        <f t="shared" ca="1" si="23"/>
        <v/>
      </c>
      <c r="AD266" s="147" t="str">
        <f t="shared" ca="1" si="21"/>
        <v/>
      </c>
      <c r="AE266" s="147" t="str">
        <f t="shared" ca="1" si="24"/>
        <v/>
      </c>
      <c r="AF266" s="25"/>
      <c r="AH266" s="147" t="str">
        <f ca="1">IF(C266="","",VLOOKUP(C266,'Шаг1.Выбор плиты'!C:Q,7,0))</f>
        <v/>
      </c>
      <c r="AI266" s="147" t="str">
        <f t="shared" ca="1" si="22"/>
        <v/>
      </c>
    </row>
    <row r="267" spans="1:35" x14ac:dyDescent="0.2">
      <c r="A267" s="151" t="str">
        <f ca="1">IF(C267="","",MAX($A$1:OFFSET(C267,-1,0))+1)</f>
        <v/>
      </c>
      <c r="B267" s="151" t="str">
        <f ca="1">IFERROR(IFERROR(IFERROR("Шаг2.Бланк заказа NEW №"&amp;VLOOKUP(A266+1,CHOOSE({1,2},'Шаг2.Бланк заказа NEW'!$B$19:$B$201,'Шаг2.Бланк заказа NEW'!$A$19:$A$201),1,0),
"Бланк OLD 0.8 04 №"&amp;VLOOKUP(A266+1-COUNT('Шаг2.Бланк заказа NEW'!$B$19:$B$201),CHOOSE({1,2},'Бланк OLD 0.8 04'!$B$18:$B$200,'Бланк OLD 0.8 04'!$A$18:$A$200),1,0)),
"Бланк OLD 2.0 04 №"&amp;VLOOKUP(A266+1-COUNT('Шаг2.Бланк заказа NEW'!$B$19:$B$201)-COUNT('Бланк OLD 0.8 04'!$B$18:$B$200),CHOOSE({1,2},'Бланк OLD 2.0 04 '!$B$18:$B$200,'Бланк OLD 2.0 04 '!$A$18:$A$200),1,0)),"")</f>
        <v/>
      </c>
      <c r="C267" s="152" t="str">
        <f ca="1">IFERROR(IFERROR(IFERROR(VLOOKUP(A266+1,CHOOSE({1,2},'Шаг2.Бланк заказа NEW'!$B$19:$B$201,'Шаг2.Бланк заказа NEW'!$A$19:$A$201),2,0),
VLOOKUP(A266+1-COUNT('Шаг2.Бланк заказа NEW'!$B$19:$B$201),CHOOSE({1,2},'Бланк OLD 0.8 04'!$B$18:$B$200,'Бланк OLD 0.8 04'!$A$18:$A$200),2,0)),
VLOOKUP(A266+1-COUNT('Шаг2.Бланк заказа NEW'!$B$19:$B$201)-COUNT('Бланк OLD 0.8 04'!$B$18:$B$200),CHOOSE({1,2},'Бланк OLD 2.0 04 '!$B$18:$B$200,'Бланк OLD 2.0 04 '!$A$18:$A$200),2,0)),"")</f>
        <v/>
      </c>
      <c r="D267" s="150" t="str">
        <f ca="1">IFERROR(VLOOKUP(C267,'Шаг1.Выбор плиты'!C:G,5,0),"")</f>
        <v/>
      </c>
      <c r="E267" s="147" t="str">
        <f ca="1">IFERROR(IFERROR(IF(VLOOKUP($A267,'Шаг2.Бланк заказа NEW'!$B$17:$N$201,2,0)="","",VLOOKUP($A267,'Шаг2.Бланк заказа NEW'!$B$17:$N$201,2,0)),
IF(VLOOKUP($A267-COUNT('Шаг2.Бланк заказа NEW'!$B$19:$B$201),'Бланк OLD 0.8 04'!$B$12:$K$200,2,0)="","",VLOOKUP($A267-COUNT('Шаг2.Бланк заказа NEW'!$B$19:$B$201),'Бланк OLD 0.8 04'!$B$12:$K$200,2,0))),
IF(VLOOKUP($A267-COUNT('Шаг2.Бланк заказа NEW'!$B$19:$B$201)-COUNT('Бланк OLD 0.8 04'!$B$18:$B$200),'Бланк OLD 2.0 04 '!$B$16:$K$200,2,0)="","",VLOOKUP($A267-COUNT('Шаг2.Бланк заказа NEW'!$B$19:$B$201)-COUNT('Бланк OLD 0.8 04'!$B$18:$B$200),'Бланк OLD 2.0 04 '!$B$16:$K$200,2,0)))</f>
        <v/>
      </c>
      <c r="F267" s="147" t="str">
        <f ca="1">IFERROR(IFERROR(IF(VLOOKUP($A267,'Шаг2.Бланк заказа NEW'!$B$17:$N$201,3,0)="","",VLOOKUP($A267,'Шаг2.Бланк заказа NEW'!$B$17:$N$201,3,0)),
IF(VLOOKUP($A267-COUNT('Шаг2.Бланк заказа NEW'!$B$19:$B$201),'Бланк OLD 0.8 04'!$B$12:$K$200,3,0)="","",VLOOKUP($A267-COUNT('Шаг2.Бланк заказа NEW'!$B$19:$B$201),'Бланк OLD 0.8 04'!$B$12:$K$200,3,0))),
IF(VLOOKUP($A267-COUNT('Шаг2.Бланк заказа NEW'!$B$19:$B$201)-COUNT('Бланк OLD 0.8 04'!$B$18:$B$200),'Бланк OLD 2.0 04 '!$B$16:$K$200,3,0)="","",VLOOKUP($A267-COUNT('Шаг2.Бланк заказа NEW'!$B$19:$B$201)-COUNT('Бланк OLD 0.8 04'!$B$18:$B$200),'Бланк OLD 2.0 04 '!$B$16:$K$200,3,0)))</f>
        <v/>
      </c>
      <c r="G267" s="176" t="str">
        <f ca="1">IF(IF(R267="","",IF(R267=1,SUMIFS('Шаг1.Выбор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плиты'!C:Q,12,0)),1))))))=0,
R267,
IF(R267="","",IF(R267=1,SUMIFS('Шаг1.Выбор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плиты'!N:N,R267,'Шаг1.Выбор плиты'!M:M,SMALL(INDIRECT("мм"&amp;VLOOKUP(C267,'Шаг1.Выбор плиты'!C:Q,12,0)),1)))))))</f>
        <v/>
      </c>
      <c r="H267" s="177" t="str">
        <f ca="1">IF(IF(S267="","",IF(S267=1,SUMIFS('Шаг1.Выбор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плиты'!C:Q,12,0)),1))))))=0,
S267,
IF(S267="","",IF(S267=1,SUMIFS('Шаг1.Выбор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плиты'!N:N,S267,'Шаг1.Выбор плиты'!M:M,SMALL(INDIRECT("мм"&amp;VLOOKUP(C267,'Шаг1.Выбор плиты'!C:Q,12,0)),1)))))))</f>
        <v/>
      </c>
      <c r="I267" s="147" t="str">
        <f ca="1">IFERROR(IFERROR(IF(VLOOKUP($A267,'Шаг2.Бланк заказа NEW'!$B$17:$N$201,6,0)="","",VLOOKUP($A267,'Шаг2.Бланк заказа NEW'!$B$17:$N$201,6,0)),
IF(VLOOKUP($A267-COUNT('Шаг2.Бланк заказа NEW'!$B$19:$B$201),'Бланк OLD 0.8 04'!$B$12:$K$200,6,0)="","",VLOOKUP($A267-COUNT('Шаг2.Бланк заказа NEW'!$B$19:$B$201),'Бланк OLD 0.8 04'!$B$12:$K$200,6,0))),
IF(VLOOKUP($A267-COUNT('Шаг2.Бланк заказа NEW'!$B$19:$B$201)-COUNT('Бланк OLD 0.8 04'!$B$18:$B$200),'Бланк OLD 2.0 04 '!$B$16:$K$200,6,0)="","",VLOOKUP($A267-COUNT('Шаг2.Бланк заказа NEW'!$B$19:$B$201)-COUNT('Бланк OLD 0.8 04'!$B$18:$B$200),'Бланк OLD 2.0 04 '!$B$16:$K$200,6,0)))</f>
        <v/>
      </c>
      <c r="J267" s="177" t="str">
        <f ca="1">IF(IF(T267="","",IF(T267=1,SUMIFS('Шаг1.Выбор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плиты'!C:Q,12,0)),1))))))=0,
T267,
IF(T267="","",IF(T267=1,SUMIFS('Шаг1.Выбор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плиты'!N:N,T267,'Шаг1.Выбор плиты'!M:M,SMALL(INDIRECT("мм"&amp;VLOOKUP(C267,'Шаг1.Выбор плиты'!C:Q,12,0)),1)))))))</f>
        <v/>
      </c>
      <c r="K267" s="177" t="str">
        <f ca="1">IF(IF(U267="","",IF(U267=1,SUMIFS('Шаг1.Выбор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плиты'!C:Q,12,0)),1))))))=0,
U267,
IF(U267="","",IF(U267=1,SUMIFS('Шаг1.Выбор плиты'!$G:$G,'Шаг1.Выбор плиты'!J:J,"*"&amp;RIGHT(VLOOKUP(C267,'Шаг1.Выбор плиты'!C:Q,8,0),4),'Шаг1.Выбор плиты'!L:L,IF(MID(C267,1,6)="ЛДСП P","TM"&amp;MID(VLOOKUP(C267,'Шаг1.Выбор плиты'!C:Q,10,0),3,2),MID(VLOOKUP(C267,'Шаг1.Выбор плиты'!C:Q,10,0),1,2)),
'Шаг1.Выбор плиты'!N:N,1),IF(SUMIFS('Шаг1.Выбор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плиты'!C:Q,12,0)),1))=0,
IF(SUMIFS('Шаг1.Выбор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плиты'!C:Q,12,0)),2))=0,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плиты'!C:Q,12,0)),3)),
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плиты'!C:Q,12,0)),2))),
(SUMIFS('Шаг1.Выбор плиты'!$G:$G,'Шаг1.Выбор плиты'!J:J,"*"&amp;RIGHT(VLOOKUP(C267,'Шаг1.Выбор плиты'!C:Q,8,0),4),'Шаг1.Выбор плиты'!L:L,VLOOKUP(C267,'Шаг1.Выбор плиты'!C:Q,10,0),'Шаг1.Выбор плиты'!N:N,U267,'Шаг1.Выбор плиты'!M:M,SMALL(INDIRECT("мм"&amp;VLOOKUP(C267,'Шаг1.Выбор плиты'!C:Q,12,0)),1)))))))</f>
        <v/>
      </c>
      <c r="L267" s="147" t="str">
        <f ca="1">IFERROR(IFERROR(IF(VLOOKUP($A267,'Шаг2.Бланк заказа NEW'!$B$17:$N$201,9,0)="","",VLOOKUP($A267,'Шаг2.Бланк заказа NEW'!$B$17:$N$201,9,0)),
IF(VLOOKUP($A267-COUNT('Шаг2.Бланк заказа NEW'!$B$19:$B$201),'Бланк OLD 0.8 04'!$B$12:$K$200,9,0)="","",VLOOKUP($A267-COUNT('Шаг2.Бланк заказа NEW'!$B$19:$B$201),'Бланк OLD 0.8 04'!$B$12:$K$200,9,0))),
IF(VLOOKUP($A267-COUNT('Шаг2.Бланк заказа NEW'!$B$19:$B$201)-COUNT('Бланк OLD 0.8 04'!$B$18:$B$200),'Бланк OLD 2.0 04 '!$B$16:$K$200,9,0)="","",VLOOKUP($A267-COUNT('Шаг2.Бланк заказа NEW'!$B$19:$B$201)-COUNT('Бланк OLD 0.8 04'!$B$18:$B$200),'Бланк OLD 2.0 04 '!$B$16:$K$200,9,0)))</f>
        <v/>
      </c>
      <c r="M267" s="154" t="str">
        <f t="shared" ca="1" si="20"/>
        <v/>
      </c>
      <c r="N267" s="153" t="str">
        <f ca="1">IFERROR(IF(VLOOKUP($A267,'Шаг2.Бланк заказа NEW'!$B$17:$N$201,11,0)="","",VLOOKUP($A267,'Шаг2.Бланк заказа NEW'!$B$17:$N$201,11,0)),
"Нет")</f>
        <v/>
      </c>
      <c r="O267" s="147" t="str">
        <f ca="1">IFERROR(IF(VLOOKUP($A267,'Шаг2.Бланк заказа NEW'!$B$17:$N$201,11,0)="","",VLOOKUP($A267,'Шаг2.Бланк заказа NEW'!$B$17:$N$201,12,0)),
"Нет")</f>
        <v/>
      </c>
      <c r="P267" s="153" t="str">
        <f ca="1">IFERROR(IF(VLOOKUP($A267,'Шаг2.Бланк заказа NEW'!$B$17:$N$201,13,0)="","",VLOOKUP($A267,'Шаг2.Бланк заказа NEW'!$B$17:$N$201,13,0)),
"Нет")</f>
        <v/>
      </c>
      <c r="Q267" s="147" t="str">
        <f ca="1">IFERROR(IF(VLOOKUP($A267,'Шаг2.Бланк заказа NEW'!$B$17:$O$201,14,0)="","",VLOOKUP($A267,'Шаг2.Бланк заказа NEW'!$B$17:$O$201,14,0)),"")</f>
        <v/>
      </c>
      <c r="R267" s="147" t="str">
        <f ca="1">IFERROR(IFERROR(IF(VLOOKUP($A267,'Шаг2.Бланк заказа NEW'!$B$17:$N$201,4,0)="","",VLOOKUP($A267,'Шаг2.Бланк заказа NEW'!$B$17:$N$201,4,0)),
IF(VLOOKUP($A267-COUNT('Шаг2.Бланк заказа NEW'!$B$19:$B$201),'Бланк OLD 0.8 04'!$B$12:$K$200,4,0)&gt;0,0.8,
IF(VLOOKUP($A267-COUNT('Шаг2.Бланк заказа NEW'!$B$19:$B$201),'Бланк OLD 0.8 04'!$B$12:$K$200,5,0)&gt;0,0.4,""))),
IF(VLOOKUP($A267-COUNT('Шаг2.Бланк заказа NEW'!$B$19:$B$201)-COUNT('Бланк OLD 0.8 04'!$B$18:$B$200),'Бланк OLD 2.0 04 '!$B$16:$K$200,4,0)&gt;0,2,IF(VLOOKUP($A267-COUNT('Шаг2.Бланк заказа NEW'!$B$19:$B$201)-COUNT('Бланк OLD 0.8 04'!$B$18:$B$200),'Бланк OLD 2.0 04 '!$B$16:$K$200,5,0)&gt;0,0.4,"")))</f>
        <v/>
      </c>
      <c r="S267" s="147" t="str">
        <f ca="1">IFERROR(IFERROR(IF(VLOOKUP($A267,'Шаг2.Бланк заказа NEW'!$B$17:$N$201,5,0)="","",VLOOKUP($A267,'Шаг2.Бланк заказа NEW'!$B$17:$N$201,5,0)),
IF(VLOOKUP($A267-COUNT('Шаг2.Бланк заказа NEW'!$B$19:$B$201),'Бланк OLD 0.8 04'!$B$12:$K$200,4,0)&gt;1,0.8,
IF(VLOOKUP($A267-COUNT('Шаг2.Бланк заказа NEW'!$B$19:$B$201),'Бланк OLD 0.8 04'!$B$12:$K$200,5,0)&gt;1,0.4,
IF(AND(VLOOKUP($A267-COUNT('Шаг2.Бланк заказа NEW'!$B$19:$B$201),'Бланк OLD 0.8 04'!$B$12:$K$200,4,0)&gt;0,VLOOKUP($A267-COUNT('Шаг2.Бланк заказа NEW'!$B$19:$B$201),'Бланк OLD 0.8 04'!$B$12:$K$200,5,0)&gt;0),0.4,"")))),
IF(VLOOKUP($A267-COUNT('Шаг2.Бланк заказа NEW'!$B$19:$B$201)-COUNT('Бланк OLD 0.8 04'!$B$18:$B$200),'Бланк OLD 2.0 04 '!$B$16:$K$200,4,0)&gt;1,2,
IF(VLOOKUP($A267-COUNT('Шаг2.Бланк заказа NEW'!$B$19:$B$201)-COUNT('Бланк OLD 0.8 04'!$B$18:$B$200),'Бланк OLD 2.0 04 '!$B$16:$K$200,5,0)&gt;1,0.4,IF(AND(VLOOKUP($A267-COUNT('Шаг2.Бланк заказа NEW'!$B$19:$B$201)-COUNT('Бланк OLD 0.8 04'!$B$18:$B$200),'Бланк OLD 2.0 04 '!$B$16:$K$200,4,0)&gt;0,VLOOKUP($A267-COUNT('Шаг2.Бланк заказа NEW'!$B$19:$B$201)-COUNT('Бланк OLD 0.8 04'!$B$18:$B$200),'Бланк OLD 2.0 04 '!$B$16:$K$200,5,0)&gt;0),0.4,""))))</f>
        <v/>
      </c>
      <c r="T267" s="147" t="str">
        <f ca="1">IFERROR(IFERROR(IF(VLOOKUP($A267,'Шаг2.Бланк заказа NEW'!$B$17:$N$201,7,0)="","",VLOOKUP($A267,'Шаг2.Бланк заказа NEW'!$B$17:$N$201,7,0)),
IF(VLOOKUP($A267-COUNT('Шаг2.Бланк заказа NEW'!$B$19:$B$201),'Бланк OLD 0.8 04'!$B$12:$K$200,7,0)&gt;0,0.8,
IF(VLOOKUP($A267-COUNT('Шаг2.Бланк заказа NEW'!$B$19:$B$201),'Бланк OLD 0.8 04'!$B$12:$K$200,8,0)&gt;0,0.4,""))),
IF(VLOOKUP($A267-COUNT('Шаг2.Бланк заказа NEW'!$B$19:$B$201)-COUNT('Бланк OLD 0.8 04'!$B$18:$B$200),'Бланк OLD 2.0 04 '!$B$16:$K$200,7,0)&gt;0,2,IF(VLOOKUP($A267-COUNT('Шаг2.Бланк заказа NEW'!$B$19:$B$201)-COUNT('Бланк OLD 0.8 04'!$B$18:$B$200),'Бланк OLD 2.0 04 '!$B$16:$K$200,8,0)&gt;0,0.4,"")))</f>
        <v/>
      </c>
      <c r="U267" s="147" t="str">
        <f ca="1">IFERROR(IFERROR(IF(VLOOKUP($A267,'Шаг2.Бланк заказа NEW'!$B$17:$N$201,8,0)="","",VLOOKUP($A267,'Шаг2.Бланк заказа NEW'!$B$17:$N$201,8,0)),
IF(VLOOKUP($A267-COUNT('Шаг2.Бланк заказа NEW'!$B$19:$B$201),'Бланк OLD 0.8 04'!$B$12:$K$200,7,0)&gt;1,0.8,
IF(VLOOKUP($A267-COUNT('Шаг2.Бланк заказа NEW'!$B$19:$B$201),'Бланк OLD 0.8 04'!$B$12:$K$200,8,0)&gt;1,0.4,
IF(AND(VLOOKUP($A267-COUNT('Шаг2.Бланк заказа NEW'!$B$19:$B$201),'Бланк OLD 0.8 04'!$B$12:$K$200,7,0)&gt;0,VLOOKUP($A267-COUNT('Шаг2.Бланк заказа NEW'!$B$19:$B$201),'Бланк OLD 0.8 04'!$B$12:$K$200,8,0)&gt;0),0.4,"")))),
IF(VLOOKUP($A267-COUNT('Шаг2.Бланк заказа NEW'!$B$19:$B$201)-COUNT('Бланк OLD 0.8 04'!$B$18:$B$200),'Бланк OLD 2.0 04 '!$B$16:$K$200,7,0)&gt;1,2,
IF(VLOOKUP($A267-COUNT('Шаг2.Бланк заказа NEW'!$B$19:$B$201)-COUNT('Бланк OLD 0.8 04'!$B$18:$B$200),'Бланк OLD 2.0 04 '!$B$16:$K$200,8,0)&gt;1,0.4,
IF(AND(VLOOKUP($A267-COUNT('Шаг2.Бланк заказа NEW'!$B$19:$B$201)-COUNT('Бланк OLD 0.8 04'!$B$18:$B$200),'Бланк OLD 2.0 04 '!$B$16:$K$200,7,0)&gt;0,VLOOKUP($A267-COUNT('Шаг2.Бланк заказа NEW'!$B$19:$B$201)-COUNT('Бланк OLD 0.8 04'!$B$18:$B$200),'Бланк OLD 2.0 04 '!$B$16:$K$200,8,0)&gt;0),0.4,""))))</f>
        <v/>
      </c>
      <c r="V267" s="146" t="str">
        <f ca="1">IFERROR(VLOOKUP(C267,'Шаг1.Выбор плиты'!C:S,12,0),"")</f>
        <v/>
      </c>
      <c r="W267" s="146" t="str">
        <f ca="1">IFERROR(VLOOKUP(C267,'Шаг1.Выбор плиты'!C:S,8,0),"")</f>
        <v/>
      </c>
      <c r="X267" s="146" t="str">
        <f ca="1">IFERROR(VLOOKUP(C267,'Шаг1.Выбор плиты'!C:S,10,0),"")</f>
        <v/>
      </c>
      <c r="Y267" s="147" t="str">
        <f t="shared" ca="1" si="23"/>
        <v/>
      </c>
      <c r="AD267" s="147" t="str">
        <f t="shared" ca="1" si="21"/>
        <v/>
      </c>
      <c r="AE267" s="147" t="str">
        <f t="shared" ca="1" si="24"/>
        <v/>
      </c>
      <c r="AF267" s="25"/>
      <c r="AH267" s="147" t="str">
        <f ca="1">IF(C267="","",VLOOKUP(C267,'Шаг1.Выбор плиты'!C:Q,7,0))</f>
        <v/>
      </c>
      <c r="AI267" s="147" t="str">
        <f t="shared" ca="1" si="22"/>
        <v/>
      </c>
    </row>
    <row r="268" spans="1:35" x14ac:dyDescent="0.2">
      <c r="A268" s="151" t="str">
        <f ca="1">IF(C268="","",MAX($A$1:OFFSET(C268,-1,0))+1)</f>
        <v/>
      </c>
      <c r="B268" s="151" t="str">
        <f ca="1">IFERROR(IFERROR(IFERROR("Шаг2.Бланк заказа NEW №"&amp;VLOOKUP(A267+1,CHOOSE({1,2},'Шаг2.Бланк заказа NEW'!$B$19:$B$201,'Шаг2.Бланк заказа NEW'!$A$19:$A$201),1,0),
"Бланк OLD 0.8 04 №"&amp;VLOOKUP(A267+1-COUNT('Шаг2.Бланк заказа NEW'!$B$19:$B$201),CHOOSE({1,2},'Бланк OLD 0.8 04'!$B$18:$B$200,'Бланк OLD 0.8 04'!$A$18:$A$200),1,0)),
"Бланк OLD 2.0 04 №"&amp;VLOOKUP(A267+1-COUNT('Шаг2.Бланк заказа NEW'!$B$19:$B$201)-COUNT('Бланк OLD 0.8 04'!$B$18:$B$200),CHOOSE({1,2},'Бланк OLD 2.0 04 '!$B$18:$B$200,'Бланк OLD 2.0 04 '!$A$18:$A$200),1,0)),"")</f>
        <v/>
      </c>
      <c r="C268" s="152" t="str">
        <f ca="1">IFERROR(IFERROR(IFERROR(VLOOKUP(A267+1,CHOOSE({1,2},'Шаг2.Бланк заказа NEW'!$B$19:$B$201,'Шаг2.Бланк заказа NEW'!$A$19:$A$201),2,0),
VLOOKUP(A267+1-COUNT('Шаг2.Бланк заказа NEW'!$B$19:$B$201),CHOOSE({1,2},'Бланк OLD 0.8 04'!$B$18:$B$200,'Бланк OLD 0.8 04'!$A$18:$A$200),2,0)),
VLOOKUP(A267+1-COUNT('Шаг2.Бланк заказа NEW'!$B$19:$B$201)-COUNT('Бланк OLD 0.8 04'!$B$18:$B$200),CHOOSE({1,2},'Бланк OLD 2.0 04 '!$B$18:$B$200,'Бланк OLD 2.0 04 '!$A$18:$A$200),2,0)),"")</f>
        <v/>
      </c>
      <c r="D268" s="150" t="str">
        <f ca="1">IFERROR(VLOOKUP(C268,'Шаг1.Выбор плиты'!C:G,5,0),"")</f>
        <v/>
      </c>
      <c r="E268" s="147" t="str">
        <f ca="1">IFERROR(IFERROR(IF(VLOOKUP($A268,'Шаг2.Бланк заказа NEW'!$B$17:$N$201,2,0)="","",VLOOKUP($A268,'Шаг2.Бланк заказа NEW'!$B$17:$N$201,2,0)),
IF(VLOOKUP($A268-COUNT('Шаг2.Бланк заказа NEW'!$B$19:$B$201),'Бланк OLD 0.8 04'!$B$12:$K$200,2,0)="","",VLOOKUP($A268-COUNT('Шаг2.Бланк заказа NEW'!$B$19:$B$201),'Бланк OLD 0.8 04'!$B$12:$K$200,2,0))),
IF(VLOOKUP($A268-COUNT('Шаг2.Бланк заказа NEW'!$B$19:$B$201)-COUNT('Бланк OLD 0.8 04'!$B$18:$B$200),'Бланк OLD 2.0 04 '!$B$16:$K$200,2,0)="","",VLOOKUP($A268-COUNT('Шаг2.Бланк заказа NEW'!$B$19:$B$201)-COUNT('Бланк OLD 0.8 04'!$B$18:$B$200),'Бланк OLD 2.0 04 '!$B$16:$K$200,2,0)))</f>
        <v/>
      </c>
      <c r="F268" s="147" t="str">
        <f ca="1">IFERROR(IFERROR(IF(VLOOKUP($A268,'Шаг2.Бланк заказа NEW'!$B$17:$N$201,3,0)="","",VLOOKUP($A268,'Шаг2.Бланк заказа NEW'!$B$17:$N$201,3,0)),
IF(VLOOKUP($A268-COUNT('Шаг2.Бланк заказа NEW'!$B$19:$B$201),'Бланк OLD 0.8 04'!$B$12:$K$200,3,0)="","",VLOOKUP($A268-COUNT('Шаг2.Бланк заказа NEW'!$B$19:$B$201),'Бланк OLD 0.8 04'!$B$12:$K$200,3,0))),
IF(VLOOKUP($A268-COUNT('Шаг2.Бланк заказа NEW'!$B$19:$B$201)-COUNT('Бланк OLD 0.8 04'!$B$18:$B$200),'Бланк OLD 2.0 04 '!$B$16:$K$200,3,0)="","",VLOOKUP($A268-COUNT('Шаг2.Бланк заказа NEW'!$B$19:$B$201)-COUNT('Бланк OLD 0.8 04'!$B$18:$B$200),'Бланк OLD 2.0 04 '!$B$16:$K$200,3,0)))</f>
        <v/>
      </c>
      <c r="G268" s="176" t="str">
        <f ca="1">IF(IF(R268="","",IF(R268=1,SUMIFS('Шаг1.Выбор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плиты'!C:Q,12,0)),1))))))=0,
R268,
IF(R268="","",IF(R268=1,SUMIFS('Шаг1.Выбор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плиты'!N:N,R268,'Шаг1.Выбор плиты'!M:M,SMALL(INDIRECT("мм"&amp;VLOOKUP(C268,'Шаг1.Выбор плиты'!C:Q,12,0)),1)))))))</f>
        <v/>
      </c>
      <c r="H268" s="177" t="str">
        <f ca="1">IF(IF(S268="","",IF(S268=1,SUMIFS('Шаг1.Выбор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плиты'!C:Q,12,0)),1))))))=0,
S268,
IF(S268="","",IF(S268=1,SUMIFS('Шаг1.Выбор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плиты'!N:N,S268,'Шаг1.Выбор плиты'!M:M,SMALL(INDIRECT("мм"&amp;VLOOKUP(C268,'Шаг1.Выбор плиты'!C:Q,12,0)),1)))))))</f>
        <v/>
      </c>
      <c r="I268" s="147" t="str">
        <f ca="1">IFERROR(IFERROR(IF(VLOOKUP($A268,'Шаг2.Бланк заказа NEW'!$B$17:$N$201,6,0)="","",VLOOKUP($A268,'Шаг2.Бланк заказа NEW'!$B$17:$N$201,6,0)),
IF(VLOOKUP($A268-COUNT('Шаг2.Бланк заказа NEW'!$B$19:$B$201),'Бланк OLD 0.8 04'!$B$12:$K$200,6,0)="","",VLOOKUP($A268-COUNT('Шаг2.Бланк заказа NEW'!$B$19:$B$201),'Бланк OLD 0.8 04'!$B$12:$K$200,6,0))),
IF(VLOOKUP($A268-COUNT('Шаг2.Бланк заказа NEW'!$B$19:$B$201)-COUNT('Бланк OLD 0.8 04'!$B$18:$B$200),'Бланк OLD 2.0 04 '!$B$16:$K$200,6,0)="","",VLOOKUP($A268-COUNT('Шаг2.Бланк заказа NEW'!$B$19:$B$201)-COUNT('Бланк OLD 0.8 04'!$B$18:$B$200),'Бланк OLD 2.0 04 '!$B$16:$K$200,6,0)))</f>
        <v/>
      </c>
      <c r="J268" s="177" t="str">
        <f ca="1">IF(IF(T268="","",IF(T268=1,SUMIFS('Шаг1.Выбор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плиты'!C:Q,12,0)),1))))))=0,
T268,
IF(T268="","",IF(T268=1,SUMIFS('Шаг1.Выбор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плиты'!N:N,T268,'Шаг1.Выбор плиты'!M:M,SMALL(INDIRECT("мм"&amp;VLOOKUP(C268,'Шаг1.Выбор плиты'!C:Q,12,0)),1)))))))</f>
        <v/>
      </c>
      <c r="K268" s="177" t="str">
        <f ca="1">IF(IF(U268="","",IF(U268=1,SUMIFS('Шаг1.Выбор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плиты'!C:Q,12,0)),1))))))=0,
U268,
IF(U268="","",IF(U268=1,SUMIFS('Шаг1.Выбор плиты'!$G:$G,'Шаг1.Выбор плиты'!J:J,"*"&amp;RIGHT(VLOOKUP(C268,'Шаг1.Выбор плиты'!C:Q,8,0),4),'Шаг1.Выбор плиты'!L:L,IF(MID(C268,1,6)="ЛДСП P","TM"&amp;MID(VLOOKUP(C268,'Шаг1.Выбор плиты'!C:Q,10,0),3,2),MID(VLOOKUP(C268,'Шаг1.Выбор плиты'!C:Q,10,0),1,2)),
'Шаг1.Выбор плиты'!N:N,1),IF(SUMIFS('Шаг1.Выбор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плиты'!C:Q,12,0)),1))=0,
IF(SUMIFS('Шаг1.Выбор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плиты'!C:Q,12,0)),2))=0,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плиты'!C:Q,12,0)),3)),
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плиты'!C:Q,12,0)),2))),
(SUMIFS('Шаг1.Выбор плиты'!$G:$G,'Шаг1.Выбор плиты'!J:J,"*"&amp;RIGHT(VLOOKUP(C268,'Шаг1.Выбор плиты'!C:Q,8,0),4),'Шаг1.Выбор плиты'!L:L,VLOOKUP(C268,'Шаг1.Выбор плиты'!C:Q,10,0),'Шаг1.Выбор плиты'!N:N,U268,'Шаг1.Выбор плиты'!M:M,SMALL(INDIRECT("мм"&amp;VLOOKUP(C268,'Шаг1.Выбор плиты'!C:Q,12,0)),1)))))))</f>
        <v/>
      </c>
      <c r="L268" s="147" t="str">
        <f ca="1">IFERROR(IFERROR(IF(VLOOKUP($A268,'Шаг2.Бланк заказа NEW'!$B$17:$N$201,9,0)="","",VLOOKUP($A268,'Шаг2.Бланк заказа NEW'!$B$17:$N$201,9,0)),
IF(VLOOKUP($A268-COUNT('Шаг2.Бланк заказа NEW'!$B$19:$B$201),'Бланк OLD 0.8 04'!$B$12:$K$200,9,0)="","",VLOOKUP($A268-COUNT('Шаг2.Бланк заказа NEW'!$B$19:$B$201),'Бланк OLD 0.8 04'!$B$12:$K$200,9,0))),
IF(VLOOKUP($A268-COUNT('Шаг2.Бланк заказа NEW'!$B$19:$B$201)-COUNT('Бланк OLD 0.8 04'!$B$18:$B$200),'Бланк OLD 2.0 04 '!$B$16:$K$200,9,0)="","",VLOOKUP($A268-COUNT('Шаг2.Бланк заказа NEW'!$B$19:$B$201)-COUNT('Бланк OLD 0.8 04'!$B$18:$B$200),'Бланк OLD 2.0 04 '!$B$16:$K$200,9,0)))</f>
        <v/>
      </c>
      <c r="M268" s="154" t="str">
        <f t="shared" ca="1" si="20"/>
        <v/>
      </c>
      <c r="N268" s="153" t="str">
        <f ca="1">IFERROR(IF(VLOOKUP($A268,'Шаг2.Бланк заказа NEW'!$B$17:$N$201,11,0)="","",VLOOKUP($A268,'Шаг2.Бланк заказа NEW'!$B$17:$N$201,11,0)),
"Нет")</f>
        <v/>
      </c>
      <c r="O268" s="147" t="str">
        <f ca="1">IFERROR(IF(VLOOKUP($A268,'Шаг2.Бланк заказа NEW'!$B$17:$N$201,11,0)="","",VLOOKUP($A268,'Шаг2.Бланк заказа NEW'!$B$17:$N$201,12,0)),
"Нет")</f>
        <v/>
      </c>
      <c r="P268" s="153" t="str">
        <f ca="1">IFERROR(IF(VLOOKUP($A268,'Шаг2.Бланк заказа NEW'!$B$17:$N$201,13,0)="","",VLOOKUP($A268,'Шаг2.Бланк заказа NEW'!$B$17:$N$201,13,0)),
"Нет")</f>
        <v/>
      </c>
      <c r="Q268" s="147" t="str">
        <f ca="1">IFERROR(IF(VLOOKUP($A268,'Шаг2.Бланк заказа NEW'!$B$17:$O$201,14,0)="","",VLOOKUP($A268,'Шаг2.Бланк заказа NEW'!$B$17:$O$201,14,0)),"")</f>
        <v/>
      </c>
      <c r="R268" s="147" t="str">
        <f ca="1">IFERROR(IFERROR(IF(VLOOKUP($A268,'Шаг2.Бланк заказа NEW'!$B$17:$N$201,4,0)="","",VLOOKUP($A268,'Шаг2.Бланк заказа NEW'!$B$17:$N$201,4,0)),
IF(VLOOKUP($A268-COUNT('Шаг2.Бланк заказа NEW'!$B$19:$B$201),'Бланк OLD 0.8 04'!$B$12:$K$200,4,0)&gt;0,0.8,
IF(VLOOKUP($A268-COUNT('Шаг2.Бланк заказа NEW'!$B$19:$B$201),'Бланк OLD 0.8 04'!$B$12:$K$200,5,0)&gt;0,0.4,""))),
IF(VLOOKUP($A268-COUNT('Шаг2.Бланк заказа NEW'!$B$19:$B$201)-COUNT('Бланк OLD 0.8 04'!$B$18:$B$200),'Бланк OLD 2.0 04 '!$B$16:$K$200,4,0)&gt;0,2,IF(VLOOKUP($A268-COUNT('Шаг2.Бланк заказа NEW'!$B$19:$B$201)-COUNT('Бланк OLD 0.8 04'!$B$18:$B$200),'Бланк OLD 2.0 04 '!$B$16:$K$200,5,0)&gt;0,0.4,"")))</f>
        <v/>
      </c>
      <c r="S268" s="147" t="str">
        <f ca="1">IFERROR(IFERROR(IF(VLOOKUP($A268,'Шаг2.Бланк заказа NEW'!$B$17:$N$201,5,0)="","",VLOOKUP($A268,'Шаг2.Бланк заказа NEW'!$B$17:$N$201,5,0)),
IF(VLOOKUP($A268-COUNT('Шаг2.Бланк заказа NEW'!$B$19:$B$201),'Бланк OLD 0.8 04'!$B$12:$K$200,4,0)&gt;1,0.8,
IF(VLOOKUP($A268-COUNT('Шаг2.Бланк заказа NEW'!$B$19:$B$201),'Бланк OLD 0.8 04'!$B$12:$K$200,5,0)&gt;1,0.4,
IF(AND(VLOOKUP($A268-COUNT('Шаг2.Бланк заказа NEW'!$B$19:$B$201),'Бланк OLD 0.8 04'!$B$12:$K$200,4,0)&gt;0,VLOOKUP($A268-COUNT('Шаг2.Бланк заказа NEW'!$B$19:$B$201),'Бланк OLD 0.8 04'!$B$12:$K$200,5,0)&gt;0),0.4,"")))),
IF(VLOOKUP($A268-COUNT('Шаг2.Бланк заказа NEW'!$B$19:$B$201)-COUNT('Бланк OLD 0.8 04'!$B$18:$B$200),'Бланк OLD 2.0 04 '!$B$16:$K$200,4,0)&gt;1,2,
IF(VLOOKUP($A268-COUNT('Шаг2.Бланк заказа NEW'!$B$19:$B$201)-COUNT('Бланк OLD 0.8 04'!$B$18:$B$200),'Бланк OLD 2.0 04 '!$B$16:$K$200,5,0)&gt;1,0.4,IF(AND(VLOOKUP($A268-COUNT('Шаг2.Бланк заказа NEW'!$B$19:$B$201)-COUNT('Бланк OLD 0.8 04'!$B$18:$B$200),'Бланк OLD 2.0 04 '!$B$16:$K$200,4,0)&gt;0,VLOOKUP($A268-COUNT('Шаг2.Бланк заказа NEW'!$B$19:$B$201)-COUNT('Бланк OLD 0.8 04'!$B$18:$B$200),'Бланк OLD 2.0 04 '!$B$16:$K$200,5,0)&gt;0),0.4,""))))</f>
        <v/>
      </c>
      <c r="T268" s="147" t="str">
        <f ca="1">IFERROR(IFERROR(IF(VLOOKUP($A268,'Шаг2.Бланк заказа NEW'!$B$17:$N$201,7,0)="","",VLOOKUP($A268,'Шаг2.Бланк заказа NEW'!$B$17:$N$201,7,0)),
IF(VLOOKUP($A268-COUNT('Шаг2.Бланк заказа NEW'!$B$19:$B$201),'Бланк OLD 0.8 04'!$B$12:$K$200,7,0)&gt;0,0.8,
IF(VLOOKUP($A268-COUNT('Шаг2.Бланк заказа NEW'!$B$19:$B$201),'Бланк OLD 0.8 04'!$B$12:$K$200,8,0)&gt;0,0.4,""))),
IF(VLOOKUP($A268-COUNT('Шаг2.Бланк заказа NEW'!$B$19:$B$201)-COUNT('Бланк OLD 0.8 04'!$B$18:$B$200),'Бланк OLD 2.0 04 '!$B$16:$K$200,7,0)&gt;0,2,IF(VLOOKUP($A268-COUNT('Шаг2.Бланк заказа NEW'!$B$19:$B$201)-COUNT('Бланк OLD 0.8 04'!$B$18:$B$200),'Бланк OLD 2.0 04 '!$B$16:$K$200,8,0)&gt;0,0.4,"")))</f>
        <v/>
      </c>
      <c r="U268" s="147" t="str">
        <f ca="1">IFERROR(IFERROR(IF(VLOOKUP($A268,'Шаг2.Бланк заказа NEW'!$B$17:$N$201,8,0)="","",VLOOKUP($A268,'Шаг2.Бланк заказа NEW'!$B$17:$N$201,8,0)),
IF(VLOOKUP($A268-COUNT('Шаг2.Бланк заказа NEW'!$B$19:$B$201),'Бланк OLD 0.8 04'!$B$12:$K$200,7,0)&gt;1,0.8,
IF(VLOOKUP($A268-COUNT('Шаг2.Бланк заказа NEW'!$B$19:$B$201),'Бланк OLD 0.8 04'!$B$12:$K$200,8,0)&gt;1,0.4,
IF(AND(VLOOKUP($A268-COUNT('Шаг2.Бланк заказа NEW'!$B$19:$B$201),'Бланк OLD 0.8 04'!$B$12:$K$200,7,0)&gt;0,VLOOKUP($A268-COUNT('Шаг2.Бланк заказа NEW'!$B$19:$B$201),'Бланк OLD 0.8 04'!$B$12:$K$200,8,0)&gt;0),0.4,"")))),
IF(VLOOKUP($A268-COUNT('Шаг2.Бланк заказа NEW'!$B$19:$B$201)-COUNT('Бланк OLD 0.8 04'!$B$18:$B$200),'Бланк OLD 2.0 04 '!$B$16:$K$200,7,0)&gt;1,2,
IF(VLOOKUP($A268-COUNT('Шаг2.Бланк заказа NEW'!$B$19:$B$201)-COUNT('Бланк OLD 0.8 04'!$B$18:$B$200),'Бланк OLD 2.0 04 '!$B$16:$K$200,8,0)&gt;1,0.4,
IF(AND(VLOOKUP($A268-COUNT('Шаг2.Бланк заказа NEW'!$B$19:$B$201)-COUNT('Бланк OLD 0.8 04'!$B$18:$B$200),'Бланк OLD 2.0 04 '!$B$16:$K$200,7,0)&gt;0,VLOOKUP($A268-COUNT('Шаг2.Бланк заказа NEW'!$B$19:$B$201)-COUNT('Бланк OLD 0.8 04'!$B$18:$B$200),'Бланк OLD 2.0 04 '!$B$16:$K$200,8,0)&gt;0),0.4,""))))</f>
        <v/>
      </c>
      <c r="V268" s="146" t="str">
        <f ca="1">IFERROR(VLOOKUP(C268,'Шаг1.Выбор плиты'!C:S,12,0),"")</f>
        <v/>
      </c>
      <c r="W268" s="146" t="str">
        <f ca="1">IFERROR(VLOOKUP(C268,'Шаг1.Выбор плиты'!C:S,8,0),"")</f>
        <v/>
      </c>
      <c r="X268" s="146" t="str">
        <f ca="1">IFERROR(VLOOKUP(C268,'Шаг1.Выбор плиты'!C:S,10,0),"")</f>
        <v/>
      </c>
      <c r="Y268" s="147" t="str">
        <f t="shared" ca="1" si="23"/>
        <v/>
      </c>
      <c r="AD268" s="147" t="str">
        <f t="shared" ca="1" si="21"/>
        <v/>
      </c>
      <c r="AE268" s="147" t="str">
        <f t="shared" ca="1" si="24"/>
        <v/>
      </c>
      <c r="AF268" s="25"/>
      <c r="AH268" s="147" t="str">
        <f ca="1">IF(C268="","",VLOOKUP(C268,'Шаг1.Выбор плиты'!C:Q,7,0))</f>
        <v/>
      </c>
      <c r="AI268" s="147" t="str">
        <f t="shared" ca="1" si="22"/>
        <v/>
      </c>
    </row>
    <row r="269" spans="1:35" x14ac:dyDescent="0.2">
      <c r="A269" s="151" t="str">
        <f ca="1">IF(C269="","",MAX($A$1:OFFSET(C269,-1,0))+1)</f>
        <v/>
      </c>
      <c r="B269" s="151" t="str">
        <f ca="1">IFERROR(IFERROR(IFERROR("Шаг2.Бланк заказа NEW №"&amp;VLOOKUP(A268+1,CHOOSE({1,2},'Шаг2.Бланк заказа NEW'!$B$19:$B$201,'Шаг2.Бланк заказа NEW'!$A$19:$A$201),1,0),
"Бланк OLD 0.8 04 №"&amp;VLOOKUP(A268+1-COUNT('Шаг2.Бланк заказа NEW'!$B$19:$B$201),CHOOSE({1,2},'Бланк OLD 0.8 04'!$B$18:$B$200,'Бланк OLD 0.8 04'!$A$18:$A$200),1,0)),
"Бланк OLD 2.0 04 №"&amp;VLOOKUP(A268+1-COUNT('Шаг2.Бланк заказа NEW'!$B$19:$B$201)-COUNT('Бланк OLD 0.8 04'!$B$18:$B$200),CHOOSE({1,2},'Бланк OLD 2.0 04 '!$B$18:$B$200,'Бланк OLD 2.0 04 '!$A$18:$A$200),1,0)),"")</f>
        <v/>
      </c>
      <c r="C269" s="152" t="str">
        <f ca="1">IFERROR(IFERROR(IFERROR(VLOOKUP(A268+1,CHOOSE({1,2},'Шаг2.Бланк заказа NEW'!$B$19:$B$201,'Шаг2.Бланк заказа NEW'!$A$19:$A$201),2,0),
VLOOKUP(A268+1-COUNT('Шаг2.Бланк заказа NEW'!$B$19:$B$201),CHOOSE({1,2},'Бланк OLD 0.8 04'!$B$18:$B$200,'Бланк OLD 0.8 04'!$A$18:$A$200),2,0)),
VLOOKUP(A268+1-COUNT('Шаг2.Бланк заказа NEW'!$B$19:$B$201)-COUNT('Бланк OLD 0.8 04'!$B$18:$B$200),CHOOSE({1,2},'Бланк OLD 2.0 04 '!$B$18:$B$200,'Бланк OLD 2.0 04 '!$A$18:$A$200),2,0)),"")</f>
        <v/>
      </c>
      <c r="D269" s="150" t="str">
        <f ca="1">IFERROR(VLOOKUP(C269,'Шаг1.Выбор плиты'!C:G,5,0),"")</f>
        <v/>
      </c>
      <c r="E269" s="147" t="str">
        <f ca="1">IFERROR(IFERROR(IF(VLOOKUP($A269,'Шаг2.Бланк заказа NEW'!$B$17:$N$201,2,0)="","",VLOOKUP($A269,'Шаг2.Бланк заказа NEW'!$B$17:$N$201,2,0)),
IF(VLOOKUP($A269-COUNT('Шаг2.Бланк заказа NEW'!$B$19:$B$201),'Бланк OLD 0.8 04'!$B$12:$K$200,2,0)="","",VLOOKUP($A269-COUNT('Шаг2.Бланк заказа NEW'!$B$19:$B$201),'Бланк OLD 0.8 04'!$B$12:$K$200,2,0))),
IF(VLOOKUP($A269-COUNT('Шаг2.Бланк заказа NEW'!$B$19:$B$201)-COUNT('Бланк OLD 0.8 04'!$B$18:$B$200),'Бланк OLD 2.0 04 '!$B$16:$K$200,2,0)="","",VLOOKUP($A269-COUNT('Шаг2.Бланк заказа NEW'!$B$19:$B$201)-COUNT('Бланк OLD 0.8 04'!$B$18:$B$200),'Бланк OLD 2.0 04 '!$B$16:$K$200,2,0)))</f>
        <v/>
      </c>
      <c r="F269" s="147" t="str">
        <f ca="1">IFERROR(IFERROR(IF(VLOOKUP($A269,'Шаг2.Бланк заказа NEW'!$B$17:$N$201,3,0)="","",VLOOKUP($A269,'Шаг2.Бланк заказа NEW'!$B$17:$N$201,3,0)),
IF(VLOOKUP($A269-COUNT('Шаг2.Бланк заказа NEW'!$B$19:$B$201),'Бланк OLD 0.8 04'!$B$12:$K$200,3,0)="","",VLOOKUP($A269-COUNT('Шаг2.Бланк заказа NEW'!$B$19:$B$201),'Бланк OLD 0.8 04'!$B$12:$K$200,3,0))),
IF(VLOOKUP($A269-COUNT('Шаг2.Бланк заказа NEW'!$B$19:$B$201)-COUNT('Бланк OLD 0.8 04'!$B$18:$B$200),'Бланк OLD 2.0 04 '!$B$16:$K$200,3,0)="","",VLOOKUP($A269-COUNT('Шаг2.Бланк заказа NEW'!$B$19:$B$201)-COUNT('Бланк OLD 0.8 04'!$B$18:$B$200),'Бланк OLD 2.0 04 '!$B$16:$K$200,3,0)))</f>
        <v/>
      </c>
      <c r="G269" s="176" t="str">
        <f ca="1">IF(IF(R269="","",IF(R269=1,SUMIFS('Шаг1.Выбор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плиты'!C:Q,12,0)),1))))))=0,
R269,
IF(R269="","",IF(R269=1,SUMIFS('Шаг1.Выбор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плиты'!N:N,R269,'Шаг1.Выбор плиты'!M:M,SMALL(INDIRECT("мм"&amp;VLOOKUP(C269,'Шаг1.Выбор плиты'!C:Q,12,0)),1)))))))</f>
        <v/>
      </c>
      <c r="H269" s="177" t="str">
        <f ca="1">IF(IF(S269="","",IF(S269=1,SUMIFS('Шаг1.Выбор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плиты'!C:Q,12,0)),1))))))=0,
S269,
IF(S269="","",IF(S269=1,SUMIFS('Шаг1.Выбор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плиты'!N:N,S269,'Шаг1.Выбор плиты'!M:M,SMALL(INDIRECT("мм"&amp;VLOOKUP(C269,'Шаг1.Выбор плиты'!C:Q,12,0)),1)))))))</f>
        <v/>
      </c>
      <c r="I269" s="147" t="str">
        <f ca="1">IFERROR(IFERROR(IF(VLOOKUP($A269,'Шаг2.Бланк заказа NEW'!$B$17:$N$201,6,0)="","",VLOOKUP($A269,'Шаг2.Бланк заказа NEW'!$B$17:$N$201,6,0)),
IF(VLOOKUP($A269-COUNT('Шаг2.Бланк заказа NEW'!$B$19:$B$201),'Бланк OLD 0.8 04'!$B$12:$K$200,6,0)="","",VLOOKUP($A269-COUNT('Шаг2.Бланк заказа NEW'!$B$19:$B$201),'Бланк OLD 0.8 04'!$B$12:$K$200,6,0))),
IF(VLOOKUP($A269-COUNT('Шаг2.Бланк заказа NEW'!$B$19:$B$201)-COUNT('Бланк OLD 0.8 04'!$B$18:$B$200),'Бланк OLD 2.0 04 '!$B$16:$K$200,6,0)="","",VLOOKUP($A269-COUNT('Шаг2.Бланк заказа NEW'!$B$19:$B$201)-COUNT('Бланк OLD 0.8 04'!$B$18:$B$200),'Бланк OLD 2.0 04 '!$B$16:$K$200,6,0)))</f>
        <v/>
      </c>
      <c r="J269" s="177" t="str">
        <f ca="1">IF(IF(T269="","",IF(T269=1,SUMIFS('Шаг1.Выбор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плиты'!C:Q,12,0)),1))))))=0,
T269,
IF(T269="","",IF(T269=1,SUMIFS('Шаг1.Выбор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плиты'!N:N,T269,'Шаг1.Выбор плиты'!M:M,SMALL(INDIRECT("мм"&amp;VLOOKUP(C269,'Шаг1.Выбор плиты'!C:Q,12,0)),1)))))))</f>
        <v/>
      </c>
      <c r="K269" s="177" t="str">
        <f ca="1">IF(IF(U269="","",IF(U269=1,SUMIFS('Шаг1.Выбор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плиты'!C:Q,12,0)),1))))))=0,
U269,
IF(U269="","",IF(U269=1,SUMIFS('Шаг1.Выбор плиты'!$G:$G,'Шаг1.Выбор плиты'!J:J,"*"&amp;RIGHT(VLOOKUP(C269,'Шаг1.Выбор плиты'!C:Q,8,0),4),'Шаг1.Выбор плиты'!L:L,IF(MID(C269,1,6)="ЛДСП P","TM"&amp;MID(VLOOKUP(C269,'Шаг1.Выбор плиты'!C:Q,10,0),3,2),MID(VLOOKUP(C269,'Шаг1.Выбор плиты'!C:Q,10,0),1,2)),
'Шаг1.Выбор плиты'!N:N,1),IF(SUMIFS('Шаг1.Выбор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плиты'!C:Q,12,0)),1))=0,
IF(SUMIFS('Шаг1.Выбор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плиты'!C:Q,12,0)),2))=0,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плиты'!C:Q,12,0)),3)),
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плиты'!C:Q,12,0)),2))),
(SUMIFS('Шаг1.Выбор плиты'!$G:$G,'Шаг1.Выбор плиты'!J:J,"*"&amp;RIGHT(VLOOKUP(C269,'Шаг1.Выбор плиты'!C:Q,8,0),4),'Шаг1.Выбор плиты'!L:L,VLOOKUP(C269,'Шаг1.Выбор плиты'!C:Q,10,0),'Шаг1.Выбор плиты'!N:N,U269,'Шаг1.Выбор плиты'!M:M,SMALL(INDIRECT("мм"&amp;VLOOKUP(C269,'Шаг1.Выбор плиты'!C:Q,12,0)),1)))))))</f>
        <v/>
      </c>
      <c r="L269" s="147" t="str">
        <f ca="1">IFERROR(IFERROR(IF(VLOOKUP($A269,'Шаг2.Бланк заказа NEW'!$B$17:$N$201,9,0)="","",VLOOKUP($A269,'Шаг2.Бланк заказа NEW'!$B$17:$N$201,9,0)),
IF(VLOOKUP($A269-COUNT('Шаг2.Бланк заказа NEW'!$B$19:$B$201),'Бланк OLD 0.8 04'!$B$12:$K$200,9,0)="","",VLOOKUP($A269-COUNT('Шаг2.Бланк заказа NEW'!$B$19:$B$201),'Бланк OLD 0.8 04'!$B$12:$K$200,9,0))),
IF(VLOOKUP($A269-COUNT('Шаг2.Бланк заказа NEW'!$B$19:$B$201)-COUNT('Бланк OLD 0.8 04'!$B$18:$B$200),'Бланк OLD 2.0 04 '!$B$16:$K$200,9,0)="","",VLOOKUP($A269-COUNT('Шаг2.Бланк заказа NEW'!$B$19:$B$201)-COUNT('Бланк OLD 0.8 04'!$B$18:$B$200),'Бланк OLD 2.0 04 '!$B$16:$K$200,9,0)))</f>
        <v/>
      </c>
      <c r="M269" s="154" t="str">
        <f t="shared" ca="1" si="20"/>
        <v/>
      </c>
      <c r="N269" s="153" t="str">
        <f ca="1">IFERROR(IF(VLOOKUP($A269,'Шаг2.Бланк заказа NEW'!$B$17:$N$201,11,0)="","",VLOOKUP($A269,'Шаг2.Бланк заказа NEW'!$B$17:$N$201,11,0)),
"Нет")</f>
        <v/>
      </c>
      <c r="O269" s="147" t="str">
        <f ca="1">IFERROR(IF(VLOOKUP($A269,'Шаг2.Бланк заказа NEW'!$B$17:$N$201,11,0)="","",VLOOKUP($A269,'Шаг2.Бланк заказа NEW'!$B$17:$N$201,12,0)),
"Нет")</f>
        <v/>
      </c>
      <c r="P269" s="153" t="str">
        <f ca="1">IFERROR(IF(VLOOKUP($A269,'Шаг2.Бланк заказа NEW'!$B$17:$N$201,13,0)="","",VLOOKUP($A269,'Шаг2.Бланк заказа NEW'!$B$17:$N$201,13,0)),
"Нет")</f>
        <v/>
      </c>
      <c r="Q269" s="147" t="str">
        <f ca="1">IFERROR(IF(VLOOKUP($A269,'Шаг2.Бланк заказа NEW'!$B$17:$O$201,14,0)="","",VLOOKUP($A269,'Шаг2.Бланк заказа NEW'!$B$17:$O$201,14,0)),"")</f>
        <v/>
      </c>
      <c r="R269" s="147" t="str">
        <f ca="1">IFERROR(IFERROR(IF(VLOOKUP($A269,'Шаг2.Бланк заказа NEW'!$B$17:$N$201,4,0)="","",VLOOKUP($A269,'Шаг2.Бланк заказа NEW'!$B$17:$N$201,4,0)),
IF(VLOOKUP($A269-COUNT('Шаг2.Бланк заказа NEW'!$B$19:$B$201),'Бланк OLD 0.8 04'!$B$12:$K$200,4,0)&gt;0,0.8,
IF(VLOOKUP($A269-COUNT('Шаг2.Бланк заказа NEW'!$B$19:$B$201),'Бланк OLD 0.8 04'!$B$12:$K$200,5,0)&gt;0,0.4,""))),
IF(VLOOKUP($A269-COUNT('Шаг2.Бланк заказа NEW'!$B$19:$B$201)-COUNT('Бланк OLD 0.8 04'!$B$18:$B$200),'Бланк OLD 2.0 04 '!$B$16:$K$200,4,0)&gt;0,2,IF(VLOOKUP($A269-COUNT('Шаг2.Бланк заказа NEW'!$B$19:$B$201)-COUNT('Бланк OLD 0.8 04'!$B$18:$B$200),'Бланк OLD 2.0 04 '!$B$16:$K$200,5,0)&gt;0,0.4,"")))</f>
        <v/>
      </c>
      <c r="S269" s="147" t="str">
        <f ca="1">IFERROR(IFERROR(IF(VLOOKUP($A269,'Шаг2.Бланк заказа NEW'!$B$17:$N$201,5,0)="","",VLOOKUP($A269,'Шаг2.Бланк заказа NEW'!$B$17:$N$201,5,0)),
IF(VLOOKUP($A269-COUNT('Шаг2.Бланк заказа NEW'!$B$19:$B$201),'Бланк OLD 0.8 04'!$B$12:$K$200,4,0)&gt;1,0.8,
IF(VLOOKUP($A269-COUNT('Шаг2.Бланк заказа NEW'!$B$19:$B$201),'Бланк OLD 0.8 04'!$B$12:$K$200,5,0)&gt;1,0.4,
IF(AND(VLOOKUP($A269-COUNT('Шаг2.Бланк заказа NEW'!$B$19:$B$201),'Бланк OLD 0.8 04'!$B$12:$K$200,4,0)&gt;0,VLOOKUP($A269-COUNT('Шаг2.Бланк заказа NEW'!$B$19:$B$201),'Бланк OLD 0.8 04'!$B$12:$K$200,5,0)&gt;0),0.4,"")))),
IF(VLOOKUP($A269-COUNT('Шаг2.Бланк заказа NEW'!$B$19:$B$201)-COUNT('Бланк OLD 0.8 04'!$B$18:$B$200),'Бланк OLD 2.0 04 '!$B$16:$K$200,4,0)&gt;1,2,
IF(VLOOKUP($A269-COUNT('Шаг2.Бланк заказа NEW'!$B$19:$B$201)-COUNT('Бланк OLD 0.8 04'!$B$18:$B$200),'Бланк OLD 2.0 04 '!$B$16:$K$200,5,0)&gt;1,0.4,IF(AND(VLOOKUP($A269-COUNT('Шаг2.Бланк заказа NEW'!$B$19:$B$201)-COUNT('Бланк OLD 0.8 04'!$B$18:$B$200),'Бланк OLD 2.0 04 '!$B$16:$K$200,4,0)&gt;0,VLOOKUP($A269-COUNT('Шаг2.Бланк заказа NEW'!$B$19:$B$201)-COUNT('Бланк OLD 0.8 04'!$B$18:$B$200),'Бланк OLD 2.0 04 '!$B$16:$K$200,5,0)&gt;0),0.4,""))))</f>
        <v/>
      </c>
      <c r="T269" s="147" t="str">
        <f ca="1">IFERROR(IFERROR(IF(VLOOKUP($A269,'Шаг2.Бланк заказа NEW'!$B$17:$N$201,7,0)="","",VLOOKUP($A269,'Шаг2.Бланк заказа NEW'!$B$17:$N$201,7,0)),
IF(VLOOKUP($A269-COUNT('Шаг2.Бланк заказа NEW'!$B$19:$B$201),'Бланк OLD 0.8 04'!$B$12:$K$200,7,0)&gt;0,0.8,
IF(VLOOKUP($A269-COUNT('Шаг2.Бланк заказа NEW'!$B$19:$B$201),'Бланк OLD 0.8 04'!$B$12:$K$200,8,0)&gt;0,0.4,""))),
IF(VLOOKUP($A269-COUNT('Шаг2.Бланк заказа NEW'!$B$19:$B$201)-COUNT('Бланк OLD 0.8 04'!$B$18:$B$200),'Бланк OLD 2.0 04 '!$B$16:$K$200,7,0)&gt;0,2,IF(VLOOKUP($A269-COUNT('Шаг2.Бланк заказа NEW'!$B$19:$B$201)-COUNT('Бланк OLD 0.8 04'!$B$18:$B$200),'Бланк OLD 2.0 04 '!$B$16:$K$200,8,0)&gt;0,0.4,"")))</f>
        <v/>
      </c>
      <c r="U269" s="147" t="str">
        <f ca="1">IFERROR(IFERROR(IF(VLOOKUP($A269,'Шаг2.Бланк заказа NEW'!$B$17:$N$201,8,0)="","",VLOOKUP($A269,'Шаг2.Бланк заказа NEW'!$B$17:$N$201,8,0)),
IF(VLOOKUP($A269-COUNT('Шаг2.Бланк заказа NEW'!$B$19:$B$201),'Бланк OLD 0.8 04'!$B$12:$K$200,7,0)&gt;1,0.8,
IF(VLOOKUP($A269-COUNT('Шаг2.Бланк заказа NEW'!$B$19:$B$201),'Бланк OLD 0.8 04'!$B$12:$K$200,8,0)&gt;1,0.4,
IF(AND(VLOOKUP($A269-COUNT('Шаг2.Бланк заказа NEW'!$B$19:$B$201),'Бланк OLD 0.8 04'!$B$12:$K$200,7,0)&gt;0,VLOOKUP($A269-COUNT('Шаг2.Бланк заказа NEW'!$B$19:$B$201),'Бланк OLD 0.8 04'!$B$12:$K$200,8,0)&gt;0),0.4,"")))),
IF(VLOOKUP($A269-COUNT('Шаг2.Бланк заказа NEW'!$B$19:$B$201)-COUNT('Бланк OLD 0.8 04'!$B$18:$B$200),'Бланк OLD 2.0 04 '!$B$16:$K$200,7,0)&gt;1,2,
IF(VLOOKUP($A269-COUNT('Шаг2.Бланк заказа NEW'!$B$19:$B$201)-COUNT('Бланк OLD 0.8 04'!$B$18:$B$200),'Бланк OLD 2.0 04 '!$B$16:$K$200,8,0)&gt;1,0.4,
IF(AND(VLOOKUP($A269-COUNT('Шаг2.Бланк заказа NEW'!$B$19:$B$201)-COUNT('Бланк OLD 0.8 04'!$B$18:$B$200),'Бланк OLD 2.0 04 '!$B$16:$K$200,7,0)&gt;0,VLOOKUP($A269-COUNT('Шаг2.Бланк заказа NEW'!$B$19:$B$201)-COUNT('Бланк OLD 0.8 04'!$B$18:$B$200),'Бланк OLD 2.0 04 '!$B$16:$K$200,8,0)&gt;0),0.4,""))))</f>
        <v/>
      </c>
      <c r="V269" s="146" t="str">
        <f ca="1">IFERROR(VLOOKUP(C269,'Шаг1.Выбор плиты'!C:S,12,0),"")</f>
        <v/>
      </c>
      <c r="W269" s="146" t="str">
        <f ca="1">IFERROR(VLOOKUP(C269,'Шаг1.Выбор плиты'!C:S,8,0),"")</f>
        <v/>
      </c>
      <c r="X269" s="146" t="str">
        <f ca="1">IFERROR(VLOOKUP(C269,'Шаг1.Выбор плиты'!C:S,10,0),"")</f>
        <v/>
      </c>
      <c r="Y269" s="147" t="str">
        <f t="shared" ca="1" si="23"/>
        <v/>
      </c>
      <c r="AD269" s="147" t="str">
        <f t="shared" ca="1" si="21"/>
        <v/>
      </c>
      <c r="AE269" s="147" t="str">
        <f t="shared" ca="1" si="24"/>
        <v/>
      </c>
      <c r="AF269" s="25"/>
      <c r="AH269" s="147" t="str">
        <f ca="1">IF(C269="","",VLOOKUP(C269,'Шаг1.Выбор плиты'!C:Q,7,0))</f>
        <v/>
      </c>
      <c r="AI269" s="147" t="str">
        <f t="shared" ca="1" si="22"/>
        <v/>
      </c>
    </row>
    <row r="270" spans="1:35" x14ac:dyDescent="0.2">
      <c r="A270" s="151" t="str">
        <f ca="1">IF(C270="","",MAX($A$1:OFFSET(C270,-1,0))+1)</f>
        <v/>
      </c>
      <c r="B270" s="151" t="str">
        <f ca="1">IFERROR(IFERROR(IFERROR("Шаг2.Бланк заказа NEW №"&amp;VLOOKUP(A269+1,CHOOSE({1,2},'Шаг2.Бланк заказа NEW'!$B$19:$B$201,'Шаг2.Бланк заказа NEW'!$A$19:$A$201),1,0),
"Бланк OLD 0.8 04 №"&amp;VLOOKUP(A269+1-COUNT('Шаг2.Бланк заказа NEW'!$B$19:$B$201),CHOOSE({1,2},'Бланк OLD 0.8 04'!$B$18:$B$200,'Бланк OLD 0.8 04'!$A$18:$A$200),1,0)),
"Бланк OLD 2.0 04 №"&amp;VLOOKUP(A269+1-COUNT('Шаг2.Бланк заказа NEW'!$B$19:$B$201)-COUNT('Бланк OLD 0.8 04'!$B$18:$B$200),CHOOSE({1,2},'Бланк OLD 2.0 04 '!$B$18:$B$200,'Бланк OLD 2.0 04 '!$A$18:$A$200),1,0)),"")</f>
        <v/>
      </c>
      <c r="C270" s="152" t="str">
        <f ca="1">IFERROR(IFERROR(IFERROR(VLOOKUP(A269+1,CHOOSE({1,2},'Шаг2.Бланк заказа NEW'!$B$19:$B$201,'Шаг2.Бланк заказа NEW'!$A$19:$A$201),2,0),
VLOOKUP(A269+1-COUNT('Шаг2.Бланк заказа NEW'!$B$19:$B$201),CHOOSE({1,2},'Бланк OLD 0.8 04'!$B$18:$B$200,'Бланк OLD 0.8 04'!$A$18:$A$200),2,0)),
VLOOKUP(A269+1-COUNT('Шаг2.Бланк заказа NEW'!$B$19:$B$201)-COUNT('Бланк OLD 0.8 04'!$B$18:$B$200),CHOOSE({1,2},'Бланк OLD 2.0 04 '!$B$18:$B$200,'Бланк OLD 2.0 04 '!$A$18:$A$200),2,0)),"")</f>
        <v/>
      </c>
      <c r="D270" s="150" t="str">
        <f ca="1">IFERROR(VLOOKUP(C270,'Шаг1.Выбор плиты'!C:G,5,0),"")</f>
        <v/>
      </c>
      <c r="E270" s="147" t="str">
        <f ca="1">IFERROR(IFERROR(IF(VLOOKUP($A270,'Шаг2.Бланк заказа NEW'!$B$17:$N$201,2,0)="","",VLOOKUP($A270,'Шаг2.Бланк заказа NEW'!$B$17:$N$201,2,0)),
IF(VLOOKUP($A270-COUNT('Шаг2.Бланк заказа NEW'!$B$19:$B$201),'Бланк OLD 0.8 04'!$B$12:$K$200,2,0)="","",VLOOKUP($A270-COUNT('Шаг2.Бланк заказа NEW'!$B$19:$B$201),'Бланк OLD 0.8 04'!$B$12:$K$200,2,0))),
IF(VLOOKUP($A270-COUNT('Шаг2.Бланк заказа NEW'!$B$19:$B$201)-COUNT('Бланк OLD 0.8 04'!$B$18:$B$200),'Бланк OLD 2.0 04 '!$B$16:$K$200,2,0)="","",VLOOKUP($A270-COUNT('Шаг2.Бланк заказа NEW'!$B$19:$B$201)-COUNT('Бланк OLD 0.8 04'!$B$18:$B$200),'Бланк OLD 2.0 04 '!$B$16:$K$200,2,0)))</f>
        <v/>
      </c>
      <c r="F270" s="147" t="str">
        <f ca="1">IFERROR(IFERROR(IF(VLOOKUP($A270,'Шаг2.Бланк заказа NEW'!$B$17:$N$201,3,0)="","",VLOOKUP($A270,'Шаг2.Бланк заказа NEW'!$B$17:$N$201,3,0)),
IF(VLOOKUP($A270-COUNT('Шаг2.Бланк заказа NEW'!$B$19:$B$201),'Бланк OLD 0.8 04'!$B$12:$K$200,3,0)="","",VLOOKUP($A270-COUNT('Шаг2.Бланк заказа NEW'!$B$19:$B$201),'Бланк OLD 0.8 04'!$B$12:$K$200,3,0))),
IF(VLOOKUP($A270-COUNT('Шаг2.Бланк заказа NEW'!$B$19:$B$201)-COUNT('Бланк OLD 0.8 04'!$B$18:$B$200),'Бланк OLD 2.0 04 '!$B$16:$K$200,3,0)="","",VLOOKUP($A270-COUNT('Шаг2.Бланк заказа NEW'!$B$19:$B$201)-COUNT('Бланк OLD 0.8 04'!$B$18:$B$200),'Бланк OLD 2.0 04 '!$B$16:$K$200,3,0)))</f>
        <v/>
      </c>
      <c r="G270" s="176" t="str">
        <f ca="1">IF(IF(R270="","",IF(R270=1,SUMIFS('Шаг1.Выбор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плиты'!C:Q,12,0)),1))))))=0,
R270,
IF(R270="","",IF(R270=1,SUMIFS('Шаг1.Выбор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плиты'!N:N,R270,'Шаг1.Выбор плиты'!M:M,SMALL(INDIRECT("мм"&amp;VLOOKUP(C270,'Шаг1.Выбор плиты'!C:Q,12,0)),1)))))))</f>
        <v/>
      </c>
      <c r="H270" s="177" t="str">
        <f ca="1">IF(IF(S270="","",IF(S270=1,SUMIFS('Шаг1.Выбор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плиты'!C:Q,12,0)),1))))))=0,
S270,
IF(S270="","",IF(S270=1,SUMIFS('Шаг1.Выбор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плиты'!N:N,S270,'Шаг1.Выбор плиты'!M:M,SMALL(INDIRECT("мм"&amp;VLOOKUP(C270,'Шаг1.Выбор плиты'!C:Q,12,0)),1)))))))</f>
        <v/>
      </c>
      <c r="I270" s="147" t="str">
        <f ca="1">IFERROR(IFERROR(IF(VLOOKUP($A270,'Шаг2.Бланк заказа NEW'!$B$17:$N$201,6,0)="","",VLOOKUP($A270,'Шаг2.Бланк заказа NEW'!$B$17:$N$201,6,0)),
IF(VLOOKUP($A270-COUNT('Шаг2.Бланк заказа NEW'!$B$19:$B$201),'Бланк OLD 0.8 04'!$B$12:$K$200,6,0)="","",VLOOKUP($A270-COUNT('Шаг2.Бланк заказа NEW'!$B$19:$B$201),'Бланк OLD 0.8 04'!$B$12:$K$200,6,0))),
IF(VLOOKUP($A270-COUNT('Шаг2.Бланк заказа NEW'!$B$19:$B$201)-COUNT('Бланк OLD 0.8 04'!$B$18:$B$200),'Бланк OLD 2.0 04 '!$B$16:$K$200,6,0)="","",VLOOKUP($A270-COUNT('Шаг2.Бланк заказа NEW'!$B$19:$B$201)-COUNT('Бланк OLD 0.8 04'!$B$18:$B$200),'Бланк OLD 2.0 04 '!$B$16:$K$200,6,0)))</f>
        <v/>
      </c>
      <c r="J270" s="177" t="str">
        <f ca="1">IF(IF(T270="","",IF(T270=1,SUMIFS('Шаг1.Выбор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плиты'!C:Q,12,0)),1))))))=0,
T270,
IF(T270="","",IF(T270=1,SUMIFS('Шаг1.Выбор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плиты'!N:N,T270,'Шаг1.Выбор плиты'!M:M,SMALL(INDIRECT("мм"&amp;VLOOKUP(C270,'Шаг1.Выбор плиты'!C:Q,12,0)),1)))))))</f>
        <v/>
      </c>
      <c r="K270" s="177" t="str">
        <f ca="1">IF(IF(U270="","",IF(U270=1,SUMIFS('Шаг1.Выбор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плиты'!C:Q,12,0)),1))))))=0,
U270,
IF(U270="","",IF(U270=1,SUMIFS('Шаг1.Выбор плиты'!$G:$G,'Шаг1.Выбор плиты'!J:J,"*"&amp;RIGHT(VLOOKUP(C270,'Шаг1.Выбор плиты'!C:Q,8,0),4),'Шаг1.Выбор плиты'!L:L,IF(MID(C270,1,6)="ЛДСП P","TM"&amp;MID(VLOOKUP(C270,'Шаг1.Выбор плиты'!C:Q,10,0),3,2),MID(VLOOKUP(C270,'Шаг1.Выбор плиты'!C:Q,10,0),1,2)),
'Шаг1.Выбор плиты'!N:N,1),IF(SUMIFS('Шаг1.Выбор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плиты'!C:Q,12,0)),1))=0,
IF(SUMIFS('Шаг1.Выбор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плиты'!C:Q,12,0)),2))=0,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плиты'!C:Q,12,0)),3)),
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плиты'!C:Q,12,0)),2))),
(SUMIFS('Шаг1.Выбор плиты'!$G:$G,'Шаг1.Выбор плиты'!J:J,"*"&amp;RIGHT(VLOOKUP(C270,'Шаг1.Выбор плиты'!C:Q,8,0),4),'Шаг1.Выбор плиты'!L:L,VLOOKUP(C270,'Шаг1.Выбор плиты'!C:Q,10,0),'Шаг1.Выбор плиты'!N:N,U270,'Шаг1.Выбор плиты'!M:M,SMALL(INDIRECT("мм"&amp;VLOOKUP(C270,'Шаг1.Выбор плиты'!C:Q,12,0)),1)))))))</f>
        <v/>
      </c>
      <c r="L270" s="147" t="str">
        <f ca="1">IFERROR(IFERROR(IF(VLOOKUP($A270,'Шаг2.Бланк заказа NEW'!$B$17:$N$201,9,0)="","",VLOOKUP($A270,'Шаг2.Бланк заказа NEW'!$B$17:$N$201,9,0)),
IF(VLOOKUP($A270-COUNT('Шаг2.Бланк заказа NEW'!$B$19:$B$201),'Бланк OLD 0.8 04'!$B$12:$K$200,9,0)="","",VLOOKUP($A270-COUNT('Шаг2.Бланк заказа NEW'!$B$19:$B$201),'Бланк OLD 0.8 04'!$B$12:$K$200,9,0))),
IF(VLOOKUP($A270-COUNT('Шаг2.Бланк заказа NEW'!$B$19:$B$201)-COUNT('Бланк OLD 0.8 04'!$B$18:$B$200),'Бланк OLD 2.0 04 '!$B$16:$K$200,9,0)="","",VLOOKUP($A270-COUNT('Шаг2.Бланк заказа NEW'!$B$19:$B$201)-COUNT('Бланк OLD 0.8 04'!$B$18:$B$200),'Бланк OLD 2.0 04 '!$B$16:$K$200,9,0)))</f>
        <v/>
      </c>
      <c r="M270" s="154" t="str">
        <f t="shared" ca="1" si="20"/>
        <v/>
      </c>
      <c r="N270" s="153" t="str">
        <f ca="1">IFERROR(IF(VLOOKUP($A270,'Шаг2.Бланк заказа NEW'!$B$17:$N$201,11,0)="","",VLOOKUP($A270,'Шаг2.Бланк заказа NEW'!$B$17:$N$201,11,0)),
"Нет")</f>
        <v/>
      </c>
      <c r="O270" s="147" t="str">
        <f ca="1">IFERROR(IF(VLOOKUP($A270,'Шаг2.Бланк заказа NEW'!$B$17:$N$201,11,0)="","",VLOOKUP($A270,'Шаг2.Бланк заказа NEW'!$B$17:$N$201,12,0)),
"Нет")</f>
        <v/>
      </c>
      <c r="P270" s="153" t="str">
        <f ca="1">IFERROR(IF(VLOOKUP($A270,'Шаг2.Бланк заказа NEW'!$B$17:$N$201,13,0)="","",VLOOKUP($A270,'Шаг2.Бланк заказа NEW'!$B$17:$N$201,13,0)),
"Нет")</f>
        <v/>
      </c>
      <c r="Q270" s="147" t="str">
        <f ca="1">IFERROR(IF(VLOOKUP($A270,'Шаг2.Бланк заказа NEW'!$B$17:$O$201,14,0)="","",VLOOKUP($A270,'Шаг2.Бланк заказа NEW'!$B$17:$O$201,14,0)),"")</f>
        <v/>
      </c>
      <c r="R270" s="147" t="str">
        <f ca="1">IFERROR(IFERROR(IF(VLOOKUP($A270,'Шаг2.Бланк заказа NEW'!$B$17:$N$201,4,0)="","",VLOOKUP($A270,'Шаг2.Бланк заказа NEW'!$B$17:$N$201,4,0)),
IF(VLOOKUP($A270-COUNT('Шаг2.Бланк заказа NEW'!$B$19:$B$201),'Бланк OLD 0.8 04'!$B$12:$K$200,4,0)&gt;0,0.8,
IF(VLOOKUP($A270-COUNT('Шаг2.Бланк заказа NEW'!$B$19:$B$201),'Бланк OLD 0.8 04'!$B$12:$K$200,5,0)&gt;0,0.4,""))),
IF(VLOOKUP($A270-COUNT('Шаг2.Бланк заказа NEW'!$B$19:$B$201)-COUNT('Бланк OLD 0.8 04'!$B$18:$B$200),'Бланк OLD 2.0 04 '!$B$16:$K$200,4,0)&gt;0,2,IF(VLOOKUP($A270-COUNT('Шаг2.Бланк заказа NEW'!$B$19:$B$201)-COUNT('Бланк OLD 0.8 04'!$B$18:$B$200),'Бланк OLD 2.0 04 '!$B$16:$K$200,5,0)&gt;0,0.4,"")))</f>
        <v/>
      </c>
      <c r="S270" s="147" t="str">
        <f ca="1">IFERROR(IFERROR(IF(VLOOKUP($A270,'Шаг2.Бланк заказа NEW'!$B$17:$N$201,5,0)="","",VLOOKUP($A270,'Шаг2.Бланк заказа NEW'!$B$17:$N$201,5,0)),
IF(VLOOKUP($A270-COUNT('Шаг2.Бланк заказа NEW'!$B$19:$B$201),'Бланк OLD 0.8 04'!$B$12:$K$200,4,0)&gt;1,0.8,
IF(VLOOKUP($A270-COUNT('Шаг2.Бланк заказа NEW'!$B$19:$B$201),'Бланк OLD 0.8 04'!$B$12:$K$200,5,0)&gt;1,0.4,
IF(AND(VLOOKUP($A270-COUNT('Шаг2.Бланк заказа NEW'!$B$19:$B$201),'Бланк OLD 0.8 04'!$B$12:$K$200,4,0)&gt;0,VLOOKUP($A270-COUNT('Шаг2.Бланк заказа NEW'!$B$19:$B$201),'Бланк OLD 0.8 04'!$B$12:$K$200,5,0)&gt;0),0.4,"")))),
IF(VLOOKUP($A270-COUNT('Шаг2.Бланк заказа NEW'!$B$19:$B$201)-COUNT('Бланк OLD 0.8 04'!$B$18:$B$200),'Бланк OLD 2.0 04 '!$B$16:$K$200,4,0)&gt;1,2,
IF(VLOOKUP($A270-COUNT('Шаг2.Бланк заказа NEW'!$B$19:$B$201)-COUNT('Бланк OLD 0.8 04'!$B$18:$B$200),'Бланк OLD 2.0 04 '!$B$16:$K$200,5,0)&gt;1,0.4,IF(AND(VLOOKUP($A270-COUNT('Шаг2.Бланк заказа NEW'!$B$19:$B$201)-COUNT('Бланк OLD 0.8 04'!$B$18:$B$200),'Бланк OLD 2.0 04 '!$B$16:$K$200,4,0)&gt;0,VLOOKUP($A270-COUNT('Шаг2.Бланк заказа NEW'!$B$19:$B$201)-COUNT('Бланк OLD 0.8 04'!$B$18:$B$200),'Бланк OLD 2.0 04 '!$B$16:$K$200,5,0)&gt;0),0.4,""))))</f>
        <v/>
      </c>
      <c r="T270" s="147" t="str">
        <f ca="1">IFERROR(IFERROR(IF(VLOOKUP($A270,'Шаг2.Бланк заказа NEW'!$B$17:$N$201,7,0)="","",VLOOKUP($A270,'Шаг2.Бланк заказа NEW'!$B$17:$N$201,7,0)),
IF(VLOOKUP($A270-COUNT('Шаг2.Бланк заказа NEW'!$B$19:$B$201),'Бланк OLD 0.8 04'!$B$12:$K$200,7,0)&gt;0,0.8,
IF(VLOOKUP($A270-COUNT('Шаг2.Бланк заказа NEW'!$B$19:$B$201),'Бланк OLD 0.8 04'!$B$12:$K$200,8,0)&gt;0,0.4,""))),
IF(VLOOKUP($A270-COUNT('Шаг2.Бланк заказа NEW'!$B$19:$B$201)-COUNT('Бланк OLD 0.8 04'!$B$18:$B$200),'Бланк OLD 2.0 04 '!$B$16:$K$200,7,0)&gt;0,2,IF(VLOOKUP($A270-COUNT('Шаг2.Бланк заказа NEW'!$B$19:$B$201)-COUNT('Бланк OLD 0.8 04'!$B$18:$B$200),'Бланк OLD 2.0 04 '!$B$16:$K$200,8,0)&gt;0,0.4,"")))</f>
        <v/>
      </c>
      <c r="U270" s="147" t="str">
        <f ca="1">IFERROR(IFERROR(IF(VLOOKUP($A270,'Шаг2.Бланк заказа NEW'!$B$17:$N$201,8,0)="","",VLOOKUP($A270,'Шаг2.Бланк заказа NEW'!$B$17:$N$201,8,0)),
IF(VLOOKUP($A270-COUNT('Шаг2.Бланк заказа NEW'!$B$19:$B$201),'Бланк OLD 0.8 04'!$B$12:$K$200,7,0)&gt;1,0.8,
IF(VLOOKUP($A270-COUNT('Шаг2.Бланк заказа NEW'!$B$19:$B$201),'Бланк OLD 0.8 04'!$B$12:$K$200,8,0)&gt;1,0.4,
IF(AND(VLOOKUP($A270-COUNT('Шаг2.Бланк заказа NEW'!$B$19:$B$201),'Бланк OLD 0.8 04'!$B$12:$K$200,7,0)&gt;0,VLOOKUP($A270-COUNT('Шаг2.Бланк заказа NEW'!$B$19:$B$201),'Бланк OLD 0.8 04'!$B$12:$K$200,8,0)&gt;0),0.4,"")))),
IF(VLOOKUP($A270-COUNT('Шаг2.Бланк заказа NEW'!$B$19:$B$201)-COUNT('Бланк OLD 0.8 04'!$B$18:$B$200),'Бланк OLD 2.0 04 '!$B$16:$K$200,7,0)&gt;1,2,
IF(VLOOKUP($A270-COUNT('Шаг2.Бланк заказа NEW'!$B$19:$B$201)-COUNT('Бланк OLD 0.8 04'!$B$18:$B$200),'Бланк OLD 2.0 04 '!$B$16:$K$200,8,0)&gt;1,0.4,
IF(AND(VLOOKUP($A270-COUNT('Шаг2.Бланк заказа NEW'!$B$19:$B$201)-COUNT('Бланк OLD 0.8 04'!$B$18:$B$200),'Бланк OLD 2.0 04 '!$B$16:$K$200,7,0)&gt;0,VLOOKUP($A270-COUNT('Шаг2.Бланк заказа NEW'!$B$19:$B$201)-COUNT('Бланк OLD 0.8 04'!$B$18:$B$200),'Бланк OLD 2.0 04 '!$B$16:$K$200,8,0)&gt;0),0.4,""))))</f>
        <v/>
      </c>
      <c r="V270" s="146" t="str">
        <f ca="1">IFERROR(VLOOKUP(C270,'Шаг1.Выбор плиты'!C:S,12,0),"")</f>
        <v/>
      </c>
      <c r="W270" s="146" t="str">
        <f ca="1">IFERROR(VLOOKUP(C270,'Шаг1.Выбор плиты'!C:S,8,0),"")</f>
        <v/>
      </c>
      <c r="X270" s="146" t="str">
        <f ca="1">IFERROR(VLOOKUP(C270,'Шаг1.Выбор плиты'!C:S,10,0),"")</f>
        <v/>
      </c>
      <c r="Y270" s="147" t="str">
        <f t="shared" ca="1" si="23"/>
        <v/>
      </c>
      <c r="AD270" s="147" t="str">
        <f t="shared" ca="1" si="21"/>
        <v/>
      </c>
      <c r="AE270" s="147" t="str">
        <f t="shared" ca="1" si="24"/>
        <v/>
      </c>
      <c r="AF270" s="25"/>
      <c r="AH270" s="147" t="str">
        <f ca="1">IF(C270="","",VLOOKUP(C270,'Шаг1.Выбор плиты'!C:Q,7,0))</f>
        <v/>
      </c>
      <c r="AI270" s="147" t="str">
        <f t="shared" ca="1" si="22"/>
        <v/>
      </c>
    </row>
    <row r="271" spans="1:35" x14ac:dyDescent="0.2">
      <c r="A271" s="151" t="str">
        <f ca="1">IF(C271="","",MAX($A$1:OFFSET(C271,-1,0))+1)</f>
        <v/>
      </c>
      <c r="B271" s="151" t="str">
        <f ca="1">IFERROR(IFERROR(IFERROR("Шаг2.Бланк заказа NEW №"&amp;VLOOKUP(A270+1,CHOOSE({1,2},'Шаг2.Бланк заказа NEW'!$B$19:$B$201,'Шаг2.Бланк заказа NEW'!$A$19:$A$201),1,0),
"Бланк OLD 0.8 04 №"&amp;VLOOKUP(A270+1-COUNT('Шаг2.Бланк заказа NEW'!$B$19:$B$201),CHOOSE({1,2},'Бланк OLD 0.8 04'!$B$18:$B$200,'Бланк OLD 0.8 04'!$A$18:$A$200),1,0)),
"Бланк OLD 2.0 04 №"&amp;VLOOKUP(A270+1-COUNT('Шаг2.Бланк заказа NEW'!$B$19:$B$201)-COUNT('Бланк OLD 0.8 04'!$B$18:$B$200),CHOOSE({1,2},'Бланк OLD 2.0 04 '!$B$18:$B$200,'Бланк OLD 2.0 04 '!$A$18:$A$200),1,0)),"")</f>
        <v/>
      </c>
      <c r="C271" s="152" t="str">
        <f ca="1">IFERROR(IFERROR(IFERROR(VLOOKUP(A270+1,CHOOSE({1,2},'Шаг2.Бланк заказа NEW'!$B$19:$B$201,'Шаг2.Бланк заказа NEW'!$A$19:$A$201),2,0),
VLOOKUP(A270+1-COUNT('Шаг2.Бланк заказа NEW'!$B$19:$B$201),CHOOSE({1,2},'Бланк OLD 0.8 04'!$B$18:$B$200,'Бланк OLD 0.8 04'!$A$18:$A$200),2,0)),
VLOOKUP(A270+1-COUNT('Шаг2.Бланк заказа NEW'!$B$19:$B$201)-COUNT('Бланк OLD 0.8 04'!$B$18:$B$200),CHOOSE({1,2},'Бланк OLD 2.0 04 '!$B$18:$B$200,'Бланк OLD 2.0 04 '!$A$18:$A$200),2,0)),"")</f>
        <v/>
      </c>
      <c r="D271" s="150" t="str">
        <f ca="1">IFERROR(VLOOKUP(C271,'Шаг1.Выбор плиты'!C:G,5,0),"")</f>
        <v/>
      </c>
      <c r="E271" s="147" t="str">
        <f ca="1">IFERROR(IFERROR(IF(VLOOKUP($A271,'Шаг2.Бланк заказа NEW'!$B$17:$N$201,2,0)="","",VLOOKUP($A271,'Шаг2.Бланк заказа NEW'!$B$17:$N$201,2,0)),
IF(VLOOKUP($A271-COUNT('Шаг2.Бланк заказа NEW'!$B$19:$B$201),'Бланк OLD 0.8 04'!$B$12:$K$200,2,0)="","",VLOOKUP($A271-COUNT('Шаг2.Бланк заказа NEW'!$B$19:$B$201),'Бланк OLD 0.8 04'!$B$12:$K$200,2,0))),
IF(VLOOKUP($A271-COUNT('Шаг2.Бланк заказа NEW'!$B$19:$B$201)-COUNT('Бланк OLD 0.8 04'!$B$18:$B$200),'Бланк OLD 2.0 04 '!$B$16:$K$200,2,0)="","",VLOOKUP($A271-COUNT('Шаг2.Бланк заказа NEW'!$B$19:$B$201)-COUNT('Бланк OLD 0.8 04'!$B$18:$B$200),'Бланк OLD 2.0 04 '!$B$16:$K$200,2,0)))</f>
        <v/>
      </c>
      <c r="F271" s="147" t="str">
        <f ca="1">IFERROR(IFERROR(IF(VLOOKUP($A271,'Шаг2.Бланк заказа NEW'!$B$17:$N$201,3,0)="","",VLOOKUP($A271,'Шаг2.Бланк заказа NEW'!$B$17:$N$201,3,0)),
IF(VLOOKUP($A271-COUNT('Шаг2.Бланк заказа NEW'!$B$19:$B$201),'Бланк OLD 0.8 04'!$B$12:$K$200,3,0)="","",VLOOKUP($A271-COUNT('Шаг2.Бланк заказа NEW'!$B$19:$B$201),'Бланк OLD 0.8 04'!$B$12:$K$200,3,0))),
IF(VLOOKUP($A271-COUNT('Шаг2.Бланк заказа NEW'!$B$19:$B$201)-COUNT('Бланк OLD 0.8 04'!$B$18:$B$200),'Бланк OLD 2.0 04 '!$B$16:$K$200,3,0)="","",VLOOKUP($A271-COUNT('Шаг2.Бланк заказа NEW'!$B$19:$B$201)-COUNT('Бланк OLD 0.8 04'!$B$18:$B$200),'Бланк OLD 2.0 04 '!$B$16:$K$200,3,0)))</f>
        <v/>
      </c>
      <c r="G271" s="176" t="str">
        <f ca="1">IF(IF(R271="","",IF(R271=1,SUMIFS('Шаг1.Выбор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плиты'!C:Q,12,0)),1))))))=0,
R271,
IF(R271="","",IF(R271=1,SUMIFS('Шаг1.Выбор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плиты'!N:N,R271,'Шаг1.Выбор плиты'!M:M,SMALL(INDIRECT("мм"&amp;VLOOKUP(C271,'Шаг1.Выбор плиты'!C:Q,12,0)),1)))))))</f>
        <v/>
      </c>
      <c r="H271" s="177" t="str">
        <f ca="1">IF(IF(S271="","",IF(S271=1,SUMIFS('Шаг1.Выбор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плиты'!C:Q,12,0)),1))))))=0,
S271,
IF(S271="","",IF(S271=1,SUMIFS('Шаг1.Выбор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плиты'!N:N,S271,'Шаг1.Выбор плиты'!M:M,SMALL(INDIRECT("мм"&amp;VLOOKUP(C271,'Шаг1.Выбор плиты'!C:Q,12,0)),1)))))))</f>
        <v/>
      </c>
      <c r="I271" s="147" t="str">
        <f ca="1">IFERROR(IFERROR(IF(VLOOKUP($A271,'Шаг2.Бланк заказа NEW'!$B$17:$N$201,6,0)="","",VLOOKUP($A271,'Шаг2.Бланк заказа NEW'!$B$17:$N$201,6,0)),
IF(VLOOKUP($A271-COUNT('Шаг2.Бланк заказа NEW'!$B$19:$B$201),'Бланк OLD 0.8 04'!$B$12:$K$200,6,0)="","",VLOOKUP($A271-COUNT('Шаг2.Бланк заказа NEW'!$B$19:$B$201),'Бланк OLD 0.8 04'!$B$12:$K$200,6,0))),
IF(VLOOKUP($A271-COUNT('Шаг2.Бланк заказа NEW'!$B$19:$B$201)-COUNT('Бланк OLD 0.8 04'!$B$18:$B$200),'Бланк OLD 2.0 04 '!$B$16:$K$200,6,0)="","",VLOOKUP($A271-COUNT('Шаг2.Бланк заказа NEW'!$B$19:$B$201)-COUNT('Бланк OLD 0.8 04'!$B$18:$B$200),'Бланк OLD 2.0 04 '!$B$16:$K$200,6,0)))</f>
        <v/>
      </c>
      <c r="J271" s="177" t="str">
        <f ca="1">IF(IF(T271="","",IF(T271=1,SUMIFS('Шаг1.Выбор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плиты'!C:Q,12,0)),1))))))=0,
T271,
IF(T271="","",IF(T271=1,SUMIFS('Шаг1.Выбор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плиты'!N:N,T271,'Шаг1.Выбор плиты'!M:M,SMALL(INDIRECT("мм"&amp;VLOOKUP(C271,'Шаг1.Выбор плиты'!C:Q,12,0)),1)))))))</f>
        <v/>
      </c>
      <c r="K271" s="177" t="str">
        <f ca="1">IF(IF(U271="","",IF(U271=1,SUMIFS('Шаг1.Выбор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плиты'!C:Q,12,0)),1))))))=0,
U271,
IF(U271="","",IF(U271=1,SUMIFS('Шаг1.Выбор плиты'!$G:$G,'Шаг1.Выбор плиты'!J:J,"*"&amp;RIGHT(VLOOKUP(C271,'Шаг1.Выбор плиты'!C:Q,8,0),4),'Шаг1.Выбор плиты'!L:L,IF(MID(C271,1,6)="ЛДСП P","TM"&amp;MID(VLOOKUP(C271,'Шаг1.Выбор плиты'!C:Q,10,0),3,2),MID(VLOOKUP(C271,'Шаг1.Выбор плиты'!C:Q,10,0),1,2)),
'Шаг1.Выбор плиты'!N:N,1),IF(SUMIFS('Шаг1.Выбор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плиты'!C:Q,12,0)),1))=0,
IF(SUMIFS('Шаг1.Выбор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плиты'!C:Q,12,0)),2))=0,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плиты'!C:Q,12,0)),3)),
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плиты'!C:Q,12,0)),2))),
(SUMIFS('Шаг1.Выбор плиты'!$G:$G,'Шаг1.Выбор плиты'!J:J,"*"&amp;RIGHT(VLOOKUP(C271,'Шаг1.Выбор плиты'!C:Q,8,0),4),'Шаг1.Выбор плиты'!L:L,VLOOKUP(C271,'Шаг1.Выбор плиты'!C:Q,10,0),'Шаг1.Выбор плиты'!N:N,U271,'Шаг1.Выбор плиты'!M:M,SMALL(INDIRECT("мм"&amp;VLOOKUP(C271,'Шаг1.Выбор плиты'!C:Q,12,0)),1)))))))</f>
        <v/>
      </c>
      <c r="L271" s="147" t="str">
        <f ca="1">IFERROR(IFERROR(IF(VLOOKUP($A271,'Шаг2.Бланк заказа NEW'!$B$17:$N$201,9,0)="","",VLOOKUP($A271,'Шаг2.Бланк заказа NEW'!$B$17:$N$201,9,0)),
IF(VLOOKUP($A271-COUNT('Шаг2.Бланк заказа NEW'!$B$19:$B$201),'Бланк OLD 0.8 04'!$B$12:$K$200,9,0)="","",VLOOKUP($A271-COUNT('Шаг2.Бланк заказа NEW'!$B$19:$B$201),'Бланк OLD 0.8 04'!$B$12:$K$200,9,0))),
IF(VLOOKUP($A271-COUNT('Шаг2.Бланк заказа NEW'!$B$19:$B$201)-COUNT('Бланк OLD 0.8 04'!$B$18:$B$200),'Бланк OLD 2.0 04 '!$B$16:$K$200,9,0)="","",VLOOKUP($A271-COUNT('Шаг2.Бланк заказа NEW'!$B$19:$B$201)-COUNT('Бланк OLD 0.8 04'!$B$18:$B$200),'Бланк OLD 2.0 04 '!$B$16:$K$200,9,0)))</f>
        <v/>
      </c>
      <c r="M271" s="154" t="str">
        <f t="shared" ca="1" si="20"/>
        <v/>
      </c>
      <c r="N271" s="153" t="str">
        <f ca="1">IFERROR(IF(VLOOKUP($A271,'Шаг2.Бланк заказа NEW'!$B$17:$N$201,11,0)="","",VLOOKUP($A271,'Шаг2.Бланк заказа NEW'!$B$17:$N$201,11,0)),
"Нет")</f>
        <v/>
      </c>
      <c r="O271" s="147" t="str">
        <f ca="1">IFERROR(IF(VLOOKUP($A271,'Шаг2.Бланк заказа NEW'!$B$17:$N$201,11,0)="","",VLOOKUP($A271,'Шаг2.Бланк заказа NEW'!$B$17:$N$201,12,0)),
"Нет")</f>
        <v/>
      </c>
      <c r="P271" s="153" t="str">
        <f ca="1">IFERROR(IF(VLOOKUP($A271,'Шаг2.Бланк заказа NEW'!$B$17:$N$201,13,0)="","",VLOOKUP($A271,'Шаг2.Бланк заказа NEW'!$B$17:$N$201,13,0)),
"Нет")</f>
        <v/>
      </c>
      <c r="Q271" s="147" t="str">
        <f ca="1">IFERROR(IF(VLOOKUP($A271,'Шаг2.Бланк заказа NEW'!$B$17:$O$201,14,0)="","",VLOOKUP($A271,'Шаг2.Бланк заказа NEW'!$B$17:$O$201,14,0)),"")</f>
        <v/>
      </c>
      <c r="R271" s="147" t="str">
        <f ca="1">IFERROR(IFERROR(IF(VLOOKUP($A271,'Шаг2.Бланк заказа NEW'!$B$17:$N$201,4,0)="","",VLOOKUP($A271,'Шаг2.Бланк заказа NEW'!$B$17:$N$201,4,0)),
IF(VLOOKUP($A271-COUNT('Шаг2.Бланк заказа NEW'!$B$19:$B$201),'Бланк OLD 0.8 04'!$B$12:$K$200,4,0)&gt;0,0.8,
IF(VLOOKUP($A271-COUNT('Шаг2.Бланк заказа NEW'!$B$19:$B$201),'Бланк OLD 0.8 04'!$B$12:$K$200,5,0)&gt;0,0.4,""))),
IF(VLOOKUP($A271-COUNT('Шаг2.Бланк заказа NEW'!$B$19:$B$201)-COUNT('Бланк OLD 0.8 04'!$B$18:$B$200),'Бланк OLD 2.0 04 '!$B$16:$K$200,4,0)&gt;0,2,IF(VLOOKUP($A271-COUNT('Шаг2.Бланк заказа NEW'!$B$19:$B$201)-COUNT('Бланк OLD 0.8 04'!$B$18:$B$200),'Бланк OLD 2.0 04 '!$B$16:$K$200,5,0)&gt;0,0.4,"")))</f>
        <v/>
      </c>
      <c r="S271" s="147" t="str">
        <f ca="1">IFERROR(IFERROR(IF(VLOOKUP($A271,'Шаг2.Бланк заказа NEW'!$B$17:$N$201,5,0)="","",VLOOKUP($A271,'Шаг2.Бланк заказа NEW'!$B$17:$N$201,5,0)),
IF(VLOOKUP($A271-COUNT('Шаг2.Бланк заказа NEW'!$B$19:$B$201),'Бланк OLD 0.8 04'!$B$12:$K$200,4,0)&gt;1,0.8,
IF(VLOOKUP($A271-COUNT('Шаг2.Бланк заказа NEW'!$B$19:$B$201),'Бланк OLD 0.8 04'!$B$12:$K$200,5,0)&gt;1,0.4,
IF(AND(VLOOKUP($A271-COUNT('Шаг2.Бланк заказа NEW'!$B$19:$B$201),'Бланк OLD 0.8 04'!$B$12:$K$200,4,0)&gt;0,VLOOKUP($A271-COUNT('Шаг2.Бланк заказа NEW'!$B$19:$B$201),'Бланк OLD 0.8 04'!$B$12:$K$200,5,0)&gt;0),0.4,"")))),
IF(VLOOKUP($A271-COUNT('Шаг2.Бланк заказа NEW'!$B$19:$B$201)-COUNT('Бланк OLD 0.8 04'!$B$18:$B$200),'Бланк OLD 2.0 04 '!$B$16:$K$200,4,0)&gt;1,2,
IF(VLOOKUP($A271-COUNT('Шаг2.Бланк заказа NEW'!$B$19:$B$201)-COUNT('Бланк OLD 0.8 04'!$B$18:$B$200),'Бланк OLD 2.0 04 '!$B$16:$K$200,5,0)&gt;1,0.4,IF(AND(VLOOKUP($A271-COUNT('Шаг2.Бланк заказа NEW'!$B$19:$B$201)-COUNT('Бланк OLD 0.8 04'!$B$18:$B$200),'Бланк OLD 2.0 04 '!$B$16:$K$200,4,0)&gt;0,VLOOKUP($A271-COUNT('Шаг2.Бланк заказа NEW'!$B$19:$B$201)-COUNT('Бланк OLD 0.8 04'!$B$18:$B$200),'Бланк OLD 2.0 04 '!$B$16:$K$200,5,0)&gt;0),0.4,""))))</f>
        <v/>
      </c>
      <c r="T271" s="147" t="str">
        <f ca="1">IFERROR(IFERROR(IF(VLOOKUP($A271,'Шаг2.Бланк заказа NEW'!$B$17:$N$201,7,0)="","",VLOOKUP($A271,'Шаг2.Бланк заказа NEW'!$B$17:$N$201,7,0)),
IF(VLOOKUP($A271-COUNT('Шаг2.Бланк заказа NEW'!$B$19:$B$201),'Бланк OLD 0.8 04'!$B$12:$K$200,7,0)&gt;0,0.8,
IF(VLOOKUP($A271-COUNT('Шаг2.Бланк заказа NEW'!$B$19:$B$201),'Бланк OLD 0.8 04'!$B$12:$K$200,8,0)&gt;0,0.4,""))),
IF(VLOOKUP($A271-COUNT('Шаг2.Бланк заказа NEW'!$B$19:$B$201)-COUNT('Бланк OLD 0.8 04'!$B$18:$B$200),'Бланк OLD 2.0 04 '!$B$16:$K$200,7,0)&gt;0,2,IF(VLOOKUP($A271-COUNT('Шаг2.Бланк заказа NEW'!$B$19:$B$201)-COUNT('Бланк OLD 0.8 04'!$B$18:$B$200),'Бланк OLD 2.0 04 '!$B$16:$K$200,8,0)&gt;0,0.4,"")))</f>
        <v/>
      </c>
      <c r="U271" s="147" t="str">
        <f ca="1">IFERROR(IFERROR(IF(VLOOKUP($A271,'Шаг2.Бланк заказа NEW'!$B$17:$N$201,8,0)="","",VLOOKUP($A271,'Шаг2.Бланк заказа NEW'!$B$17:$N$201,8,0)),
IF(VLOOKUP($A271-COUNT('Шаг2.Бланк заказа NEW'!$B$19:$B$201),'Бланк OLD 0.8 04'!$B$12:$K$200,7,0)&gt;1,0.8,
IF(VLOOKUP($A271-COUNT('Шаг2.Бланк заказа NEW'!$B$19:$B$201),'Бланк OLD 0.8 04'!$B$12:$K$200,8,0)&gt;1,0.4,
IF(AND(VLOOKUP($A271-COUNT('Шаг2.Бланк заказа NEW'!$B$19:$B$201),'Бланк OLD 0.8 04'!$B$12:$K$200,7,0)&gt;0,VLOOKUP($A271-COUNT('Шаг2.Бланк заказа NEW'!$B$19:$B$201),'Бланк OLD 0.8 04'!$B$12:$K$200,8,0)&gt;0),0.4,"")))),
IF(VLOOKUP($A271-COUNT('Шаг2.Бланк заказа NEW'!$B$19:$B$201)-COUNT('Бланк OLD 0.8 04'!$B$18:$B$200),'Бланк OLD 2.0 04 '!$B$16:$K$200,7,0)&gt;1,2,
IF(VLOOKUP($A271-COUNT('Шаг2.Бланк заказа NEW'!$B$19:$B$201)-COUNT('Бланк OLD 0.8 04'!$B$18:$B$200),'Бланк OLD 2.0 04 '!$B$16:$K$200,8,0)&gt;1,0.4,
IF(AND(VLOOKUP($A271-COUNT('Шаг2.Бланк заказа NEW'!$B$19:$B$201)-COUNT('Бланк OLD 0.8 04'!$B$18:$B$200),'Бланк OLD 2.0 04 '!$B$16:$K$200,7,0)&gt;0,VLOOKUP($A271-COUNT('Шаг2.Бланк заказа NEW'!$B$19:$B$201)-COUNT('Бланк OLD 0.8 04'!$B$18:$B$200),'Бланк OLD 2.0 04 '!$B$16:$K$200,8,0)&gt;0),0.4,""))))</f>
        <v/>
      </c>
      <c r="V271" s="146" t="str">
        <f ca="1">IFERROR(VLOOKUP(C271,'Шаг1.Выбор плиты'!C:S,12,0),"")</f>
        <v/>
      </c>
      <c r="W271" s="146" t="str">
        <f ca="1">IFERROR(VLOOKUP(C271,'Шаг1.Выбор плиты'!C:S,8,0),"")</f>
        <v/>
      </c>
      <c r="X271" s="146" t="str">
        <f ca="1">IFERROR(VLOOKUP(C271,'Шаг1.Выбор плиты'!C:S,10,0),"")</f>
        <v/>
      </c>
      <c r="Y271" s="147" t="str">
        <f t="shared" ca="1" si="23"/>
        <v/>
      </c>
      <c r="AD271" s="147" t="str">
        <f t="shared" ca="1" si="21"/>
        <v/>
      </c>
      <c r="AE271" s="147" t="str">
        <f t="shared" ca="1" si="24"/>
        <v/>
      </c>
      <c r="AF271" s="25"/>
      <c r="AH271" s="147" t="str">
        <f ca="1">IF(C271="","",VLOOKUP(C271,'Шаг1.Выбор плиты'!C:Q,7,0))</f>
        <v/>
      </c>
      <c r="AI271" s="147" t="str">
        <f t="shared" ca="1" si="22"/>
        <v/>
      </c>
    </row>
    <row r="272" spans="1:35" x14ac:dyDescent="0.2">
      <c r="A272" s="151" t="str">
        <f ca="1">IF(C272="","",MAX($A$1:OFFSET(C272,-1,0))+1)</f>
        <v/>
      </c>
      <c r="B272" s="151" t="str">
        <f ca="1">IFERROR(IFERROR(IFERROR("Шаг2.Бланк заказа NEW №"&amp;VLOOKUP(A271+1,CHOOSE({1,2},'Шаг2.Бланк заказа NEW'!$B$19:$B$201,'Шаг2.Бланк заказа NEW'!$A$19:$A$201),1,0),
"Бланк OLD 0.8 04 №"&amp;VLOOKUP(A271+1-COUNT('Шаг2.Бланк заказа NEW'!$B$19:$B$201),CHOOSE({1,2},'Бланк OLD 0.8 04'!$B$18:$B$200,'Бланк OLD 0.8 04'!$A$18:$A$200),1,0)),
"Бланк OLD 2.0 04 №"&amp;VLOOKUP(A271+1-COUNT('Шаг2.Бланк заказа NEW'!$B$19:$B$201)-COUNT('Бланк OLD 0.8 04'!$B$18:$B$200),CHOOSE({1,2},'Бланк OLD 2.0 04 '!$B$18:$B$200,'Бланк OLD 2.0 04 '!$A$18:$A$200),1,0)),"")</f>
        <v/>
      </c>
      <c r="C272" s="152" t="str">
        <f ca="1">IFERROR(IFERROR(IFERROR(VLOOKUP(A271+1,CHOOSE({1,2},'Шаг2.Бланк заказа NEW'!$B$19:$B$201,'Шаг2.Бланк заказа NEW'!$A$19:$A$201),2,0),
VLOOKUP(A271+1-COUNT('Шаг2.Бланк заказа NEW'!$B$19:$B$201),CHOOSE({1,2},'Бланк OLD 0.8 04'!$B$18:$B$200,'Бланк OLD 0.8 04'!$A$18:$A$200),2,0)),
VLOOKUP(A271+1-COUNT('Шаг2.Бланк заказа NEW'!$B$19:$B$201)-COUNT('Бланк OLD 0.8 04'!$B$18:$B$200),CHOOSE({1,2},'Бланк OLD 2.0 04 '!$B$18:$B$200,'Бланк OLD 2.0 04 '!$A$18:$A$200),2,0)),"")</f>
        <v/>
      </c>
      <c r="D272" s="150" t="str">
        <f ca="1">IFERROR(VLOOKUP(C272,'Шаг1.Выбор плиты'!C:G,5,0),"")</f>
        <v/>
      </c>
      <c r="E272" s="147" t="str">
        <f ca="1">IFERROR(IFERROR(IF(VLOOKUP($A272,'Шаг2.Бланк заказа NEW'!$B$17:$N$201,2,0)="","",VLOOKUP($A272,'Шаг2.Бланк заказа NEW'!$B$17:$N$201,2,0)),
IF(VLOOKUP($A272-COUNT('Шаг2.Бланк заказа NEW'!$B$19:$B$201),'Бланк OLD 0.8 04'!$B$12:$K$200,2,0)="","",VLOOKUP($A272-COUNT('Шаг2.Бланк заказа NEW'!$B$19:$B$201),'Бланк OLD 0.8 04'!$B$12:$K$200,2,0))),
IF(VLOOKUP($A272-COUNT('Шаг2.Бланк заказа NEW'!$B$19:$B$201)-COUNT('Бланк OLD 0.8 04'!$B$18:$B$200),'Бланк OLD 2.0 04 '!$B$16:$K$200,2,0)="","",VLOOKUP($A272-COUNT('Шаг2.Бланк заказа NEW'!$B$19:$B$201)-COUNT('Бланк OLD 0.8 04'!$B$18:$B$200),'Бланк OLD 2.0 04 '!$B$16:$K$200,2,0)))</f>
        <v/>
      </c>
      <c r="F272" s="147" t="str">
        <f ca="1">IFERROR(IFERROR(IF(VLOOKUP($A272,'Шаг2.Бланк заказа NEW'!$B$17:$N$201,3,0)="","",VLOOKUP($A272,'Шаг2.Бланк заказа NEW'!$B$17:$N$201,3,0)),
IF(VLOOKUP($A272-COUNT('Шаг2.Бланк заказа NEW'!$B$19:$B$201),'Бланк OLD 0.8 04'!$B$12:$K$200,3,0)="","",VLOOKUP($A272-COUNT('Шаг2.Бланк заказа NEW'!$B$19:$B$201),'Бланк OLD 0.8 04'!$B$12:$K$200,3,0))),
IF(VLOOKUP($A272-COUNT('Шаг2.Бланк заказа NEW'!$B$19:$B$201)-COUNT('Бланк OLD 0.8 04'!$B$18:$B$200),'Бланк OLD 2.0 04 '!$B$16:$K$200,3,0)="","",VLOOKUP($A272-COUNT('Шаг2.Бланк заказа NEW'!$B$19:$B$201)-COUNT('Бланк OLD 0.8 04'!$B$18:$B$200),'Бланк OLD 2.0 04 '!$B$16:$K$200,3,0)))</f>
        <v/>
      </c>
      <c r="G272" s="176" t="str">
        <f ca="1">IF(IF(R272="","",IF(R272=1,SUMIFS('Шаг1.Выбор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плиты'!C:Q,12,0)),1))))))=0,
R272,
IF(R272="","",IF(R272=1,SUMIFS('Шаг1.Выбор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плиты'!N:N,R272,'Шаг1.Выбор плиты'!M:M,SMALL(INDIRECT("мм"&amp;VLOOKUP(C272,'Шаг1.Выбор плиты'!C:Q,12,0)),1)))))))</f>
        <v/>
      </c>
      <c r="H272" s="177" t="str">
        <f ca="1">IF(IF(S272="","",IF(S272=1,SUMIFS('Шаг1.Выбор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плиты'!C:Q,12,0)),1))))))=0,
S272,
IF(S272="","",IF(S272=1,SUMIFS('Шаг1.Выбор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плиты'!N:N,S272,'Шаг1.Выбор плиты'!M:M,SMALL(INDIRECT("мм"&amp;VLOOKUP(C272,'Шаг1.Выбор плиты'!C:Q,12,0)),1)))))))</f>
        <v/>
      </c>
      <c r="I272" s="147" t="str">
        <f ca="1">IFERROR(IFERROR(IF(VLOOKUP($A272,'Шаг2.Бланк заказа NEW'!$B$17:$N$201,6,0)="","",VLOOKUP($A272,'Шаг2.Бланк заказа NEW'!$B$17:$N$201,6,0)),
IF(VLOOKUP($A272-COUNT('Шаг2.Бланк заказа NEW'!$B$19:$B$201),'Бланк OLD 0.8 04'!$B$12:$K$200,6,0)="","",VLOOKUP($A272-COUNT('Шаг2.Бланк заказа NEW'!$B$19:$B$201),'Бланк OLD 0.8 04'!$B$12:$K$200,6,0))),
IF(VLOOKUP($A272-COUNT('Шаг2.Бланк заказа NEW'!$B$19:$B$201)-COUNT('Бланк OLD 0.8 04'!$B$18:$B$200),'Бланк OLD 2.0 04 '!$B$16:$K$200,6,0)="","",VLOOKUP($A272-COUNT('Шаг2.Бланк заказа NEW'!$B$19:$B$201)-COUNT('Бланк OLD 0.8 04'!$B$18:$B$200),'Бланк OLD 2.0 04 '!$B$16:$K$200,6,0)))</f>
        <v/>
      </c>
      <c r="J272" s="177" t="str">
        <f ca="1">IF(IF(T272="","",IF(T272=1,SUMIFS('Шаг1.Выбор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плиты'!C:Q,12,0)),1))))))=0,
T272,
IF(T272="","",IF(T272=1,SUMIFS('Шаг1.Выбор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плиты'!N:N,T272,'Шаг1.Выбор плиты'!M:M,SMALL(INDIRECT("мм"&amp;VLOOKUP(C272,'Шаг1.Выбор плиты'!C:Q,12,0)),1)))))))</f>
        <v/>
      </c>
      <c r="K272" s="177" t="str">
        <f ca="1">IF(IF(U272="","",IF(U272=1,SUMIFS('Шаг1.Выбор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плиты'!C:Q,12,0)),1))))))=0,
U272,
IF(U272="","",IF(U272=1,SUMIFS('Шаг1.Выбор плиты'!$G:$G,'Шаг1.Выбор плиты'!J:J,"*"&amp;RIGHT(VLOOKUP(C272,'Шаг1.Выбор плиты'!C:Q,8,0),4),'Шаг1.Выбор плиты'!L:L,IF(MID(C272,1,6)="ЛДСП P","TM"&amp;MID(VLOOKUP(C272,'Шаг1.Выбор плиты'!C:Q,10,0),3,2),MID(VLOOKUP(C272,'Шаг1.Выбор плиты'!C:Q,10,0),1,2)),
'Шаг1.Выбор плиты'!N:N,1),IF(SUMIFS('Шаг1.Выбор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плиты'!C:Q,12,0)),1))=0,
IF(SUMIFS('Шаг1.Выбор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плиты'!C:Q,12,0)),2))=0,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плиты'!C:Q,12,0)),3)),
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плиты'!C:Q,12,0)),2))),
(SUMIFS('Шаг1.Выбор плиты'!$G:$G,'Шаг1.Выбор плиты'!J:J,"*"&amp;RIGHT(VLOOKUP(C272,'Шаг1.Выбор плиты'!C:Q,8,0),4),'Шаг1.Выбор плиты'!L:L,VLOOKUP(C272,'Шаг1.Выбор плиты'!C:Q,10,0),'Шаг1.Выбор плиты'!N:N,U272,'Шаг1.Выбор плиты'!M:M,SMALL(INDIRECT("мм"&amp;VLOOKUP(C272,'Шаг1.Выбор плиты'!C:Q,12,0)),1)))))))</f>
        <v/>
      </c>
      <c r="L272" s="147" t="str">
        <f ca="1">IFERROR(IFERROR(IF(VLOOKUP($A272,'Шаг2.Бланк заказа NEW'!$B$17:$N$201,9,0)="","",VLOOKUP($A272,'Шаг2.Бланк заказа NEW'!$B$17:$N$201,9,0)),
IF(VLOOKUP($A272-COUNT('Шаг2.Бланк заказа NEW'!$B$19:$B$201),'Бланк OLD 0.8 04'!$B$12:$K$200,9,0)="","",VLOOKUP($A272-COUNT('Шаг2.Бланк заказа NEW'!$B$19:$B$201),'Бланк OLD 0.8 04'!$B$12:$K$200,9,0))),
IF(VLOOKUP($A272-COUNT('Шаг2.Бланк заказа NEW'!$B$19:$B$201)-COUNT('Бланк OLD 0.8 04'!$B$18:$B$200),'Бланк OLD 2.0 04 '!$B$16:$K$200,9,0)="","",VLOOKUP($A272-COUNT('Шаг2.Бланк заказа NEW'!$B$19:$B$201)-COUNT('Бланк OLD 0.8 04'!$B$18:$B$200),'Бланк OLD 2.0 04 '!$B$16:$K$200,9,0)))</f>
        <v/>
      </c>
      <c r="M272" s="154" t="str">
        <f t="shared" ca="1" si="20"/>
        <v/>
      </c>
      <c r="N272" s="153" t="str">
        <f ca="1">IFERROR(IF(VLOOKUP($A272,'Шаг2.Бланк заказа NEW'!$B$17:$N$201,11,0)="","",VLOOKUP($A272,'Шаг2.Бланк заказа NEW'!$B$17:$N$201,11,0)),
"Нет")</f>
        <v/>
      </c>
      <c r="O272" s="147" t="str">
        <f ca="1">IFERROR(IF(VLOOKUP($A272,'Шаг2.Бланк заказа NEW'!$B$17:$N$201,11,0)="","",VLOOKUP($A272,'Шаг2.Бланк заказа NEW'!$B$17:$N$201,12,0)),
"Нет")</f>
        <v/>
      </c>
      <c r="P272" s="153" t="str">
        <f ca="1">IFERROR(IF(VLOOKUP($A272,'Шаг2.Бланк заказа NEW'!$B$17:$N$201,13,0)="","",VLOOKUP($A272,'Шаг2.Бланк заказа NEW'!$B$17:$N$201,13,0)),
"Нет")</f>
        <v/>
      </c>
      <c r="Q272" s="147" t="str">
        <f ca="1">IFERROR(IF(VLOOKUP($A272,'Шаг2.Бланк заказа NEW'!$B$17:$O$201,14,0)="","",VLOOKUP($A272,'Шаг2.Бланк заказа NEW'!$B$17:$O$201,14,0)),"")</f>
        <v/>
      </c>
      <c r="R272" s="147" t="str">
        <f ca="1">IFERROR(IFERROR(IF(VLOOKUP($A272,'Шаг2.Бланк заказа NEW'!$B$17:$N$201,4,0)="","",VLOOKUP($A272,'Шаг2.Бланк заказа NEW'!$B$17:$N$201,4,0)),
IF(VLOOKUP($A272-COUNT('Шаг2.Бланк заказа NEW'!$B$19:$B$201),'Бланк OLD 0.8 04'!$B$12:$K$200,4,0)&gt;0,0.8,
IF(VLOOKUP($A272-COUNT('Шаг2.Бланк заказа NEW'!$B$19:$B$201),'Бланк OLD 0.8 04'!$B$12:$K$200,5,0)&gt;0,0.4,""))),
IF(VLOOKUP($A272-COUNT('Шаг2.Бланк заказа NEW'!$B$19:$B$201)-COUNT('Бланк OLD 0.8 04'!$B$18:$B$200),'Бланк OLD 2.0 04 '!$B$16:$K$200,4,0)&gt;0,2,IF(VLOOKUP($A272-COUNT('Шаг2.Бланк заказа NEW'!$B$19:$B$201)-COUNT('Бланк OLD 0.8 04'!$B$18:$B$200),'Бланк OLD 2.0 04 '!$B$16:$K$200,5,0)&gt;0,0.4,"")))</f>
        <v/>
      </c>
      <c r="S272" s="147" t="str">
        <f ca="1">IFERROR(IFERROR(IF(VLOOKUP($A272,'Шаг2.Бланк заказа NEW'!$B$17:$N$201,5,0)="","",VLOOKUP($A272,'Шаг2.Бланк заказа NEW'!$B$17:$N$201,5,0)),
IF(VLOOKUP($A272-COUNT('Шаг2.Бланк заказа NEW'!$B$19:$B$201),'Бланк OLD 0.8 04'!$B$12:$K$200,4,0)&gt;1,0.8,
IF(VLOOKUP($A272-COUNT('Шаг2.Бланк заказа NEW'!$B$19:$B$201),'Бланк OLD 0.8 04'!$B$12:$K$200,5,0)&gt;1,0.4,
IF(AND(VLOOKUP($A272-COUNT('Шаг2.Бланк заказа NEW'!$B$19:$B$201),'Бланк OLD 0.8 04'!$B$12:$K$200,4,0)&gt;0,VLOOKUP($A272-COUNT('Шаг2.Бланк заказа NEW'!$B$19:$B$201),'Бланк OLD 0.8 04'!$B$12:$K$200,5,0)&gt;0),0.4,"")))),
IF(VLOOKUP($A272-COUNT('Шаг2.Бланк заказа NEW'!$B$19:$B$201)-COUNT('Бланк OLD 0.8 04'!$B$18:$B$200),'Бланк OLD 2.0 04 '!$B$16:$K$200,4,0)&gt;1,2,
IF(VLOOKUP($A272-COUNT('Шаг2.Бланк заказа NEW'!$B$19:$B$201)-COUNT('Бланк OLD 0.8 04'!$B$18:$B$200),'Бланк OLD 2.0 04 '!$B$16:$K$200,5,0)&gt;1,0.4,IF(AND(VLOOKUP($A272-COUNT('Шаг2.Бланк заказа NEW'!$B$19:$B$201)-COUNT('Бланк OLD 0.8 04'!$B$18:$B$200),'Бланк OLD 2.0 04 '!$B$16:$K$200,4,0)&gt;0,VLOOKUP($A272-COUNT('Шаг2.Бланк заказа NEW'!$B$19:$B$201)-COUNT('Бланк OLD 0.8 04'!$B$18:$B$200),'Бланк OLD 2.0 04 '!$B$16:$K$200,5,0)&gt;0),0.4,""))))</f>
        <v/>
      </c>
      <c r="T272" s="147" t="str">
        <f ca="1">IFERROR(IFERROR(IF(VLOOKUP($A272,'Шаг2.Бланк заказа NEW'!$B$17:$N$201,7,0)="","",VLOOKUP($A272,'Шаг2.Бланк заказа NEW'!$B$17:$N$201,7,0)),
IF(VLOOKUP($A272-COUNT('Шаг2.Бланк заказа NEW'!$B$19:$B$201),'Бланк OLD 0.8 04'!$B$12:$K$200,7,0)&gt;0,0.8,
IF(VLOOKUP($A272-COUNT('Шаг2.Бланк заказа NEW'!$B$19:$B$201),'Бланк OLD 0.8 04'!$B$12:$K$200,8,0)&gt;0,0.4,""))),
IF(VLOOKUP($A272-COUNT('Шаг2.Бланк заказа NEW'!$B$19:$B$201)-COUNT('Бланк OLD 0.8 04'!$B$18:$B$200),'Бланк OLD 2.0 04 '!$B$16:$K$200,7,0)&gt;0,2,IF(VLOOKUP($A272-COUNT('Шаг2.Бланк заказа NEW'!$B$19:$B$201)-COUNT('Бланк OLD 0.8 04'!$B$18:$B$200),'Бланк OLD 2.0 04 '!$B$16:$K$200,8,0)&gt;0,0.4,"")))</f>
        <v/>
      </c>
      <c r="U272" s="147" t="str">
        <f ca="1">IFERROR(IFERROR(IF(VLOOKUP($A272,'Шаг2.Бланк заказа NEW'!$B$17:$N$201,8,0)="","",VLOOKUP($A272,'Шаг2.Бланк заказа NEW'!$B$17:$N$201,8,0)),
IF(VLOOKUP($A272-COUNT('Шаг2.Бланк заказа NEW'!$B$19:$B$201),'Бланк OLD 0.8 04'!$B$12:$K$200,7,0)&gt;1,0.8,
IF(VLOOKUP($A272-COUNT('Шаг2.Бланк заказа NEW'!$B$19:$B$201),'Бланк OLD 0.8 04'!$B$12:$K$200,8,0)&gt;1,0.4,
IF(AND(VLOOKUP($A272-COUNT('Шаг2.Бланк заказа NEW'!$B$19:$B$201),'Бланк OLD 0.8 04'!$B$12:$K$200,7,0)&gt;0,VLOOKUP($A272-COUNT('Шаг2.Бланк заказа NEW'!$B$19:$B$201),'Бланк OLD 0.8 04'!$B$12:$K$200,8,0)&gt;0),0.4,"")))),
IF(VLOOKUP($A272-COUNT('Шаг2.Бланк заказа NEW'!$B$19:$B$201)-COUNT('Бланк OLD 0.8 04'!$B$18:$B$200),'Бланк OLD 2.0 04 '!$B$16:$K$200,7,0)&gt;1,2,
IF(VLOOKUP($A272-COUNT('Шаг2.Бланк заказа NEW'!$B$19:$B$201)-COUNT('Бланк OLD 0.8 04'!$B$18:$B$200),'Бланк OLD 2.0 04 '!$B$16:$K$200,8,0)&gt;1,0.4,
IF(AND(VLOOKUP($A272-COUNT('Шаг2.Бланк заказа NEW'!$B$19:$B$201)-COUNT('Бланк OLD 0.8 04'!$B$18:$B$200),'Бланк OLD 2.0 04 '!$B$16:$K$200,7,0)&gt;0,VLOOKUP($A272-COUNT('Шаг2.Бланк заказа NEW'!$B$19:$B$201)-COUNT('Бланк OLD 0.8 04'!$B$18:$B$200),'Бланк OLD 2.0 04 '!$B$16:$K$200,8,0)&gt;0),0.4,""))))</f>
        <v/>
      </c>
      <c r="V272" s="146" t="str">
        <f ca="1">IFERROR(VLOOKUP(C272,'Шаг1.Выбор плиты'!C:S,12,0),"")</f>
        <v/>
      </c>
      <c r="W272" s="146" t="str">
        <f ca="1">IFERROR(VLOOKUP(C272,'Шаг1.Выбор плиты'!C:S,8,0),"")</f>
        <v/>
      </c>
      <c r="X272" s="146" t="str">
        <f ca="1">IFERROR(VLOOKUP(C272,'Шаг1.Выбор плиты'!C:S,10,0),"")</f>
        <v/>
      </c>
      <c r="Y272" s="147" t="str">
        <f t="shared" ca="1" si="23"/>
        <v/>
      </c>
      <c r="AD272" s="147" t="str">
        <f t="shared" ca="1" si="21"/>
        <v/>
      </c>
      <c r="AE272" s="147" t="str">
        <f t="shared" ca="1" si="24"/>
        <v/>
      </c>
      <c r="AF272" s="25"/>
      <c r="AH272" s="147" t="str">
        <f ca="1">IF(C272="","",VLOOKUP(C272,'Шаг1.Выбор плиты'!C:Q,7,0))</f>
        <v/>
      </c>
      <c r="AI272" s="147" t="str">
        <f t="shared" ca="1" si="22"/>
        <v/>
      </c>
    </row>
    <row r="273" spans="1:35" x14ac:dyDescent="0.2">
      <c r="A273" s="151" t="str">
        <f ca="1">IF(C273="","",MAX($A$1:OFFSET(C273,-1,0))+1)</f>
        <v/>
      </c>
      <c r="B273" s="151" t="str">
        <f ca="1">IFERROR(IFERROR(IFERROR("Шаг2.Бланк заказа NEW №"&amp;VLOOKUP(A272+1,CHOOSE({1,2},'Шаг2.Бланк заказа NEW'!$B$19:$B$201,'Шаг2.Бланк заказа NEW'!$A$19:$A$201),1,0),
"Бланк OLD 0.8 04 №"&amp;VLOOKUP(A272+1-COUNT('Шаг2.Бланк заказа NEW'!$B$19:$B$201),CHOOSE({1,2},'Бланк OLD 0.8 04'!$B$18:$B$200,'Бланк OLD 0.8 04'!$A$18:$A$200),1,0)),
"Бланк OLD 2.0 04 №"&amp;VLOOKUP(A272+1-COUNT('Шаг2.Бланк заказа NEW'!$B$19:$B$201)-COUNT('Бланк OLD 0.8 04'!$B$18:$B$200),CHOOSE({1,2},'Бланк OLD 2.0 04 '!$B$18:$B$200,'Бланк OLD 2.0 04 '!$A$18:$A$200),1,0)),"")</f>
        <v/>
      </c>
      <c r="C273" s="152" t="str">
        <f ca="1">IFERROR(IFERROR(IFERROR(VLOOKUP(A272+1,CHOOSE({1,2},'Шаг2.Бланк заказа NEW'!$B$19:$B$201,'Шаг2.Бланк заказа NEW'!$A$19:$A$201),2,0),
VLOOKUP(A272+1-COUNT('Шаг2.Бланк заказа NEW'!$B$19:$B$201),CHOOSE({1,2},'Бланк OLD 0.8 04'!$B$18:$B$200,'Бланк OLD 0.8 04'!$A$18:$A$200),2,0)),
VLOOKUP(A272+1-COUNT('Шаг2.Бланк заказа NEW'!$B$19:$B$201)-COUNT('Бланк OLD 0.8 04'!$B$18:$B$200),CHOOSE({1,2},'Бланк OLD 2.0 04 '!$B$18:$B$200,'Бланк OLD 2.0 04 '!$A$18:$A$200),2,0)),"")</f>
        <v/>
      </c>
      <c r="D273" s="150" t="str">
        <f ca="1">IFERROR(VLOOKUP(C273,'Шаг1.Выбор плиты'!C:G,5,0),"")</f>
        <v/>
      </c>
      <c r="E273" s="147" t="str">
        <f ca="1">IFERROR(IFERROR(IF(VLOOKUP($A273,'Шаг2.Бланк заказа NEW'!$B$17:$N$201,2,0)="","",VLOOKUP($A273,'Шаг2.Бланк заказа NEW'!$B$17:$N$201,2,0)),
IF(VLOOKUP($A273-COUNT('Шаг2.Бланк заказа NEW'!$B$19:$B$201),'Бланк OLD 0.8 04'!$B$12:$K$200,2,0)="","",VLOOKUP($A273-COUNT('Шаг2.Бланк заказа NEW'!$B$19:$B$201),'Бланк OLD 0.8 04'!$B$12:$K$200,2,0))),
IF(VLOOKUP($A273-COUNT('Шаг2.Бланк заказа NEW'!$B$19:$B$201)-COUNT('Бланк OLD 0.8 04'!$B$18:$B$200),'Бланк OLD 2.0 04 '!$B$16:$K$200,2,0)="","",VLOOKUP($A273-COUNT('Шаг2.Бланк заказа NEW'!$B$19:$B$201)-COUNT('Бланк OLD 0.8 04'!$B$18:$B$200),'Бланк OLD 2.0 04 '!$B$16:$K$200,2,0)))</f>
        <v/>
      </c>
      <c r="F273" s="147" t="str">
        <f ca="1">IFERROR(IFERROR(IF(VLOOKUP($A273,'Шаг2.Бланк заказа NEW'!$B$17:$N$201,3,0)="","",VLOOKUP($A273,'Шаг2.Бланк заказа NEW'!$B$17:$N$201,3,0)),
IF(VLOOKUP($A273-COUNT('Шаг2.Бланк заказа NEW'!$B$19:$B$201),'Бланк OLD 0.8 04'!$B$12:$K$200,3,0)="","",VLOOKUP($A273-COUNT('Шаг2.Бланк заказа NEW'!$B$19:$B$201),'Бланк OLD 0.8 04'!$B$12:$K$200,3,0))),
IF(VLOOKUP($A273-COUNT('Шаг2.Бланк заказа NEW'!$B$19:$B$201)-COUNT('Бланк OLD 0.8 04'!$B$18:$B$200),'Бланк OLD 2.0 04 '!$B$16:$K$200,3,0)="","",VLOOKUP($A273-COUNT('Шаг2.Бланк заказа NEW'!$B$19:$B$201)-COUNT('Бланк OLD 0.8 04'!$B$18:$B$200),'Бланк OLD 2.0 04 '!$B$16:$K$200,3,0)))</f>
        <v/>
      </c>
      <c r="G273" s="176" t="str">
        <f ca="1">IF(IF(R273="","",IF(R273=1,SUMIFS('Шаг1.Выбор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плиты'!C:Q,12,0)),1))))))=0,
R273,
IF(R273="","",IF(R273=1,SUMIFS('Шаг1.Выбор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плиты'!N:N,R273,'Шаг1.Выбор плиты'!M:M,SMALL(INDIRECT("мм"&amp;VLOOKUP(C273,'Шаг1.Выбор плиты'!C:Q,12,0)),1)))))))</f>
        <v/>
      </c>
      <c r="H273" s="177" t="str">
        <f ca="1">IF(IF(S273="","",IF(S273=1,SUMIFS('Шаг1.Выбор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плиты'!C:Q,12,0)),1))))))=0,
S273,
IF(S273="","",IF(S273=1,SUMIFS('Шаг1.Выбор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плиты'!N:N,S273,'Шаг1.Выбор плиты'!M:M,SMALL(INDIRECT("мм"&amp;VLOOKUP(C273,'Шаг1.Выбор плиты'!C:Q,12,0)),1)))))))</f>
        <v/>
      </c>
      <c r="I273" s="147" t="str">
        <f ca="1">IFERROR(IFERROR(IF(VLOOKUP($A273,'Шаг2.Бланк заказа NEW'!$B$17:$N$201,6,0)="","",VLOOKUP($A273,'Шаг2.Бланк заказа NEW'!$B$17:$N$201,6,0)),
IF(VLOOKUP($A273-COUNT('Шаг2.Бланк заказа NEW'!$B$19:$B$201),'Бланк OLD 0.8 04'!$B$12:$K$200,6,0)="","",VLOOKUP($A273-COUNT('Шаг2.Бланк заказа NEW'!$B$19:$B$201),'Бланк OLD 0.8 04'!$B$12:$K$200,6,0))),
IF(VLOOKUP($A273-COUNT('Шаг2.Бланк заказа NEW'!$B$19:$B$201)-COUNT('Бланк OLD 0.8 04'!$B$18:$B$200),'Бланк OLD 2.0 04 '!$B$16:$K$200,6,0)="","",VLOOKUP($A273-COUNT('Шаг2.Бланк заказа NEW'!$B$19:$B$201)-COUNT('Бланк OLD 0.8 04'!$B$18:$B$200),'Бланк OLD 2.0 04 '!$B$16:$K$200,6,0)))</f>
        <v/>
      </c>
      <c r="J273" s="177" t="str">
        <f ca="1">IF(IF(T273="","",IF(T273=1,SUMIFS('Шаг1.Выбор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плиты'!C:Q,12,0)),1))))))=0,
T273,
IF(T273="","",IF(T273=1,SUMIFS('Шаг1.Выбор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плиты'!N:N,T273,'Шаг1.Выбор плиты'!M:M,SMALL(INDIRECT("мм"&amp;VLOOKUP(C273,'Шаг1.Выбор плиты'!C:Q,12,0)),1)))))))</f>
        <v/>
      </c>
      <c r="K273" s="177" t="str">
        <f ca="1">IF(IF(U273="","",IF(U273=1,SUMIFS('Шаг1.Выбор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плиты'!C:Q,12,0)),1))))))=0,
U273,
IF(U273="","",IF(U273=1,SUMIFS('Шаг1.Выбор плиты'!$G:$G,'Шаг1.Выбор плиты'!J:J,"*"&amp;RIGHT(VLOOKUP(C273,'Шаг1.Выбор плиты'!C:Q,8,0),4),'Шаг1.Выбор плиты'!L:L,IF(MID(C273,1,6)="ЛДСП P","TM"&amp;MID(VLOOKUP(C273,'Шаг1.Выбор плиты'!C:Q,10,0),3,2),MID(VLOOKUP(C273,'Шаг1.Выбор плиты'!C:Q,10,0),1,2)),
'Шаг1.Выбор плиты'!N:N,1),IF(SUMIFS('Шаг1.Выбор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плиты'!C:Q,12,0)),1))=0,
IF(SUMIFS('Шаг1.Выбор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плиты'!C:Q,12,0)),2))=0,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плиты'!C:Q,12,0)),3)),
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плиты'!C:Q,12,0)),2))),
(SUMIFS('Шаг1.Выбор плиты'!$G:$G,'Шаг1.Выбор плиты'!J:J,"*"&amp;RIGHT(VLOOKUP(C273,'Шаг1.Выбор плиты'!C:Q,8,0),4),'Шаг1.Выбор плиты'!L:L,VLOOKUP(C273,'Шаг1.Выбор плиты'!C:Q,10,0),'Шаг1.Выбор плиты'!N:N,U273,'Шаг1.Выбор плиты'!M:M,SMALL(INDIRECT("мм"&amp;VLOOKUP(C273,'Шаг1.Выбор плиты'!C:Q,12,0)),1)))))))</f>
        <v/>
      </c>
      <c r="L273" s="147" t="str">
        <f ca="1">IFERROR(IFERROR(IF(VLOOKUP($A273,'Шаг2.Бланк заказа NEW'!$B$17:$N$201,9,0)="","",VLOOKUP($A273,'Шаг2.Бланк заказа NEW'!$B$17:$N$201,9,0)),
IF(VLOOKUP($A273-COUNT('Шаг2.Бланк заказа NEW'!$B$19:$B$201),'Бланк OLD 0.8 04'!$B$12:$K$200,9,0)="","",VLOOKUP($A273-COUNT('Шаг2.Бланк заказа NEW'!$B$19:$B$201),'Бланк OLD 0.8 04'!$B$12:$K$200,9,0))),
IF(VLOOKUP($A273-COUNT('Шаг2.Бланк заказа NEW'!$B$19:$B$201)-COUNT('Бланк OLD 0.8 04'!$B$18:$B$200),'Бланк OLD 2.0 04 '!$B$16:$K$200,9,0)="","",VLOOKUP($A273-COUNT('Шаг2.Бланк заказа NEW'!$B$19:$B$201)-COUNT('Бланк OLD 0.8 04'!$B$18:$B$200),'Бланк OLD 2.0 04 '!$B$16:$K$200,9,0)))</f>
        <v/>
      </c>
      <c r="M273" s="154" t="str">
        <f t="shared" ca="1" si="20"/>
        <v/>
      </c>
      <c r="N273" s="153" t="str">
        <f ca="1">IFERROR(IF(VLOOKUP($A273,'Шаг2.Бланк заказа NEW'!$B$17:$N$201,11,0)="","",VLOOKUP($A273,'Шаг2.Бланк заказа NEW'!$B$17:$N$201,11,0)),
"Нет")</f>
        <v/>
      </c>
      <c r="O273" s="147" t="str">
        <f ca="1">IFERROR(IF(VLOOKUP($A273,'Шаг2.Бланк заказа NEW'!$B$17:$N$201,11,0)="","",VLOOKUP($A273,'Шаг2.Бланк заказа NEW'!$B$17:$N$201,12,0)),
"Нет")</f>
        <v/>
      </c>
      <c r="P273" s="153" t="str">
        <f ca="1">IFERROR(IF(VLOOKUP($A273,'Шаг2.Бланк заказа NEW'!$B$17:$N$201,13,0)="","",VLOOKUP($A273,'Шаг2.Бланк заказа NEW'!$B$17:$N$201,13,0)),
"Нет")</f>
        <v/>
      </c>
      <c r="Q273" s="147" t="str">
        <f ca="1">IFERROR(IF(VLOOKUP($A273,'Шаг2.Бланк заказа NEW'!$B$17:$O$201,14,0)="","",VLOOKUP($A273,'Шаг2.Бланк заказа NEW'!$B$17:$O$201,14,0)),"")</f>
        <v/>
      </c>
      <c r="R273" s="147" t="str">
        <f ca="1">IFERROR(IFERROR(IF(VLOOKUP($A273,'Шаг2.Бланк заказа NEW'!$B$17:$N$201,4,0)="","",VLOOKUP($A273,'Шаг2.Бланк заказа NEW'!$B$17:$N$201,4,0)),
IF(VLOOKUP($A273-COUNT('Шаг2.Бланк заказа NEW'!$B$19:$B$201),'Бланк OLD 0.8 04'!$B$12:$K$200,4,0)&gt;0,0.8,
IF(VLOOKUP($A273-COUNT('Шаг2.Бланк заказа NEW'!$B$19:$B$201),'Бланк OLD 0.8 04'!$B$12:$K$200,5,0)&gt;0,0.4,""))),
IF(VLOOKUP($A273-COUNT('Шаг2.Бланк заказа NEW'!$B$19:$B$201)-COUNT('Бланк OLD 0.8 04'!$B$18:$B$200),'Бланк OLD 2.0 04 '!$B$16:$K$200,4,0)&gt;0,2,IF(VLOOKUP($A273-COUNT('Шаг2.Бланк заказа NEW'!$B$19:$B$201)-COUNT('Бланк OLD 0.8 04'!$B$18:$B$200),'Бланк OLD 2.0 04 '!$B$16:$K$200,5,0)&gt;0,0.4,"")))</f>
        <v/>
      </c>
      <c r="S273" s="147" t="str">
        <f ca="1">IFERROR(IFERROR(IF(VLOOKUP($A273,'Шаг2.Бланк заказа NEW'!$B$17:$N$201,5,0)="","",VLOOKUP($A273,'Шаг2.Бланк заказа NEW'!$B$17:$N$201,5,0)),
IF(VLOOKUP($A273-COUNT('Шаг2.Бланк заказа NEW'!$B$19:$B$201),'Бланк OLD 0.8 04'!$B$12:$K$200,4,0)&gt;1,0.8,
IF(VLOOKUP($A273-COUNT('Шаг2.Бланк заказа NEW'!$B$19:$B$201),'Бланк OLD 0.8 04'!$B$12:$K$200,5,0)&gt;1,0.4,
IF(AND(VLOOKUP($A273-COUNT('Шаг2.Бланк заказа NEW'!$B$19:$B$201),'Бланк OLD 0.8 04'!$B$12:$K$200,4,0)&gt;0,VLOOKUP($A273-COUNT('Шаг2.Бланк заказа NEW'!$B$19:$B$201),'Бланк OLD 0.8 04'!$B$12:$K$200,5,0)&gt;0),0.4,"")))),
IF(VLOOKUP($A273-COUNT('Шаг2.Бланк заказа NEW'!$B$19:$B$201)-COUNT('Бланк OLD 0.8 04'!$B$18:$B$200),'Бланк OLD 2.0 04 '!$B$16:$K$200,4,0)&gt;1,2,
IF(VLOOKUP($A273-COUNT('Шаг2.Бланк заказа NEW'!$B$19:$B$201)-COUNT('Бланк OLD 0.8 04'!$B$18:$B$200),'Бланк OLD 2.0 04 '!$B$16:$K$200,5,0)&gt;1,0.4,IF(AND(VLOOKUP($A273-COUNT('Шаг2.Бланк заказа NEW'!$B$19:$B$201)-COUNT('Бланк OLD 0.8 04'!$B$18:$B$200),'Бланк OLD 2.0 04 '!$B$16:$K$200,4,0)&gt;0,VLOOKUP($A273-COUNT('Шаг2.Бланк заказа NEW'!$B$19:$B$201)-COUNT('Бланк OLD 0.8 04'!$B$18:$B$200),'Бланк OLD 2.0 04 '!$B$16:$K$200,5,0)&gt;0),0.4,""))))</f>
        <v/>
      </c>
      <c r="T273" s="147" t="str">
        <f ca="1">IFERROR(IFERROR(IF(VLOOKUP($A273,'Шаг2.Бланк заказа NEW'!$B$17:$N$201,7,0)="","",VLOOKUP($A273,'Шаг2.Бланк заказа NEW'!$B$17:$N$201,7,0)),
IF(VLOOKUP($A273-COUNT('Шаг2.Бланк заказа NEW'!$B$19:$B$201),'Бланк OLD 0.8 04'!$B$12:$K$200,7,0)&gt;0,0.8,
IF(VLOOKUP($A273-COUNT('Шаг2.Бланк заказа NEW'!$B$19:$B$201),'Бланк OLD 0.8 04'!$B$12:$K$200,8,0)&gt;0,0.4,""))),
IF(VLOOKUP($A273-COUNT('Шаг2.Бланк заказа NEW'!$B$19:$B$201)-COUNT('Бланк OLD 0.8 04'!$B$18:$B$200),'Бланк OLD 2.0 04 '!$B$16:$K$200,7,0)&gt;0,2,IF(VLOOKUP($A273-COUNT('Шаг2.Бланк заказа NEW'!$B$19:$B$201)-COUNT('Бланк OLD 0.8 04'!$B$18:$B$200),'Бланк OLD 2.0 04 '!$B$16:$K$200,8,0)&gt;0,0.4,"")))</f>
        <v/>
      </c>
      <c r="U273" s="147" t="str">
        <f ca="1">IFERROR(IFERROR(IF(VLOOKUP($A273,'Шаг2.Бланк заказа NEW'!$B$17:$N$201,8,0)="","",VLOOKUP($A273,'Шаг2.Бланк заказа NEW'!$B$17:$N$201,8,0)),
IF(VLOOKUP($A273-COUNT('Шаг2.Бланк заказа NEW'!$B$19:$B$201),'Бланк OLD 0.8 04'!$B$12:$K$200,7,0)&gt;1,0.8,
IF(VLOOKUP($A273-COUNT('Шаг2.Бланк заказа NEW'!$B$19:$B$201),'Бланк OLD 0.8 04'!$B$12:$K$200,8,0)&gt;1,0.4,
IF(AND(VLOOKUP($A273-COUNT('Шаг2.Бланк заказа NEW'!$B$19:$B$201),'Бланк OLD 0.8 04'!$B$12:$K$200,7,0)&gt;0,VLOOKUP($A273-COUNT('Шаг2.Бланк заказа NEW'!$B$19:$B$201),'Бланк OLD 0.8 04'!$B$12:$K$200,8,0)&gt;0),0.4,"")))),
IF(VLOOKUP($A273-COUNT('Шаг2.Бланк заказа NEW'!$B$19:$B$201)-COUNT('Бланк OLD 0.8 04'!$B$18:$B$200),'Бланк OLD 2.0 04 '!$B$16:$K$200,7,0)&gt;1,2,
IF(VLOOKUP($A273-COUNT('Шаг2.Бланк заказа NEW'!$B$19:$B$201)-COUNT('Бланк OLD 0.8 04'!$B$18:$B$200),'Бланк OLD 2.0 04 '!$B$16:$K$200,8,0)&gt;1,0.4,
IF(AND(VLOOKUP($A273-COUNT('Шаг2.Бланк заказа NEW'!$B$19:$B$201)-COUNT('Бланк OLD 0.8 04'!$B$18:$B$200),'Бланк OLD 2.0 04 '!$B$16:$K$200,7,0)&gt;0,VLOOKUP($A273-COUNT('Шаг2.Бланк заказа NEW'!$B$19:$B$201)-COUNT('Бланк OLD 0.8 04'!$B$18:$B$200),'Бланк OLD 2.0 04 '!$B$16:$K$200,8,0)&gt;0),0.4,""))))</f>
        <v/>
      </c>
      <c r="V273" s="146" t="str">
        <f ca="1">IFERROR(VLOOKUP(C273,'Шаг1.Выбор плиты'!C:S,12,0),"")</f>
        <v/>
      </c>
      <c r="W273" s="146" t="str">
        <f ca="1">IFERROR(VLOOKUP(C273,'Шаг1.Выбор плиты'!C:S,8,0),"")</f>
        <v/>
      </c>
      <c r="X273" s="146" t="str">
        <f ca="1">IFERROR(VLOOKUP(C273,'Шаг1.Выбор плиты'!C:S,10,0),"")</f>
        <v/>
      </c>
      <c r="Y273" s="147" t="str">
        <f t="shared" ca="1" si="23"/>
        <v/>
      </c>
      <c r="AD273" s="147" t="str">
        <f t="shared" ca="1" si="21"/>
        <v/>
      </c>
      <c r="AE273" s="147" t="str">
        <f t="shared" ca="1" si="24"/>
        <v/>
      </c>
      <c r="AF273" s="25"/>
      <c r="AH273" s="147" t="str">
        <f ca="1">IF(C273="","",VLOOKUP(C273,'Шаг1.Выбор плиты'!C:Q,7,0))</f>
        <v/>
      </c>
      <c r="AI273" s="147" t="str">
        <f t="shared" ca="1" si="22"/>
        <v/>
      </c>
    </row>
    <row r="274" spans="1:35" x14ac:dyDescent="0.2">
      <c r="A274" s="151" t="str">
        <f ca="1">IF(C274="","",MAX($A$1:OFFSET(C274,-1,0))+1)</f>
        <v/>
      </c>
      <c r="B274" s="151" t="str">
        <f ca="1">IFERROR(IFERROR(IFERROR("Шаг2.Бланк заказа NEW №"&amp;VLOOKUP(A273+1,CHOOSE({1,2},'Шаг2.Бланк заказа NEW'!$B$19:$B$201,'Шаг2.Бланк заказа NEW'!$A$19:$A$201),1,0),
"Бланк OLD 0.8 04 №"&amp;VLOOKUP(A273+1-COUNT('Шаг2.Бланк заказа NEW'!$B$19:$B$201),CHOOSE({1,2},'Бланк OLD 0.8 04'!$B$18:$B$200,'Бланк OLD 0.8 04'!$A$18:$A$200),1,0)),
"Бланк OLD 2.0 04 №"&amp;VLOOKUP(A273+1-COUNT('Шаг2.Бланк заказа NEW'!$B$19:$B$201)-COUNT('Бланк OLD 0.8 04'!$B$18:$B$200),CHOOSE({1,2},'Бланк OLD 2.0 04 '!$B$18:$B$200,'Бланк OLD 2.0 04 '!$A$18:$A$200),1,0)),"")</f>
        <v/>
      </c>
      <c r="C274" s="152" t="str">
        <f ca="1">IFERROR(IFERROR(IFERROR(VLOOKUP(A273+1,CHOOSE({1,2},'Шаг2.Бланк заказа NEW'!$B$19:$B$201,'Шаг2.Бланк заказа NEW'!$A$19:$A$201),2,0),
VLOOKUP(A273+1-COUNT('Шаг2.Бланк заказа NEW'!$B$19:$B$201),CHOOSE({1,2},'Бланк OLD 0.8 04'!$B$18:$B$200,'Бланк OLD 0.8 04'!$A$18:$A$200),2,0)),
VLOOKUP(A273+1-COUNT('Шаг2.Бланк заказа NEW'!$B$19:$B$201)-COUNT('Бланк OLD 0.8 04'!$B$18:$B$200),CHOOSE({1,2},'Бланк OLD 2.0 04 '!$B$18:$B$200,'Бланк OLD 2.0 04 '!$A$18:$A$200),2,0)),"")</f>
        <v/>
      </c>
      <c r="D274" s="150" t="str">
        <f ca="1">IFERROR(VLOOKUP(C274,'Шаг1.Выбор плиты'!C:G,5,0),"")</f>
        <v/>
      </c>
      <c r="E274" s="147" t="str">
        <f ca="1">IFERROR(IFERROR(IF(VLOOKUP($A274,'Шаг2.Бланк заказа NEW'!$B$17:$N$201,2,0)="","",VLOOKUP($A274,'Шаг2.Бланк заказа NEW'!$B$17:$N$201,2,0)),
IF(VLOOKUP($A274-COUNT('Шаг2.Бланк заказа NEW'!$B$19:$B$201),'Бланк OLD 0.8 04'!$B$12:$K$200,2,0)="","",VLOOKUP($A274-COUNT('Шаг2.Бланк заказа NEW'!$B$19:$B$201),'Бланк OLD 0.8 04'!$B$12:$K$200,2,0))),
IF(VLOOKUP($A274-COUNT('Шаг2.Бланк заказа NEW'!$B$19:$B$201)-COUNT('Бланк OLD 0.8 04'!$B$18:$B$200),'Бланк OLD 2.0 04 '!$B$16:$K$200,2,0)="","",VLOOKUP($A274-COUNT('Шаг2.Бланк заказа NEW'!$B$19:$B$201)-COUNT('Бланк OLD 0.8 04'!$B$18:$B$200),'Бланк OLD 2.0 04 '!$B$16:$K$200,2,0)))</f>
        <v/>
      </c>
      <c r="F274" s="147" t="str">
        <f ca="1">IFERROR(IFERROR(IF(VLOOKUP($A274,'Шаг2.Бланк заказа NEW'!$B$17:$N$201,3,0)="","",VLOOKUP($A274,'Шаг2.Бланк заказа NEW'!$B$17:$N$201,3,0)),
IF(VLOOKUP($A274-COUNT('Шаг2.Бланк заказа NEW'!$B$19:$B$201),'Бланк OLD 0.8 04'!$B$12:$K$200,3,0)="","",VLOOKUP($A274-COUNT('Шаг2.Бланк заказа NEW'!$B$19:$B$201),'Бланк OLD 0.8 04'!$B$12:$K$200,3,0))),
IF(VLOOKUP($A274-COUNT('Шаг2.Бланк заказа NEW'!$B$19:$B$201)-COUNT('Бланк OLD 0.8 04'!$B$18:$B$200),'Бланк OLD 2.0 04 '!$B$16:$K$200,3,0)="","",VLOOKUP($A274-COUNT('Шаг2.Бланк заказа NEW'!$B$19:$B$201)-COUNT('Бланк OLD 0.8 04'!$B$18:$B$200),'Бланк OLD 2.0 04 '!$B$16:$K$200,3,0)))</f>
        <v/>
      </c>
      <c r="G274" s="176" t="str">
        <f ca="1">IF(IF(R274="","",IF(R274=1,SUMIFS('Шаг1.Выбор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плиты'!C:Q,12,0)),1))))))=0,
R274,
IF(R274="","",IF(R274=1,SUMIFS('Шаг1.Выбор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плиты'!N:N,R274,'Шаг1.Выбор плиты'!M:M,SMALL(INDIRECT("мм"&amp;VLOOKUP(C274,'Шаг1.Выбор плиты'!C:Q,12,0)),1)))))))</f>
        <v/>
      </c>
      <c r="H274" s="177" t="str">
        <f ca="1">IF(IF(S274="","",IF(S274=1,SUMIFS('Шаг1.Выбор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плиты'!C:Q,12,0)),1))))))=0,
S274,
IF(S274="","",IF(S274=1,SUMIFS('Шаг1.Выбор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плиты'!N:N,S274,'Шаг1.Выбор плиты'!M:M,SMALL(INDIRECT("мм"&amp;VLOOKUP(C274,'Шаг1.Выбор плиты'!C:Q,12,0)),1)))))))</f>
        <v/>
      </c>
      <c r="I274" s="147" t="str">
        <f ca="1">IFERROR(IFERROR(IF(VLOOKUP($A274,'Шаг2.Бланк заказа NEW'!$B$17:$N$201,6,0)="","",VLOOKUP($A274,'Шаг2.Бланк заказа NEW'!$B$17:$N$201,6,0)),
IF(VLOOKUP($A274-COUNT('Шаг2.Бланк заказа NEW'!$B$19:$B$201),'Бланк OLD 0.8 04'!$B$12:$K$200,6,0)="","",VLOOKUP($A274-COUNT('Шаг2.Бланк заказа NEW'!$B$19:$B$201),'Бланк OLD 0.8 04'!$B$12:$K$200,6,0))),
IF(VLOOKUP($A274-COUNT('Шаг2.Бланк заказа NEW'!$B$19:$B$201)-COUNT('Бланк OLD 0.8 04'!$B$18:$B$200),'Бланк OLD 2.0 04 '!$B$16:$K$200,6,0)="","",VLOOKUP($A274-COUNT('Шаг2.Бланк заказа NEW'!$B$19:$B$201)-COUNT('Бланк OLD 0.8 04'!$B$18:$B$200),'Бланк OLD 2.0 04 '!$B$16:$K$200,6,0)))</f>
        <v/>
      </c>
      <c r="J274" s="177" t="str">
        <f ca="1">IF(IF(T274="","",IF(T274=1,SUMIFS('Шаг1.Выбор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плиты'!C:Q,12,0)),1))))))=0,
T274,
IF(T274="","",IF(T274=1,SUMIFS('Шаг1.Выбор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плиты'!N:N,T274,'Шаг1.Выбор плиты'!M:M,SMALL(INDIRECT("мм"&amp;VLOOKUP(C274,'Шаг1.Выбор плиты'!C:Q,12,0)),1)))))))</f>
        <v/>
      </c>
      <c r="K274" s="177" t="str">
        <f ca="1">IF(IF(U274="","",IF(U274=1,SUMIFS('Шаг1.Выбор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плиты'!C:Q,12,0)),1))))))=0,
U274,
IF(U274="","",IF(U274=1,SUMIFS('Шаг1.Выбор плиты'!$G:$G,'Шаг1.Выбор плиты'!J:J,"*"&amp;RIGHT(VLOOKUP(C274,'Шаг1.Выбор плиты'!C:Q,8,0),4),'Шаг1.Выбор плиты'!L:L,IF(MID(C274,1,6)="ЛДСП P","TM"&amp;MID(VLOOKUP(C274,'Шаг1.Выбор плиты'!C:Q,10,0),3,2),MID(VLOOKUP(C274,'Шаг1.Выбор плиты'!C:Q,10,0),1,2)),
'Шаг1.Выбор плиты'!N:N,1),IF(SUMIFS('Шаг1.Выбор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плиты'!C:Q,12,0)),1))=0,
IF(SUMIFS('Шаг1.Выбор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плиты'!C:Q,12,0)),2))=0,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плиты'!C:Q,12,0)),3)),
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плиты'!C:Q,12,0)),2))),
(SUMIFS('Шаг1.Выбор плиты'!$G:$G,'Шаг1.Выбор плиты'!J:J,"*"&amp;RIGHT(VLOOKUP(C274,'Шаг1.Выбор плиты'!C:Q,8,0),4),'Шаг1.Выбор плиты'!L:L,VLOOKUP(C274,'Шаг1.Выбор плиты'!C:Q,10,0),'Шаг1.Выбор плиты'!N:N,U274,'Шаг1.Выбор плиты'!M:M,SMALL(INDIRECT("мм"&amp;VLOOKUP(C274,'Шаг1.Выбор плиты'!C:Q,12,0)),1)))))))</f>
        <v/>
      </c>
      <c r="L274" s="147" t="str">
        <f ca="1">IFERROR(IFERROR(IF(VLOOKUP($A274,'Шаг2.Бланк заказа NEW'!$B$17:$N$201,9,0)="","",VLOOKUP($A274,'Шаг2.Бланк заказа NEW'!$B$17:$N$201,9,0)),
IF(VLOOKUP($A274-COUNT('Шаг2.Бланк заказа NEW'!$B$19:$B$201),'Бланк OLD 0.8 04'!$B$12:$K$200,9,0)="","",VLOOKUP($A274-COUNT('Шаг2.Бланк заказа NEW'!$B$19:$B$201),'Бланк OLD 0.8 04'!$B$12:$K$200,9,0))),
IF(VLOOKUP($A274-COUNT('Шаг2.Бланк заказа NEW'!$B$19:$B$201)-COUNT('Бланк OLD 0.8 04'!$B$18:$B$200),'Бланк OLD 2.0 04 '!$B$16:$K$200,9,0)="","",VLOOKUP($A274-COUNT('Шаг2.Бланк заказа NEW'!$B$19:$B$201)-COUNT('Бланк OLD 0.8 04'!$B$18:$B$200),'Бланк OLD 2.0 04 '!$B$16:$K$200,9,0)))</f>
        <v/>
      </c>
      <c r="M274" s="154" t="str">
        <f t="shared" ca="1" si="20"/>
        <v/>
      </c>
      <c r="N274" s="153" t="str">
        <f ca="1">IFERROR(IF(VLOOKUP($A274,'Шаг2.Бланк заказа NEW'!$B$17:$N$201,11,0)="","",VLOOKUP($A274,'Шаг2.Бланк заказа NEW'!$B$17:$N$201,11,0)),
"Нет")</f>
        <v/>
      </c>
      <c r="O274" s="147" t="str">
        <f ca="1">IFERROR(IF(VLOOKUP($A274,'Шаг2.Бланк заказа NEW'!$B$17:$N$201,11,0)="","",VLOOKUP($A274,'Шаг2.Бланк заказа NEW'!$B$17:$N$201,12,0)),
"Нет")</f>
        <v/>
      </c>
      <c r="P274" s="153" t="str">
        <f ca="1">IFERROR(IF(VLOOKUP($A274,'Шаг2.Бланк заказа NEW'!$B$17:$N$201,13,0)="","",VLOOKUP($A274,'Шаг2.Бланк заказа NEW'!$B$17:$N$201,13,0)),
"Нет")</f>
        <v/>
      </c>
      <c r="Q274" s="147" t="str">
        <f ca="1">IFERROR(IF(VLOOKUP($A274,'Шаг2.Бланк заказа NEW'!$B$17:$O$201,14,0)="","",VLOOKUP($A274,'Шаг2.Бланк заказа NEW'!$B$17:$O$201,14,0)),"")</f>
        <v/>
      </c>
      <c r="R274" s="147" t="str">
        <f ca="1">IFERROR(IFERROR(IF(VLOOKUP($A274,'Шаг2.Бланк заказа NEW'!$B$17:$N$201,4,0)="","",VLOOKUP($A274,'Шаг2.Бланк заказа NEW'!$B$17:$N$201,4,0)),
IF(VLOOKUP($A274-COUNT('Шаг2.Бланк заказа NEW'!$B$19:$B$201),'Бланк OLD 0.8 04'!$B$12:$K$200,4,0)&gt;0,0.8,
IF(VLOOKUP($A274-COUNT('Шаг2.Бланк заказа NEW'!$B$19:$B$201),'Бланк OLD 0.8 04'!$B$12:$K$200,5,0)&gt;0,0.4,""))),
IF(VLOOKUP($A274-COUNT('Шаг2.Бланк заказа NEW'!$B$19:$B$201)-COUNT('Бланк OLD 0.8 04'!$B$18:$B$200),'Бланк OLD 2.0 04 '!$B$16:$K$200,4,0)&gt;0,2,IF(VLOOKUP($A274-COUNT('Шаг2.Бланк заказа NEW'!$B$19:$B$201)-COUNT('Бланк OLD 0.8 04'!$B$18:$B$200),'Бланк OLD 2.0 04 '!$B$16:$K$200,5,0)&gt;0,0.4,"")))</f>
        <v/>
      </c>
      <c r="S274" s="147" t="str">
        <f ca="1">IFERROR(IFERROR(IF(VLOOKUP($A274,'Шаг2.Бланк заказа NEW'!$B$17:$N$201,5,0)="","",VLOOKUP($A274,'Шаг2.Бланк заказа NEW'!$B$17:$N$201,5,0)),
IF(VLOOKUP($A274-COUNT('Шаг2.Бланк заказа NEW'!$B$19:$B$201),'Бланк OLD 0.8 04'!$B$12:$K$200,4,0)&gt;1,0.8,
IF(VLOOKUP($A274-COUNT('Шаг2.Бланк заказа NEW'!$B$19:$B$201),'Бланк OLD 0.8 04'!$B$12:$K$200,5,0)&gt;1,0.4,
IF(AND(VLOOKUP($A274-COUNT('Шаг2.Бланк заказа NEW'!$B$19:$B$201),'Бланк OLD 0.8 04'!$B$12:$K$200,4,0)&gt;0,VLOOKUP($A274-COUNT('Шаг2.Бланк заказа NEW'!$B$19:$B$201),'Бланк OLD 0.8 04'!$B$12:$K$200,5,0)&gt;0),0.4,"")))),
IF(VLOOKUP($A274-COUNT('Шаг2.Бланк заказа NEW'!$B$19:$B$201)-COUNT('Бланк OLD 0.8 04'!$B$18:$B$200),'Бланк OLD 2.0 04 '!$B$16:$K$200,4,0)&gt;1,2,
IF(VLOOKUP($A274-COUNT('Шаг2.Бланк заказа NEW'!$B$19:$B$201)-COUNT('Бланк OLD 0.8 04'!$B$18:$B$200),'Бланк OLD 2.0 04 '!$B$16:$K$200,5,0)&gt;1,0.4,IF(AND(VLOOKUP($A274-COUNT('Шаг2.Бланк заказа NEW'!$B$19:$B$201)-COUNT('Бланк OLD 0.8 04'!$B$18:$B$200),'Бланк OLD 2.0 04 '!$B$16:$K$200,4,0)&gt;0,VLOOKUP($A274-COUNT('Шаг2.Бланк заказа NEW'!$B$19:$B$201)-COUNT('Бланк OLD 0.8 04'!$B$18:$B$200),'Бланк OLD 2.0 04 '!$B$16:$K$200,5,0)&gt;0),0.4,""))))</f>
        <v/>
      </c>
      <c r="T274" s="147" t="str">
        <f ca="1">IFERROR(IFERROR(IF(VLOOKUP($A274,'Шаг2.Бланк заказа NEW'!$B$17:$N$201,7,0)="","",VLOOKUP($A274,'Шаг2.Бланк заказа NEW'!$B$17:$N$201,7,0)),
IF(VLOOKUP($A274-COUNT('Шаг2.Бланк заказа NEW'!$B$19:$B$201),'Бланк OLD 0.8 04'!$B$12:$K$200,7,0)&gt;0,0.8,
IF(VLOOKUP($A274-COUNT('Шаг2.Бланк заказа NEW'!$B$19:$B$201),'Бланк OLD 0.8 04'!$B$12:$K$200,8,0)&gt;0,0.4,""))),
IF(VLOOKUP($A274-COUNT('Шаг2.Бланк заказа NEW'!$B$19:$B$201)-COUNT('Бланк OLD 0.8 04'!$B$18:$B$200),'Бланк OLD 2.0 04 '!$B$16:$K$200,7,0)&gt;0,2,IF(VLOOKUP($A274-COUNT('Шаг2.Бланк заказа NEW'!$B$19:$B$201)-COUNT('Бланк OLD 0.8 04'!$B$18:$B$200),'Бланк OLD 2.0 04 '!$B$16:$K$200,8,0)&gt;0,0.4,"")))</f>
        <v/>
      </c>
      <c r="U274" s="147" t="str">
        <f ca="1">IFERROR(IFERROR(IF(VLOOKUP($A274,'Шаг2.Бланк заказа NEW'!$B$17:$N$201,8,0)="","",VLOOKUP($A274,'Шаг2.Бланк заказа NEW'!$B$17:$N$201,8,0)),
IF(VLOOKUP($A274-COUNT('Шаг2.Бланк заказа NEW'!$B$19:$B$201),'Бланк OLD 0.8 04'!$B$12:$K$200,7,0)&gt;1,0.8,
IF(VLOOKUP($A274-COUNT('Шаг2.Бланк заказа NEW'!$B$19:$B$201),'Бланк OLD 0.8 04'!$B$12:$K$200,8,0)&gt;1,0.4,
IF(AND(VLOOKUP($A274-COUNT('Шаг2.Бланк заказа NEW'!$B$19:$B$201),'Бланк OLD 0.8 04'!$B$12:$K$200,7,0)&gt;0,VLOOKUP($A274-COUNT('Шаг2.Бланк заказа NEW'!$B$19:$B$201),'Бланк OLD 0.8 04'!$B$12:$K$200,8,0)&gt;0),0.4,"")))),
IF(VLOOKUP($A274-COUNT('Шаг2.Бланк заказа NEW'!$B$19:$B$201)-COUNT('Бланк OLD 0.8 04'!$B$18:$B$200),'Бланк OLD 2.0 04 '!$B$16:$K$200,7,0)&gt;1,2,
IF(VLOOKUP($A274-COUNT('Шаг2.Бланк заказа NEW'!$B$19:$B$201)-COUNT('Бланк OLD 0.8 04'!$B$18:$B$200),'Бланк OLD 2.0 04 '!$B$16:$K$200,8,0)&gt;1,0.4,
IF(AND(VLOOKUP($A274-COUNT('Шаг2.Бланк заказа NEW'!$B$19:$B$201)-COUNT('Бланк OLD 0.8 04'!$B$18:$B$200),'Бланк OLD 2.0 04 '!$B$16:$K$200,7,0)&gt;0,VLOOKUP($A274-COUNT('Шаг2.Бланк заказа NEW'!$B$19:$B$201)-COUNT('Бланк OLD 0.8 04'!$B$18:$B$200),'Бланк OLD 2.0 04 '!$B$16:$K$200,8,0)&gt;0),0.4,""))))</f>
        <v/>
      </c>
      <c r="V274" s="146" t="str">
        <f ca="1">IFERROR(VLOOKUP(C274,'Шаг1.Выбор плиты'!C:S,12,0),"")</f>
        <v/>
      </c>
      <c r="W274" s="146" t="str">
        <f ca="1">IFERROR(VLOOKUP(C274,'Шаг1.Выбор плиты'!C:S,8,0),"")</f>
        <v/>
      </c>
      <c r="X274" s="146" t="str">
        <f ca="1">IFERROR(VLOOKUP(C274,'Шаг1.Выбор плиты'!C:S,10,0),"")</f>
        <v/>
      </c>
      <c r="Y274" s="147" t="str">
        <f t="shared" ca="1" si="23"/>
        <v/>
      </c>
      <c r="AD274" s="147" t="str">
        <f t="shared" ca="1" si="21"/>
        <v/>
      </c>
      <c r="AE274" s="147" t="str">
        <f t="shared" ca="1" si="24"/>
        <v/>
      </c>
      <c r="AF274" s="25"/>
      <c r="AH274" s="147" t="str">
        <f ca="1">IF(C274="","",VLOOKUP(C274,'Шаг1.Выбор плиты'!C:Q,7,0))</f>
        <v/>
      </c>
      <c r="AI274" s="147" t="str">
        <f t="shared" ca="1" si="22"/>
        <v/>
      </c>
    </row>
    <row r="275" spans="1:35" x14ac:dyDescent="0.2">
      <c r="A275" s="151" t="str">
        <f ca="1">IF(C275="","",MAX($A$1:OFFSET(C275,-1,0))+1)</f>
        <v/>
      </c>
      <c r="B275" s="151" t="str">
        <f ca="1">IFERROR(IFERROR(IFERROR("Шаг2.Бланк заказа NEW №"&amp;VLOOKUP(A274+1,CHOOSE({1,2},'Шаг2.Бланк заказа NEW'!$B$19:$B$201,'Шаг2.Бланк заказа NEW'!$A$19:$A$201),1,0),
"Бланк OLD 0.8 04 №"&amp;VLOOKUP(A274+1-COUNT('Шаг2.Бланк заказа NEW'!$B$19:$B$201),CHOOSE({1,2},'Бланк OLD 0.8 04'!$B$18:$B$200,'Бланк OLD 0.8 04'!$A$18:$A$200),1,0)),
"Бланк OLD 2.0 04 №"&amp;VLOOKUP(A274+1-COUNT('Шаг2.Бланк заказа NEW'!$B$19:$B$201)-COUNT('Бланк OLD 0.8 04'!$B$18:$B$200),CHOOSE({1,2},'Бланк OLD 2.0 04 '!$B$18:$B$200,'Бланк OLD 2.0 04 '!$A$18:$A$200),1,0)),"")</f>
        <v/>
      </c>
      <c r="C275" s="152" t="str">
        <f ca="1">IFERROR(IFERROR(IFERROR(VLOOKUP(A274+1,CHOOSE({1,2},'Шаг2.Бланк заказа NEW'!$B$19:$B$201,'Шаг2.Бланк заказа NEW'!$A$19:$A$201),2,0),
VLOOKUP(A274+1-COUNT('Шаг2.Бланк заказа NEW'!$B$19:$B$201),CHOOSE({1,2},'Бланк OLD 0.8 04'!$B$18:$B$200,'Бланк OLD 0.8 04'!$A$18:$A$200),2,0)),
VLOOKUP(A274+1-COUNT('Шаг2.Бланк заказа NEW'!$B$19:$B$201)-COUNT('Бланк OLD 0.8 04'!$B$18:$B$200),CHOOSE({1,2},'Бланк OLD 2.0 04 '!$B$18:$B$200,'Бланк OLD 2.0 04 '!$A$18:$A$200),2,0)),"")</f>
        <v/>
      </c>
      <c r="D275" s="150" t="str">
        <f ca="1">IFERROR(VLOOKUP(C275,'Шаг1.Выбор плиты'!C:G,5,0),"")</f>
        <v/>
      </c>
      <c r="E275" s="147" t="str">
        <f ca="1">IFERROR(IFERROR(IF(VLOOKUP($A275,'Шаг2.Бланк заказа NEW'!$B$17:$N$201,2,0)="","",VLOOKUP($A275,'Шаг2.Бланк заказа NEW'!$B$17:$N$201,2,0)),
IF(VLOOKUP($A275-COUNT('Шаг2.Бланк заказа NEW'!$B$19:$B$201),'Бланк OLD 0.8 04'!$B$12:$K$200,2,0)="","",VLOOKUP($A275-COUNT('Шаг2.Бланк заказа NEW'!$B$19:$B$201),'Бланк OLD 0.8 04'!$B$12:$K$200,2,0))),
IF(VLOOKUP($A275-COUNT('Шаг2.Бланк заказа NEW'!$B$19:$B$201)-COUNT('Бланк OLD 0.8 04'!$B$18:$B$200),'Бланк OLD 2.0 04 '!$B$16:$K$200,2,0)="","",VLOOKUP($A275-COUNT('Шаг2.Бланк заказа NEW'!$B$19:$B$201)-COUNT('Бланк OLD 0.8 04'!$B$18:$B$200),'Бланк OLD 2.0 04 '!$B$16:$K$200,2,0)))</f>
        <v/>
      </c>
      <c r="F275" s="147" t="str">
        <f ca="1">IFERROR(IFERROR(IF(VLOOKUP($A275,'Шаг2.Бланк заказа NEW'!$B$17:$N$201,3,0)="","",VLOOKUP($A275,'Шаг2.Бланк заказа NEW'!$B$17:$N$201,3,0)),
IF(VLOOKUP($A275-COUNT('Шаг2.Бланк заказа NEW'!$B$19:$B$201),'Бланк OLD 0.8 04'!$B$12:$K$200,3,0)="","",VLOOKUP($A275-COUNT('Шаг2.Бланк заказа NEW'!$B$19:$B$201),'Бланк OLD 0.8 04'!$B$12:$K$200,3,0))),
IF(VLOOKUP($A275-COUNT('Шаг2.Бланк заказа NEW'!$B$19:$B$201)-COUNT('Бланк OLD 0.8 04'!$B$18:$B$200),'Бланк OLD 2.0 04 '!$B$16:$K$200,3,0)="","",VLOOKUP($A275-COUNT('Шаг2.Бланк заказа NEW'!$B$19:$B$201)-COUNT('Бланк OLD 0.8 04'!$B$18:$B$200),'Бланк OLD 2.0 04 '!$B$16:$K$200,3,0)))</f>
        <v/>
      </c>
      <c r="G275" s="176" t="str">
        <f ca="1">IF(IF(R275="","",IF(R275=1,SUMIFS('Шаг1.Выбор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плиты'!C:Q,12,0)),1))))))=0,
R275,
IF(R275="","",IF(R275=1,SUMIFS('Шаг1.Выбор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плиты'!N:N,R275,'Шаг1.Выбор плиты'!M:M,SMALL(INDIRECT("мм"&amp;VLOOKUP(C275,'Шаг1.Выбор плиты'!C:Q,12,0)),1)))))))</f>
        <v/>
      </c>
      <c r="H275" s="177" t="str">
        <f ca="1">IF(IF(S275="","",IF(S275=1,SUMIFS('Шаг1.Выбор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плиты'!C:Q,12,0)),1))))))=0,
S275,
IF(S275="","",IF(S275=1,SUMIFS('Шаг1.Выбор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плиты'!N:N,S275,'Шаг1.Выбор плиты'!M:M,SMALL(INDIRECT("мм"&amp;VLOOKUP(C275,'Шаг1.Выбор плиты'!C:Q,12,0)),1)))))))</f>
        <v/>
      </c>
      <c r="I275" s="147" t="str">
        <f ca="1">IFERROR(IFERROR(IF(VLOOKUP($A275,'Шаг2.Бланк заказа NEW'!$B$17:$N$201,6,0)="","",VLOOKUP($A275,'Шаг2.Бланк заказа NEW'!$B$17:$N$201,6,0)),
IF(VLOOKUP($A275-COUNT('Шаг2.Бланк заказа NEW'!$B$19:$B$201),'Бланк OLD 0.8 04'!$B$12:$K$200,6,0)="","",VLOOKUP($A275-COUNT('Шаг2.Бланк заказа NEW'!$B$19:$B$201),'Бланк OLD 0.8 04'!$B$12:$K$200,6,0))),
IF(VLOOKUP($A275-COUNT('Шаг2.Бланк заказа NEW'!$B$19:$B$201)-COUNT('Бланк OLD 0.8 04'!$B$18:$B$200),'Бланк OLD 2.0 04 '!$B$16:$K$200,6,0)="","",VLOOKUP($A275-COUNT('Шаг2.Бланк заказа NEW'!$B$19:$B$201)-COUNT('Бланк OLD 0.8 04'!$B$18:$B$200),'Бланк OLD 2.0 04 '!$B$16:$K$200,6,0)))</f>
        <v/>
      </c>
      <c r="J275" s="177" t="str">
        <f ca="1">IF(IF(T275="","",IF(T275=1,SUMIFS('Шаг1.Выбор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плиты'!C:Q,12,0)),1))))))=0,
T275,
IF(T275="","",IF(T275=1,SUMIFS('Шаг1.Выбор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плиты'!N:N,T275,'Шаг1.Выбор плиты'!M:M,SMALL(INDIRECT("мм"&amp;VLOOKUP(C275,'Шаг1.Выбор плиты'!C:Q,12,0)),1)))))))</f>
        <v/>
      </c>
      <c r="K275" s="177" t="str">
        <f ca="1">IF(IF(U275="","",IF(U275=1,SUMIFS('Шаг1.Выбор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плиты'!C:Q,12,0)),1))))))=0,
U275,
IF(U275="","",IF(U275=1,SUMIFS('Шаг1.Выбор плиты'!$G:$G,'Шаг1.Выбор плиты'!J:J,"*"&amp;RIGHT(VLOOKUP(C275,'Шаг1.Выбор плиты'!C:Q,8,0),4),'Шаг1.Выбор плиты'!L:L,IF(MID(C275,1,6)="ЛДСП P","TM"&amp;MID(VLOOKUP(C275,'Шаг1.Выбор плиты'!C:Q,10,0),3,2),MID(VLOOKUP(C275,'Шаг1.Выбор плиты'!C:Q,10,0),1,2)),
'Шаг1.Выбор плиты'!N:N,1),IF(SUMIFS('Шаг1.Выбор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плиты'!C:Q,12,0)),1))=0,
IF(SUMIFS('Шаг1.Выбор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плиты'!C:Q,12,0)),2))=0,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плиты'!C:Q,12,0)),3)),
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плиты'!C:Q,12,0)),2))),
(SUMIFS('Шаг1.Выбор плиты'!$G:$G,'Шаг1.Выбор плиты'!J:J,"*"&amp;RIGHT(VLOOKUP(C275,'Шаг1.Выбор плиты'!C:Q,8,0),4),'Шаг1.Выбор плиты'!L:L,VLOOKUP(C275,'Шаг1.Выбор плиты'!C:Q,10,0),'Шаг1.Выбор плиты'!N:N,U275,'Шаг1.Выбор плиты'!M:M,SMALL(INDIRECT("мм"&amp;VLOOKUP(C275,'Шаг1.Выбор плиты'!C:Q,12,0)),1)))))))</f>
        <v/>
      </c>
      <c r="L275" s="147" t="str">
        <f ca="1">IFERROR(IFERROR(IF(VLOOKUP($A275,'Шаг2.Бланк заказа NEW'!$B$17:$N$201,9,0)="","",VLOOKUP($A275,'Шаг2.Бланк заказа NEW'!$B$17:$N$201,9,0)),
IF(VLOOKUP($A275-COUNT('Шаг2.Бланк заказа NEW'!$B$19:$B$201),'Бланк OLD 0.8 04'!$B$12:$K$200,9,0)="","",VLOOKUP($A275-COUNT('Шаг2.Бланк заказа NEW'!$B$19:$B$201),'Бланк OLD 0.8 04'!$B$12:$K$200,9,0))),
IF(VLOOKUP($A275-COUNT('Шаг2.Бланк заказа NEW'!$B$19:$B$201)-COUNT('Бланк OLD 0.8 04'!$B$18:$B$200),'Бланк OLD 2.0 04 '!$B$16:$K$200,9,0)="","",VLOOKUP($A275-COUNT('Шаг2.Бланк заказа NEW'!$B$19:$B$201)-COUNT('Бланк OLD 0.8 04'!$B$18:$B$200),'Бланк OLD 2.0 04 '!$B$16:$K$200,9,0)))</f>
        <v/>
      </c>
      <c r="M275" s="154" t="str">
        <f t="shared" ca="1" si="20"/>
        <v/>
      </c>
      <c r="N275" s="153" t="str">
        <f ca="1">IFERROR(IF(VLOOKUP($A275,'Шаг2.Бланк заказа NEW'!$B$17:$N$201,11,0)="","",VLOOKUP($A275,'Шаг2.Бланк заказа NEW'!$B$17:$N$201,11,0)),
"Нет")</f>
        <v/>
      </c>
      <c r="O275" s="147" t="str">
        <f ca="1">IFERROR(IF(VLOOKUP($A275,'Шаг2.Бланк заказа NEW'!$B$17:$N$201,11,0)="","",VLOOKUP($A275,'Шаг2.Бланк заказа NEW'!$B$17:$N$201,12,0)),
"Нет")</f>
        <v/>
      </c>
      <c r="P275" s="153" t="str">
        <f ca="1">IFERROR(IF(VLOOKUP($A275,'Шаг2.Бланк заказа NEW'!$B$17:$N$201,13,0)="","",VLOOKUP($A275,'Шаг2.Бланк заказа NEW'!$B$17:$N$201,13,0)),
"Нет")</f>
        <v/>
      </c>
      <c r="Q275" s="147" t="str">
        <f ca="1">IFERROR(IF(VLOOKUP($A275,'Шаг2.Бланк заказа NEW'!$B$17:$O$201,14,0)="","",VLOOKUP($A275,'Шаг2.Бланк заказа NEW'!$B$17:$O$201,14,0)),"")</f>
        <v/>
      </c>
      <c r="R275" s="147" t="str">
        <f ca="1">IFERROR(IFERROR(IF(VLOOKUP($A275,'Шаг2.Бланк заказа NEW'!$B$17:$N$201,4,0)="","",VLOOKUP($A275,'Шаг2.Бланк заказа NEW'!$B$17:$N$201,4,0)),
IF(VLOOKUP($A275-COUNT('Шаг2.Бланк заказа NEW'!$B$19:$B$201),'Бланк OLD 0.8 04'!$B$12:$K$200,4,0)&gt;0,0.8,
IF(VLOOKUP($A275-COUNT('Шаг2.Бланк заказа NEW'!$B$19:$B$201),'Бланк OLD 0.8 04'!$B$12:$K$200,5,0)&gt;0,0.4,""))),
IF(VLOOKUP($A275-COUNT('Шаг2.Бланк заказа NEW'!$B$19:$B$201)-COUNT('Бланк OLD 0.8 04'!$B$18:$B$200),'Бланк OLD 2.0 04 '!$B$16:$K$200,4,0)&gt;0,2,IF(VLOOKUP($A275-COUNT('Шаг2.Бланк заказа NEW'!$B$19:$B$201)-COUNT('Бланк OLD 0.8 04'!$B$18:$B$200),'Бланк OLD 2.0 04 '!$B$16:$K$200,5,0)&gt;0,0.4,"")))</f>
        <v/>
      </c>
      <c r="S275" s="147" t="str">
        <f ca="1">IFERROR(IFERROR(IF(VLOOKUP($A275,'Шаг2.Бланк заказа NEW'!$B$17:$N$201,5,0)="","",VLOOKUP($A275,'Шаг2.Бланк заказа NEW'!$B$17:$N$201,5,0)),
IF(VLOOKUP($A275-COUNT('Шаг2.Бланк заказа NEW'!$B$19:$B$201),'Бланк OLD 0.8 04'!$B$12:$K$200,4,0)&gt;1,0.8,
IF(VLOOKUP($A275-COUNT('Шаг2.Бланк заказа NEW'!$B$19:$B$201),'Бланк OLD 0.8 04'!$B$12:$K$200,5,0)&gt;1,0.4,
IF(AND(VLOOKUP($A275-COUNT('Шаг2.Бланк заказа NEW'!$B$19:$B$201),'Бланк OLD 0.8 04'!$B$12:$K$200,4,0)&gt;0,VLOOKUP($A275-COUNT('Шаг2.Бланк заказа NEW'!$B$19:$B$201),'Бланк OLD 0.8 04'!$B$12:$K$200,5,0)&gt;0),0.4,"")))),
IF(VLOOKUP($A275-COUNT('Шаг2.Бланк заказа NEW'!$B$19:$B$201)-COUNT('Бланк OLD 0.8 04'!$B$18:$B$200),'Бланк OLD 2.0 04 '!$B$16:$K$200,4,0)&gt;1,2,
IF(VLOOKUP($A275-COUNT('Шаг2.Бланк заказа NEW'!$B$19:$B$201)-COUNT('Бланк OLD 0.8 04'!$B$18:$B$200),'Бланк OLD 2.0 04 '!$B$16:$K$200,5,0)&gt;1,0.4,IF(AND(VLOOKUP($A275-COUNT('Шаг2.Бланк заказа NEW'!$B$19:$B$201)-COUNT('Бланк OLD 0.8 04'!$B$18:$B$200),'Бланк OLD 2.0 04 '!$B$16:$K$200,4,0)&gt;0,VLOOKUP($A275-COUNT('Шаг2.Бланк заказа NEW'!$B$19:$B$201)-COUNT('Бланк OLD 0.8 04'!$B$18:$B$200),'Бланк OLD 2.0 04 '!$B$16:$K$200,5,0)&gt;0),0.4,""))))</f>
        <v/>
      </c>
      <c r="T275" s="147" t="str">
        <f ca="1">IFERROR(IFERROR(IF(VLOOKUP($A275,'Шаг2.Бланк заказа NEW'!$B$17:$N$201,7,0)="","",VLOOKUP($A275,'Шаг2.Бланк заказа NEW'!$B$17:$N$201,7,0)),
IF(VLOOKUP($A275-COUNT('Шаг2.Бланк заказа NEW'!$B$19:$B$201),'Бланк OLD 0.8 04'!$B$12:$K$200,7,0)&gt;0,0.8,
IF(VLOOKUP($A275-COUNT('Шаг2.Бланк заказа NEW'!$B$19:$B$201),'Бланк OLD 0.8 04'!$B$12:$K$200,8,0)&gt;0,0.4,""))),
IF(VLOOKUP($A275-COUNT('Шаг2.Бланк заказа NEW'!$B$19:$B$201)-COUNT('Бланк OLD 0.8 04'!$B$18:$B$200),'Бланк OLD 2.0 04 '!$B$16:$K$200,7,0)&gt;0,2,IF(VLOOKUP($A275-COUNT('Шаг2.Бланк заказа NEW'!$B$19:$B$201)-COUNT('Бланк OLD 0.8 04'!$B$18:$B$200),'Бланк OLD 2.0 04 '!$B$16:$K$200,8,0)&gt;0,0.4,"")))</f>
        <v/>
      </c>
      <c r="U275" s="147" t="str">
        <f ca="1">IFERROR(IFERROR(IF(VLOOKUP($A275,'Шаг2.Бланк заказа NEW'!$B$17:$N$201,8,0)="","",VLOOKUP($A275,'Шаг2.Бланк заказа NEW'!$B$17:$N$201,8,0)),
IF(VLOOKUP($A275-COUNT('Шаг2.Бланк заказа NEW'!$B$19:$B$201),'Бланк OLD 0.8 04'!$B$12:$K$200,7,0)&gt;1,0.8,
IF(VLOOKUP($A275-COUNT('Шаг2.Бланк заказа NEW'!$B$19:$B$201),'Бланк OLD 0.8 04'!$B$12:$K$200,8,0)&gt;1,0.4,
IF(AND(VLOOKUP($A275-COUNT('Шаг2.Бланк заказа NEW'!$B$19:$B$201),'Бланк OLD 0.8 04'!$B$12:$K$200,7,0)&gt;0,VLOOKUP($A275-COUNT('Шаг2.Бланк заказа NEW'!$B$19:$B$201),'Бланк OLD 0.8 04'!$B$12:$K$200,8,0)&gt;0),0.4,"")))),
IF(VLOOKUP($A275-COUNT('Шаг2.Бланк заказа NEW'!$B$19:$B$201)-COUNT('Бланк OLD 0.8 04'!$B$18:$B$200),'Бланк OLD 2.0 04 '!$B$16:$K$200,7,0)&gt;1,2,
IF(VLOOKUP($A275-COUNT('Шаг2.Бланк заказа NEW'!$B$19:$B$201)-COUNT('Бланк OLD 0.8 04'!$B$18:$B$200),'Бланк OLD 2.0 04 '!$B$16:$K$200,8,0)&gt;1,0.4,
IF(AND(VLOOKUP($A275-COUNT('Шаг2.Бланк заказа NEW'!$B$19:$B$201)-COUNT('Бланк OLD 0.8 04'!$B$18:$B$200),'Бланк OLD 2.0 04 '!$B$16:$K$200,7,0)&gt;0,VLOOKUP($A275-COUNT('Шаг2.Бланк заказа NEW'!$B$19:$B$201)-COUNT('Бланк OLD 0.8 04'!$B$18:$B$200),'Бланк OLD 2.0 04 '!$B$16:$K$200,8,0)&gt;0),0.4,""))))</f>
        <v/>
      </c>
      <c r="V275" s="146" t="str">
        <f ca="1">IFERROR(VLOOKUP(C275,'Шаг1.Выбор плиты'!C:S,12,0),"")</f>
        <v/>
      </c>
      <c r="W275" s="146" t="str">
        <f ca="1">IFERROR(VLOOKUP(C275,'Шаг1.Выбор плиты'!C:S,8,0),"")</f>
        <v/>
      </c>
      <c r="X275" s="146" t="str">
        <f ca="1">IFERROR(VLOOKUP(C275,'Шаг1.Выбор плиты'!C:S,10,0),"")</f>
        <v/>
      </c>
      <c r="Y275" s="147" t="str">
        <f t="shared" ca="1" si="23"/>
        <v/>
      </c>
      <c r="AD275" s="147" t="str">
        <f t="shared" ca="1" si="21"/>
        <v/>
      </c>
      <c r="AE275" s="147" t="str">
        <f t="shared" ca="1" si="24"/>
        <v/>
      </c>
      <c r="AF275" s="25"/>
      <c r="AH275" s="147" t="str">
        <f ca="1">IF(C275="","",VLOOKUP(C275,'Шаг1.Выбор плиты'!C:Q,7,0))</f>
        <v/>
      </c>
      <c r="AI275" s="147" t="str">
        <f t="shared" ca="1" si="22"/>
        <v/>
      </c>
    </row>
    <row r="276" spans="1:35" x14ac:dyDescent="0.2">
      <c r="A276" s="151" t="str">
        <f ca="1">IF(C276="","",MAX($A$1:OFFSET(C276,-1,0))+1)</f>
        <v/>
      </c>
      <c r="B276" s="151" t="str">
        <f ca="1">IFERROR(IFERROR(IFERROR("Шаг2.Бланк заказа NEW №"&amp;VLOOKUP(A275+1,CHOOSE({1,2},'Шаг2.Бланк заказа NEW'!$B$19:$B$201,'Шаг2.Бланк заказа NEW'!$A$19:$A$201),1,0),
"Бланк OLD 0.8 04 №"&amp;VLOOKUP(A275+1-COUNT('Шаг2.Бланк заказа NEW'!$B$19:$B$201),CHOOSE({1,2},'Бланк OLD 0.8 04'!$B$18:$B$200,'Бланк OLD 0.8 04'!$A$18:$A$200),1,0)),
"Бланк OLD 2.0 04 №"&amp;VLOOKUP(A275+1-COUNT('Шаг2.Бланк заказа NEW'!$B$19:$B$201)-COUNT('Бланк OLD 0.8 04'!$B$18:$B$200),CHOOSE({1,2},'Бланк OLD 2.0 04 '!$B$18:$B$200,'Бланк OLD 2.0 04 '!$A$18:$A$200),1,0)),"")</f>
        <v/>
      </c>
      <c r="C276" s="152" t="str">
        <f ca="1">IFERROR(IFERROR(IFERROR(VLOOKUP(A275+1,CHOOSE({1,2},'Шаг2.Бланк заказа NEW'!$B$19:$B$201,'Шаг2.Бланк заказа NEW'!$A$19:$A$201),2,0),
VLOOKUP(A275+1-COUNT('Шаг2.Бланк заказа NEW'!$B$19:$B$201),CHOOSE({1,2},'Бланк OLD 0.8 04'!$B$18:$B$200,'Бланк OLD 0.8 04'!$A$18:$A$200),2,0)),
VLOOKUP(A275+1-COUNT('Шаг2.Бланк заказа NEW'!$B$19:$B$201)-COUNT('Бланк OLD 0.8 04'!$B$18:$B$200),CHOOSE({1,2},'Бланк OLD 2.0 04 '!$B$18:$B$200,'Бланк OLD 2.0 04 '!$A$18:$A$200),2,0)),"")</f>
        <v/>
      </c>
      <c r="D276" s="150" t="str">
        <f ca="1">IFERROR(VLOOKUP(C276,'Шаг1.Выбор плиты'!C:G,5,0),"")</f>
        <v/>
      </c>
      <c r="E276" s="147" t="str">
        <f ca="1">IFERROR(IFERROR(IF(VLOOKUP($A276,'Шаг2.Бланк заказа NEW'!$B$17:$N$201,2,0)="","",VLOOKUP($A276,'Шаг2.Бланк заказа NEW'!$B$17:$N$201,2,0)),
IF(VLOOKUP($A276-COUNT('Шаг2.Бланк заказа NEW'!$B$19:$B$201),'Бланк OLD 0.8 04'!$B$12:$K$200,2,0)="","",VLOOKUP($A276-COUNT('Шаг2.Бланк заказа NEW'!$B$19:$B$201),'Бланк OLD 0.8 04'!$B$12:$K$200,2,0))),
IF(VLOOKUP($A276-COUNT('Шаг2.Бланк заказа NEW'!$B$19:$B$201)-COUNT('Бланк OLD 0.8 04'!$B$18:$B$200),'Бланк OLD 2.0 04 '!$B$16:$K$200,2,0)="","",VLOOKUP($A276-COUNT('Шаг2.Бланк заказа NEW'!$B$19:$B$201)-COUNT('Бланк OLD 0.8 04'!$B$18:$B$200),'Бланк OLD 2.0 04 '!$B$16:$K$200,2,0)))</f>
        <v/>
      </c>
      <c r="F276" s="147" t="str">
        <f ca="1">IFERROR(IFERROR(IF(VLOOKUP($A276,'Шаг2.Бланк заказа NEW'!$B$17:$N$201,3,0)="","",VLOOKUP($A276,'Шаг2.Бланк заказа NEW'!$B$17:$N$201,3,0)),
IF(VLOOKUP($A276-COUNT('Шаг2.Бланк заказа NEW'!$B$19:$B$201),'Бланк OLD 0.8 04'!$B$12:$K$200,3,0)="","",VLOOKUP($A276-COUNT('Шаг2.Бланк заказа NEW'!$B$19:$B$201),'Бланк OLD 0.8 04'!$B$12:$K$200,3,0))),
IF(VLOOKUP($A276-COUNT('Шаг2.Бланк заказа NEW'!$B$19:$B$201)-COUNT('Бланк OLD 0.8 04'!$B$18:$B$200),'Бланк OLD 2.0 04 '!$B$16:$K$200,3,0)="","",VLOOKUP($A276-COUNT('Шаг2.Бланк заказа NEW'!$B$19:$B$201)-COUNT('Бланк OLD 0.8 04'!$B$18:$B$200),'Бланк OLD 2.0 04 '!$B$16:$K$200,3,0)))</f>
        <v/>
      </c>
      <c r="G276" s="176" t="str">
        <f ca="1">IF(IF(R276="","",IF(R276=1,SUMIFS('Шаг1.Выбор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плиты'!C:Q,12,0)),1))))))=0,
R276,
IF(R276="","",IF(R276=1,SUMIFS('Шаг1.Выбор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плиты'!N:N,R276,'Шаг1.Выбор плиты'!M:M,SMALL(INDIRECT("мм"&amp;VLOOKUP(C276,'Шаг1.Выбор плиты'!C:Q,12,0)),1)))))))</f>
        <v/>
      </c>
      <c r="H276" s="177" t="str">
        <f ca="1">IF(IF(S276="","",IF(S276=1,SUMIFS('Шаг1.Выбор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плиты'!C:Q,12,0)),1))))))=0,
S276,
IF(S276="","",IF(S276=1,SUMIFS('Шаг1.Выбор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плиты'!N:N,S276,'Шаг1.Выбор плиты'!M:M,SMALL(INDIRECT("мм"&amp;VLOOKUP(C276,'Шаг1.Выбор плиты'!C:Q,12,0)),1)))))))</f>
        <v/>
      </c>
      <c r="I276" s="147" t="str">
        <f ca="1">IFERROR(IFERROR(IF(VLOOKUP($A276,'Шаг2.Бланк заказа NEW'!$B$17:$N$201,6,0)="","",VLOOKUP($A276,'Шаг2.Бланк заказа NEW'!$B$17:$N$201,6,0)),
IF(VLOOKUP($A276-COUNT('Шаг2.Бланк заказа NEW'!$B$19:$B$201),'Бланк OLD 0.8 04'!$B$12:$K$200,6,0)="","",VLOOKUP($A276-COUNT('Шаг2.Бланк заказа NEW'!$B$19:$B$201),'Бланк OLD 0.8 04'!$B$12:$K$200,6,0))),
IF(VLOOKUP($A276-COUNT('Шаг2.Бланк заказа NEW'!$B$19:$B$201)-COUNT('Бланк OLD 0.8 04'!$B$18:$B$200),'Бланк OLD 2.0 04 '!$B$16:$K$200,6,0)="","",VLOOKUP($A276-COUNT('Шаг2.Бланк заказа NEW'!$B$19:$B$201)-COUNT('Бланк OLD 0.8 04'!$B$18:$B$200),'Бланк OLD 2.0 04 '!$B$16:$K$200,6,0)))</f>
        <v/>
      </c>
      <c r="J276" s="177" t="str">
        <f ca="1">IF(IF(T276="","",IF(T276=1,SUMIFS('Шаг1.Выбор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плиты'!C:Q,12,0)),1))))))=0,
T276,
IF(T276="","",IF(T276=1,SUMIFS('Шаг1.Выбор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плиты'!N:N,T276,'Шаг1.Выбор плиты'!M:M,SMALL(INDIRECT("мм"&amp;VLOOKUP(C276,'Шаг1.Выбор плиты'!C:Q,12,0)),1)))))))</f>
        <v/>
      </c>
      <c r="K276" s="177" t="str">
        <f ca="1">IF(IF(U276="","",IF(U276=1,SUMIFS('Шаг1.Выбор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плиты'!C:Q,12,0)),1))))))=0,
U276,
IF(U276="","",IF(U276=1,SUMIFS('Шаг1.Выбор плиты'!$G:$G,'Шаг1.Выбор плиты'!J:J,"*"&amp;RIGHT(VLOOKUP(C276,'Шаг1.Выбор плиты'!C:Q,8,0),4),'Шаг1.Выбор плиты'!L:L,IF(MID(C276,1,6)="ЛДСП P","TM"&amp;MID(VLOOKUP(C276,'Шаг1.Выбор плиты'!C:Q,10,0),3,2),MID(VLOOKUP(C276,'Шаг1.Выбор плиты'!C:Q,10,0),1,2)),
'Шаг1.Выбор плиты'!N:N,1),IF(SUMIFS('Шаг1.Выбор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плиты'!C:Q,12,0)),1))=0,
IF(SUMIFS('Шаг1.Выбор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плиты'!C:Q,12,0)),2))=0,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плиты'!C:Q,12,0)),3)),
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плиты'!C:Q,12,0)),2))),
(SUMIFS('Шаг1.Выбор плиты'!$G:$G,'Шаг1.Выбор плиты'!J:J,"*"&amp;RIGHT(VLOOKUP(C276,'Шаг1.Выбор плиты'!C:Q,8,0),4),'Шаг1.Выбор плиты'!L:L,VLOOKUP(C276,'Шаг1.Выбор плиты'!C:Q,10,0),'Шаг1.Выбор плиты'!N:N,U276,'Шаг1.Выбор плиты'!M:M,SMALL(INDIRECT("мм"&amp;VLOOKUP(C276,'Шаг1.Выбор плиты'!C:Q,12,0)),1)))))))</f>
        <v/>
      </c>
      <c r="L276" s="147" t="str">
        <f ca="1">IFERROR(IFERROR(IF(VLOOKUP($A276,'Шаг2.Бланк заказа NEW'!$B$17:$N$201,9,0)="","",VLOOKUP($A276,'Шаг2.Бланк заказа NEW'!$B$17:$N$201,9,0)),
IF(VLOOKUP($A276-COUNT('Шаг2.Бланк заказа NEW'!$B$19:$B$201),'Бланк OLD 0.8 04'!$B$12:$K$200,9,0)="","",VLOOKUP($A276-COUNT('Шаг2.Бланк заказа NEW'!$B$19:$B$201),'Бланк OLD 0.8 04'!$B$12:$K$200,9,0))),
IF(VLOOKUP($A276-COUNT('Шаг2.Бланк заказа NEW'!$B$19:$B$201)-COUNT('Бланк OLD 0.8 04'!$B$18:$B$200),'Бланк OLD 2.0 04 '!$B$16:$K$200,9,0)="","",VLOOKUP($A276-COUNT('Шаг2.Бланк заказа NEW'!$B$19:$B$201)-COUNT('Бланк OLD 0.8 04'!$B$18:$B$200),'Бланк OLD 2.0 04 '!$B$16:$K$200,9,0)))</f>
        <v/>
      </c>
      <c r="M276" s="154" t="str">
        <f t="shared" ref="M276:M339" ca="1" si="25">IFERROR((F276/1000)*(I276/1000)*L276,"")</f>
        <v/>
      </c>
      <c r="N276" s="153" t="str">
        <f ca="1">IFERROR(IF(VLOOKUP($A276,'Шаг2.Бланк заказа NEW'!$B$17:$N$201,11,0)="","",VLOOKUP($A276,'Шаг2.Бланк заказа NEW'!$B$17:$N$201,11,0)),
"Нет")</f>
        <v/>
      </c>
      <c r="O276" s="147" t="str">
        <f ca="1">IFERROR(IF(VLOOKUP($A276,'Шаг2.Бланк заказа NEW'!$B$17:$N$201,11,0)="","",VLOOKUP($A276,'Шаг2.Бланк заказа NEW'!$B$17:$N$201,12,0)),
"Нет")</f>
        <v/>
      </c>
      <c r="P276" s="153" t="str">
        <f ca="1">IFERROR(IF(VLOOKUP($A276,'Шаг2.Бланк заказа NEW'!$B$17:$N$201,13,0)="","",VLOOKUP($A276,'Шаг2.Бланк заказа NEW'!$B$17:$N$201,13,0)),
"Нет")</f>
        <v/>
      </c>
      <c r="Q276" s="147" t="str">
        <f ca="1">IFERROR(IF(VLOOKUP($A276,'Шаг2.Бланк заказа NEW'!$B$17:$O$201,14,0)="","",VLOOKUP($A276,'Шаг2.Бланк заказа NEW'!$B$17:$O$201,14,0)),"")</f>
        <v/>
      </c>
      <c r="R276" s="147" t="str">
        <f ca="1">IFERROR(IFERROR(IF(VLOOKUP($A276,'Шаг2.Бланк заказа NEW'!$B$17:$N$201,4,0)="","",VLOOKUP($A276,'Шаг2.Бланк заказа NEW'!$B$17:$N$201,4,0)),
IF(VLOOKUP($A276-COUNT('Шаг2.Бланк заказа NEW'!$B$19:$B$201),'Бланк OLD 0.8 04'!$B$12:$K$200,4,0)&gt;0,0.8,
IF(VLOOKUP($A276-COUNT('Шаг2.Бланк заказа NEW'!$B$19:$B$201),'Бланк OLD 0.8 04'!$B$12:$K$200,5,0)&gt;0,0.4,""))),
IF(VLOOKUP($A276-COUNT('Шаг2.Бланк заказа NEW'!$B$19:$B$201)-COUNT('Бланк OLD 0.8 04'!$B$18:$B$200),'Бланк OLD 2.0 04 '!$B$16:$K$200,4,0)&gt;0,2,IF(VLOOKUP($A276-COUNT('Шаг2.Бланк заказа NEW'!$B$19:$B$201)-COUNT('Бланк OLD 0.8 04'!$B$18:$B$200),'Бланк OLD 2.0 04 '!$B$16:$K$200,5,0)&gt;0,0.4,"")))</f>
        <v/>
      </c>
      <c r="S276" s="147" t="str">
        <f ca="1">IFERROR(IFERROR(IF(VLOOKUP($A276,'Шаг2.Бланк заказа NEW'!$B$17:$N$201,5,0)="","",VLOOKUP($A276,'Шаг2.Бланк заказа NEW'!$B$17:$N$201,5,0)),
IF(VLOOKUP($A276-COUNT('Шаг2.Бланк заказа NEW'!$B$19:$B$201),'Бланк OLD 0.8 04'!$B$12:$K$200,4,0)&gt;1,0.8,
IF(VLOOKUP($A276-COUNT('Шаг2.Бланк заказа NEW'!$B$19:$B$201),'Бланк OLD 0.8 04'!$B$12:$K$200,5,0)&gt;1,0.4,
IF(AND(VLOOKUP($A276-COUNT('Шаг2.Бланк заказа NEW'!$B$19:$B$201),'Бланк OLD 0.8 04'!$B$12:$K$200,4,0)&gt;0,VLOOKUP($A276-COUNT('Шаг2.Бланк заказа NEW'!$B$19:$B$201),'Бланк OLD 0.8 04'!$B$12:$K$200,5,0)&gt;0),0.4,"")))),
IF(VLOOKUP($A276-COUNT('Шаг2.Бланк заказа NEW'!$B$19:$B$201)-COUNT('Бланк OLD 0.8 04'!$B$18:$B$200),'Бланк OLD 2.0 04 '!$B$16:$K$200,4,0)&gt;1,2,
IF(VLOOKUP($A276-COUNT('Шаг2.Бланк заказа NEW'!$B$19:$B$201)-COUNT('Бланк OLD 0.8 04'!$B$18:$B$200),'Бланк OLD 2.0 04 '!$B$16:$K$200,5,0)&gt;1,0.4,IF(AND(VLOOKUP($A276-COUNT('Шаг2.Бланк заказа NEW'!$B$19:$B$201)-COUNT('Бланк OLD 0.8 04'!$B$18:$B$200),'Бланк OLD 2.0 04 '!$B$16:$K$200,4,0)&gt;0,VLOOKUP($A276-COUNT('Шаг2.Бланк заказа NEW'!$B$19:$B$201)-COUNT('Бланк OLD 0.8 04'!$B$18:$B$200),'Бланк OLD 2.0 04 '!$B$16:$K$200,5,0)&gt;0),0.4,""))))</f>
        <v/>
      </c>
      <c r="T276" s="147" t="str">
        <f ca="1">IFERROR(IFERROR(IF(VLOOKUP($A276,'Шаг2.Бланк заказа NEW'!$B$17:$N$201,7,0)="","",VLOOKUP($A276,'Шаг2.Бланк заказа NEW'!$B$17:$N$201,7,0)),
IF(VLOOKUP($A276-COUNT('Шаг2.Бланк заказа NEW'!$B$19:$B$201),'Бланк OLD 0.8 04'!$B$12:$K$200,7,0)&gt;0,0.8,
IF(VLOOKUP($A276-COUNT('Шаг2.Бланк заказа NEW'!$B$19:$B$201),'Бланк OLD 0.8 04'!$B$12:$K$200,8,0)&gt;0,0.4,""))),
IF(VLOOKUP($A276-COUNT('Шаг2.Бланк заказа NEW'!$B$19:$B$201)-COUNT('Бланк OLD 0.8 04'!$B$18:$B$200),'Бланк OLD 2.0 04 '!$B$16:$K$200,7,0)&gt;0,2,IF(VLOOKUP($A276-COUNT('Шаг2.Бланк заказа NEW'!$B$19:$B$201)-COUNT('Бланк OLD 0.8 04'!$B$18:$B$200),'Бланк OLD 2.0 04 '!$B$16:$K$200,8,0)&gt;0,0.4,"")))</f>
        <v/>
      </c>
      <c r="U276" s="147" t="str">
        <f ca="1">IFERROR(IFERROR(IF(VLOOKUP($A276,'Шаг2.Бланк заказа NEW'!$B$17:$N$201,8,0)="","",VLOOKUP($A276,'Шаг2.Бланк заказа NEW'!$B$17:$N$201,8,0)),
IF(VLOOKUP($A276-COUNT('Шаг2.Бланк заказа NEW'!$B$19:$B$201),'Бланк OLD 0.8 04'!$B$12:$K$200,7,0)&gt;1,0.8,
IF(VLOOKUP($A276-COUNT('Шаг2.Бланк заказа NEW'!$B$19:$B$201),'Бланк OLD 0.8 04'!$B$12:$K$200,8,0)&gt;1,0.4,
IF(AND(VLOOKUP($A276-COUNT('Шаг2.Бланк заказа NEW'!$B$19:$B$201),'Бланк OLD 0.8 04'!$B$12:$K$200,7,0)&gt;0,VLOOKUP($A276-COUNT('Шаг2.Бланк заказа NEW'!$B$19:$B$201),'Бланк OLD 0.8 04'!$B$12:$K$200,8,0)&gt;0),0.4,"")))),
IF(VLOOKUP($A276-COUNT('Шаг2.Бланк заказа NEW'!$B$19:$B$201)-COUNT('Бланк OLD 0.8 04'!$B$18:$B$200),'Бланк OLD 2.0 04 '!$B$16:$K$200,7,0)&gt;1,2,
IF(VLOOKUP($A276-COUNT('Шаг2.Бланк заказа NEW'!$B$19:$B$201)-COUNT('Бланк OLD 0.8 04'!$B$18:$B$200),'Бланк OLD 2.0 04 '!$B$16:$K$200,8,0)&gt;1,0.4,
IF(AND(VLOOKUP($A276-COUNT('Шаг2.Бланк заказа NEW'!$B$19:$B$201)-COUNT('Бланк OLD 0.8 04'!$B$18:$B$200),'Бланк OLD 2.0 04 '!$B$16:$K$200,7,0)&gt;0,VLOOKUP($A276-COUNT('Шаг2.Бланк заказа NEW'!$B$19:$B$201)-COUNT('Бланк OLD 0.8 04'!$B$18:$B$200),'Бланк OLD 2.0 04 '!$B$16:$K$200,8,0)&gt;0),0.4,""))))</f>
        <v/>
      </c>
      <c r="V276" s="146" t="str">
        <f ca="1">IFERROR(VLOOKUP(C276,'Шаг1.Выбор плиты'!C:S,12,0),"")</f>
        <v/>
      </c>
      <c r="W276" s="146" t="str">
        <f ca="1">IFERROR(VLOOKUP(C276,'Шаг1.Выбор плиты'!C:S,8,0),"")</f>
        <v/>
      </c>
      <c r="X276" s="146" t="str">
        <f ca="1">IFERROR(VLOOKUP(C276,'Шаг1.Выбор плиты'!C:S,10,0),"")</f>
        <v/>
      </c>
      <c r="Y276" s="147" t="str">
        <f t="shared" ca="1" si="23"/>
        <v/>
      </c>
      <c r="AD276" s="147" t="str">
        <f t="shared" ref="AD276:AD339" ca="1" si="26">IF(C276="","",0)</f>
        <v/>
      </c>
      <c r="AE276" s="147" t="str">
        <f t="shared" ca="1" si="24"/>
        <v/>
      </c>
      <c r="AF276" s="25"/>
      <c r="AH276" s="147" t="str">
        <f ca="1">IF(C276="","",VLOOKUP(C276,'Шаг1.Выбор плиты'!C:Q,7,0))</f>
        <v/>
      </c>
      <c r="AI276" s="147" t="str">
        <f t="shared" ref="AI276:AI339" ca="1" si="27">IF(N276="","",IF(N276="да",1,0))</f>
        <v/>
      </c>
    </row>
    <row r="277" spans="1:35" x14ac:dyDescent="0.2">
      <c r="A277" s="151" t="str">
        <f ca="1">IF(C277="","",MAX($A$1:OFFSET(C277,-1,0))+1)</f>
        <v/>
      </c>
      <c r="B277" s="151" t="str">
        <f ca="1">IFERROR(IFERROR(IFERROR("Шаг2.Бланк заказа NEW №"&amp;VLOOKUP(A276+1,CHOOSE({1,2},'Шаг2.Бланк заказа NEW'!$B$19:$B$201,'Шаг2.Бланк заказа NEW'!$A$19:$A$201),1,0),
"Бланк OLD 0.8 04 №"&amp;VLOOKUP(A276+1-COUNT('Шаг2.Бланк заказа NEW'!$B$19:$B$201),CHOOSE({1,2},'Бланк OLD 0.8 04'!$B$18:$B$200,'Бланк OLD 0.8 04'!$A$18:$A$200),1,0)),
"Бланк OLD 2.0 04 №"&amp;VLOOKUP(A276+1-COUNT('Шаг2.Бланк заказа NEW'!$B$19:$B$201)-COUNT('Бланк OLD 0.8 04'!$B$18:$B$200),CHOOSE({1,2},'Бланк OLD 2.0 04 '!$B$18:$B$200,'Бланк OLD 2.0 04 '!$A$18:$A$200),1,0)),"")</f>
        <v/>
      </c>
      <c r="C277" s="152" t="str">
        <f ca="1">IFERROR(IFERROR(IFERROR(VLOOKUP(A276+1,CHOOSE({1,2},'Шаг2.Бланк заказа NEW'!$B$19:$B$201,'Шаг2.Бланк заказа NEW'!$A$19:$A$201),2,0),
VLOOKUP(A276+1-COUNT('Шаг2.Бланк заказа NEW'!$B$19:$B$201),CHOOSE({1,2},'Бланк OLD 0.8 04'!$B$18:$B$200,'Бланк OLD 0.8 04'!$A$18:$A$200),2,0)),
VLOOKUP(A276+1-COUNT('Шаг2.Бланк заказа NEW'!$B$19:$B$201)-COUNT('Бланк OLD 0.8 04'!$B$18:$B$200),CHOOSE({1,2},'Бланк OLD 2.0 04 '!$B$18:$B$200,'Бланк OLD 2.0 04 '!$A$18:$A$200),2,0)),"")</f>
        <v/>
      </c>
      <c r="D277" s="150" t="str">
        <f ca="1">IFERROR(VLOOKUP(C277,'Шаг1.Выбор плиты'!C:G,5,0),"")</f>
        <v/>
      </c>
      <c r="E277" s="147" t="str">
        <f ca="1">IFERROR(IFERROR(IF(VLOOKUP($A277,'Шаг2.Бланк заказа NEW'!$B$17:$N$201,2,0)="","",VLOOKUP($A277,'Шаг2.Бланк заказа NEW'!$B$17:$N$201,2,0)),
IF(VLOOKUP($A277-COUNT('Шаг2.Бланк заказа NEW'!$B$19:$B$201),'Бланк OLD 0.8 04'!$B$12:$K$200,2,0)="","",VLOOKUP($A277-COUNT('Шаг2.Бланк заказа NEW'!$B$19:$B$201),'Бланк OLD 0.8 04'!$B$12:$K$200,2,0))),
IF(VLOOKUP($A277-COUNT('Шаг2.Бланк заказа NEW'!$B$19:$B$201)-COUNT('Бланк OLD 0.8 04'!$B$18:$B$200),'Бланк OLD 2.0 04 '!$B$16:$K$200,2,0)="","",VLOOKUP($A277-COUNT('Шаг2.Бланк заказа NEW'!$B$19:$B$201)-COUNT('Бланк OLD 0.8 04'!$B$18:$B$200),'Бланк OLD 2.0 04 '!$B$16:$K$200,2,0)))</f>
        <v/>
      </c>
      <c r="F277" s="147" t="str">
        <f ca="1">IFERROR(IFERROR(IF(VLOOKUP($A277,'Шаг2.Бланк заказа NEW'!$B$17:$N$201,3,0)="","",VLOOKUP($A277,'Шаг2.Бланк заказа NEW'!$B$17:$N$201,3,0)),
IF(VLOOKUP($A277-COUNT('Шаг2.Бланк заказа NEW'!$B$19:$B$201),'Бланк OLD 0.8 04'!$B$12:$K$200,3,0)="","",VLOOKUP($A277-COUNT('Шаг2.Бланк заказа NEW'!$B$19:$B$201),'Бланк OLD 0.8 04'!$B$12:$K$200,3,0))),
IF(VLOOKUP($A277-COUNT('Шаг2.Бланк заказа NEW'!$B$19:$B$201)-COUNT('Бланк OLD 0.8 04'!$B$18:$B$200),'Бланк OLD 2.0 04 '!$B$16:$K$200,3,0)="","",VLOOKUP($A277-COUNT('Шаг2.Бланк заказа NEW'!$B$19:$B$201)-COUNT('Бланк OLD 0.8 04'!$B$18:$B$200),'Бланк OLD 2.0 04 '!$B$16:$K$200,3,0)))</f>
        <v/>
      </c>
      <c r="G277" s="176" t="str">
        <f ca="1">IF(IF(R277="","",IF(R277=1,SUMIFS('Шаг1.Выбор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плиты'!C:Q,12,0)),1))))))=0,
R277,
IF(R277="","",IF(R277=1,SUMIFS('Шаг1.Выбор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плиты'!N:N,R277,'Шаг1.Выбор плиты'!M:M,SMALL(INDIRECT("мм"&amp;VLOOKUP(C277,'Шаг1.Выбор плиты'!C:Q,12,0)),1)))))))</f>
        <v/>
      </c>
      <c r="H277" s="177" t="str">
        <f ca="1">IF(IF(S277="","",IF(S277=1,SUMIFS('Шаг1.Выбор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плиты'!C:Q,12,0)),1))))))=0,
S277,
IF(S277="","",IF(S277=1,SUMIFS('Шаг1.Выбор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плиты'!N:N,S277,'Шаг1.Выбор плиты'!M:M,SMALL(INDIRECT("мм"&amp;VLOOKUP(C277,'Шаг1.Выбор плиты'!C:Q,12,0)),1)))))))</f>
        <v/>
      </c>
      <c r="I277" s="147" t="str">
        <f ca="1">IFERROR(IFERROR(IF(VLOOKUP($A277,'Шаг2.Бланк заказа NEW'!$B$17:$N$201,6,0)="","",VLOOKUP($A277,'Шаг2.Бланк заказа NEW'!$B$17:$N$201,6,0)),
IF(VLOOKUP($A277-COUNT('Шаг2.Бланк заказа NEW'!$B$19:$B$201),'Бланк OLD 0.8 04'!$B$12:$K$200,6,0)="","",VLOOKUP($A277-COUNT('Шаг2.Бланк заказа NEW'!$B$19:$B$201),'Бланк OLD 0.8 04'!$B$12:$K$200,6,0))),
IF(VLOOKUP($A277-COUNT('Шаг2.Бланк заказа NEW'!$B$19:$B$201)-COUNT('Бланк OLD 0.8 04'!$B$18:$B$200),'Бланк OLD 2.0 04 '!$B$16:$K$200,6,0)="","",VLOOKUP($A277-COUNT('Шаг2.Бланк заказа NEW'!$B$19:$B$201)-COUNT('Бланк OLD 0.8 04'!$B$18:$B$200),'Бланк OLD 2.0 04 '!$B$16:$K$200,6,0)))</f>
        <v/>
      </c>
      <c r="J277" s="177" t="str">
        <f ca="1">IF(IF(T277="","",IF(T277=1,SUMIFS('Шаг1.Выбор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плиты'!C:Q,12,0)),1))))))=0,
T277,
IF(T277="","",IF(T277=1,SUMIFS('Шаг1.Выбор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плиты'!N:N,T277,'Шаг1.Выбор плиты'!M:M,SMALL(INDIRECT("мм"&amp;VLOOKUP(C277,'Шаг1.Выбор плиты'!C:Q,12,0)),1)))))))</f>
        <v/>
      </c>
      <c r="K277" s="177" t="str">
        <f ca="1">IF(IF(U277="","",IF(U277=1,SUMIFS('Шаг1.Выбор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плиты'!C:Q,12,0)),1))))))=0,
U277,
IF(U277="","",IF(U277=1,SUMIFS('Шаг1.Выбор плиты'!$G:$G,'Шаг1.Выбор плиты'!J:J,"*"&amp;RIGHT(VLOOKUP(C277,'Шаг1.Выбор плиты'!C:Q,8,0),4),'Шаг1.Выбор плиты'!L:L,IF(MID(C277,1,6)="ЛДСП P","TM"&amp;MID(VLOOKUP(C277,'Шаг1.Выбор плиты'!C:Q,10,0),3,2),MID(VLOOKUP(C277,'Шаг1.Выбор плиты'!C:Q,10,0),1,2)),
'Шаг1.Выбор плиты'!N:N,1),IF(SUMIFS('Шаг1.Выбор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плиты'!C:Q,12,0)),1))=0,
IF(SUMIFS('Шаг1.Выбор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плиты'!C:Q,12,0)),2))=0,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плиты'!C:Q,12,0)),3)),
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плиты'!C:Q,12,0)),2))),
(SUMIFS('Шаг1.Выбор плиты'!$G:$G,'Шаг1.Выбор плиты'!J:J,"*"&amp;RIGHT(VLOOKUP(C277,'Шаг1.Выбор плиты'!C:Q,8,0),4),'Шаг1.Выбор плиты'!L:L,VLOOKUP(C277,'Шаг1.Выбор плиты'!C:Q,10,0),'Шаг1.Выбор плиты'!N:N,U277,'Шаг1.Выбор плиты'!M:M,SMALL(INDIRECT("мм"&amp;VLOOKUP(C277,'Шаг1.Выбор плиты'!C:Q,12,0)),1)))))))</f>
        <v/>
      </c>
      <c r="L277" s="147" t="str">
        <f ca="1">IFERROR(IFERROR(IF(VLOOKUP($A277,'Шаг2.Бланк заказа NEW'!$B$17:$N$201,9,0)="","",VLOOKUP($A277,'Шаг2.Бланк заказа NEW'!$B$17:$N$201,9,0)),
IF(VLOOKUP($A277-COUNT('Шаг2.Бланк заказа NEW'!$B$19:$B$201),'Бланк OLD 0.8 04'!$B$12:$K$200,9,0)="","",VLOOKUP($A277-COUNT('Шаг2.Бланк заказа NEW'!$B$19:$B$201),'Бланк OLD 0.8 04'!$B$12:$K$200,9,0))),
IF(VLOOKUP($A277-COUNT('Шаг2.Бланк заказа NEW'!$B$19:$B$201)-COUNT('Бланк OLD 0.8 04'!$B$18:$B$200),'Бланк OLD 2.0 04 '!$B$16:$K$200,9,0)="","",VLOOKUP($A277-COUNT('Шаг2.Бланк заказа NEW'!$B$19:$B$201)-COUNT('Бланк OLD 0.8 04'!$B$18:$B$200),'Бланк OLD 2.0 04 '!$B$16:$K$200,9,0)))</f>
        <v/>
      </c>
      <c r="M277" s="154" t="str">
        <f t="shared" ca="1" si="25"/>
        <v/>
      </c>
      <c r="N277" s="153" t="str">
        <f ca="1">IFERROR(IF(VLOOKUP($A277,'Шаг2.Бланк заказа NEW'!$B$17:$N$201,11,0)="","",VLOOKUP($A277,'Шаг2.Бланк заказа NEW'!$B$17:$N$201,11,0)),
"Нет")</f>
        <v/>
      </c>
      <c r="O277" s="147" t="str">
        <f ca="1">IFERROR(IF(VLOOKUP($A277,'Шаг2.Бланк заказа NEW'!$B$17:$N$201,11,0)="","",VLOOKUP($A277,'Шаг2.Бланк заказа NEW'!$B$17:$N$201,12,0)),
"Нет")</f>
        <v/>
      </c>
      <c r="P277" s="153" t="str">
        <f ca="1">IFERROR(IF(VLOOKUP($A277,'Шаг2.Бланк заказа NEW'!$B$17:$N$201,13,0)="","",VLOOKUP($A277,'Шаг2.Бланк заказа NEW'!$B$17:$N$201,13,0)),
"Нет")</f>
        <v/>
      </c>
      <c r="Q277" s="147" t="str">
        <f ca="1">IFERROR(IF(VLOOKUP($A277,'Шаг2.Бланк заказа NEW'!$B$17:$O$201,14,0)="","",VLOOKUP($A277,'Шаг2.Бланк заказа NEW'!$B$17:$O$201,14,0)),"")</f>
        <v/>
      </c>
      <c r="R277" s="147" t="str">
        <f ca="1">IFERROR(IFERROR(IF(VLOOKUP($A277,'Шаг2.Бланк заказа NEW'!$B$17:$N$201,4,0)="","",VLOOKUP($A277,'Шаг2.Бланк заказа NEW'!$B$17:$N$201,4,0)),
IF(VLOOKUP($A277-COUNT('Шаг2.Бланк заказа NEW'!$B$19:$B$201),'Бланк OLD 0.8 04'!$B$12:$K$200,4,0)&gt;0,0.8,
IF(VLOOKUP($A277-COUNT('Шаг2.Бланк заказа NEW'!$B$19:$B$201),'Бланк OLD 0.8 04'!$B$12:$K$200,5,0)&gt;0,0.4,""))),
IF(VLOOKUP($A277-COUNT('Шаг2.Бланк заказа NEW'!$B$19:$B$201)-COUNT('Бланк OLD 0.8 04'!$B$18:$B$200),'Бланк OLD 2.0 04 '!$B$16:$K$200,4,0)&gt;0,2,IF(VLOOKUP($A277-COUNT('Шаг2.Бланк заказа NEW'!$B$19:$B$201)-COUNT('Бланк OLD 0.8 04'!$B$18:$B$200),'Бланк OLD 2.0 04 '!$B$16:$K$200,5,0)&gt;0,0.4,"")))</f>
        <v/>
      </c>
      <c r="S277" s="147" t="str">
        <f ca="1">IFERROR(IFERROR(IF(VLOOKUP($A277,'Шаг2.Бланк заказа NEW'!$B$17:$N$201,5,0)="","",VLOOKUP($A277,'Шаг2.Бланк заказа NEW'!$B$17:$N$201,5,0)),
IF(VLOOKUP($A277-COUNT('Шаг2.Бланк заказа NEW'!$B$19:$B$201),'Бланк OLD 0.8 04'!$B$12:$K$200,4,0)&gt;1,0.8,
IF(VLOOKUP($A277-COUNT('Шаг2.Бланк заказа NEW'!$B$19:$B$201),'Бланк OLD 0.8 04'!$B$12:$K$200,5,0)&gt;1,0.4,
IF(AND(VLOOKUP($A277-COUNT('Шаг2.Бланк заказа NEW'!$B$19:$B$201),'Бланк OLD 0.8 04'!$B$12:$K$200,4,0)&gt;0,VLOOKUP($A277-COUNT('Шаг2.Бланк заказа NEW'!$B$19:$B$201),'Бланк OLD 0.8 04'!$B$12:$K$200,5,0)&gt;0),0.4,"")))),
IF(VLOOKUP($A277-COUNT('Шаг2.Бланк заказа NEW'!$B$19:$B$201)-COUNT('Бланк OLD 0.8 04'!$B$18:$B$200),'Бланк OLD 2.0 04 '!$B$16:$K$200,4,0)&gt;1,2,
IF(VLOOKUP($A277-COUNT('Шаг2.Бланк заказа NEW'!$B$19:$B$201)-COUNT('Бланк OLD 0.8 04'!$B$18:$B$200),'Бланк OLD 2.0 04 '!$B$16:$K$200,5,0)&gt;1,0.4,IF(AND(VLOOKUP($A277-COUNT('Шаг2.Бланк заказа NEW'!$B$19:$B$201)-COUNT('Бланк OLD 0.8 04'!$B$18:$B$200),'Бланк OLD 2.0 04 '!$B$16:$K$200,4,0)&gt;0,VLOOKUP($A277-COUNT('Шаг2.Бланк заказа NEW'!$B$19:$B$201)-COUNT('Бланк OLD 0.8 04'!$B$18:$B$200),'Бланк OLD 2.0 04 '!$B$16:$K$200,5,0)&gt;0),0.4,""))))</f>
        <v/>
      </c>
      <c r="T277" s="147" t="str">
        <f ca="1">IFERROR(IFERROR(IF(VLOOKUP($A277,'Шаг2.Бланк заказа NEW'!$B$17:$N$201,7,0)="","",VLOOKUP($A277,'Шаг2.Бланк заказа NEW'!$B$17:$N$201,7,0)),
IF(VLOOKUP($A277-COUNT('Шаг2.Бланк заказа NEW'!$B$19:$B$201),'Бланк OLD 0.8 04'!$B$12:$K$200,7,0)&gt;0,0.8,
IF(VLOOKUP($A277-COUNT('Шаг2.Бланк заказа NEW'!$B$19:$B$201),'Бланк OLD 0.8 04'!$B$12:$K$200,8,0)&gt;0,0.4,""))),
IF(VLOOKUP($A277-COUNT('Шаг2.Бланк заказа NEW'!$B$19:$B$201)-COUNT('Бланк OLD 0.8 04'!$B$18:$B$200),'Бланк OLD 2.0 04 '!$B$16:$K$200,7,0)&gt;0,2,IF(VLOOKUP($A277-COUNT('Шаг2.Бланк заказа NEW'!$B$19:$B$201)-COUNT('Бланк OLD 0.8 04'!$B$18:$B$200),'Бланк OLD 2.0 04 '!$B$16:$K$200,8,0)&gt;0,0.4,"")))</f>
        <v/>
      </c>
      <c r="U277" s="147" t="str">
        <f ca="1">IFERROR(IFERROR(IF(VLOOKUP($A277,'Шаг2.Бланк заказа NEW'!$B$17:$N$201,8,0)="","",VLOOKUP($A277,'Шаг2.Бланк заказа NEW'!$B$17:$N$201,8,0)),
IF(VLOOKUP($A277-COUNT('Шаг2.Бланк заказа NEW'!$B$19:$B$201),'Бланк OLD 0.8 04'!$B$12:$K$200,7,0)&gt;1,0.8,
IF(VLOOKUP($A277-COUNT('Шаг2.Бланк заказа NEW'!$B$19:$B$201),'Бланк OLD 0.8 04'!$B$12:$K$200,8,0)&gt;1,0.4,
IF(AND(VLOOKUP($A277-COUNT('Шаг2.Бланк заказа NEW'!$B$19:$B$201),'Бланк OLD 0.8 04'!$B$12:$K$200,7,0)&gt;0,VLOOKUP($A277-COUNT('Шаг2.Бланк заказа NEW'!$B$19:$B$201),'Бланк OLD 0.8 04'!$B$12:$K$200,8,0)&gt;0),0.4,"")))),
IF(VLOOKUP($A277-COUNT('Шаг2.Бланк заказа NEW'!$B$19:$B$201)-COUNT('Бланк OLD 0.8 04'!$B$18:$B$200),'Бланк OLD 2.0 04 '!$B$16:$K$200,7,0)&gt;1,2,
IF(VLOOKUP($A277-COUNT('Шаг2.Бланк заказа NEW'!$B$19:$B$201)-COUNT('Бланк OLD 0.8 04'!$B$18:$B$200),'Бланк OLD 2.0 04 '!$B$16:$K$200,8,0)&gt;1,0.4,
IF(AND(VLOOKUP($A277-COUNT('Шаг2.Бланк заказа NEW'!$B$19:$B$201)-COUNT('Бланк OLD 0.8 04'!$B$18:$B$200),'Бланк OLD 2.0 04 '!$B$16:$K$200,7,0)&gt;0,VLOOKUP($A277-COUNT('Шаг2.Бланк заказа NEW'!$B$19:$B$201)-COUNT('Бланк OLD 0.8 04'!$B$18:$B$200),'Бланк OLD 2.0 04 '!$B$16:$K$200,8,0)&gt;0),0.4,""))))</f>
        <v/>
      </c>
      <c r="V277" s="146" t="str">
        <f ca="1">IFERROR(VLOOKUP(C277,'Шаг1.Выбор плиты'!C:S,12,0),"")</f>
        <v/>
      </c>
      <c r="W277" s="146" t="str">
        <f ca="1">IFERROR(VLOOKUP(C277,'Шаг1.Выбор плиты'!C:S,8,0),"")</f>
        <v/>
      </c>
      <c r="X277" s="146" t="str">
        <f ca="1">IFERROR(VLOOKUP(C277,'Шаг1.Выбор плиты'!C:S,10,0),"")</f>
        <v/>
      </c>
      <c r="Y277" s="147" t="str">
        <f t="shared" ca="1" si="23"/>
        <v/>
      </c>
      <c r="AD277" s="147" t="str">
        <f t="shared" ca="1" si="26"/>
        <v/>
      </c>
      <c r="AE277" s="147" t="str">
        <f t="shared" ca="1" si="24"/>
        <v/>
      </c>
      <c r="AF277" s="25"/>
      <c r="AH277" s="147" t="str">
        <f ca="1">IF(C277="","",VLOOKUP(C277,'Шаг1.Выбор плиты'!C:Q,7,0))</f>
        <v/>
      </c>
      <c r="AI277" s="147" t="str">
        <f t="shared" ca="1" si="27"/>
        <v/>
      </c>
    </row>
    <row r="278" spans="1:35" x14ac:dyDescent="0.2">
      <c r="A278" s="151" t="str">
        <f ca="1">IF(C278="","",MAX($A$1:OFFSET(C278,-1,0))+1)</f>
        <v/>
      </c>
      <c r="B278" s="151" t="str">
        <f ca="1">IFERROR(IFERROR(IFERROR("Шаг2.Бланк заказа NEW №"&amp;VLOOKUP(A277+1,CHOOSE({1,2},'Шаг2.Бланк заказа NEW'!$B$19:$B$201,'Шаг2.Бланк заказа NEW'!$A$19:$A$201),1,0),
"Бланк OLD 0.8 04 №"&amp;VLOOKUP(A277+1-COUNT('Шаг2.Бланк заказа NEW'!$B$19:$B$201),CHOOSE({1,2},'Бланк OLD 0.8 04'!$B$18:$B$200,'Бланк OLD 0.8 04'!$A$18:$A$200),1,0)),
"Бланк OLD 2.0 04 №"&amp;VLOOKUP(A277+1-COUNT('Шаг2.Бланк заказа NEW'!$B$19:$B$201)-COUNT('Бланк OLD 0.8 04'!$B$18:$B$200),CHOOSE({1,2},'Бланк OLD 2.0 04 '!$B$18:$B$200,'Бланк OLD 2.0 04 '!$A$18:$A$200),1,0)),"")</f>
        <v/>
      </c>
      <c r="C278" s="152" t="str">
        <f ca="1">IFERROR(IFERROR(IFERROR(VLOOKUP(A277+1,CHOOSE({1,2},'Шаг2.Бланк заказа NEW'!$B$19:$B$201,'Шаг2.Бланк заказа NEW'!$A$19:$A$201),2,0),
VLOOKUP(A277+1-COUNT('Шаг2.Бланк заказа NEW'!$B$19:$B$201),CHOOSE({1,2},'Бланк OLD 0.8 04'!$B$18:$B$200,'Бланк OLD 0.8 04'!$A$18:$A$200),2,0)),
VLOOKUP(A277+1-COUNT('Шаг2.Бланк заказа NEW'!$B$19:$B$201)-COUNT('Бланк OLD 0.8 04'!$B$18:$B$200),CHOOSE({1,2},'Бланк OLD 2.0 04 '!$B$18:$B$200,'Бланк OLD 2.0 04 '!$A$18:$A$200),2,0)),"")</f>
        <v/>
      </c>
      <c r="D278" s="150" t="str">
        <f ca="1">IFERROR(VLOOKUP(C278,'Шаг1.Выбор плиты'!C:G,5,0),"")</f>
        <v/>
      </c>
      <c r="E278" s="147" t="str">
        <f ca="1">IFERROR(IFERROR(IF(VLOOKUP($A278,'Шаг2.Бланк заказа NEW'!$B$17:$N$201,2,0)="","",VLOOKUP($A278,'Шаг2.Бланк заказа NEW'!$B$17:$N$201,2,0)),
IF(VLOOKUP($A278-COUNT('Шаг2.Бланк заказа NEW'!$B$19:$B$201),'Бланк OLD 0.8 04'!$B$12:$K$200,2,0)="","",VLOOKUP($A278-COUNT('Шаг2.Бланк заказа NEW'!$B$19:$B$201),'Бланк OLD 0.8 04'!$B$12:$K$200,2,0))),
IF(VLOOKUP($A278-COUNT('Шаг2.Бланк заказа NEW'!$B$19:$B$201)-COUNT('Бланк OLD 0.8 04'!$B$18:$B$200),'Бланк OLD 2.0 04 '!$B$16:$K$200,2,0)="","",VLOOKUP($A278-COUNT('Шаг2.Бланк заказа NEW'!$B$19:$B$201)-COUNT('Бланк OLD 0.8 04'!$B$18:$B$200),'Бланк OLD 2.0 04 '!$B$16:$K$200,2,0)))</f>
        <v/>
      </c>
      <c r="F278" s="147" t="str">
        <f ca="1">IFERROR(IFERROR(IF(VLOOKUP($A278,'Шаг2.Бланк заказа NEW'!$B$17:$N$201,3,0)="","",VLOOKUP($A278,'Шаг2.Бланк заказа NEW'!$B$17:$N$201,3,0)),
IF(VLOOKUP($A278-COUNT('Шаг2.Бланк заказа NEW'!$B$19:$B$201),'Бланк OLD 0.8 04'!$B$12:$K$200,3,0)="","",VLOOKUP($A278-COUNT('Шаг2.Бланк заказа NEW'!$B$19:$B$201),'Бланк OLD 0.8 04'!$B$12:$K$200,3,0))),
IF(VLOOKUP($A278-COUNT('Шаг2.Бланк заказа NEW'!$B$19:$B$201)-COUNT('Бланк OLD 0.8 04'!$B$18:$B$200),'Бланк OLD 2.0 04 '!$B$16:$K$200,3,0)="","",VLOOKUP($A278-COUNT('Шаг2.Бланк заказа NEW'!$B$19:$B$201)-COUNT('Бланк OLD 0.8 04'!$B$18:$B$200),'Бланк OLD 2.0 04 '!$B$16:$K$200,3,0)))</f>
        <v/>
      </c>
      <c r="G278" s="176" t="str">
        <f ca="1">IF(IF(R278="","",IF(R278=1,SUMIFS('Шаг1.Выбор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плиты'!C:Q,12,0)),1))))))=0,
R278,
IF(R278="","",IF(R278=1,SUMIFS('Шаг1.Выбор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плиты'!N:N,R278,'Шаг1.Выбор плиты'!M:M,SMALL(INDIRECT("мм"&amp;VLOOKUP(C278,'Шаг1.Выбор плиты'!C:Q,12,0)),1)))))))</f>
        <v/>
      </c>
      <c r="H278" s="177" t="str">
        <f ca="1">IF(IF(S278="","",IF(S278=1,SUMIFS('Шаг1.Выбор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плиты'!C:Q,12,0)),1))))))=0,
S278,
IF(S278="","",IF(S278=1,SUMIFS('Шаг1.Выбор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плиты'!N:N,S278,'Шаг1.Выбор плиты'!M:M,SMALL(INDIRECT("мм"&amp;VLOOKUP(C278,'Шаг1.Выбор плиты'!C:Q,12,0)),1)))))))</f>
        <v/>
      </c>
      <c r="I278" s="147" t="str">
        <f ca="1">IFERROR(IFERROR(IF(VLOOKUP($A278,'Шаг2.Бланк заказа NEW'!$B$17:$N$201,6,0)="","",VLOOKUP($A278,'Шаг2.Бланк заказа NEW'!$B$17:$N$201,6,0)),
IF(VLOOKUP($A278-COUNT('Шаг2.Бланк заказа NEW'!$B$19:$B$201),'Бланк OLD 0.8 04'!$B$12:$K$200,6,0)="","",VLOOKUP($A278-COUNT('Шаг2.Бланк заказа NEW'!$B$19:$B$201),'Бланк OLD 0.8 04'!$B$12:$K$200,6,0))),
IF(VLOOKUP($A278-COUNT('Шаг2.Бланк заказа NEW'!$B$19:$B$201)-COUNT('Бланк OLD 0.8 04'!$B$18:$B$200),'Бланк OLD 2.0 04 '!$B$16:$K$200,6,0)="","",VLOOKUP($A278-COUNT('Шаг2.Бланк заказа NEW'!$B$19:$B$201)-COUNT('Бланк OLD 0.8 04'!$B$18:$B$200),'Бланк OLD 2.0 04 '!$B$16:$K$200,6,0)))</f>
        <v/>
      </c>
      <c r="J278" s="177" t="str">
        <f ca="1">IF(IF(T278="","",IF(T278=1,SUMIFS('Шаг1.Выбор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плиты'!C:Q,12,0)),1))))))=0,
T278,
IF(T278="","",IF(T278=1,SUMIFS('Шаг1.Выбор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плиты'!N:N,T278,'Шаг1.Выбор плиты'!M:M,SMALL(INDIRECT("мм"&amp;VLOOKUP(C278,'Шаг1.Выбор плиты'!C:Q,12,0)),1)))))))</f>
        <v/>
      </c>
      <c r="K278" s="177" t="str">
        <f ca="1">IF(IF(U278="","",IF(U278=1,SUMIFS('Шаг1.Выбор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плиты'!C:Q,12,0)),1))))))=0,
U278,
IF(U278="","",IF(U278=1,SUMIFS('Шаг1.Выбор плиты'!$G:$G,'Шаг1.Выбор плиты'!J:J,"*"&amp;RIGHT(VLOOKUP(C278,'Шаг1.Выбор плиты'!C:Q,8,0),4),'Шаг1.Выбор плиты'!L:L,IF(MID(C278,1,6)="ЛДСП P","TM"&amp;MID(VLOOKUP(C278,'Шаг1.Выбор плиты'!C:Q,10,0),3,2),MID(VLOOKUP(C278,'Шаг1.Выбор плиты'!C:Q,10,0),1,2)),
'Шаг1.Выбор плиты'!N:N,1),IF(SUMIFS('Шаг1.Выбор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плиты'!C:Q,12,0)),1))=0,
IF(SUMIFS('Шаг1.Выбор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плиты'!C:Q,12,0)),2))=0,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плиты'!C:Q,12,0)),3)),
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плиты'!C:Q,12,0)),2))),
(SUMIFS('Шаг1.Выбор плиты'!$G:$G,'Шаг1.Выбор плиты'!J:J,"*"&amp;RIGHT(VLOOKUP(C278,'Шаг1.Выбор плиты'!C:Q,8,0),4),'Шаг1.Выбор плиты'!L:L,VLOOKUP(C278,'Шаг1.Выбор плиты'!C:Q,10,0),'Шаг1.Выбор плиты'!N:N,U278,'Шаг1.Выбор плиты'!M:M,SMALL(INDIRECT("мм"&amp;VLOOKUP(C278,'Шаг1.Выбор плиты'!C:Q,12,0)),1)))))))</f>
        <v/>
      </c>
      <c r="L278" s="147" t="str">
        <f ca="1">IFERROR(IFERROR(IF(VLOOKUP($A278,'Шаг2.Бланк заказа NEW'!$B$17:$N$201,9,0)="","",VLOOKUP($A278,'Шаг2.Бланк заказа NEW'!$B$17:$N$201,9,0)),
IF(VLOOKUP($A278-COUNT('Шаг2.Бланк заказа NEW'!$B$19:$B$201),'Бланк OLD 0.8 04'!$B$12:$K$200,9,0)="","",VLOOKUP($A278-COUNT('Шаг2.Бланк заказа NEW'!$B$19:$B$201),'Бланк OLD 0.8 04'!$B$12:$K$200,9,0))),
IF(VLOOKUP($A278-COUNT('Шаг2.Бланк заказа NEW'!$B$19:$B$201)-COUNT('Бланк OLD 0.8 04'!$B$18:$B$200),'Бланк OLD 2.0 04 '!$B$16:$K$200,9,0)="","",VLOOKUP($A278-COUNT('Шаг2.Бланк заказа NEW'!$B$19:$B$201)-COUNT('Бланк OLD 0.8 04'!$B$18:$B$200),'Бланк OLD 2.0 04 '!$B$16:$K$200,9,0)))</f>
        <v/>
      </c>
      <c r="M278" s="154" t="str">
        <f t="shared" ca="1" si="25"/>
        <v/>
      </c>
      <c r="N278" s="153" t="str">
        <f ca="1">IFERROR(IF(VLOOKUP($A278,'Шаг2.Бланк заказа NEW'!$B$17:$N$201,11,0)="","",VLOOKUP($A278,'Шаг2.Бланк заказа NEW'!$B$17:$N$201,11,0)),
"Нет")</f>
        <v/>
      </c>
      <c r="O278" s="147" t="str">
        <f ca="1">IFERROR(IF(VLOOKUP($A278,'Шаг2.Бланк заказа NEW'!$B$17:$N$201,11,0)="","",VLOOKUP($A278,'Шаг2.Бланк заказа NEW'!$B$17:$N$201,12,0)),
"Нет")</f>
        <v/>
      </c>
      <c r="P278" s="153" t="str">
        <f ca="1">IFERROR(IF(VLOOKUP($A278,'Шаг2.Бланк заказа NEW'!$B$17:$N$201,13,0)="","",VLOOKUP($A278,'Шаг2.Бланк заказа NEW'!$B$17:$N$201,13,0)),
"Нет")</f>
        <v/>
      </c>
      <c r="Q278" s="147" t="str">
        <f ca="1">IFERROR(IF(VLOOKUP($A278,'Шаг2.Бланк заказа NEW'!$B$17:$O$201,14,0)="","",VLOOKUP($A278,'Шаг2.Бланк заказа NEW'!$B$17:$O$201,14,0)),"")</f>
        <v/>
      </c>
      <c r="R278" s="147" t="str">
        <f ca="1">IFERROR(IFERROR(IF(VLOOKUP($A278,'Шаг2.Бланк заказа NEW'!$B$17:$N$201,4,0)="","",VLOOKUP($A278,'Шаг2.Бланк заказа NEW'!$B$17:$N$201,4,0)),
IF(VLOOKUP($A278-COUNT('Шаг2.Бланк заказа NEW'!$B$19:$B$201),'Бланк OLD 0.8 04'!$B$12:$K$200,4,0)&gt;0,0.8,
IF(VLOOKUP($A278-COUNT('Шаг2.Бланк заказа NEW'!$B$19:$B$201),'Бланк OLD 0.8 04'!$B$12:$K$200,5,0)&gt;0,0.4,""))),
IF(VLOOKUP($A278-COUNT('Шаг2.Бланк заказа NEW'!$B$19:$B$201)-COUNT('Бланк OLD 0.8 04'!$B$18:$B$200),'Бланк OLD 2.0 04 '!$B$16:$K$200,4,0)&gt;0,2,IF(VLOOKUP($A278-COUNT('Шаг2.Бланк заказа NEW'!$B$19:$B$201)-COUNT('Бланк OLD 0.8 04'!$B$18:$B$200),'Бланк OLD 2.0 04 '!$B$16:$K$200,5,0)&gt;0,0.4,"")))</f>
        <v/>
      </c>
      <c r="S278" s="147" t="str">
        <f ca="1">IFERROR(IFERROR(IF(VLOOKUP($A278,'Шаг2.Бланк заказа NEW'!$B$17:$N$201,5,0)="","",VLOOKUP($A278,'Шаг2.Бланк заказа NEW'!$B$17:$N$201,5,0)),
IF(VLOOKUP($A278-COUNT('Шаг2.Бланк заказа NEW'!$B$19:$B$201),'Бланк OLD 0.8 04'!$B$12:$K$200,4,0)&gt;1,0.8,
IF(VLOOKUP($A278-COUNT('Шаг2.Бланк заказа NEW'!$B$19:$B$201),'Бланк OLD 0.8 04'!$B$12:$K$200,5,0)&gt;1,0.4,
IF(AND(VLOOKUP($A278-COUNT('Шаг2.Бланк заказа NEW'!$B$19:$B$201),'Бланк OLD 0.8 04'!$B$12:$K$200,4,0)&gt;0,VLOOKUP($A278-COUNT('Шаг2.Бланк заказа NEW'!$B$19:$B$201),'Бланк OLD 0.8 04'!$B$12:$K$200,5,0)&gt;0),0.4,"")))),
IF(VLOOKUP($A278-COUNT('Шаг2.Бланк заказа NEW'!$B$19:$B$201)-COUNT('Бланк OLD 0.8 04'!$B$18:$B$200),'Бланк OLD 2.0 04 '!$B$16:$K$200,4,0)&gt;1,2,
IF(VLOOKUP($A278-COUNT('Шаг2.Бланк заказа NEW'!$B$19:$B$201)-COUNT('Бланк OLD 0.8 04'!$B$18:$B$200),'Бланк OLD 2.0 04 '!$B$16:$K$200,5,0)&gt;1,0.4,IF(AND(VLOOKUP($A278-COUNT('Шаг2.Бланк заказа NEW'!$B$19:$B$201)-COUNT('Бланк OLD 0.8 04'!$B$18:$B$200),'Бланк OLD 2.0 04 '!$B$16:$K$200,4,0)&gt;0,VLOOKUP($A278-COUNT('Шаг2.Бланк заказа NEW'!$B$19:$B$201)-COUNT('Бланк OLD 0.8 04'!$B$18:$B$200),'Бланк OLD 2.0 04 '!$B$16:$K$200,5,0)&gt;0),0.4,""))))</f>
        <v/>
      </c>
      <c r="T278" s="147" t="str">
        <f ca="1">IFERROR(IFERROR(IF(VLOOKUP($A278,'Шаг2.Бланк заказа NEW'!$B$17:$N$201,7,0)="","",VLOOKUP($A278,'Шаг2.Бланк заказа NEW'!$B$17:$N$201,7,0)),
IF(VLOOKUP($A278-COUNT('Шаг2.Бланк заказа NEW'!$B$19:$B$201),'Бланк OLD 0.8 04'!$B$12:$K$200,7,0)&gt;0,0.8,
IF(VLOOKUP($A278-COUNT('Шаг2.Бланк заказа NEW'!$B$19:$B$201),'Бланк OLD 0.8 04'!$B$12:$K$200,8,0)&gt;0,0.4,""))),
IF(VLOOKUP($A278-COUNT('Шаг2.Бланк заказа NEW'!$B$19:$B$201)-COUNT('Бланк OLD 0.8 04'!$B$18:$B$200),'Бланк OLD 2.0 04 '!$B$16:$K$200,7,0)&gt;0,2,IF(VLOOKUP($A278-COUNT('Шаг2.Бланк заказа NEW'!$B$19:$B$201)-COUNT('Бланк OLD 0.8 04'!$B$18:$B$200),'Бланк OLD 2.0 04 '!$B$16:$K$200,8,0)&gt;0,0.4,"")))</f>
        <v/>
      </c>
      <c r="U278" s="147" t="str">
        <f ca="1">IFERROR(IFERROR(IF(VLOOKUP($A278,'Шаг2.Бланк заказа NEW'!$B$17:$N$201,8,0)="","",VLOOKUP($A278,'Шаг2.Бланк заказа NEW'!$B$17:$N$201,8,0)),
IF(VLOOKUP($A278-COUNT('Шаг2.Бланк заказа NEW'!$B$19:$B$201),'Бланк OLD 0.8 04'!$B$12:$K$200,7,0)&gt;1,0.8,
IF(VLOOKUP($A278-COUNT('Шаг2.Бланк заказа NEW'!$B$19:$B$201),'Бланк OLD 0.8 04'!$B$12:$K$200,8,0)&gt;1,0.4,
IF(AND(VLOOKUP($A278-COUNT('Шаг2.Бланк заказа NEW'!$B$19:$B$201),'Бланк OLD 0.8 04'!$B$12:$K$200,7,0)&gt;0,VLOOKUP($A278-COUNT('Шаг2.Бланк заказа NEW'!$B$19:$B$201),'Бланк OLD 0.8 04'!$B$12:$K$200,8,0)&gt;0),0.4,"")))),
IF(VLOOKUP($A278-COUNT('Шаг2.Бланк заказа NEW'!$B$19:$B$201)-COUNT('Бланк OLD 0.8 04'!$B$18:$B$200),'Бланк OLD 2.0 04 '!$B$16:$K$200,7,0)&gt;1,2,
IF(VLOOKUP($A278-COUNT('Шаг2.Бланк заказа NEW'!$B$19:$B$201)-COUNT('Бланк OLD 0.8 04'!$B$18:$B$200),'Бланк OLD 2.0 04 '!$B$16:$K$200,8,0)&gt;1,0.4,
IF(AND(VLOOKUP($A278-COUNT('Шаг2.Бланк заказа NEW'!$B$19:$B$201)-COUNT('Бланк OLD 0.8 04'!$B$18:$B$200),'Бланк OLD 2.0 04 '!$B$16:$K$200,7,0)&gt;0,VLOOKUP($A278-COUNT('Шаг2.Бланк заказа NEW'!$B$19:$B$201)-COUNT('Бланк OLD 0.8 04'!$B$18:$B$200),'Бланк OLD 2.0 04 '!$B$16:$K$200,8,0)&gt;0),0.4,""))))</f>
        <v/>
      </c>
      <c r="V278" s="146" t="str">
        <f ca="1">IFERROR(VLOOKUP(C278,'Шаг1.Выбор плиты'!C:S,12,0),"")</f>
        <v/>
      </c>
      <c r="W278" s="146" t="str">
        <f ca="1">IFERROR(VLOOKUP(C278,'Шаг1.Выбор плиты'!C:S,8,0),"")</f>
        <v/>
      </c>
      <c r="X278" s="146" t="str">
        <f ca="1">IFERROR(VLOOKUP(C278,'Шаг1.Выбор плиты'!C:S,10,0),"")</f>
        <v/>
      </c>
      <c r="Y278" s="147" t="str">
        <f t="shared" ca="1" si="23"/>
        <v/>
      </c>
      <c r="AD278" s="147" t="str">
        <f t="shared" ca="1" si="26"/>
        <v/>
      </c>
      <c r="AE278" s="147" t="str">
        <f t="shared" ca="1" si="24"/>
        <v/>
      </c>
      <c r="AF278" s="25"/>
      <c r="AH278" s="147" t="str">
        <f ca="1">IF(C278="","",VLOOKUP(C278,'Шаг1.Выбор плиты'!C:Q,7,0))</f>
        <v/>
      </c>
      <c r="AI278" s="147" t="str">
        <f t="shared" ca="1" si="27"/>
        <v/>
      </c>
    </row>
    <row r="279" spans="1:35" x14ac:dyDescent="0.2">
      <c r="A279" s="151" t="str">
        <f ca="1">IF(C279="","",MAX($A$1:OFFSET(C279,-1,0))+1)</f>
        <v/>
      </c>
      <c r="B279" s="151" t="str">
        <f ca="1">IFERROR(IFERROR(IFERROR("Шаг2.Бланк заказа NEW №"&amp;VLOOKUP(A278+1,CHOOSE({1,2},'Шаг2.Бланк заказа NEW'!$B$19:$B$201,'Шаг2.Бланк заказа NEW'!$A$19:$A$201),1,0),
"Бланк OLD 0.8 04 №"&amp;VLOOKUP(A278+1-COUNT('Шаг2.Бланк заказа NEW'!$B$19:$B$201),CHOOSE({1,2},'Бланк OLD 0.8 04'!$B$18:$B$200,'Бланк OLD 0.8 04'!$A$18:$A$200),1,0)),
"Бланк OLD 2.0 04 №"&amp;VLOOKUP(A278+1-COUNT('Шаг2.Бланк заказа NEW'!$B$19:$B$201)-COUNT('Бланк OLD 0.8 04'!$B$18:$B$200),CHOOSE({1,2},'Бланк OLD 2.0 04 '!$B$18:$B$200,'Бланк OLD 2.0 04 '!$A$18:$A$200),1,0)),"")</f>
        <v/>
      </c>
      <c r="C279" s="152" t="str">
        <f ca="1">IFERROR(IFERROR(IFERROR(VLOOKUP(A278+1,CHOOSE({1,2},'Шаг2.Бланк заказа NEW'!$B$19:$B$201,'Шаг2.Бланк заказа NEW'!$A$19:$A$201),2,0),
VLOOKUP(A278+1-COUNT('Шаг2.Бланк заказа NEW'!$B$19:$B$201),CHOOSE({1,2},'Бланк OLD 0.8 04'!$B$18:$B$200,'Бланк OLD 0.8 04'!$A$18:$A$200),2,0)),
VLOOKUP(A278+1-COUNT('Шаг2.Бланк заказа NEW'!$B$19:$B$201)-COUNT('Бланк OLD 0.8 04'!$B$18:$B$200),CHOOSE({1,2},'Бланк OLD 2.0 04 '!$B$18:$B$200,'Бланк OLD 2.0 04 '!$A$18:$A$200),2,0)),"")</f>
        <v/>
      </c>
      <c r="D279" s="150" t="str">
        <f ca="1">IFERROR(VLOOKUP(C279,'Шаг1.Выбор плиты'!C:G,5,0),"")</f>
        <v/>
      </c>
      <c r="E279" s="147" t="str">
        <f ca="1">IFERROR(IFERROR(IF(VLOOKUP($A279,'Шаг2.Бланк заказа NEW'!$B$17:$N$201,2,0)="","",VLOOKUP($A279,'Шаг2.Бланк заказа NEW'!$B$17:$N$201,2,0)),
IF(VLOOKUP($A279-COUNT('Шаг2.Бланк заказа NEW'!$B$19:$B$201),'Бланк OLD 0.8 04'!$B$12:$K$200,2,0)="","",VLOOKUP($A279-COUNT('Шаг2.Бланк заказа NEW'!$B$19:$B$201),'Бланк OLD 0.8 04'!$B$12:$K$200,2,0))),
IF(VLOOKUP($A279-COUNT('Шаг2.Бланк заказа NEW'!$B$19:$B$201)-COUNT('Бланк OLD 0.8 04'!$B$18:$B$200),'Бланк OLD 2.0 04 '!$B$16:$K$200,2,0)="","",VLOOKUP($A279-COUNT('Шаг2.Бланк заказа NEW'!$B$19:$B$201)-COUNT('Бланк OLD 0.8 04'!$B$18:$B$200),'Бланк OLD 2.0 04 '!$B$16:$K$200,2,0)))</f>
        <v/>
      </c>
      <c r="F279" s="147" t="str">
        <f ca="1">IFERROR(IFERROR(IF(VLOOKUP($A279,'Шаг2.Бланк заказа NEW'!$B$17:$N$201,3,0)="","",VLOOKUP($A279,'Шаг2.Бланк заказа NEW'!$B$17:$N$201,3,0)),
IF(VLOOKUP($A279-COUNT('Шаг2.Бланк заказа NEW'!$B$19:$B$201),'Бланк OLD 0.8 04'!$B$12:$K$200,3,0)="","",VLOOKUP($A279-COUNT('Шаг2.Бланк заказа NEW'!$B$19:$B$201),'Бланк OLD 0.8 04'!$B$12:$K$200,3,0))),
IF(VLOOKUP($A279-COUNT('Шаг2.Бланк заказа NEW'!$B$19:$B$201)-COUNT('Бланк OLD 0.8 04'!$B$18:$B$200),'Бланк OLD 2.0 04 '!$B$16:$K$200,3,0)="","",VLOOKUP($A279-COUNT('Шаг2.Бланк заказа NEW'!$B$19:$B$201)-COUNT('Бланк OLD 0.8 04'!$B$18:$B$200),'Бланк OLD 2.0 04 '!$B$16:$K$200,3,0)))</f>
        <v/>
      </c>
      <c r="G279" s="176" t="str">
        <f ca="1">IF(IF(R279="","",IF(R279=1,SUMIFS('Шаг1.Выбор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плиты'!C:Q,12,0)),1))))))=0,
R279,
IF(R279="","",IF(R279=1,SUMIFS('Шаг1.Выбор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плиты'!N:N,R279,'Шаг1.Выбор плиты'!M:M,SMALL(INDIRECT("мм"&amp;VLOOKUP(C279,'Шаг1.Выбор плиты'!C:Q,12,0)),1)))))))</f>
        <v/>
      </c>
      <c r="H279" s="177" t="str">
        <f ca="1">IF(IF(S279="","",IF(S279=1,SUMIFS('Шаг1.Выбор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плиты'!C:Q,12,0)),1))))))=0,
S279,
IF(S279="","",IF(S279=1,SUMIFS('Шаг1.Выбор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плиты'!N:N,S279,'Шаг1.Выбор плиты'!M:M,SMALL(INDIRECT("мм"&amp;VLOOKUP(C279,'Шаг1.Выбор плиты'!C:Q,12,0)),1)))))))</f>
        <v/>
      </c>
      <c r="I279" s="147" t="str">
        <f ca="1">IFERROR(IFERROR(IF(VLOOKUP($A279,'Шаг2.Бланк заказа NEW'!$B$17:$N$201,6,0)="","",VLOOKUP($A279,'Шаг2.Бланк заказа NEW'!$B$17:$N$201,6,0)),
IF(VLOOKUP($A279-COUNT('Шаг2.Бланк заказа NEW'!$B$19:$B$201),'Бланк OLD 0.8 04'!$B$12:$K$200,6,0)="","",VLOOKUP($A279-COUNT('Шаг2.Бланк заказа NEW'!$B$19:$B$201),'Бланк OLD 0.8 04'!$B$12:$K$200,6,0))),
IF(VLOOKUP($A279-COUNT('Шаг2.Бланк заказа NEW'!$B$19:$B$201)-COUNT('Бланк OLD 0.8 04'!$B$18:$B$200),'Бланк OLD 2.0 04 '!$B$16:$K$200,6,0)="","",VLOOKUP($A279-COUNT('Шаг2.Бланк заказа NEW'!$B$19:$B$201)-COUNT('Бланк OLD 0.8 04'!$B$18:$B$200),'Бланк OLD 2.0 04 '!$B$16:$K$200,6,0)))</f>
        <v/>
      </c>
      <c r="J279" s="177" t="str">
        <f ca="1">IF(IF(T279="","",IF(T279=1,SUMIFS('Шаг1.Выбор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плиты'!C:Q,12,0)),1))))))=0,
T279,
IF(T279="","",IF(T279=1,SUMIFS('Шаг1.Выбор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плиты'!N:N,T279,'Шаг1.Выбор плиты'!M:M,SMALL(INDIRECT("мм"&amp;VLOOKUP(C279,'Шаг1.Выбор плиты'!C:Q,12,0)),1)))))))</f>
        <v/>
      </c>
      <c r="K279" s="177" t="str">
        <f ca="1">IF(IF(U279="","",IF(U279=1,SUMIFS('Шаг1.Выбор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плиты'!C:Q,12,0)),1))))))=0,
U279,
IF(U279="","",IF(U279=1,SUMIFS('Шаг1.Выбор плиты'!$G:$G,'Шаг1.Выбор плиты'!J:J,"*"&amp;RIGHT(VLOOKUP(C279,'Шаг1.Выбор плиты'!C:Q,8,0),4),'Шаг1.Выбор плиты'!L:L,IF(MID(C279,1,6)="ЛДСП P","TM"&amp;MID(VLOOKUP(C279,'Шаг1.Выбор плиты'!C:Q,10,0),3,2),MID(VLOOKUP(C279,'Шаг1.Выбор плиты'!C:Q,10,0),1,2)),
'Шаг1.Выбор плиты'!N:N,1),IF(SUMIFS('Шаг1.Выбор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плиты'!C:Q,12,0)),1))=0,
IF(SUMIFS('Шаг1.Выбор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плиты'!C:Q,12,0)),2))=0,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плиты'!C:Q,12,0)),3)),
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плиты'!C:Q,12,0)),2))),
(SUMIFS('Шаг1.Выбор плиты'!$G:$G,'Шаг1.Выбор плиты'!J:J,"*"&amp;RIGHT(VLOOKUP(C279,'Шаг1.Выбор плиты'!C:Q,8,0),4),'Шаг1.Выбор плиты'!L:L,VLOOKUP(C279,'Шаг1.Выбор плиты'!C:Q,10,0),'Шаг1.Выбор плиты'!N:N,U279,'Шаг1.Выбор плиты'!M:M,SMALL(INDIRECT("мм"&amp;VLOOKUP(C279,'Шаг1.Выбор плиты'!C:Q,12,0)),1)))))))</f>
        <v/>
      </c>
      <c r="L279" s="147" t="str">
        <f ca="1">IFERROR(IFERROR(IF(VLOOKUP($A279,'Шаг2.Бланк заказа NEW'!$B$17:$N$201,9,0)="","",VLOOKUP($A279,'Шаг2.Бланк заказа NEW'!$B$17:$N$201,9,0)),
IF(VLOOKUP($A279-COUNT('Шаг2.Бланк заказа NEW'!$B$19:$B$201),'Бланк OLD 0.8 04'!$B$12:$K$200,9,0)="","",VLOOKUP($A279-COUNT('Шаг2.Бланк заказа NEW'!$B$19:$B$201),'Бланк OLD 0.8 04'!$B$12:$K$200,9,0))),
IF(VLOOKUP($A279-COUNT('Шаг2.Бланк заказа NEW'!$B$19:$B$201)-COUNT('Бланк OLD 0.8 04'!$B$18:$B$200),'Бланк OLD 2.0 04 '!$B$16:$K$200,9,0)="","",VLOOKUP($A279-COUNT('Шаг2.Бланк заказа NEW'!$B$19:$B$201)-COUNT('Бланк OLD 0.8 04'!$B$18:$B$200),'Бланк OLD 2.0 04 '!$B$16:$K$200,9,0)))</f>
        <v/>
      </c>
      <c r="M279" s="154" t="str">
        <f t="shared" ca="1" si="25"/>
        <v/>
      </c>
      <c r="N279" s="153" t="str">
        <f ca="1">IFERROR(IF(VLOOKUP($A279,'Шаг2.Бланк заказа NEW'!$B$17:$N$201,11,0)="","",VLOOKUP($A279,'Шаг2.Бланк заказа NEW'!$B$17:$N$201,11,0)),
"Нет")</f>
        <v/>
      </c>
      <c r="O279" s="147" t="str">
        <f ca="1">IFERROR(IF(VLOOKUP($A279,'Шаг2.Бланк заказа NEW'!$B$17:$N$201,11,0)="","",VLOOKUP($A279,'Шаг2.Бланк заказа NEW'!$B$17:$N$201,12,0)),
"Нет")</f>
        <v/>
      </c>
      <c r="P279" s="153" t="str">
        <f ca="1">IFERROR(IF(VLOOKUP($A279,'Шаг2.Бланк заказа NEW'!$B$17:$N$201,13,0)="","",VLOOKUP($A279,'Шаг2.Бланк заказа NEW'!$B$17:$N$201,13,0)),
"Нет")</f>
        <v/>
      </c>
      <c r="Q279" s="147" t="str">
        <f ca="1">IFERROR(IF(VLOOKUP($A279,'Шаг2.Бланк заказа NEW'!$B$17:$O$201,14,0)="","",VLOOKUP($A279,'Шаг2.Бланк заказа NEW'!$B$17:$O$201,14,0)),"")</f>
        <v/>
      </c>
      <c r="R279" s="147" t="str">
        <f ca="1">IFERROR(IFERROR(IF(VLOOKUP($A279,'Шаг2.Бланк заказа NEW'!$B$17:$N$201,4,0)="","",VLOOKUP($A279,'Шаг2.Бланк заказа NEW'!$B$17:$N$201,4,0)),
IF(VLOOKUP($A279-COUNT('Шаг2.Бланк заказа NEW'!$B$19:$B$201),'Бланк OLD 0.8 04'!$B$12:$K$200,4,0)&gt;0,0.8,
IF(VLOOKUP($A279-COUNT('Шаг2.Бланк заказа NEW'!$B$19:$B$201),'Бланк OLD 0.8 04'!$B$12:$K$200,5,0)&gt;0,0.4,""))),
IF(VLOOKUP($A279-COUNT('Шаг2.Бланк заказа NEW'!$B$19:$B$201)-COUNT('Бланк OLD 0.8 04'!$B$18:$B$200),'Бланк OLD 2.0 04 '!$B$16:$K$200,4,0)&gt;0,2,IF(VLOOKUP($A279-COUNT('Шаг2.Бланк заказа NEW'!$B$19:$B$201)-COUNT('Бланк OLD 0.8 04'!$B$18:$B$200),'Бланк OLD 2.0 04 '!$B$16:$K$200,5,0)&gt;0,0.4,"")))</f>
        <v/>
      </c>
      <c r="S279" s="147" t="str">
        <f ca="1">IFERROR(IFERROR(IF(VLOOKUP($A279,'Шаг2.Бланк заказа NEW'!$B$17:$N$201,5,0)="","",VLOOKUP($A279,'Шаг2.Бланк заказа NEW'!$B$17:$N$201,5,0)),
IF(VLOOKUP($A279-COUNT('Шаг2.Бланк заказа NEW'!$B$19:$B$201),'Бланк OLD 0.8 04'!$B$12:$K$200,4,0)&gt;1,0.8,
IF(VLOOKUP($A279-COUNT('Шаг2.Бланк заказа NEW'!$B$19:$B$201),'Бланк OLD 0.8 04'!$B$12:$K$200,5,0)&gt;1,0.4,
IF(AND(VLOOKUP($A279-COUNT('Шаг2.Бланк заказа NEW'!$B$19:$B$201),'Бланк OLD 0.8 04'!$B$12:$K$200,4,0)&gt;0,VLOOKUP($A279-COUNT('Шаг2.Бланк заказа NEW'!$B$19:$B$201),'Бланк OLD 0.8 04'!$B$12:$K$200,5,0)&gt;0),0.4,"")))),
IF(VLOOKUP($A279-COUNT('Шаг2.Бланк заказа NEW'!$B$19:$B$201)-COUNT('Бланк OLD 0.8 04'!$B$18:$B$200),'Бланк OLD 2.0 04 '!$B$16:$K$200,4,0)&gt;1,2,
IF(VLOOKUP($A279-COUNT('Шаг2.Бланк заказа NEW'!$B$19:$B$201)-COUNT('Бланк OLD 0.8 04'!$B$18:$B$200),'Бланк OLD 2.0 04 '!$B$16:$K$200,5,0)&gt;1,0.4,IF(AND(VLOOKUP($A279-COUNT('Шаг2.Бланк заказа NEW'!$B$19:$B$201)-COUNT('Бланк OLD 0.8 04'!$B$18:$B$200),'Бланк OLD 2.0 04 '!$B$16:$K$200,4,0)&gt;0,VLOOKUP($A279-COUNT('Шаг2.Бланк заказа NEW'!$B$19:$B$201)-COUNT('Бланк OLD 0.8 04'!$B$18:$B$200),'Бланк OLD 2.0 04 '!$B$16:$K$200,5,0)&gt;0),0.4,""))))</f>
        <v/>
      </c>
      <c r="T279" s="147" t="str">
        <f ca="1">IFERROR(IFERROR(IF(VLOOKUP($A279,'Шаг2.Бланк заказа NEW'!$B$17:$N$201,7,0)="","",VLOOKUP($A279,'Шаг2.Бланк заказа NEW'!$B$17:$N$201,7,0)),
IF(VLOOKUP($A279-COUNT('Шаг2.Бланк заказа NEW'!$B$19:$B$201),'Бланк OLD 0.8 04'!$B$12:$K$200,7,0)&gt;0,0.8,
IF(VLOOKUP($A279-COUNT('Шаг2.Бланк заказа NEW'!$B$19:$B$201),'Бланк OLD 0.8 04'!$B$12:$K$200,8,0)&gt;0,0.4,""))),
IF(VLOOKUP($A279-COUNT('Шаг2.Бланк заказа NEW'!$B$19:$B$201)-COUNT('Бланк OLD 0.8 04'!$B$18:$B$200),'Бланк OLD 2.0 04 '!$B$16:$K$200,7,0)&gt;0,2,IF(VLOOKUP($A279-COUNT('Шаг2.Бланк заказа NEW'!$B$19:$B$201)-COUNT('Бланк OLD 0.8 04'!$B$18:$B$200),'Бланк OLD 2.0 04 '!$B$16:$K$200,8,0)&gt;0,0.4,"")))</f>
        <v/>
      </c>
      <c r="U279" s="147" t="str">
        <f ca="1">IFERROR(IFERROR(IF(VLOOKUP($A279,'Шаг2.Бланк заказа NEW'!$B$17:$N$201,8,0)="","",VLOOKUP($A279,'Шаг2.Бланк заказа NEW'!$B$17:$N$201,8,0)),
IF(VLOOKUP($A279-COUNT('Шаг2.Бланк заказа NEW'!$B$19:$B$201),'Бланк OLD 0.8 04'!$B$12:$K$200,7,0)&gt;1,0.8,
IF(VLOOKUP($A279-COUNT('Шаг2.Бланк заказа NEW'!$B$19:$B$201),'Бланк OLD 0.8 04'!$B$12:$K$200,8,0)&gt;1,0.4,
IF(AND(VLOOKUP($A279-COUNT('Шаг2.Бланк заказа NEW'!$B$19:$B$201),'Бланк OLD 0.8 04'!$B$12:$K$200,7,0)&gt;0,VLOOKUP($A279-COUNT('Шаг2.Бланк заказа NEW'!$B$19:$B$201),'Бланк OLD 0.8 04'!$B$12:$K$200,8,0)&gt;0),0.4,"")))),
IF(VLOOKUP($A279-COUNT('Шаг2.Бланк заказа NEW'!$B$19:$B$201)-COUNT('Бланк OLD 0.8 04'!$B$18:$B$200),'Бланк OLD 2.0 04 '!$B$16:$K$200,7,0)&gt;1,2,
IF(VLOOKUP($A279-COUNT('Шаг2.Бланк заказа NEW'!$B$19:$B$201)-COUNT('Бланк OLD 0.8 04'!$B$18:$B$200),'Бланк OLD 2.0 04 '!$B$16:$K$200,8,0)&gt;1,0.4,
IF(AND(VLOOKUP($A279-COUNT('Шаг2.Бланк заказа NEW'!$B$19:$B$201)-COUNT('Бланк OLD 0.8 04'!$B$18:$B$200),'Бланк OLD 2.0 04 '!$B$16:$K$200,7,0)&gt;0,VLOOKUP($A279-COUNT('Шаг2.Бланк заказа NEW'!$B$19:$B$201)-COUNT('Бланк OLD 0.8 04'!$B$18:$B$200),'Бланк OLD 2.0 04 '!$B$16:$K$200,8,0)&gt;0),0.4,""))))</f>
        <v/>
      </c>
      <c r="V279" s="146" t="str">
        <f ca="1">IFERROR(VLOOKUP(C279,'Шаг1.Выбор плиты'!C:S,12,0),"")</f>
        <v/>
      </c>
      <c r="W279" s="146" t="str">
        <f ca="1">IFERROR(VLOOKUP(C279,'Шаг1.Выбор плиты'!C:S,8,0),"")</f>
        <v/>
      </c>
      <c r="X279" s="146" t="str">
        <f ca="1">IFERROR(VLOOKUP(C279,'Шаг1.Выбор плиты'!C:S,10,0),"")</f>
        <v/>
      </c>
      <c r="Y279" s="147" t="str">
        <f t="shared" ca="1" si="23"/>
        <v/>
      </c>
      <c r="AD279" s="147" t="str">
        <f t="shared" ca="1" si="26"/>
        <v/>
      </c>
      <c r="AE279" s="147" t="str">
        <f t="shared" ca="1" si="24"/>
        <v/>
      </c>
      <c r="AF279" s="25"/>
      <c r="AH279" s="147" t="str">
        <f ca="1">IF(C279="","",VLOOKUP(C279,'Шаг1.Выбор плиты'!C:Q,7,0))</f>
        <v/>
      </c>
      <c r="AI279" s="147" t="str">
        <f t="shared" ca="1" si="27"/>
        <v/>
      </c>
    </row>
    <row r="280" spans="1:35" x14ac:dyDescent="0.2">
      <c r="A280" s="151" t="str">
        <f ca="1">IF(C280="","",MAX($A$1:OFFSET(C280,-1,0))+1)</f>
        <v/>
      </c>
      <c r="B280" s="151" t="str">
        <f ca="1">IFERROR(IFERROR(IFERROR("Шаг2.Бланк заказа NEW №"&amp;VLOOKUP(A279+1,CHOOSE({1,2},'Шаг2.Бланк заказа NEW'!$B$19:$B$201,'Шаг2.Бланк заказа NEW'!$A$19:$A$201),1,0),
"Бланк OLD 0.8 04 №"&amp;VLOOKUP(A279+1-COUNT('Шаг2.Бланк заказа NEW'!$B$19:$B$201),CHOOSE({1,2},'Бланк OLD 0.8 04'!$B$18:$B$200,'Бланк OLD 0.8 04'!$A$18:$A$200),1,0)),
"Бланк OLD 2.0 04 №"&amp;VLOOKUP(A279+1-COUNT('Шаг2.Бланк заказа NEW'!$B$19:$B$201)-COUNT('Бланк OLD 0.8 04'!$B$18:$B$200),CHOOSE({1,2},'Бланк OLD 2.0 04 '!$B$18:$B$200,'Бланк OLD 2.0 04 '!$A$18:$A$200),1,0)),"")</f>
        <v/>
      </c>
      <c r="C280" s="152" t="str">
        <f ca="1">IFERROR(IFERROR(IFERROR(VLOOKUP(A279+1,CHOOSE({1,2},'Шаг2.Бланк заказа NEW'!$B$19:$B$201,'Шаг2.Бланк заказа NEW'!$A$19:$A$201),2,0),
VLOOKUP(A279+1-COUNT('Шаг2.Бланк заказа NEW'!$B$19:$B$201),CHOOSE({1,2},'Бланк OLD 0.8 04'!$B$18:$B$200,'Бланк OLD 0.8 04'!$A$18:$A$200),2,0)),
VLOOKUP(A279+1-COUNT('Шаг2.Бланк заказа NEW'!$B$19:$B$201)-COUNT('Бланк OLD 0.8 04'!$B$18:$B$200),CHOOSE({1,2},'Бланк OLD 2.0 04 '!$B$18:$B$200,'Бланк OLD 2.0 04 '!$A$18:$A$200),2,0)),"")</f>
        <v/>
      </c>
      <c r="D280" s="150" t="str">
        <f ca="1">IFERROR(VLOOKUP(C280,'Шаг1.Выбор плиты'!C:G,5,0),"")</f>
        <v/>
      </c>
      <c r="E280" s="147" t="str">
        <f ca="1">IFERROR(IFERROR(IF(VLOOKUP($A280,'Шаг2.Бланк заказа NEW'!$B$17:$N$201,2,0)="","",VLOOKUP($A280,'Шаг2.Бланк заказа NEW'!$B$17:$N$201,2,0)),
IF(VLOOKUP($A280-COUNT('Шаг2.Бланк заказа NEW'!$B$19:$B$201),'Бланк OLD 0.8 04'!$B$12:$K$200,2,0)="","",VLOOKUP($A280-COUNT('Шаг2.Бланк заказа NEW'!$B$19:$B$201),'Бланк OLD 0.8 04'!$B$12:$K$200,2,0))),
IF(VLOOKUP($A280-COUNT('Шаг2.Бланк заказа NEW'!$B$19:$B$201)-COUNT('Бланк OLD 0.8 04'!$B$18:$B$200),'Бланк OLD 2.0 04 '!$B$16:$K$200,2,0)="","",VLOOKUP($A280-COUNT('Шаг2.Бланк заказа NEW'!$B$19:$B$201)-COUNT('Бланк OLD 0.8 04'!$B$18:$B$200),'Бланк OLD 2.0 04 '!$B$16:$K$200,2,0)))</f>
        <v/>
      </c>
      <c r="F280" s="147" t="str">
        <f ca="1">IFERROR(IFERROR(IF(VLOOKUP($A280,'Шаг2.Бланк заказа NEW'!$B$17:$N$201,3,0)="","",VLOOKUP($A280,'Шаг2.Бланк заказа NEW'!$B$17:$N$201,3,0)),
IF(VLOOKUP($A280-COUNT('Шаг2.Бланк заказа NEW'!$B$19:$B$201),'Бланк OLD 0.8 04'!$B$12:$K$200,3,0)="","",VLOOKUP($A280-COUNT('Шаг2.Бланк заказа NEW'!$B$19:$B$201),'Бланк OLD 0.8 04'!$B$12:$K$200,3,0))),
IF(VLOOKUP($A280-COUNT('Шаг2.Бланк заказа NEW'!$B$19:$B$201)-COUNT('Бланк OLD 0.8 04'!$B$18:$B$200),'Бланк OLD 2.0 04 '!$B$16:$K$200,3,0)="","",VLOOKUP($A280-COUNT('Шаг2.Бланк заказа NEW'!$B$19:$B$201)-COUNT('Бланк OLD 0.8 04'!$B$18:$B$200),'Бланк OLD 2.0 04 '!$B$16:$K$200,3,0)))</f>
        <v/>
      </c>
      <c r="G280" s="176" t="str">
        <f ca="1">IF(IF(R280="","",IF(R280=1,SUMIFS('Шаг1.Выбор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плиты'!C:Q,12,0)),1))))))=0,
R280,
IF(R280="","",IF(R280=1,SUMIFS('Шаг1.Выбор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плиты'!N:N,R280,'Шаг1.Выбор плиты'!M:M,SMALL(INDIRECT("мм"&amp;VLOOKUP(C280,'Шаг1.Выбор плиты'!C:Q,12,0)),1)))))))</f>
        <v/>
      </c>
      <c r="H280" s="177" t="str">
        <f ca="1">IF(IF(S280="","",IF(S280=1,SUMIFS('Шаг1.Выбор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плиты'!C:Q,12,0)),1))))))=0,
S280,
IF(S280="","",IF(S280=1,SUMIFS('Шаг1.Выбор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плиты'!N:N,S280,'Шаг1.Выбор плиты'!M:M,SMALL(INDIRECT("мм"&amp;VLOOKUP(C280,'Шаг1.Выбор плиты'!C:Q,12,0)),1)))))))</f>
        <v/>
      </c>
      <c r="I280" s="147" t="str">
        <f ca="1">IFERROR(IFERROR(IF(VLOOKUP($A280,'Шаг2.Бланк заказа NEW'!$B$17:$N$201,6,0)="","",VLOOKUP($A280,'Шаг2.Бланк заказа NEW'!$B$17:$N$201,6,0)),
IF(VLOOKUP($A280-COUNT('Шаг2.Бланк заказа NEW'!$B$19:$B$201),'Бланк OLD 0.8 04'!$B$12:$K$200,6,0)="","",VLOOKUP($A280-COUNT('Шаг2.Бланк заказа NEW'!$B$19:$B$201),'Бланк OLD 0.8 04'!$B$12:$K$200,6,0))),
IF(VLOOKUP($A280-COUNT('Шаг2.Бланк заказа NEW'!$B$19:$B$201)-COUNT('Бланк OLD 0.8 04'!$B$18:$B$200),'Бланк OLD 2.0 04 '!$B$16:$K$200,6,0)="","",VLOOKUP($A280-COUNT('Шаг2.Бланк заказа NEW'!$B$19:$B$201)-COUNT('Бланк OLD 0.8 04'!$B$18:$B$200),'Бланк OLD 2.0 04 '!$B$16:$K$200,6,0)))</f>
        <v/>
      </c>
      <c r="J280" s="177" t="str">
        <f ca="1">IF(IF(T280="","",IF(T280=1,SUMIFS('Шаг1.Выбор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плиты'!C:Q,12,0)),1))))))=0,
T280,
IF(T280="","",IF(T280=1,SUMIFS('Шаг1.Выбор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плиты'!N:N,T280,'Шаг1.Выбор плиты'!M:M,SMALL(INDIRECT("мм"&amp;VLOOKUP(C280,'Шаг1.Выбор плиты'!C:Q,12,0)),1)))))))</f>
        <v/>
      </c>
      <c r="K280" s="177" t="str">
        <f ca="1">IF(IF(U280="","",IF(U280=1,SUMIFS('Шаг1.Выбор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плиты'!C:Q,12,0)),1))))))=0,
U280,
IF(U280="","",IF(U280=1,SUMIFS('Шаг1.Выбор плиты'!$G:$G,'Шаг1.Выбор плиты'!J:J,"*"&amp;RIGHT(VLOOKUP(C280,'Шаг1.Выбор плиты'!C:Q,8,0),4),'Шаг1.Выбор плиты'!L:L,IF(MID(C280,1,6)="ЛДСП P","TM"&amp;MID(VLOOKUP(C280,'Шаг1.Выбор плиты'!C:Q,10,0),3,2),MID(VLOOKUP(C280,'Шаг1.Выбор плиты'!C:Q,10,0),1,2)),
'Шаг1.Выбор плиты'!N:N,1),IF(SUMIFS('Шаг1.Выбор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плиты'!C:Q,12,0)),1))=0,
IF(SUMIFS('Шаг1.Выбор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плиты'!C:Q,12,0)),2))=0,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плиты'!C:Q,12,0)),3)),
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плиты'!C:Q,12,0)),2))),
(SUMIFS('Шаг1.Выбор плиты'!$G:$G,'Шаг1.Выбор плиты'!J:J,"*"&amp;RIGHT(VLOOKUP(C280,'Шаг1.Выбор плиты'!C:Q,8,0),4),'Шаг1.Выбор плиты'!L:L,VLOOKUP(C280,'Шаг1.Выбор плиты'!C:Q,10,0),'Шаг1.Выбор плиты'!N:N,U280,'Шаг1.Выбор плиты'!M:M,SMALL(INDIRECT("мм"&amp;VLOOKUP(C280,'Шаг1.Выбор плиты'!C:Q,12,0)),1)))))))</f>
        <v/>
      </c>
      <c r="L280" s="147" t="str">
        <f ca="1">IFERROR(IFERROR(IF(VLOOKUP($A280,'Шаг2.Бланк заказа NEW'!$B$17:$N$201,9,0)="","",VLOOKUP($A280,'Шаг2.Бланк заказа NEW'!$B$17:$N$201,9,0)),
IF(VLOOKUP($A280-COUNT('Шаг2.Бланк заказа NEW'!$B$19:$B$201),'Бланк OLD 0.8 04'!$B$12:$K$200,9,0)="","",VLOOKUP($A280-COUNT('Шаг2.Бланк заказа NEW'!$B$19:$B$201),'Бланк OLD 0.8 04'!$B$12:$K$200,9,0))),
IF(VLOOKUP($A280-COUNT('Шаг2.Бланк заказа NEW'!$B$19:$B$201)-COUNT('Бланк OLD 0.8 04'!$B$18:$B$200),'Бланк OLD 2.0 04 '!$B$16:$K$200,9,0)="","",VLOOKUP($A280-COUNT('Шаг2.Бланк заказа NEW'!$B$19:$B$201)-COUNT('Бланк OLD 0.8 04'!$B$18:$B$200),'Бланк OLD 2.0 04 '!$B$16:$K$200,9,0)))</f>
        <v/>
      </c>
      <c r="M280" s="154" t="str">
        <f t="shared" ca="1" si="25"/>
        <v/>
      </c>
      <c r="N280" s="153" t="str">
        <f ca="1">IFERROR(IF(VLOOKUP($A280,'Шаг2.Бланк заказа NEW'!$B$17:$N$201,11,0)="","",VLOOKUP($A280,'Шаг2.Бланк заказа NEW'!$B$17:$N$201,11,0)),
"Нет")</f>
        <v/>
      </c>
      <c r="O280" s="147" t="str">
        <f ca="1">IFERROR(IF(VLOOKUP($A280,'Шаг2.Бланк заказа NEW'!$B$17:$N$201,11,0)="","",VLOOKUP($A280,'Шаг2.Бланк заказа NEW'!$B$17:$N$201,12,0)),
"Нет")</f>
        <v/>
      </c>
      <c r="P280" s="153" t="str">
        <f ca="1">IFERROR(IF(VLOOKUP($A280,'Шаг2.Бланк заказа NEW'!$B$17:$N$201,13,0)="","",VLOOKUP($A280,'Шаг2.Бланк заказа NEW'!$B$17:$N$201,13,0)),
"Нет")</f>
        <v/>
      </c>
      <c r="Q280" s="147" t="str">
        <f ca="1">IFERROR(IF(VLOOKUP($A280,'Шаг2.Бланк заказа NEW'!$B$17:$O$201,14,0)="","",VLOOKUP($A280,'Шаг2.Бланк заказа NEW'!$B$17:$O$201,14,0)),"")</f>
        <v/>
      </c>
      <c r="R280" s="147" t="str">
        <f ca="1">IFERROR(IFERROR(IF(VLOOKUP($A280,'Шаг2.Бланк заказа NEW'!$B$17:$N$201,4,0)="","",VLOOKUP($A280,'Шаг2.Бланк заказа NEW'!$B$17:$N$201,4,0)),
IF(VLOOKUP($A280-COUNT('Шаг2.Бланк заказа NEW'!$B$19:$B$201),'Бланк OLD 0.8 04'!$B$12:$K$200,4,0)&gt;0,0.8,
IF(VLOOKUP($A280-COUNT('Шаг2.Бланк заказа NEW'!$B$19:$B$201),'Бланк OLD 0.8 04'!$B$12:$K$200,5,0)&gt;0,0.4,""))),
IF(VLOOKUP($A280-COUNT('Шаг2.Бланк заказа NEW'!$B$19:$B$201)-COUNT('Бланк OLD 0.8 04'!$B$18:$B$200),'Бланк OLD 2.0 04 '!$B$16:$K$200,4,0)&gt;0,2,IF(VLOOKUP($A280-COUNT('Шаг2.Бланк заказа NEW'!$B$19:$B$201)-COUNT('Бланк OLD 0.8 04'!$B$18:$B$200),'Бланк OLD 2.0 04 '!$B$16:$K$200,5,0)&gt;0,0.4,"")))</f>
        <v/>
      </c>
      <c r="S280" s="147" t="str">
        <f ca="1">IFERROR(IFERROR(IF(VLOOKUP($A280,'Шаг2.Бланк заказа NEW'!$B$17:$N$201,5,0)="","",VLOOKUP($A280,'Шаг2.Бланк заказа NEW'!$B$17:$N$201,5,0)),
IF(VLOOKUP($A280-COUNT('Шаг2.Бланк заказа NEW'!$B$19:$B$201),'Бланк OLD 0.8 04'!$B$12:$K$200,4,0)&gt;1,0.8,
IF(VLOOKUP($A280-COUNT('Шаг2.Бланк заказа NEW'!$B$19:$B$201),'Бланк OLD 0.8 04'!$B$12:$K$200,5,0)&gt;1,0.4,
IF(AND(VLOOKUP($A280-COUNT('Шаг2.Бланк заказа NEW'!$B$19:$B$201),'Бланк OLD 0.8 04'!$B$12:$K$200,4,0)&gt;0,VLOOKUP($A280-COUNT('Шаг2.Бланк заказа NEW'!$B$19:$B$201),'Бланк OLD 0.8 04'!$B$12:$K$200,5,0)&gt;0),0.4,"")))),
IF(VLOOKUP($A280-COUNT('Шаг2.Бланк заказа NEW'!$B$19:$B$201)-COUNT('Бланк OLD 0.8 04'!$B$18:$B$200),'Бланк OLD 2.0 04 '!$B$16:$K$200,4,0)&gt;1,2,
IF(VLOOKUP($A280-COUNT('Шаг2.Бланк заказа NEW'!$B$19:$B$201)-COUNT('Бланк OLD 0.8 04'!$B$18:$B$200),'Бланк OLD 2.0 04 '!$B$16:$K$200,5,0)&gt;1,0.4,IF(AND(VLOOKUP($A280-COUNT('Шаг2.Бланк заказа NEW'!$B$19:$B$201)-COUNT('Бланк OLD 0.8 04'!$B$18:$B$200),'Бланк OLD 2.0 04 '!$B$16:$K$200,4,0)&gt;0,VLOOKUP($A280-COUNT('Шаг2.Бланк заказа NEW'!$B$19:$B$201)-COUNT('Бланк OLD 0.8 04'!$B$18:$B$200),'Бланк OLD 2.0 04 '!$B$16:$K$200,5,0)&gt;0),0.4,""))))</f>
        <v/>
      </c>
      <c r="T280" s="147" t="str">
        <f ca="1">IFERROR(IFERROR(IF(VLOOKUP($A280,'Шаг2.Бланк заказа NEW'!$B$17:$N$201,7,0)="","",VLOOKUP($A280,'Шаг2.Бланк заказа NEW'!$B$17:$N$201,7,0)),
IF(VLOOKUP($A280-COUNT('Шаг2.Бланк заказа NEW'!$B$19:$B$201),'Бланк OLD 0.8 04'!$B$12:$K$200,7,0)&gt;0,0.8,
IF(VLOOKUP($A280-COUNT('Шаг2.Бланк заказа NEW'!$B$19:$B$201),'Бланк OLD 0.8 04'!$B$12:$K$200,8,0)&gt;0,0.4,""))),
IF(VLOOKUP($A280-COUNT('Шаг2.Бланк заказа NEW'!$B$19:$B$201)-COUNT('Бланк OLD 0.8 04'!$B$18:$B$200),'Бланк OLD 2.0 04 '!$B$16:$K$200,7,0)&gt;0,2,IF(VLOOKUP($A280-COUNT('Шаг2.Бланк заказа NEW'!$B$19:$B$201)-COUNT('Бланк OLD 0.8 04'!$B$18:$B$200),'Бланк OLD 2.0 04 '!$B$16:$K$200,8,0)&gt;0,0.4,"")))</f>
        <v/>
      </c>
      <c r="U280" s="147" t="str">
        <f ca="1">IFERROR(IFERROR(IF(VLOOKUP($A280,'Шаг2.Бланк заказа NEW'!$B$17:$N$201,8,0)="","",VLOOKUP($A280,'Шаг2.Бланк заказа NEW'!$B$17:$N$201,8,0)),
IF(VLOOKUP($A280-COUNT('Шаг2.Бланк заказа NEW'!$B$19:$B$201),'Бланк OLD 0.8 04'!$B$12:$K$200,7,0)&gt;1,0.8,
IF(VLOOKUP($A280-COUNT('Шаг2.Бланк заказа NEW'!$B$19:$B$201),'Бланк OLD 0.8 04'!$B$12:$K$200,8,0)&gt;1,0.4,
IF(AND(VLOOKUP($A280-COUNT('Шаг2.Бланк заказа NEW'!$B$19:$B$201),'Бланк OLD 0.8 04'!$B$12:$K$200,7,0)&gt;0,VLOOKUP($A280-COUNT('Шаг2.Бланк заказа NEW'!$B$19:$B$201),'Бланк OLD 0.8 04'!$B$12:$K$200,8,0)&gt;0),0.4,"")))),
IF(VLOOKUP($A280-COUNT('Шаг2.Бланк заказа NEW'!$B$19:$B$201)-COUNT('Бланк OLD 0.8 04'!$B$18:$B$200),'Бланк OLD 2.0 04 '!$B$16:$K$200,7,0)&gt;1,2,
IF(VLOOKUP($A280-COUNT('Шаг2.Бланк заказа NEW'!$B$19:$B$201)-COUNT('Бланк OLD 0.8 04'!$B$18:$B$200),'Бланк OLD 2.0 04 '!$B$16:$K$200,8,0)&gt;1,0.4,
IF(AND(VLOOKUP($A280-COUNT('Шаг2.Бланк заказа NEW'!$B$19:$B$201)-COUNT('Бланк OLD 0.8 04'!$B$18:$B$200),'Бланк OLD 2.0 04 '!$B$16:$K$200,7,0)&gt;0,VLOOKUP($A280-COUNT('Шаг2.Бланк заказа NEW'!$B$19:$B$201)-COUNT('Бланк OLD 0.8 04'!$B$18:$B$200),'Бланк OLD 2.0 04 '!$B$16:$K$200,8,0)&gt;0),0.4,""))))</f>
        <v/>
      </c>
      <c r="V280" s="146" t="str">
        <f ca="1">IFERROR(VLOOKUP(C280,'Шаг1.Выбор плиты'!C:S,12,0),"")</f>
        <v/>
      </c>
      <c r="W280" s="146" t="str">
        <f ca="1">IFERROR(VLOOKUP(C280,'Шаг1.Выбор плиты'!C:S,8,0),"")</f>
        <v/>
      </c>
      <c r="X280" s="146" t="str">
        <f ca="1">IFERROR(VLOOKUP(C280,'Шаг1.Выбор плиты'!C:S,10,0),"")</f>
        <v/>
      </c>
      <c r="Y280" s="147" t="str">
        <f t="shared" ca="1" si="23"/>
        <v/>
      </c>
      <c r="AD280" s="147" t="str">
        <f t="shared" ca="1" si="26"/>
        <v/>
      </c>
      <c r="AE280" s="147" t="str">
        <f t="shared" ca="1" si="24"/>
        <v/>
      </c>
      <c r="AF280" s="25"/>
      <c r="AH280" s="147" t="str">
        <f ca="1">IF(C280="","",VLOOKUP(C280,'Шаг1.Выбор плиты'!C:Q,7,0))</f>
        <v/>
      </c>
      <c r="AI280" s="147" t="str">
        <f t="shared" ca="1" si="27"/>
        <v/>
      </c>
    </row>
    <row r="281" spans="1:35" x14ac:dyDescent="0.2">
      <c r="A281" s="151" t="str">
        <f ca="1">IF(C281="","",MAX($A$1:OFFSET(C281,-1,0))+1)</f>
        <v/>
      </c>
      <c r="B281" s="151" t="str">
        <f ca="1">IFERROR(IFERROR(IFERROR("Шаг2.Бланк заказа NEW №"&amp;VLOOKUP(A280+1,CHOOSE({1,2},'Шаг2.Бланк заказа NEW'!$B$19:$B$201,'Шаг2.Бланк заказа NEW'!$A$19:$A$201),1,0),
"Бланк OLD 0.8 04 №"&amp;VLOOKUP(A280+1-COUNT('Шаг2.Бланк заказа NEW'!$B$19:$B$201),CHOOSE({1,2},'Бланк OLD 0.8 04'!$B$18:$B$200,'Бланк OLD 0.8 04'!$A$18:$A$200),1,0)),
"Бланк OLD 2.0 04 №"&amp;VLOOKUP(A280+1-COUNT('Шаг2.Бланк заказа NEW'!$B$19:$B$201)-COUNT('Бланк OLD 0.8 04'!$B$18:$B$200),CHOOSE({1,2},'Бланк OLD 2.0 04 '!$B$18:$B$200,'Бланк OLD 2.0 04 '!$A$18:$A$200),1,0)),"")</f>
        <v/>
      </c>
      <c r="C281" s="152" t="str">
        <f ca="1">IFERROR(IFERROR(IFERROR(VLOOKUP(A280+1,CHOOSE({1,2},'Шаг2.Бланк заказа NEW'!$B$19:$B$201,'Шаг2.Бланк заказа NEW'!$A$19:$A$201),2,0),
VLOOKUP(A280+1-COUNT('Шаг2.Бланк заказа NEW'!$B$19:$B$201),CHOOSE({1,2},'Бланк OLD 0.8 04'!$B$18:$B$200,'Бланк OLD 0.8 04'!$A$18:$A$200),2,0)),
VLOOKUP(A280+1-COUNT('Шаг2.Бланк заказа NEW'!$B$19:$B$201)-COUNT('Бланк OLD 0.8 04'!$B$18:$B$200),CHOOSE({1,2},'Бланк OLD 2.0 04 '!$B$18:$B$200,'Бланк OLD 2.0 04 '!$A$18:$A$200),2,0)),"")</f>
        <v/>
      </c>
      <c r="D281" s="150" t="str">
        <f ca="1">IFERROR(VLOOKUP(C281,'Шаг1.Выбор плиты'!C:G,5,0),"")</f>
        <v/>
      </c>
      <c r="E281" s="147" t="str">
        <f ca="1">IFERROR(IFERROR(IF(VLOOKUP($A281,'Шаг2.Бланк заказа NEW'!$B$17:$N$201,2,0)="","",VLOOKUP($A281,'Шаг2.Бланк заказа NEW'!$B$17:$N$201,2,0)),
IF(VLOOKUP($A281-COUNT('Шаг2.Бланк заказа NEW'!$B$19:$B$201),'Бланк OLD 0.8 04'!$B$12:$K$200,2,0)="","",VLOOKUP($A281-COUNT('Шаг2.Бланк заказа NEW'!$B$19:$B$201),'Бланк OLD 0.8 04'!$B$12:$K$200,2,0))),
IF(VLOOKUP($A281-COUNT('Шаг2.Бланк заказа NEW'!$B$19:$B$201)-COUNT('Бланк OLD 0.8 04'!$B$18:$B$200),'Бланк OLD 2.0 04 '!$B$16:$K$200,2,0)="","",VLOOKUP($A281-COUNT('Шаг2.Бланк заказа NEW'!$B$19:$B$201)-COUNT('Бланк OLD 0.8 04'!$B$18:$B$200),'Бланк OLD 2.0 04 '!$B$16:$K$200,2,0)))</f>
        <v/>
      </c>
      <c r="F281" s="147" t="str">
        <f ca="1">IFERROR(IFERROR(IF(VLOOKUP($A281,'Шаг2.Бланк заказа NEW'!$B$17:$N$201,3,0)="","",VLOOKUP($A281,'Шаг2.Бланк заказа NEW'!$B$17:$N$201,3,0)),
IF(VLOOKUP($A281-COUNT('Шаг2.Бланк заказа NEW'!$B$19:$B$201),'Бланк OLD 0.8 04'!$B$12:$K$200,3,0)="","",VLOOKUP($A281-COUNT('Шаг2.Бланк заказа NEW'!$B$19:$B$201),'Бланк OLD 0.8 04'!$B$12:$K$200,3,0))),
IF(VLOOKUP($A281-COUNT('Шаг2.Бланк заказа NEW'!$B$19:$B$201)-COUNT('Бланк OLD 0.8 04'!$B$18:$B$200),'Бланк OLD 2.0 04 '!$B$16:$K$200,3,0)="","",VLOOKUP($A281-COUNT('Шаг2.Бланк заказа NEW'!$B$19:$B$201)-COUNT('Бланк OLD 0.8 04'!$B$18:$B$200),'Бланк OLD 2.0 04 '!$B$16:$K$200,3,0)))</f>
        <v/>
      </c>
      <c r="G281" s="176" t="str">
        <f ca="1">IF(IF(R281="","",IF(R281=1,SUMIFS('Шаг1.Выбор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плиты'!C:Q,12,0)),1))))))=0,
R281,
IF(R281="","",IF(R281=1,SUMIFS('Шаг1.Выбор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плиты'!N:N,R281,'Шаг1.Выбор плиты'!M:M,SMALL(INDIRECT("мм"&amp;VLOOKUP(C281,'Шаг1.Выбор плиты'!C:Q,12,0)),1)))))))</f>
        <v/>
      </c>
      <c r="H281" s="177" t="str">
        <f ca="1">IF(IF(S281="","",IF(S281=1,SUMIFS('Шаг1.Выбор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плиты'!C:Q,12,0)),1))))))=0,
S281,
IF(S281="","",IF(S281=1,SUMIFS('Шаг1.Выбор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плиты'!N:N,S281,'Шаг1.Выбор плиты'!M:M,SMALL(INDIRECT("мм"&amp;VLOOKUP(C281,'Шаг1.Выбор плиты'!C:Q,12,0)),1)))))))</f>
        <v/>
      </c>
      <c r="I281" s="147" t="str">
        <f ca="1">IFERROR(IFERROR(IF(VLOOKUP($A281,'Шаг2.Бланк заказа NEW'!$B$17:$N$201,6,0)="","",VLOOKUP($A281,'Шаг2.Бланк заказа NEW'!$B$17:$N$201,6,0)),
IF(VLOOKUP($A281-COUNT('Шаг2.Бланк заказа NEW'!$B$19:$B$201),'Бланк OLD 0.8 04'!$B$12:$K$200,6,0)="","",VLOOKUP($A281-COUNT('Шаг2.Бланк заказа NEW'!$B$19:$B$201),'Бланк OLD 0.8 04'!$B$12:$K$200,6,0))),
IF(VLOOKUP($A281-COUNT('Шаг2.Бланк заказа NEW'!$B$19:$B$201)-COUNT('Бланк OLD 0.8 04'!$B$18:$B$200),'Бланк OLD 2.0 04 '!$B$16:$K$200,6,0)="","",VLOOKUP($A281-COUNT('Шаг2.Бланк заказа NEW'!$B$19:$B$201)-COUNT('Бланк OLD 0.8 04'!$B$18:$B$200),'Бланк OLD 2.0 04 '!$B$16:$K$200,6,0)))</f>
        <v/>
      </c>
      <c r="J281" s="177" t="str">
        <f ca="1">IF(IF(T281="","",IF(T281=1,SUMIFS('Шаг1.Выбор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плиты'!C:Q,12,0)),1))))))=0,
T281,
IF(T281="","",IF(T281=1,SUMIFS('Шаг1.Выбор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плиты'!N:N,T281,'Шаг1.Выбор плиты'!M:M,SMALL(INDIRECT("мм"&amp;VLOOKUP(C281,'Шаг1.Выбор плиты'!C:Q,12,0)),1)))))))</f>
        <v/>
      </c>
      <c r="K281" s="177" t="str">
        <f ca="1">IF(IF(U281="","",IF(U281=1,SUMIFS('Шаг1.Выбор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плиты'!C:Q,12,0)),1))))))=0,
U281,
IF(U281="","",IF(U281=1,SUMIFS('Шаг1.Выбор плиты'!$G:$G,'Шаг1.Выбор плиты'!J:J,"*"&amp;RIGHT(VLOOKUP(C281,'Шаг1.Выбор плиты'!C:Q,8,0),4),'Шаг1.Выбор плиты'!L:L,IF(MID(C281,1,6)="ЛДСП P","TM"&amp;MID(VLOOKUP(C281,'Шаг1.Выбор плиты'!C:Q,10,0),3,2),MID(VLOOKUP(C281,'Шаг1.Выбор плиты'!C:Q,10,0),1,2)),
'Шаг1.Выбор плиты'!N:N,1),IF(SUMIFS('Шаг1.Выбор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плиты'!C:Q,12,0)),1))=0,
IF(SUMIFS('Шаг1.Выбор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плиты'!C:Q,12,0)),2))=0,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плиты'!C:Q,12,0)),3)),
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плиты'!C:Q,12,0)),2))),
(SUMIFS('Шаг1.Выбор плиты'!$G:$G,'Шаг1.Выбор плиты'!J:J,"*"&amp;RIGHT(VLOOKUP(C281,'Шаг1.Выбор плиты'!C:Q,8,0),4),'Шаг1.Выбор плиты'!L:L,VLOOKUP(C281,'Шаг1.Выбор плиты'!C:Q,10,0),'Шаг1.Выбор плиты'!N:N,U281,'Шаг1.Выбор плиты'!M:M,SMALL(INDIRECT("мм"&amp;VLOOKUP(C281,'Шаг1.Выбор плиты'!C:Q,12,0)),1)))))))</f>
        <v/>
      </c>
      <c r="L281" s="147" t="str">
        <f ca="1">IFERROR(IFERROR(IF(VLOOKUP($A281,'Шаг2.Бланк заказа NEW'!$B$17:$N$201,9,0)="","",VLOOKUP($A281,'Шаг2.Бланк заказа NEW'!$B$17:$N$201,9,0)),
IF(VLOOKUP($A281-COUNT('Шаг2.Бланк заказа NEW'!$B$19:$B$201),'Бланк OLD 0.8 04'!$B$12:$K$200,9,0)="","",VLOOKUP($A281-COUNT('Шаг2.Бланк заказа NEW'!$B$19:$B$201),'Бланк OLD 0.8 04'!$B$12:$K$200,9,0))),
IF(VLOOKUP($A281-COUNT('Шаг2.Бланк заказа NEW'!$B$19:$B$201)-COUNT('Бланк OLD 0.8 04'!$B$18:$B$200),'Бланк OLD 2.0 04 '!$B$16:$K$200,9,0)="","",VLOOKUP($A281-COUNT('Шаг2.Бланк заказа NEW'!$B$19:$B$201)-COUNT('Бланк OLD 0.8 04'!$B$18:$B$200),'Бланк OLD 2.0 04 '!$B$16:$K$200,9,0)))</f>
        <v/>
      </c>
      <c r="M281" s="154" t="str">
        <f t="shared" ca="1" si="25"/>
        <v/>
      </c>
      <c r="N281" s="153" t="str">
        <f ca="1">IFERROR(IF(VLOOKUP($A281,'Шаг2.Бланк заказа NEW'!$B$17:$N$201,11,0)="","",VLOOKUP($A281,'Шаг2.Бланк заказа NEW'!$B$17:$N$201,11,0)),
"Нет")</f>
        <v/>
      </c>
      <c r="O281" s="147" t="str">
        <f ca="1">IFERROR(IF(VLOOKUP($A281,'Шаг2.Бланк заказа NEW'!$B$17:$N$201,11,0)="","",VLOOKUP($A281,'Шаг2.Бланк заказа NEW'!$B$17:$N$201,12,0)),
"Нет")</f>
        <v/>
      </c>
      <c r="P281" s="153" t="str">
        <f ca="1">IFERROR(IF(VLOOKUP($A281,'Шаг2.Бланк заказа NEW'!$B$17:$N$201,13,0)="","",VLOOKUP($A281,'Шаг2.Бланк заказа NEW'!$B$17:$N$201,13,0)),
"Нет")</f>
        <v/>
      </c>
      <c r="Q281" s="147" t="str">
        <f ca="1">IFERROR(IF(VLOOKUP($A281,'Шаг2.Бланк заказа NEW'!$B$17:$O$201,14,0)="","",VLOOKUP($A281,'Шаг2.Бланк заказа NEW'!$B$17:$O$201,14,0)),"")</f>
        <v/>
      </c>
      <c r="R281" s="147" t="str">
        <f ca="1">IFERROR(IFERROR(IF(VLOOKUP($A281,'Шаг2.Бланк заказа NEW'!$B$17:$N$201,4,0)="","",VLOOKUP($A281,'Шаг2.Бланк заказа NEW'!$B$17:$N$201,4,0)),
IF(VLOOKUP($A281-COUNT('Шаг2.Бланк заказа NEW'!$B$19:$B$201),'Бланк OLD 0.8 04'!$B$12:$K$200,4,0)&gt;0,0.8,
IF(VLOOKUP($A281-COUNT('Шаг2.Бланк заказа NEW'!$B$19:$B$201),'Бланк OLD 0.8 04'!$B$12:$K$200,5,0)&gt;0,0.4,""))),
IF(VLOOKUP($A281-COUNT('Шаг2.Бланк заказа NEW'!$B$19:$B$201)-COUNT('Бланк OLD 0.8 04'!$B$18:$B$200),'Бланк OLD 2.0 04 '!$B$16:$K$200,4,0)&gt;0,2,IF(VLOOKUP($A281-COUNT('Шаг2.Бланк заказа NEW'!$B$19:$B$201)-COUNT('Бланк OLD 0.8 04'!$B$18:$B$200),'Бланк OLD 2.0 04 '!$B$16:$K$200,5,0)&gt;0,0.4,"")))</f>
        <v/>
      </c>
      <c r="S281" s="147" t="str">
        <f ca="1">IFERROR(IFERROR(IF(VLOOKUP($A281,'Шаг2.Бланк заказа NEW'!$B$17:$N$201,5,0)="","",VLOOKUP($A281,'Шаг2.Бланк заказа NEW'!$B$17:$N$201,5,0)),
IF(VLOOKUP($A281-COUNT('Шаг2.Бланк заказа NEW'!$B$19:$B$201),'Бланк OLD 0.8 04'!$B$12:$K$200,4,0)&gt;1,0.8,
IF(VLOOKUP($A281-COUNT('Шаг2.Бланк заказа NEW'!$B$19:$B$201),'Бланк OLD 0.8 04'!$B$12:$K$200,5,0)&gt;1,0.4,
IF(AND(VLOOKUP($A281-COUNT('Шаг2.Бланк заказа NEW'!$B$19:$B$201),'Бланк OLD 0.8 04'!$B$12:$K$200,4,0)&gt;0,VLOOKUP($A281-COUNT('Шаг2.Бланк заказа NEW'!$B$19:$B$201),'Бланк OLD 0.8 04'!$B$12:$K$200,5,0)&gt;0),0.4,"")))),
IF(VLOOKUP($A281-COUNT('Шаг2.Бланк заказа NEW'!$B$19:$B$201)-COUNT('Бланк OLD 0.8 04'!$B$18:$B$200),'Бланк OLD 2.0 04 '!$B$16:$K$200,4,0)&gt;1,2,
IF(VLOOKUP($A281-COUNT('Шаг2.Бланк заказа NEW'!$B$19:$B$201)-COUNT('Бланк OLD 0.8 04'!$B$18:$B$200),'Бланк OLD 2.0 04 '!$B$16:$K$200,5,0)&gt;1,0.4,IF(AND(VLOOKUP($A281-COUNT('Шаг2.Бланк заказа NEW'!$B$19:$B$201)-COUNT('Бланк OLD 0.8 04'!$B$18:$B$200),'Бланк OLD 2.0 04 '!$B$16:$K$200,4,0)&gt;0,VLOOKUP($A281-COUNT('Шаг2.Бланк заказа NEW'!$B$19:$B$201)-COUNT('Бланк OLD 0.8 04'!$B$18:$B$200),'Бланк OLD 2.0 04 '!$B$16:$K$200,5,0)&gt;0),0.4,""))))</f>
        <v/>
      </c>
      <c r="T281" s="147" t="str">
        <f ca="1">IFERROR(IFERROR(IF(VLOOKUP($A281,'Шаг2.Бланк заказа NEW'!$B$17:$N$201,7,0)="","",VLOOKUP($A281,'Шаг2.Бланк заказа NEW'!$B$17:$N$201,7,0)),
IF(VLOOKUP($A281-COUNT('Шаг2.Бланк заказа NEW'!$B$19:$B$201),'Бланк OLD 0.8 04'!$B$12:$K$200,7,0)&gt;0,0.8,
IF(VLOOKUP($A281-COUNT('Шаг2.Бланк заказа NEW'!$B$19:$B$201),'Бланк OLD 0.8 04'!$B$12:$K$200,8,0)&gt;0,0.4,""))),
IF(VLOOKUP($A281-COUNT('Шаг2.Бланк заказа NEW'!$B$19:$B$201)-COUNT('Бланк OLD 0.8 04'!$B$18:$B$200),'Бланк OLD 2.0 04 '!$B$16:$K$200,7,0)&gt;0,2,IF(VLOOKUP($A281-COUNT('Шаг2.Бланк заказа NEW'!$B$19:$B$201)-COUNT('Бланк OLD 0.8 04'!$B$18:$B$200),'Бланк OLD 2.0 04 '!$B$16:$K$200,8,0)&gt;0,0.4,"")))</f>
        <v/>
      </c>
      <c r="U281" s="147" t="str">
        <f ca="1">IFERROR(IFERROR(IF(VLOOKUP($A281,'Шаг2.Бланк заказа NEW'!$B$17:$N$201,8,0)="","",VLOOKUP($A281,'Шаг2.Бланк заказа NEW'!$B$17:$N$201,8,0)),
IF(VLOOKUP($A281-COUNT('Шаг2.Бланк заказа NEW'!$B$19:$B$201),'Бланк OLD 0.8 04'!$B$12:$K$200,7,0)&gt;1,0.8,
IF(VLOOKUP($A281-COUNT('Шаг2.Бланк заказа NEW'!$B$19:$B$201),'Бланк OLD 0.8 04'!$B$12:$K$200,8,0)&gt;1,0.4,
IF(AND(VLOOKUP($A281-COUNT('Шаг2.Бланк заказа NEW'!$B$19:$B$201),'Бланк OLD 0.8 04'!$B$12:$K$200,7,0)&gt;0,VLOOKUP($A281-COUNT('Шаг2.Бланк заказа NEW'!$B$19:$B$201),'Бланк OLD 0.8 04'!$B$12:$K$200,8,0)&gt;0),0.4,"")))),
IF(VLOOKUP($A281-COUNT('Шаг2.Бланк заказа NEW'!$B$19:$B$201)-COUNT('Бланк OLD 0.8 04'!$B$18:$B$200),'Бланк OLD 2.0 04 '!$B$16:$K$200,7,0)&gt;1,2,
IF(VLOOKUP($A281-COUNT('Шаг2.Бланк заказа NEW'!$B$19:$B$201)-COUNT('Бланк OLD 0.8 04'!$B$18:$B$200),'Бланк OLD 2.0 04 '!$B$16:$K$200,8,0)&gt;1,0.4,
IF(AND(VLOOKUP($A281-COUNT('Шаг2.Бланк заказа NEW'!$B$19:$B$201)-COUNT('Бланк OLD 0.8 04'!$B$18:$B$200),'Бланк OLD 2.0 04 '!$B$16:$K$200,7,0)&gt;0,VLOOKUP($A281-COUNT('Шаг2.Бланк заказа NEW'!$B$19:$B$201)-COUNT('Бланк OLD 0.8 04'!$B$18:$B$200),'Бланк OLD 2.0 04 '!$B$16:$K$200,8,0)&gt;0),0.4,""))))</f>
        <v/>
      </c>
      <c r="V281" s="146" t="str">
        <f ca="1">IFERROR(VLOOKUP(C281,'Шаг1.Выбор плиты'!C:S,12,0),"")</f>
        <v/>
      </c>
      <c r="W281" s="146" t="str">
        <f ca="1">IFERROR(VLOOKUP(C281,'Шаг1.Выбор плиты'!C:S,8,0),"")</f>
        <v/>
      </c>
      <c r="X281" s="146" t="str">
        <f ca="1">IFERROR(VLOOKUP(C281,'Шаг1.Выбор плиты'!C:S,10,0),"")</f>
        <v/>
      </c>
      <c r="Y281" s="147" t="str">
        <f t="shared" ca="1" si="23"/>
        <v/>
      </c>
      <c r="AD281" s="147" t="str">
        <f t="shared" ca="1" si="26"/>
        <v/>
      </c>
      <c r="AE281" s="147" t="str">
        <f t="shared" ca="1" si="24"/>
        <v/>
      </c>
      <c r="AF281" s="25"/>
      <c r="AH281" s="147" t="str">
        <f ca="1">IF(C281="","",VLOOKUP(C281,'Шаг1.Выбор плиты'!C:Q,7,0))</f>
        <v/>
      </c>
      <c r="AI281" s="147" t="str">
        <f t="shared" ca="1" si="27"/>
        <v/>
      </c>
    </row>
    <row r="282" spans="1:35" x14ac:dyDescent="0.2">
      <c r="A282" s="151" t="str">
        <f ca="1">IF(C282="","",MAX($A$1:OFFSET(C282,-1,0))+1)</f>
        <v/>
      </c>
      <c r="B282" s="151" t="str">
        <f ca="1">IFERROR(IFERROR(IFERROR("Шаг2.Бланк заказа NEW №"&amp;VLOOKUP(A281+1,CHOOSE({1,2},'Шаг2.Бланк заказа NEW'!$B$19:$B$201,'Шаг2.Бланк заказа NEW'!$A$19:$A$201),1,0),
"Бланк OLD 0.8 04 №"&amp;VLOOKUP(A281+1-COUNT('Шаг2.Бланк заказа NEW'!$B$19:$B$201),CHOOSE({1,2},'Бланк OLD 0.8 04'!$B$18:$B$200,'Бланк OLD 0.8 04'!$A$18:$A$200),1,0)),
"Бланк OLD 2.0 04 №"&amp;VLOOKUP(A281+1-COUNT('Шаг2.Бланк заказа NEW'!$B$19:$B$201)-COUNT('Бланк OLD 0.8 04'!$B$18:$B$200),CHOOSE({1,2},'Бланк OLD 2.0 04 '!$B$18:$B$200,'Бланк OLD 2.0 04 '!$A$18:$A$200),1,0)),"")</f>
        <v/>
      </c>
      <c r="C282" s="152" t="str">
        <f ca="1">IFERROR(IFERROR(IFERROR(VLOOKUP(A281+1,CHOOSE({1,2},'Шаг2.Бланк заказа NEW'!$B$19:$B$201,'Шаг2.Бланк заказа NEW'!$A$19:$A$201),2,0),
VLOOKUP(A281+1-COUNT('Шаг2.Бланк заказа NEW'!$B$19:$B$201),CHOOSE({1,2},'Бланк OLD 0.8 04'!$B$18:$B$200,'Бланк OLD 0.8 04'!$A$18:$A$200),2,0)),
VLOOKUP(A281+1-COUNT('Шаг2.Бланк заказа NEW'!$B$19:$B$201)-COUNT('Бланк OLD 0.8 04'!$B$18:$B$200),CHOOSE({1,2},'Бланк OLD 2.0 04 '!$B$18:$B$200,'Бланк OLD 2.0 04 '!$A$18:$A$200),2,0)),"")</f>
        <v/>
      </c>
      <c r="D282" s="150" t="str">
        <f ca="1">IFERROR(VLOOKUP(C282,'Шаг1.Выбор плиты'!C:G,5,0),"")</f>
        <v/>
      </c>
      <c r="E282" s="147" t="str">
        <f ca="1">IFERROR(IFERROR(IF(VLOOKUP($A282,'Шаг2.Бланк заказа NEW'!$B$17:$N$201,2,0)="","",VLOOKUP($A282,'Шаг2.Бланк заказа NEW'!$B$17:$N$201,2,0)),
IF(VLOOKUP($A282-COUNT('Шаг2.Бланк заказа NEW'!$B$19:$B$201),'Бланк OLD 0.8 04'!$B$12:$K$200,2,0)="","",VLOOKUP($A282-COUNT('Шаг2.Бланк заказа NEW'!$B$19:$B$201),'Бланк OLD 0.8 04'!$B$12:$K$200,2,0))),
IF(VLOOKUP($A282-COUNT('Шаг2.Бланк заказа NEW'!$B$19:$B$201)-COUNT('Бланк OLD 0.8 04'!$B$18:$B$200),'Бланк OLD 2.0 04 '!$B$16:$K$200,2,0)="","",VLOOKUP($A282-COUNT('Шаг2.Бланк заказа NEW'!$B$19:$B$201)-COUNT('Бланк OLD 0.8 04'!$B$18:$B$200),'Бланк OLD 2.0 04 '!$B$16:$K$200,2,0)))</f>
        <v/>
      </c>
      <c r="F282" s="147" t="str">
        <f ca="1">IFERROR(IFERROR(IF(VLOOKUP($A282,'Шаг2.Бланк заказа NEW'!$B$17:$N$201,3,0)="","",VLOOKUP($A282,'Шаг2.Бланк заказа NEW'!$B$17:$N$201,3,0)),
IF(VLOOKUP($A282-COUNT('Шаг2.Бланк заказа NEW'!$B$19:$B$201),'Бланк OLD 0.8 04'!$B$12:$K$200,3,0)="","",VLOOKUP($A282-COUNT('Шаг2.Бланк заказа NEW'!$B$19:$B$201),'Бланк OLD 0.8 04'!$B$12:$K$200,3,0))),
IF(VLOOKUP($A282-COUNT('Шаг2.Бланк заказа NEW'!$B$19:$B$201)-COUNT('Бланк OLD 0.8 04'!$B$18:$B$200),'Бланк OLD 2.0 04 '!$B$16:$K$200,3,0)="","",VLOOKUP($A282-COUNT('Шаг2.Бланк заказа NEW'!$B$19:$B$201)-COUNT('Бланк OLD 0.8 04'!$B$18:$B$200),'Бланк OLD 2.0 04 '!$B$16:$K$200,3,0)))</f>
        <v/>
      </c>
      <c r="G282" s="176" t="str">
        <f ca="1">IF(IF(R282="","",IF(R282=1,SUMIFS('Шаг1.Выбор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плиты'!C:Q,12,0)),1))))))=0,
R282,
IF(R282="","",IF(R282=1,SUMIFS('Шаг1.Выбор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плиты'!N:N,R282,'Шаг1.Выбор плиты'!M:M,SMALL(INDIRECT("мм"&amp;VLOOKUP(C282,'Шаг1.Выбор плиты'!C:Q,12,0)),1)))))))</f>
        <v/>
      </c>
      <c r="H282" s="177" t="str">
        <f ca="1">IF(IF(S282="","",IF(S282=1,SUMIFS('Шаг1.Выбор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плиты'!C:Q,12,0)),1))))))=0,
S282,
IF(S282="","",IF(S282=1,SUMIFS('Шаг1.Выбор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плиты'!N:N,S282,'Шаг1.Выбор плиты'!M:M,SMALL(INDIRECT("мм"&amp;VLOOKUP(C282,'Шаг1.Выбор плиты'!C:Q,12,0)),1)))))))</f>
        <v/>
      </c>
      <c r="I282" s="147" t="str">
        <f ca="1">IFERROR(IFERROR(IF(VLOOKUP($A282,'Шаг2.Бланк заказа NEW'!$B$17:$N$201,6,0)="","",VLOOKUP($A282,'Шаг2.Бланк заказа NEW'!$B$17:$N$201,6,0)),
IF(VLOOKUP($A282-COUNT('Шаг2.Бланк заказа NEW'!$B$19:$B$201),'Бланк OLD 0.8 04'!$B$12:$K$200,6,0)="","",VLOOKUP($A282-COUNT('Шаг2.Бланк заказа NEW'!$B$19:$B$201),'Бланк OLD 0.8 04'!$B$12:$K$200,6,0))),
IF(VLOOKUP($A282-COUNT('Шаг2.Бланк заказа NEW'!$B$19:$B$201)-COUNT('Бланк OLD 0.8 04'!$B$18:$B$200),'Бланк OLD 2.0 04 '!$B$16:$K$200,6,0)="","",VLOOKUP($A282-COUNT('Шаг2.Бланк заказа NEW'!$B$19:$B$201)-COUNT('Бланк OLD 0.8 04'!$B$18:$B$200),'Бланк OLD 2.0 04 '!$B$16:$K$200,6,0)))</f>
        <v/>
      </c>
      <c r="J282" s="177" t="str">
        <f ca="1">IF(IF(T282="","",IF(T282=1,SUMIFS('Шаг1.Выбор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плиты'!C:Q,12,0)),1))))))=0,
T282,
IF(T282="","",IF(T282=1,SUMIFS('Шаг1.Выбор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плиты'!N:N,T282,'Шаг1.Выбор плиты'!M:M,SMALL(INDIRECT("мм"&amp;VLOOKUP(C282,'Шаг1.Выбор плиты'!C:Q,12,0)),1)))))))</f>
        <v/>
      </c>
      <c r="K282" s="177" t="str">
        <f ca="1">IF(IF(U282="","",IF(U282=1,SUMIFS('Шаг1.Выбор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плиты'!C:Q,12,0)),1))))))=0,
U282,
IF(U282="","",IF(U282=1,SUMIFS('Шаг1.Выбор плиты'!$G:$G,'Шаг1.Выбор плиты'!J:J,"*"&amp;RIGHT(VLOOKUP(C282,'Шаг1.Выбор плиты'!C:Q,8,0),4),'Шаг1.Выбор плиты'!L:L,IF(MID(C282,1,6)="ЛДСП P","TM"&amp;MID(VLOOKUP(C282,'Шаг1.Выбор плиты'!C:Q,10,0),3,2),MID(VLOOKUP(C282,'Шаг1.Выбор плиты'!C:Q,10,0),1,2)),
'Шаг1.Выбор плиты'!N:N,1),IF(SUMIFS('Шаг1.Выбор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плиты'!C:Q,12,0)),1))=0,
IF(SUMIFS('Шаг1.Выбор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плиты'!C:Q,12,0)),2))=0,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плиты'!C:Q,12,0)),3)),
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плиты'!C:Q,12,0)),2))),
(SUMIFS('Шаг1.Выбор плиты'!$G:$G,'Шаг1.Выбор плиты'!J:J,"*"&amp;RIGHT(VLOOKUP(C282,'Шаг1.Выбор плиты'!C:Q,8,0),4),'Шаг1.Выбор плиты'!L:L,VLOOKUP(C282,'Шаг1.Выбор плиты'!C:Q,10,0),'Шаг1.Выбор плиты'!N:N,U282,'Шаг1.Выбор плиты'!M:M,SMALL(INDIRECT("мм"&amp;VLOOKUP(C282,'Шаг1.Выбор плиты'!C:Q,12,0)),1)))))))</f>
        <v/>
      </c>
      <c r="L282" s="147" t="str">
        <f ca="1">IFERROR(IFERROR(IF(VLOOKUP($A282,'Шаг2.Бланк заказа NEW'!$B$17:$N$201,9,0)="","",VLOOKUP($A282,'Шаг2.Бланк заказа NEW'!$B$17:$N$201,9,0)),
IF(VLOOKUP($A282-COUNT('Шаг2.Бланк заказа NEW'!$B$19:$B$201),'Бланк OLD 0.8 04'!$B$12:$K$200,9,0)="","",VLOOKUP($A282-COUNT('Шаг2.Бланк заказа NEW'!$B$19:$B$201),'Бланк OLD 0.8 04'!$B$12:$K$200,9,0))),
IF(VLOOKUP($A282-COUNT('Шаг2.Бланк заказа NEW'!$B$19:$B$201)-COUNT('Бланк OLD 0.8 04'!$B$18:$B$200),'Бланк OLD 2.0 04 '!$B$16:$K$200,9,0)="","",VLOOKUP($A282-COUNT('Шаг2.Бланк заказа NEW'!$B$19:$B$201)-COUNT('Бланк OLD 0.8 04'!$B$18:$B$200),'Бланк OLD 2.0 04 '!$B$16:$K$200,9,0)))</f>
        <v/>
      </c>
      <c r="M282" s="154" t="str">
        <f t="shared" ca="1" si="25"/>
        <v/>
      </c>
      <c r="N282" s="153" t="str">
        <f ca="1">IFERROR(IF(VLOOKUP($A282,'Шаг2.Бланк заказа NEW'!$B$17:$N$201,11,0)="","",VLOOKUP($A282,'Шаг2.Бланк заказа NEW'!$B$17:$N$201,11,0)),
"Нет")</f>
        <v/>
      </c>
      <c r="O282" s="147" t="str">
        <f ca="1">IFERROR(IF(VLOOKUP($A282,'Шаг2.Бланк заказа NEW'!$B$17:$N$201,11,0)="","",VLOOKUP($A282,'Шаг2.Бланк заказа NEW'!$B$17:$N$201,12,0)),
"Нет")</f>
        <v/>
      </c>
      <c r="P282" s="153" t="str">
        <f ca="1">IFERROR(IF(VLOOKUP($A282,'Шаг2.Бланк заказа NEW'!$B$17:$N$201,13,0)="","",VLOOKUP($A282,'Шаг2.Бланк заказа NEW'!$B$17:$N$201,13,0)),
"Нет")</f>
        <v/>
      </c>
      <c r="Q282" s="147" t="str">
        <f ca="1">IFERROR(IF(VLOOKUP($A282,'Шаг2.Бланк заказа NEW'!$B$17:$O$201,14,0)="","",VLOOKUP($A282,'Шаг2.Бланк заказа NEW'!$B$17:$O$201,14,0)),"")</f>
        <v/>
      </c>
      <c r="R282" s="147" t="str">
        <f ca="1">IFERROR(IFERROR(IF(VLOOKUP($A282,'Шаг2.Бланк заказа NEW'!$B$17:$N$201,4,0)="","",VLOOKUP($A282,'Шаг2.Бланк заказа NEW'!$B$17:$N$201,4,0)),
IF(VLOOKUP($A282-COUNT('Шаг2.Бланк заказа NEW'!$B$19:$B$201),'Бланк OLD 0.8 04'!$B$12:$K$200,4,0)&gt;0,0.8,
IF(VLOOKUP($A282-COUNT('Шаг2.Бланк заказа NEW'!$B$19:$B$201),'Бланк OLD 0.8 04'!$B$12:$K$200,5,0)&gt;0,0.4,""))),
IF(VLOOKUP($A282-COUNT('Шаг2.Бланк заказа NEW'!$B$19:$B$201)-COUNT('Бланк OLD 0.8 04'!$B$18:$B$200),'Бланк OLD 2.0 04 '!$B$16:$K$200,4,0)&gt;0,2,IF(VLOOKUP($A282-COUNT('Шаг2.Бланк заказа NEW'!$B$19:$B$201)-COUNT('Бланк OLD 0.8 04'!$B$18:$B$200),'Бланк OLD 2.0 04 '!$B$16:$K$200,5,0)&gt;0,0.4,"")))</f>
        <v/>
      </c>
      <c r="S282" s="147" t="str">
        <f ca="1">IFERROR(IFERROR(IF(VLOOKUP($A282,'Шаг2.Бланк заказа NEW'!$B$17:$N$201,5,0)="","",VLOOKUP($A282,'Шаг2.Бланк заказа NEW'!$B$17:$N$201,5,0)),
IF(VLOOKUP($A282-COUNT('Шаг2.Бланк заказа NEW'!$B$19:$B$201),'Бланк OLD 0.8 04'!$B$12:$K$200,4,0)&gt;1,0.8,
IF(VLOOKUP($A282-COUNT('Шаг2.Бланк заказа NEW'!$B$19:$B$201),'Бланк OLD 0.8 04'!$B$12:$K$200,5,0)&gt;1,0.4,
IF(AND(VLOOKUP($A282-COUNT('Шаг2.Бланк заказа NEW'!$B$19:$B$201),'Бланк OLD 0.8 04'!$B$12:$K$200,4,0)&gt;0,VLOOKUP($A282-COUNT('Шаг2.Бланк заказа NEW'!$B$19:$B$201),'Бланк OLD 0.8 04'!$B$12:$K$200,5,0)&gt;0),0.4,"")))),
IF(VLOOKUP($A282-COUNT('Шаг2.Бланк заказа NEW'!$B$19:$B$201)-COUNT('Бланк OLD 0.8 04'!$B$18:$B$200),'Бланк OLD 2.0 04 '!$B$16:$K$200,4,0)&gt;1,2,
IF(VLOOKUP($A282-COUNT('Шаг2.Бланк заказа NEW'!$B$19:$B$201)-COUNT('Бланк OLD 0.8 04'!$B$18:$B$200),'Бланк OLD 2.0 04 '!$B$16:$K$200,5,0)&gt;1,0.4,IF(AND(VLOOKUP($A282-COUNT('Шаг2.Бланк заказа NEW'!$B$19:$B$201)-COUNT('Бланк OLD 0.8 04'!$B$18:$B$200),'Бланк OLD 2.0 04 '!$B$16:$K$200,4,0)&gt;0,VLOOKUP($A282-COUNT('Шаг2.Бланк заказа NEW'!$B$19:$B$201)-COUNT('Бланк OLD 0.8 04'!$B$18:$B$200),'Бланк OLD 2.0 04 '!$B$16:$K$200,5,0)&gt;0),0.4,""))))</f>
        <v/>
      </c>
      <c r="T282" s="147" t="str">
        <f ca="1">IFERROR(IFERROR(IF(VLOOKUP($A282,'Шаг2.Бланк заказа NEW'!$B$17:$N$201,7,0)="","",VLOOKUP($A282,'Шаг2.Бланк заказа NEW'!$B$17:$N$201,7,0)),
IF(VLOOKUP($A282-COUNT('Шаг2.Бланк заказа NEW'!$B$19:$B$201),'Бланк OLD 0.8 04'!$B$12:$K$200,7,0)&gt;0,0.8,
IF(VLOOKUP($A282-COUNT('Шаг2.Бланк заказа NEW'!$B$19:$B$201),'Бланк OLD 0.8 04'!$B$12:$K$200,8,0)&gt;0,0.4,""))),
IF(VLOOKUP($A282-COUNT('Шаг2.Бланк заказа NEW'!$B$19:$B$201)-COUNT('Бланк OLD 0.8 04'!$B$18:$B$200),'Бланк OLD 2.0 04 '!$B$16:$K$200,7,0)&gt;0,2,IF(VLOOKUP($A282-COUNT('Шаг2.Бланк заказа NEW'!$B$19:$B$201)-COUNT('Бланк OLD 0.8 04'!$B$18:$B$200),'Бланк OLD 2.0 04 '!$B$16:$K$200,8,0)&gt;0,0.4,"")))</f>
        <v/>
      </c>
      <c r="U282" s="147" t="str">
        <f ca="1">IFERROR(IFERROR(IF(VLOOKUP($A282,'Шаг2.Бланк заказа NEW'!$B$17:$N$201,8,0)="","",VLOOKUP($A282,'Шаг2.Бланк заказа NEW'!$B$17:$N$201,8,0)),
IF(VLOOKUP($A282-COUNT('Шаг2.Бланк заказа NEW'!$B$19:$B$201),'Бланк OLD 0.8 04'!$B$12:$K$200,7,0)&gt;1,0.8,
IF(VLOOKUP($A282-COUNT('Шаг2.Бланк заказа NEW'!$B$19:$B$201),'Бланк OLD 0.8 04'!$B$12:$K$200,8,0)&gt;1,0.4,
IF(AND(VLOOKUP($A282-COUNT('Шаг2.Бланк заказа NEW'!$B$19:$B$201),'Бланк OLD 0.8 04'!$B$12:$K$200,7,0)&gt;0,VLOOKUP($A282-COUNT('Шаг2.Бланк заказа NEW'!$B$19:$B$201),'Бланк OLD 0.8 04'!$B$12:$K$200,8,0)&gt;0),0.4,"")))),
IF(VLOOKUP($A282-COUNT('Шаг2.Бланк заказа NEW'!$B$19:$B$201)-COUNT('Бланк OLD 0.8 04'!$B$18:$B$200),'Бланк OLD 2.0 04 '!$B$16:$K$200,7,0)&gt;1,2,
IF(VLOOKUP($A282-COUNT('Шаг2.Бланк заказа NEW'!$B$19:$B$201)-COUNT('Бланк OLD 0.8 04'!$B$18:$B$200),'Бланк OLD 2.0 04 '!$B$16:$K$200,8,0)&gt;1,0.4,
IF(AND(VLOOKUP($A282-COUNT('Шаг2.Бланк заказа NEW'!$B$19:$B$201)-COUNT('Бланк OLD 0.8 04'!$B$18:$B$200),'Бланк OLD 2.0 04 '!$B$16:$K$200,7,0)&gt;0,VLOOKUP($A282-COUNT('Шаг2.Бланк заказа NEW'!$B$19:$B$201)-COUNT('Бланк OLD 0.8 04'!$B$18:$B$200),'Бланк OLD 2.0 04 '!$B$16:$K$200,8,0)&gt;0),0.4,""))))</f>
        <v/>
      </c>
      <c r="V282" s="146" t="str">
        <f ca="1">IFERROR(VLOOKUP(C282,'Шаг1.Выбор плиты'!C:S,12,0),"")</f>
        <v/>
      </c>
      <c r="W282" s="146" t="str">
        <f ca="1">IFERROR(VLOOKUP(C282,'Шаг1.Выбор плиты'!C:S,8,0),"")</f>
        <v/>
      </c>
      <c r="X282" s="146" t="str">
        <f ca="1">IFERROR(VLOOKUP(C282,'Шаг1.Выбор плиты'!C:S,10,0),"")</f>
        <v/>
      </c>
      <c r="Y282" s="147" t="str">
        <f t="shared" ca="1" si="23"/>
        <v/>
      </c>
      <c r="AD282" s="147" t="str">
        <f t="shared" ca="1" si="26"/>
        <v/>
      </c>
      <c r="AE282" s="147" t="str">
        <f t="shared" ca="1" si="24"/>
        <v/>
      </c>
      <c r="AF282" s="25"/>
      <c r="AH282" s="147" t="str">
        <f ca="1">IF(C282="","",VLOOKUP(C282,'Шаг1.Выбор плиты'!C:Q,7,0))</f>
        <v/>
      </c>
      <c r="AI282" s="147" t="str">
        <f t="shared" ca="1" si="27"/>
        <v/>
      </c>
    </row>
    <row r="283" spans="1:35" x14ac:dyDescent="0.2">
      <c r="A283" s="151" t="str">
        <f ca="1">IF(C283="","",MAX($A$1:OFFSET(C283,-1,0))+1)</f>
        <v/>
      </c>
      <c r="B283" s="151" t="str">
        <f ca="1">IFERROR(IFERROR(IFERROR("Шаг2.Бланк заказа NEW №"&amp;VLOOKUP(A282+1,CHOOSE({1,2},'Шаг2.Бланк заказа NEW'!$B$19:$B$201,'Шаг2.Бланк заказа NEW'!$A$19:$A$201),1,0),
"Бланк OLD 0.8 04 №"&amp;VLOOKUP(A282+1-COUNT('Шаг2.Бланк заказа NEW'!$B$19:$B$201),CHOOSE({1,2},'Бланк OLD 0.8 04'!$B$18:$B$200,'Бланк OLD 0.8 04'!$A$18:$A$200),1,0)),
"Бланк OLD 2.0 04 №"&amp;VLOOKUP(A282+1-COUNT('Шаг2.Бланк заказа NEW'!$B$19:$B$201)-COUNT('Бланк OLD 0.8 04'!$B$18:$B$200),CHOOSE({1,2},'Бланк OLD 2.0 04 '!$B$18:$B$200,'Бланк OLD 2.0 04 '!$A$18:$A$200),1,0)),"")</f>
        <v/>
      </c>
      <c r="C283" s="152" t="str">
        <f ca="1">IFERROR(IFERROR(IFERROR(VLOOKUP(A282+1,CHOOSE({1,2},'Шаг2.Бланк заказа NEW'!$B$19:$B$201,'Шаг2.Бланк заказа NEW'!$A$19:$A$201),2,0),
VLOOKUP(A282+1-COUNT('Шаг2.Бланк заказа NEW'!$B$19:$B$201),CHOOSE({1,2},'Бланк OLD 0.8 04'!$B$18:$B$200,'Бланк OLD 0.8 04'!$A$18:$A$200),2,0)),
VLOOKUP(A282+1-COUNT('Шаг2.Бланк заказа NEW'!$B$19:$B$201)-COUNT('Бланк OLD 0.8 04'!$B$18:$B$200),CHOOSE({1,2},'Бланк OLD 2.0 04 '!$B$18:$B$200,'Бланк OLD 2.0 04 '!$A$18:$A$200),2,0)),"")</f>
        <v/>
      </c>
      <c r="D283" s="150" t="str">
        <f ca="1">IFERROR(VLOOKUP(C283,'Шаг1.Выбор плиты'!C:G,5,0),"")</f>
        <v/>
      </c>
      <c r="E283" s="147" t="str">
        <f ca="1">IFERROR(IFERROR(IF(VLOOKUP($A283,'Шаг2.Бланк заказа NEW'!$B$17:$N$201,2,0)="","",VLOOKUP($A283,'Шаг2.Бланк заказа NEW'!$B$17:$N$201,2,0)),
IF(VLOOKUP($A283-COUNT('Шаг2.Бланк заказа NEW'!$B$19:$B$201),'Бланк OLD 0.8 04'!$B$12:$K$200,2,0)="","",VLOOKUP($A283-COUNT('Шаг2.Бланк заказа NEW'!$B$19:$B$201),'Бланк OLD 0.8 04'!$B$12:$K$200,2,0))),
IF(VLOOKUP($A283-COUNT('Шаг2.Бланк заказа NEW'!$B$19:$B$201)-COUNT('Бланк OLD 0.8 04'!$B$18:$B$200),'Бланк OLD 2.0 04 '!$B$16:$K$200,2,0)="","",VLOOKUP($A283-COUNT('Шаг2.Бланк заказа NEW'!$B$19:$B$201)-COUNT('Бланк OLD 0.8 04'!$B$18:$B$200),'Бланк OLD 2.0 04 '!$B$16:$K$200,2,0)))</f>
        <v/>
      </c>
      <c r="F283" s="147" t="str">
        <f ca="1">IFERROR(IFERROR(IF(VLOOKUP($A283,'Шаг2.Бланк заказа NEW'!$B$17:$N$201,3,0)="","",VLOOKUP($A283,'Шаг2.Бланк заказа NEW'!$B$17:$N$201,3,0)),
IF(VLOOKUP($A283-COUNT('Шаг2.Бланк заказа NEW'!$B$19:$B$201),'Бланк OLD 0.8 04'!$B$12:$K$200,3,0)="","",VLOOKUP($A283-COUNT('Шаг2.Бланк заказа NEW'!$B$19:$B$201),'Бланк OLD 0.8 04'!$B$12:$K$200,3,0))),
IF(VLOOKUP($A283-COUNT('Шаг2.Бланк заказа NEW'!$B$19:$B$201)-COUNT('Бланк OLD 0.8 04'!$B$18:$B$200),'Бланк OLD 2.0 04 '!$B$16:$K$200,3,0)="","",VLOOKUP($A283-COUNT('Шаг2.Бланк заказа NEW'!$B$19:$B$201)-COUNT('Бланк OLD 0.8 04'!$B$18:$B$200),'Бланк OLD 2.0 04 '!$B$16:$K$200,3,0)))</f>
        <v/>
      </c>
      <c r="G283" s="176" t="str">
        <f ca="1">IF(IF(R283="","",IF(R283=1,SUMIFS('Шаг1.Выбор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плиты'!C:Q,12,0)),1))))))=0,
R283,
IF(R283="","",IF(R283=1,SUMIFS('Шаг1.Выбор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плиты'!N:N,R283,'Шаг1.Выбор плиты'!M:M,SMALL(INDIRECT("мм"&amp;VLOOKUP(C283,'Шаг1.Выбор плиты'!C:Q,12,0)),1)))))))</f>
        <v/>
      </c>
      <c r="H283" s="177" t="str">
        <f ca="1">IF(IF(S283="","",IF(S283=1,SUMIFS('Шаг1.Выбор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плиты'!C:Q,12,0)),1))))))=0,
S283,
IF(S283="","",IF(S283=1,SUMIFS('Шаг1.Выбор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плиты'!N:N,S283,'Шаг1.Выбор плиты'!M:M,SMALL(INDIRECT("мм"&amp;VLOOKUP(C283,'Шаг1.Выбор плиты'!C:Q,12,0)),1)))))))</f>
        <v/>
      </c>
      <c r="I283" s="147" t="str">
        <f ca="1">IFERROR(IFERROR(IF(VLOOKUP($A283,'Шаг2.Бланк заказа NEW'!$B$17:$N$201,6,0)="","",VLOOKUP($A283,'Шаг2.Бланк заказа NEW'!$B$17:$N$201,6,0)),
IF(VLOOKUP($A283-COUNT('Шаг2.Бланк заказа NEW'!$B$19:$B$201),'Бланк OLD 0.8 04'!$B$12:$K$200,6,0)="","",VLOOKUP($A283-COUNT('Шаг2.Бланк заказа NEW'!$B$19:$B$201),'Бланк OLD 0.8 04'!$B$12:$K$200,6,0))),
IF(VLOOKUP($A283-COUNT('Шаг2.Бланк заказа NEW'!$B$19:$B$201)-COUNT('Бланк OLD 0.8 04'!$B$18:$B$200),'Бланк OLD 2.0 04 '!$B$16:$K$200,6,0)="","",VLOOKUP($A283-COUNT('Шаг2.Бланк заказа NEW'!$B$19:$B$201)-COUNT('Бланк OLD 0.8 04'!$B$18:$B$200),'Бланк OLD 2.0 04 '!$B$16:$K$200,6,0)))</f>
        <v/>
      </c>
      <c r="J283" s="177" t="str">
        <f ca="1">IF(IF(T283="","",IF(T283=1,SUMIFS('Шаг1.Выбор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плиты'!C:Q,12,0)),1))))))=0,
T283,
IF(T283="","",IF(T283=1,SUMIFS('Шаг1.Выбор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плиты'!N:N,T283,'Шаг1.Выбор плиты'!M:M,SMALL(INDIRECT("мм"&amp;VLOOKUP(C283,'Шаг1.Выбор плиты'!C:Q,12,0)),1)))))))</f>
        <v/>
      </c>
      <c r="K283" s="177" t="str">
        <f ca="1">IF(IF(U283="","",IF(U283=1,SUMIFS('Шаг1.Выбор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плиты'!C:Q,12,0)),1))))))=0,
U283,
IF(U283="","",IF(U283=1,SUMIFS('Шаг1.Выбор плиты'!$G:$G,'Шаг1.Выбор плиты'!J:J,"*"&amp;RIGHT(VLOOKUP(C283,'Шаг1.Выбор плиты'!C:Q,8,0),4),'Шаг1.Выбор плиты'!L:L,IF(MID(C283,1,6)="ЛДСП P","TM"&amp;MID(VLOOKUP(C283,'Шаг1.Выбор плиты'!C:Q,10,0),3,2),MID(VLOOKUP(C283,'Шаг1.Выбор плиты'!C:Q,10,0),1,2)),
'Шаг1.Выбор плиты'!N:N,1),IF(SUMIFS('Шаг1.Выбор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плиты'!C:Q,12,0)),1))=0,
IF(SUMIFS('Шаг1.Выбор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плиты'!C:Q,12,0)),2))=0,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плиты'!C:Q,12,0)),3)),
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плиты'!C:Q,12,0)),2))),
(SUMIFS('Шаг1.Выбор плиты'!$G:$G,'Шаг1.Выбор плиты'!J:J,"*"&amp;RIGHT(VLOOKUP(C283,'Шаг1.Выбор плиты'!C:Q,8,0),4),'Шаг1.Выбор плиты'!L:L,VLOOKUP(C283,'Шаг1.Выбор плиты'!C:Q,10,0),'Шаг1.Выбор плиты'!N:N,U283,'Шаг1.Выбор плиты'!M:M,SMALL(INDIRECT("мм"&amp;VLOOKUP(C283,'Шаг1.Выбор плиты'!C:Q,12,0)),1)))))))</f>
        <v/>
      </c>
      <c r="L283" s="147" t="str">
        <f ca="1">IFERROR(IFERROR(IF(VLOOKUP($A283,'Шаг2.Бланк заказа NEW'!$B$17:$N$201,9,0)="","",VLOOKUP($A283,'Шаг2.Бланк заказа NEW'!$B$17:$N$201,9,0)),
IF(VLOOKUP($A283-COUNT('Шаг2.Бланк заказа NEW'!$B$19:$B$201),'Бланк OLD 0.8 04'!$B$12:$K$200,9,0)="","",VLOOKUP($A283-COUNT('Шаг2.Бланк заказа NEW'!$B$19:$B$201),'Бланк OLD 0.8 04'!$B$12:$K$200,9,0))),
IF(VLOOKUP($A283-COUNT('Шаг2.Бланк заказа NEW'!$B$19:$B$201)-COUNT('Бланк OLD 0.8 04'!$B$18:$B$200),'Бланк OLD 2.0 04 '!$B$16:$K$200,9,0)="","",VLOOKUP($A283-COUNT('Шаг2.Бланк заказа NEW'!$B$19:$B$201)-COUNT('Бланк OLD 0.8 04'!$B$18:$B$200),'Бланк OLD 2.0 04 '!$B$16:$K$200,9,0)))</f>
        <v/>
      </c>
      <c r="M283" s="154" t="str">
        <f t="shared" ca="1" si="25"/>
        <v/>
      </c>
      <c r="N283" s="153" t="str">
        <f ca="1">IFERROR(IF(VLOOKUP($A283,'Шаг2.Бланк заказа NEW'!$B$17:$N$201,11,0)="","",VLOOKUP($A283,'Шаг2.Бланк заказа NEW'!$B$17:$N$201,11,0)),
"Нет")</f>
        <v/>
      </c>
      <c r="O283" s="147" t="str">
        <f ca="1">IFERROR(IF(VLOOKUP($A283,'Шаг2.Бланк заказа NEW'!$B$17:$N$201,11,0)="","",VLOOKUP($A283,'Шаг2.Бланк заказа NEW'!$B$17:$N$201,12,0)),
"Нет")</f>
        <v/>
      </c>
      <c r="P283" s="153" t="str">
        <f ca="1">IFERROR(IF(VLOOKUP($A283,'Шаг2.Бланк заказа NEW'!$B$17:$N$201,13,0)="","",VLOOKUP($A283,'Шаг2.Бланк заказа NEW'!$B$17:$N$201,13,0)),
"Нет")</f>
        <v/>
      </c>
      <c r="Q283" s="147" t="str">
        <f ca="1">IFERROR(IF(VLOOKUP($A283,'Шаг2.Бланк заказа NEW'!$B$17:$O$201,14,0)="","",VLOOKUP($A283,'Шаг2.Бланк заказа NEW'!$B$17:$O$201,14,0)),"")</f>
        <v/>
      </c>
      <c r="R283" s="147" t="str">
        <f ca="1">IFERROR(IFERROR(IF(VLOOKUP($A283,'Шаг2.Бланк заказа NEW'!$B$17:$N$201,4,0)="","",VLOOKUP($A283,'Шаг2.Бланк заказа NEW'!$B$17:$N$201,4,0)),
IF(VLOOKUP($A283-COUNT('Шаг2.Бланк заказа NEW'!$B$19:$B$201),'Бланк OLD 0.8 04'!$B$12:$K$200,4,0)&gt;0,0.8,
IF(VLOOKUP($A283-COUNT('Шаг2.Бланк заказа NEW'!$B$19:$B$201),'Бланк OLD 0.8 04'!$B$12:$K$200,5,0)&gt;0,0.4,""))),
IF(VLOOKUP($A283-COUNT('Шаг2.Бланк заказа NEW'!$B$19:$B$201)-COUNT('Бланк OLD 0.8 04'!$B$18:$B$200),'Бланк OLD 2.0 04 '!$B$16:$K$200,4,0)&gt;0,2,IF(VLOOKUP($A283-COUNT('Шаг2.Бланк заказа NEW'!$B$19:$B$201)-COUNT('Бланк OLD 0.8 04'!$B$18:$B$200),'Бланк OLD 2.0 04 '!$B$16:$K$200,5,0)&gt;0,0.4,"")))</f>
        <v/>
      </c>
      <c r="S283" s="147" t="str">
        <f ca="1">IFERROR(IFERROR(IF(VLOOKUP($A283,'Шаг2.Бланк заказа NEW'!$B$17:$N$201,5,0)="","",VLOOKUP($A283,'Шаг2.Бланк заказа NEW'!$B$17:$N$201,5,0)),
IF(VLOOKUP($A283-COUNT('Шаг2.Бланк заказа NEW'!$B$19:$B$201),'Бланк OLD 0.8 04'!$B$12:$K$200,4,0)&gt;1,0.8,
IF(VLOOKUP($A283-COUNT('Шаг2.Бланк заказа NEW'!$B$19:$B$201),'Бланк OLD 0.8 04'!$B$12:$K$200,5,0)&gt;1,0.4,
IF(AND(VLOOKUP($A283-COUNT('Шаг2.Бланк заказа NEW'!$B$19:$B$201),'Бланк OLD 0.8 04'!$B$12:$K$200,4,0)&gt;0,VLOOKUP($A283-COUNT('Шаг2.Бланк заказа NEW'!$B$19:$B$201),'Бланк OLD 0.8 04'!$B$12:$K$200,5,0)&gt;0),0.4,"")))),
IF(VLOOKUP($A283-COUNT('Шаг2.Бланк заказа NEW'!$B$19:$B$201)-COUNT('Бланк OLD 0.8 04'!$B$18:$B$200),'Бланк OLD 2.0 04 '!$B$16:$K$200,4,0)&gt;1,2,
IF(VLOOKUP($A283-COUNT('Шаг2.Бланк заказа NEW'!$B$19:$B$201)-COUNT('Бланк OLD 0.8 04'!$B$18:$B$200),'Бланк OLD 2.0 04 '!$B$16:$K$200,5,0)&gt;1,0.4,IF(AND(VLOOKUP($A283-COUNT('Шаг2.Бланк заказа NEW'!$B$19:$B$201)-COUNT('Бланк OLD 0.8 04'!$B$18:$B$200),'Бланк OLD 2.0 04 '!$B$16:$K$200,4,0)&gt;0,VLOOKUP($A283-COUNT('Шаг2.Бланк заказа NEW'!$B$19:$B$201)-COUNT('Бланк OLD 0.8 04'!$B$18:$B$200),'Бланк OLD 2.0 04 '!$B$16:$K$200,5,0)&gt;0),0.4,""))))</f>
        <v/>
      </c>
      <c r="T283" s="147" t="str">
        <f ca="1">IFERROR(IFERROR(IF(VLOOKUP($A283,'Шаг2.Бланк заказа NEW'!$B$17:$N$201,7,0)="","",VLOOKUP($A283,'Шаг2.Бланк заказа NEW'!$B$17:$N$201,7,0)),
IF(VLOOKUP($A283-COUNT('Шаг2.Бланк заказа NEW'!$B$19:$B$201),'Бланк OLD 0.8 04'!$B$12:$K$200,7,0)&gt;0,0.8,
IF(VLOOKUP($A283-COUNT('Шаг2.Бланк заказа NEW'!$B$19:$B$201),'Бланк OLD 0.8 04'!$B$12:$K$200,8,0)&gt;0,0.4,""))),
IF(VLOOKUP($A283-COUNT('Шаг2.Бланк заказа NEW'!$B$19:$B$201)-COUNT('Бланк OLD 0.8 04'!$B$18:$B$200),'Бланк OLD 2.0 04 '!$B$16:$K$200,7,0)&gt;0,2,IF(VLOOKUP($A283-COUNT('Шаг2.Бланк заказа NEW'!$B$19:$B$201)-COUNT('Бланк OLD 0.8 04'!$B$18:$B$200),'Бланк OLD 2.0 04 '!$B$16:$K$200,8,0)&gt;0,0.4,"")))</f>
        <v/>
      </c>
      <c r="U283" s="147" t="str">
        <f ca="1">IFERROR(IFERROR(IF(VLOOKUP($A283,'Шаг2.Бланк заказа NEW'!$B$17:$N$201,8,0)="","",VLOOKUP($A283,'Шаг2.Бланк заказа NEW'!$B$17:$N$201,8,0)),
IF(VLOOKUP($A283-COUNT('Шаг2.Бланк заказа NEW'!$B$19:$B$201),'Бланк OLD 0.8 04'!$B$12:$K$200,7,0)&gt;1,0.8,
IF(VLOOKUP($A283-COUNT('Шаг2.Бланк заказа NEW'!$B$19:$B$201),'Бланк OLD 0.8 04'!$B$12:$K$200,8,0)&gt;1,0.4,
IF(AND(VLOOKUP($A283-COUNT('Шаг2.Бланк заказа NEW'!$B$19:$B$201),'Бланк OLD 0.8 04'!$B$12:$K$200,7,0)&gt;0,VLOOKUP($A283-COUNT('Шаг2.Бланк заказа NEW'!$B$19:$B$201),'Бланк OLD 0.8 04'!$B$12:$K$200,8,0)&gt;0),0.4,"")))),
IF(VLOOKUP($A283-COUNT('Шаг2.Бланк заказа NEW'!$B$19:$B$201)-COUNT('Бланк OLD 0.8 04'!$B$18:$B$200),'Бланк OLD 2.0 04 '!$B$16:$K$200,7,0)&gt;1,2,
IF(VLOOKUP($A283-COUNT('Шаг2.Бланк заказа NEW'!$B$19:$B$201)-COUNT('Бланк OLD 0.8 04'!$B$18:$B$200),'Бланк OLD 2.0 04 '!$B$16:$K$200,8,0)&gt;1,0.4,
IF(AND(VLOOKUP($A283-COUNT('Шаг2.Бланк заказа NEW'!$B$19:$B$201)-COUNT('Бланк OLD 0.8 04'!$B$18:$B$200),'Бланк OLD 2.0 04 '!$B$16:$K$200,7,0)&gt;0,VLOOKUP($A283-COUNT('Шаг2.Бланк заказа NEW'!$B$19:$B$201)-COUNT('Бланк OLD 0.8 04'!$B$18:$B$200),'Бланк OLD 2.0 04 '!$B$16:$K$200,8,0)&gt;0),0.4,""))))</f>
        <v/>
      </c>
      <c r="V283" s="146" t="str">
        <f ca="1">IFERROR(VLOOKUP(C283,'Шаг1.Выбор плиты'!C:S,12,0),"")</f>
        <v/>
      </c>
      <c r="W283" s="146" t="str">
        <f ca="1">IFERROR(VLOOKUP(C283,'Шаг1.Выбор плиты'!C:S,8,0),"")</f>
        <v/>
      </c>
      <c r="X283" s="146" t="str">
        <f ca="1">IFERROR(VLOOKUP(C283,'Шаг1.Выбор плиты'!C:S,10,0),"")</f>
        <v/>
      </c>
      <c r="Y283" s="147" t="str">
        <f t="shared" ca="1" si="23"/>
        <v/>
      </c>
      <c r="AD283" s="147" t="str">
        <f t="shared" ca="1" si="26"/>
        <v/>
      </c>
      <c r="AE283" s="147" t="str">
        <f t="shared" ca="1" si="24"/>
        <v/>
      </c>
      <c r="AF283" s="25"/>
      <c r="AH283" s="147" t="str">
        <f ca="1">IF(C283="","",VLOOKUP(C283,'Шаг1.Выбор плиты'!C:Q,7,0))</f>
        <v/>
      </c>
      <c r="AI283" s="147" t="str">
        <f t="shared" ca="1" si="27"/>
        <v/>
      </c>
    </row>
    <row r="284" spans="1:35" x14ac:dyDescent="0.2">
      <c r="A284" s="151" t="str">
        <f ca="1">IF(C284="","",MAX($A$1:OFFSET(C284,-1,0))+1)</f>
        <v/>
      </c>
      <c r="B284" s="151" t="str">
        <f ca="1">IFERROR(IFERROR(IFERROR("Шаг2.Бланк заказа NEW №"&amp;VLOOKUP(A283+1,CHOOSE({1,2},'Шаг2.Бланк заказа NEW'!$B$19:$B$201,'Шаг2.Бланк заказа NEW'!$A$19:$A$201),1,0),
"Бланк OLD 0.8 04 №"&amp;VLOOKUP(A283+1-COUNT('Шаг2.Бланк заказа NEW'!$B$19:$B$201),CHOOSE({1,2},'Бланк OLD 0.8 04'!$B$18:$B$200,'Бланк OLD 0.8 04'!$A$18:$A$200),1,0)),
"Бланк OLD 2.0 04 №"&amp;VLOOKUP(A283+1-COUNT('Шаг2.Бланк заказа NEW'!$B$19:$B$201)-COUNT('Бланк OLD 0.8 04'!$B$18:$B$200),CHOOSE({1,2},'Бланк OLD 2.0 04 '!$B$18:$B$200,'Бланк OLD 2.0 04 '!$A$18:$A$200),1,0)),"")</f>
        <v/>
      </c>
      <c r="C284" s="152" t="str">
        <f ca="1">IFERROR(IFERROR(IFERROR(VLOOKUP(A283+1,CHOOSE({1,2},'Шаг2.Бланк заказа NEW'!$B$19:$B$201,'Шаг2.Бланк заказа NEW'!$A$19:$A$201),2,0),
VLOOKUP(A283+1-COUNT('Шаг2.Бланк заказа NEW'!$B$19:$B$201),CHOOSE({1,2},'Бланк OLD 0.8 04'!$B$18:$B$200,'Бланк OLD 0.8 04'!$A$18:$A$200),2,0)),
VLOOKUP(A283+1-COUNT('Шаг2.Бланк заказа NEW'!$B$19:$B$201)-COUNT('Бланк OLD 0.8 04'!$B$18:$B$200),CHOOSE({1,2},'Бланк OLD 2.0 04 '!$B$18:$B$200,'Бланк OLD 2.0 04 '!$A$18:$A$200),2,0)),"")</f>
        <v/>
      </c>
      <c r="D284" s="150" t="str">
        <f ca="1">IFERROR(VLOOKUP(C284,'Шаг1.Выбор плиты'!C:G,5,0),"")</f>
        <v/>
      </c>
      <c r="E284" s="147" t="str">
        <f ca="1">IFERROR(IFERROR(IF(VLOOKUP($A284,'Шаг2.Бланк заказа NEW'!$B$17:$N$201,2,0)="","",VLOOKUP($A284,'Шаг2.Бланк заказа NEW'!$B$17:$N$201,2,0)),
IF(VLOOKUP($A284-COUNT('Шаг2.Бланк заказа NEW'!$B$19:$B$201),'Бланк OLD 0.8 04'!$B$12:$K$200,2,0)="","",VLOOKUP($A284-COUNT('Шаг2.Бланк заказа NEW'!$B$19:$B$201),'Бланк OLD 0.8 04'!$B$12:$K$200,2,0))),
IF(VLOOKUP($A284-COUNT('Шаг2.Бланк заказа NEW'!$B$19:$B$201)-COUNT('Бланк OLD 0.8 04'!$B$18:$B$200),'Бланк OLD 2.0 04 '!$B$16:$K$200,2,0)="","",VLOOKUP($A284-COUNT('Шаг2.Бланк заказа NEW'!$B$19:$B$201)-COUNT('Бланк OLD 0.8 04'!$B$18:$B$200),'Бланк OLD 2.0 04 '!$B$16:$K$200,2,0)))</f>
        <v/>
      </c>
      <c r="F284" s="147" t="str">
        <f ca="1">IFERROR(IFERROR(IF(VLOOKUP($A284,'Шаг2.Бланк заказа NEW'!$B$17:$N$201,3,0)="","",VLOOKUP($A284,'Шаг2.Бланк заказа NEW'!$B$17:$N$201,3,0)),
IF(VLOOKUP($A284-COUNT('Шаг2.Бланк заказа NEW'!$B$19:$B$201),'Бланк OLD 0.8 04'!$B$12:$K$200,3,0)="","",VLOOKUP($A284-COUNT('Шаг2.Бланк заказа NEW'!$B$19:$B$201),'Бланк OLD 0.8 04'!$B$12:$K$200,3,0))),
IF(VLOOKUP($A284-COUNT('Шаг2.Бланк заказа NEW'!$B$19:$B$201)-COUNT('Бланк OLD 0.8 04'!$B$18:$B$200),'Бланк OLD 2.0 04 '!$B$16:$K$200,3,0)="","",VLOOKUP($A284-COUNT('Шаг2.Бланк заказа NEW'!$B$19:$B$201)-COUNT('Бланк OLD 0.8 04'!$B$18:$B$200),'Бланк OLD 2.0 04 '!$B$16:$K$200,3,0)))</f>
        <v/>
      </c>
      <c r="G284" s="176" t="str">
        <f ca="1">IF(IF(R284="","",IF(R284=1,SUMIFS('Шаг1.Выбор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плиты'!C:Q,12,0)),1))))))=0,
R284,
IF(R284="","",IF(R284=1,SUMIFS('Шаг1.Выбор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плиты'!N:N,R284,'Шаг1.Выбор плиты'!M:M,SMALL(INDIRECT("мм"&amp;VLOOKUP(C284,'Шаг1.Выбор плиты'!C:Q,12,0)),1)))))))</f>
        <v/>
      </c>
      <c r="H284" s="177" t="str">
        <f ca="1">IF(IF(S284="","",IF(S284=1,SUMIFS('Шаг1.Выбор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плиты'!C:Q,12,0)),1))))))=0,
S284,
IF(S284="","",IF(S284=1,SUMIFS('Шаг1.Выбор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плиты'!N:N,S284,'Шаг1.Выбор плиты'!M:M,SMALL(INDIRECT("мм"&amp;VLOOKUP(C284,'Шаг1.Выбор плиты'!C:Q,12,0)),1)))))))</f>
        <v/>
      </c>
      <c r="I284" s="147" t="str">
        <f ca="1">IFERROR(IFERROR(IF(VLOOKUP($A284,'Шаг2.Бланк заказа NEW'!$B$17:$N$201,6,0)="","",VLOOKUP($A284,'Шаг2.Бланк заказа NEW'!$B$17:$N$201,6,0)),
IF(VLOOKUP($A284-COUNT('Шаг2.Бланк заказа NEW'!$B$19:$B$201),'Бланк OLD 0.8 04'!$B$12:$K$200,6,0)="","",VLOOKUP($A284-COUNT('Шаг2.Бланк заказа NEW'!$B$19:$B$201),'Бланк OLD 0.8 04'!$B$12:$K$200,6,0))),
IF(VLOOKUP($A284-COUNT('Шаг2.Бланк заказа NEW'!$B$19:$B$201)-COUNT('Бланк OLD 0.8 04'!$B$18:$B$200),'Бланк OLD 2.0 04 '!$B$16:$K$200,6,0)="","",VLOOKUP($A284-COUNT('Шаг2.Бланк заказа NEW'!$B$19:$B$201)-COUNT('Бланк OLD 0.8 04'!$B$18:$B$200),'Бланк OLD 2.0 04 '!$B$16:$K$200,6,0)))</f>
        <v/>
      </c>
      <c r="J284" s="177" t="str">
        <f ca="1">IF(IF(T284="","",IF(T284=1,SUMIFS('Шаг1.Выбор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плиты'!C:Q,12,0)),1))))))=0,
T284,
IF(T284="","",IF(T284=1,SUMIFS('Шаг1.Выбор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плиты'!N:N,T284,'Шаг1.Выбор плиты'!M:M,SMALL(INDIRECT("мм"&amp;VLOOKUP(C284,'Шаг1.Выбор плиты'!C:Q,12,0)),1)))))))</f>
        <v/>
      </c>
      <c r="K284" s="177" t="str">
        <f ca="1">IF(IF(U284="","",IF(U284=1,SUMIFS('Шаг1.Выбор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плиты'!C:Q,12,0)),1))))))=0,
U284,
IF(U284="","",IF(U284=1,SUMIFS('Шаг1.Выбор плиты'!$G:$G,'Шаг1.Выбор плиты'!J:J,"*"&amp;RIGHT(VLOOKUP(C284,'Шаг1.Выбор плиты'!C:Q,8,0),4),'Шаг1.Выбор плиты'!L:L,IF(MID(C284,1,6)="ЛДСП P","TM"&amp;MID(VLOOKUP(C284,'Шаг1.Выбор плиты'!C:Q,10,0),3,2),MID(VLOOKUP(C284,'Шаг1.Выбор плиты'!C:Q,10,0),1,2)),
'Шаг1.Выбор плиты'!N:N,1),IF(SUMIFS('Шаг1.Выбор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плиты'!C:Q,12,0)),1))=0,
IF(SUMIFS('Шаг1.Выбор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плиты'!C:Q,12,0)),2))=0,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плиты'!C:Q,12,0)),3)),
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плиты'!C:Q,12,0)),2))),
(SUMIFS('Шаг1.Выбор плиты'!$G:$G,'Шаг1.Выбор плиты'!J:J,"*"&amp;RIGHT(VLOOKUP(C284,'Шаг1.Выбор плиты'!C:Q,8,0),4),'Шаг1.Выбор плиты'!L:L,VLOOKUP(C284,'Шаг1.Выбор плиты'!C:Q,10,0),'Шаг1.Выбор плиты'!N:N,U284,'Шаг1.Выбор плиты'!M:M,SMALL(INDIRECT("мм"&amp;VLOOKUP(C284,'Шаг1.Выбор плиты'!C:Q,12,0)),1)))))))</f>
        <v/>
      </c>
      <c r="L284" s="147" t="str">
        <f ca="1">IFERROR(IFERROR(IF(VLOOKUP($A284,'Шаг2.Бланк заказа NEW'!$B$17:$N$201,9,0)="","",VLOOKUP($A284,'Шаг2.Бланк заказа NEW'!$B$17:$N$201,9,0)),
IF(VLOOKUP($A284-COUNT('Шаг2.Бланк заказа NEW'!$B$19:$B$201),'Бланк OLD 0.8 04'!$B$12:$K$200,9,0)="","",VLOOKUP($A284-COUNT('Шаг2.Бланк заказа NEW'!$B$19:$B$201),'Бланк OLD 0.8 04'!$B$12:$K$200,9,0))),
IF(VLOOKUP($A284-COUNT('Шаг2.Бланк заказа NEW'!$B$19:$B$201)-COUNT('Бланк OLD 0.8 04'!$B$18:$B$200),'Бланк OLD 2.0 04 '!$B$16:$K$200,9,0)="","",VLOOKUP($A284-COUNT('Шаг2.Бланк заказа NEW'!$B$19:$B$201)-COUNT('Бланк OLD 0.8 04'!$B$18:$B$200),'Бланк OLD 2.0 04 '!$B$16:$K$200,9,0)))</f>
        <v/>
      </c>
      <c r="M284" s="154" t="str">
        <f t="shared" ca="1" si="25"/>
        <v/>
      </c>
      <c r="N284" s="153" t="str">
        <f ca="1">IFERROR(IF(VLOOKUP($A284,'Шаг2.Бланк заказа NEW'!$B$17:$N$201,11,0)="","",VLOOKUP($A284,'Шаг2.Бланк заказа NEW'!$B$17:$N$201,11,0)),
"Нет")</f>
        <v/>
      </c>
      <c r="O284" s="147" t="str">
        <f ca="1">IFERROR(IF(VLOOKUP($A284,'Шаг2.Бланк заказа NEW'!$B$17:$N$201,11,0)="","",VLOOKUP($A284,'Шаг2.Бланк заказа NEW'!$B$17:$N$201,12,0)),
"Нет")</f>
        <v/>
      </c>
      <c r="P284" s="153" t="str">
        <f ca="1">IFERROR(IF(VLOOKUP($A284,'Шаг2.Бланк заказа NEW'!$B$17:$N$201,13,0)="","",VLOOKUP($A284,'Шаг2.Бланк заказа NEW'!$B$17:$N$201,13,0)),
"Нет")</f>
        <v/>
      </c>
      <c r="Q284" s="147" t="str">
        <f ca="1">IFERROR(IF(VLOOKUP($A284,'Шаг2.Бланк заказа NEW'!$B$17:$O$201,14,0)="","",VLOOKUP($A284,'Шаг2.Бланк заказа NEW'!$B$17:$O$201,14,0)),"")</f>
        <v/>
      </c>
      <c r="R284" s="147" t="str">
        <f ca="1">IFERROR(IFERROR(IF(VLOOKUP($A284,'Шаг2.Бланк заказа NEW'!$B$17:$N$201,4,0)="","",VLOOKUP($A284,'Шаг2.Бланк заказа NEW'!$B$17:$N$201,4,0)),
IF(VLOOKUP($A284-COUNT('Шаг2.Бланк заказа NEW'!$B$19:$B$201),'Бланк OLD 0.8 04'!$B$12:$K$200,4,0)&gt;0,0.8,
IF(VLOOKUP($A284-COUNT('Шаг2.Бланк заказа NEW'!$B$19:$B$201),'Бланк OLD 0.8 04'!$B$12:$K$200,5,0)&gt;0,0.4,""))),
IF(VLOOKUP($A284-COUNT('Шаг2.Бланк заказа NEW'!$B$19:$B$201)-COUNT('Бланк OLD 0.8 04'!$B$18:$B$200),'Бланк OLD 2.0 04 '!$B$16:$K$200,4,0)&gt;0,2,IF(VLOOKUP($A284-COUNT('Шаг2.Бланк заказа NEW'!$B$19:$B$201)-COUNT('Бланк OLD 0.8 04'!$B$18:$B$200),'Бланк OLD 2.0 04 '!$B$16:$K$200,5,0)&gt;0,0.4,"")))</f>
        <v/>
      </c>
      <c r="S284" s="147" t="str">
        <f ca="1">IFERROR(IFERROR(IF(VLOOKUP($A284,'Шаг2.Бланк заказа NEW'!$B$17:$N$201,5,0)="","",VLOOKUP($A284,'Шаг2.Бланк заказа NEW'!$B$17:$N$201,5,0)),
IF(VLOOKUP($A284-COUNT('Шаг2.Бланк заказа NEW'!$B$19:$B$201),'Бланк OLD 0.8 04'!$B$12:$K$200,4,0)&gt;1,0.8,
IF(VLOOKUP($A284-COUNT('Шаг2.Бланк заказа NEW'!$B$19:$B$201),'Бланк OLD 0.8 04'!$B$12:$K$200,5,0)&gt;1,0.4,
IF(AND(VLOOKUP($A284-COUNT('Шаг2.Бланк заказа NEW'!$B$19:$B$201),'Бланк OLD 0.8 04'!$B$12:$K$200,4,0)&gt;0,VLOOKUP($A284-COUNT('Шаг2.Бланк заказа NEW'!$B$19:$B$201),'Бланк OLD 0.8 04'!$B$12:$K$200,5,0)&gt;0),0.4,"")))),
IF(VLOOKUP($A284-COUNT('Шаг2.Бланк заказа NEW'!$B$19:$B$201)-COUNT('Бланк OLD 0.8 04'!$B$18:$B$200),'Бланк OLD 2.0 04 '!$B$16:$K$200,4,0)&gt;1,2,
IF(VLOOKUP($A284-COUNT('Шаг2.Бланк заказа NEW'!$B$19:$B$201)-COUNT('Бланк OLD 0.8 04'!$B$18:$B$200),'Бланк OLD 2.0 04 '!$B$16:$K$200,5,0)&gt;1,0.4,IF(AND(VLOOKUP($A284-COUNT('Шаг2.Бланк заказа NEW'!$B$19:$B$201)-COUNT('Бланк OLD 0.8 04'!$B$18:$B$200),'Бланк OLD 2.0 04 '!$B$16:$K$200,4,0)&gt;0,VLOOKUP($A284-COUNT('Шаг2.Бланк заказа NEW'!$B$19:$B$201)-COUNT('Бланк OLD 0.8 04'!$B$18:$B$200),'Бланк OLD 2.0 04 '!$B$16:$K$200,5,0)&gt;0),0.4,""))))</f>
        <v/>
      </c>
      <c r="T284" s="147" t="str">
        <f ca="1">IFERROR(IFERROR(IF(VLOOKUP($A284,'Шаг2.Бланк заказа NEW'!$B$17:$N$201,7,0)="","",VLOOKUP($A284,'Шаг2.Бланк заказа NEW'!$B$17:$N$201,7,0)),
IF(VLOOKUP($A284-COUNT('Шаг2.Бланк заказа NEW'!$B$19:$B$201),'Бланк OLD 0.8 04'!$B$12:$K$200,7,0)&gt;0,0.8,
IF(VLOOKUP($A284-COUNT('Шаг2.Бланк заказа NEW'!$B$19:$B$201),'Бланк OLD 0.8 04'!$B$12:$K$200,8,0)&gt;0,0.4,""))),
IF(VLOOKUP($A284-COUNT('Шаг2.Бланк заказа NEW'!$B$19:$B$201)-COUNT('Бланк OLD 0.8 04'!$B$18:$B$200),'Бланк OLD 2.0 04 '!$B$16:$K$200,7,0)&gt;0,2,IF(VLOOKUP($A284-COUNT('Шаг2.Бланк заказа NEW'!$B$19:$B$201)-COUNT('Бланк OLD 0.8 04'!$B$18:$B$200),'Бланк OLD 2.0 04 '!$B$16:$K$200,8,0)&gt;0,0.4,"")))</f>
        <v/>
      </c>
      <c r="U284" s="147" t="str">
        <f ca="1">IFERROR(IFERROR(IF(VLOOKUP($A284,'Шаг2.Бланк заказа NEW'!$B$17:$N$201,8,0)="","",VLOOKUP($A284,'Шаг2.Бланк заказа NEW'!$B$17:$N$201,8,0)),
IF(VLOOKUP($A284-COUNT('Шаг2.Бланк заказа NEW'!$B$19:$B$201),'Бланк OLD 0.8 04'!$B$12:$K$200,7,0)&gt;1,0.8,
IF(VLOOKUP($A284-COUNT('Шаг2.Бланк заказа NEW'!$B$19:$B$201),'Бланк OLD 0.8 04'!$B$12:$K$200,8,0)&gt;1,0.4,
IF(AND(VLOOKUP($A284-COUNT('Шаг2.Бланк заказа NEW'!$B$19:$B$201),'Бланк OLD 0.8 04'!$B$12:$K$200,7,0)&gt;0,VLOOKUP($A284-COUNT('Шаг2.Бланк заказа NEW'!$B$19:$B$201),'Бланк OLD 0.8 04'!$B$12:$K$200,8,0)&gt;0),0.4,"")))),
IF(VLOOKUP($A284-COUNT('Шаг2.Бланк заказа NEW'!$B$19:$B$201)-COUNT('Бланк OLD 0.8 04'!$B$18:$B$200),'Бланк OLD 2.0 04 '!$B$16:$K$200,7,0)&gt;1,2,
IF(VLOOKUP($A284-COUNT('Шаг2.Бланк заказа NEW'!$B$19:$B$201)-COUNT('Бланк OLD 0.8 04'!$B$18:$B$200),'Бланк OLD 2.0 04 '!$B$16:$K$200,8,0)&gt;1,0.4,
IF(AND(VLOOKUP($A284-COUNT('Шаг2.Бланк заказа NEW'!$B$19:$B$201)-COUNT('Бланк OLD 0.8 04'!$B$18:$B$200),'Бланк OLD 2.0 04 '!$B$16:$K$200,7,0)&gt;0,VLOOKUP($A284-COUNT('Шаг2.Бланк заказа NEW'!$B$19:$B$201)-COUNT('Бланк OLD 0.8 04'!$B$18:$B$200),'Бланк OLD 2.0 04 '!$B$16:$K$200,8,0)&gt;0),0.4,""))))</f>
        <v/>
      </c>
      <c r="V284" s="146" t="str">
        <f ca="1">IFERROR(VLOOKUP(C284,'Шаг1.Выбор плиты'!C:S,12,0),"")</f>
        <v/>
      </c>
      <c r="W284" s="146" t="str">
        <f ca="1">IFERROR(VLOOKUP(C284,'Шаг1.Выбор плиты'!C:S,8,0),"")</f>
        <v/>
      </c>
      <c r="X284" s="146" t="str">
        <f ca="1">IFERROR(VLOOKUP(C284,'Шаг1.Выбор плиты'!C:S,10,0),"")</f>
        <v/>
      </c>
      <c r="Y284" s="147" t="str">
        <f t="shared" ca="1" si="23"/>
        <v/>
      </c>
      <c r="AD284" s="147" t="str">
        <f t="shared" ca="1" si="26"/>
        <v/>
      </c>
      <c r="AE284" s="147" t="str">
        <f t="shared" ca="1" si="24"/>
        <v/>
      </c>
      <c r="AF284" s="25"/>
      <c r="AH284" s="147" t="str">
        <f ca="1">IF(C284="","",VLOOKUP(C284,'Шаг1.Выбор плиты'!C:Q,7,0))</f>
        <v/>
      </c>
      <c r="AI284" s="147" t="str">
        <f t="shared" ca="1" si="27"/>
        <v/>
      </c>
    </row>
    <row r="285" spans="1:35" x14ac:dyDescent="0.2">
      <c r="A285" s="151" t="str">
        <f ca="1">IF(C285="","",MAX($A$1:OFFSET(C285,-1,0))+1)</f>
        <v/>
      </c>
      <c r="B285" s="151" t="str">
        <f ca="1">IFERROR(IFERROR(IFERROR("Шаг2.Бланк заказа NEW №"&amp;VLOOKUP(A284+1,CHOOSE({1,2},'Шаг2.Бланк заказа NEW'!$B$19:$B$201,'Шаг2.Бланк заказа NEW'!$A$19:$A$201),1,0),
"Бланк OLD 0.8 04 №"&amp;VLOOKUP(A284+1-COUNT('Шаг2.Бланк заказа NEW'!$B$19:$B$201),CHOOSE({1,2},'Бланк OLD 0.8 04'!$B$18:$B$200,'Бланк OLD 0.8 04'!$A$18:$A$200),1,0)),
"Бланк OLD 2.0 04 №"&amp;VLOOKUP(A284+1-COUNT('Шаг2.Бланк заказа NEW'!$B$19:$B$201)-COUNT('Бланк OLD 0.8 04'!$B$18:$B$200),CHOOSE({1,2},'Бланк OLD 2.0 04 '!$B$18:$B$200,'Бланк OLD 2.0 04 '!$A$18:$A$200),1,0)),"")</f>
        <v/>
      </c>
      <c r="C285" s="152" t="str">
        <f ca="1">IFERROR(IFERROR(IFERROR(VLOOKUP(A284+1,CHOOSE({1,2},'Шаг2.Бланк заказа NEW'!$B$19:$B$201,'Шаг2.Бланк заказа NEW'!$A$19:$A$201),2,0),
VLOOKUP(A284+1-COUNT('Шаг2.Бланк заказа NEW'!$B$19:$B$201),CHOOSE({1,2},'Бланк OLD 0.8 04'!$B$18:$B$200,'Бланк OLD 0.8 04'!$A$18:$A$200),2,0)),
VLOOKUP(A284+1-COUNT('Шаг2.Бланк заказа NEW'!$B$19:$B$201)-COUNT('Бланк OLD 0.8 04'!$B$18:$B$200),CHOOSE({1,2},'Бланк OLD 2.0 04 '!$B$18:$B$200,'Бланк OLD 2.0 04 '!$A$18:$A$200),2,0)),"")</f>
        <v/>
      </c>
      <c r="D285" s="150" t="str">
        <f ca="1">IFERROR(VLOOKUP(C285,'Шаг1.Выбор плиты'!C:G,5,0),"")</f>
        <v/>
      </c>
      <c r="E285" s="147" t="str">
        <f ca="1">IFERROR(IFERROR(IF(VLOOKUP($A285,'Шаг2.Бланк заказа NEW'!$B$17:$N$201,2,0)="","",VLOOKUP($A285,'Шаг2.Бланк заказа NEW'!$B$17:$N$201,2,0)),
IF(VLOOKUP($A285-COUNT('Шаг2.Бланк заказа NEW'!$B$19:$B$201),'Бланк OLD 0.8 04'!$B$12:$K$200,2,0)="","",VLOOKUP($A285-COUNT('Шаг2.Бланк заказа NEW'!$B$19:$B$201),'Бланк OLD 0.8 04'!$B$12:$K$200,2,0))),
IF(VLOOKUP($A285-COUNT('Шаг2.Бланк заказа NEW'!$B$19:$B$201)-COUNT('Бланк OLD 0.8 04'!$B$18:$B$200),'Бланк OLD 2.0 04 '!$B$16:$K$200,2,0)="","",VLOOKUP($A285-COUNT('Шаг2.Бланк заказа NEW'!$B$19:$B$201)-COUNT('Бланк OLD 0.8 04'!$B$18:$B$200),'Бланк OLD 2.0 04 '!$B$16:$K$200,2,0)))</f>
        <v/>
      </c>
      <c r="F285" s="147" t="str">
        <f ca="1">IFERROR(IFERROR(IF(VLOOKUP($A285,'Шаг2.Бланк заказа NEW'!$B$17:$N$201,3,0)="","",VLOOKUP($A285,'Шаг2.Бланк заказа NEW'!$B$17:$N$201,3,0)),
IF(VLOOKUP($A285-COUNT('Шаг2.Бланк заказа NEW'!$B$19:$B$201),'Бланк OLD 0.8 04'!$B$12:$K$200,3,0)="","",VLOOKUP($A285-COUNT('Шаг2.Бланк заказа NEW'!$B$19:$B$201),'Бланк OLD 0.8 04'!$B$12:$K$200,3,0))),
IF(VLOOKUP($A285-COUNT('Шаг2.Бланк заказа NEW'!$B$19:$B$201)-COUNT('Бланк OLD 0.8 04'!$B$18:$B$200),'Бланк OLD 2.0 04 '!$B$16:$K$200,3,0)="","",VLOOKUP($A285-COUNT('Шаг2.Бланк заказа NEW'!$B$19:$B$201)-COUNT('Бланк OLD 0.8 04'!$B$18:$B$200),'Бланк OLD 2.0 04 '!$B$16:$K$200,3,0)))</f>
        <v/>
      </c>
      <c r="G285" s="176" t="str">
        <f ca="1">IF(IF(R285="","",IF(R285=1,SUMIFS('Шаг1.Выбор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плиты'!C:Q,12,0)),1))))))=0,
R285,
IF(R285="","",IF(R285=1,SUMIFS('Шаг1.Выбор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плиты'!N:N,R285,'Шаг1.Выбор плиты'!M:M,SMALL(INDIRECT("мм"&amp;VLOOKUP(C285,'Шаг1.Выбор плиты'!C:Q,12,0)),1)))))))</f>
        <v/>
      </c>
      <c r="H285" s="177" t="str">
        <f ca="1">IF(IF(S285="","",IF(S285=1,SUMIFS('Шаг1.Выбор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плиты'!C:Q,12,0)),1))))))=0,
S285,
IF(S285="","",IF(S285=1,SUMIFS('Шаг1.Выбор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плиты'!N:N,S285,'Шаг1.Выбор плиты'!M:M,SMALL(INDIRECT("мм"&amp;VLOOKUP(C285,'Шаг1.Выбор плиты'!C:Q,12,0)),1)))))))</f>
        <v/>
      </c>
      <c r="I285" s="147" t="str">
        <f ca="1">IFERROR(IFERROR(IF(VLOOKUP($A285,'Шаг2.Бланк заказа NEW'!$B$17:$N$201,6,0)="","",VLOOKUP($A285,'Шаг2.Бланк заказа NEW'!$B$17:$N$201,6,0)),
IF(VLOOKUP($A285-COUNT('Шаг2.Бланк заказа NEW'!$B$19:$B$201),'Бланк OLD 0.8 04'!$B$12:$K$200,6,0)="","",VLOOKUP($A285-COUNT('Шаг2.Бланк заказа NEW'!$B$19:$B$201),'Бланк OLD 0.8 04'!$B$12:$K$200,6,0))),
IF(VLOOKUP($A285-COUNT('Шаг2.Бланк заказа NEW'!$B$19:$B$201)-COUNT('Бланк OLD 0.8 04'!$B$18:$B$200),'Бланк OLD 2.0 04 '!$B$16:$K$200,6,0)="","",VLOOKUP($A285-COUNT('Шаг2.Бланк заказа NEW'!$B$19:$B$201)-COUNT('Бланк OLD 0.8 04'!$B$18:$B$200),'Бланк OLD 2.0 04 '!$B$16:$K$200,6,0)))</f>
        <v/>
      </c>
      <c r="J285" s="177" t="str">
        <f ca="1">IF(IF(T285="","",IF(T285=1,SUMIFS('Шаг1.Выбор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плиты'!C:Q,12,0)),1))))))=0,
T285,
IF(T285="","",IF(T285=1,SUMIFS('Шаг1.Выбор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плиты'!N:N,T285,'Шаг1.Выбор плиты'!M:M,SMALL(INDIRECT("мм"&amp;VLOOKUP(C285,'Шаг1.Выбор плиты'!C:Q,12,0)),1)))))))</f>
        <v/>
      </c>
      <c r="K285" s="177" t="str">
        <f ca="1">IF(IF(U285="","",IF(U285=1,SUMIFS('Шаг1.Выбор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плиты'!C:Q,12,0)),1))))))=0,
U285,
IF(U285="","",IF(U285=1,SUMIFS('Шаг1.Выбор плиты'!$G:$G,'Шаг1.Выбор плиты'!J:J,"*"&amp;RIGHT(VLOOKUP(C285,'Шаг1.Выбор плиты'!C:Q,8,0),4),'Шаг1.Выбор плиты'!L:L,IF(MID(C285,1,6)="ЛДСП P","TM"&amp;MID(VLOOKUP(C285,'Шаг1.Выбор плиты'!C:Q,10,0),3,2),MID(VLOOKUP(C285,'Шаг1.Выбор плиты'!C:Q,10,0),1,2)),
'Шаг1.Выбор плиты'!N:N,1),IF(SUMIFS('Шаг1.Выбор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плиты'!C:Q,12,0)),1))=0,
IF(SUMIFS('Шаг1.Выбор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плиты'!C:Q,12,0)),2))=0,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плиты'!C:Q,12,0)),3)),
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плиты'!C:Q,12,0)),2))),
(SUMIFS('Шаг1.Выбор плиты'!$G:$G,'Шаг1.Выбор плиты'!J:J,"*"&amp;RIGHT(VLOOKUP(C285,'Шаг1.Выбор плиты'!C:Q,8,0),4),'Шаг1.Выбор плиты'!L:L,VLOOKUP(C285,'Шаг1.Выбор плиты'!C:Q,10,0),'Шаг1.Выбор плиты'!N:N,U285,'Шаг1.Выбор плиты'!M:M,SMALL(INDIRECT("мм"&amp;VLOOKUP(C285,'Шаг1.Выбор плиты'!C:Q,12,0)),1)))))))</f>
        <v/>
      </c>
      <c r="L285" s="147" t="str">
        <f ca="1">IFERROR(IFERROR(IF(VLOOKUP($A285,'Шаг2.Бланк заказа NEW'!$B$17:$N$201,9,0)="","",VLOOKUP($A285,'Шаг2.Бланк заказа NEW'!$B$17:$N$201,9,0)),
IF(VLOOKUP($A285-COUNT('Шаг2.Бланк заказа NEW'!$B$19:$B$201),'Бланк OLD 0.8 04'!$B$12:$K$200,9,0)="","",VLOOKUP($A285-COUNT('Шаг2.Бланк заказа NEW'!$B$19:$B$201),'Бланк OLD 0.8 04'!$B$12:$K$200,9,0))),
IF(VLOOKUP($A285-COUNT('Шаг2.Бланк заказа NEW'!$B$19:$B$201)-COUNT('Бланк OLD 0.8 04'!$B$18:$B$200),'Бланк OLD 2.0 04 '!$B$16:$K$200,9,0)="","",VLOOKUP($A285-COUNT('Шаг2.Бланк заказа NEW'!$B$19:$B$201)-COUNT('Бланк OLD 0.8 04'!$B$18:$B$200),'Бланк OLD 2.0 04 '!$B$16:$K$200,9,0)))</f>
        <v/>
      </c>
      <c r="M285" s="154" t="str">
        <f t="shared" ca="1" si="25"/>
        <v/>
      </c>
      <c r="N285" s="153" t="str">
        <f ca="1">IFERROR(IF(VLOOKUP($A285,'Шаг2.Бланк заказа NEW'!$B$17:$N$201,11,0)="","",VLOOKUP($A285,'Шаг2.Бланк заказа NEW'!$B$17:$N$201,11,0)),
"Нет")</f>
        <v/>
      </c>
      <c r="O285" s="147" t="str">
        <f ca="1">IFERROR(IF(VLOOKUP($A285,'Шаг2.Бланк заказа NEW'!$B$17:$N$201,11,0)="","",VLOOKUP($A285,'Шаг2.Бланк заказа NEW'!$B$17:$N$201,12,0)),
"Нет")</f>
        <v/>
      </c>
      <c r="P285" s="153" t="str">
        <f ca="1">IFERROR(IF(VLOOKUP($A285,'Шаг2.Бланк заказа NEW'!$B$17:$N$201,13,0)="","",VLOOKUP($A285,'Шаг2.Бланк заказа NEW'!$B$17:$N$201,13,0)),
"Нет")</f>
        <v/>
      </c>
      <c r="Q285" s="147" t="str">
        <f ca="1">IFERROR(IF(VLOOKUP($A285,'Шаг2.Бланк заказа NEW'!$B$17:$O$201,14,0)="","",VLOOKUP($A285,'Шаг2.Бланк заказа NEW'!$B$17:$O$201,14,0)),"")</f>
        <v/>
      </c>
      <c r="R285" s="147" t="str">
        <f ca="1">IFERROR(IFERROR(IF(VLOOKUP($A285,'Шаг2.Бланк заказа NEW'!$B$17:$N$201,4,0)="","",VLOOKUP($A285,'Шаг2.Бланк заказа NEW'!$B$17:$N$201,4,0)),
IF(VLOOKUP($A285-COUNT('Шаг2.Бланк заказа NEW'!$B$19:$B$201),'Бланк OLD 0.8 04'!$B$12:$K$200,4,0)&gt;0,0.8,
IF(VLOOKUP($A285-COUNT('Шаг2.Бланк заказа NEW'!$B$19:$B$201),'Бланк OLD 0.8 04'!$B$12:$K$200,5,0)&gt;0,0.4,""))),
IF(VLOOKUP($A285-COUNT('Шаг2.Бланк заказа NEW'!$B$19:$B$201)-COUNT('Бланк OLD 0.8 04'!$B$18:$B$200),'Бланк OLD 2.0 04 '!$B$16:$K$200,4,0)&gt;0,2,IF(VLOOKUP($A285-COUNT('Шаг2.Бланк заказа NEW'!$B$19:$B$201)-COUNT('Бланк OLD 0.8 04'!$B$18:$B$200),'Бланк OLD 2.0 04 '!$B$16:$K$200,5,0)&gt;0,0.4,"")))</f>
        <v/>
      </c>
      <c r="S285" s="147" t="str">
        <f ca="1">IFERROR(IFERROR(IF(VLOOKUP($A285,'Шаг2.Бланк заказа NEW'!$B$17:$N$201,5,0)="","",VLOOKUP($A285,'Шаг2.Бланк заказа NEW'!$B$17:$N$201,5,0)),
IF(VLOOKUP($A285-COUNT('Шаг2.Бланк заказа NEW'!$B$19:$B$201),'Бланк OLD 0.8 04'!$B$12:$K$200,4,0)&gt;1,0.8,
IF(VLOOKUP($A285-COUNT('Шаг2.Бланк заказа NEW'!$B$19:$B$201),'Бланк OLD 0.8 04'!$B$12:$K$200,5,0)&gt;1,0.4,
IF(AND(VLOOKUP($A285-COUNT('Шаг2.Бланк заказа NEW'!$B$19:$B$201),'Бланк OLD 0.8 04'!$B$12:$K$200,4,0)&gt;0,VLOOKUP($A285-COUNT('Шаг2.Бланк заказа NEW'!$B$19:$B$201),'Бланк OLD 0.8 04'!$B$12:$K$200,5,0)&gt;0),0.4,"")))),
IF(VLOOKUP($A285-COUNT('Шаг2.Бланк заказа NEW'!$B$19:$B$201)-COUNT('Бланк OLD 0.8 04'!$B$18:$B$200),'Бланк OLD 2.0 04 '!$B$16:$K$200,4,0)&gt;1,2,
IF(VLOOKUP($A285-COUNT('Шаг2.Бланк заказа NEW'!$B$19:$B$201)-COUNT('Бланк OLD 0.8 04'!$B$18:$B$200),'Бланк OLD 2.0 04 '!$B$16:$K$200,5,0)&gt;1,0.4,IF(AND(VLOOKUP($A285-COUNT('Шаг2.Бланк заказа NEW'!$B$19:$B$201)-COUNT('Бланк OLD 0.8 04'!$B$18:$B$200),'Бланк OLD 2.0 04 '!$B$16:$K$200,4,0)&gt;0,VLOOKUP($A285-COUNT('Шаг2.Бланк заказа NEW'!$B$19:$B$201)-COUNT('Бланк OLD 0.8 04'!$B$18:$B$200),'Бланк OLD 2.0 04 '!$B$16:$K$200,5,0)&gt;0),0.4,""))))</f>
        <v/>
      </c>
      <c r="T285" s="147" t="str">
        <f ca="1">IFERROR(IFERROR(IF(VLOOKUP($A285,'Шаг2.Бланк заказа NEW'!$B$17:$N$201,7,0)="","",VLOOKUP($A285,'Шаг2.Бланк заказа NEW'!$B$17:$N$201,7,0)),
IF(VLOOKUP($A285-COUNT('Шаг2.Бланк заказа NEW'!$B$19:$B$201),'Бланк OLD 0.8 04'!$B$12:$K$200,7,0)&gt;0,0.8,
IF(VLOOKUP($A285-COUNT('Шаг2.Бланк заказа NEW'!$B$19:$B$201),'Бланк OLD 0.8 04'!$B$12:$K$200,8,0)&gt;0,0.4,""))),
IF(VLOOKUP($A285-COUNT('Шаг2.Бланк заказа NEW'!$B$19:$B$201)-COUNT('Бланк OLD 0.8 04'!$B$18:$B$200),'Бланк OLD 2.0 04 '!$B$16:$K$200,7,0)&gt;0,2,IF(VLOOKUP($A285-COUNT('Шаг2.Бланк заказа NEW'!$B$19:$B$201)-COUNT('Бланк OLD 0.8 04'!$B$18:$B$200),'Бланк OLD 2.0 04 '!$B$16:$K$200,8,0)&gt;0,0.4,"")))</f>
        <v/>
      </c>
      <c r="U285" s="147" t="str">
        <f ca="1">IFERROR(IFERROR(IF(VLOOKUP($A285,'Шаг2.Бланк заказа NEW'!$B$17:$N$201,8,0)="","",VLOOKUP($A285,'Шаг2.Бланк заказа NEW'!$B$17:$N$201,8,0)),
IF(VLOOKUP($A285-COUNT('Шаг2.Бланк заказа NEW'!$B$19:$B$201),'Бланк OLD 0.8 04'!$B$12:$K$200,7,0)&gt;1,0.8,
IF(VLOOKUP($A285-COUNT('Шаг2.Бланк заказа NEW'!$B$19:$B$201),'Бланк OLD 0.8 04'!$B$12:$K$200,8,0)&gt;1,0.4,
IF(AND(VLOOKUP($A285-COUNT('Шаг2.Бланк заказа NEW'!$B$19:$B$201),'Бланк OLD 0.8 04'!$B$12:$K$200,7,0)&gt;0,VLOOKUP($A285-COUNT('Шаг2.Бланк заказа NEW'!$B$19:$B$201),'Бланк OLD 0.8 04'!$B$12:$K$200,8,0)&gt;0),0.4,"")))),
IF(VLOOKUP($A285-COUNT('Шаг2.Бланк заказа NEW'!$B$19:$B$201)-COUNT('Бланк OLD 0.8 04'!$B$18:$B$200),'Бланк OLD 2.0 04 '!$B$16:$K$200,7,0)&gt;1,2,
IF(VLOOKUP($A285-COUNT('Шаг2.Бланк заказа NEW'!$B$19:$B$201)-COUNT('Бланк OLD 0.8 04'!$B$18:$B$200),'Бланк OLD 2.0 04 '!$B$16:$K$200,8,0)&gt;1,0.4,
IF(AND(VLOOKUP($A285-COUNT('Шаг2.Бланк заказа NEW'!$B$19:$B$201)-COUNT('Бланк OLD 0.8 04'!$B$18:$B$200),'Бланк OLD 2.0 04 '!$B$16:$K$200,7,0)&gt;0,VLOOKUP($A285-COUNT('Шаг2.Бланк заказа NEW'!$B$19:$B$201)-COUNT('Бланк OLD 0.8 04'!$B$18:$B$200),'Бланк OLD 2.0 04 '!$B$16:$K$200,8,0)&gt;0),0.4,""))))</f>
        <v/>
      </c>
      <c r="V285" s="146" t="str">
        <f ca="1">IFERROR(VLOOKUP(C285,'Шаг1.Выбор плиты'!C:S,12,0),"")</f>
        <v/>
      </c>
      <c r="W285" s="146" t="str">
        <f ca="1">IFERROR(VLOOKUP(C285,'Шаг1.Выбор плиты'!C:S,8,0),"")</f>
        <v/>
      </c>
      <c r="X285" s="146" t="str">
        <f ca="1">IFERROR(VLOOKUP(C285,'Шаг1.Выбор плиты'!C:S,10,0),"")</f>
        <v/>
      </c>
      <c r="Y285" s="147" t="str">
        <f t="shared" ca="1" si="23"/>
        <v/>
      </c>
      <c r="AD285" s="147" t="str">
        <f t="shared" ca="1" si="26"/>
        <v/>
      </c>
      <c r="AE285" s="147" t="str">
        <f t="shared" ca="1" si="24"/>
        <v/>
      </c>
      <c r="AF285" s="25"/>
      <c r="AH285" s="147" t="str">
        <f ca="1">IF(C285="","",VLOOKUP(C285,'Шаг1.Выбор плиты'!C:Q,7,0))</f>
        <v/>
      </c>
      <c r="AI285" s="147" t="str">
        <f t="shared" ca="1" si="27"/>
        <v/>
      </c>
    </row>
    <row r="286" spans="1:35" x14ac:dyDescent="0.2">
      <c r="A286" s="151" t="str">
        <f ca="1">IF(C286="","",MAX($A$1:OFFSET(C286,-1,0))+1)</f>
        <v/>
      </c>
      <c r="B286" s="151" t="str">
        <f ca="1">IFERROR(IFERROR(IFERROR("Шаг2.Бланк заказа NEW №"&amp;VLOOKUP(A285+1,CHOOSE({1,2},'Шаг2.Бланк заказа NEW'!$B$19:$B$201,'Шаг2.Бланк заказа NEW'!$A$19:$A$201),1,0),
"Бланк OLD 0.8 04 №"&amp;VLOOKUP(A285+1-COUNT('Шаг2.Бланк заказа NEW'!$B$19:$B$201),CHOOSE({1,2},'Бланк OLD 0.8 04'!$B$18:$B$200,'Бланк OLD 0.8 04'!$A$18:$A$200),1,0)),
"Бланк OLD 2.0 04 №"&amp;VLOOKUP(A285+1-COUNT('Шаг2.Бланк заказа NEW'!$B$19:$B$201)-COUNT('Бланк OLD 0.8 04'!$B$18:$B$200),CHOOSE({1,2},'Бланк OLD 2.0 04 '!$B$18:$B$200,'Бланк OLD 2.0 04 '!$A$18:$A$200),1,0)),"")</f>
        <v/>
      </c>
      <c r="C286" s="152" t="str">
        <f ca="1">IFERROR(IFERROR(IFERROR(VLOOKUP(A285+1,CHOOSE({1,2},'Шаг2.Бланк заказа NEW'!$B$19:$B$201,'Шаг2.Бланк заказа NEW'!$A$19:$A$201),2,0),
VLOOKUP(A285+1-COUNT('Шаг2.Бланк заказа NEW'!$B$19:$B$201),CHOOSE({1,2},'Бланк OLD 0.8 04'!$B$18:$B$200,'Бланк OLD 0.8 04'!$A$18:$A$200),2,0)),
VLOOKUP(A285+1-COUNT('Шаг2.Бланк заказа NEW'!$B$19:$B$201)-COUNT('Бланк OLD 0.8 04'!$B$18:$B$200),CHOOSE({1,2},'Бланк OLD 2.0 04 '!$B$18:$B$200,'Бланк OLD 2.0 04 '!$A$18:$A$200),2,0)),"")</f>
        <v/>
      </c>
      <c r="D286" s="150" t="str">
        <f ca="1">IFERROR(VLOOKUP(C286,'Шаг1.Выбор плиты'!C:G,5,0),"")</f>
        <v/>
      </c>
      <c r="E286" s="147" t="str">
        <f ca="1">IFERROR(IFERROR(IF(VLOOKUP($A286,'Шаг2.Бланк заказа NEW'!$B$17:$N$201,2,0)="","",VLOOKUP($A286,'Шаг2.Бланк заказа NEW'!$B$17:$N$201,2,0)),
IF(VLOOKUP($A286-COUNT('Шаг2.Бланк заказа NEW'!$B$19:$B$201),'Бланк OLD 0.8 04'!$B$12:$K$200,2,0)="","",VLOOKUP($A286-COUNT('Шаг2.Бланк заказа NEW'!$B$19:$B$201),'Бланк OLD 0.8 04'!$B$12:$K$200,2,0))),
IF(VLOOKUP($A286-COUNT('Шаг2.Бланк заказа NEW'!$B$19:$B$201)-COUNT('Бланк OLD 0.8 04'!$B$18:$B$200),'Бланк OLD 2.0 04 '!$B$16:$K$200,2,0)="","",VLOOKUP($A286-COUNT('Шаг2.Бланк заказа NEW'!$B$19:$B$201)-COUNT('Бланк OLD 0.8 04'!$B$18:$B$200),'Бланк OLD 2.0 04 '!$B$16:$K$200,2,0)))</f>
        <v/>
      </c>
      <c r="F286" s="147" t="str">
        <f ca="1">IFERROR(IFERROR(IF(VLOOKUP($A286,'Шаг2.Бланк заказа NEW'!$B$17:$N$201,3,0)="","",VLOOKUP($A286,'Шаг2.Бланк заказа NEW'!$B$17:$N$201,3,0)),
IF(VLOOKUP($A286-COUNT('Шаг2.Бланк заказа NEW'!$B$19:$B$201),'Бланк OLD 0.8 04'!$B$12:$K$200,3,0)="","",VLOOKUP($A286-COUNT('Шаг2.Бланк заказа NEW'!$B$19:$B$201),'Бланк OLD 0.8 04'!$B$12:$K$200,3,0))),
IF(VLOOKUP($A286-COUNT('Шаг2.Бланк заказа NEW'!$B$19:$B$201)-COUNT('Бланк OLD 0.8 04'!$B$18:$B$200),'Бланк OLD 2.0 04 '!$B$16:$K$200,3,0)="","",VLOOKUP($A286-COUNT('Шаг2.Бланк заказа NEW'!$B$19:$B$201)-COUNT('Бланк OLD 0.8 04'!$B$18:$B$200),'Бланк OLD 2.0 04 '!$B$16:$K$200,3,0)))</f>
        <v/>
      </c>
      <c r="G286" s="176" t="str">
        <f ca="1">IF(IF(R286="","",IF(R286=1,SUMIFS('Шаг1.Выбор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плиты'!C:Q,12,0)),1))))))=0,
R286,
IF(R286="","",IF(R286=1,SUMIFS('Шаг1.Выбор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плиты'!N:N,R286,'Шаг1.Выбор плиты'!M:M,SMALL(INDIRECT("мм"&amp;VLOOKUP(C286,'Шаг1.Выбор плиты'!C:Q,12,0)),1)))))))</f>
        <v/>
      </c>
      <c r="H286" s="177" t="str">
        <f ca="1">IF(IF(S286="","",IF(S286=1,SUMIFS('Шаг1.Выбор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плиты'!C:Q,12,0)),1))))))=0,
S286,
IF(S286="","",IF(S286=1,SUMIFS('Шаг1.Выбор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плиты'!N:N,S286,'Шаг1.Выбор плиты'!M:M,SMALL(INDIRECT("мм"&amp;VLOOKUP(C286,'Шаг1.Выбор плиты'!C:Q,12,0)),1)))))))</f>
        <v/>
      </c>
      <c r="I286" s="147" t="str">
        <f ca="1">IFERROR(IFERROR(IF(VLOOKUP($A286,'Шаг2.Бланк заказа NEW'!$B$17:$N$201,6,0)="","",VLOOKUP($A286,'Шаг2.Бланк заказа NEW'!$B$17:$N$201,6,0)),
IF(VLOOKUP($A286-COUNT('Шаг2.Бланк заказа NEW'!$B$19:$B$201),'Бланк OLD 0.8 04'!$B$12:$K$200,6,0)="","",VLOOKUP($A286-COUNT('Шаг2.Бланк заказа NEW'!$B$19:$B$201),'Бланк OLD 0.8 04'!$B$12:$K$200,6,0))),
IF(VLOOKUP($A286-COUNT('Шаг2.Бланк заказа NEW'!$B$19:$B$201)-COUNT('Бланк OLD 0.8 04'!$B$18:$B$200),'Бланк OLD 2.0 04 '!$B$16:$K$200,6,0)="","",VLOOKUP($A286-COUNT('Шаг2.Бланк заказа NEW'!$B$19:$B$201)-COUNT('Бланк OLD 0.8 04'!$B$18:$B$200),'Бланк OLD 2.0 04 '!$B$16:$K$200,6,0)))</f>
        <v/>
      </c>
      <c r="J286" s="177" t="str">
        <f ca="1">IF(IF(T286="","",IF(T286=1,SUMIFS('Шаг1.Выбор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плиты'!C:Q,12,0)),1))))))=0,
T286,
IF(T286="","",IF(T286=1,SUMIFS('Шаг1.Выбор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плиты'!N:N,T286,'Шаг1.Выбор плиты'!M:M,SMALL(INDIRECT("мм"&amp;VLOOKUP(C286,'Шаг1.Выбор плиты'!C:Q,12,0)),1)))))))</f>
        <v/>
      </c>
      <c r="K286" s="177" t="str">
        <f ca="1">IF(IF(U286="","",IF(U286=1,SUMIFS('Шаг1.Выбор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плиты'!C:Q,12,0)),1))))))=0,
U286,
IF(U286="","",IF(U286=1,SUMIFS('Шаг1.Выбор плиты'!$G:$G,'Шаг1.Выбор плиты'!J:J,"*"&amp;RIGHT(VLOOKUP(C286,'Шаг1.Выбор плиты'!C:Q,8,0),4),'Шаг1.Выбор плиты'!L:L,IF(MID(C286,1,6)="ЛДСП P","TM"&amp;MID(VLOOKUP(C286,'Шаг1.Выбор плиты'!C:Q,10,0),3,2),MID(VLOOKUP(C286,'Шаг1.Выбор плиты'!C:Q,10,0),1,2)),
'Шаг1.Выбор плиты'!N:N,1),IF(SUMIFS('Шаг1.Выбор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плиты'!C:Q,12,0)),1))=0,
IF(SUMIFS('Шаг1.Выбор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плиты'!C:Q,12,0)),2))=0,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плиты'!C:Q,12,0)),3)),
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плиты'!C:Q,12,0)),2))),
(SUMIFS('Шаг1.Выбор плиты'!$G:$G,'Шаг1.Выбор плиты'!J:J,"*"&amp;RIGHT(VLOOKUP(C286,'Шаг1.Выбор плиты'!C:Q,8,0),4),'Шаг1.Выбор плиты'!L:L,VLOOKUP(C286,'Шаг1.Выбор плиты'!C:Q,10,0),'Шаг1.Выбор плиты'!N:N,U286,'Шаг1.Выбор плиты'!M:M,SMALL(INDIRECT("мм"&amp;VLOOKUP(C286,'Шаг1.Выбор плиты'!C:Q,12,0)),1)))))))</f>
        <v/>
      </c>
      <c r="L286" s="147" t="str">
        <f ca="1">IFERROR(IFERROR(IF(VLOOKUP($A286,'Шаг2.Бланк заказа NEW'!$B$17:$N$201,9,0)="","",VLOOKUP($A286,'Шаг2.Бланк заказа NEW'!$B$17:$N$201,9,0)),
IF(VLOOKUP($A286-COUNT('Шаг2.Бланк заказа NEW'!$B$19:$B$201),'Бланк OLD 0.8 04'!$B$12:$K$200,9,0)="","",VLOOKUP($A286-COUNT('Шаг2.Бланк заказа NEW'!$B$19:$B$201),'Бланк OLD 0.8 04'!$B$12:$K$200,9,0))),
IF(VLOOKUP($A286-COUNT('Шаг2.Бланк заказа NEW'!$B$19:$B$201)-COUNT('Бланк OLD 0.8 04'!$B$18:$B$200),'Бланк OLD 2.0 04 '!$B$16:$K$200,9,0)="","",VLOOKUP($A286-COUNT('Шаг2.Бланк заказа NEW'!$B$19:$B$201)-COUNT('Бланк OLD 0.8 04'!$B$18:$B$200),'Бланк OLD 2.0 04 '!$B$16:$K$200,9,0)))</f>
        <v/>
      </c>
      <c r="M286" s="154" t="str">
        <f t="shared" ca="1" si="25"/>
        <v/>
      </c>
      <c r="N286" s="153" t="str">
        <f ca="1">IFERROR(IF(VLOOKUP($A286,'Шаг2.Бланк заказа NEW'!$B$17:$N$201,11,0)="","",VLOOKUP($A286,'Шаг2.Бланк заказа NEW'!$B$17:$N$201,11,0)),
"Нет")</f>
        <v/>
      </c>
      <c r="O286" s="147" t="str">
        <f ca="1">IFERROR(IF(VLOOKUP($A286,'Шаг2.Бланк заказа NEW'!$B$17:$N$201,11,0)="","",VLOOKUP($A286,'Шаг2.Бланк заказа NEW'!$B$17:$N$201,12,0)),
"Нет")</f>
        <v/>
      </c>
      <c r="P286" s="153" t="str">
        <f ca="1">IFERROR(IF(VLOOKUP($A286,'Шаг2.Бланк заказа NEW'!$B$17:$N$201,13,0)="","",VLOOKUP($A286,'Шаг2.Бланк заказа NEW'!$B$17:$N$201,13,0)),
"Нет")</f>
        <v/>
      </c>
      <c r="Q286" s="147" t="str">
        <f ca="1">IFERROR(IF(VLOOKUP($A286,'Шаг2.Бланк заказа NEW'!$B$17:$O$201,14,0)="","",VLOOKUP($A286,'Шаг2.Бланк заказа NEW'!$B$17:$O$201,14,0)),"")</f>
        <v/>
      </c>
      <c r="R286" s="147" t="str">
        <f ca="1">IFERROR(IFERROR(IF(VLOOKUP($A286,'Шаг2.Бланк заказа NEW'!$B$17:$N$201,4,0)="","",VLOOKUP($A286,'Шаг2.Бланк заказа NEW'!$B$17:$N$201,4,0)),
IF(VLOOKUP($A286-COUNT('Шаг2.Бланк заказа NEW'!$B$19:$B$201),'Бланк OLD 0.8 04'!$B$12:$K$200,4,0)&gt;0,0.8,
IF(VLOOKUP($A286-COUNT('Шаг2.Бланк заказа NEW'!$B$19:$B$201),'Бланк OLD 0.8 04'!$B$12:$K$200,5,0)&gt;0,0.4,""))),
IF(VLOOKUP($A286-COUNT('Шаг2.Бланк заказа NEW'!$B$19:$B$201)-COUNT('Бланк OLD 0.8 04'!$B$18:$B$200),'Бланк OLD 2.0 04 '!$B$16:$K$200,4,0)&gt;0,2,IF(VLOOKUP($A286-COUNT('Шаг2.Бланк заказа NEW'!$B$19:$B$201)-COUNT('Бланк OLD 0.8 04'!$B$18:$B$200),'Бланк OLD 2.0 04 '!$B$16:$K$200,5,0)&gt;0,0.4,"")))</f>
        <v/>
      </c>
      <c r="S286" s="147" t="str">
        <f ca="1">IFERROR(IFERROR(IF(VLOOKUP($A286,'Шаг2.Бланк заказа NEW'!$B$17:$N$201,5,0)="","",VLOOKUP($A286,'Шаг2.Бланк заказа NEW'!$B$17:$N$201,5,0)),
IF(VLOOKUP($A286-COUNT('Шаг2.Бланк заказа NEW'!$B$19:$B$201),'Бланк OLD 0.8 04'!$B$12:$K$200,4,0)&gt;1,0.8,
IF(VLOOKUP($A286-COUNT('Шаг2.Бланк заказа NEW'!$B$19:$B$201),'Бланк OLD 0.8 04'!$B$12:$K$200,5,0)&gt;1,0.4,
IF(AND(VLOOKUP($A286-COUNT('Шаг2.Бланк заказа NEW'!$B$19:$B$201),'Бланк OLD 0.8 04'!$B$12:$K$200,4,0)&gt;0,VLOOKUP($A286-COUNT('Шаг2.Бланк заказа NEW'!$B$19:$B$201),'Бланк OLD 0.8 04'!$B$12:$K$200,5,0)&gt;0),0.4,"")))),
IF(VLOOKUP($A286-COUNT('Шаг2.Бланк заказа NEW'!$B$19:$B$201)-COUNT('Бланк OLD 0.8 04'!$B$18:$B$200),'Бланк OLD 2.0 04 '!$B$16:$K$200,4,0)&gt;1,2,
IF(VLOOKUP($A286-COUNT('Шаг2.Бланк заказа NEW'!$B$19:$B$201)-COUNT('Бланк OLD 0.8 04'!$B$18:$B$200),'Бланк OLD 2.0 04 '!$B$16:$K$200,5,0)&gt;1,0.4,IF(AND(VLOOKUP($A286-COUNT('Шаг2.Бланк заказа NEW'!$B$19:$B$201)-COUNT('Бланк OLD 0.8 04'!$B$18:$B$200),'Бланк OLD 2.0 04 '!$B$16:$K$200,4,0)&gt;0,VLOOKUP($A286-COUNT('Шаг2.Бланк заказа NEW'!$B$19:$B$201)-COUNT('Бланк OLD 0.8 04'!$B$18:$B$200),'Бланк OLD 2.0 04 '!$B$16:$K$200,5,0)&gt;0),0.4,""))))</f>
        <v/>
      </c>
      <c r="T286" s="147" t="str">
        <f ca="1">IFERROR(IFERROR(IF(VLOOKUP($A286,'Шаг2.Бланк заказа NEW'!$B$17:$N$201,7,0)="","",VLOOKUP($A286,'Шаг2.Бланк заказа NEW'!$B$17:$N$201,7,0)),
IF(VLOOKUP($A286-COUNT('Шаг2.Бланк заказа NEW'!$B$19:$B$201),'Бланк OLD 0.8 04'!$B$12:$K$200,7,0)&gt;0,0.8,
IF(VLOOKUP($A286-COUNT('Шаг2.Бланк заказа NEW'!$B$19:$B$201),'Бланк OLD 0.8 04'!$B$12:$K$200,8,0)&gt;0,0.4,""))),
IF(VLOOKUP($A286-COUNT('Шаг2.Бланк заказа NEW'!$B$19:$B$201)-COUNT('Бланк OLD 0.8 04'!$B$18:$B$200),'Бланк OLD 2.0 04 '!$B$16:$K$200,7,0)&gt;0,2,IF(VLOOKUP($A286-COUNT('Шаг2.Бланк заказа NEW'!$B$19:$B$201)-COUNT('Бланк OLD 0.8 04'!$B$18:$B$200),'Бланк OLD 2.0 04 '!$B$16:$K$200,8,0)&gt;0,0.4,"")))</f>
        <v/>
      </c>
      <c r="U286" s="147" t="str">
        <f ca="1">IFERROR(IFERROR(IF(VLOOKUP($A286,'Шаг2.Бланк заказа NEW'!$B$17:$N$201,8,0)="","",VLOOKUP($A286,'Шаг2.Бланк заказа NEW'!$B$17:$N$201,8,0)),
IF(VLOOKUP($A286-COUNT('Шаг2.Бланк заказа NEW'!$B$19:$B$201),'Бланк OLD 0.8 04'!$B$12:$K$200,7,0)&gt;1,0.8,
IF(VLOOKUP($A286-COUNT('Шаг2.Бланк заказа NEW'!$B$19:$B$201),'Бланк OLD 0.8 04'!$B$12:$K$200,8,0)&gt;1,0.4,
IF(AND(VLOOKUP($A286-COUNT('Шаг2.Бланк заказа NEW'!$B$19:$B$201),'Бланк OLD 0.8 04'!$B$12:$K$200,7,0)&gt;0,VLOOKUP($A286-COUNT('Шаг2.Бланк заказа NEW'!$B$19:$B$201),'Бланк OLD 0.8 04'!$B$12:$K$200,8,0)&gt;0),0.4,"")))),
IF(VLOOKUP($A286-COUNT('Шаг2.Бланк заказа NEW'!$B$19:$B$201)-COUNT('Бланк OLD 0.8 04'!$B$18:$B$200),'Бланк OLD 2.0 04 '!$B$16:$K$200,7,0)&gt;1,2,
IF(VLOOKUP($A286-COUNT('Шаг2.Бланк заказа NEW'!$B$19:$B$201)-COUNT('Бланк OLD 0.8 04'!$B$18:$B$200),'Бланк OLD 2.0 04 '!$B$16:$K$200,8,0)&gt;1,0.4,
IF(AND(VLOOKUP($A286-COUNT('Шаг2.Бланк заказа NEW'!$B$19:$B$201)-COUNT('Бланк OLD 0.8 04'!$B$18:$B$200),'Бланк OLD 2.0 04 '!$B$16:$K$200,7,0)&gt;0,VLOOKUP($A286-COUNT('Шаг2.Бланк заказа NEW'!$B$19:$B$201)-COUNT('Бланк OLD 0.8 04'!$B$18:$B$200),'Бланк OLD 2.0 04 '!$B$16:$K$200,8,0)&gt;0),0.4,""))))</f>
        <v/>
      </c>
      <c r="V286" s="146" t="str">
        <f ca="1">IFERROR(VLOOKUP(C286,'Шаг1.Выбор плиты'!C:S,12,0),"")</f>
        <v/>
      </c>
      <c r="W286" s="146" t="str">
        <f ca="1">IFERROR(VLOOKUP(C286,'Шаг1.Выбор плиты'!C:S,8,0),"")</f>
        <v/>
      </c>
      <c r="X286" s="146" t="str">
        <f ca="1">IFERROR(VLOOKUP(C286,'Шаг1.Выбор плиты'!C:S,10,0),"")</f>
        <v/>
      </c>
      <c r="Y286" s="147" t="str">
        <f t="shared" ca="1" si="23"/>
        <v/>
      </c>
      <c r="AD286" s="147" t="str">
        <f t="shared" ca="1" si="26"/>
        <v/>
      </c>
      <c r="AE286" s="147" t="str">
        <f t="shared" ca="1" si="24"/>
        <v/>
      </c>
      <c r="AF286" s="25"/>
      <c r="AH286" s="147" t="str">
        <f ca="1">IF(C286="","",VLOOKUP(C286,'Шаг1.Выбор плиты'!C:Q,7,0))</f>
        <v/>
      </c>
      <c r="AI286" s="147" t="str">
        <f t="shared" ca="1" si="27"/>
        <v/>
      </c>
    </row>
    <row r="287" spans="1:35" x14ac:dyDescent="0.2">
      <c r="A287" s="151" t="str">
        <f ca="1">IF(C287="","",MAX($A$1:OFFSET(C287,-1,0))+1)</f>
        <v/>
      </c>
      <c r="B287" s="151" t="str">
        <f ca="1">IFERROR(IFERROR(IFERROR("Шаг2.Бланк заказа NEW №"&amp;VLOOKUP(A286+1,CHOOSE({1,2},'Шаг2.Бланк заказа NEW'!$B$19:$B$201,'Шаг2.Бланк заказа NEW'!$A$19:$A$201),1,0),
"Бланк OLD 0.8 04 №"&amp;VLOOKUP(A286+1-COUNT('Шаг2.Бланк заказа NEW'!$B$19:$B$201),CHOOSE({1,2},'Бланк OLD 0.8 04'!$B$18:$B$200,'Бланк OLD 0.8 04'!$A$18:$A$200),1,0)),
"Бланк OLD 2.0 04 №"&amp;VLOOKUP(A286+1-COUNT('Шаг2.Бланк заказа NEW'!$B$19:$B$201)-COUNT('Бланк OLD 0.8 04'!$B$18:$B$200),CHOOSE({1,2},'Бланк OLD 2.0 04 '!$B$18:$B$200,'Бланк OLD 2.0 04 '!$A$18:$A$200),1,0)),"")</f>
        <v/>
      </c>
      <c r="C287" s="152" t="str">
        <f ca="1">IFERROR(IFERROR(IFERROR(VLOOKUP(A286+1,CHOOSE({1,2},'Шаг2.Бланк заказа NEW'!$B$19:$B$201,'Шаг2.Бланк заказа NEW'!$A$19:$A$201),2,0),
VLOOKUP(A286+1-COUNT('Шаг2.Бланк заказа NEW'!$B$19:$B$201),CHOOSE({1,2},'Бланк OLD 0.8 04'!$B$18:$B$200,'Бланк OLD 0.8 04'!$A$18:$A$200),2,0)),
VLOOKUP(A286+1-COUNT('Шаг2.Бланк заказа NEW'!$B$19:$B$201)-COUNT('Бланк OLD 0.8 04'!$B$18:$B$200),CHOOSE({1,2},'Бланк OLD 2.0 04 '!$B$18:$B$200,'Бланк OLD 2.0 04 '!$A$18:$A$200),2,0)),"")</f>
        <v/>
      </c>
      <c r="D287" s="150" t="str">
        <f ca="1">IFERROR(VLOOKUP(C287,'Шаг1.Выбор плиты'!C:G,5,0),"")</f>
        <v/>
      </c>
      <c r="E287" s="147" t="str">
        <f ca="1">IFERROR(IFERROR(IF(VLOOKUP($A287,'Шаг2.Бланк заказа NEW'!$B$17:$N$201,2,0)="","",VLOOKUP($A287,'Шаг2.Бланк заказа NEW'!$B$17:$N$201,2,0)),
IF(VLOOKUP($A287-COUNT('Шаг2.Бланк заказа NEW'!$B$19:$B$201),'Бланк OLD 0.8 04'!$B$12:$K$200,2,0)="","",VLOOKUP($A287-COUNT('Шаг2.Бланк заказа NEW'!$B$19:$B$201),'Бланк OLD 0.8 04'!$B$12:$K$200,2,0))),
IF(VLOOKUP($A287-COUNT('Шаг2.Бланк заказа NEW'!$B$19:$B$201)-COUNT('Бланк OLD 0.8 04'!$B$18:$B$200),'Бланк OLD 2.0 04 '!$B$16:$K$200,2,0)="","",VLOOKUP($A287-COUNT('Шаг2.Бланк заказа NEW'!$B$19:$B$201)-COUNT('Бланк OLD 0.8 04'!$B$18:$B$200),'Бланк OLD 2.0 04 '!$B$16:$K$200,2,0)))</f>
        <v/>
      </c>
      <c r="F287" s="147" t="str">
        <f ca="1">IFERROR(IFERROR(IF(VLOOKUP($A287,'Шаг2.Бланк заказа NEW'!$B$17:$N$201,3,0)="","",VLOOKUP($A287,'Шаг2.Бланк заказа NEW'!$B$17:$N$201,3,0)),
IF(VLOOKUP($A287-COUNT('Шаг2.Бланк заказа NEW'!$B$19:$B$201),'Бланк OLD 0.8 04'!$B$12:$K$200,3,0)="","",VLOOKUP($A287-COUNT('Шаг2.Бланк заказа NEW'!$B$19:$B$201),'Бланк OLD 0.8 04'!$B$12:$K$200,3,0))),
IF(VLOOKUP($A287-COUNT('Шаг2.Бланк заказа NEW'!$B$19:$B$201)-COUNT('Бланк OLD 0.8 04'!$B$18:$B$200),'Бланк OLD 2.0 04 '!$B$16:$K$200,3,0)="","",VLOOKUP($A287-COUNT('Шаг2.Бланк заказа NEW'!$B$19:$B$201)-COUNT('Бланк OLD 0.8 04'!$B$18:$B$200),'Бланк OLD 2.0 04 '!$B$16:$K$200,3,0)))</f>
        <v/>
      </c>
      <c r="G287" s="176" t="str">
        <f ca="1">IF(IF(R287="","",IF(R287=1,SUMIFS('Шаг1.Выбор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плиты'!C:Q,12,0)),1))))))=0,
R287,
IF(R287="","",IF(R287=1,SUMIFS('Шаг1.Выбор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плиты'!N:N,R287,'Шаг1.Выбор плиты'!M:M,SMALL(INDIRECT("мм"&amp;VLOOKUP(C287,'Шаг1.Выбор плиты'!C:Q,12,0)),1)))))))</f>
        <v/>
      </c>
      <c r="H287" s="177" t="str">
        <f ca="1">IF(IF(S287="","",IF(S287=1,SUMIFS('Шаг1.Выбор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плиты'!C:Q,12,0)),1))))))=0,
S287,
IF(S287="","",IF(S287=1,SUMIFS('Шаг1.Выбор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плиты'!N:N,S287,'Шаг1.Выбор плиты'!M:M,SMALL(INDIRECT("мм"&amp;VLOOKUP(C287,'Шаг1.Выбор плиты'!C:Q,12,0)),1)))))))</f>
        <v/>
      </c>
      <c r="I287" s="147" t="str">
        <f ca="1">IFERROR(IFERROR(IF(VLOOKUP($A287,'Шаг2.Бланк заказа NEW'!$B$17:$N$201,6,0)="","",VLOOKUP($A287,'Шаг2.Бланк заказа NEW'!$B$17:$N$201,6,0)),
IF(VLOOKUP($A287-COUNT('Шаг2.Бланк заказа NEW'!$B$19:$B$201),'Бланк OLD 0.8 04'!$B$12:$K$200,6,0)="","",VLOOKUP($A287-COUNT('Шаг2.Бланк заказа NEW'!$B$19:$B$201),'Бланк OLD 0.8 04'!$B$12:$K$200,6,0))),
IF(VLOOKUP($A287-COUNT('Шаг2.Бланк заказа NEW'!$B$19:$B$201)-COUNT('Бланк OLD 0.8 04'!$B$18:$B$200),'Бланк OLD 2.0 04 '!$B$16:$K$200,6,0)="","",VLOOKUP($A287-COUNT('Шаг2.Бланк заказа NEW'!$B$19:$B$201)-COUNT('Бланк OLD 0.8 04'!$B$18:$B$200),'Бланк OLD 2.0 04 '!$B$16:$K$200,6,0)))</f>
        <v/>
      </c>
      <c r="J287" s="177" t="str">
        <f ca="1">IF(IF(T287="","",IF(T287=1,SUMIFS('Шаг1.Выбор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плиты'!C:Q,12,0)),1))))))=0,
T287,
IF(T287="","",IF(T287=1,SUMIFS('Шаг1.Выбор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плиты'!N:N,T287,'Шаг1.Выбор плиты'!M:M,SMALL(INDIRECT("мм"&amp;VLOOKUP(C287,'Шаг1.Выбор плиты'!C:Q,12,0)),1)))))))</f>
        <v/>
      </c>
      <c r="K287" s="177" t="str">
        <f ca="1">IF(IF(U287="","",IF(U287=1,SUMIFS('Шаг1.Выбор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плиты'!C:Q,12,0)),1))))))=0,
U287,
IF(U287="","",IF(U287=1,SUMIFS('Шаг1.Выбор плиты'!$G:$G,'Шаг1.Выбор плиты'!J:J,"*"&amp;RIGHT(VLOOKUP(C287,'Шаг1.Выбор плиты'!C:Q,8,0),4),'Шаг1.Выбор плиты'!L:L,IF(MID(C287,1,6)="ЛДСП P","TM"&amp;MID(VLOOKUP(C287,'Шаг1.Выбор плиты'!C:Q,10,0),3,2),MID(VLOOKUP(C287,'Шаг1.Выбор плиты'!C:Q,10,0),1,2)),
'Шаг1.Выбор плиты'!N:N,1),IF(SUMIFS('Шаг1.Выбор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плиты'!C:Q,12,0)),1))=0,
IF(SUMIFS('Шаг1.Выбор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плиты'!C:Q,12,0)),2))=0,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плиты'!C:Q,12,0)),3)),
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плиты'!C:Q,12,0)),2))),
(SUMIFS('Шаг1.Выбор плиты'!$G:$G,'Шаг1.Выбор плиты'!J:J,"*"&amp;RIGHT(VLOOKUP(C287,'Шаг1.Выбор плиты'!C:Q,8,0),4),'Шаг1.Выбор плиты'!L:L,VLOOKUP(C287,'Шаг1.Выбор плиты'!C:Q,10,0),'Шаг1.Выбор плиты'!N:N,U287,'Шаг1.Выбор плиты'!M:M,SMALL(INDIRECT("мм"&amp;VLOOKUP(C287,'Шаг1.Выбор плиты'!C:Q,12,0)),1)))))))</f>
        <v/>
      </c>
      <c r="L287" s="147" t="str">
        <f ca="1">IFERROR(IFERROR(IF(VLOOKUP($A287,'Шаг2.Бланк заказа NEW'!$B$17:$N$201,9,0)="","",VLOOKUP($A287,'Шаг2.Бланк заказа NEW'!$B$17:$N$201,9,0)),
IF(VLOOKUP($A287-COUNT('Шаг2.Бланк заказа NEW'!$B$19:$B$201),'Бланк OLD 0.8 04'!$B$12:$K$200,9,0)="","",VLOOKUP($A287-COUNT('Шаг2.Бланк заказа NEW'!$B$19:$B$201),'Бланк OLD 0.8 04'!$B$12:$K$200,9,0))),
IF(VLOOKUP($A287-COUNT('Шаг2.Бланк заказа NEW'!$B$19:$B$201)-COUNT('Бланк OLD 0.8 04'!$B$18:$B$200),'Бланк OLD 2.0 04 '!$B$16:$K$200,9,0)="","",VLOOKUP($A287-COUNT('Шаг2.Бланк заказа NEW'!$B$19:$B$201)-COUNT('Бланк OLD 0.8 04'!$B$18:$B$200),'Бланк OLD 2.0 04 '!$B$16:$K$200,9,0)))</f>
        <v/>
      </c>
      <c r="M287" s="154" t="str">
        <f t="shared" ca="1" si="25"/>
        <v/>
      </c>
      <c r="N287" s="153" t="str">
        <f ca="1">IFERROR(IF(VLOOKUP($A287,'Шаг2.Бланк заказа NEW'!$B$17:$N$201,11,0)="","",VLOOKUP($A287,'Шаг2.Бланк заказа NEW'!$B$17:$N$201,11,0)),
"Нет")</f>
        <v/>
      </c>
      <c r="O287" s="147" t="str">
        <f ca="1">IFERROR(IF(VLOOKUP($A287,'Шаг2.Бланк заказа NEW'!$B$17:$N$201,11,0)="","",VLOOKUP($A287,'Шаг2.Бланк заказа NEW'!$B$17:$N$201,12,0)),
"Нет")</f>
        <v/>
      </c>
      <c r="P287" s="153" t="str">
        <f ca="1">IFERROR(IF(VLOOKUP($A287,'Шаг2.Бланк заказа NEW'!$B$17:$N$201,13,0)="","",VLOOKUP($A287,'Шаг2.Бланк заказа NEW'!$B$17:$N$201,13,0)),
"Нет")</f>
        <v/>
      </c>
      <c r="Q287" s="147" t="str">
        <f ca="1">IFERROR(IF(VLOOKUP($A287,'Шаг2.Бланк заказа NEW'!$B$17:$O$201,14,0)="","",VLOOKUP($A287,'Шаг2.Бланк заказа NEW'!$B$17:$O$201,14,0)),"")</f>
        <v/>
      </c>
      <c r="R287" s="147" t="str">
        <f ca="1">IFERROR(IFERROR(IF(VLOOKUP($A287,'Шаг2.Бланк заказа NEW'!$B$17:$N$201,4,0)="","",VLOOKUP($A287,'Шаг2.Бланк заказа NEW'!$B$17:$N$201,4,0)),
IF(VLOOKUP($A287-COUNT('Шаг2.Бланк заказа NEW'!$B$19:$B$201),'Бланк OLD 0.8 04'!$B$12:$K$200,4,0)&gt;0,0.8,
IF(VLOOKUP($A287-COUNT('Шаг2.Бланк заказа NEW'!$B$19:$B$201),'Бланк OLD 0.8 04'!$B$12:$K$200,5,0)&gt;0,0.4,""))),
IF(VLOOKUP($A287-COUNT('Шаг2.Бланк заказа NEW'!$B$19:$B$201)-COUNT('Бланк OLD 0.8 04'!$B$18:$B$200),'Бланк OLD 2.0 04 '!$B$16:$K$200,4,0)&gt;0,2,IF(VLOOKUP($A287-COUNT('Шаг2.Бланк заказа NEW'!$B$19:$B$201)-COUNT('Бланк OLD 0.8 04'!$B$18:$B$200),'Бланк OLD 2.0 04 '!$B$16:$K$200,5,0)&gt;0,0.4,"")))</f>
        <v/>
      </c>
      <c r="S287" s="147" t="str">
        <f ca="1">IFERROR(IFERROR(IF(VLOOKUP($A287,'Шаг2.Бланк заказа NEW'!$B$17:$N$201,5,0)="","",VLOOKUP($A287,'Шаг2.Бланк заказа NEW'!$B$17:$N$201,5,0)),
IF(VLOOKUP($A287-COUNT('Шаг2.Бланк заказа NEW'!$B$19:$B$201),'Бланк OLD 0.8 04'!$B$12:$K$200,4,0)&gt;1,0.8,
IF(VLOOKUP($A287-COUNT('Шаг2.Бланк заказа NEW'!$B$19:$B$201),'Бланк OLD 0.8 04'!$B$12:$K$200,5,0)&gt;1,0.4,
IF(AND(VLOOKUP($A287-COUNT('Шаг2.Бланк заказа NEW'!$B$19:$B$201),'Бланк OLD 0.8 04'!$B$12:$K$200,4,0)&gt;0,VLOOKUP($A287-COUNT('Шаг2.Бланк заказа NEW'!$B$19:$B$201),'Бланк OLD 0.8 04'!$B$12:$K$200,5,0)&gt;0),0.4,"")))),
IF(VLOOKUP($A287-COUNT('Шаг2.Бланк заказа NEW'!$B$19:$B$201)-COUNT('Бланк OLD 0.8 04'!$B$18:$B$200),'Бланк OLD 2.0 04 '!$B$16:$K$200,4,0)&gt;1,2,
IF(VLOOKUP($A287-COUNT('Шаг2.Бланк заказа NEW'!$B$19:$B$201)-COUNT('Бланк OLD 0.8 04'!$B$18:$B$200),'Бланк OLD 2.0 04 '!$B$16:$K$200,5,0)&gt;1,0.4,IF(AND(VLOOKUP($A287-COUNT('Шаг2.Бланк заказа NEW'!$B$19:$B$201)-COUNT('Бланк OLD 0.8 04'!$B$18:$B$200),'Бланк OLD 2.0 04 '!$B$16:$K$200,4,0)&gt;0,VLOOKUP($A287-COUNT('Шаг2.Бланк заказа NEW'!$B$19:$B$201)-COUNT('Бланк OLD 0.8 04'!$B$18:$B$200),'Бланк OLD 2.0 04 '!$B$16:$K$200,5,0)&gt;0),0.4,""))))</f>
        <v/>
      </c>
      <c r="T287" s="147" t="str">
        <f ca="1">IFERROR(IFERROR(IF(VLOOKUP($A287,'Шаг2.Бланк заказа NEW'!$B$17:$N$201,7,0)="","",VLOOKUP($A287,'Шаг2.Бланк заказа NEW'!$B$17:$N$201,7,0)),
IF(VLOOKUP($A287-COUNT('Шаг2.Бланк заказа NEW'!$B$19:$B$201),'Бланк OLD 0.8 04'!$B$12:$K$200,7,0)&gt;0,0.8,
IF(VLOOKUP($A287-COUNT('Шаг2.Бланк заказа NEW'!$B$19:$B$201),'Бланк OLD 0.8 04'!$B$12:$K$200,8,0)&gt;0,0.4,""))),
IF(VLOOKUP($A287-COUNT('Шаг2.Бланк заказа NEW'!$B$19:$B$201)-COUNT('Бланк OLD 0.8 04'!$B$18:$B$200),'Бланк OLD 2.0 04 '!$B$16:$K$200,7,0)&gt;0,2,IF(VLOOKUP($A287-COUNT('Шаг2.Бланк заказа NEW'!$B$19:$B$201)-COUNT('Бланк OLD 0.8 04'!$B$18:$B$200),'Бланк OLD 2.0 04 '!$B$16:$K$200,8,0)&gt;0,0.4,"")))</f>
        <v/>
      </c>
      <c r="U287" s="147" t="str">
        <f ca="1">IFERROR(IFERROR(IF(VLOOKUP($A287,'Шаг2.Бланк заказа NEW'!$B$17:$N$201,8,0)="","",VLOOKUP($A287,'Шаг2.Бланк заказа NEW'!$B$17:$N$201,8,0)),
IF(VLOOKUP($A287-COUNT('Шаг2.Бланк заказа NEW'!$B$19:$B$201),'Бланк OLD 0.8 04'!$B$12:$K$200,7,0)&gt;1,0.8,
IF(VLOOKUP($A287-COUNT('Шаг2.Бланк заказа NEW'!$B$19:$B$201),'Бланк OLD 0.8 04'!$B$12:$K$200,8,0)&gt;1,0.4,
IF(AND(VLOOKUP($A287-COUNT('Шаг2.Бланк заказа NEW'!$B$19:$B$201),'Бланк OLD 0.8 04'!$B$12:$K$200,7,0)&gt;0,VLOOKUP($A287-COUNT('Шаг2.Бланк заказа NEW'!$B$19:$B$201),'Бланк OLD 0.8 04'!$B$12:$K$200,8,0)&gt;0),0.4,"")))),
IF(VLOOKUP($A287-COUNT('Шаг2.Бланк заказа NEW'!$B$19:$B$201)-COUNT('Бланк OLD 0.8 04'!$B$18:$B$200),'Бланк OLD 2.0 04 '!$B$16:$K$200,7,0)&gt;1,2,
IF(VLOOKUP($A287-COUNT('Шаг2.Бланк заказа NEW'!$B$19:$B$201)-COUNT('Бланк OLD 0.8 04'!$B$18:$B$200),'Бланк OLD 2.0 04 '!$B$16:$K$200,8,0)&gt;1,0.4,
IF(AND(VLOOKUP($A287-COUNT('Шаг2.Бланк заказа NEW'!$B$19:$B$201)-COUNT('Бланк OLD 0.8 04'!$B$18:$B$200),'Бланк OLD 2.0 04 '!$B$16:$K$200,7,0)&gt;0,VLOOKUP($A287-COUNT('Шаг2.Бланк заказа NEW'!$B$19:$B$201)-COUNT('Бланк OLD 0.8 04'!$B$18:$B$200),'Бланк OLD 2.0 04 '!$B$16:$K$200,8,0)&gt;0),0.4,""))))</f>
        <v/>
      </c>
      <c r="V287" s="146" t="str">
        <f ca="1">IFERROR(VLOOKUP(C287,'Шаг1.Выбор плиты'!C:S,12,0),"")</f>
        <v/>
      </c>
      <c r="W287" s="146" t="str">
        <f ca="1">IFERROR(VLOOKUP(C287,'Шаг1.Выбор плиты'!C:S,8,0),"")</f>
        <v/>
      </c>
      <c r="X287" s="146" t="str">
        <f ca="1">IFERROR(VLOOKUP(C287,'Шаг1.Выбор плиты'!C:S,10,0),"")</f>
        <v/>
      </c>
      <c r="Y287" s="147" t="str">
        <f t="shared" ca="1" si="23"/>
        <v/>
      </c>
      <c r="AD287" s="147" t="str">
        <f t="shared" ca="1" si="26"/>
        <v/>
      </c>
      <c r="AE287" s="147" t="str">
        <f t="shared" ca="1" si="24"/>
        <v/>
      </c>
      <c r="AF287" s="25"/>
      <c r="AH287" s="147" t="str">
        <f ca="1">IF(C287="","",VLOOKUP(C287,'Шаг1.Выбор плиты'!C:Q,7,0))</f>
        <v/>
      </c>
      <c r="AI287" s="147" t="str">
        <f t="shared" ca="1" si="27"/>
        <v/>
      </c>
    </row>
    <row r="288" spans="1:35" x14ac:dyDescent="0.2">
      <c r="A288" s="151" t="str">
        <f ca="1">IF(C288="","",MAX($A$1:OFFSET(C288,-1,0))+1)</f>
        <v/>
      </c>
      <c r="B288" s="151" t="str">
        <f ca="1">IFERROR(IFERROR(IFERROR("Шаг2.Бланк заказа NEW №"&amp;VLOOKUP(A287+1,CHOOSE({1,2},'Шаг2.Бланк заказа NEW'!$B$19:$B$201,'Шаг2.Бланк заказа NEW'!$A$19:$A$201),1,0),
"Бланк OLD 0.8 04 №"&amp;VLOOKUP(A287+1-COUNT('Шаг2.Бланк заказа NEW'!$B$19:$B$201),CHOOSE({1,2},'Бланк OLD 0.8 04'!$B$18:$B$200,'Бланк OLD 0.8 04'!$A$18:$A$200),1,0)),
"Бланк OLD 2.0 04 №"&amp;VLOOKUP(A287+1-COUNT('Шаг2.Бланк заказа NEW'!$B$19:$B$201)-COUNT('Бланк OLD 0.8 04'!$B$18:$B$200),CHOOSE({1,2},'Бланк OLD 2.0 04 '!$B$18:$B$200,'Бланк OLD 2.0 04 '!$A$18:$A$200),1,0)),"")</f>
        <v/>
      </c>
      <c r="C288" s="152" t="str">
        <f ca="1">IFERROR(IFERROR(IFERROR(VLOOKUP(A287+1,CHOOSE({1,2},'Шаг2.Бланк заказа NEW'!$B$19:$B$201,'Шаг2.Бланк заказа NEW'!$A$19:$A$201),2,0),
VLOOKUP(A287+1-COUNT('Шаг2.Бланк заказа NEW'!$B$19:$B$201),CHOOSE({1,2},'Бланк OLD 0.8 04'!$B$18:$B$200,'Бланк OLD 0.8 04'!$A$18:$A$200),2,0)),
VLOOKUP(A287+1-COUNT('Шаг2.Бланк заказа NEW'!$B$19:$B$201)-COUNT('Бланк OLD 0.8 04'!$B$18:$B$200),CHOOSE({1,2},'Бланк OLD 2.0 04 '!$B$18:$B$200,'Бланк OLD 2.0 04 '!$A$18:$A$200),2,0)),"")</f>
        <v/>
      </c>
      <c r="D288" s="150" t="str">
        <f ca="1">IFERROR(VLOOKUP(C288,'Шаг1.Выбор плиты'!C:G,5,0),"")</f>
        <v/>
      </c>
      <c r="E288" s="147" t="str">
        <f ca="1">IFERROR(IFERROR(IF(VLOOKUP($A288,'Шаг2.Бланк заказа NEW'!$B$17:$N$201,2,0)="","",VLOOKUP($A288,'Шаг2.Бланк заказа NEW'!$B$17:$N$201,2,0)),
IF(VLOOKUP($A288-COUNT('Шаг2.Бланк заказа NEW'!$B$19:$B$201),'Бланк OLD 0.8 04'!$B$12:$K$200,2,0)="","",VLOOKUP($A288-COUNT('Шаг2.Бланк заказа NEW'!$B$19:$B$201),'Бланк OLD 0.8 04'!$B$12:$K$200,2,0))),
IF(VLOOKUP($A288-COUNT('Шаг2.Бланк заказа NEW'!$B$19:$B$201)-COUNT('Бланк OLD 0.8 04'!$B$18:$B$200),'Бланк OLD 2.0 04 '!$B$16:$K$200,2,0)="","",VLOOKUP($A288-COUNT('Шаг2.Бланк заказа NEW'!$B$19:$B$201)-COUNT('Бланк OLD 0.8 04'!$B$18:$B$200),'Бланк OLD 2.0 04 '!$B$16:$K$200,2,0)))</f>
        <v/>
      </c>
      <c r="F288" s="147" t="str">
        <f ca="1">IFERROR(IFERROR(IF(VLOOKUP($A288,'Шаг2.Бланк заказа NEW'!$B$17:$N$201,3,0)="","",VLOOKUP($A288,'Шаг2.Бланк заказа NEW'!$B$17:$N$201,3,0)),
IF(VLOOKUP($A288-COUNT('Шаг2.Бланк заказа NEW'!$B$19:$B$201),'Бланк OLD 0.8 04'!$B$12:$K$200,3,0)="","",VLOOKUP($A288-COUNT('Шаг2.Бланк заказа NEW'!$B$19:$B$201),'Бланк OLD 0.8 04'!$B$12:$K$200,3,0))),
IF(VLOOKUP($A288-COUNT('Шаг2.Бланк заказа NEW'!$B$19:$B$201)-COUNT('Бланк OLD 0.8 04'!$B$18:$B$200),'Бланк OLD 2.0 04 '!$B$16:$K$200,3,0)="","",VLOOKUP($A288-COUNT('Шаг2.Бланк заказа NEW'!$B$19:$B$201)-COUNT('Бланк OLD 0.8 04'!$B$18:$B$200),'Бланк OLD 2.0 04 '!$B$16:$K$200,3,0)))</f>
        <v/>
      </c>
      <c r="G288" s="176" t="str">
        <f ca="1">IF(IF(R288="","",IF(R288=1,SUMIFS('Шаг1.Выбор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плиты'!C:Q,12,0)),1))))))=0,
R288,
IF(R288="","",IF(R288=1,SUMIFS('Шаг1.Выбор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плиты'!N:N,R288,'Шаг1.Выбор плиты'!M:M,SMALL(INDIRECT("мм"&amp;VLOOKUP(C288,'Шаг1.Выбор плиты'!C:Q,12,0)),1)))))))</f>
        <v/>
      </c>
      <c r="H288" s="177" t="str">
        <f ca="1">IF(IF(S288="","",IF(S288=1,SUMIFS('Шаг1.Выбор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плиты'!C:Q,12,0)),1))))))=0,
S288,
IF(S288="","",IF(S288=1,SUMIFS('Шаг1.Выбор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плиты'!N:N,S288,'Шаг1.Выбор плиты'!M:M,SMALL(INDIRECT("мм"&amp;VLOOKUP(C288,'Шаг1.Выбор плиты'!C:Q,12,0)),1)))))))</f>
        <v/>
      </c>
      <c r="I288" s="147" t="str">
        <f ca="1">IFERROR(IFERROR(IF(VLOOKUP($A288,'Шаг2.Бланк заказа NEW'!$B$17:$N$201,6,0)="","",VLOOKUP($A288,'Шаг2.Бланк заказа NEW'!$B$17:$N$201,6,0)),
IF(VLOOKUP($A288-COUNT('Шаг2.Бланк заказа NEW'!$B$19:$B$201),'Бланк OLD 0.8 04'!$B$12:$K$200,6,0)="","",VLOOKUP($A288-COUNT('Шаг2.Бланк заказа NEW'!$B$19:$B$201),'Бланк OLD 0.8 04'!$B$12:$K$200,6,0))),
IF(VLOOKUP($A288-COUNT('Шаг2.Бланк заказа NEW'!$B$19:$B$201)-COUNT('Бланк OLD 0.8 04'!$B$18:$B$200),'Бланк OLD 2.0 04 '!$B$16:$K$200,6,0)="","",VLOOKUP($A288-COUNT('Шаг2.Бланк заказа NEW'!$B$19:$B$201)-COUNT('Бланк OLD 0.8 04'!$B$18:$B$200),'Бланк OLD 2.0 04 '!$B$16:$K$200,6,0)))</f>
        <v/>
      </c>
      <c r="J288" s="177" t="str">
        <f ca="1">IF(IF(T288="","",IF(T288=1,SUMIFS('Шаг1.Выбор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плиты'!C:Q,12,0)),1))))))=0,
T288,
IF(T288="","",IF(T288=1,SUMIFS('Шаг1.Выбор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плиты'!N:N,T288,'Шаг1.Выбор плиты'!M:M,SMALL(INDIRECT("мм"&amp;VLOOKUP(C288,'Шаг1.Выбор плиты'!C:Q,12,0)),1)))))))</f>
        <v/>
      </c>
      <c r="K288" s="177" t="str">
        <f ca="1">IF(IF(U288="","",IF(U288=1,SUMIFS('Шаг1.Выбор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плиты'!C:Q,12,0)),1))))))=0,
U288,
IF(U288="","",IF(U288=1,SUMIFS('Шаг1.Выбор плиты'!$G:$G,'Шаг1.Выбор плиты'!J:J,"*"&amp;RIGHT(VLOOKUP(C288,'Шаг1.Выбор плиты'!C:Q,8,0),4),'Шаг1.Выбор плиты'!L:L,IF(MID(C288,1,6)="ЛДСП P","TM"&amp;MID(VLOOKUP(C288,'Шаг1.Выбор плиты'!C:Q,10,0),3,2),MID(VLOOKUP(C288,'Шаг1.Выбор плиты'!C:Q,10,0),1,2)),
'Шаг1.Выбор плиты'!N:N,1),IF(SUMIFS('Шаг1.Выбор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плиты'!C:Q,12,0)),1))=0,
IF(SUMIFS('Шаг1.Выбор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плиты'!C:Q,12,0)),2))=0,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плиты'!C:Q,12,0)),3)),
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плиты'!C:Q,12,0)),2))),
(SUMIFS('Шаг1.Выбор плиты'!$G:$G,'Шаг1.Выбор плиты'!J:J,"*"&amp;RIGHT(VLOOKUP(C288,'Шаг1.Выбор плиты'!C:Q,8,0),4),'Шаг1.Выбор плиты'!L:L,VLOOKUP(C288,'Шаг1.Выбор плиты'!C:Q,10,0),'Шаг1.Выбор плиты'!N:N,U288,'Шаг1.Выбор плиты'!M:M,SMALL(INDIRECT("мм"&amp;VLOOKUP(C288,'Шаг1.Выбор плиты'!C:Q,12,0)),1)))))))</f>
        <v/>
      </c>
      <c r="L288" s="147" t="str">
        <f ca="1">IFERROR(IFERROR(IF(VLOOKUP($A288,'Шаг2.Бланк заказа NEW'!$B$17:$N$201,9,0)="","",VLOOKUP($A288,'Шаг2.Бланк заказа NEW'!$B$17:$N$201,9,0)),
IF(VLOOKUP($A288-COUNT('Шаг2.Бланк заказа NEW'!$B$19:$B$201),'Бланк OLD 0.8 04'!$B$12:$K$200,9,0)="","",VLOOKUP($A288-COUNT('Шаг2.Бланк заказа NEW'!$B$19:$B$201),'Бланк OLD 0.8 04'!$B$12:$K$200,9,0))),
IF(VLOOKUP($A288-COUNT('Шаг2.Бланк заказа NEW'!$B$19:$B$201)-COUNT('Бланк OLD 0.8 04'!$B$18:$B$200),'Бланк OLD 2.0 04 '!$B$16:$K$200,9,0)="","",VLOOKUP($A288-COUNT('Шаг2.Бланк заказа NEW'!$B$19:$B$201)-COUNT('Бланк OLD 0.8 04'!$B$18:$B$200),'Бланк OLD 2.0 04 '!$B$16:$K$200,9,0)))</f>
        <v/>
      </c>
      <c r="M288" s="154" t="str">
        <f t="shared" ca="1" si="25"/>
        <v/>
      </c>
      <c r="N288" s="153" t="str">
        <f ca="1">IFERROR(IF(VLOOKUP($A288,'Шаг2.Бланк заказа NEW'!$B$17:$N$201,11,0)="","",VLOOKUP($A288,'Шаг2.Бланк заказа NEW'!$B$17:$N$201,11,0)),
"Нет")</f>
        <v/>
      </c>
      <c r="O288" s="147" t="str">
        <f ca="1">IFERROR(IF(VLOOKUP($A288,'Шаг2.Бланк заказа NEW'!$B$17:$N$201,11,0)="","",VLOOKUP($A288,'Шаг2.Бланк заказа NEW'!$B$17:$N$201,12,0)),
"Нет")</f>
        <v/>
      </c>
      <c r="P288" s="153" t="str">
        <f ca="1">IFERROR(IF(VLOOKUP($A288,'Шаг2.Бланк заказа NEW'!$B$17:$N$201,13,0)="","",VLOOKUP($A288,'Шаг2.Бланк заказа NEW'!$B$17:$N$201,13,0)),
"Нет")</f>
        <v/>
      </c>
      <c r="Q288" s="147" t="str">
        <f ca="1">IFERROR(IF(VLOOKUP($A288,'Шаг2.Бланк заказа NEW'!$B$17:$O$201,14,0)="","",VLOOKUP($A288,'Шаг2.Бланк заказа NEW'!$B$17:$O$201,14,0)),"")</f>
        <v/>
      </c>
      <c r="R288" s="147" t="str">
        <f ca="1">IFERROR(IFERROR(IF(VLOOKUP($A288,'Шаг2.Бланк заказа NEW'!$B$17:$N$201,4,0)="","",VLOOKUP($A288,'Шаг2.Бланк заказа NEW'!$B$17:$N$201,4,0)),
IF(VLOOKUP($A288-COUNT('Шаг2.Бланк заказа NEW'!$B$19:$B$201),'Бланк OLD 0.8 04'!$B$12:$K$200,4,0)&gt;0,0.8,
IF(VLOOKUP($A288-COUNT('Шаг2.Бланк заказа NEW'!$B$19:$B$201),'Бланк OLD 0.8 04'!$B$12:$K$200,5,0)&gt;0,0.4,""))),
IF(VLOOKUP($A288-COUNT('Шаг2.Бланк заказа NEW'!$B$19:$B$201)-COUNT('Бланк OLD 0.8 04'!$B$18:$B$200),'Бланк OLD 2.0 04 '!$B$16:$K$200,4,0)&gt;0,2,IF(VLOOKUP($A288-COUNT('Шаг2.Бланк заказа NEW'!$B$19:$B$201)-COUNT('Бланк OLD 0.8 04'!$B$18:$B$200),'Бланк OLD 2.0 04 '!$B$16:$K$200,5,0)&gt;0,0.4,"")))</f>
        <v/>
      </c>
      <c r="S288" s="147" t="str">
        <f ca="1">IFERROR(IFERROR(IF(VLOOKUP($A288,'Шаг2.Бланк заказа NEW'!$B$17:$N$201,5,0)="","",VLOOKUP($A288,'Шаг2.Бланк заказа NEW'!$B$17:$N$201,5,0)),
IF(VLOOKUP($A288-COUNT('Шаг2.Бланк заказа NEW'!$B$19:$B$201),'Бланк OLD 0.8 04'!$B$12:$K$200,4,0)&gt;1,0.8,
IF(VLOOKUP($A288-COUNT('Шаг2.Бланк заказа NEW'!$B$19:$B$201),'Бланк OLD 0.8 04'!$B$12:$K$200,5,0)&gt;1,0.4,
IF(AND(VLOOKUP($A288-COUNT('Шаг2.Бланк заказа NEW'!$B$19:$B$201),'Бланк OLD 0.8 04'!$B$12:$K$200,4,0)&gt;0,VLOOKUP($A288-COUNT('Шаг2.Бланк заказа NEW'!$B$19:$B$201),'Бланк OLD 0.8 04'!$B$12:$K$200,5,0)&gt;0),0.4,"")))),
IF(VLOOKUP($A288-COUNT('Шаг2.Бланк заказа NEW'!$B$19:$B$201)-COUNT('Бланк OLD 0.8 04'!$B$18:$B$200),'Бланк OLD 2.0 04 '!$B$16:$K$200,4,0)&gt;1,2,
IF(VLOOKUP($A288-COUNT('Шаг2.Бланк заказа NEW'!$B$19:$B$201)-COUNT('Бланк OLD 0.8 04'!$B$18:$B$200),'Бланк OLD 2.0 04 '!$B$16:$K$200,5,0)&gt;1,0.4,IF(AND(VLOOKUP($A288-COUNT('Шаг2.Бланк заказа NEW'!$B$19:$B$201)-COUNT('Бланк OLD 0.8 04'!$B$18:$B$200),'Бланк OLD 2.0 04 '!$B$16:$K$200,4,0)&gt;0,VLOOKUP($A288-COUNT('Шаг2.Бланк заказа NEW'!$B$19:$B$201)-COUNT('Бланк OLD 0.8 04'!$B$18:$B$200),'Бланк OLD 2.0 04 '!$B$16:$K$200,5,0)&gt;0),0.4,""))))</f>
        <v/>
      </c>
      <c r="T288" s="147" t="str">
        <f ca="1">IFERROR(IFERROR(IF(VLOOKUP($A288,'Шаг2.Бланк заказа NEW'!$B$17:$N$201,7,0)="","",VLOOKUP($A288,'Шаг2.Бланк заказа NEW'!$B$17:$N$201,7,0)),
IF(VLOOKUP($A288-COUNT('Шаг2.Бланк заказа NEW'!$B$19:$B$201),'Бланк OLD 0.8 04'!$B$12:$K$200,7,0)&gt;0,0.8,
IF(VLOOKUP($A288-COUNT('Шаг2.Бланк заказа NEW'!$B$19:$B$201),'Бланк OLD 0.8 04'!$B$12:$K$200,8,0)&gt;0,0.4,""))),
IF(VLOOKUP($A288-COUNT('Шаг2.Бланк заказа NEW'!$B$19:$B$201)-COUNT('Бланк OLD 0.8 04'!$B$18:$B$200),'Бланк OLD 2.0 04 '!$B$16:$K$200,7,0)&gt;0,2,IF(VLOOKUP($A288-COUNT('Шаг2.Бланк заказа NEW'!$B$19:$B$201)-COUNT('Бланк OLD 0.8 04'!$B$18:$B$200),'Бланк OLD 2.0 04 '!$B$16:$K$200,8,0)&gt;0,0.4,"")))</f>
        <v/>
      </c>
      <c r="U288" s="147" t="str">
        <f ca="1">IFERROR(IFERROR(IF(VLOOKUP($A288,'Шаг2.Бланк заказа NEW'!$B$17:$N$201,8,0)="","",VLOOKUP($A288,'Шаг2.Бланк заказа NEW'!$B$17:$N$201,8,0)),
IF(VLOOKUP($A288-COUNT('Шаг2.Бланк заказа NEW'!$B$19:$B$201),'Бланк OLD 0.8 04'!$B$12:$K$200,7,0)&gt;1,0.8,
IF(VLOOKUP($A288-COUNT('Шаг2.Бланк заказа NEW'!$B$19:$B$201),'Бланк OLD 0.8 04'!$B$12:$K$200,8,0)&gt;1,0.4,
IF(AND(VLOOKUP($A288-COUNT('Шаг2.Бланк заказа NEW'!$B$19:$B$201),'Бланк OLD 0.8 04'!$B$12:$K$200,7,0)&gt;0,VLOOKUP($A288-COUNT('Шаг2.Бланк заказа NEW'!$B$19:$B$201),'Бланк OLD 0.8 04'!$B$12:$K$200,8,0)&gt;0),0.4,"")))),
IF(VLOOKUP($A288-COUNT('Шаг2.Бланк заказа NEW'!$B$19:$B$201)-COUNT('Бланк OLD 0.8 04'!$B$18:$B$200),'Бланк OLD 2.0 04 '!$B$16:$K$200,7,0)&gt;1,2,
IF(VLOOKUP($A288-COUNT('Шаг2.Бланк заказа NEW'!$B$19:$B$201)-COUNT('Бланк OLD 0.8 04'!$B$18:$B$200),'Бланк OLD 2.0 04 '!$B$16:$K$200,8,0)&gt;1,0.4,
IF(AND(VLOOKUP($A288-COUNT('Шаг2.Бланк заказа NEW'!$B$19:$B$201)-COUNT('Бланк OLD 0.8 04'!$B$18:$B$200),'Бланк OLD 2.0 04 '!$B$16:$K$200,7,0)&gt;0,VLOOKUP($A288-COUNT('Шаг2.Бланк заказа NEW'!$B$19:$B$201)-COUNT('Бланк OLD 0.8 04'!$B$18:$B$200),'Бланк OLD 2.0 04 '!$B$16:$K$200,8,0)&gt;0),0.4,""))))</f>
        <v/>
      </c>
      <c r="V288" s="146" t="str">
        <f ca="1">IFERROR(VLOOKUP(C288,'Шаг1.Выбор плиты'!C:S,12,0),"")</f>
        <v/>
      </c>
      <c r="W288" s="146" t="str">
        <f ca="1">IFERROR(VLOOKUP(C288,'Шаг1.Выбор плиты'!C:S,8,0),"")</f>
        <v/>
      </c>
      <c r="X288" s="146" t="str">
        <f ca="1">IFERROR(VLOOKUP(C288,'Шаг1.Выбор плиты'!C:S,10,0),"")</f>
        <v/>
      </c>
      <c r="Y288" s="147" t="str">
        <f t="shared" ca="1" si="23"/>
        <v/>
      </c>
      <c r="AD288" s="147" t="str">
        <f t="shared" ca="1" si="26"/>
        <v/>
      </c>
      <c r="AE288" s="147" t="str">
        <f t="shared" ca="1" si="24"/>
        <v/>
      </c>
      <c r="AF288" s="25"/>
      <c r="AH288" s="147" t="str">
        <f ca="1">IF(C288="","",VLOOKUP(C288,'Шаг1.Выбор плиты'!C:Q,7,0))</f>
        <v/>
      </c>
      <c r="AI288" s="147" t="str">
        <f t="shared" ca="1" si="27"/>
        <v/>
      </c>
    </row>
    <row r="289" spans="1:35" x14ac:dyDescent="0.2">
      <c r="A289" s="151" t="str">
        <f ca="1">IF(C289="","",MAX($A$1:OFFSET(C289,-1,0))+1)</f>
        <v/>
      </c>
      <c r="B289" s="151" t="str">
        <f ca="1">IFERROR(IFERROR(IFERROR("Шаг2.Бланк заказа NEW №"&amp;VLOOKUP(A288+1,CHOOSE({1,2},'Шаг2.Бланк заказа NEW'!$B$19:$B$201,'Шаг2.Бланк заказа NEW'!$A$19:$A$201),1,0),
"Бланк OLD 0.8 04 №"&amp;VLOOKUP(A288+1-COUNT('Шаг2.Бланк заказа NEW'!$B$19:$B$201),CHOOSE({1,2},'Бланк OLD 0.8 04'!$B$18:$B$200,'Бланк OLD 0.8 04'!$A$18:$A$200),1,0)),
"Бланк OLD 2.0 04 №"&amp;VLOOKUP(A288+1-COUNT('Шаг2.Бланк заказа NEW'!$B$19:$B$201)-COUNT('Бланк OLD 0.8 04'!$B$18:$B$200),CHOOSE({1,2},'Бланк OLD 2.0 04 '!$B$18:$B$200,'Бланк OLD 2.0 04 '!$A$18:$A$200),1,0)),"")</f>
        <v/>
      </c>
      <c r="C289" s="152" t="str">
        <f ca="1">IFERROR(IFERROR(IFERROR(VLOOKUP(A288+1,CHOOSE({1,2},'Шаг2.Бланк заказа NEW'!$B$19:$B$201,'Шаг2.Бланк заказа NEW'!$A$19:$A$201),2,0),
VLOOKUP(A288+1-COUNT('Шаг2.Бланк заказа NEW'!$B$19:$B$201),CHOOSE({1,2},'Бланк OLD 0.8 04'!$B$18:$B$200,'Бланк OLD 0.8 04'!$A$18:$A$200),2,0)),
VLOOKUP(A288+1-COUNT('Шаг2.Бланк заказа NEW'!$B$19:$B$201)-COUNT('Бланк OLD 0.8 04'!$B$18:$B$200),CHOOSE({1,2},'Бланк OLD 2.0 04 '!$B$18:$B$200,'Бланк OLD 2.0 04 '!$A$18:$A$200),2,0)),"")</f>
        <v/>
      </c>
      <c r="D289" s="150" t="str">
        <f ca="1">IFERROR(VLOOKUP(C289,'Шаг1.Выбор плиты'!C:G,5,0),"")</f>
        <v/>
      </c>
      <c r="E289" s="147" t="str">
        <f ca="1">IFERROR(IFERROR(IF(VLOOKUP($A289,'Шаг2.Бланк заказа NEW'!$B$17:$N$201,2,0)="","",VLOOKUP($A289,'Шаг2.Бланк заказа NEW'!$B$17:$N$201,2,0)),
IF(VLOOKUP($A289-COUNT('Шаг2.Бланк заказа NEW'!$B$19:$B$201),'Бланк OLD 0.8 04'!$B$12:$K$200,2,0)="","",VLOOKUP($A289-COUNT('Шаг2.Бланк заказа NEW'!$B$19:$B$201),'Бланк OLD 0.8 04'!$B$12:$K$200,2,0))),
IF(VLOOKUP($A289-COUNT('Шаг2.Бланк заказа NEW'!$B$19:$B$201)-COUNT('Бланк OLD 0.8 04'!$B$18:$B$200),'Бланк OLD 2.0 04 '!$B$16:$K$200,2,0)="","",VLOOKUP($A289-COUNT('Шаг2.Бланк заказа NEW'!$B$19:$B$201)-COUNT('Бланк OLD 0.8 04'!$B$18:$B$200),'Бланк OLD 2.0 04 '!$B$16:$K$200,2,0)))</f>
        <v/>
      </c>
      <c r="F289" s="147" t="str">
        <f ca="1">IFERROR(IFERROR(IF(VLOOKUP($A289,'Шаг2.Бланк заказа NEW'!$B$17:$N$201,3,0)="","",VLOOKUP($A289,'Шаг2.Бланк заказа NEW'!$B$17:$N$201,3,0)),
IF(VLOOKUP($A289-COUNT('Шаг2.Бланк заказа NEW'!$B$19:$B$201),'Бланк OLD 0.8 04'!$B$12:$K$200,3,0)="","",VLOOKUP($A289-COUNT('Шаг2.Бланк заказа NEW'!$B$19:$B$201),'Бланк OLD 0.8 04'!$B$12:$K$200,3,0))),
IF(VLOOKUP($A289-COUNT('Шаг2.Бланк заказа NEW'!$B$19:$B$201)-COUNT('Бланк OLD 0.8 04'!$B$18:$B$200),'Бланк OLD 2.0 04 '!$B$16:$K$200,3,0)="","",VLOOKUP($A289-COUNT('Шаг2.Бланк заказа NEW'!$B$19:$B$201)-COUNT('Бланк OLD 0.8 04'!$B$18:$B$200),'Бланк OLD 2.0 04 '!$B$16:$K$200,3,0)))</f>
        <v/>
      </c>
      <c r="G289" s="176" t="str">
        <f ca="1">IF(IF(R289="","",IF(R289=1,SUMIFS('Шаг1.Выбор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плиты'!C:Q,12,0)),1))))))=0,
R289,
IF(R289="","",IF(R289=1,SUMIFS('Шаг1.Выбор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плиты'!N:N,R289,'Шаг1.Выбор плиты'!M:M,SMALL(INDIRECT("мм"&amp;VLOOKUP(C289,'Шаг1.Выбор плиты'!C:Q,12,0)),1)))))))</f>
        <v/>
      </c>
      <c r="H289" s="177" t="str">
        <f ca="1">IF(IF(S289="","",IF(S289=1,SUMIFS('Шаг1.Выбор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плиты'!C:Q,12,0)),1))))))=0,
S289,
IF(S289="","",IF(S289=1,SUMIFS('Шаг1.Выбор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плиты'!N:N,S289,'Шаг1.Выбор плиты'!M:M,SMALL(INDIRECT("мм"&amp;VLOOKUP(C289,'Шаг1.Выбор плиты'!C:Q,12,0)),1)))))))</f>
        <v/>
      </c>
      <c r="I289" s="147" t="str">
        <f ca="1">IFERROR(IFERROR(IF(VLOOKUP($A289,'Шаг2.Бланк заказа NEW'!$B$17:$N$201,6,0)="","",VLOOKUP($A289,'Шаг2.Бланк заказа NEW'!$B$17:$N$201,6,0)),
IF(VLOOKUP($A289-COUNT('Шаг2.Бланк заказа NEW'!$B$19:$B$201),'Бланк OLD 0.8 04'!$B$12:$K$200,6,0)="","",VLOOKUP($A289-COUNT('Шаг2.Бланк заказа NEW'!$B$19:$B$201),'Бланк OLD 0.8 04'!$B$12:$K$200,6,0))),
IF(VLOOKUP($A289-COUNT('Шаг2.Бланк заказа NEW'!$B$19:$B$201)-COUNT('Бланк OLD 0.8 04'!$B$18:$B$200),'Бланк OLD 2.0 04 '!$B$16:$K$200,6,0)="","",VLOOKUP($A289-COUNT('Шаг2.Бланк заказа NEW'!$B$19:$B$201)-COUNT('Бланк OLD 0.8 04'!$B$18:$B$200),'Бланк OLD 2.0 04 '!$B$16:$K$200,6,0)))</f>
        <v/>
      </c>
      <c r="J289" s="177" t="str">
        <f ca="1">IF(IF(T289="","",IF(T289=1,SUMIFS('Шаг1.Выбор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плиты'!C:Q,12,0)),1))))))=0,
T289,
IF(T289="","",IF(T289=1,SUMIFS('Шаг1.Выбор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плиты'!N:N,T289,'Шаг1.Выбор плиты'!M:M,SMALL(INDIRECT("мм"&amp;VLOOKUP(C289,'Шаг1.Выбор плиты'!C:Q,12,0)),1)))))))</f>
        <v/>
      </c>
      <c r="K289" s="177" t="str">
        <f ca="1">IF(IF(U289="","",IF(U289=1,SUMIFS('Шаг1.Выбор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плиты'!C:Q,12,0)),1))))))=0,
U289,
IF(U289="","",IF(U289=1,SUMIFS('Шаг1.Выбор плиты'!$G:$G,'Шаг1.Выбор плиты'!J:J,"*"&amp;RIGHT(VLOOKUP(C289,'Шаг1.Выбор плиты'!C:Q,8,0),4),'Шаг1.Выбор плиты'!L:L,IF(MID(C289,1,6)="ЛДСП P","TM"&amp;MID(VLOOKUP(C289,'Шаг1.Выбор плиты'!C:Q,10,0),3,2),MID(VLOOKUP(C289,'Шаг1.Выбор плиты'!C:Q,10,0),1,2)),
'Шаг1.Выбор плиты'!N:N,1),IF(SUMIFS('Шаг1.Выбор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плиты'!C:Q,12,0)),1))=0,
IF(SUMIFS('Шаг1.Выбор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плиты'!C:Q,12,0)),2))=0,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плиты'!C:Q,12,0)),3)),
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плиты'!C:Q,12,0)),2))),
(SUMIFS('Шаг1.Выбор плиты'!$G:$G,'Шаг1.Выбор плиты'!J:J,"*"&amp;RIGHT(VLOOKUP(C289,'Шаг1.Выбор плиты'!C:Q,8,0),4),'Шаг1.Выбор плиты'!L:L,VLOOKUP(C289,'Шаг1.Выбор плиты'!C:Q,10,0),'Шаг1.Выбор плиты'!N:N,U289,'Шаг1.Выбор плиты'!M:M,SMALL(INDIRECT("мм"&amp;VLOOKUP(C289,'Шаг1.Выбор плиты'!C:Q,12,0)),1)))))))</f>
        <v/>
      </c>
      <c r="L289" s="147" t="str">
        <f ca="1">IFERROR(IFERROR(IF(VLOOKUP($A289,'Шаг2.Бланк заказа NEW'!$B$17:$N$201,9,0)="","",VLOOKUP($A289,'Шаг2.Бланк заказа NEW'!$B$17:$N$201,9,0)),
IF(VLOOKUP($A289-COUNT('Шаг2.Бланк заказа NEW'!$B$19:$B$201),'Бланк OLD 0.8 04'!$B$12:$K$200,9,0)="","",VLOOKUP($A289-COUNT('Шаг2.Бланк заказа NEW'!$B$19:$B$201),'Бланк OLD 0.8 04'!$B$12:$K$200,9,0))),
IF(VLOOKUP($A289-COUNT('Шаг2.Бланк заказа NEW'!$B$19:$B$201)-COUNT('Бланк OLD 0.8 04'!$B$18:$B$200),'Бланк OLD 2.0 04 '!$B$16:$K$200,9,0)="","",VLOOKUP($A289-COUNT('Шаг2.Бланк заказа NEW'!$B$19:$B$201)-COUNT('Бланк OLD 0.8 04'!$B$18:$B$200),'Бланк OLD 2.0 04 '!$B$16:$K$200,9,0)))</f>
        <v/>
      </c>
      <c r="M289" s="154" t="str">
        <f t="shared" ca="1" si="25"/>
        <v/>
      </c>
      <c r="N289" s="153" t="str">
        <f ca="1">IFERROR(IF(VLOOKUP($A289,'Шаг2.Бланк заказа NEW'!$B$17:$N$201,11,0)="","",VLOOKUP($A289,'Шаг2.Бланк заказа NEW'!$B$17:$N$201,11,0)),
"Нет")</f>
        <v/>
      </c>
      <c r="O289" s="147" t="str">
        <f ca="1">IFERROR(IF(VLOOKUP($A289,'Шаг2.Бланк заказа NEW'!$B$17:$N$201,11,0)="","",VLOOKUP($A289,'Шаг2.Бланк заказа NEW'!$B$17:$N$201,12,0)),
"Нет")</f>
        <v/>
      </c>
      <c r="P289" s="153" t="str">
        <f ca="1">IFERROR(IF(VLOOKUP($A289,'Шаг2.Бланк заказа NEW'!$B$17:$N$201,13,0)="","",VLOOKUP($A289,'Шаг2.Бланк заказа NEW'!$B$17:$N$201,13,0)),
"Нет")</f>
        <v/>
      </c>
      <c r="Q289" s="147" t="str">
        <f ca="1">IFERROR(IF(VLOOKUP($A289,'Шаг2.Бланк заказа NEW'!$B$17:$O$201,14,0)="","",VLOOKUP($A289,'Шаг2.Бланк заказа NEW'!$B$17:$O$201,14,0)),"")</f>
        <v/>
      </c>
      <c r="R289" s="147" t="str">
        <f ca="1">IFERROR(IFERROR(IF(VLOOKUP($A289,'Шаг2.Бланк заказа NEW'!$B$17:$N$201,4,0)="","",VLOOKUP($A289,'Шаг2.Бланк заказа NEW'!$B$17:$N$201,4,0)),
IF(VLOOKUP($A289-COUNT('Шаг2.Бланк заказа NEW'!$B$19:$B$201),'Бланк OLD 0.8 04'!$B$12:$K$200,4,0)&gt;0,0.8,
IF(VLOOKUP($A289-COUNT('Шаг2.Бланк заказа NEW'!$B$19:$B$201),'Бланк OLD 0.8 04'!$B$12:$K$200,5,0)&gt;0,0.4,""))),
IF(VLOOKUP($A289-COUNT('Шаг2.Бланк заказа NEW'!$B$19:$B$201)-COUNT('Бланк OLD 0.8 04'!$B$18:$B$200),'Бланк OLD 2.0 04 '!$B$16:$K$200,4,0)&gt;0,2,IF(VLOOKUP($A289-COUNT('Шаг2.Бланк заказа NEW'!$B$19:$B$201)-COUNT('Бланк OLD 0.8 04'!$B$18:$B$200),'Бланк OLD 2.0 04 '!$B$16:$K$200,5,0)&gt;0,0.4,"")))</f>
        <v/>
      </c>
      <c r="S289" s="147" t="str">
        <f ca="1">IFERROR(IFERROR(IF(VLOOKUP($A289,'Шаг2.Бланк заказа NEW'!$B$17:$N$201,5,0)="","",VLOOKUP($A289,'Шаг2.Бланк заказа NEW'!$B$17:$N$201,5,0)),
IF(VLOOKUP($A289-COUNT('Шаг2.Бланк заказа NEW'!$B$19:$B$201),'Бланк OLD 0.8 04'!$B$12:$K$200,4,0)&gt;1,0.8,
IF(VLOOKUP($A289-COUNT('Шаг2.Бланк заказа NEW'!$B$19:$B$201),'Бланк OLD 0.8 04'!$B$12:$K$200,5,0)&gt;1,0.4,
IF(AND(VLOOKUP($A289-COUNT('Шаг2.Бланк заказа NEW'!$B$19:$B$201),'Бланк OLD 0.8 04'!$B$12:$K$200,4,0)&gt;0,VLOOKUP($A289-COUNT('Шаг2.Бланк заказа NEW'!$B$19:$B$201),'Бланк OLD 0.8 04'!$B$12:$K$200,5,0)&gt;0),0.4,"")))),
IF(VLOOKUP($A289-COUNT('Шаг2.Бланк заказа NEW'!$B$19:$B$201)-COUNT('Бланк OLD 0.8 04'!$B$18:$B$200),'Бланк OLD 2.0 04 '!$B$16:$K$200,4,0)&gt;1,2,
IF(VLOOKUP($A289-COUNT('Шаг2.Бланк заказа NEW'!$B$19:$B$201)-COUNT('Бланк OLD 0.8 04'!$B$18:$B$200),'Бланк OLD 2.0 04 '!$B$16:$K$200,5,0)&gt;1,0.4,IF(AND(VLOOKUP($A289-COUNT('Шаг2.Бланк заказа NEW'!$B$19:$B$201)-COUNT('Бланк OLD 0.8 04'!$B$18:$B$200),'Бланк OLD 2.0 04 '!$B$16:$K$200,4,0)&gt;0,VLOOKUP($A289-COUNT('Шаг2.Бланк заказа NEW'!$B$19:$B$201)-COUNT('Бланк OLD 0.8 04'!$B$18:$B$200),'Бланк OLD 2.0 04 '!$B$16:$K$200,5,0)&gt;0),0.4,""))))</f>
        <v/>
      </c>
      <c r="T289" s="147" t="str">
        <f ca="1">IFERROR(IFERROR(IF(VLOOKUP($A289,'Шаг2.Бланк заказа NEW'!$B$17:$N$201,7,0)="","",VLOOKUP($A289,'Шаг2.Бланк заказа NEW'!$B$17:$N$201,7,0)),
IF(VLOOKUP($A289-COUNT('Шаг2.Бланк заказа NEW'!$B$19:$B$201),'Бланк OLD 0.8 04'!$B$12:$K$200,7,0)&gt;0,0.8,
IF(VLOOKUP($A289-COUNT('Шаг2.Бланк заказа NEW'!$B$19:$B$201),'Бланк OLD 0.8 04'!$B$12:$K$200,8,0)&gt;0,0.4,""))),
IF(VLOOKUP($A289-COUNT('Шаг2.Бланк заказа NEW'!$B$19:$B$201)-COUNT('Бланк OLD 0.8 04'!$B$18:$B$200),'Бланк OLD 2.0 04 '!$B$16:$K$200,7,0)&gt;0,2,IF(VLOOKUP($A289-COUNT('Шаг2.Бланк заказа NEW'!$B$19:$B$201)-COUNT('Бланк OLD 0.8 04'!$B$18:$B$200),'Бланк OLD 2.0 04 '!$B$16:$K$200,8,0)&gt;0,0.4,"")))</f>
        <v/>
      </c>
      <c r="U289" s="147" t="str">
        <f ca="1">IFERROR(IFERROR(IF(VLOOKUP($A289,'Шаг2.Бланк заказа NEW'!$B$17:$N$201,8,0)="","",VLOOKUP($A289,'Шаг2.Бланк заказа NEW'!$B$17:$N$201,8,0)),
IF(VLOOKUP($A289-COUNT('Шаг2.Бланк заказа NEW'!$B$19:$B$201),'Бланк OLD 0.8 04'!$B$12:$K$200,7,0)&gt;1,0.8,
IF(VLOOKUP($A289-COUNT('Шаг2.Бланк заказа NEW'!$B$19:$B$201),'Бланк OLD 0.8 04'!$B$12:$K$200,8,0)&gt;1,0.4,
IF(AND(VLOOKUP($A289-COUNT('Шаг2.Бланк заказа NEW'!$B$19:$B$201),'Бланк OLD 0.8 04'!$B$12:$K$200,7,0)&gt;0,VLOOKUP($A289-COUNT('Шаг2.Бланк заказа NEW'!$B$19:$B$201),'Бланк OLD 0.8 04'!$B$12:$K$200,8,0)&gt;0),0.4,"")))),
IF(VLOOKUP($A289-COUNT('Шаг2.Бланк заказа NEW'!$B$19:$B$201)-COUNT('Бланк OLD 0.8 04'!$B$18:$B$200),'Бланк OLD 2.0 04 '!$B$16:$K$200,7,0)&gt;1,2,
IF(VLOOKUP($A289-COUNT('Шаг2.Бланк заказа NEW'!$B$19:$B$201)-COUNT('Бланк OLD 0.8 04'!$B$18:$B$200),'Бланк OLD 2.0 04 '!$B$16:$K$200,8,0)&gt;1,0.4,
IF(AND(VLOOKUP($A289-COUNT('Шаг2.Бланк заказа NEW'!$B$19:$B$201)-COUNT('Бланк OLD 0.8 04'!$B$18:$B$200),'Бланк OLD 2.0 04 '!$B$16:$K$200,7,0)&gt;0,VLOOKUP($A289-COUNT('Шаг2.Бланк заказа NEW'!$B$19:$B$201)-COUNT('Бланк OLD 0.8 04'!$B$18:$B$200),'Бланк OLD 2.0 04 '!$B$16:$K$200,8,0)&gt;0),0.4,""))))</f>
        <v/>
      </c>
      <c r="V289" s="146" t="str">
        <f ca="1">IFERROR(VLOOKUP(C289,'Шаг1.Выбор плиты'!C:S,12,0),"")</f>
        <v/>
      </c>
      <c r="W289" s="146" t="str">
        <f ca="1">IFERROR(VLOOKUP(C289,'Шаг1.Выбор плиты'!C:S,8,0),"")</f>
        <v/>
      </c>
      <c r="X289" s="146" t="str">
        <f ca="1">IFERROR(VLOOKUP(C289,'Шаг1.Выбор плиты'!C:S,10,0),"")</f>
        <v/>
      </c>
      <c r="Y289" s="147" t="str">
        <f t="shared" ca="1" si="23"/>
        <v/>
      </c>
      <c r="AD289" s="147" t="str">
        <f t="shared" ca="1" si="26"/>
        <v/>
      </c>
      <c r="AE289" s="147" t="str">
        <f t="shared" ca="1" si="24"/>
        <v/>
      </c>
      <c r="AF289" s="25"/>
      <c r="AH289" s="147" t="str">
        <f ca="1">IF(C289="","",VLOOKUP(C289,'Шаг1.Выбор плиты'!C:Q,7,0))</f>
        <v/>
      </c>
      <c r="AI289" s="147" t="str">
        <f t="shared" ca="1" si="27"/>
        <v/>
      </c>
    </row>
    <row r="290" spans="1:35" x14ac:dyDescent="0.2">
      <c r="A290" s="151" t="str">
        <f ca="1">IF(C290="","",MAX($A$1:OFFSET(C290,-1,0))+1)</f>
        <v/>
      </c>
      <c r="B290" s="151" t="str">
        <f ca="1">IFERROR(IFERROR(IFERROR("Шаг2.Бланк заказа NEW №"&amp;VLOOKUP(A289+1,CHOOSE({1,2},'Шаг2.Бланк заказа NEW'!$B$19:$B$201,'Шаг2.Бланк заказа NEW'!$A$19:$A$201),1,0),
"Бланк OLD 0.8 04 №"&amp;VLOOKUP(A289+1-COUNT('Шаг2.Бланк заказа NEW'!$B$19:$B$201),CHOOSE({1,2},'Бланк OLD 0.8 04'!$B$18:$B$200,'Бланк OLD 0.8 04'!$A$18:$A$200),1,0)),
"Бланк OLD 2.0 04 №"&amp;VLOOKUP(A289+1-COUNT('Шаг2.Бланк заказа NEW'!$B$19:$B$201)-COUNT('Бланк OLD 0.8 04'!$B$18:$B$200),CHOOSE({1,2},'Бланк OLD 2.0 04 '!$B$18:$B$200,'Бланк OLD 2.0 04 '!$A$18:$A$200),1,0)),"")</f>
        <v/>
      </c>
      <c r="C290" s="152" t="str">
        <f ca="1">IFERROR(IFERROR(IFERROR(VLOOKUP(A289+1,CHOOSE({1,2},'Шаг2.Бланк заказа NEW'!$B$19:$B$201,'Шаг2.Бланк заказа NEW'!$A$19:$A$201),2,0),
VLOOKUP(A289+1-COUNT('Шаг2.Бланк заказа NEW'!$B$19:$B$201),CHOOSE({1,2},'Бланк OLD 0.8 04'!$B$18:$B$200,'Бланк OLD 0.8 04'!$A$18:$A$200),2,0)),
VLOOKUP(A289+1-COUNT('Шаг2.Бланк заказа NEW'!$B$19:$B$201)-COUNT('Бланк OLD 0.8 04'!$B$18:$B$200),CHOOSE({1,2},'Бланк OLD 2.0 04 '!$B$18:$B$200,'Бланк OLD 2.0 04 '!$A$18:$A$200),2,0)),"")</f>
        <v/>
      </c>
      <c r="D290" s="150" t="str">
        <f ca="1">IFERROR(VLOOKUP(C290,'Шаг1.Выбор плиты'!C:G,5,0),"")</f>
        <v/>
      </c>
      <c r="E290" s="147" t="str">
        <f ca="1">IFERROR(IFERROR(IF(VLOOKUP($A290,'Шаг2.Бланк заказа NEW'!$B$17:$N$201,2,0)="","",VLOOKUP($A290,'Шаг2.Бланк заказа NEW'!$B$17:$N$201,2,0)),
IF(VLOOKUP($A290-COUNT('Шаг2.Бланк заказа NEW'!$B$19:$B$201),'Бланк OLD 0.8 04'!$B$12:$K$200,2,0)="","",VLOOKUP($A290-COUNT('Шаг2.Бланк заказа NEW'!$B$19:$B$201),'Бланк OLD 0.8 04'!$B$12:$K$200,2,0))),
IF(VLOOKUP($A290-COUNT('Шаг2.Бланк заказа NEW'!$B$19:$B$201)-COUNT('Бланк OLD 0.8 04'!$B$18:$B$200),'Бланк OLD 2.0 04 '!$B$16:$K$200,2,0)="","",VLOOKUP($A290-COUNT('Шаг2.Бланк заказа NEW'!$B$19:$B$201)-COUNT('Бланк OLD 0.8 04'!$B$18:$B$200),'Бланк OLD 2.0 04 '!$B$16:$K$200,2,0)))</f>
        <v/>
      </c>
      <c r="F290" s="147" t="str">
        <f ca="1">IFERROR(IFERROR(IF(VLOOKUP($A290,'Шаг2.Бланк заказа NEW'!$B$17:$N$201,3,0)="","",VLOOKUP($A290,'Шаг2.Бланк заказа NEW'!$B$17:$N$201,3,0)),
IF(VLOOKUP($A290-COUNT('Шаг2.Бланк заказа NEW'!$B$19:$B$201),'Бланк OLD 0.8 04'!$B$12:$K$200,3,0)="","",VLOOKUP($A290-COUNT('Шаг2.Бланк заказа NEW'!$B$19:$B$201),'Бланк OLD 0.8 04'!$B$12:$K$200,3,0))),
IF(VLOOKUP($A290-COUNT('Шаг2.Бланк заказа NEW'!$B$19:$B$201)-COUNT('Бланк OLD 0.8 04'!$B$18:$B$200),'Бланк OLD 2.0 04 '!$B$16:$K$200,3,0)="","",VLOOKUP($A290-COUNT('Шаг2.Бланк заказа NEW'!$B$19:$B$201)-COUNT('Бланк OLD 0.8 04'!$B$18:$B$200),'Бланк OLD 2.0 04 '!$B$16:$K$200,3,0)))</f>
        <v/>
      </c>
      <c r="G290" s="176" t="str">
        <f ca="1">IF(IF(R290="","",IF(R290=1,SUMIFS('Шаг1.Выбор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плиты'!C:Q,12,0)),1))))))=0,
R290,
IF(R290="","",IF(R290=1,SUMIFS('Шаг1.Выбор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плиты'!N:N,R290,'Шаг1.Выбор плиты'!M:M,SMALL(INDIRECT("мм"&amp;VLOOKUP(C290,'Шаг1.Выбор плиты'!C:Q,12,0)),1)))))))</f>
        <v/>
      </c>
      <c r="H290" s="177" t="str">
        <f ca="1">IF(IF(S290="","",IF(S290=1,SUMIFS('Шаг1.Выбор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плиты'!C:Q,12,0)),1))))))=0,
S290,
IF(S290="","",IF(S290=1,SUMIFS('Шаг1.Выбор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плиты'!N:N,S290,'Шаг1.Выбор плиты'!M:M,SMALL(INDIRECT("мм"&amp;VLOOKUP(C290,'Шаг1.Выбор плиты'!C:Q,12,0)),1)))))))</f>
        <v/>
      </c>
      <c r="I290" s="147" t="str">
        <f ca="1">IFERROR(IFERROR(IF(VLOOKUP($A290,'Шаг2.Бланк заказа NEW'!$B$17:$N$201,6,0)="","",VLOOKUP($A290,'Шаг2.Бланк заказа NEW'!$B$17:$N$201,6,0)),
IF(VLOOKUP($A290-COUNT('Шаг2.Бланк заказа NEW'!$B$19:$B$201),'Бланк OLD 0.8 04'!$B$12:$K$200,6,0)="","",VLOOKUP($A290-COUNT('Шаг2.Бланк заказа NEW'!$B$19:$B$201),'Бланк OLD 0.8 04'!$B$12:$K$200,6,0))),
IF(VLOOKUP($A290-COUNT('Шаг2.Бланк заказа NEW'!$B$19:$B$201)-COUNT('Бланк OLD 0.8 04'!$B$18:$B$200),'Бланк OLD 2.0 04 '!$B$16:$K$200,6,0)="","",VLOOKUP($A290-COUNT('Шаг2.Бланк заказа NEW'!$B$19:$B$201)-COUNT('Бланк OLD 0.8 04'!$B$18:$B$200),'Бланк OLD 2.0 04 '!$B$16:$K$200,6,0)))</f>
        <v/>
      </c>
      <c r="J290" s="177" t="str">
        <f ca="1">IF(IF(T290="","",IF(T290=1,SUMIFS('Шаг1.Выбор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плиты'!C:Q,12,0)),1))))))=0,
T290,
IF(T290="","",IF(T290=1,SUMIFS('Шаг1.Выбор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плиты'!N:N,T290,'Шаг1.Выбор плиты'!M:M,SMALL(INDIRECT("мм"&amp;VLOOKUP(C290,'Шаг1.Выбор плиты'!C:Q,12,0)),1)))))))</f>
        <v/>
      </c>
      <c r="K290" s="177" t="str">
        <f ca="1">IF(IF(U290="","",IF(U290=1,SUMIFS('Шаг1.Выбор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плиты'!C:Q,12,0)),1))))))=0,
U290,
IF(U290="","",IF(U290=1,SUMIFS('Шаг1.Выбор плиты'!$G:$G,'Шаг1.Выбор плиты'!J:J,"*"&amp;RIGHT(VLOOKUP(C290,'Шаг1.Выбор плиты'!C:Q,8,0),4),'Шаг1.Выбор плиты'!L:L,IF(MID(C290,1,6)="ЛДСП P","TM"&amp;MID(VLOOKUP(C290,'Шаг1.Выбор плиты'!C:Q,10,0),3,2),MID(VLOOKUP(C290,'Шаг1.Выбор плиты'!C:Q,10,0),1,2)),
'Шаг1.Выбор плиты'!N:N,1),IF(SUMIFS('Шаг1.Выбор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плиты'!C:Q,12,0)),1))=0,
IF(SUMIFS('Шаг1.Выбор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плиты'!C:Q,12,0)),2))=0,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плиты'!C:Q,12,0)),3)),
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плиты'!C:Q,12,0)),2))),
(SUMIFS('Шаг1.Выбор плиты'!$G:$G,'Шаг1.Выбор плиты'!J:J,"*"&amp;RIGHT(VLOOKUP(C290,'Шаг1.Выбор плиты'!C:Q,8,0),4),'Шаг1.Выбор плиты'!L:L,VLOOKUP(C290,'Шаг1.Выбор плиты'!C:Q,10,0),'Шаг1.Выбор плиты'!N:N,U290,'Шаг1.Выбор плиты'!M:M,SMALL(INDIRECT("мм"&amp;VLOOKUP(C290,'Шаг1.Выбор плиты'!C:Q,12,0)),1)))))))</f>
        <v/>
      </c>
      <c r="L290" s="147" t="str">
        <f ca="1">IFERROR(IFERROR(IF(VLOOKUP($A290,'Шаг2.Бланк заказа NEW'!$B$17:$N$201,9,0)="","",VLOOKUP($A290,'Шаг2.Бланк заказа NEW'!$B$17:$N$201,9,0)),
IF(VLOOKUP($A290-COUNT('Шаг2.Бланк заказа NEW'!$B$19:$B$201),'Бланк OLD 0.8 04'!$B$12:$K$200,9,0)="","",VLOOKUP($A290-COUNT('Шаг2.Бланк заказа NEW'!$B$19:$B$201),'Бланк OLD 0.8 04'!$B$12:$K$200,9,0))),
IF(VLOOKUP($A290-COUNT('Шаг2.Бланк заказа NEW'!$B$19:$B$201)-COUNT('Бланк OLD 0.8 04'!$B$18:$B$200),'Бланк OLD 2.0 04 '!$B$16:$K$200,9,0)="","",VLOOKUP($A290-COUNT('Шаг2.Бланк заказа NEW'!$B$19:$B$201)-COUNT('Бланк OLD 0.8 04'!$B$18:$B$200),'Бланк OLD 2.0 04 '!$B$16:$K$200,9,0)))</f>
        <v/>
      </c>
      <c r="M290" s="154" t="str">
        <f t="shared" ca="1" si="25"/>
        <v/>
      </c>
      <c r="N290" s="153" t="str">
        <f ca="1">IFERROR(IF(VLOOKUP($A290,'Шаг2.Бланк заказа NEW'!$B$17:$N$201,11,0)="","",VLOOKUP($A290,'Шаг2.Бланк заказа NEW'!$B$17:$N$201,11,0)),
"Нет")</f>
        <v/>
      </c>
      <c r="O290" s="147" t="str">
        <f ca="1">IFERROR(IF(VLOOKUP($A290,'Шаг2.Бланк заказа NEW'!$B$17:$N$201,11,0)="","",VLOOKUP($A290,'Шаг2.Бланк заказа NEW'!$B$17:$N$201,12,0)),
"Нет")</f>
        <v/>
      </c>
      <c r="P290" s="153" t="str">
        <f ca="1">IFERROR(IF(VLOOKUP($A290,'Шаг2.Бланк заказа NEW'!$B$17:$N$201,13,0)="","",VLOOKUP($A290,'Шаг2.Бланк заказа NEW'!$B$17:$N$201,13,0)),
"Нет")</f>
        <v/>
      </c>
      <c r="Q290" s="147" t="str">
        <f ca="1">IFERROR(IF(VLOOKUP($A290,'Шаг2.Бланк заказа NEW'!$B$17:$O$201,14,0)="","",VLOOKUP($A290,'Шаг2.Бланк заказа NEW'!$B$17:$O$201,14,0)),"")</f>
        <v/>
      </c>
      <c r="R290" s="147" t="str">
        <f ca="1">IFERROR(IFERROR(IF(VLOOKUP($A290,'Шаг2.Бланк заказа NEW'!$B$17:$N$201,4,0)="","",VLOOKUP($A290,'Шаг2.Бланк заказа NEW'!$B$17:$N$201,4,0)),
IF(VLOOKUP($A290-COUNT('Шаг2.Бланк заказа NEW'!$B$19:$B$201),'Бланк OLD 0.8 04'!$B$12:$K$200,4,0)&gt;0,0.8,
IF(VLOOKUP($A290-COUNT('Шаг2.Бланк заказа NEW'!$B$19:$B$201),'Бланк OLD 0.8 04'!$B$12:$K$200,5,0)&gt;0,0.4,""))),
IF(VLOOKUP($A290-COUNT('Шаг2.Бланк заказа NEW'!$B$19:$B$201)-COUNT('Бланк OLD 0.8 04'!$B$18:$B$200),'Бланк OLD 2.0 04 '!$B$16:$K$200,4,0)&gt;0,2,IF(VLOOKUP($A290-COUNT('Шаг2.Бланк заказа NEW'!$B$19:$B$201)-COUNT('Бланк OLD 0.8 04'!$B$18:$B$200),'Бланк OLD 2.0 04 '!$B$16:$K$200,5,0)&gt;0,0.4,"")))</f>
        <v/>
      </c>
      <c r="S290" s="147" t="str">
        <f ca="1">IFERROR(IFERROR(IF(VLOOKUP($A290,'Шаг2.Бланк заказа NEW'!$B$17:$N$201,5,0)="","",VLOOKUP($A290,'Шаг2.Бланк заказа NEW'!$B$17:$N$201,5,0)),
IF(VLOOKUP($A290-COUNT('Шаг2.Бланк заказа NEW'!$B$19:$B$201),'Бланк OLD 0.8 04'!$B$12:$K$200,4,0)&gt;1,0.8,
IF(VLOOKUP($A290-COUNT('Шаг2.Бланк заказа NEW'!$B$19:$B$201),'Бланк OLD 0.8 04'!$B$12:$K$200,5,0)&gt;1,0.4,
IF(AND(VLOOKUP($A290-COUNT('Шаг2.Бланк заказа NEW'!$B$19:$B$201),'Бланк OLD 0.8 04'!$B$12:$K$200,4,0)&gt;0,VLOOKUP($A290-COUNT('Шаг2.Бланк заказа NEW'!$B$19:$B$201),'Бланк OLD 0.8 04'!$B$12:$K$200,5,0)&gt;0),0.4,"")))),
IF(VLOOKUP($A290-COUNT('Шаг2.Бланк заказа NEW'!$B$19:$B$201)-COUNT('Бланк OLD 0.8 04'!$B$18:$B$200),'Бланк OLD 2.0 04 '!$B$16:$K$200,4,0)&gt;1,2,
IF(VLOOKUP($A290-COUNT('Шаг2.Бланк заказа NEW'!$B$19:$B$201)-COUNT('Бланк OLD 0.8 04'!$B$18:$B$200),'Бланк OLD 2.0 04 '!$B$16:$K$200,5,0)&gt;1,0.4,IF(AND(VLOOKUP($A290-COUNT('Шаг2.Бланк заказа NEW'!$B$19:$B$201)-COUNT('Бланк OLD 0.8 04'!$B$18:$B$200),'Бланк OLD 2.0 04 '!$B$16:$K$200,4,0)&gt;0,VLOOKUP($A290-COUNT('Шаг2.Бланк заказа NEW'!$B$19:$B$201)-COUNT('Бланк OLD 0.8 04'!$B$18:$B$200),'Бланк OLD 2.0 04 '!$B$16:$K$200,5,0)&gt;0),0.4,""))))</f>
        <v/>
      </c>
      <c r="T290" s="147" t="str">
        <f ca="1">IFERROR(IFERROR(IF(VLOOKUP($A290,'Шаг2.Бланк заказа NEW'!$B$17:$N$201,7,0)="","",VLOOKUP($A290,'Шаг2.Бланк заказа NEW'!$B$17:$N$201,7,0)),
IF(VLOOKUP($A290-COUNT('Шаг2.Бланк заказа NEW'!$B$19:$B$201),'Бланк OLD 0.8 04'!$B$12:$K$200,7,0)&gt;0,0.8,
IF(VLOOKUP($A290-COUNT('Шаг2.Бланк заказа NEW'!$B$19:$B$201),'Бланк OLD 0.8 04'!$B$12:$K$200,8,0)&gt;0,0.4,""))),
IF(VLOOKUP($A290-COUNT('Шаг2.Бланк заказа NEW'!$B$19:$B$201)-COUNT('Бланк OLD 0.8 04'!$B$18:$B$200),'Бланк OLD 2.0 04 '!$B$16:$K$200,7,0)&gt;0,2,IF(VLOOKUP($A290-COUNT('Шаг2.Бланк заказа NEW'!$B$19:$B$201)-COUNT('Бланк OLD 0.8 04'!$B$18:$B$200),'Бланк OLD 2.0 04 '!$B$16:$K$200,8,0)&gt;0,0.4,"")))</f>
        <v/>
      </c>
      <c r="U290" s="147" t="str">
        <f ca="1">IFERROR(IFERROR(IF(VLOOKUP($A290,'Шаг2.Бланк заказа NEW'!$B$17:$N$201,8,0)="","",VLOOKUP($A290,'Шаг2.Бланк заказа NEW'!$B$17:$N$201,8,0)),
IF(VLOOKUP($A290-COUNT('Шаг2.Бланк заказа NEW'!$B$19:$B$201),'Бланк OLD 0.8 04'!$B$12:$K$200,7,0)&gt;1,0.8,
IF(VLOOKUP($A290-COUNT('Шаг2.Бланк заказа NEW'!$B$19:$B$201),'Бланк OLD 0.8 04'!$B$12:$K$200,8,0)&gt;1,0.4,
IF(AND(VLOOKUP($A290-COUNT('Шаг2.Бланк заказа NEW'!$B$19:$B$201),'Бланк OLD 0.8 04'!$B$12:$K$200,7,0)&gt;0,VLOOKUP($A290-COUNT('Шаг2.Бланк заказа NEW'!$B$19:$B$201),'Бланк OLD 0.8 04'!$B$12:$K$200,8,0)&gt;0),0.4,"")))),
IF(VLOOKUP($A290-COUNT('Шаг2.Бланк заказа NEW'!$B$19:$B$201)-COUNT('Бланк OLD 0.8 04'!$B$18:$B$200),'Бланк OLD 2.0 04 '!$B$16:$K$200,7,0)&gt;1,2,
IF(VLOOKUP($A290-COUNT('Шаг2.Бланк заказа NEW'!$B$19:$B$201)-COUNT('Бланк OLD 0.8 04'!$B$18:$B$200),'Бланк OLD 2.0 04 '!$B$16:$K$200,8,0)&gt;1,0.4,
IF(AND(VLOOKUP($A290-COUNT('Шаг2.Бланк заказа NEW'!$B$19:$B$201)-COUNT('Бланк OLD 0.8 04'!$B$18:$B$200),'Бланк OLD 2.0 04 '!$B$16:$K$200,7,0)&gt;0,VLOOKUP($A290-COUNT('Шаг2.Бланк заказа NEW'!$B$19:$B$201)-COUNT('Бланк OLD 0.8 04'!$B$18:$B$200),'Бланк OLD 2.0 04 '!$B$16:$K$200,8,0)&gt;0),0.4,""))))</f>
        <v/>
      </c>
      <c r="V290" s="146" t="str">
        <f ca="1">IFERROR(VLOOKUP(C290,'Шаг1.Выбор плиты'!C:S,12,0),"")</f>
        <v/>
      </c>
      <c r="W290" s="146" t="str">
        <f ca="1">IFERROR(VLOOKUP(C290,'Шаг1.Выбор плиты'!C:S,8,0),"")</f>
        <v/>
      </c>
      <c r="X290" s="146" t="str">
        <f ca="1">IFERROR(VLOOKUP(C290,'Шаг1.Выбор плиты'!C:S,10,0),"")</f>
        <v/>
      </c>
      <c r="Y290" s="147" t="str">
        <f t="shared" ca="1" si="23"/>
        <v/>
      </c>
      <c r="AD290" s="147" t="str">
        <f t="shared" ca="1" si="26"/>
        <v/>
      </c>
      <c r="AE290" s="147" t="str">
        <f t="shared" ca="1" si="24"/>
        <v/>
      </c>
      <c r="AF290" s="25"/>
      <c r="AH290" s="147" t="str">
        <f ca="1">IF(C290="","",VLOOKUP(C290,'Шаг1.Выбор плиты'!C:Q,7,0))</f>
        <v/>
      </c>
      <c r="AI290" s="147" t="str">
        <f t="shared" ca="1" si="27"/>
        <v/>
      </c>
    </row>
    <row r="291" spans="1:35" x14ac:dyDescent="0.2">
      <c r="A291" s="151" t="str">
        <f ca="1">IF(C291="","",MAX($A$1:OFFSET(C291,-1,0))+1)</f>
        <v/>
      </c>
      <c r="B291" s="151" t="str">
        <f ca="1">IFERROR(IFERROR(IFERROR("Шаг2.Бланк заказа NEW №"&amp;VLOOKUP(A290+1,CHOOSE({1,2},'Шаг2.Бланк заказа NEW'!$B$19:$B$201,'Шаг2.Бланк заказа NEW'!$A$19:$A$201),1,0),
"Бланк OLD 0.8 04 №"&amp;VLOOKUP(A290+1-COUNT('Шаг2.Бланк заказа NEW'!$B$19:$B$201),CHOOSE({1,2},'Бланк OLD 0.8 04'!$B$18:$B$200,'Бланк OLD 0.8 04'!$A$18:$A$200),1,0)),
"Бланк OLD 2.0 04 №"&amp;VLOOKUP(A290+1-COUNT('Шаг2.Бланк заказа NEW'!$B$19:$B$201)-COUNT('Бланк OLD 0.8 04'!$B$18:$B$200),CHOOSE({1,2},'Бланк OLD 2.0 04 '!$B$18:$B$200,'Бланк OLD 2.0 04 '!$A$18:$A$200),1,0)),"")</f>
        <v/>
      </c>
      <c r="C291" s="152" t="str">
        <f ca="1">IFERROR(IFERROR(IFERROR(VLOOKUP(A290+1,CHOOSE({1,2},'Шаг2.Бланк заказа NEW'!$B$19:$B$201,'Шаг2.Бланк заказа NEW'!$A$19:$A$201),2,0),
VLOOKUP(A290+1-COUNT('Шаг2.Бланк заказа NEW'!$B$19:$B$201),CHOOSE({1,2},'Бланк OLD 0.8 04'!$B$18:$B$200,'Бланк OLD 0.8 04'!$A$18:$A$200),2,0)),
VLOOKUP(A290+1-COUNT('Шаг2.Бланк заказа NEW'!$B$19:$B$201)-COUNT('Бланк OLD 0.8 04'!$B$18:$B$200),CHOOSE({1,2},'Бланк OLD 2.0 04 '!$B$18:$B$200,'Бланк OLD 2.0 04 '!$A$18:$A$200),2,0)),"")</f>
        <v/>
      </c>
      <c r="D291" s="150" t="str">
        <f ca="1">IFERROR(VLOOKUP(C291,'Шаг1.Выбор плиты'!C:G,5,0),"")</f>
        <v/>
      </c>
      <c r="E291" s="147" t="str">
        <f ca="1">IFERROR(IFERROR(IF(VLOOKUP($A291,'Шаг2.Бланк заказа NEW'!$B$17:$N$201,2,0)="","",VLOOKUP($A291,'Шаг2.Бланк заказа NEW'!$B$17:$N$201,2,0)),
IF(VLOOKUP($A291-COUNT('Шаг2.Бланк заказа NEW'!$B$19:$B$201),'Бланк OLD 0.8 04'!$B$12:$K$200,2,0)="","",VLOOKUP($A291-COUNT('Шаг2.Бланк заказа NEW'!$B$19:$B$201),'Бланк OLD 0.8 04'!$B$12:$K$200,2,0))),
IF(VLOOKUP($A291-COUNT('Шаг2.Бланк заказа NEW'!$B$19:$B$201)-COUNT('Бланк OLD 0.8 04'!$B$18:$B$200),'Бланк OLD 2.0 04 '!$B$16:$K$200,2,0)="","",VLOOKUP($A291-COUNT('Шаг2.Бланк заказа NEW'!$B$19:$B$201)-COUNT('Бланк OLD 0.8 04'!$B$18:$B$200),'Бланк OLD 2.0 04 '!$B$16:$K$200,2,0)))</f>
        <v/>
      </c>
      <c r="F291" s="147" t="str">
        <f ca="1">IFERROR(IFERROR(IF(VLOOKUP($A291,'Шаг2.Бланк заказа NEW'!$B$17:$N$201,3,0)="","",VLOOKUP($A291,'Шаг2.Бланк заказа NEW'!$B$17:$N$201,3,0)),
IF(VLOOKUP($A291-COUNT('Шаг2.Бланк заказа NEW'!$B$19:$B$201),'Бланк OLD 0.8 04'!$B$12:$K$200,3,0)="","",VLOOKUP($A291-COUNT('Шаг2.Бланк заказа NEW'!$B$19:$B$201),'Бланк OLD 0.8 04'!$B$12:$K$200,3,0))),
IF(VLOOKUP($A291-COUNT('Шаг2.Бланк заказа NEW'!$B$19:$B$201)-COUNT('Бланк OLD 0.8 04'!$B$18:$B$200),'Бланк OLD 2.0 04 '!$B$16:$K$200,3,0)="","",VLOOKUP($A291-COUNT('Шаг2.Бланк заказа NEW'!$B$19:$B$201)-COUNT('Бланк OLD 0.8 04'!$B$18:$B$200),'Бланк OLD 2.0 04 '!$B$16:$K$200,3,0)))</f>
        <v/>
      </c>
      <c r="G291" s="176" t="str">
        <f ca="1">IF(IF(R291="","",IF(R291=1,SUMIFS('Шаг1.Выбор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плиты'!C:Q,12,0)),1))))))=0,
R291,
IF(R291="","",IF(R291=1,SUMIFS('Шаг1.Выбор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плиты'!N:N,R291,'Шаг1.Выбор плиты'!M:M,SMALL(INDIRECT("мм"&amp;VLOOKUP(C291,'Шаг1.Выбор плиты'!C:Q,12,0)),1)))))))</f>
        <v/>
      </c>
      <c r="H291" s="177" t="str">
        <f ca="1">IF(IF(S291="","",IF(S291=1,SUMIFS('Шаг1.Выбор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плиты'!C:Q,12,0)),1))))))=0,
S291,
IF(S291="","",IF(S291=1,SUMIFS('Шаг1.Выбор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плиты'!N:N,S291,'Шаг1.Выбор плиты'!M:M,SMALL(INDIRECT("мм"&amp;VLOOKUP(C291,'Шаг1.Выбор плиты'!C:Q,12,0)),1)))))))</f>
        <v/>
      </c>
      <c r="I291" s="147" t="str">
        <f ca="1">IFERROR(IFERROR(IF(VLOOKUP($A291,'Шаг2.Бланк заказа NEW'!$B$17:$N$201,6,0)="","",VLOOKUP($A291,'Шаг2.Бланк заказа NEW'!$B$17:$N$201,6,0)),
IF(VLOOKUP($A291-COUNT('Шаг2.Бланк заказа NEW'!$B$19:$B$201),'Бланк OLD 0.8 04'!$B$12:$K$200,6,0)="","",VLOOKUP($A291-COUNT('Шаг2.Бланк заказа NEW'!$B$19:$B$201),'Бланк OLD 0.8 04'!$B$12:$K$200,6,0))),
IF(VLOOKUP($A291-COUNT('Шаг2.Бланк заказа NEW'!$B$19:$B$201)-COUNT('Бланк OLD 0.8 04'!$B$18:$B$200),'Бланк OLD 2.0 04 '!$B$16:$K$200,6,0)="","",VLOOKUP($A291-COUNT('Шаг2.Бланк заказа NEW'!$B$19:$B$201)-COUNT('Бланк OLD 0.8 04'!$B$18:$B$200),'Бланк OLD 2.0 04 '!$B$16:$K$200,6,0)))</f>
        <v/>
      </c>
      <c r="J291" s="177" t="str">
        <f ca="1">IF(IF(T291="","",IF(T291=1,SUMIFS('Шаг1.Выбор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плиты'!C:Q,12,0)),1))))))=0,
T291,
IF(T291="","",IF(T291=1,SUMIFS('Шаг1.Выбор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плиты'!N:N,T291,'Шаг1.Выбор плиты'!M:M,SMALL(INDIRECT("мм"&amp;VLOOKUP(C291,'Шаг1.Выбор плиты'!C:Q,12,0)),1)))))))</f>
        <v/>
      </c>
      <c r="K291" s="177" t="str">
        <f ca="1">IF(IF(U291="","",IF(U291=1,SUMIFS('Шаг1.Выбор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плиты'!C:Q,12,0)),1))))))=0,
U291,
IF(U291="","",IF(U291=1,SUMIFS('Шаг1.Выбор плиты'!$G:$G,'Шаг1.Выбор плиты'!J:J,"*"&amp;RIGHT(VLOOKUP(C291,'Шаг1.Выбор плиты'!C:Q,8,0),4),'Шаг1.Выбор плиты'!L:L,IF(MID(C291,1,6)="ЛДСП P","TM"&amp;MID(VLOOKUP(C291,'Шаг1.Выбор плиты'!C:Q,10,0),3,2),MID(VLOOKUP(C291,'Шаг1.Выбор плиты'!C:Q,10,0),1,2)),
'Шаг1.Выбор плиты'!N:N,1),IF(SUMIFS('Шаг1.Выбор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плиты'!C:Q,12,0)),1))=0,
IF(SUMIFS('Шаг1.Выбор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плиты'!C:Q,12,0)),2))=0,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плиты'!C:Q,12,0)),3)),
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плиты'!C:Q,12,0)),2))),
(SUMIFS('Шаг1.Выбор плиты'!$G:$G,'Шаг1.Выбор плиты'!J:J,"*"&amp;RIGHT(VLOOKUP(C291,'Шаг1.Выбор плиты'!C:Q,8,0),4),'Шаг1.Выбор плиты'!L:L,VLOOKUP(C291,'Шаг1.Выбор плиты'!C:Q,10,0),'Шаг1.Выбор плиты'!N:N,U291,'Шаг1.Выбор плиты'!M:M,SMALL(INDIRECT("мм"&amp;VLOOKUP(C291,'Шаг1.Выбор плиты'!C:Q,12,0)),1)))))))</f>
        <v/>
      </c>
      <c r="L291" s="147" t="str">
        <f ca="1">IFERROR(IFERROR(IF(VLOOKUP($A291,'Шаг2.Бланк заказа NEW'!$B$17:$N$201,9,0)="","",VLOOKUP($A291,'Шаг2.Бланк заказа NEW'!$B$17:$N$201,9,0)),
IF(VLOOKUP($A291-COUNT('Шаг2.Бланк заказа NEW'!$B$19:$B$201),'Бланк OLD 0.8 04'!$B$12:$K$200,9,0)="","",VLOOKUP($A291-COUNT('Шаг2.Бланк заказа NEW'!$B$19:$B$201),'Бланк OLD 0.8 04'!$B$12:$K$200,9,0))),
IF(VLOOKUP($A291-COUNT('Шаг2.Бланк заказа NEW'!$B$19:$B$201)-COUNT('Бланк OLD 0.8 04'!$B$18:$B$200),'Бланк OLD 2.0 04 '!$B$16:$K$200,9,0)="","",VLOOKUP($A291-COUNT('Шаг2.Бланк заказа NEW'!$B$19:$B$201)-COUNT('Бланк OLD 0.8 04'!$B$18:$B$200),'Бланк OLD 2.0 04 '!$B$16:$K$200,9,0)))</f>
        <v/>
      </c>
      <c r="M291" s="154" t="str">
        <f t="shared" ca="1" si="25"/>
        <v/>
      </c>
      <c r="N291" s="153" t="str">
        <f ca="1">IFERROR(IF(VLOOKUP($A291,'Шаг2.Бланк заказа NEW'!$B$17:$N$201,11,0)="","",VLOOKUP($A291,'Шаг2.Бланк заказа NEW'!$B$17:$N$201,11,0)),
"Нет")</f>
        <v/>
      </c>
      <c r="O291" s="147" t="str">
        <f ca="1">IFERROR(IF(VLOOKUP($A291,'Шаг2.Бланк заказа NEW'!$B$17:$N$201,11,0)="","",VLOOKUP($A291,'Шаг2.Бланк заказа NEW'!$B$17:$N$201,12,0)),
"Нет")</f>
        <v/>
      </c>
      <c r="P291" s="153" t="str">
        <f ca="1">IFERROR(IF(VLOOKUP($A291,'Шаг2.Бланк заказа NEW'!$B$17:$N$201,13,0)="","",VLOOKUP($A291,'Шаг2.Бланк заказа NEW'!$B$17:$N$201,13,0)),
"Нет")</f>
        <v/>
      </c>
      <c r="Q291" s="147" t="str">
        <f ca="1">IFERROR(IF(VLOOKUP($A291,'Шаг2.Бланк заказа NEW'!$B$17:$O$201,14,0)="","",VLOOKUP($A291,'Шаг2.Бланк заказа NEW'!$B$17:$O$201,14,0)),"")</f>
        <v/>
      </c>
      <c r="R291" s="147" t="str">
        <f ca="1">IFERROR(IFERROR(IF(VLOOKUP($A291,'Шаг2.Бланк заказа NEW'!$B$17:$N$201,4,0)="","",VLOOKUP($A291,'Шаг2.Бланк заказа NEW'!$B$17:$N$201,4,0)),
IF(VLOOKUP($A291-COUNT('Шаг2.Бланк заказа NEW'!$B$19:$B$201),'Бланк OLD 0.8 04'!$B$12:$K$200,4,0)&gt;0,0.8,
IF(VLOOKUP($A291-COUNT('Шаг2.Бланк заказа NEW'!$B$19:$B$201),'Бланк OLD 0.8 04'!$B$12:$K$200,5,0)&gt;0,0.4,""))),
IF(VLOOKUP($A291-COUNT('Шаг2.Бланк заказа NEW'!$B$19:$B$201)-COUNT('Бланк OLD 0.8 04'!$B$18:$B$200),'Бланк OLD 2.0 04 '!$B$16:$K$200,4,0)&gt;0,2,IF(VLOOKUP($A291-COUNT('Шаг2.Бланк заказа NEW'!$B$19:$B$201)-COUNT('Бланк OLD 0.8 04'!$B$18:$B$200),'Бланк OLD 2.0 04 '!$B$16:$K$200,5,0)&gt;0,0.4,"")))</f>
        <v/>
      </c>
      <c r="S291" s="147" t="str">
        <f ca="1">IFERROR(IFERROR(IF(VLOOKUP($A291,'Шаг2.Бланк заказа NEW'!$B$17:$N$201,5,0)="","",VLOOKUP($A291,'Шаг2.Бланк заказа NEW'!$B$17:$N$201,5,0)),
IF(VLOOKUP($A291-COUNT('Шаг2.Бланк заказа NEW'!$B$19:$B$201),'Бланк OLD 0.8 04'!$B$12:$K$200,4,0)&gt;1,0.8,
IF(VLOOKUP($A291-COUNT('Шаг2.Бланк заказа NEW'!$B$19:$B$201),'Бланк OLD 0.8 04'!$B$12:$K$200,5,0)&gt;1,0.4,
IF(AND(VLOOKUP($A291-COUNT('Шаг2.Бланк заказа NEW'!$B$19:$B$201),'Бланк OLD 0.8 04'!$B$12:$K$200,4,0)&gt;0,VLOOKUP($A291-COUNT('Шаг2.Бланк заказа NEW'!$B$19:$B$201),'Бланк OLD 0.8 04'!$B$12:$K$200,5,0)&gt;0),0.4,"")))),
IF(VLOOKUP($A291-COUNT('Шаг2.Бланк заказа NEW'!$B$19:$B$201)-COUNT('Бланк OLD 0.8 04'!$B$18:$B$200),'Бланк OLD 2.0 04 '!$B$16:$K$200,4,0)&gt;1,2,
IF(VLOOKUP($A291-COUNT('Шаг2.Бланк заказа NEW'!$B$19:$B$201)-COUNT('Бланк OLD 0.8 04'!$B$18:$B$200),'Бланк OLD 2.0 04 '!$B$16:$K$200,5,0)&gt;1,0.4,IF(AND(VLOOKUP($A291-COUNT('Шаг2.Бланк заказа NEW'!$B$19:$B$201)-COUNT('Бланк OLD 0.8 04'!$B$18:$B$200),'Бланк OLD 2.0 04 '!$B$16:$K$200,4,0)&gt;0,VLOOKUP($A291-COUNT('Шаг2.Бланк заказа NEW'!$B$19:$B$201)-COUNT('Бланк OLD 0.8 04'!$B$18:$B$200),'Бланк OLD 2.0 04 '!$B$16:$K$200,5,0)&gt;0),0.4,""))))</f>
        <v/>
      </c>
      <c r="T291" s="147" t="str">
        <f ca="1">IFERROR(IFERROR(IF(VLOOKUP($A291,'Шаг2.Бланк заказа NEW'!$B$17:$N$201,7,0)="","",VLOOKUP($A291,'Шаг2.Бланк заказа NEW'!$B$17:$N$201,7,0)),
IF(VLOOKUP($A291-COUNT('Шаг2.Бланк заказа NEW'!$B$19:$B$201),'Бланк OLD 0.8 04'!$B$12:$K$200,7,0)&gt;0,0.8,
IF(VLOOKUP($A291-COUNT('Шаг2.Бланк заказа NEW'!$B$19:$B$201),'Бланк OLD 0.8 04'!$B$12:$K$200,8,0)&gt;0,0.4,""))),
IF(VLOOKUP($A291-COUNT('Шаг2.Бланк заказа NEW'!$B$19:$B$201)-COUNT('Бланк OLD 0.8 04'!$B$18:$B$200),'Бланк OLD 2.0 04 '!$B$16:$K$200,7,0)&gt;0,2,IF(VLOOKUP($A291-COUNT('Шаг2.Бланк заказа NEW'!$B$19:$B$201)-COUNT('Бланк OLD 0.8 04'!$B$18:$B$200),'Бланк OLD 2.0 04 '!$B$16:$K$200,8,0)&gt;0,0.4,"")))</f>
        <v/>
      </c>
      <c r="U291" s="147" t="str">
        <f ca="1">IFERROR(IFERROR(IF(VLOOKUP($A291,'Шаг2.Бланк заказа NEW'!$B$17:$N$201,8,0)="","",VLOOKUP($A291,'Шаг2.Бланк заказа NEW'!$B$17:$N$201,8,0)),
IF(VLOOKUP($A291-COUNT('Шаг2.Бланк заказа NEW'!$B$19:$B$201),'Бланк OLD 0.8 04'!$B$12:$K$200,7,0)&gt;1,0.8,
IF(VLOOKUP($A291-COUNT('Шаг2.Бланк заказа NEW'!$B$19:$B$201),'Бланк OLD 0.8 04'!$B$12:$K$200,8,0)&gt;1,0.4,
IF(AND(VLOOKUP($A291-COUNT('Шаг2.Бланк заказа NEW'!$B$19:$B$201),'Бланк OLD 0.8 04'!$B$12:$K$200,7,0)&gt;0,VLOOKUP($A291-COUNT('Шаг2.Бланк заказа NEW'!$B$19:$B$201),'Бланк OLD 0.8 04'!$B$12:$K$200,8,0)&gt;0),0.4,"")))),
IF(VLOOKUP($A291-COUNT('Шаг2.Бланк заказа NEW'!$B$19:$B$201)-COUNT('Бланк OLD 0.8 04'!$B$18:$B$200),'Бланк OLD 2.0 04 '!$B$16:$K$200,7,0)&gt;1,2,
IF(VLOOKUP($A291-COUNT('Шаг2.Бланк заказа NEW'!$B$19:$B$201)-COUNT('Бланк OLD 0.8 04'!$B$18:$B$200),'Бланк OLD 2.0 04 '!$B$16:$K$200,8,0)&gt;1,0.4,
IF(AND(VLOOKUP($A291-COUNT('Шаг2.Бланк заказа NEW'!$B$19:$B$201)-COUNT('Бланк OLD 0.8 04'!$B$18:$B$200),'Бланк OLD 2.0 04 '!$B$16:$K$200,7,0)&gt;0,VLOOKUP($A291-COUNT('Шаг2.Бланк заказа NEW'!$B$19:$B$201)-COUNT('Бланк OLD 0.8 04'!$B$18:$B$200),'Бланк OLD 2.0 04 '!$B$16:$K$200,8,0)&gt;0),0.4,""))))</f>
        <v/>
      </c>
      <c r="V291" s="146" t="str">
        <f ca="1">IFERROR(VLOOKUP(C291,'Шаг1.Выбор плиты'!C:S,12,0),"")</f>
        <v/>
      </c>
      <c r="W291" s="146" t="str">
        <f ca="1">IFERROR(VLOOKUP(C291,'Шаг1.Выбор плиты'!C:S,8,0),"")</f>
        <v/>
      </c>
      <c r="X291" s="146" t="str">
        <f ca="1">IFERROR(VLOOKUP(C291,'Шаг1.Выбор плиты'!C:S,10,0),"")</f>
        <v/>
      </c>
      <c r="Y291" s="147" t="str">
        <f t="shared" ca="1" si="23"/>
        <v/>
      </c>
      <c r="AD291" s="147" t="str">
        <f t="shared" ca="1" si="26"/>
        <v/>
      </c>
      <c r="AE291" s="147" t="str">
        <f t="shared" ca="1" si="24"/>
        <v/>
      </c>
      <c r="AF291" s="25"/>
      <c r="AH291" s="147" t="str">
        <f ca="1">IF(C291="","",VLOOKUP(C291,'Шаг1.Выбор плиты'!C:Q,7,0))</f>
        <v/>
      </c>
      <c r="AI291" s="147" t="str">
        <f t="shared" ca="1" si="27"/>
        <v/>
      </c>
    </row>
    <row r="292" spans="1:35" x14ac:dyDescent="0.2">
      <c r="A292" s="151" t="str">
        <f ca="1">IF(C292="","",MAX($A$1:OFFSET(C292,-1,0))+1)</f>
        <v/>
      </c>
      <c r="B292" s="151" t="str">
        <f ca="1">IFERROR(IFERROR(IFERROR("Шаг2.Бланк заказа NEW №"&amp;VLOOKUP(A291+1,CHOOSE({1,2},'Шаг2.Бланк заказа NEW'!$B$19:$B$201,'Шаг2.Бланк заказа NEW'!$A$19:$A$201),1,0),
"Бланк OLD 0.8 04 №"&amp;VLOOKUP(A291+1-COUNT('Шаг2.Бланк заказа NEW'!$B$19:$B$201),CHOOSE({1,2},'Бланк OLD 0.8 04'!$B$18:$B$200,'Бланк OLD 0.8 04'!$A$18:$A$200),1,0)),
"Бланк OLD 2.0 04 №"&amp;VLOOKUP(A291+1-COUNT('Шаг2.Бланк заказа NEW'!$B$19:$B$201)-COUNT('Бланк OLD 0.8 04'!$B$18:$B$200),CHOOSE({1,2},'Бланк OLD 2.0 04 '!$B$18:$B$200,'Бланк OLD 2.0 04 '!$A$18:$A$200),1,0)),"")</f>
        <v/>
      </c>
      <c r="C292" s="152" t="str">
        <f ca="1">IFERROR(IFERROR(IFERROR(VLOOKUP(A291+1,CHOOSE({1,2},'Шаг2.Бланк заказа NEW'!$B$19:$B$201,'Шаг2.Бланк заказа NEW'!$A$19:$A$201),2,0),
VLOOKUP(A291+1-COUNT('Шаг2.Бланк заказа NEW'!$B$19:$B$201),CHOOSE({1,2},'Бланк OLD 0.8 04'!$B$18:$B$200,'Бланк OLD 0.8 04'!$A$18:$A$200),2,0)),
VLOOKUP(A291+1-COUNT('Шаг2.Бланк заказа NEW'!$B$19:$B$201)-COUNT('Бланк OLD 0.8 04'!$B$18:$B$200),CHOOSE({1,2},'Бланк OLD 2.0 04 '!$B$18:$B$200,'Бланк OLD 2.0 04 '!$A$18:$A$200),2,0)),"")</f>
        <v/>
      </c>
      <c r="D292" s="150" t="str">
        <f ca="1">IFERROR(VLOOKUP(C292,'Шаг1.Выбор плиты'!C:G,5,0),"")</f>
        <v/>
      </c>
      <c r="E292" s="147" t="str">
        <f ca="1">IFERROR(IFERROR(IF(VLOOKUP($A292,'Шаг2.Бланк заказа NEW'!$B$17:$N$201,2,0)="","",VLOOKUP($A292,'Шаг2.Бланк заказа NEW'!$B$17:$N$201,2,0)),
IF(VLOOKUP($A292-COUNT('Шаг2.Бланк заказа NEW'!$B$19:$B$201),'Бланк OLD 0.8 04'!$B$12:$K$200,2,0)="","",VLOOKUP($A292-COUNT('Шаг2.Бланк заказа NEW'!$B$19:$B$201),'Бланк OLD 0.8 04'!$B$12:$K$200,2,0))),
IF(VLOOKUP($A292-COUNT('Шаг2.Бланк заказа NEW'!$B$19:$B$201)-COUNT('Бланк OLD 0.8 04'!$B$18:$B$200),'Бланк OLD 2.0 04 '!$B$16:$K$200,2,0)="","",VLOOKUP($A292-COUNT('Шаг2.Бланк заказа NEW'!$B$19:$B$201)-COUNT('Бланк OLD 0.8 04'!$B$18:$B$200),'Бланк OLD 2.0 04 '!$B$16:$K$200,2,0)))</f>
        <v/>
      </c>
      <c r="F292" s="147" t="str">
        <f ca="1">IFERROR(IFERROR(IF(VLOOKUP($A292,'Шаг2.Бланк заказа NEW'!$B$17:$N$201,3,0)="","",VLOOKUP($A292,'Шаг2.Бланк заказа NEW'!$B$17:$N$201,3,0)),
IF(VLOOKUP($A292-COUNT('Шаг2.Бланк заказа NEW'!$B$19:$B$201),'Бланк OLD 0.8 04'!$B$12:$K$200,3,0)="","",VLOOKUP($A292-COUNT('Шаг2.Бланк заказа NEW'!$B$19:$B$201),'Бланк OLD 0.8 04'!$B$12:$K$200,3,0))),
IF(VLOOKUP($A292-COUNT('Шаг2.Бланк заказа NEW'!$B$19:$B$201)-COUNT('Бланк OLD 0.8 04'!$B$18:$B$200),'Бланк OLD 2.0 04 '!$B$16:$K$200,3,0)="","",VLOOKUP($A292-COUNT('Шаг2.Бланк заказа NEW'!$B$19:$B$201)-COUNT('Бланк OLD 0.8 04'!$B$18:$B$200),'Бланк OLD 2.0 04 '!$B$16:$K$200,3,0)))</f>
        <v/>
      </c>
      <c r="G292" s="176" t="str">
        <f ca="1">IF(IF(R292="","",IF(R292=1,SUMIFS('Шаг1.Выбор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плиты'!C:Q,12,0)),1))))))=0,
R292,
IF(R292="","",IF(R292=1,SUMIFS('Шаг1.Выбор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плиты'!N:N,R292,'Шаг1.Выбор плиты'!M:M,SMALL(INDIRECT("мм"&amp;VLOOKUP(C292,'Шаг1.Выбор плиты'!C:Q,12,0)),1)))))))</f>
        <v/>
      </c>
      <c r="H292" s="177" t="str">
        <f ca="1">IF(IF(S292="","",IF(S292=1,SUMIFS('Шаг1.Выбор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плиты'!C:Q,12,0)),1))))))=0,
S292,
IF(S292="","",IF(S292=1,SUMIFS('Шаг1.Выбор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плиты'!N:N,S292,'Шаг1.Выбор плиты'!M:M,SMALL(INDIRECT("мм"&amp;VLOOKUP(C292,'Шаг1.Выбор плиты'!C:Q,12,0)),1)))))))</f>
        <v/>
      </c>
      <c r="I292" s="147" t="str">
        <f ca="1">IFERROR(IFERROR(IF(VLOOKUP($A292,'Шаг2.Бланк заказа NEW'!$B$17:$N$201,6,0)="","",VLOOKUP($A292,'Шаг2.Бланк заказа NEW'!$B$17:$N$201,6,0)),
IF(VLOOKUP($A292-COUNT('Шаг2.Бланк заказа NEW'!$B$19:$B$201),'Бланк OLD 0.8 04'!$B$12:$K$200,6,0)="","",VLOOKUP($A292-COUNT('Шаг2.Бланк заказа NEW'!$B$19:$B$201),'Бланк OLD 0.8 04'!$B$12:$K$200,6,0))),
IF(VLOOKUP($A292-COUNT('Шаг2.Бланк заказа NEW'!$B$19:$B$201)-COUNT('Бланк OLD 0.8 04'!$B$18:$B$200),'Бланк OLD 2.0 04 '!$B$16:$K$200,6,0)="","",VLOOKUP($A292-COUNT('Шаг2.Бланк заказа NEW'!$B$19:$B$201)-COUNT('Бланк OLD 0.8 04'!$B$18:$B$200),'Бланк OLD 2.0 04 '!$B$16:$K$200,6,0)))</f>
        <v/>
      </c>
      <c r="J292" s="177" t="str">
        <f ca="1">IF(IF(T292="","",IF(T292=1,SUMIFS('Шаг1.Выбор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плиты'!C:Q,12,0)),1))))))=0,
T292,
IF(T292="","",IF(T292=1,SUMIFS('Шаг1.Выбор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плиты'!N:N,T292,'Шаг1.Выбор плиты'!M:M,SMALL(INDIRECT("мм"&amp;VLOOKUP(C292,'Шаг1.Выбор плиты'!C:Q,12,0)),1)))))))</f>
        <v/>
      </c>
      <c r="K292" s="177" t="str">
        <f ca="1">IF(IF(U292="","",IF(U292=1,SUMIFS('Шаг1.Выбор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плиты'!C:Q,12,0)),1))))))=0,
U292,
IF(U292="","",IF(U292=1,SUMIFS('Шаг1.Выбор плиты'!$G:$G,'Шаг1.Выбор плиты'!J:J,"*"&amp;RIGHT(VLOOKUP(C292,'Шаг1.Выбор плиты'!C:Q,8,0),4),'Шаг1.Выбор плиты'!L:L,IF(MID(C292,1,6)="ЛДСП P","TM"&amp;MID(VLOOKUP(C292,'Шаг1.Выбор плиты'!C:Q,10,0),3,2),MID(VLOOKUP(C292,'Шаг1.Выбор плиты'!C:Q,10,0),1,2)),
'Шаг1.Выбор плиты'!N:N,1),IF(SUMIFS('Шаг1.Выбор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плиты'!C:Q,12,0)),1))=0,
IF(SUMIFS('Шаг1.Выбор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плиты'!C:Q,12,0)),2))=0,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плиты'!C:Q,12,0)),3)),
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плиты'!C:Q,12,0)),2))),
(SUMIFS('Шаг1.Выбор плиты'!$G:$G,'Шаг1.Выбор плиты'!J:J,"*"&amp;RIGHT(VLOOKUP(C292,'Шаг1.Выбор плиты'!C:Q,8,0),4),'Шаг1.Выбор плиты'!L:L,VLOOKUP(C292,'Шаг1.Выбор плиты'!C:Q,10,0),'Шаг1.Выбор плиты'!N:N,U292,'Шаг1.Выбор плиты'!M:M,SMALL(INDIRECT("мм"&amp;VLOOKUP(C292,'Шаг1.Выбор плиты'!C:Q,12,0)),1)))))))</f>
        <v/>
      </c>
      <c r="L292" s="147" t="str">
        <f ca="1">IFERROR(IFERROR(IF(VLOOKUP($A292,'Шаг2.Бланк заказа NEW'!$B$17:$N$201,9,0)="","",VLOOKUP($A292,'Шаг2.Бланк заказа NEW'!$B$17:$N$201,9,0)),
IF(VLOOKUP($A292-COUNT('Шаг2.Бланк заказа NEW'!$B$19:$B$201),'Бланк OLD 0.8 04'!$B$12:$K$200,9,0)="","",VLOOKUP($A292-COUNT('Шаг2.Бланк заказа NEW'!$B$19:$B$201),'Бланк OLD 0.8 04'!$B$12:$K$200,9,0))),
IF(VLOOKUP($A292-COUNT('Шаг2.Бланк заказа NEW'!$B$19:$B$201)-COUNT('Бланк OLD 0.8 04'!$B$18:$B$200),'Бланк OLD 2.0 04 '!$B$16:$K$200,9,0)="","",VLOOKUP($A292-COUNT('Шаг2.Бланк заказа NEW'!$B$19:$B$201)-COUNT('Бланк OLD 0.8 04'!$B$18:$B$200),'Бланк OLD 2.0 04 '!$B$16:$K$200,9,0)))</f>
        <v/>
      </c>
      <c r="M292" s="154" t="str">
        <f t="shared" ca="1" si="25"/>
        <v/>
      </c>
      <c r="N292" s="153" t="str">
        <f ca="1">IFERROR(IF(VLOOKUP($A292,'Шаг2.Бланк заказа NEW'!$B$17:$N$201,11,0)="","",VLOOKUP($A292,'Шаг2.Бланк заказа NEW'!$B$17:$N$201,11,0)),
"Нет")</f>
        <v/>
      </c>
      <c r="O292" s="147" t="str">
        <f ca="1">IFERROR(IF(VLOOKUP($A292,'Шаг2.Бланк заказа NEW'!$B$17:$N$201,11,0)="","",VLOOKUP($A292,'Шаг2.Бланк заказа NEW'!$B$17:$N$201,12,0)),
"Нет")</f>
        <v/>
      </c>
      <c r="P292" s="153" t="str">
        <f ca="1">IFERROR(IF(VLOOKUP($A292,'Шаг2.Бланк заказа NEW'!$B$17:$N$201,13,0)="","",VLOOKUP($A292,'Шаг2.Бланк заказа NEW'!$B$17:$N$201,13,0)),
"Нет")</f>
        <v/>
      </c>
      <c r="Q292" s="147" t="str">
        <f ca="1">IFERROR(IF(VLOOKUP($A292,'Шаг2.Бланк заказа NEW'!$B$17:$O$201,14,0)="","",VLOOKUP($A292,'Шаг2.Бланк заказа NEW'!$B$17:$O$201,14,0)),"")</f>
        <v/>
      </c>
      <c r="R292" s="147" t="str">
        <f ca="1">IFERROR(IFERROR(IF(VLOOKUP($A292,'Шаг2.Бланк заказа NEW'!$B$17:$N$201,4,0)="","",VLOOKUP($A292,'Шаг2.Бланк заказа NEW'!$B$17:$N$201,4,0)),
IF(VLOOKUP($A292-COUNT('Шаг2.Бланк заказа NEW'!$B$19:$B$201),'Бланк OLD 0.8 04'!$B$12:$K$200,4,0)&gt;0,0.8,
IF(VLOOKUP($A292-COUNT('Шаг2.Бланк заказа NEW'!$B$19:$B$201),'Бланк OLD 0.8 04'!$B$12:$K$200,5,0)&gt;0,0.4,""))),
IF(VLOOKUP($A292-COUNT('Шаг2.Бланк заказа NEW'!$B$19:$B$201)-COUNT('Бланк OLD 0.8 04'!$B$18:$B$200),'Бланк OLD 2.0 04 '!$B$16:$K$200,4,0)&gt;0,2,IF(VLOOKUP($A292-COUNT('Шаг2.Бланк заказа NEW'!$B$19:$B$201)-COUNT('Бланк OLD 0.8 04'!$B$18:$B$200),'Бланк OLD 2.0 04 '!$B$16:$K$200,5,0)&gt;0,0.4,"")))</f>
        <v/>
      </c>
      <c r="S292" s="147" t="str">
        <f ca="1">IFERROR(IFERROR(IF(VLOOKUP($A292,'Шаг2.Бланк заказа NEW'!$B$17:$N$201,5,0)="","",VLOOKUP($A292,'Шаг2.Бланк заказа NEW'!$B$17:$N$201,5,0)),
IF(VLOOKUP($A292-COUNT('Шаг2.Бланк заказа NEW'!$B$19:$B$201),'Бланк OLD 0.8 04'!$B$12:$K$200,4,0)&gt;1,0.8,
IF(VLOOKUP($A292-COUNT('Шаг2.Бланк заказа NEW'!$B$19:$B$201),'Бланк OLD 0.8 04'!$B$12:$K$200,5,0)&gt;1,0.4,
IF(AND(VLOOKUP($A292-COUNT('Шаг2.Бланк заказа NEW'!$B$19:$B$201),'Бланк OLD 0.8 04'!$B$12:$K$200,4,0)&gt;0,VLOOKUP($A292-COUNT('Шаг2.Бланк заказа NEW'!$B$19:$B$201),'Бланк OLD 0.8 04'!$B$12:$K$200,5,0)&gt;0),0.4,"")))),
IF(VLOOKUP($A292-COUNT('Шаг2.Бланк заказа NEW'!$B$19:$B$201)-COUNT('Бланк OLD 0.8 04'!$B$18:$B$200),'Бланк OLD 2.0 04 '!$B$16:$K$200,4,0)&gt;1,2,
IF(VLOOKUP($A292-COUNT('Шаг2.Бланк заказа NEW'!$B$19:$B$201)-COUNT('Бланк OLD 0.8 04'!$B$18:$B$200),'Бланк OLD 2.0 04 '!$B$16:$K$200,5,0)&gt;1,0.4,IF(AND(VLOOKUP($A292-COUNT('Шаг2.Бланк заказа NEW'!$B$19:$B$201)-COUNT('Бланк OLD 0.8 04'!$B$18:$B$200),'Бланк OLD 2.0 04 '!$B$16:$K$200,4,0)&gt;0,VLOOKUP($A292-COUNT('Шаг2.Бланк заказа NEW'!$B$19:$B$201)-COUNT('Бланк OLD 0.8 04'!$B$18:$B$200),'Бланк OLD 2.0 04 '!$B$16:$K$200,5,0)&gt;0),0.4,""))))</f>
        <v/>
      </c>
      <c r="T292" s="147" t="str">
        <f ca="1">IFERROR(IFERROR(IF(VLOOKUP($A292,'Шаг2.Бланк заказа NEW'!$B$17:$N$201,7,0)="","",VLOOKUP($A292,'Шаг2.Бланк заказа NEW'!$B$17:$N$201,7,0)),
IF(VLOOKUP($A292-COUNT('Шаг2.Бланк заказа NEW'!$B$19:$B$201),'Бланк OLD 0.8 04'!$B$12:$K$200,7,0)&gt;0,0.8,
IF(VLOOKUP($A292-COUNT('Шаг2.Бланк заказа NEW'!$B$19:$B$201),'Бланк OLD 0.8 04'!$B$12:$K$200,8,0)&gt;0,0.4,""))),
IF(VLOOKUP($A292-COUNT('Шаг2.Бланк заказа NEW'!$B$19:$B$201)-COUNT('Бланк OLD 0.8 04'!$B$18:$B$200),'Бланк OLD 2.0 04 '!$B$16:$K$200,7,0)&gt;0,2,IF(VLOOKUP($A292-COUNT('Шаг2.Бланк заказа NEW'!$B$19:$B$201)-COUNT('Бланк OLD 0.8 04'!$B$18:$B$200),'Бланк OLD 2.0 04 '!$B$16:$K$200,8,0)&gt;0,0.4,"")))</f>
        <v/>
      </c>
      <c r="U292" s="147" t="str">
        <f ca="1">IFERROR(IFERROR(IF(VLOOKUP($A292,'Шаг2.Бланк заказа NEW'!$B$17:$N$201,8,0)="","",VLOOKUP($A292,'Шаг2.Бланк заказа NEW'!$B$17:$N$201,8,0)),
IF(VLOOKUP($A292-COUNT('Шаг2.Бланк заказа NEW'!$B$19:$B$201),'Бланк OLD 0.8 04'!$B$12:$K$200,7,0)&gt;1,0.8,
IF(VLOOKUP($A292-COUNT('Шаг2.Бланк заказа NEW'!$B$19:$B$201),'Бланк OLD 0.8 04'!$B$12:$K$200,8,0)&gt;1,0.4,
IF(AND(VLOOKUP($A292-COUNT('Шаг2.Бланк заказа NEW'!$B$19:$B$201),'Бланк OLD 0.8 04'!$B$12:$K$200,7,0)&gt;0,VLOOKUP($A292-COUNT('Шаг2.Бланк заказа NEW'!$B$19:$B$201),'Бланк OLD 0.8 04'!$B$12:$K$200,8,0)&gt;0),0.4,"")))),
IF(VLOOKUP($A292-COUNT('Шаг2.Бланк заказа NEW'!$B$19:$B$201)-COUNT('Бланк OLD 0.8 04'!$B$18:$B$200),'Бланк OLD 2.0 04 '!$B$16:$K$200,7,0)&gt;1,2,
IF(VLOOKUP($A292-COUNT('Шаг2.Бланк заказа NEW'!$B$19:$B$201)-COUNT('Бланк OLD 0.8 04'!$B$18:$B$200),'Бланк OLD 2.0 04 '!$B$16:$K$200,8,0)&gt;1,0.4,
IF(AND(VLOOKUP($A292-COUNT('Шаг2.Бланк заказа NEW'!$B$19:$B$201)-COUNT('Бланк OLD 0.8 04'!$B$18:$B$200),'Бланк OLD 2.0 04 '!$B$16:$K$200,7,0)&gt;0,VLOOKUP($A292-COUNT('Шаг2.Бланк заказа NEW'!$B$19:$B$201)-COUNT('Бланк OLD 0.8 04'!$B$18:$B$200),'Бланк OLD 2.0 04 '!$B$16:$K$200,8,0)&gt;0),0.4,""))))</f>
        <v/>
      </c>
      <c r="V292" s="146" t="str">
        <f ca="1">IFERROR(VLOOKUP(C292,'Шаг1.Выбор плиты'!C:S,12,0),"")</f>
        <v/>
      </c>
      <c r="W292" s="146" t="str">
        <f ca="1">IFERROR(VLOOKUP(C292,'Шаг1.Выбор плиты'!C:S,8,0),"")</f>
        <v/>
      </c>
      <c r="X292" s="146" t="str">
        <f ca="1">IFERROR(VLOOKUP(C292,'Шаг1.Выбор плиты'!C:S,10,0),"")</f>
        <v/>
      </c>
      <c r="Y292" s="147" t="str">
        <f t="shared" ca="1" si="23"/>
        <v/>
      </c>
      <c r="AD292" s="147" t="str">
        <f t="shared" ca="1" si="26"/>
        <v/>
      </c>
      <c r="AE292" s="147" t="str">
        <f t="shared" ca="1" si="24"/>
        <v/>
      </c>
      <c r="AF292" s="25"/>
      <c r="AH292" s="147" t="str">
        <f ca="1">IF(C292="","",VLOOKUP(C292,'Шаг1.Выбор плиты'!C:Q,7,0))</f>
        <v/>
      </c>
      <c r="AI292" s="147" t="str">
        <f t="shared" ca="1" si="27"/>
        <v/>
      </c>
    </row>
    <row r="293" spans="1:35" x14ac:dyDescent="0.2">
      <c r="A293" s="151" t="str">
        <f ca="1">IF(C293="","",MAX($A$1:OFFSET(C293,-1,0))+1)</f>
        <v/>
      </c>
      <c r="B293" s="151" t="str">
        <f ca="1">IFERROR(IFERROR(IFERROR("Шаг2.Бланк заказа NEW №"&amp;VLOOKUP(A292+1,CHOOSE({1,2},'Шаг2.Бланк заказа NEW'!$B$19:$B$201,'Шаг2.Бланк заказа NEW'!$A$19:$A$201),1,0),
"Бланк OLD 0.8 04 №"&amp;VLOOKUP(A292+1-COUNT('Шаг2.Бланк заказа NEW'!$B$19:$B$201),CHOOSE({1,2},'Бланк OLD 0.8 04'!$B$18:$B$200,'Бланк OLD 0.8 04'!$A$18:$A$200),1,0)),
"Бланк OLD 2.0 04 №"&amp;VLOOKUP(A292+1-COUNT('Шаг2.Бланк заказа NEW'!$B$19:$B$201)-COUNT('Бланк OLD 0.8 04'!$B$18:$B$200),CHOOSE({1,2},'Бланк OLD 2.0 04 '!$B$18:$B$200,'Бланк OLD 2.0 04 '!$A$18:$A$200),1,0)),"")</f>
        <v/>
      </c>
      <c r="C293" s="152" t="str">
        <f ca="1">IFERROR(IFERROR(IFERROR(VLOOKUP(A292+1,CHOOSE({1,2},'Шаг2.Бланк заказа NEW'!$B$19:$B$201,'Шаг2.Бланк заказа NEW'!$A$19:$A$201),2,0),
VLOOKUP(A292+1-COUNT('Шаг2.Бланк заказа NEW'!$B$19:$B$201),CHOOSE({1,2},'Бланк OLD 0.8 04'!$B$18:$B$200,'Бланк OLD 0.8 04'!$A$18:$A$200),2,0)),
VLOOKUP(A292+1-COUNT('Шаг2.Бланк заказа NEW'!$B$19:$B$201)-COUNT('Бланк OLD 0.8 04'!$B$18:$B$200),CHOOSE({1,2},'Бланк OLD 2.0 04 '!$B$18:$B$200,'Бланк OLD 2.0 04 '!$A$18:$A$200),2,0)),"")</f>
        <v/>
      </c>
      <c r="D293" s="150" t="str">
        <f ca="1">IFERROR(VLOOKUP(C293,'Шаг1.Выбор плиты'!C:G,5,0),"")</f>
        <v/>
      </c>
      <c r="E293" s="147" t="str">
        <f ca="1">IFERROR(IFERROR(IF(VLOOKUP($A293,'Шаг2.Бланк заказа NEW'!$B$17:$N$201,2,0)="","",VLOOKUP($A293,'Шаг2.Бланк заказа NEW'!$B$17:$N$201,2,0)),
IF(VLOOKUP($A293-COUNT('Шаг2.Бланк заказа NEW'!$B$19:$B$201),'Бланк OLD 0.8 04'!$B$12:$K$200,2,0)="","",VLOOKUP($A293-COUNT('Шаг2.Бланк заказа NEW'!$B$19:$B$201),'Бланк OLD 0.8 04'!$B$12:$K$200,2,0))),
IF(VLOOKUP($A293-COUNT('Шаг2.Бланк заказа NEW'!$B$19:$B$201)-COUNT('Бланк OLD 0.8 04'!$B$18:$B$200),'Бланк OLD 2.0 04 '!$B$16:$K$200,2,0)="","",VLOOKUP($A293-COUNT('Шаг2.Бланк заказа NEW'!$B$19:$B$201)-COUNT('Бланк OLD 0.8 04'!$B$18:$B$200),'Бланк OLD 2.0 04 '!$B$16:$K$200,2,0)))</f>
        <v/>
      </c>
      <c r="F293" s="147" t="str">
        <f ca="1">IFERROR(IFERROR(IF(VLOOKUP($A293,'Шаг2.Бланк заказа NEW'!$B$17:$N$201,3,0)="","",VLOOKUP($A293,'Шаг2.Бланк заказа NEW'!$B$17:$N$201,3,0)),
IF(VLOOKUP($A293-COUNT('Шаг2.Бланк заказа NEW'!$B$19:$B$201),'Бланк OLD 0.8 04'!$B$12:$K$200,3,0)="","",VLOOKUP($A293-COUNT('Шаг2.Бланк заказа NEW'!$B$19:$B$201),'Бланк OLD 0.8 04'!$B$12:$K$200,3,0))),
IF(VLOOKUP($A293-COUNT('Шаг2.Бланк заказа NEW'!$B$19:$B$201)-COUNT('Бланк OLD 0.8 04'!$B$18:$B$200),'Бланк OLD 2.0 04 '!$B$16:$K$200,3,0)="","",VLOOKUP($A293-COUNT('Шаг2.Бланк заказа NEW'!$B$19:$B$201)-COUNT('Бланк OLD 0.8 04'!$B$18:$B$200),'Бланк OLD 2.0 04 '!$B$16:$K$200,3,0)))</f>
        <v/>
      </c>
      <c r="G293" s="176" t="str">
        <f ca="1">IF(IF(R293="","",IF(R293=1,SUMIFS('Шаг1.Выбор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плиты'!C:Q,12,0)),1))))))=0,
R293,
IF(R293="","",IF(R293=1,SUMIFS('Шаг1.Выбор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плиты'!N:N,R293,'Шаг1.Выбор плиты'!M:M,SMALL(INDIRECT("мм"&amp;VLOOKUP(C293,'Шаг1.Выбор плиты'!C:Q,12,0)),1)))))))</f>
        <v/>
      </c>
      <c r="H293" s="177" t="str">
        <f ca="1">IF(IF(S293="","",IF(S293=1,SUMIFS('Шаг1.Выбор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плиты'!C:Q,12,0)),1))))))=0,
S293,
IF(S293="","",IF(S293=1,SUMIFS('Шаг1.Выбор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плиты'!N:N,S293,'Шаг1.Выбор плиты'!M:M,SMALL(INDIRECT("мм"&amp;VLOOKUP(C293,'Шаг1.Выбор плиты'!C:Q,12,0)),1)))))))</f>
        <v/>
      </c>
      <c r="I293" s="147" t="str">
        <f ca="1">IFERROR(IFERROR(IF(VLOOKUP($A293,'Шаг2.Бланк заказа NEW'!$B$17:$N$201,6,0)="","",VLOOKUP($A293,'Шаг2.Бланк заказа NEW'!$B$17:$N$201,6,0)),
IF(VLOOKUP($A293-COUNT('Шаг2.Бланк заказа NEW'!$B$19:$B$201),'Бланк OLD 0.8 04'!$B$12:$K$200,6,0)="","",VLOOKUP($A293-COUNT('Шаг2.Бланк заказа NEW'!$B$19:$B$201),'Бланк OLD 0.8 04'!$B$12:$K$200,6,0))),
IF(VLOOKUP($A293-COUNT('Шаг2.Бланк заказа NEW'!$B$19:$B$201)-COUNT('Бланк OLD 0.8 04'!$B$18:$B$200),'Бланк OLD 2.0 04 '!$B$16:$K$200,6,0)="","",VLOOKUP($A293-COUNT('Шаг2.Бланк заказа NEW'!$B$19:$B$201)-COUNT('Бланк OLD 0.8 04'!$B$18:$B$200),'Бланк OLD 2.0 04 '!$B$16:$K$200,6,0)))</f>
        <v/>
      </c>
      <c r="J293" s="177" t="str">
        <f ca="1">IF(IF(T293="","",IF(T293=1,SUMIFS('Шаг1.Выбор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плиты'!C:Q,12,0)),1))))))=0,
T293,
IF(T293="","",IF(T293=1,SUMIFS('Шаг1.Выбор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плиты'!N:N,T293,'Шаг1.Выбор плиты'!M:M,SMALL(INDIRECT("мм"&amp;VLOOKUP(C293,'Шаг1.Выбор плиты'!C:Q,12,0)),1)))))))</f>
        <v/>
      </c>
      <c r="K293" s="177" t="str">
        <f ca="1">IF(IF(U293="","",IF(U293=1,SUMIFS('Шаг1.Выбор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плиты'!C:Q,12,0)),1))))))=0,
U293,
IF(U293="","",IF(U293=1,SUMIFS('Шаг1.Выбор плиты'!$G:$G,'Шаг1.Выбор плиты'!J:J,"*"&amp;RIGHT(VLOOKUP(C293,'Шаг1.Выбор плиты'!C:Q,8,0),4),'Шаг1.Выбор плиты'!L:L,IF(MID(C293,1,6)="ЛДСП P","TM"&amp;MID(VLOOKUP(C293,'Шаг1.Выбор плиты'!C:Q,10,0),3,2),MID(VLOOKUP(C293,'Шаг1.Выбор плиты'!C:Q,10,0),1,2)),
'Шаг1.Выбор плиты'!N:N,1),IF(SUMIFS('Шаг1.Выбор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плиты'!C:Q,12,0)),1))=0,
IF(SUMIFS('Шаг1.Выбор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плиты'!C:Q,12,0)),2))=0,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плиты'!C:Q,12,0)),3)),
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плиты'!C:Q,12,0)),2))),
(SUMIFS('Шаг1.Выбор плиты'!$G:$G,'Шаг1.Выбор плиты'!J:J,"*"&amp;RIGHT(VLOOKUP(C293,'Шаг1.Выбор плиты'!C:Q,8,0),4),'Шаг1.Выбор плиты'!L:L,VLOOKUP(C293,'Шаг1.Выбор плиты'!C:Q,10,0),'Шаг1.Выбор плиты'!N:N,U293,'Шаг1.Выбор плиты'!M:M,SMALL(INDIRECT("мм"&amp;VLOOKUP(C293,'Шаг1.Выбор плиты'!C:Q,12,0)),1)))))))</f>
        <v/>
      </c>
      <c r="L293" s="147" t="str">
        <f ca="1">IFERROR(IFERROR(IF(VLOOKUP($A293,'Шаг2.Бланк заказа NEW'!$B$17:$N$201,9,0)="","",VLOOKUP($A293,'Шаг2.Бланк заказа NEW'!$B$17:$N$201,9,0)),
IF(VLOOKUP($A293-COUNT('Шаг2.Бланк заказа NEW'!$B$19:$B$201),'Бланк OLD 0.8 04'!$B$12:$K$200,9,0)="","",VLOOKUP($A293-COUNT('Шаг2.Бланк заказа NEW'!$B$19:$B$201),'Бланк OLD 0.8 04'!$B$12:$K$200,9,0))),
IF(VLOOKUP($A293-COUNT('Шаг2.Бланк заказа NEW'!$B$19:$B$201)-COUNT('Бланк OLD 0.8 04'!$B$18:$B$200),'Бланк OLD 2.0 04 '!$B$16:$K$200,9,0)="","",VLOOKUP($A293-COUNT('Шаг2.Бланк заказа NEW'!$B$19:$B$201)-COUNT('Бланк OLD 0.8 04'!$B$18:$B$200),'Бланк OLD 2.0 04 '!$B$16:$K$200,9,0)))</f>
        <v/>
      </c>
      <c r="M293" s="154" t="str">
        <f t="shared" ca="1" si="25"/>
        <v/>
      </c>
      <c r="N293" s="153" t="str">
        <f ca="1">IFERROR(IF(VLOOKUP($A293,'Шаг2.Бланк заказа NEW'!$B$17:$N$201,11,0)="","",VLOOKUP($A293,'Шаг2.Бланк заказа NEW'!$B$17:$N$201,11,0)),
"Нет")</f>
        <v/>
      </c>
      <c r="O293" s="147" t="str">
        <f ca="1">IFERROR(IF(VLOOKUP($A293,'Шаг2.Бланк заказа NEW'!$B$17:$N$201,11,0)="","",VLOOKUP($A293,'Шаг2.Бланк заказа NEW'!$B$17:$N$201,12,0)),
"Нет")</f>
        <v/>
      </c>
      <c r="P293" s="153" t="str">
        <f ca="1">IFERROR(IF(VLOOKUP($A293,'Шаг2.Бланк заказа NEW'!$B$17:$N$201,13,0)="","",VLOOKUP($A293,'Шаг2.Бланк заказа NEW'!$B$17:$N$201,13,0)),
"Нет")</f>
        <v/>
      </c>
      <c r="Q293" s="147" t="str">
        <f ca="1">IFERROR(IF(VLOOKUP($A293,'Шаг2.Бланк заказа NEW'!$B$17:$O$201,14,0)="","",VLOOKUP($A293,'Шаг2.Бланк заказа NEW'!$B$17:$O$201,14,0)),"")</f>
        <v/>
      </c>
      <c r="R293" s="147" t="str">
        <f ca="1">IFERROR(IFERROR(IF(VLOOKUP($A293,'Шаг2.Бланк заказа NEW'!$B$17:$N$201,4,0)="","",VLOOKUP($A293,'Шаг2.Бланк заказа NEW'!$B$17:$N$201,4,0)),
IF(VLOOKUP($A293-COUNT('Шаг2.Бланк заказа NEW'!$B$19:$B$201),'Бланк OLD 0.8 04'!$B$12:$K$200,4,0)&gt;0,0.8,
IF(VLOOKUP($A293-COUNT('Шаг2.Бланк заказа NEW'!$B$19:$B$201),'Бланк OLD 0.8 04'!$B$12:$K$200,5,0)&gt;0,0.4,""))),
IF(VLOOKUP($A293-COUNT('Шаг2.Бланк заказа NEW'!$B$19:$B$201)-COUNT('Бланк OLD 0.8 04'!$B$18:$B$200),'Бланк OLD 2.0 04 '!$B$16:$K$200,4,0)&gt;0,2,IF(VLOOKUP($A293-COUNT('Шаг2.Бланк заказа NEW'!$B$19:$B$201)-COUNT('Бланк OLD 0.8 04'!$B$18:$B$200),'Бланк OLD 2.0 04 '!$B$16:$K$200,5,0)&gt;0,0.4,"")))</f>
        <v/>
      </c>
      <c r="S293" s="147" t="str">
        <f ca="1">IFERROR(IFERROR(IF(VLOOKUP($A293,'Шаг2.Бланк заказа NEW'!$B$17:$N$201,5,0)="","",VLOOKUP($A293,'Шаг2.Бланк заказа NEW'!$B$17:$N$201,5,0)),
IF(VLOOKUP($A293-COUNT('Шаг2.Бланк заказа NEW'!$B$19:$B$201),'Бланк OLD 0.8 04'!$B$12:$K$200,4,0)&gt;1,0.8,
IF(VLOOKUP($A293-COUNT('Шаг2.Бланк заказа NEW'!$B$19:$B$201),'Бланк OLD 0.8 04'!$B$12:$K$200,5,0)&gt;1,0.4,
IF(AND(VLOOKUP($A293-COUNT('Шаг2.Бланк заказа NEW'!$B$19:$B$201),'Бланк OLD 0.8 04'!$B$12:$K$200,4,0)&gt;0,VLOOKUP($A293-COUNT('Шаг2.Бланк заказа NEW'!$B$19:$B$201),'Бланк OLD 0.8 04'!$B$12:$K$200,5,0)&gt;0),0.4,"")))),
IF(VLOOKUP($A293-COUNT('Шаг2.Бланк заказа NEW'!$B$19:$B$201)-COUNT('Бланк OLD 0.8 04'!$B$18:$B$200),'Бланк OLD 2.0 04 '!$B$16:$K$200,4,0)&gt;1,2,
IF(VLOOKUP($A293-COUNT('Шаг2.Бланк заказа NEW'!$B$19:$B$201)-COUNT('Бланк OLD 0.8 04'!$B$18:$B$200),'Бланк OLD 2.0 04 '!$B$16:$K$200,5,0)&gt;1,0.4,IF(AND(VLOOKUP($A293-COUNT('Шаг2.Бланк заказа NEW'!$B$19:$B$201)-COUNT('Бланк OLD 0.8 04'!$B$18:$B$200),'Бланк OLD 2.0 04 '!$B$16:$K$200,4,0)&gt;0,VLOOKUP($A293-COUNT('Шаг2.Бланк заказа NEW'!$B$19:$B$201)-COUNT('Бланк OLD 0.8 04'!$B$18:$B$200),'Бланк OLD 2.0 04 '!$B$16:$K$200,5,0)&gt;0),0.4,""))))</f>
        <v/>
      </c>
      <c r="T293" s="147" t="str">
        <f ca="1">IFERROR(IFERROR(IF(VLOOKUP($A293,'Шаг2.Бланк заказа NEW'!$B$17:$N$201,7,0)="","",VLOOKUP($A293,'Шаг2.Бланк заказа NEW'!$B$17:$N$201,7,0)),
IF(VLOOKUP($A293-COUNT('Шаг2.Бланк заказа NEW'!$B$19:$B$201),'Бланк OLD 0.8 04'!$B$12:$K$200,7,0)&gt;0,0.8,
IF(VLOOKUP($A293-COUNT('Шаг2.Бланк заказа NEW'!$B$19:$B$201),'Бланк OLD 0.8 04'!$B$12:$K$200,8,0)&gt;0,0.4,""))),
IF(VLOOKUP($A293-COUNT('Шаг2.Бланк заказа NEW'!$B$19:$B$201)-COUNT('Бланк OLD 0.8 04'!$B$18:$B$200),'Бланк OLD 2.0 04 '!$B$16:$K$200,7,0)&gt;0,2,IF(VLOOKUP($A293-COUNT('Шаг2.Бланк заказа NEW'!$B$19:$B$201)-COUNT('Бланк OLD 0.8 04'!$B$18:$B$200),'Бланк OLD 2.0 04 '!$B$16:$K$200,8,0)&gt;0,0.4,"")))</f>
        <v/>
      </c>
      <c r="U293" s="147" t="str">
        <f ca="1">IFERROR(IFERROR(IF(VLOOKUP($A293,'Шаг2.Бланк заказа NEW'!$B$17:$N$201,8,0)="","",VLOOKUP($A293,'Шаг2.Бланк заказа NEW'!$B$17:$N$201,8,0)),
IF(VLOOKUP($A293-COUNT('Шаг2.Бланк заказа NEW'!$B$19:$B$201),'Бланк OLD 0.8 04'!$B$12:$K$200,7,0)&gt;1,0.8,
IF(VLOOKUP($A293-COUNT('Шаг2.Бланк заказа NEW'!$B$19:$B$201),'Бланк OLD 0.8 04'!$B$12:$K$200,8,0)&gt;1,0.4,
IF(AND(VLOOKUP($A293-COUNT('Шаг2.Бланк заказа NEW'!$B$19:$B$201),'Бланк OLD 0.8 04'!$B$12:$K$200,7,0)&gt;0,VLOOKUP($A293-COUNT('Шаг2.Бланк заказа NEW'!$B$19:$B$201),'Бланк OLD 0.8 04'!$B$12:$K$200,8,0)&gt;0),0.4,"")))),
IF(VLOOKUP($A293-COUNT('Шаг2.Бланк заказа NEW'!$B$19:$B$201)-COUNT('Бланк OLD 0.8 04'!$B$18:$B$200),'Бланк OLD 2.0 04 '!$B$16:$K$200,7,0)&gt;1,2,
IF(VLOOKUP($A293-COUNT('Шаг2.Бланк заказа NEW'!$B$19:$B$201)-COUNT('Бланк OLD 0.8 04'!$B$18:$B$200),'Бланк OLD 2.0 04 '!$B$16:$K$200,8,0)&gt;1,0.4,
IF(AND(VLOOKUP($A293-COUNT('Шаг2.Бланк заказа NEW'!$B$19:$B$201)-COUNT('Бланк OLD 0.8 04'!$B$18:$B$200),'Бланк OLD 2.0 04 '!$B$16:$K$200,7,0)&gt;0,VLOOKUP($A293-COUNT('Шаг2.Бланк заказа NEW'!$B$19:$B$201)-COUNT('Бланк OLD 0.8 04'!$B$18:$B$200),'Бланк OLD 2.0 04 '!$B$16:$K$200,8,0)&gt;0),0.4,""))))</f>
        <v/>
      </c>
      <c r="V293" s="146" t="str">
        <f ca="1">IFERROR(VLOOKUP(C293,'Шаг1.Выбор плиты'!C:S,12,0),"")</f>
        <v/>
      </c>
      <c r="W293" s="146" t="str">
        <f ca="1">IFERROR(VLOOKUP(C293,'Шаг1.Выбор плиты'!C:S,8,0),"")</f>
        <v/>
      </c>
      <c r="X293" s="146" t="str">
        <f ca="1">IFERROR(VLOOKUP(C293,'Шаг1.Выбор плиты'!C:S,10,0),"")</f>
        <v/>
      </c>
      <c r="Y293" s="147" t="str">
        <f t="shared" ca="1" si="23"/>
        <v/>
      </c>
      <c r="AD293" s="147" t="str">
        <f t="shared" ca="1" si="26"/>
        <v/>
      </c>
      <c r="AE293" s="147" t="str">
        <f t="shared" ca="1" si="24"/>
        <v/>
      </c>
      <c r="AF293" s="25"/>
      <c r="AH293" s="147" t="str">
        <f ca="1">IF(C293="","",VLOOKUP(C293,'Шаг1.Выбор плиты'!C:Q,7,0))</f>
        <v/>
      </c>
      <c r="AI293" s="147" t="str">
        <f t="shared" ca="1" si="27"/>
        <v/>
      </c>
    </row>
    <row r="294" spans="1:35" x14ac:dyDescent="0.2">
      <c r="A294" s="151" t="str">
        <f ca="1">IF(C294="","",MAX($A$1:OFFSET(C294,-1,0))+1)</f>
        <v/>
      </c>
      <c r="B294" s="151" t="str">
        <f ca="1">IFERROR(IFERROR(IFERROR("Шаг2.Бланк заказа NEW №"&amp;VLOOKUP(A293+1,CHOOSE({1,2},'Шаг2.Бланк заказа NEW'!$B$19:$B$201,'Шаг2.Бланк заказа NEW'!$A$19:$A$201),1,0),
"Бланк OLD 0.8 04 №"&amp;VLOOKUP(A293+1-COUNT('Шаг2.Бланк заказа NEW'!$B$19:$B$201),CHOOSE({1,2},'Бланк OLD 0.8 04'!$B$18:$B$200,'Бланк OLD 0.8 04'!$A$18:$A$200),1,0)),
"Бланк OLD 2.0 04 №"&amp;VLOOKUP(A293+1-COUNT('Шаг2.Бланк заказа NEW'!$B$19:$B$201)-COUNT('Бланк OLD 0.8 04'!$B$18:$B$200),CHOOSE({1,2},'Бланк OLD 2.0 04 '!$B$18:$B$200,'Бланк OLD 2.0 04 '!$A$18:$A$200),1,0)),"")</f>
        <v/>
      </c>
      <c r="C294" s="152" t="str">
        <f ca="1">IFERROR(IFERROR(IFERROR(VLOOKUP(A293+1,CHOOSE({1,2},'Шаг2.Бланк заказа NEW'!$B$19:$B$201,'Шаг2.Бланк заказа NEW'!$A$19:$A$201),2,0),
VLOOKUP(A293+1-COUNT('Шаг2.Бланк заказа NEW'!$B$19:$B$201),CHOOSE({1,2},'Бланк OLD 0.8 04'!$B$18:$B$200,'Бланк OLD 0.8 04'!$A$18:$A$200),2,0)),
VLOOKUP(A293+1-COUNT('Шаг2.Бланк заказа NEW'!$B$19:$B$201)-COUNT('Бланк OLD 0.8 04'!$B$18:$B$200),CHOOSE({1,2},'Бланк OLD 2.0 04 '!$B$18:$B$200,'Бланк OLD 2.0 04 '!$A$18:$A$200),2,0)),"")</f>
        <v/>
      </c>
      <c r="D294" s="150" t="str">
        <f ca="1">IFERROR(VLOOKUP(C294,'Шаг1.Выбор плиты'!C:G,5,0),"")</f>
        <v/>
      </c>
      <c r="E294" s="147" t="str">
        <f ca="1">IFERROR(IFERROR(IF(VLOOKUP($A294,'Шаг2.Бланк заказа NEW'!$B$17:$N$201,2,0)="","",VLOOKUP($A294,'Шаг2.Бланк заказа NEW'!$B$17:$N$201,2,0)),
IF(VLOOKUP($A294-COUNT('Шаг2.Бланк заказа NEW'!$B$19:$B$201),'Бланк OLD 0.8 04'!$B$12:$K$200,2,0)="","",VLOOKUP($A294-COUNT('Шаг2.Бланк заказа NEW'!$B$19:$B$201),'Бланк OLD 0.8 04'!$B$12:$K$200,2,0))),
IF(VLOOKUP($A294-COUNT('Шаг2.Бланк заказа NEW'!$B$19:$B$201)-COUNT('Бланк OLD 0.8 04'!$B$18:$B$200),'Бланк OLD 2.0 04 '!$B$16:$K$200,2,0)="","",VLOOKUP($A294-COUNT('Шаг2.Бланк заказа NEW'!$B$19:$B$201)-COUNT('Бланк OLD 0.8 04'!$B$18:$B$200),'Бланк OLD 2.0 04 '!$B$16:$K$200,2,0)))</f>
        <v/>
      </c>
      <c r="F294" s="147" t="str">
        <f ca="1">IFERROR(IFERROR(IF(VLOOKUP($A294,'Шаг2.Бланк заказа NEW'!$B$17:$N$201,3,0)="","",VLOOKUP($A294,'Шаг2.Бланк заказа NEW'!$B$17:$N$201,3,0)),
IF(VLOOKUP($A294-COUNT('Шаг2.Бланк заказа NEW'!$B$19:$B$201),'Бланк OLD 0.8 04'!$B$12:$K$200,3,0)="","",VLOOKUP($A294-COUNT('Шаг2.Бланк заказа NEW'!$B$19:$B$201),'Бланк OLD 0.8 04'!$B$12:$K$200,3,0))),
IF(VLOOKUP($A294-COUNT('Шаг2.Бланк заказа NEW'!$B$19:$B$201)-COUNT('Бланк OLD 0.8 04'!$B$18:$B$200),'Бланк OLD 2.0 04 '!$B$16:$K$200,3,0)="","",VLOOKUP($A294-COUNT('Шаг2.Бланк заказа NEW'!$B$19:$B$201)-COUNT('Бланк OLD 0.8 04'!$B$18:$B$200),'Бланк OLD 2.0 04 '!$B$16:$K$200,3,0)))</f>
        <v/>
      </c>
      <c r="G294" s="176" t="str">
        <f ca="1">IF(IF(R294="","",IF(R294=1,SUMIFS('Шаг1.Выбор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плиты'!C:Q,12,0)),1))))))=0,
R294,
IF(R294="","",IF(R294=1,SUMIFS('Шаг1.Выбор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плиты'!N:N,R294,'Шаг1.Выбор плиты'!M:M,SMALL(INDIRECT("мм"&amp;VLOOKUP(C294,'Шаг1.Выбор плиты'!C:Q,12,0)),1)))))))</f>
        <v/>
      </c>
      <c r="H294" s="177" t="str">
        <f ca="1">IF(IF(S294="","",IF(S294=1,SUMIFS('Шаг1.Выбор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плиты'!C:Q,12,0)),1))))))=0,
S294,
IF(S294="","",IF(S294=1,SUMIFS('Шаг1.Выбор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плиты'!N:N,S294,'Шаг1.Выбор плиты'!M:M,SMALL(INDIRECT("мм"&amp;VLOOKUP(C294,'Шаг1.Выбор плиты'!C:Q,12,0)),1)))))))</f>
        <v/>
      </c>
      <c r="I294" s="147" t="str">
        <f ca="1">IFERROR(IFERROR(IF(VLOOKUP($A294,'Шаг2.Бланк заказа NEW'!$B$17:$N$201,6,0)="","",VLOOKUP($A294,'Шаг2.Бланк заказа NEW'!$B$17:$N$201,6,0)),
IF(VLOOKUP($A294-COUNT('Шаг2.Бланк заказа NEW'!$B$19:$B$201),'Бланк OLD 0.8 04'!$B$12:$K$200,6,0)="","",VLOOKUP($A294-COUNT('Шаг2.Бланк заказа NEW'!$B$19:$B$201),'Бланк OLD 0.8 04'!$B$12:$K$200,6,0))),
IF(VLOOKUP($A294-COUNT('Шаг2.Бланк заказа NEW'!$B$19:$B$201)-COUNT('Бланк OLD 0.8 04'!$B$18:$B$200),'Бланк OLD 2.0 04 '!$B$16:$K$200,6,0)="","",VLOOKUP($A294-COUNT('Шаг2.Бланк заказа NEW'!$B$19:$B$201)-COUNT('Бланк OLD 0.8 04'!$B$18:$B$200),'Бланк OLD 2.0 04 '!$B$16:$K$200,6,0)))</f>
        <v/>
      </c>
      <c r="J294" s="177" t="str">
        <f ca="1">IF(IF(T294="","",IF(T294=1,SUMIFS('Шаг1.Выбор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плиты'!C:Q,12,0)),1))))))=0,
T294,
IF(T294="","",IF(T294=1,SUMIFS('Шаг1.Выбор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плиты'!N:N,T294,'Шаг1.Выбор плиты'!M:M,SMALL(INDIRECT("мм"&amp;VLOOKUP(C294,'Шаг1.Выбор плиты'!C:Q,12,0)),1)))))))</f>
        <v/>
      </c>
      <c r="K294" s="177" t="str">
        <f ca="1">IF(IF(U294="","",IF(U294=1,SUMIFS('Шаг1.Выбор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плиты'!C:Q,12,0)),1))))))=0,
U294,
IF(U294="","",IF(U294=1,SUMIFS('Шаг1.Выбор плиты'!$G:$G,'Шаг1.Выбор плиты'!J:J,"*"&amp;RIGHT(VLOOKUP(C294,'Шаг1.Выбор плиты'!C:Q,8,0),4),'Шаг1.Выбор плиты'!L:L,IF(MID(C294,1,6)="ЛДСП P","TM"&amp;MID(VLOOKUP(C294,'Шаг1.Выбор плиты'!C:Q,10,0),3,2),MID(VLOOKUP(C294,'Шаг1.Выбор плиты'!C:Q,10,0),1,2)),
'Шаг1.Выбор плиты'!N:N,1),IF(SUMIFS('Шаг1.Выбор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плиты'!C:Q,12,0)),1))=0,
IF(SUMIFS('Шаг1.Выбор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плиты'!C:Q,12,0)),2))=0,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плиты'!C:Q,12,0)),3)),
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плиты'!C:Q,12,0)),2))),
(SUMIFS('Шаг1.Выбор плиты'!$G:$G,'Шаг1.Выбор плиты'!J:J,"*"&amp;RIGHT(VLOOKUP(C294,'Шаг1.Выбор плиты'!C:Q,8,0),4),'Шаг1.Выбор плиты'!L:L,VLOOKUP(C294,'Шаг1.Выбор плиты'!C:Q,10,0),'Шаг1.Выбор плиты'!N:N,U294,'Шаг1.Выбор плиты'!M:M,SMALL(INDIRECT("мм"&amp;VLOOKUP(C294,'Шаг1.Выбор плиты'!C:Q,12,0)),1)))))))</f>
        <v/>
      </c>
      <c r="L294" s="147" t="str">
        <f ca="1">IFERROR(IFERROR(IF(VLOOKUP($A294,'Шаг2.Бланк заказа NEW'!$B$17:$N$201,9,0)="","",VLOOKUP($A294,'Шаг2.Бланк заказа NEW'!$B$17:$N$201,9,0)),
IF(VLOOKUP($A294-COUNT('Шаг2.Бланк заказа NEW'!$B$19:$B$201),'Бланк OLD 0.8 04'!$B$12:$K$200,9,0)="","",VLOOKUP($A294-COUNT('Шаг2.Бланк заказа NEW'!$B$19:$B$201),'Бланк OLD 0.8 04'!$B$12:$K$200,9,0))),
IF(VLOOKUP($A294-COUNT('Шаг2.Бланк заказа NEW'!$B$19:$B$201)-COUNT('Бланк OLD 0.8 04'!$B$18:$B$200),'Бланк OLD 2.0 04 '!$B$16:$K$200,9,0)="","",VLOOKUP($A294-COUNT('Шаг2.Бланк заказа NEW'!$B$19:$B$201)-COUNT('Бланк OLD 0.8 04'!$B$18:$B$200),'Бланк OLD 2.0 04 '!$B$16:$K$200,9,0)))</f>
        <v/>
      </c>
      <c r="M294" s="154" t="str">
        <f t="shared" ca="1" si="25"/>
        <v/>
      </c>
      <c r="N294" s="153" t="str">
        <f ca="1">IFERROR(IF(VLOOKUP($A294,'Шаг2.Бланк заказа NEW'!$B$17:$N$201,11,0)="","",VLOOKUP($A294,'Шаг2.Бланк заказа NEW'!$B$17:$N$201,11,0)),
"Нет")</f>
        <v/>
      </c>
      <c r="O294" s="147" t="str">
        <f ca="1">IFERROR(IF(VLOOKUP($A294,'Шаг2.Бланк заказа NEW'!$B$17:$N$201,11,0)="","",VLOOKUP($A294,'Шаг2.Бланк заказа NEW'!$B$17:$N$201,12,0)),
"Нет")</f>
        <v/>
      </c>
      <c r="P294" s="153" t="str">
        <f ca="1">IFERROR(IF(VLOOKUP($A294,'Шаг2.Бланк заказа NEW'!$B$17:$N$201,13,0)="","",VLOOKUP($A294,'Шаг2.Бланк заказа NEW'!$B$17:$N$201,13,0)),
"Нет")</f>
        <v/>
      </c>
      <c r="Q294" s="147" t="str">
        <f ca="1">IFERROR(IF(VLOOKUP($A294,'Шаг2.Бланк заказа NEW'!$B$17:$O$201,14,0)="","",VLOOKUP($A294,'Шаг2.Бланк заказа NEW'!$B$17:$O$201,14,0)),"")</f>
        <v/>
      </c>
      <c r="R294" s="147" t="str">
        <f ca="1">IFERROR(IFERROR(IF(VLOOKUP($A294,'Шаг2.Бланк заказа NEW'!$B$17:$N$201,4,0)="","",VLOOKUP($A294,'Шаг2.Бланк заказа NEW'!$B$17:$N$201,4,0)),
IF(VLOOKUP($A294-COUNT('Шаг2.Бланк заказа NEW'!$B$19:$B$201),'Бланк OLD 0.8 04'!$B$12:$K$200,4,0)&gt;0,0.8,
IF(VLOOKUP($A294-COUNT('Шаг2.Бланк заказа NEW'!$B$19:$B$201),'Бланк OLD 0.8 04'!$B$12:$K$200,5,0)&gt;0,0.4,""))),
IF(VLOOKUP($A294-COUNT('Шаг2.Бланк заказа NEW'!$B$19:$B$201)-COUNT('Бланк OLD 0.8 04'!$B$18:$B$200),'Бланк OLD 2.0 04 '!$B$16:$K$200,4,0)&gt;0,2,IF(VLOOKUP($A294-COUNT('Шаг2.Бланк заказа NEW'!$B$19:$B$201)-COUNT('Бланк OLD 0.8 04'!$B$18:$B$200),'Бланк OLD 2.0 04 '!$B$16:$K$200,5,0)&gt;0,0.4,"")))</f>
        <v/>
      </c>
      <c r="S294" s="147" t="str">
        <f ca="1">IFERROR(IFERROR(IF(VLOOKUP($A294,'Шаг2.Бланк заказа NEW'!$B$17:$N$201,5,0)="","",VLOOKUP($A294,'Шаг2.Бланк заказа NEW'!$B$17:$N$201,5,0)),
IF(VLOOKUP($A294-COUNT('Шаг2.Бланк заказа NEW'!$B$19:$B$201),'Бланк OLD 0.8 04'!$B$12:$K$200,4,0)&gt;1,0.8,
IF(VLOOKUP($A294-COUNT('Шаг2.Бланк заказа NEW'!$B$19:$B$201),'Бланк OLD 0.8 04'!$B$12:$K$200,5,0)&gt;1,0.4,
IF(AND(VLOOKUP($A294-COUNT('Шаг2.Бланк заказа NEW'!$B$19:$B$201),'Бланк OLD 0.8 04'!$B$12:$K$200,4,0)&gt;0,VLOOKUP($A294-COUNT('Шаг2.Бланк заказа NEW'!$B$19:$B$201),'Бланк OLD 0.8 04'!$B$12:$K$200,5,0)&gt;0),0.4,"")))),
IF(VLOOKUP($A294-COUNT('Шаг2.Бланк заказа NEW'!$B$19:$B$201)-COUNT('Бланк OLD 0.8 04'!$B$18:$B$200),'Бланк OLD 2.0 04 '!$B$16:$K$200,4,0)&gt;1,2,
IF(VLOOKUP($A294-COUNT('Шаг2.Бланк заказа NEW'!$B$19:$B$201)-COUNT('Бланк OLD 0.8 04'!$B$18:$B$200),'Бланк OLD 2.0 04 '!$B$16:$K$200,5,0)&gt;1,0.4,IF(AND(VLOOKUP($A294-COUNT('Шаг2.Бланк заказа NEW'!$B$19:$B$201)-COUNT('Бланк OLD 0.8 04'!$B$18:$B$200),'Бланк OLD 2.0 04 '!$B$16:$K$200,4,0)&gt;0,VLOOKUP($A294-COUNT('Шаг2.Бланк заказа NEW'!$B$19:$B$201)-COUNT('Бланк OLD 0.8 04'!$B$18:$B$200),'Бланк OLD 2.0 04 '!$B$16:$K$200,5,0)&gt;0),0.4,""))))</f>
        <v/>
      </c>
      <c r="T294" s="147" t="str">
        <f ca="1">IFERROR(IFERROR(IF(VLOOKUP($A294,'Шаг2.Бланк заказа NEW'!$B$17:$N$201,7,0)="","",VLOOKUP($A294,'Шаг2.Бланк заказа NEW'!$B$17:$N$201,7,0)),
IF(VLOOKUP($A294-COUNT('Шаг2.Бланк заказа NEW'!$B$19:$B$201),'Бланк OLD 0.8 04'!$B$12:$K$200,7,0)&gt;0,0.8,
IF(VLOOKUP($A294-COUNT('Шаг2.Бланк заказа NEW'!$B$19:$B$201),'Бланк OLD 0.8 04'!$B$12:$K$200,8,0)&gt;0,0.4,""))),
IF(VLOOKUP($A294-COUNT('Шаг2.Бланк заказа NEW'!$B$19:$B$201)-COUNT('Бланк OLD 0.8 04'!$B$18:$B$200),'Бланк OLD 2.0 04 '!$B$16:$K$200,7,0)&gt;0,2,IF(VLOOKUP($A294-COUNT('Шаг2.Бланк заказа NEW'!$B$19:$B$201)-COUNT('Бланк OLD 0.8 04'!$B$18:$B$200),'Бланк OLD 2.0 04 '!$B$16:$K$200,8,0)&gt;0,0.4,"")))</f>
        <v/>
      </c>
      <c r="U294" s="147" t="str">
        <f ca="1">IFERROR(IFERROR(IF(VLOOKUP($A294,'Шаг2.Бланк заказа NEW'!$B$17:$N$201,8,0)="","",VLOOKUP($A294,'Шаг2.Бланк заказа NEW'!$B$17:$N$201,8,0)),
IF(VLOOKUP($A294-COUNT('Шаг2.Бланк заказа NEW'!$B$19:$B$201),'Бланк OLD 0.8 04'!$B$12:$K$200,7,0)&gt;1,0.8,
IF(VLOOKUP($A294-COUNT('Шаг2.Бланк заказа NEW'!$B$19:$B$201),'Бланк OLD 0.8 04'!$B$12:$K$200,8,0)&gt;1,0.4,
IF(AND(VLOOKUP($A294-COUNT('Шаг2.Бланк заказа NEW'!$B$19:$B$201),'Бланк OLD 0.8 04'!$B$12:$K$200,7,0)&gt;0,VLOOKUP($A294-COUNT('Шаг2.Бланк заказа NEW'!$B$19:$B$201),'Бланк OLD 0.8 04'!$B$12:$K$200,8,0)&gt;0),0.4,"")))),
IF(VLOOKUP($A294-COUNT('Шаг2.Бланк заказа NEW'!$B$19:$B$201)-COUNT('Бланк OLD 0.8 04'!$B$18:$B$200),'Бланк OLD 2.0 04 '!$B$16:$K$200,7,0)&gt;1,2,
IF(VLOOKUP($A294-COUNT('Шаг2.Бланк заказа NEW'!$B$19:$B$201)-COUNT('Бланк OLD 0.8 04'!$B$18:$B$200),'Бланк OLD 2.0 04 '!$B$16:$K$200,8,0)&gt;1,0.4,
IF(AND(VLOOKUP($A294-COUNT('Шаг2.Бланк заказа NEW'!$B$19:$B$201)-COUNT('Бланк OLD 0.8 04'!$B$18:$B$200),'Бланк OLD 2.0 04 '!$B$16:$K$200,7,0)&gt;0,VLOOKUP($A294-COUNT('Шаг2.Бланк заказа NEW'!$B$19:$B$201)-COUNT('Бланк OLD 0.8 04'!$B$18:$B$200),'Бланк OLD 2.0 04 '!$B$16:$K$200,8,0)&gt;0),0.4,""))))</f>
        <v/>
      </c>
      <c r="V294" s="146" t="str">
        <f ca="1">IFERROR(VLOOKUP(C294,'Шаг1.Выбор плиты'!C:S,12,0),"")</f>
        <v/>
      </c>
      <c r="W294" s="146" t="str">
        <f ca="1">IFERROR(VLOOKUP(C294,'Шаг1.Выбор плиты'!C:S,8,0),"")</f>
        <v/>
      </c>
      <c r="X294" s="146" t="str">
        <f ca="1">IFERROR(VLOOKUP(C294,'Шаг1.Выбор плиты'!C:S,10,0),"")</f>
        <v/>
      </c>
      <c r="Y294" s="147" t="str">
        <f t="shared" ca="1" si="23"/>
        <v/>
      </c>
      <c r="AD294" s="147" t="str">
        <f t="shared" ca="1" si="26"/>
        <v/>
      </c>
      <c r="AE294" s="147" t="str">
        <f t="shared" ca="1" si="24"/>
        <v/>
      </c>
      <c r="AF294" s="25"/>
      <c r="AH294" s="147" t="str">
        <f ca="1">IF(C294="","",VLOOKUP(C294,'Шаг1.Выбор плиты'!C:Q,7,0))</f>
        <v/>
      </c>
      <c r="AI294" s="147" t="str">
        <f t="shared" ca="1" si="27"/>
        <v/>
      </c>
    </row>
    <row r="295" spans="1:35" x14ac:dyDescent="0.2">
      <c r="A295" s="151" t="str">
        <f ca="1">IF(C295="","",MAX($A$1:OFFSET(C295,-1,0))+1)</f>
        <v/>
      </c>
      <c r="B295" s="151" t="str">
        <f ca="1">IFERROR(IFERROR(IFERROR("Шаг2.Бланк заказа NEW №"&amp;VLOOKUP(A294+1,CHOOSE({1,2},'Шаг2.Бланк заказа NEW'!$B$19:$B$201,'Шаг2.Бланк заказа NEW'!$A$19:$A$201),1,0),
"Бланк OLD 0.8 04 №"&amp;VLOOKUP(A294+1-COUNT('Шаг2.Бланк заказа NEW'!$B$19:$B$201),CHOOSE({1,2},'Бланк OLD 0.8 04'!$B$18:$B$200,'Бланк OLD 0.8 04'!$A$18:$A$200),1,0)),
"Бланк OLD 2.0 04 №"&amp;VLOOKUP(A294+1-COUNT('Шаг2.Бланк заказа NEW'!$B$19:$B$201)-COUNT('Бланк OLD 0.8 04'!$B$18:$B$200),CHOOSE({1,2},'Бланк OLD 2.0 04 '!$B$18:$B$200,'Бланк OLD 2.0 04 '!$A$18:$A$200),1,0)),"")</f>
        <v/>
      </c>
      <c r="C295" s="152" t="str">
        <f ca="1">IFERROR(IFERROR(IFERROR(VLOOKUP(A294+1,CHOOSE({1,2},'Шаг2.Бланк заказа NEW'!$B$19:$B$201,'Шаг2.Бланк заказа NEW'!$A$19:$A$201),2,0),
VLOOKUP(A294+1-COUNT('Шаг2.Бланк заказа NEW'!$B$19:$B$201),CHOOSE({1,2},'Бланк OLD 0.8 04'!$B$18:$B$200,'Бланк OLD 0.8 04'!$A$18:$A$200),2,0)),
VLOOKUP(A294+1-COUNT('Шаг2.Бланк заказа NEW'!$B$19:$B$201)-COUNT('Бланк OLD 0.8 04'!$B$18:$B$200),CHOOSE({1,2},'Бланк OLD 2.0 04 '!$B$18:$B$200,'Бланк OLD 2.0 04 '!$A$18:$A$200),2,0)),"")</f>
        <v/>
      </c>
      <c r="D295" s="150" t="str">
        <f ca="1">IFERROR(VLOOKUP(C295,'Шаг1.Выбор плиты'!C:G,5,0),"")</f>
        <v/>
      </c>
      <c r="E295" s="147" t="str">
        <f ca="1">IFERROR(IFERROR(IF(VLOOKUP($A295,'Шаг2.Бланк заказа NEW'!$B$17:$N$201,2,0)="","",VLOOKUP($A295,'Шаг2.Бланк заказа NEW'!$B$17:$N$201,2,0)),
IF(VLOOKUP($A295-COUNT('Шаг2.Бланк заказа NEW'!$B$19:$B$201),'Бланк OLD 0.8 04'!$B$12:$K$200,2,0)="","",VLOOKUP($A295-COUNT('Шаг2.Бланк заказа NEW'!$B$19:$B$201),'Бланк OLD 0.8 04'!$B$12:$K$200,2,0))),
IF(VLOOKUP($A295-COUNT('Шаг2.Бланк заказа NEW'!$B$19:$B$201)-COUNT('Бланк OLD 0.8 04'!$B$18:$B$200),'Бланк OLD 2.0 04 '!$B$16:$K$200,2,0)="","",VLOOKUP($A295-COUNT('Шаг2.Бланк заказа NEW'!$B$19:$B$201)-COUNT('Бланк OLD 0.8 04'!$B$18:$B$200),'Бланк OLD 2.0 04 '!$B$16:$K$200,2,0)))</f>
        <v/>
      </c>
      <c r="F295" s="147" t="str">
        <f ca="1">IFERROR(IFERROR(IF(VLOOKUP($A295,'Шаг2.Бланк заказа NEW'!$B$17:$N$201,3,0)="","",VLOOKUP($A295,'Шаг2.Бланк заказа NEW'!$B$17:$N$201,3,0)),
IF(VLOOKUP($A295-COUNT('Шаг2.Бланк заказа NEW'!$B$19:$B$201),'Бланк OLD 0.8 04'!$B$12:$K$200,3,0)="","",VLOOKUP($A295-COUNT('Шаг2.Бланк заказа NEW'!$B$19:$B$201),'Бланк OLD 0.8 04'!$B$12:$K$200,3,0))),
IF(VLOOKUP($A295-COUNT('Шаг2.Бланк заказа NEW'!$B$19:$B$201)-COUNT('Бланк OLD 0.8 04'!$B$18:$B$200),'Бланк OLD 2.0 04 '!$B$16:$K$200,3,0)="","",VLOOKUP($A295-COUNT('Шаг2.Бланк заказа NEW'!$B$19:$B$201)-COUNT('Бланк OLD 0.8 04'!$B$18:$B$200),'Бланк OLD 2.0 04 '!$B$16:$K$200,3,0)))</f>
        <v/>
      </c>
      <c r="G295" s="176" t="str">
        <f ca="1">IF(IF(R295="","",IF(R295=1,SUMIFS('Шаг1.Выбор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плиты'!C:Q,12,0)),1))))))=0,
R295,
IF(R295="","",IF(R295=1,SUMIFS('Шаг1.Выбор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плиты'!N:N,R295,'Шаг1.Выбор плиты'!M:M,SMALL(INDIRECT("мм"&amp;VLOOKUP(C295,'Шаг1.Выбор плиты'!C:Q,12,0)),1)))))))</f>
        <v/>
      </c>
      <c r="H295" s="177" t="str">
        <f ca="1">IF(IF(S295="","",IF(S295=1,SUMIFS('Шаг1.Выбор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плиты'!C:Q,12,0)),1))))))=0,
S295,
IF(S295="","",IF(S295=1,SUMIFS('Шаг1.Выбор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плиты'!N:N,S295,'Шаг1.Выбор плиты'!M:M,SMALL(INDIRECT("мм"&amp;VLOOKUP(C295,'Шаг1.Выбор плиты'!C:Q,12,0)),1)))))))</f>
        <v/>
      </c>
      <c r="I295" s="147" t="str">
        <f ca="1">IFERROR(IFERROR(IF(VLOOKUP($A295,'Шаг2.Бланк заказа NEW'!$B$17:$N$201,6,0)="","",VLOOKUP($A295,'Шаг2.Бланк заказа NEW'!$B$17:$N$201,6,0)),
IF(VLOOKUP($A295-COUNT('Шаг2.Бланк заказа NEW'!$B$19:$B$201),'Бланк OLD 0.8 04'!$B$12:$K$200,6,0)="","",VLOOKUP($A295-COUNT('Шаг2.Бланк заказа NEW'!$B$19:$B$201),'Бланк OLD 0.8 04'!$B$12:$K$200,6,0))),
IF(VLOOKUP($A295-COUNT('Шаг2.Бланк заказа NEW'!$B$19:$B$201)-COUNT('Бланк OLD 0.8 04'!$B$18:$B$200),'Бланк OLD 2.0 04 '!$B$16:$K$200,6,0)="","",VLOOKUP($A295-COUNT('Шаг2.Бланк заказа NEW'!$B$19:$B$201)-COUNT('Бланк OLD 0.8 04'!$B$18:$B$200),'Бланк OLD 2.0 04 '!$B$16:$K$200,6,0)))</f>
        <v/>
      </c>
      <c r="J295" s="177" t="str">
        <f ca="1">IF(IF(T295="","",IF(T295=1,SUMIFS('Шаг1.Выбор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плиты'!C:Q,12,0)),1))))))=0,
T295,
IF(T295="","",IF(T295=1,SUMIFS('Шаг1.Выбор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плиты'!N:N,T295,'Шаг1.Выбор плиты'!M:M,SMALL(INDIRECT("мм"&amp;VLOOKUP(C295,'Шаг1.Выбор плиты'!C:Q,12,0)),1)))))))</f>
        <v/>
      </c>
      <c r="K295" s="177" t="str">
        <f ca="1">IF(IF(U295="","",IF(U295=1,SUMIFS('Шаг1.Выбор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плиты'!C:Q,12,0)),1))))))=0,
U295,
IF(U295="","",IF(U295=1,SUMIFS('Шаг1.Выбор плиты'!$G:$G,'Шаг1.Выбор плиты'!J:J,"*"&amp;RIGHT(VLOOKUP(C295,'Шаг1.Выбор плиты'!C:Q,8,0),4),'Шаг1.Выбор плиты'!L:L,IF(MID(C295,1,6)="ЛДСП P","TM"&amp;MID(VLOOKUP(C295,'Шаг1.Выбор плиты'!C:Q,10,0),3,2),MID(VLOOKUP(C295,'Шаг1.Выбор плиты'!C:Q,10,0),1,2)),
'Шаг1.Выбор плиты'!N:N,1),IF(SUMIFS('Шаг1.Выбор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плиты'!C:Q,12,0)),1))=0,
IF(SUMIFS('Шаг1.Выбор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плиты'!C:Q,12,0)),2))=0,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плиты'!C:Q,12,0)),3)),
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плиты'!C:Q,12,0)),2))),
(SUMIFS('Шаг1.Выбор плиты'!$G:$G,'Шаг1.Выбор плиты'!J:J,"*"&amp;RIGHT(VLOOKUP(C295,'Шаг1.Выбор плиты'!C:Q,8,0),4),'Шаг1.Выбор плиты'!L:L,VLOOKUP(C295,'Шаг1.Выбор плиты'!C:Q,10,0),'Шаг1.Выбор плиты'!N:N,U295,'Шаг1.Выбор плиты'!M:M,SMALL(INDIRECT("мм"&amp;VLOOKUP(C295,'Шаг1.Выбор плиты'!C:Q,12,0)),1)))))))</f>
        <v/>
      </c>
      <c r="L295" s="147" t="str">
        <f ca="1">IFERROR(IFERROR(IF(VLOOKUP($A295,'Шаг2.Бланк заказа NEW'!$B$17:$N$201,9,0)="","",VLOOKUP($A295,'Шаг2.Бланк заказа NEW'!$B$17:$N$201,9,0)),
IF(VLOOKUP($A295-COUNT('Шаг2.Бланк заказа NEW'!$B$19:$B$201),'Бланк OLD 0.8 04'!$B$12:$K$200,9,0)="","",VLOOKUP($A295-COUNT('Шаг2.Бланк заказа NEW'!$B$19:$B$201),'Бланк OLD 0.8 04'!$B$12:$K$200,9,0))),
IF(VLOOKUP($A295-COUNT('Шаг2.Бланк заказа NEW'!$B$19:$B$201)-COUNT('Бланк OLD 0.8 04'!$B$18:$B$200),'Бланк OLD 2.0 04 '!$B$16:$K$200,9,0)="","",VLOOKUP($A295-COUNT('Шаг2.Бланк заказа NEW'!$B$19:$B$201)-COUNT('Бланк OLD 0.8 04'!$B$18:$B$200),'Бланк OLD 2.0 04 '!$B$16:$K$200,9,0)))</f>
        <v/>
      </c>
      <c r="M295" s="154" t="str">
        <f t="shared" ca="1" si="25"/>
        <v/>
      </c>
      <c r="N295" s="153" t="str">
        <f ca="1">IFERROR(IF(VLOOKUP($A295,'Шаг2.Бланк заказа NEW'!$B$17:$N$201,11,0)="","",VLOOKUP($A295,'Шаг2.Бланк заказа NEW'!$B$17:$N$201,11,0)),
"Нет")</f>
        <v/>
      </c>
      <c r="O295" s="147" t="str">
        <f ca="1">IFERROR(IF(VLOOKUP($A295,'Шаг2.Бланк заказа NEW'!$B$17:$N$201,11,0)="","",VLOOKUP($A295,'Шаг2.Бланк заказа NEW'!$B$17:$N$201,12,0)),
"Нет")</f>
        <v/>
      </c>
      <c r="P295" s="153" t="str">
        <f ca="1">IFERROR(IF(VLOOKUP($A295,'Шаг2.Бланк заказа NEW'!$B$17:$N$201,13,0)="","",VLOOKUP($A295,'Шаг2.Бланк заказа NEW'!$B$17:$N$201,13,0)),
"Нет")</f>
        <v/>
      </c>
      <c r="Q295" s="147" t="str">
        <f ca="1">IFERROR(IF(VLOOKUP($A295,'Шаг2.Бланк заказа NEW'!$B$17:$O$201,14,0)="","",VLOOKUP($A295,'Шаг2.Бланк заказа NEW'!$B$17:$O$201,14,0)),"")</f>
        <v/>
      </c>
      <c r="R295" s="147" t="str">
        <f ca="1">IFERROR(IFERROR(IF(VLOOKUP($A295,'Шаг2.Бланк заказа NEW'!$B$17:$N$201,4,0)="","",VLOOKUP($A295,'Шаг2.Бланк заказа NEW'!$B$17:$N$201,4,0)),
IF(VLOOKUP($A295-COUNT('Шаг2.Бланк заказа NEW'!$B$19:$B$201),'Бланк OLD 0.8 04'!$B$12:$K$200,4,0)&gt;0,0.8,
IF(VLOOKUP($A295-COUNT('Шаг2.Бланк заказа NEW'!$B$19:$B$201),'Бланк OLD 0.8 04'!$B$12:$K$200,5,0)&gt;0,0.4,""))),
IF(VLOOKUP($A295-COUNT('Шаг2.Бланк заказа NEW'!$B$19:$B$201)-COUNT('Бланк OLD 0.8 04'!$B$18:$B$200),'Бланк OLD 2.0 04 '!$B$16:$K$200,4,0)&gt;0,2,IF(VLOOKUP($A295-COUNT('Шаг2.Бланк заказа NEW'!$B$19:$B$201)-COUNT('Бланк OLD 0.8 04'!$B$18:$B$200),'Бланк OLD 2.0 04 '!$B$16:$K$200,5,0)&gt;0,0.4,"")))</f>
        <v/>
      </c>
      <c r="S295" s="147" t="str">
        <f ca="1">IFERROR(IFERROR(IF(VLOOKUP($A295,'Шаг2.Бланк заказа NEW'!$B$17:$N$201,5,0)="","",VLOOKUP($A295,'Шаг2.Бланк заказа NEW'!$B$17:$N$201,5,0)),
IF(VLOOKUP($A295-COUNT('Шаг2.Бланк заказа NEW'!$B$19:$B$201),'Бланк OLD 0.8 04'!$B$12:$K$200,4,0)&gt;1,0.8,
IF(VLOOKUP($A295-COUNT('Шаг2.Бланк заказа NEW'!$B$19:$B$201),'Бланк OLD 0.8 04'!$B$12:$K$200,5,0)&gt;1,0.4,
IF(AND(VLOOKUP($A295-COUNT('Шаг2.Бланк заказа NEW'!$B$19:$B$201),'Бланк OLD 0.8 04'!$B$12:$K$200,4,0)&gt;0,VLOOKUP($A295-COUNT('Шаг2.Бланк заказа NEW'!$B$19:$B$201),'Бланк OLD 0.8 04'!$B$12:$K$200,5,0)&gt;0),0.4,"")))),
IF(VLOOKUP($A295-COUNT('Шаг2.Бланк заказа NEW'!$B$19:$B$201)-COUNT('Бланк OLD 0.8 04'!$B$18:$B$200),'Бланк OLD 2.0 04 '!$B$16:$K$200,4,0)&gt;1,2,
IF(VLOOKUP($A295-COUNT('Шаг2.Бланк заказа NEW'!$B$19:$B$201)-COUNT('Бланк OLD 0.8 04'!$B$18:$B$200),'Бланк OLD 2.0 04 '!$B$16:$K$200,5,0)&gt;1,0.4,IF(AND(VLOOKUP($A295-COUNT('Шаг2.Бланк заказа NEW'!$B$19:$B$201)-COUNT('Бланк OLD 0.8 04'!$B$18:$B$200),'Бланк OLD 2.0 04 '!$B$16:$K$200,4,0)&gt;0,VLOOKUP($A295-COUNT('Шаг2.Бланк заказа NEW'!$B$19:$B$201)-COUNT('Бланк OLD 0.8 04'!$B$18:$B$200),'Бланк OLD 2.0 04 '!$B$16:$K$200,5,0)&gt;0),0.4,""))))</f>
        <v/>
      </c>
      <c r="T295" s="147" t="str">
        <f ca="1">IFERROR(IFERROR(IF(VLOOKUP($A295,'Шаг2.Бланк заказа NEW'!$B$17:$N$201,7,0)="","",VLOOKUP($A295,'Шаг2.Бланк заказа NEW'!$B$17:$N$201,7,0)),
IF(VLOOKUP($A295-COUNT('Шаг2.Бланк заказа NEW'!$B$19:$B$201),'Бланк OLD 0.8 04'!$B$12:$K$200,7,0)&gt;0,0.8,
IF(VLOOKUP($A295-COUNT('Шаг2.Бланк заказа NEW'!$B$19:$B$201),'Бланк OLD 0.8 04'!$B$12:$K$200,8,0)&gt;0,0.4,""))),
IF(VLOOKUP($A295-COUNT('Шаг2.Бланк заказа NEW'!$B$19:$B$201)-COUNT('Бланк OLD 0.8 04'!$B$18:$B$200),'Бланк OLD 2.0 04 '!$B$16:$K$200,7,0)&gt;0,2,IF(VLOOKUP($A295-COUNT('Шаг2.Бланк заказа NEW'!$B$19:$B$201)-COUNT('Бланк OLD 0.8 04'!$B$18:$B$200),'Бланк OLD 2.0 04 '!$B$16:$K$200,8,0)&gt;0,0.4,"")))</f>
        <v/>
      </c>
      <c r="U295" s="147" t="str">
        <f ca="1">IFERROR(IFERROR(IF(VLOOKUP($A295,'Шаг2.Бланк заказа NEW'!$B$17:$N$201,8,0)="","",VLOOKUP($A295,'Шаг2.Бланк заказа NEW'!$B$17:$N$201,8,0)),
IF(VLOOKUP($A295-COUNT('Шаг2.Бланк заказа NEW'!$B$19:$B$201),'Бланк OLD 0.8 04'!$B$12:$K$200,7,0)&gt;1,0.8,
IF(VLOOKUP($A295-COUNT('Шаг2.Бланк заказа NEW'!$B$19:$B$201),'Бланк OLD 0.8 04'!$B$12:$K$200,8,0)&gt;1,0.4,
IF(AND(VLOOKUP($A295-COUNT('Шаг2.Бланк заказа NEW'!$B$19:$B$201),'Бланк OLD 0.8 04'!$B$12:$K$200,7,0)&gt;0,VLOOKUP($A295-COUNT('Шаг2.Бланк заказа NEW'!$B$19:$B$201),'Бланк OLD 0.8 04'!$B$12:$K$200,8,0)&gt;0),0.4,"")))),
IF(VLOOKUP($A295-COUNT('Шаг2.Бланк заказа NEW'!$B$19:$B$201)-COUNT('Бланк OLD 0.8 04'!$B$18:$B$200),'Бланк OLD 2.0 04 '!$B$16:$K$200,7,0)&gt;1,2,
IF(VLOOKUP($A295-COUNT('Шаг2.Бланк заказа NEW'!$B$19:$B$201)-COUNT('Бланк OLD 0.8 04'!$B$18:$B$200),'Бланк OLD 2.0 04 '!$B$16:$K$200,8,0)&gt;1,0.4,
IF(AND(VLOOKUP($A295-COUNT('Шаг2.Бланк заказа NEW'!$B$19:$B$201)-COUNT('Бланк OLD 0.8 04'!$B$18:$B$200),'Бланк OLD 2.0 04 '!$B$16:$K$200,7,0)&gt;0,VLOOKUP($A295-COUNT('Шаг2.Бланк заказа NEW'!$B$19:$B$201)-COUNT('Бланк OLD 0.8 04'!$B$18:$B$200),'Бланк OLD 2.0 04 '!$B$16:$K$200,8,0)&gt;0),0.4,""))))</f>
        <v/>
      </c>
      <c r="V295" s="146" t="str">
        <f ca="1">IFERROR(VLOOKUP(C295,'Шаг1.Выбор плиты'!C:S,12,0),"")</f>
        <v/>
      </c>
      <c r="W295" s="146" t="str">
        <f ca="1">IFERROR(VLOOKUP(C295,'Шаг1.Выбор плиты'!C:S,8,0),"")</f>
        <v/>
      </c>
      <c r="X295" s="146" t="str">
        <f ca="1">IFERROR(VLOOKUP(C295,'Шаг1.Выбор плиты'!C:S,10,0),"")</f>
        <v/>
      </c>
      <c r="Y295" s="147" t="str">
        <f t="shared" ca="1" si="23"/>
        <v/>
      </c>
      <c r="AD295" s="147" t="str">
        <f t="shared" ca="1" si="26"/>
        <v/>
      </c>
      <c r="AE295" s="147" t="str">
        <f t="shared" ca="1" si="24"/>
        <v/>
      </c>
      <c r="AF295" s="25"/>
      <c r="AH295" s="147" t="str">
        <f ca="1">IF(C295="","",VLOOKUP(C295,'Шаг1.Выбор плиты'!C:Q,7,0))</f>
        <v/>
      </c>
      <c r="AI295" s="147" t="str">
        <f t="shared" ca="1" si="27"/>
        <v/>
      </c>
    </row>
    <row r="296" spans="1:35" x14ac:dyDescent="0.2">
      <c r="A296" s="151" t="str">
        <f ca="1">IF(C296="","",MAX($A$1:OFFSET(C296,-1,0))+1)</f>
        <v/>
      </c>
      <c r="B296" s="151" t="str">
        <f ca="1">IFERROR(IFERROR(IFERROR("Шаг2.Бланк заказа NEW №"&amp;VLOOKUP(A295+1,CHOOSE({1,2},'Шаг2.Бланк заказа NEW'!$B$19:$B$201,'Шаг2.Бланк заказа NEW'!$A$19:$A$201),1,0),
"Бланк OLD 0.8 04 №"&amp;VLOOKUP(A295+1-COUNT('Шаг2.Бланк заказа NEW'!$B$19:$B$201),CHOOSE({1,2},'Бланк OLD 0.8 04'!$B$18:$B$200,'Бланк OLD 0.8 04'!$A$18:$A$200),1,0)),
"Бланк OLD 2.0 04 №"&amp;VLOOKUP(A295+1-COUNT('Шаг2.Бланк заказа NEW'!$B$19:$B$201)-COUNT('Бланк OLD 0.8 04'!$B$18:$B$200),CHOOSE({1,2},'Бланк OLD 2.0 04 '!$B$18:$B$200,'Бланк OLD 2.0 04 '!$A$18:$A$200),1,0)),"")</f>
        <v/>
      </c>
      <c r="C296" s="152" t="str">
        <f ca="1">IFERROR(IFERROR(IFERROR(VLOOKUP(A295+1,CHOOSE({1,2},'Шаг2.Бланк заказа NEW'!$B$19:$B$201,'Шаг2.Бланк заказа NEW'!$A$19:$A$201),2,0),
VLOOKUP(A295+1-COUNT('Шаг2.Бланк заказа NEW'!$B$19:$B$201),CHOOSE({1,2},'Бланк OLD 0.8 04'!$B$18:$B$200,'Бланк OLD 0.8 04'!$A$18:$A$200),2,0)),
VLOOKUP(A295+1-COUNT('Шаг2.Бланк заказа NEW'!$B$19:$B$201)-COUNT('Бланк OLD 0.8 04'!$B$18:$B$200),CHOOSE({1,2},'Бланк OLD 2.0 04 '!$B$18:$B$200,'Бланк OLD 2.0 04 '!$A$18:$A$200),2,0)),"")</f>
        <v/>
      </c>
      <c r="D296" s="150" t="str">
        <f ca="1">IFERROR(VLOOKUP(C296,'Шаг1.Выбор плиты'!C:G,5,0),"")</f>
        <v/>
      </c>
      <c r="E296" s="147" t="str">
        <f ca="1">IFERROR(IFERROR(IF(VLOOKUP($A296,'Шаг2.Бланк заказа NEW'!$B$17:$N$201,2,0)="","",VLOOKUP($A296,'Шаг2.Бланк заказа NEW'!$B$17:$N$201,2,0)),
IF(VLOOKUP($A296-COUNT('Шаг2.Бланк заказа NEW'!$B$19:$B$201),'Бланк OLD 0.8 04'!$B$12:$K$200,2,0)="","",VLOOKUP($A296-COUNT('Шаг2.Бланк заказа NEW'!$B$19:$B$201),'Бланк OLD 0.8 04'!$B$12:$K$200,2,0))),
IF(VLOOKUP($A296-COUNT('Шаг2.Бланк заказа NEW'!$B$19:$B$201)-COUNT('Бланк OLD 0.8 04'!$B$18:$B$200),'Бланк OLD 2.0 04 '!$B$16:$K$200,2,0)="","",VLOOKUP($A296-COUNT('Шаг2.Бланк заказа NEW'!$B$19:$B$201)-COUNT('Бланк OLD 0.8 04'!$B$18:$B$200),'Бланк OLD 2.0 04 '!$B$16:$K$200,2,0)))</f>
        <v/>
      </c>
      <c r="F296" s="147" t="str">
        <f ca="1">IFERROR(IFERROR(IF(VLOOKUP($A296,'Шаг2.Бланк заказа NEW'!$B$17:$N$201,3,0)="","",VLOOKUP($A296,'Шаг2.Бланк заказа NEW'!$B$17:$N$201,3,0)),
IF(VLOOKUP($A296-COUNT('Шаг2.Бланк заказа NEW'!$B$19:$B$201),'Бланк OLD 0.8 04'!$B$12:$K$200,3,0)="","",VLOOKUP($A296-COUNT('Шаг2.Бланк заказа NEW'!$B$19:$B$201),'Бланк OLD 0.8 04'!$B$12:$K$200,3,0))),
IF(VLOOKUP($A296-COUNT('Шаг2.Бланк заказа NEW'!$B$19:$B$201)-COUNT('Бланк OLD 0.8 04'!$B$18:$B$200),'Бланк OLD 2.0 04 '!$B$16:$K$200,3,0)="","",VLOOKUP($A296-COUNT('Шаг2.Бланк заказа NEW'!$B$19:$B$201)-COUNT('Бланк OLD 0.8 04'!$B$18:$B$200),'Бланк OLD 2.0 04 '!$B$16:$K$200,3,0)))</f>
        <v/>
      </c>
      <c r="G296" s="176" t="str">
        <f ca="1">IF(IF(R296="","",IF(R296=1,SUMIFS('Шаг1.Выбор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плиты'!C:Q,12,0)),1))))))=0,
R296,
IF(R296="","",IF(R296=1,SUMIFS('Шаг1.Выбор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плиты'!N:N,R296,'Шаг1.Выбор плиты'!M:M,SMALL(INDIRECT("мм"&amp;VLOOKUP(C296,'Шаг1.Выбор плиты'!C:Q,12,0)),1)))))))</f>
        <v/>
      </c>
      <c r="H296" s="177" t="str">
        <f ca="1">IF(IF(S296="","",IF(S296=1,SUMIFS('Шаг1.Выбор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плиты'!C:Q,12,0)),1))))))=0,
S296,
IF(S296="","",IF(S296=1,SUMIFS('Шаг1.Выбор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плиты'!N:N,S296,'Шаг1.Выбор плиты'!M:M,SMALL(INDIRECT("мм"&amp;VLOOKUP(C296,'Шаг1.Выбор плиты'!C:Q,12,0)),1)))))))</f>
        <v/>
      </c>
      <c r="I296" s="147" t="str">
        <f ca="1">IFERROR(IFERROR(IF(VLOOKUP($A296,'Шаг2.Бланк заказа NEW'!$B$17:$N$201,6,0)="","",VLOOKUP($A296,'Шаг2.Бланк заказа NEW'!$B$17:$N$201,6,0)),
IF(VLOOKUP($A296-COUNT('Шаг2.Бланк заказа NEW'!$B$19:$B$201),'Бланк OLD 0.8 04'!$B$12:$K$200,6,0)="","",VLOOKUP($A296-COUNT('Шаг2.Бланк заказа NEW'!$B$19:$B$201),'Бланк OLD 0.8 04'!$B$12:$K$200,6,0))),
IF(VLOOKUP($A296-COUNT('Шаг2.Бланк заказа NEW'!$B$19:$B$201)-COUNT('Бланк OLD 0.8 04'!$B$18:$B$200),'Бланк OLD 2.0 04 '!$B$16:$K$200,6,0)="","",VLOOKUP($A296-COUNT('Шаг2.Бланк заказа NEW'!$B$19:$B$201)-COUNT('Бланк OLD 0.8 04'!$B$18:$B$200),'Бланк OLD 2.0 04 '!$B$16:$K$200,6,0)))</f>
        <v/>
      </c>
      <c r="J296" s="177" t="str">
        <f ca="1">IF(IF(T296="","",IF(T296=1,SUMIFS('Шаг1.Выбор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плиты'!C:Q,12,0)),1))))))=0,
T296,
IF(T296="","",IF(T296=1,SUMIFS('Шаг1.Выбор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плиты'!N:N,T296,'Шаг1.Выбор плиты'!M:M,SMALL(INDIRECT("мм"&amp;VLOOKUP(C296,'Шаг1.Выбор плиты'!C:Q,12,0)),1)))))))</f>
        <v/>
      </c>
      <c r="K296" s="177" t="str">
        <f ca="1">IF(IF(U296="","",IF(U296=1,SUMIFS('Шаг1.Выбор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плиты'!C:Q,12,0)),1))))))=0,
U296,
IF(U296="","",IF(U296=1,SUMIFS('Шаг1.Выбор плиты'!$G:$G,'Шаг1.Выбор плиты'!J:J,"*"&amp;RIGHT(VLOOKUP(C296,'Шаг1.Выбор плиты'!C:Q,8,0),4),'Шаг1.Выбор плиты'!L:L,IF(MID(C296,1,6)="ЛДСП P","TM"&amp;MID(VLOOKUP(C296,'Шаг1.Выбор плиты'!C:Q,10,0),3,2),MID(VLOOKUP(C296,'Шаг1.Выбор плиты'!C:Q,10,0),1,2)),
'Шаг1.Выбор плиты'!N:N,1),IF(SUMIFS('Шаг1.Выбор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плиты'!C:Q,12,0)),1))=0,
IF(SUMIFS('Шаг1.Выбор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плиты'!C:Q,12,0)),2))=0,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плиты'!C:Q,12,0)),3)),
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плиты'!C:Q,12,0)),2))),
(SUMIFS('Шаг1.Выбор плиты'!$G:$G,'Шаг1.Выбор плиты'!J:J,"*"&amp;RIGHT(VLOOKUP(C296,'Шаг1.Выбор плиты'!C:Q,8,0),4),'Шаг1.Выбор плиты'!L:L,VLOOKUP(C296,'Шаг1.Выбор плиты'!C:Q,10,0),'Шаг1.Выбор плиты'!N:N,U296,'Шаг1.Выбор плиты'!M:M,SMALL(INDIRECT("мм"&amp;VLOOKUP(C296,'Шаг1.Выбор плиты'!C:Q,12,0)),1)))))))</f>
        <v/>
      </c>
      <c r="L296" s="147" t="str">
        <f ca="1">IFERROR(IFERROR(IF(VLOOKUP($A296,'Шаг2.Бланк заказа NEW'!$B$17:$N$201,9,0)="","",VLOOKUP($A296,'Шаг2.Бланк заказа NEW'!$B$17:$N$201,9,0)),
IF(VLOOKUP($A296-COUNT('Шаг2.Бланк заказа NEW'!$B$19:$B$201),'Бланк OLD 0.8 04'!$B$12:$K$200,9,0)="","",VLOOKUP($A296-COUNT('Шаг2.Бланк заказа NEW'!$B$19:$B$201),'Бланк OLD 0.8 04'!$B$12:$K$200,9,0))),
IF(VLOOKUP($A296-COUNT('Шаг2.Бланк заказа NEW'!$B$19:$B$201)-COUNT('Бланк OLD 0.8 04'!$B$18:$B$200),'Бланк OLD 2.0 04 '!$B$16:$K$200,9,0)="","",VLOOKUP($A296-COUNT('Шаг2.Бланк заказа NEW'!$B$19:$B$201)-COUNT('Бланк OLD 0.8 04'!$B$18:$B$200),'Бланк OLD 2.0 04 '!$B$16:$K$200,9,0)))</f>
        <v/>
      </c>
      <c r="M296" s="154" t="str">
        <f t="shared" ca="1" si="25"/>
        <v/>
      </c>
      <c r="N296" s="153" t="str">
        <f ca="1">IFERROR(IF(VLOOKUP($A296,'Шаг2.Бланк заказа NEW'!$B$17:$N$201,11,0)="","",VLOOKUP($A296,'Шаг2.Бланк заказа NEW'!$B$17:$N$201,11,0)),
"Нет")</f>
        <v/>
      </c>
      <c r="O296" s="147" t="str">
        <f ca="1">IFERROR(IF(VLOOKUP($A296,'Шаг2.Бланк заказа NEW'!$B$17:$N$201,11,0)="","",VLOOKUP($A296,'Шаг2.Бланк заказа NEW'!$B$17:$N$201,12,0)),
"Нет")</f>
        <v/>
      </c>
      <c r="P296" s="153" t="str">
        <f ca="1">IFERROR(IF(VLOOKUP($A296,'Шаг2.Бланк заказа NEW'!$B$17:$N$201,13,0)="","",VLOOKUP($A296,'Шаг2.Бланк заказа NEW'!$B$17:$N$201,13,0)),
"Нет")</f>
        <v/>
      </c>
      <c r="Q296" s="147" t="str">
        <f ca="1">IFERROR(IF(VLOOKUP($A296,'Шаг2.Бланк заказа NEW'!$B$17:$O$201,14,0)="","",VLOOKUP($A296,'Шаг2.Бланк заказа NEW'!$B$17:$O$201,14,0)),"")</f>
        <v/>
      </c>
      <c r="R296" s="147" t="str">
        <f ca="1">IFERROR(IFERROR(IF(VLOOKUP($A296,'Шаг2.Бланк заказа NEW'!$B$17:$N$201,4,0)="","",VLOOKUP($A296,'Шаг2.Бланк заказа NEW'!$B$17:$N$201,4,0)),
IF(VLOOKUP($A296-COUNT('Шаг2.Бланк заказа NEW'!$B$19:$B$201),'Бланк OLD 0.8 04'!$B$12:$K$200,4,0)&gt;0,0.8,
IF(VLOOKUP($A296-COUNT('Шаг2.Бланк заказа NEW'!$B$19:$B$201),'Бланк OLD 0.8 04'!$B$12:$K$200,5,0)&gt;0,0.4,""))),
IF(VLOOKUP($A296-COUNT('Шаг2.Бланк заказа NEW'!$B$19:$B$201)-COUNT('Бланк OLD 0.8 04'!$B$18:$B$200),'Бланк OLD 2.0 04 '!$B$16:$K$200,4,0)&gt;0,2,IF(VLOOKUP($A296-COUNT('Шаг2.Бланк заказа NEW'!$B$19:$B$201)-COUNT('Бланк OLD 0.8 04'!$B$18:$B$200),'Бланк OLD 2.0 04 '!$B$16:$K$200,5,0)&gt;0,0.4,"")))</f>
        <v/>
      </c>
      <c r="S296" s="147" t="str">
        <f ca="1">IFERROR(IFERROR(IF(VLOOKUP($A296,'Шаг2.Бланк заказа NEW'!$B$17:$N$201,5,0)="","",VLOOKUP($A296,'Шаг2.Бланк заказа NEW'!$B$17:$N$201,5,0)),
IF(VLOOKUP($A296-COUNT('Шаг2.Бланк заказа NEW'!$B$19:$B$201),'Бланк OLD 0.8 04'!$B$12:$K$200,4,0)&gt;1,0.8,
IF(VLOOKUP($A296-COUNT('Шаг2.Бланк заказа NEW'!$B$19:$B$201),'Бланк OLD 0.8 04'!$B$12:$K$200,5,0)&gt;1,0.4,
IF(AND(VLOOKUP($A296-COUNT('Шаг2.Бланк заказа NEW'!$B$19:$B$201),'Бланк OLD 0.8 04'!$B$12:$K$200,4,0)&gt;0,VLOOKUP($A296-COUNT('Шаг2.Бланк заказа NEW'!$B$19:$B$201),'Бланк OLD 0.8 04'!$B$12:$K$200,5,0)&gt;0),0.4,"")))),
IF(VLOOKUP($A296-COUNT('Шаг2.Бланк заказа NEW'!$B$19:$B$201)-COUNT('Бланк OLD 0.8 04'!$B$18:$B$200),'Бланк OLD 2.0 04 '!$B$16:$K$200,4,0)&gt;1,2,
IF(VLOOKUP($A296-COUNT('Шаг2.Бланк заказа NEW'!$B$19:$B$201)-COUNT('Бланк OLD 0.8 04'!$B$18:$B$200),'Бланк OLD 2.0 04 '!$B$16:$K$200,5,0)&gt;1,0.4,IF(AND(VLOOKUP($A296-COUNT('Шаг2.Бланк заказа NEW'!$B$19:$B$201)-COUNT('Бланк OLD 0.8 04'!$B$18:$B$200),'Бланк OLD 2.0 04 '!$B$16:$K$200,4,0)&gt;0,VLOOKUP($A296-COUNT('Шаг2.Бланк заказа NEW'!$B$19:$B$201)-COUNT('Бланк OLD 0.8 04'!$B$18:$B$200),'Бланк OLD 2.0 04 '!$B$16:$K$200,5,0)&gt;0),0.4,""))))</f>
        <v/>
      </c>
      <c r="T296" s="147" t="str">
        <f ca="1">IFERROR(IFERROR(IF(VLOOKUP($A296,'Шаг2.Бланк заказа NEW'!$B$17:$N$201,7,0)="","",VLOOKUP($A296,'Шаг2.Бланк заказа NEW'!$B$17:$N$201,7,0)),
IF(VLOOKUP($A296-COUNT('Шаг2.Бланк заказа NEW'!$B$19:$B$201),'Бланк OLD 0.8 04'!$B$12:$K$200,7,0)&gt;0,0.8,
IF(VLOOKUP($A296-COUNT('Шаг2.Бланк заказа NEW'!$B$19:$B$201),'Бланк OLD 0.8 04'!$B$12:$K$200,8,0)&gt;0,0.4,""))),
IF(VLOOKUP($A296-COUNT('Шаг2.Бланк заказа NEW'!$B$19:$B$201)-COUNT('Бланк OLD 0.8 04'!$B$18:$B$200),'Бланк OLD 2.0 04 '!$B$16:$K$200,7,0)&gt;0,2,IF(VLOOKUP($A296-COUNT('Шаг2.Бланк заказа NEW'!$B$19:$B$201)-COUNT('Бланк OLD 0.8 04'!$B$18:$B$200),'Бланк OLD 2.0 04 '!$B$16:$K$200,8,0)&gt;0,0.4,"")))</f>
        <v/>
      </c>
      <c r="U296" s="147" t="str">
        <f ca="1">IFERROR(IFERROR(IF(VLOOKUP($A296,'Шаг2.Бланк заказа NEW'!$B$17:$N$201,8,0)="","",VLOOKUP($A296,'Шаг2.Бланк заказа NEW'!$B$17:$N$201,8,0)),
IF(VLOOKUP($A296-COUNT('Шаг2.Бланк заказа NEW'!$B$19:$B$201),'Бланк OLD 0.8 04'!$B$12:$K$200,7,0)&gt;1,0.8,
IF(VLOOKUP($A296-COUNT('Шаг2.Бланк заказа NEW'!$B$19:$B$201),'Бланк OLD 0.8 04'!$B$12:$K$200,8,0)&gt;1,0.4,
IF(AND(VLOOKUP($A296-COUNT('Шаг2.Бланк заказа NEW'!$B$19:$B$201),'Бланк OLD 0.8 04'!$B$12:$K$200,7,0)&gt;0,VLOOKUP($A296-COUNT('Шаг2.Бланк заказа NEW'!$B$19:$B$201),'Бланк OLD 0.8 04'!$B$12:$K$200,8,0)&gt;0),0.4,"")))),
IF(VLOOKUP($A296-COUNT('Шаг2.Бланк заказа NEW'!$B$19:$B$201)-COUNT('Бланк OLD 0.8 04'!$B$18:$B$200),'Бланк OLD 2.0 04 '!$B$16:$K$200,7,0)&gt;1,2,
IF(VLOOKUP($A296-COUNT('Шаг2.Бланк заказа NEW'!$B$19:$B$201)-COUNT('Бланк OLD 0.8 04'!$B$18:$B$200),'Бланк OLD 2.0 04 '!$B$16:$K$200,8,0)&gt;1,0.4,
IF(AND(VLOOKUP($A296-COUNT('Шаг2.Бланк заказа NEW'!$B$19:$B$201)-COUNT('Бланк OLD 0.8 04'!$B$18:$B$200),'Бланк OLD 2.0 04 '!$B$16:$K$200,7,0)&gt;0,VLOOKUP($A296-COUNT('Шаг2.Бланк заказа NEW'!$B$19:$B$201)-COUNT('Бланк OLD 0.8 04'!$B$18:$B$200),'Бланк OLD 2.0 04 '!$B$16:$K$200,8,0)&gt;0),0.4,""))))</f>
        <v/>
      </c>
      <c r="V296" s="146" t="str">
        <f ca="1">IFERROR(VLOOKUP(C296,'Шаг1.Выбор плиты'!C:S,12,0),"")</f>
        <v/>
      </c>
      <c r="W296" s="146" t="str">
        <f ca="1">IFERROR(VLOOKUP(C296,'Шаг1.Выбор плиты'!C:S,8,0),"")</f>
        <v/>
      </c>
      <c r="X296" s="146" t="str">
        <f ca="1">IFERROR(VLOOKUP(C296,'Шаг1.Выбор плиты'!C:S,10,0),"")</f>
        <v/>
      </c>
      <c r="Y296" s="147" t="str">
        <f t="shared" ca="1" si="23"/>
        <v/>
      </c>
      <c r="AD296" s="147" t="str">
        <f t="shared" ca="1" si="26"/>
        <v/>
      </c>
      <c r="AE296" s="147" t="str">
        <f t="shared" ca="1" si="24"/>
        <v/>
      </c>
      <c r="AF296" s="25"/>
      <c r="AH296" s="147" t="str">
        <f ca="1">IF(C296="","",VLOOKUP(C296,'Шаг1.Выбор плиты'!C:Q,7,0))</f>
        <v/>
      </c>
      <c r="AI296" s="147" t="str">
        <f t="shared" ca="1" si="27"/>
        <v/>
      </c>
    </row>
    <row r="297" spans="1:35" x14ac:dyDescent="0.2">
      <c r="A297" s="151" t="str">
        <f ca="1">IF(C297="","",MAX($A$1:OFFSET(C297,-1,0))+1)</f>
        <v/>
      </c>
      <c r="B297" s="151" t="str">
        <f ca="1">IFERROR(IFERROR(IFERROR("Шаг2.Бланк заказа NEW №"&amp;VLOOKUP(A296+1,CHOOSE({1,2},'Шаг2.Бланк заказа NEW'!$B$19:$B$201,'Шаг2.Бланк заказа NEW'!$A$19:$A$201),1,0),
"Бланк OLD 0.8 04 №"&amp;VLOOKUP(A296+1-COUNT('Шаг2.Бланк заказа NEW'!$B$19:$B$201),CHOOSE({1,2},'Бланк OLD 0.8 04'!$B$18:$B$200,'Бланк OLD 0.8 04'!$A$18:$A$200),1,0)),
"Бланк OLD 2.0 04 №"&amp;VLOOKUP(A296+1-COUNT('Шаг2.Бланк заказа NEW'!$B$19:$B$201)-COUNT('Бланк OLD 0.8 04'!$B$18:$B$200),CHOOSE({1,2},'Бланк OLD 2.0 04 '!$B$18:$B$200,'Бланк OLD 2.0 04 '!$A$18:$A$200),1,0)),"")</f>
        <v/>
      </c>
      <c r="C297" s="152" t="str">
        <f ca="1">IFERROR(IFERROR(IFERROR(VLOOKUP(A296+1,CHOOSE({1,2},'Шаг2.Бланк заказа NEW'!$B$19:$B$201,'Шаг2.Бланк заказа NEW'!$A$19:$A$201),2,0),
VLOOKUP(A296+1-COUNT('Шаг2.Бланк заказа NEW'!$B$19:$B$201),CHOOSE({1,2},'Бланк OLD 0.8 04'!$B$18:$B$200,'Бланк OLD 0.8 04'!$A$18:$A$200),2,0)),
VLOOKUP(A296+1-COUNT('Шаг2.Бланк заказа NEW'!$B$19:$B$201)-COUNT('Бланк OLD 0.8 04'!$B$18:$B$200),CHOOSE({1,2},'Бланк OLD 2.0 04 '!$B$18:$B$200,'Бланк OLD 2.0 04 '!$A$18:$A$200),2,0)),"")</f>
        <v/>
      </c>
      <c r="D297" s="150" t="str">
        <f ca="1">IFERROR(VLOOKUP(C297,'Шаг1.Выбор плиты'!C:G,5,0),"")</f>
        <v/>
      </c>
      <c r="E297" s="147" t="str">
        <f ca="1">IFERROR(IFERROR(IF(VLOOKUP($A297,'Шаг2.Бланк заказа NEW'!$B$17:$N$201,2,0)="","",VLOOKUP($A297,'Шаг2.Бланк заказа NEW'!$B$17:$N$201,2,0)),
IF(VLOOKUP($A297-COUNT('Шаг2.Бланк заказа NEW'!$B$19:$B$201),'Бланк OLD 0.8 04'!$B$12:$K$200,2,0)="","",VLOOKUP($A297-COUNT('Шаг2.Бланк заказа NEW'!$B$19:$B$201),'Бланк OLD 0.8 04'!$B$12:$K$200,2,0))),
IF(VLOOKUP($A297-COUNT('Шаг2.Бланк заказа NEW'!$B$19:$B$201)-COUNT('Бланк OLD 0.8 04'!$B$18:$B$200),'Бланк OLD 2.0 04 '!$B$16:$K$200,2,0)="","",VLOOKUP($A297-COUNT('Шаг2.Бланк заказа NEW'!$B$19:$B$201)-COUNT('Бланк OLD 0.8 04'!$B$18:$B$200),'Бланк OLD 2.0 04 '!$B$16:$K$200,2,0)))</f>
        <v/>
      </c>
      <c r="F297" s="147" t="str">
        <f ca="1">IFERROR(IFERROR(IF(VLOOKUP($A297,'Шаг2.Бланк заказа NEW'!$B$17:$N$201,3,0)="","",VLOOKUP($A297,'Шаг2.Бланк заказа NEW'!$B$17:$N$201,3,0)),
IF(VLOOKUP($A297-COUNT('Шаг2.Бланк заказа NEW'!$B$19:$B$201),'Бланк OLD 0.8 04'!$B$12:$K$200,3,0)="","",VLOOKUP($A297-COUNT('Шаг2.Бланк заказа NEW'!$B$19:$B$201),'Бланк OLD 0.8 04'!$B$12:$K$200,3,0))),
IF(VLOOKUP($A297-COUNT('Шаг2.Бланк заказа NEW'!$B$19:$B$201)-COUNT('Бланк OLD 0.8 04'!$B$18:$B$200),'Бланк OLD 2.0 04 '!$B$16:$K$200,3,0)="","",VLOOKUP($A297-COUNT('Шаг2.Бланк заказа NEW'!$B$19:$B$201)-COUNT('Бланк OLD 0.8 04'!$B$18:$B$200),'Бланк OLD 2.0 04 '!$B$16:$K$200,3,0)))</f>
        <v/>
      </c>
      <c r="G297" s="176" t="str">
        <f ca="1">IF(IF(R297="","",IF(R297=1,SUMIFS('Шаг1.Выбор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плиты'!C:Q,12,0)),1))))))=0,
R297,
IF(R297="","",IF(R297=1,SUMIFS('Шаг1.Выбор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плиты'!N:N,R297,'Шаг1.Выбор плиты'!M:M,SMALL(INDIRECT("мм"&amp;VLOOKUP(C297,'Шаг1.Выбор плиты'!C:Q,12,0)),1)))))))</f>
        <v/>
      </c>
      <c r="H297" s="177" t="str">
        <f ca="1">IF(IF(S297="","",IF(S297=1,SUMIFS('Шаг1.Выбор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плиты'!C:Q,12,0)),1))))))=0,
S297,
IF(S297="","",IF(S297=1,SUMIFS('Шаг1.Выбор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плиты'!N:N,S297,'Шаг1.Выбор плиты'!M:M,SMALL(INDIRECT("мм"&amp;VLOOKUP(C297,'Шаг1.Выбор плиты'!C:Q,12,0)),1)))))))</f>
        <v/>
      </c>
      <c r="I297" s="147" t="str">
        <f ca="1">IFERROR(IFERROR(IF(VLOOKUP($A297,'Шаг2.Бланк заказа NEW'!$B$17:$N$201,6,0)="","",VLOOKUP($A297,'Шаг2.Бланк заказа NEW'!$B$17:$N$201,6,0)),
IF(VLOOKUP($A297-COUNT('Шаг2.Бланк заказа NEW'!$B$19:$B$201),'Бланк OLD 0.8 04'!$B$12:$K$200,6,0)="","",VLOOKUP($A297-COUNT('Шаг2.Бланк заказа NEW'!$B$19:$B$201),'Бланк OLD 0.8 04'!$B$12:$K$200,6,0))),
IF(VLOOKUP($A297-COUNT('Шаг2.Бланк заказа NEW'!$B$19:$B$201)-COUNT('Бланк OLD 0.8 04'!$B$18:$B$200),'Бланк OLD 2.0 04 '!$B$16:$K$200,6,0)="","",VLOOKUP($A297-COUNT('Шаг2.Бланк заказа NEW'!$B$19:$B$201)-COUNT('Бланк OLD 0.8 04'!$B$18:$B$200),'Бланк OLD 2.0 04 '!$B$16:$K$200,6,0)))</f>
        <v/>
      </c>
      <c r="J297" s="177" t="str">
        <f ca="1">IF(IF(T297="","",IF(T297=1,SUMIFS('Шаг1.Выбор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плиты'!C:Q,12,0)),1))))))=0,
T297,
IF(T297="","",IF(T297=1,SUMIFS('Шаг1.Выбор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плиты'!N:N,T297,'Шаг1.Выбор плиты'!M:M,SMALL(INDIRECT("мм"&amp;VLOOKUP(C297,'Шаг1.Выбор плиты'!C:Q,12,0)),1)))))))</f>
        <v/>
      </c>
      <c r="K297" s="177" t="str">
        <f ca="1">IF(IF(U297="","",IF(U297=1,SUMIFS('Шаг1.Выбор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плиты'!C:Q,12,0)),1))))))=0,
U297,
IF(U297="","",IF(U297=1,SUMIFS('Шаг1.Выбор плиты'!$G:$G,'Шаг1.Выбор плиты'!J:J,"*"&amp;RIGHT(VLOOKUP(C297,'Шаг1.Выбор плиты'!C:Q,8,0),4),'Шаг1.Выбор плиты'!L:L,IF(MID(C297,1,6)="ЛДСП P","TM"&amp;MID(VLOOKUP(C297,'Шаг1.Выбор плиты'!C:Q,10,0),3,2),MID(VLOOKUP(C297,'Шаг1.Выбор плиты'!C:Q,10,0),1,2)),
'Шаг1.Выбор плиты'!N:N,1),IF(SUMIFS('Шаг1.Выбор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плиты'!C:Q,12,0)),1))=0,
IF(SUMIFS('Шаг1.Выбор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плиты'!C:Q,12,0)),2))=0,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плиты'!C:Q,12,0)),3)),
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плиты'!C:Q,12,0)),2))),
(SUMIFS('Шаг1.Выбор плиты'!$G:$G,'Шаг1.Выбор плиты'!J:J,"*"&amp;RIGHT(VLOOKUP(C297,'Шаг1.Выбор плиты'!C:Q,8,0),4),'Шаг1.Выбор плиты'!L:L,VLOOKUP(C297,'Шаг1.Выбор плиты'!C:Q,10,0),'Шаг1.Выбор плиты'!N:N,U297,'Шаг1.Выбор плиты'!M:M,SMALL(INDIRECT("мм"&amp;VLOOKUP(C297,'Шаг1.Выбор плиты'!C:Q,12,0)),1)))))))</f>
        <v/>
      </c>
      <c r="L297" s="147" t="str">
        <f ca="1">IFERROR(IFERROR(IF(VLOOKUP($A297,'Шаг2.Бланк заказа NEW'!$B$17:$N$201,9,0)="","",VLOOKUP($A297,'Шаг2.Бланк заказа NEW'!$B$17:$N$201,9,0)),
IF(VLOOKUP($A297-COUNT('Шаг2.Бланк заказа NEW'!$B$19:$B$201),'Бланк OLD 0.8 04'!$B$12:$K$200,9,0)="","",VLOOKUP($A297-COUNT('Шаг2.Бланк заказа NEW'!$B$19:$B$201),'Бланк OLD 0.8 04'!$B$12:$K$200,9,0))),
IF(VLOOKUP($A297-COUNT('Шаг2.Бланк заказа NEW'!$B$19:$B$201)-COUNT('Бланк OLD 0.8 04'!$B$18:$B$200),'Бланк OLD 2.0 04 '!$B$16:$K$200,9,0)="","",VLOOKUP($A297-COUNT('Шаг2.Бланк заказа NEW'!$B$19:$B$201)-COUNT('Бланк OLD 0.8 04'!$B$18:$B$200),'Бланк OLD 2.0 04 '!$B$16:$K$200,9,0)))</f>
        <v/>
      </c>
      <c r="M297" s="154" t="str">
        <f t="shared" ca="1" si="25"/>
        <v/>
      </c>
      <c r="N297" s="153" t="str">
        <f ca="1">IFERROR(IF(VLOOKUP($A297,'Шаг2.Бланк заказа NEW'!$B$17:$N$201,11,0)="","",VLOOKUP($A297,'Шаг2.Бланк заказа NEW'!$B$17:$N$201,11,0)),
"Нет")</f>
        <v/>
      </c>
      <c r="O297" s="147" t="str">
        <f ca="1">IFERROR(IF(VLOOKUP($A297,'Шаг2.Бланк заказа NEW'!$B$17:$N$201,11,0)="","",VLOOKUP($A297,'Шаг2.Бланк заказа NEW'!$B$17:$N$201,12,0)),
"Нет")</f>
        <v/>
      </c>
      <c r="P297" s="153" t="str">
        <f ca="1">IFERROR(IF(VLOOKUP($A297,'Шаг2.Бланк заказа NEW'!$B$17:$N$201,13,0)="","",VLOOKUP($A297,'Шаг2.Бланк заказа NEW'!$B$17:$N$201,13,0)),
"Нет")</f>
        <v/>
      </c>
      <c r="Q297" s="147" t="str">
        <f ca="1">IFERROR(IF(VLOOKUP($A297,'Шаг2.Бланк заказа NEW'!$B$17:$O$201,14,0)="","",VLOOKUP($A297,'Шаг2.Бланк заказа NEW'!$B$17:$O$201,14,0)),"")</f>
        <v/>
      </c>
      <c r="R297" s="147" t="str">
        <f ca="1">IFERROR(IFERROR(IF(VLOOKUP($A297,'Шаг2.Бланк заказа NEW'!$B$17:$N$201,4,0)="","",VLOOKUP($A297,'Шаг2.Бланк заказа NEW'!$B$17:$N$201,4,0)),
IF(VLOOKUP($A297-COUNT('Шаг2.Бланк заказа NEW'!$B$19:$B$201),'Бланк OLD 0.8 04'!$B$12:$K$200,4,0)&gt;0,0.8,
IF(VLOOKUP($A297-COUNT('Шаг2.Бланк заказа NEW'!$B$19:$B$201),'Бланк OLD 0.8 04'!$B$12:$K$200,5,0)&gt;0,0.4,""))),
IF(VLOOKUP($A297-COUNT('Шаг2.Бланк заказа NEW'!$B$19:$B$201)-COUNT('Бланк OLD 0.8 04'!$B$18:$B$200),'Бланк OLD 2.0 04 '!$B$16:$K$200,4,0)&gt;0,2,IF(VLOOKUP($A297-COUNT('Шаг2.Бланк заказа NEW'!$B$19:$B$201)-COUNT('Бланк OLD 0.8 04'!$B$18:$B$200),'Бланк OLD 2.0 04 '!$B$16:$K$200,5,0)&gt;0,0.4,"")))</f>
        <v/>
      </c>
      <c r="S297" s="147" t="str">
        <f ca="1">IFERROR(IFERROR(IF(VLOOKUP($A297,'Шаг2.Бланк заказа NEW'!$B$17:$N$201,5,0)="","",VLOOKUP($A297,'Шаг2.Бланк заказа NEW'!$B$17:$N$201,5,0)),
IF(VLOOKUP($A297-COUNT('Шаг2.Бланк заказа NEW'!$B$19:$B$201),'Бланк OLD 0.8 04'!$B$12:$K$200,4,0)&gt;1,0.8,
IF(VLOOKUP($A297-COUNT('Шаг2.Бланк заказа NEW'!$B$19:$B$201),'Бланк OLD 0.8 04'!$B$12:$K$200,5,0)&gt;1,0.4,
IF(AND(VLOOKUP($A297-COUNT('Шаг2.Бланк заказа NEW'!$B$19:$B$201),'Бланк OLD 0.8 04'!$B$12:$K$200,4,0)&gt;0,VLOOKUP($A297-COUNT('Шаг2.Бланк заказа NEW'!$B$19:$B$201),'Бланк OLD 0.8 04'!$B$12:$K$200,5,0)&gt;0),0.4,"")))),
IF(VLOOKUP($A297-COUNT('Шаг2.Бланк заказа NEW'!$B$19:$B$201)-COUNT('Бланк OLD 0.8 04'!$B$18:$B$200),'Бланк OLD 2.0 04 '!$B$16:$K$200,4,0)&gt;1,2,
IF(VLOOKUP($A297-COUNT('Шаг2.Бланк заказа NEW'!$B$19:$B$201)-COUNT('Бланк OLD 0.8 04'!$B$18:$B$200),'Бланк OLD 2.0 04 '!$B$16:$K$200,5,0)&gt;1,0.4,IF(AND(VLOOKUP($A297-COUNT('Шаг2.Бланк заказа NEW'!$B$19:$B$201)-COUNT('Бланк OLD 0.8 04'!$B$18:$B$200),'Бланк OLD 2.0 04 '!$B$16:$K$200,4,0)&gt;0,VLOOKUP($A297-COUNT('Шаг2.Бланк заказа NEW'!$B$19:$B$201)-COUNT('Бланк OLD 0.8 04'!$B$18:$B$200),'Бланк OLD 2.0 04 '!$B$16:$K$200,5,0)&gt;0),0.4,""))))</f>
        <v/>
      </c>
      <c r="T297" s="147" t="str">
        <f ca="1">IFERROR(IFERROR(IF(VLOOKUP($A297,'Шаг2.Бланк заказа NEW'!$B$17:$N$201,7,0)="","",VLOOKUP($A297,'Шаг2.Бланк заказа NEW'!$B$17:$N$201,7,0)),
IF(VLOOKUP($A297-COUNT('Шаг2.Бланк заказа NEW'!$B$19:$B$201),'Бланк OLD 0.8 04'!$B$12:$K$200,7,0)&gt;0,0.8,
IF(VLOOKUP($A297-COUNT('Шаг2.Бланк заказа NEW'!$B$19:$B$201),'Бланк OLD 0.8 04'!$B$12:$K$200,8,0)&gt;0,0.4,""))),
IF(VLOOKUP($A297-COUNT('Шаг2.Бланк заказа NEW'!$B$19:$B$201)-COUNT('Бланк OLD 0.8 04'!$B$18:$B$200),'Бланк OLD 2.0 04 '!$B$16:$K$200,7,0)&gt;0,2,IF(VLOOKUP($A297-COUNT('Шаг2.Бланк заказа NEW'!$B$19:$B$201)-COUNT('Бланк OLD 0.8 04'!$B$18:$B$200),'Бланк OLD 2.0 04 '!$B$16:$K$200,8,0)&gt;0,0.4,"")))</f>
        <v/>
      </c>
      <c r="U297" s="147" t="str">
        <f ca="1">IFERROR(IFERROR(IF(VLOOKUP($A297,'Шаг2.Бланк заказа NEW'!$B$17:$N$201,8,0)="","",VLOOKUP($A297,'Шаг2.Бланк заказа NEW'!$B$17:$N$201,8,0)),
IF(VLOOKUP($A297-COUNT('Шаг2.Бланк заказа NEW'!$B$19:$B$201),'Бланк OLD 0.8 04'!$B$12:$K$200,7,0)&gt;1,0.8,
IF(VLOOKUP($A297-COUNT('Шаг2.Бланк заказа NEW'!$B$19:$B$201),'Бланк OLD 0.8 04'!$B$12:$K$200,8,0)&gt;1,0.4,
IF(AND(VLOOKUP($A297-COUNT('Шаг2.Бланк заказа NEW'!$B$19:$B$201),'Бланк OLD 0.8 04'!$B$12:$K$200,7,0)&gt;0,VLOOKUP($A297-COUNT('Шаг2.Бланк заказа NEW'!$B$19:$B$201),'Бланк OLD 0.8 04'!$B$12:$K$200,8,0)&gt;0),0.4,"")))),
IF(VLOOKUP($A297-COUNT('Шаг2.Бланк заказа NEW'!$B$19:$B$201)-COUNT('Бланк OLD 0.8 04'!$B$18:$B$200),'Бланк OLD 2.0 04 '!$B$16:$K$200,7,0)&gt;1,2,
IF(VLOOKUP($A297-COUNT('Шаг2.Бланк заказа NEW'!$B$19:$B$201)-COUNT('Бланк OLD 0.8 04'!$B$18:$B$200),'Бланк OLD 2.0 04 '!$B$16:$K$200,8,0)&gt;1,0.4,
IF(AND(VLOOKUP($A297-COUNT('Шаг2.Бланк заказа NEW'!$B$19:$B$201)-COUNT('Бланк OLD 0.8 04'!$B$18:$B$200),'Бланк OLD 2.0 04 '!$B$16:$K$200,7,0)&gt;0,VLOOKUP($A297-COUNT('Шаг2.Бланк заказа NEW'!$B$19:$B$201)-COUNT('Бланк OLD 0.8 04'!$B$18:$B$200),'Бланк OLD 2.0 04 '!$B$16:$K$200,8,0)&gt;0),0.4,""))))</f>
        <v/>
      </c>
      <c r="V297" s="146" t="str">
        <f ca="1">IFERROR(VLOOKUP(C297,'Шаг1.Выбор плиты'!C:S,12,0),"")</f>
        <v/>
      </c>
      <c r="W297" s="146" t="str">
        <f ca="1">IFERROR(VLOOKUP(C297,'Шаг1.Выбор плиты'!C:S,8,0),"")</f>
        <v/>
      </c>
      <c r="X297" s="146" t="str">
        <f ca="1">IFERROR(VLOOKUP(C297,'Шаг1.Выбор плиты'!C:S,10,0),"")</f>
        <v/>
      </c>
      <c r="Y297" s="147" t="str">
        <f t="shared" ca="1" si="23"/>
        <v/>
      </c>
      <c r="AD297" s="147" t="str">
        <f t="shared" ca="1" si="26"/>
        <v/>
      </c>
      <c r="AE297" s="147" t="str">
        <f t="shared" ca="1" si="24"/>
        <v/>
      </c>
      <c r="AF297" s="25"/>
      <c r="AH297" s="147" t="str">
        <f ca="1">IF(C297="","",VLOOKUP(C297,'Шаг1.Выбор плиты'!C:Q,7,0))</f>
        <v/>
      </c>
      <c r="AI297" s="147" t="str">
        <f t="shared" ca="1" si="27"/>
        <v/>
      </c>
    </row>
    <row r="298" spans="1:35" x14ac:dyDescent="0.2">
      <c r="A298" s="151" t="str">
        <f ca="1">IF(C298="","",MAX($A$1:OFFSET(C298,-1,0))+1)</f>
        <v/>
      </c>
      <c r="B298" s="151" t="str">
        <f ca="1">IFERROR(IFERROR(IFERROR("Шаг2.Бланк заказа NEW №"&amp;VLOOKUP(A297+1,CHOOSE({1,2},'Шаг2.Бланк заказа NEW'!$B$19:$B$201,'Шаг2.Бланк заказа NEW'!$A$19:$A$201),1,0),
"Бланк OLD 0.8 04 №"&amp;VLOOKUP(A297+1-COUNT('Шаг2.Бланк заказа NEW'!$B$19:$B$201),CHOOSE({1,2},'Бланк OLD 0.8 04'!$B$18:$B$200,'Бланк OLD 0.8 04'!$A$18:$A$200),1,0)),
"Бланк OLD 2.0 04 №"&amp;VLOOKUP(A297+1-COUNT('Шаг2.Бланк заказа NEW'!$B$19:$B$201)-COUNT('Бланк OLD 0.8 04'!$B$18:$B$200),CHOOSE({1,2},'Бланк OLD 2.0 04 '!$B$18:$B$200,'Бланк OLD 2.0 04 '!$A$18:$A$200),1,0)),"")</f>
        <v/>
      </c>
      <c r="C298" s="152" t="str">
        <f ca="1">IFERROR(IFERROR(IFERROR(VLOOKUP(A297+1,CHOOSE({1,2},'Шаг2.Бланк заказа NEW'!$B$19:$B$201,'Шаг2.Бланк заказа NEW'!$A$19:$A$201),2,0),
VLOOKUP(A297+1-COUNT('Шаг2.Бланк заказа NEW'!$B$19:$B$201),CHOOSE({1,2},'Бланк OLD 0.8 04'!$B$18:$B$200,'Бланк OLD 0.8 04'!$A$18:$A$200),2,0)),
VLOOKUP(A297+1-COUNT('Шаг2.Бланк заказа NEW'!$B$19:$B$201)-COUNT('Бланк OLD 0.8 04'!$B$18:$B$200),CHOOSE({1,2},'Бланк OLD 2.0 04 '!$B$18:$B$200,'Бланк OLD 2.0 04 '!$A$18:$A$200),2,0)),"")</f>
        <v/>
      </c>
      <c r="D298" s="150" t="str">
        <f ca="1">IFERROR(VLOOKUP(C298,'Шаг1.Выбор плиты'!C:G,5,0),"")</f>
        <v/>
      </c>
      <c r="E298" s="147" t="str">
        <f ca="1">IFERROR(IFERROR(IF(VLOOKUP($A298,'Шаг2.Бланк заказа NEW'!$B$17:$N$201,2,0)="","",VLOOKUP($A298,'Шаг2.Бланк заказа NEW'!$B$17:$N$201,2,0)),
IF(VLOOKUP($A298-COUNT('Шаг2.Бланк заказа NEW'!$B$19:$B$201),'Бланк OLD 0.8 04'!$B$12:$K$200,2,0)="","",VLOOKUP($A298-COUNT('Шаг2.Бланк заказа NEW'!$B$19:$B$201),'Бланк OLD 0.8 04'!$B$12:$K$200,2,0))),
IF(VLOOKUP($A298-COUNT('Шаг2.Бланк заказа NEW'!$B$19:$B$201)-COUNT('Бланк OLD 0.8 04'!$B$18:$B$200),'Бланк OLD 2.0 04 '!$B$16:$K$200,2,0)="","",VLOOKUP($A298-COUNT('Шаг2.Бланк заказа NEW'!$B$19:$B$201)-COUNT('Бланк OLD 0.8 04'!$B$18:$B$200),'Бланк OLD 2.0 04 '!$B$16:$K$200,2,0)))</f>
        <v/>
      </c>
      <c r="F298" s="147" t="str">
        <f ca="1">IFERROR(IFERROR(IF(VLOOKUP($A298,'Шаг2.Бланк заказа NEW'!$B$17:$N$201,3,0)="","",VLOOKUP($A298,'Шаг2.Бланк заказа NEW'!$B$17:$N$201,3,0)),
IF(VLOOKUP($A298-COUNT('Шаг2.Бланк заказа NEW'!$B$19:$B$201),'Бланк OLD 0.8 04'!$B$12:$K$200,3,0)="","",VLOOKUP($A298-COUNT('Шаг2.Бланк заказа NEW'!$B$19:$B$201),'Бланк OLD 0.8 04'!$B$12:$K$200,3,0))),
IF(VLOOKUP($A298-COUNT('Шаг2.Бланк заказа NEW'!$B$19:$B$201)-COUNT('Бланк OLD 0.8 04'!$B$18:$B$200),'Бланк OLD 2.0 04 '!$B$16:$K$200,3,0)="","",VLOOKUP($A298-COUNT('Шаг2.Бланк заказа NEW'!$B$19:$B$201)-COUNT('Бланк OLD 0.8 04'!$B$18:$B$200),'Бланк OLD 2.0 04 '!$B$16:$K$200,3,0)))</f>
        <v/>
      </c>
      <c r="G298" s="176" t="str">
        <f ca="1">IF(IF(R298="","",IF(R298=1,SUMIFS('Шаг1.Выбор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плиты'!C:Q,12,0)),1))))))=0,
R298,
IF(R298="","",IF(R298=1,SUMIFS('Шаг1.Выбор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плиты'!N:N,R298,'Шаг1.Выбор плиты'!M:M,SMALL(INDIRECT("мм"&amp;VLOOKUP(C298,'Шаг1.Выбор плиты'!C:Q,12,0)),1)))))))</f>
        <v/>
      </c>
      <c r="H298" s="177" t="str">
        <f ca="1">IF(IF(S298="","",IF(S298=1,SUMIFS('Шаг1.Выбор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плиты'!C:Q,12,0)),1))))))=0,
S298,
IF(S298="","",IF(S298=1,SUMIFS('Шаг1.Выбор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плиты'!N:N,S298,'Шаг1.Выбор плиты'!M:M,SMALL(INDIRECT("мм"&amp;VLOOKUP(C298,'Шаг1.Выбор плиты'!C:Q,12,0)),1)))))))</f>
        <v/>
      </c>
      <c r="I298" s="147" t="str">
        <f ca="1">IFERROR(IFERROR(IF(VLOOKUP($A298,'Шаг2.Бланк заказа NEW'!$B$17:$N$201,6,0)="","",VLOOKUP($A298,'Шаг2.Бланк заказа NEW'!$B$17:$N$201,6,0)),
IF(VLOOKUP($A298-COUNT('Шаг2.Бланк заказа NEW'!$B$19:$B$201),'Бланк OLD 0.8 04'!$B$12:$K$200,6,0)="","",VLOOKUP($A298-COUNT('Шаг2.Бланк заказа NEW'!$B$19:$B$201),'Бланк OLD 0.8 04'!$B$12:$K$200,6,0))),
IF(VLOOKUP($A298-COUNT('Шаг2.Бланк заказа NEW'!$B$19:$B$201)-COUNT('Бланк OLD 0.8 04'!$B$18:$B$200),'Бланк OLD 2.0 04 '!$B$16:$K$200,6,0)="","",VLOOKUP($A298-COUNT('Шаг2.Бланк заказа NEW'!$B$19:$B$201)-COUNT('Бланк OLD 0.8 04'!$B$18:$B$200),'Бланк OLD 2.0 04 '!$B$16:$K$200,6,0)))</f>
        <v/>
      </c>
      <c r="J298" s="177" t="str">
        <f ca="1">IF(IF(T298="","",IF(T298=1,SUMIFS('Шаг1.Выбор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плиты'!C:Q,12,0)),1))))))=0,
T298,
IF(T298="","",IF(T298=1,SUMIFS('Шаг1.Выбор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плиты'!N:N,T298,'Шаг1.Выбор плиты'!M:M,SMALL(INDIRECT("мм"&amp;VLOOKUP(C298,'Шаг1.Выбор плиты'!C:Q,12,0)),1)))))))</f>
        <v/>
      </c>
      <c r="K298" s="177" t="str">
        <f ca="1">IF(IF(U298="","",IF(U298=1,SUMIFS('Шаг1.Выбор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плиты'!C:Q,12,0)),1))))))=0,
U298,
IF(U298="","",IF(U298=1,SUMIFS('Шаг1.Выбор плиты'!$G:$G,'Шаг1.Выбор плиты'!J:J,"*"&amp;RIGHT(VLOOKUP(C298,'Шаг1.Выбор плиты'!C:Q,8,0),4),'Шаг1.Выбор плиты'!L:L,IF(MID(C298,1,6)="ЛДСП P","TM"&amp;MID(VLOOKUP(C298,'Шаг1.Выбор плиты'!C:Q,10,0),3,2),MID(VLOOKUP(C298,'Шаг1.Выбор плиты'!C:Q,10,0),1,2)),
'Шаг1.Выбор плиты'!N:N,1),IF(SUMIFS('Шаг1.Выбор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плиты'!C:Q,12,0)),1))=0,
IF(SUMIFS('Шаг1.Выбор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плиты'!C:Q,12,0)),2))=0,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плиты'!C:Q,12,0)),3)),
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плиты'!C:Q,12,0)),2))),
(SUMIFS('Шаг1.Выбор плиты'!$G:$G,'Шаг1.Выбор плиты'!J:J,"*"&amp;RIGHT(VLOOKUP(C298,'Шаг1.Выбор плиты'!C:Q,8,0),4),'Шаг1.Выбор плиты'!L:L,VLOOKUP(C298,'Шаг1.Выбор плиты'!C:Q,10,0),'Шаг1.Выбор плиты'!N:N,U298,'Шаг1.Выбор плиты'!M:M,SMALL(INDIRECT("мм"&amp;VLOOKUP(C298,'Шаг1.Выбор плиты'!C:Q,12,0)),1)))))))</f>
        <v/>
      </c>
      <c r="L298" s="147" t="str">
        <f ca="1">IFERROR(IFERROR(IF(VLOOKUP($A298,'Шаг2.Бланк заказа NEW'!$B$17:$N$201,9,0)="","",VLOOKUP($A298,'Шаг2.Бланк заказа NEW'!$B$17:$N$201,9,0)),
IF(VLOOKUP($A298-COUNT('Шаг2.Бланк заказа NEW'!$B$19:$B$201),'Бланк OLD 0.8 04'!$B$12:$K$200,9,0)="","",VLOOKUP($A298-COUNT('Шаг2.Бланк заказа NEW'!$B$19:$B$201),'Бланк OLD 0.8 04'!$B$12:$K$200,9,0))),
IF(VLOOKUP($A298-COUNT('Шаг2.Бланк заказа NEW'!$B$19:$B$201)-COUNT('Бланк OLD 0.8 04'!$B$18:$B$200),'Бланк OLD 2.0 04 '!$B$16:$K$200,9,0)="","",VLOOKUP($A298-COUNT('Шаг2.Бланк заказа NEW'!$B$19:$B$201)-COUNT('Бланк OLD 0.8 04'!$B$18:$B$200),'Бланк OLD 2.0 04 '!$B$16:$K$200,9,0)))</f>
        <v/>
      </c>
      <c r="M298" s="154" t="str">
        <f t="shared" ca="1" si="25"/>
        <v/>
      </c>
      <c r="N298" s="153" t="str">
        <f ca="1">IFERROR(IF(VLOOKUP($A298,'Шаг2.Бланк заказа NEW'!$B$17:$N$201,11,0)="","",VLOOKUP($A298,'Шаг2.Бланк заказа NEW'!$B$17:$N$201,11,0)),
"Нет")</f>
        <v/>
      </c>
      <c r="O298" s="147" t="str">
        <f ca="1">IFERROR(IF(VLOOKUP($A298,'Шаг2.Бланк заказа NEW'!$B$17:$N$201,11,0)="","",VLOOKUP($A298,'Шаг2.Бланк заказа NEW'!$B$17:$N$201,12,0)),
"Нет")</f>
        <v/>
      </c>
      <c r="P298" s="153" t="str">
        <f ca="1">IFERROR(IF(VLOOKUP($A298,'Шаг2.Бланк заказа NEW'!$B$17:$N$201,13,0)="","",VLOOKUP($A298,'Шаг2.Бланк заказа NEW'!$B$17:$N$201,13,0)),
"Нет")</f>
        <v/>
      </c>
      <c r="Q298" s="147" t="str">
        <f ca="1">IFERROR(IF(VLOOKUP($A298,'Шаг2.Бланк заказа NEW'!$B$17:$O$201,14,0)="","",VLOOKUP($A298,'Шаг2.Бланк заказа NEW'!$B$17:$O$201,14,0)),"")</f>
        <v/>
      </c>
      <c r="R298" s="147" t="str">
        <f ca="1">IFERROR(IFERROR(IF(VLOOKUP($A298,'Шаг2.Бланк заказа NEW'!$B$17:$N$201,4,0)="","",VLOOKUP($A298,'Шаг2.Бланк заказа NEW'!$B$17:$N$201,4,0)),
IF(VLOOKUP($A298-COUNT('Шаг2.Бланк заказа NEW'!$B$19:$B$201),'Бланк OLD 0.8 04'!$B$12:$K$200,4,0)&gt;0,0.8,
IF(VLOOKUP($A298-COUNT('Шаг2.Бланк заказа NEW'!$B$19:$B$201),'Бланк OLD 0.8 04'!$B$12:$K$200,5,0)&gt;0,0.4,""))),
IF(VLOOKUP($A298-COUNT('Шаг2.Бланк заказа NEW'!$B$19:$B$201)-COUNT('Бланк OLD 0.8 04'!$B$18:$B$200),'Бланк OLD 2.0 04 '!$B$16:$K$200,4,0)&gt;0,2,IF(VLOOKUP($A298-COUNT('Шаг2.Бланк заказа NEW'!$B$19:$B$201)-COUNT('Бланк OLD 0.8 04'!$B$18:$B$200),'Бланк OLD 2.0 04 '!$B$16:$K$200,5,0)&gt;0,0.4,"")))</f>
        <v/>
      </c>
      <c r="S298" s="147" t="str">
        <f ca="1">IFERROR(IFERROR(IF(VLOOKUP($A298,'Шаг2.Бланк заказа NEW'!$B$17:$N$201,5,0)="","",VLOOKUP($A298,'Шаг2.Бланк заказа NEW'!$B$17:$N$201,5,0)),
IF(VLOOKUP($A298-COUNT('Шаг2.Бланк заказа NEW'!$B$19:$B$201),'Бланк OLD 0.8 04'!$B$12:$K$200,4,0)&gt;1,0.8,
IF(VLOOKUP($A298-COUNT('Шаг2.Бланк заказа NEW'!$B$19:$B$201),'Бланк OLD 0.8 04'!$B$12:$K$200,5,0)&gt;1,0.4,
IF(AND(VLOOKUP($A298-COUNT('Шаг2.Бланк заказа NEW'!$B$19:$B$201),'Бланк OLD 0.8 04'!$B$12:$K$200,4,0)&gt;0,VLOOKUP($A298-COUNT('Шаг2.Бланк заказа NEW'!$B$19:$B$201),'Бланк OLD 0.8 04'!$B$12:$K$200,5,0)&gt;0),0.4,"")))),
IF(VLOOKUP($A298-COUNT('Шаг2.Бланк заказа NEW'!$B$19:$B$201)-COUNT('Бланк OLD 0.8 04'!$B$18:$B$200),'Бланк OLD 2.0 04 '!$B$16:$K$200,4,0)&gt;1,2,
IF(VLOOKUP($A298-COUNT('Шаг2.Бланк заказа NEW'!$B$19:$B$201)-COUNT('Бланк OLD 0.8 04'!$B$18:$B$200),'Бланк OLD 2.0 04 '!$B$16:$K$200,5,0)&gt;1,0.4,IF(AND(VLOOKUP($A298-COUNT('Шаг2.Бланк заказа NEW'!$B$19:$B$201)-COUNT('Бланк OLD 0.8 04'!$B$18:$B$200),'Бланк OLD 2.0 04 '!$B$16:$K$200,4,0)&gt;0,VLOOKUP($A298-COUNT('Шаг2.Бланк заказа NEW'!$B$19:$B$201)-COUNT('Бланк OLD 0.8 04'!$B$18:$B$200),'Бланк OLD 2.0 04 '!$B$16:$K$200,5,0)&gt;0),0.4,""))))</f>
        <v/>
      </c>
      <c r="T298" s="147" t="str">
        <f ca="1">IFERROR(IFERROR(IF(VLOOKUP($A298,'Шаг2.Бланк заказа NEW'!$B$17:$N$201,7,0)="","",VLOOKUP($A298,'Шаг2.Бланк заказа NEW'!$B$17:$N$201,7,0)),
IF(VLOOKUP($A298-COUNT('Шаг2.Бланк заказа NEW'!$B$19:$B$201),'Бланк OLD 0.8 04'!$B$12:$K$200,7,0)&gt;0,0.8,
IF(VLOOKUP($A298-COUNT('Шаг2.Бланк заказа NEW'!$B$19:$B$201),'Бланк OLD 0.8 04'!$B$12:$K$200,8,0)&gt;0,0.4,""))),
IF(VLOOKUP($A298-COUNT('Шаг2.Бланк заказа NEW'!$B$19:$B$201)-COUNT('Бланк OLD 0.8 04'!$B$18:$B$200),'Бланк OLD 2.0 04 '!$B$16:$K$200,7,0)&gt;0,2,IF(VLOOKUP($A298-COUNT('Шаг2.Бланк заказа NEW'!$B$19:$B$201)-COUNT('Бланк OLD 0.8 04'!$B$18:$B$200),'Бланк OLD 2.0 04 '!$B$16:$K$200,8,0)&gt;0,0.4,"")))</f>
        <v/>
      </c>
      <c r="U298" s="147" t="str">
        <f ca="1">IFERROR(IFERROR(IF(VLOOKUP($A298,'Шаг2.Бланк заказа NEW'!$B$17:$N$201,8,0)="","",VLOOKUP($A298,'Шаг2.Бланк заказа NEW'!$B$17:$N$201,8,0)),
IF(VLOOKUP($A298-COUNT('Шаг2.Бланк заказа NEW'!$B$19:$B$201),'Бланк OLD 0.8 04'!$B$12:$K$200,7,0)&gt;1,0.8,
IF(VLOOKUP($A298-COUNT('Шаг2.Бланк заказа NEW'!$B$19:$B$201),'Бланк OLD 0.8 04'!$B$12:$K$200,8,0)&gt;1,0.4,
IF(AND(VLOOKUP($A298-COUNT('Шаг2.Бланк заказа NEW'!$B$19:$B$201),'Бланк OLD 0.8 04'!$B$12:$K$200,7,0)&gt;0,VLOOKUP($A298-COUNT('Шаг2.Бланк заказа NEW'!$B$19:$B$201),'Бланк OLD 0.8 04'!$B$12:$K$200,8,0)&gt;0),0.4,"")))),
IF(VLOOKUP($A298-COUNT('Шаг2.Бланк заказа NEW'!$B$19:$B$201)-COUNT('Бланк OLD 0.8 04'!$B$18:$B$200),'Бланк OLD 2.0 04 '!$B$16:$K$200,7,0)&gt;1,2,
IF(VLOOKUP($A298-COUNT('Шаг2.Бланк заказа NEW'!$B$19:$B$201)-COUNT('Бланк OLD 0.8 04'!$B$18:$B$200),'Бланк OLD 2.0 04 '!$B$16:$K$200,8,0)&gt;1,0.4,
IF(AND(VLOOKUP($A298-COUNT('Шаг2.Бланк заказа NEW'!$B$19:$B$201)-COUNT('Бланк OLD 0.8 04'!$B$18:$B$200),'Бланк OLD 2.0 04 '!$B$16:$K$200,7,0)&gt;0,VLOOKUP($A298-COUNT('Шаг2.Бланк заказа NEW'!$B$19:$B$201)-COUNT('Бланк OLD 0.8 04'!$B$18:$B$200),'Бланк OLD 2.0 04 '!$B$16:$K$200,8,0)&gt;0),0.4,""))))</f>
        <v/>
      </c>
      <c r="V298" s="146" t="str">
        <f ca="1">IFERROR(VLOOKUP(C298,'Шаг1.Выбор плиты'!C:S,12,0),"")</f>
        <v/>
      </c>
      <c r="W298" s="146" t="str">
        <f ca="1">IFERROR(VLOOKUP(C298,'Шаг1.Выбор плиты'!C:S,8,0),"")</f>
        <v/>
      </c>
      <c r="X298" s="146" t="str">
        <f ca="1">IFERROR(VLOOKUP(C298,'Шаг1.Выбор плиты'!C:S,10,0),"")</f>
        <v/>
      </c>
      <c r="Y298" s="147" t="str">
        <f t="shared" ca="1" si="23"/>
        <v/>
      </c>
      <c r="AD298" s="147" t="str">
        <f t="shared" ca="1" si="26"/>
        <v/>
      </c>
      <c r="AE298" s="147" t="str">
        <f t="shared" ca="1" si="24"/>
        <v/>
      </c>
      <c r="AF298" s="25"/>
      <c r="AH298" s="147" t="str">
        <f ca="1">IF(C298="","",VLOOKUP(C298,'Шаг1.Выбор плиты'!C:Q,7,0))</f>
        <v/>
      </c>
      <c r="AI298" s="147" t="str">
        <f t="shared" ca="1" si="27"/>
        <v/>
      </c>
    </row>
    <row r="299" spans="1:35" x14ac:dyDescent="0.2">
      <c r="A299" s="151" t="str">
        <f ca="1">IF(C299="","",MAX($A$1:OFFSET(C299,-1,0))+1)</f>
        <v/>
      </c>
      <c r="B299" s="151" t="str">
        <f ca="1">IFERROR(IFERROR(IFERROR("Шаг2.Бланк заказа NEW №"&amp;VLOOKUP(A298+1,CHOOSE({1,2},'Шаг2.Бланк заказа NEW'!$B$19:$B$201,'Шаг2.Бланк заказа NEW'!$A$19:$A$201),1,0),
"Бланк OLD 0.8 04 №"&amp;VLOOKUP(A298+1-COUNT('Шаг2.Бланк заказа NEW'!$B$19:$B$201),CHOOSE({1,2},'Бланк OLD 0.8 04'!$B$18:$B$200,'Бланк OLD 0.8 04'!$A$18:$A$200),1,0)),
"Бланк OLD 2.0 04 №"&amp;VLOOKUP(A298+1-COUNT('Шаг2.Бланк заказа NEW'!$B$19:$B$201)-COUNT('Бланк OLD 0.8 04'!$B$18:$B$200),CHOOSE({1,2},'Бланк OLD 2.0 04 '!$B$18:$B$200,'Бланк OLD 2.0 04 '!$A$18:$A$200),1,0)),"")</f>
        <v/>
      </c>
      <c r="C299" s="152" t="str">
        <f ca="1">IFERROR(IFERROR(IFERROR(VLOOKUP(A298+1,CHOOSE({1,2},'Шаг2.Бланк заказа NEW'!$B$19:$B$201,'Шаг2.Бланк заказа NEW'!$A$19:$A$201),2,0),
VLOOKUP(A298+1-COUNT('Шаг2.Бланк заказа NEW'!$B$19:$B$201),CHOOSE({1,2},'Бланк OLD 0.8 04'!$B$18:$B$200,'Бланк OLD 0.8 04'!$A$18:$A$200),2,0)),
VLOOKUP(A298+1-COUNT('Шаг2.Бланк заказа NEW'!$B$19:$B$201)-COUNT('Бланк OLD 0.8 04'!$B$18:$B$200),CHOOSE({1,2},'Бланк OLD 2.0 04 '!$B$18:$B$200,'Бланк OLD 2.0 04 '!$A$18:$A$200),2,0)),"")</f>
        <v/>
      </c>
      <c r="D299" s="150" t="str">
        <f ca="1">IFERROR(VLOOKUP(C299,'Шаг1.Выбор плиты'!C:G,5,0),"")</f>
        <v/>
      </c>
      <c r="E299" s="147" t="str">
        <f ca="1">IFERROR(IFERROR(IF(VLOOKUP($A299,'Шаг2.Бланк заказа NEW'!$B$17:$N$201,2,0)="","",VLOOKUP($A299,'Шаг2.Бланк заказа NEW'!$B$17:$N$201,2,0)),
IF(VLOOKUP($A299-COUNT('Шаг2.Бланк заказа NEW'!$B$19:$B$201),'Бланк OLD 0.8 04'!$B$12:$K$200,2,0)="","",VLOOKUP($A299-COUNT('Шаг2.Бланк заказа NEW'!$B$19:$B$201),'Бланк OLD 0.8 04'!$B$12:$K$200,2,0))),
IF(VLOOKUP($A299-COUNT('Шаг2.Бланк заказа NEW'!$B$19:$B$201)-COUNT('Бланк OLD 0.8 04'!$B$18:$B$200),'Бланк OLD 2.0 04 '!$B$16:$K$200,2,0)="","",VLOOKUP($A299-COUNT('Шаг2.Бланк заказа NEW'!$B$19:$B$201)-COUNT('Бланк OLD 0.8 04'!$B$18:$B$200),'Бланк OLD 2.0 04 '!$B$16:$K$200,2,0)))</f>
        <v/>
      </c>
      <c r="F299" s="147" t="str">
        <f ca="1">IFERROR(IFERROR(IF(VLOOKUP($A299,'Шаг2.Бланк заказа NEW'!$B$17:$N$201,3,0)="","",VLOOKUP($A299,'Шаг2.Бланк заказа NEW'!$B$17:$N$201,3,0)),
IF(VLOOKUP($A299-COUNT('Шаг2.Бланк заказа NEW'!$B$19:$B$201),'Бланк OLD 0.8 04'!$B$12:$K$200,3,0)="","",VLOOKUP($A299-COUNT('Шаг2.Бланк заказа NEW'!$B$19:$B$201),'Бланк OLD 0.8 04'!$B$12:$K$200,3,0))),
IF(VLOOKUP($A299-COUNT('Шаг2.Бланк заказа NEW'!$B$19:$B$201)-COUNT('Бланк OLD 0.8 04'!$B$18:$B$200),'Бланк OLD 2.0 04 '!$B$16:$K$200,3,0)="","",VLOOKUP($A299-COUNT('Шаг2.Бланк заказа NEW'!$B$19:$B$201)-COUNT('Бланк OLD 0.8 04'!$B$18:$B$200),'Бланк OLD 2.0 04 '!$B$16:$K$200,3,0)))</f>
        <v/>
      </c>
      <c r="G299" s="176" t="str">
        <f ca="1">IF(IF(R299="","",IF(R299=1,SUMIFS('Шаг1.Выбор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плиты'!C:Q,12,0)),1))))))=0,
R299,
IF(R299="","",IF(R299=1,SUMIFS('Шаг1.Выбор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плиты'!N:N,R299,'Шаг1.Выбор плиты'!M:M,SMALL(INDIRECT("мм"&amp;VLOOKUP(C299,'Шаг1.Выбор плиты'!C:Q,12,0)),1)))))))</f>
        <v/>
      </c>
      <c r="H299" s="177" t="str">
        <f ca="1">IF(IF(S299="","",IF(S299=1,SUMIFS('Шаг1.Выбор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плиты'!C:Q,12,0)),1))))))=0,
S299,
IF(S299="","",IF(S299=1,SUMIFS('Шаг1.Выбор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плиты'!N:N,S299,'Шаг1.Выбор плиты'!M:M,SMALL(INDIRECT("мм"&amp;VLOOKUP(C299,'Шаг1.Выбор плиты'!C:Q,12,0)),1)))))))</f>
        <v/>
      </c>
      <c r="I299" s="147" t="str">
        <f ca="1">IFERROR(IFERROR(IF(VLOOKUP($A299,'Шаг2.Бланк заказа NEW'!$B$17:$N$201,6,0)="","",VLOOKUP($A299,'Шаг2.Бланк заказа NEW'!$B$17:$N$201,6,0)),
IF(VLOOKUP($A299-COUNT('Шаг2.Бланк заказа NEW'!$B$19:$B$201),'Бланк OLD 0.8 04'!$B$12:$K$200,6,0)="","",VLOOKUP($A299-COUNT('Шаг2.Бланк заказа NEW'!$B$19:$B$201),'Бланк OLD 0.8 04'!$B$12:$K$200,6,0))),
IF(VLOOKUP($A299-COUNT('Шаг2.Бланк заказа NEW'!$B$19:$B$201)-COUNT('Бланк OLD 0.8 04'!$B$18:$B$200),'Бланк OLD 2.0 04 '!$B$16:$K$200,6,0)="","",VLOOKUP($A299-COUNT('Шаг2.Бланк заказа NEW'!$B$19:$B$201)-COUNT('Бланк OLD 0.8 04'!$B$18:$B$200),'Бланк OLD 2.0 04 '!$B$16:$K$200,6,0)))</f>
        <v/>
      </c>
      <c r="J299" s="177" t="str">
        <f ca="1">IF(IF(T299="","",IF(T299=1,SUMIFS('Шаг1.Выбор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плиты'!C:Q,12,0)),1))))))=0,
T299,
IF(T299="","",IF(T299=1,SUMIFS('Шаг1.Выбор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плиты'!N:N,T299,'Шаг1.Выбор плиты'!M:M,SMALL(INDIRECT("мм"&amp;VLOOKUP(C299,'Шаг1.Выбор плиты'!C:Q,12,0)),1)))))))</f>
        <v/>
      </c>
      <c r="K299" s="177" t="str">
        <f ca="1">IF(IF(U299="","",IF(U299=1,SUMIFS('Шаг1.Выбор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плиты'!C:Q,12,0)),1))))))=0,
U299,
IF(U299="","",IF(U299=1,SUMIFS('Шаг1.Выбор плиты'!$G:$G,'Шаг1.Выбор плиты'!J:J,"*"&amp;RIGHT(VLOOKUP(C299,'Шаг1.Выбор плиты'!C:Q,8,0),4),'Шаг1.Выбор плиты'!L:L,IF(MID(C299,1,6)="ЛДСП P","TM"&amp;MID(VLOOKUP(C299,'Шаг1.Выбор плиты'!C:Q,10,0),3,2),MID(VLOOKUP(C299,'Шаг1.Выбор плиты'!C:Q,10,0),1,2)),
'Шаг1.Выбор плиты'!N:N,1),IF(SUMIFS('Шаг1.Выбор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плиты'!C:Q,12,0)),1))=0,
IF(SUMIFS('Шаг1.Выбор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плиты'!C:Q,12,0)),2))=0,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плиты'!C:Q,12,0)),3)),
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плиты'!C:Q,12,0)),2))),
(SUMIFS('Шаг1.Выбор плиты'!$G:$G,'Шаг1.Выбор плиты'!J:J,"*"&amp;RIGHT(VLOOKUP(C299,'Шаг1.Выбор плиты'!C:Q,8,0),4),'Шаг1.Выбор плиты'!L:L,VLOOKUP(C299,'Шаг1.Выбор плиты'!C:Q,10,0),'Шаг1.Выбор плиты'!N:N,U299,'Шаг1.Выбор плиты'!M:M,SMALL(INDIRECT("мм"&amp;VLOOKUP(C299,'Шаг1.Выбор плиты'!C:Q,12,0)),1)))))))</f>
        <v/>
      </c>
      <c r="L299" s="147" t="str">
        <f ca="1">IFERROR(IFERROR(IF(VLOOKUP($A299,'Шаг2.Бланк заказа NEW'!$B$17:$N$201,9,0)="","",VLOOKUP($A299,'Шаг2.Бланк заказа NEW'!$B$17:$N$201,9,0)),
IF(VLOOKUP($A299-COUNT('Шаг2.Бланк заказа NEW'!$B$19:$B$201),'Бланк OLD 0.8 04'!$B$12:$K$200,9,0)="","",VLOOKUP($A299-COUNT('Шаг2.Бланк заказа NEW'!$B$19:$B$201),'Бланк OLD 0.8 04'!$B$12:$K$200,9,0))),
IF(VLOOKUP($A299-COUNT('Шаг2.Бланк заказа NEW'!$B$19:$B$201)-COUNT('Бланк OLD 0.8 04'!$B$18:$B$200),'Бланк OLD 2.0 04 '!$B$16:$K$200,9,0)="","",VLOOKUP($A299-COUNT('Шаг2.Бланк заказа NEW'!$B$19:$B$201)-COUNT('Бланк OLD 0.8 04'!$B$18:$B$200),'Бланк OLD 2.0 04 '!$B$16:$K$200,9,0)))</f>
        <v/>
      </c>
      <c r="M299" s="154" t="str">
        <f t="shared" ca="1" si="25"/>
        <v/>
      </c>
      <c r="N299" s="153" t="str">
        <f ca="1">IFERROR(IF(VLOOKUP($A299,'Шаг2.Бланк заказа NEW'!$B$17:$N$201,11,0)="","",VLOOKUP($A299,'Шаг2.Бланк заказа NEW'!$B$17:$N$201,11,0)),
"Нет")</f>
        <v/>
      </c>
      <c r="O299" s="147" t="str">
        <f ca="1">IFERROR(IF(VLOOKUP($A299,'Шаг2.Бланк заказа NEW'!$B$17:$N$201,11,0)="","",VLOOKUP($A299,'Шаг2.Бланк заказа NEW'!$B$17:$N$201,12,0)),
"Нет")</f>
        <v/>
      </c>
      <c r="P299" s="153" t="str">
        <f ca="1">IFERROR(IF(VLOOKUP($A299,'Шаг2.Бланк заказа NEW'!$B$17:$N$201,13,0)="","",VLOOKUP($A299,'Шаг2.Бланк заказа NEW'!$B$17:$N$201,13,0)),
"Нет")</f>
        <v/>
      </c>
      <c r="Q299" s="147" t="str">
        <f ca="1">IFERROR(IF(VLOOKUP($A299,'Шаг2.Бланк заказа NEW'!$B$17:$O$201,14,0)="","",VLOOKUP($A299,'Шаг2.Бланк заказа NEW'!$B$17:$O$201,14,0)),"")</f>
        <v/>
      </c>
      <c r="R299" s="147" t="str">
        <f ca="1">IFERROR(IFERROR(IF(VLOOKUP($A299,'Шаг2.Бланк заказа NEW'!$B$17:$N$201,4,0)="","",VLOOKUP($A299,'Шаг2.Бланк заказа NEW'!$B$17:$N$201,4,0)),
IF(VLOOKUP($A299-COUNT('Шаг2.Бланк заказа NEW'!$B$19:$B$201),'Бланк OLD 0.8 04'!$B$12:$K$200,4,0)&gt;0,0.8,
IF(VLOOKUP($A299-COUNT('Шаг2.Бланк заказа NEW'!$B$19:$B$201),'Бланк OLD 0.8 04'!$B$12:$K$200,5,0)&gt;0,0.4,""))),
IF(VLOOKUP($A299-COUNT('Шаг2.Бланк заказа NEW'!$B$19:$B$201)-COUNT('Бланк OLD 0.8 04'!$B$18:$B$200),'Бланк OLD 2.0 04 '!$B$16:$K$200,4,0)&gt;0,2,IF(VLOOKUP($A299-COUNT('Шаг2.Бланк заказа NEW'!$B$19:$B$201)-COUNT('Бланк OLD 0.8 04'!$B$18:$B$200),'Бланк OLD 2.0 04 '!$B$16:$K$200,5,0)&gt;0,0.4,"")))</f>
        <v/>
      </c>
      <c r="S299" s="147" t="str">
        <f ca="1">IFERROR(IFERROR(IF(VLOOKUP($A299,'Шаг2.Бланк заказа NEW'!$B$17:$N$201,5,0)="","",VLOOKUP($A299,'Шаг2.Бланк заказа NEW'!$B$17:$N$201,5,0)),
IF(VLOOKUP($A299-COUNT('Шаг2.Бланк заказа NEW'!$B$19:$B$201),'Бланк OLD 0.8 04'!$B$12:$K$200,4,0)&gt;1,0.8,
IF(VLOOKUP($A299-COUNT('Шаг2.Бланк заказа NEW'!$B$19:$B$201),'Бланк OLD 0.8 04'!$B$12:$K$200,5,0)&gt;1,0.4,
IF(AND(VLOOKUP($A299-COUNT('Шаг2.Бланк заказа NEW'!$B$19:$B$201),'Бланк OLD 0.8 04'!$B$12:$K$200,4,0)&gt;0,VLOOKUP($A299-COUNT('Шаг2.Бланк заказа NEW'!$B$19:$B$201),'Бланк OLD 0.8 04'!$B$12:$K$200,5,0)&gt;0),0.4,"")))),
IF(VLOOKUP($A299-COUNT('Шаг2.Бланк заказа NEW'!$B$19:$B$201)-COUNT('Бланк OLD 0.8 04'!$B$18:$B$200),'Бланк OLD 2.0 04 '!$B$16:$K$200,4,0)&gt;1,2,
IF(VLOOKUP($A299-COUNT('Шаг2.Бланк заказа NEW'!$B$19:$B$201)-COUNT('Бланк OLD 0.8 04'!$B$18:$B$200),'Бланк OLD 2.0 04 '!$B$16:$K$200,5,0)&gt;1,0.4,IF(AND(VLOOKUP($A299-COUNT('Шаг2.Бланк заказа NEW'!$B$19:$B$201)-COUNT('Бланк OLD 0.8 04'!$B$18:$B$200),'Бланк OLD 2.0 04 '!$B$16:$K$200,4,0)&gt;0,VLOOKUP($A299-COUNT('Шаг2.Бланк заказа NEW'!$B$19:$B$201)-COUNT('Бланк OLD 0.8 04'!$B$18:$B$200),'Бланк OLD 2.0 04 '!$B$16:$K$200,5,0)&gt;0),0.4,""))))</f>
        <v/>
      </c>
      <c r="T299" s="147" t="str">
        <f ca="1">IFERROR(IFERROR(IF(VLOOKUP($A299,'Шаг2.Бланк заказа NEW'!$B$17:$N$201,7,0)="","",VLOOKUP($A299,'Шаг2.Бланк заказа NEW'!$B$17:$N$201,7,0)),
IF(VLOOKUP($A299-COUNT('Шаг2.Бланк заказа NEW'!$B$19:$B$201),'Бланк OLD 0.8 04'!$B$12:$K$200,7,0)&gt;0,0.8,
IF(VLOOKUP($A299-COUNT('Шаг2.Бланк заказа NEW'!$B$19:$B$201),'Бланк OLD 0.8 04'!$B$12:$K$200,8,0)&gt;0,0.4,""))),
IF(VLOOKUP($A299-COUNT('Шаг2.Бланк заказа NEW'!$B$19:$B$201)-COUNT('Бланк OLD 0.8 04'!$B$18:$B$200),'Бланк OLD 2.0 04 '!$B$16:$K$200,7,0)&gt;0,2,IF(VLOOKUP($A299-COUNT('Шаг2.Бланк заказа NEW'!$B$19:$B$201)-COUNT('Бланк OLD 0.8 04'!$B$18:$B$200),'Бланк OLD 2.0 04 '!$B$16:$K$200,8,0)&gt;0,0.4,"")))</f>
        <v/>
      </c>
      <c r="U299" s="147" t="str">
        <f ca="1">IFERROR(IFERROR(IF(VLOOKUP($A299,'Шаг2.Бланк заказа NEW'!$B$17:$N$201,8,0)="","",VLOOKUP($A299,'Шаг2.Бланк заказа NEW'!$B$17:$N$201,8,0)),
IF(VLOOKUP($A299-COUNT('Шаг2.Бланк заказа NEW'!$B$19:$B$201),'Бланк OLD 0.8 04'!$B$12:$K$200,7,0)&gt;1,0.8,
IF(VLOOKUP($A299-COUNT('Шаг2.Бланк заказа NEW'!$B$19:$B$201),'Бланк OLD 0.8 04'!$B$12:$K$200,8,0)&gt;1,0.4,
IF(AND(VLOOKUP($A299-COUNT('Шаг2.Бланк заказа NEW'!$B$19:$B$201),'Бланк OLD 0.8 04'!$B$12:$K$200,7,0)&gt;0,VLOOKUP($A299-COUNT('Шаг2.Бланк заказа NEW'!$B$19:$B$201),'Бланк OLD 0.8 04'!$B$12:$K$200,8,0)&gt;0),0.4,"")))),
IF(VLOOKUP($A299-COUNT('Шаг2.Бланк заказа NEW'!$B$19:$B$201)-COUNT('Бланк OLD 0.8 04'!$B$18:$B$200),'Бланк OLD 2.0 04 '!$B$16:$K$200,7,0)&gt;1,2,
IF(VLOOKUP($A299-COUNT('Шаг2.Бланк заказа NEW'!$B$19:$B$201)-COUNT('Бланк OLD 0.8 04'!$B$18:$B$200),'Бланк OLD 2.0 04 '!$B$16:$K$200,8,0)&gt;1,0.4,
IF(AND(VLOOKUP($A299-COUNT('Шаг2.Бланк заказа NEW'!$B$19:$B$201)-COUNT('Бланк OLD 0.8 04'!$B$18:$B$200),'Бланк OLD 2.0 04 '!$B$16:$K$200,7,0)&gt;0,VLOOKUP($A299-COUNT('Шаг2.Бланк заказа NEW'!$B$19:$B$201)-COUNT('Бланк OLD 0.8 04'!$B$18:$B$200),'Бланк OLD 2.0 04 '!$B$16:$K$200,8,0)&gt;0),0.4,""))))</f>
        <v/>
      </c>
      <c r="V299" s="146" t="str">
        <f ca="1">IFERROR(VLOOKUP(C299,'Шаг1.Выбор плиты'!C:S,12,0),"")</f>
        <v/>
      </c>
      <c r="W299" s="146" t="str">
        <f ca="1">IFERROR(VLOOKUP(C299,'Шаг1.Выбор плиты'!C:S,8,0),"")</f>
        <v/>
      </c>
      <c r="X299" s="146" t="str">
        <f ca="1">IFERROR(VLOOKUP(C299,'Шаг1.Выбор плиты'!C:S,10,0),"")</f>
        <v/>
      </c>
      <c r="Y299" s="147" t="str">
        <f t="shared" ca="1" si="23"/>
        <v/>
      </c>
      <c r="AD299" s="147" t="str">
        <f t="shared" ca="1" si="26"/>
        <v/>
      </c>
      <c r="AE299" s="147" t="str">
        <f t="shared" ca="1" si="24"/>
        <v/>
      </c>
      <c r="AF299" s="25"/>
      <c r="AH299" s="147" t="str">
        <f ca="1">IF(C299="","",VLOOKUP(C299,'Шаг1.Выбор плиты'!C:Q,7,0))</f>
        <v/>
      </c>
      <c r="AI299" s="147" t="str">
        <f t="shared" ca="1" si="27"/>
        <v/>
      </c>
    </row>
    <row r="300" spans="1:35" x14ac:dyDescent="0.2">
      <c r="A300" s="151" t="str">
        <f ca="1">IF(C300="","",MAX($A$1:OFFSET(C300,-1,0))+1)</f>
        <v/>
      </c>
      <c r="B300" s="151" t="str">
        <f ca="1">IFERROR(IFERROR(IFERROR("Шаг2.Бланк заказа NEW №"&amp;VLOOKUP(A299+1,CHOOSE({1,2},'Шаг2.Бланк заказа NEW'!$B$19:$B$201,'Шаг2.Бланк заказа NEW'!$A$19:$A$201),1,0),
"Бланк OLD 0.8 04 №"&amp;VLOOKUP(A299+1-COUNT('Шаг2.Бланк заказа NEW'!$B$19:$B$201),CHOOSE({1,2},'Бланк OLD 0.8 04'!$B$18:$B$200,'Бланк OLD 0.8 04'!$A$18:$A$200),1,0)),
"Бланк OLD 2.0 04 №"&amp;VLOOKUP(A299+1-COUNT('Шаг2.Бланк заказа NEW'!$B$19:$B$201)-COUNT('Бланк OLD 0.8 04'!$B$18:$B$200),CHOOSE({1,2},'Бланк OLD 2.0 04 '!$B$18:$B$200,'Бланк OLD 2.0 04 '!$A$18:$A$200),1,0)),"")</f>
        <v/>
      </c>
      <c r="C300" s="152" t="str">
        <f ca="1">IFERROR(IFERROR(IFERROR(VLOOKUP(A299+1,CHOOSE({1,2},'Шаг2.Бланк заказа NEW'!$B$19:$B$201,'Шаг2.Бланк заказа NEW'!$A$19:$A$201),2,0),
VLOOKUP(A299+1-COUNT('Шаг2.Бланк заказа NEW'!$B$19:$B$201),CHOOSE({1,2},'Бланк OLD 0.8 04'!$B$18:$B$200,'Бланк OLD 0.8 04'!$A$18:$A$200),2,0)),
VLOOKUP(A299+1-COUNT('Шаг2.Бланк заказа NEW'!$B$19:$B$201)-COUNT('Бланк OLD 0.8 04'!$B$18:$B$200),CHOOSE({1,2},'Бланк OLD 2.0 04 '!$B$18:$B$200,'Бланк OLD 2.0 04 '!$A$18:$A$200),2,0)),"")</f>
        <v/>
      </c>
      <c r="D300" s="150" t="str">
        <f ca="1">IFERROR(VLOOKUP(C300,'Шаг1.Выбор плиты'!C:G,5,0),"")</f>
        <v/>
      </c>
      <c r="E300" s="147" t="str">
        <f ca="1">IFERROR(IFERROR(IF(VLOOKUP($A300,'Шаг2.Бланк заказа NEW'!$B$17:$N$201,2,0)="","",VLOOKUP($A300,'Шаг2.Бланк заказа NEW'!$B$17:$N$201,2,0)),
IF(VLOOKUP($A300-COUNT('Шаг2.Бланк заказа NEW'!$B$19:$B$201),'Бланк OLD 0.8 04'!$B$12:$K$200,2,0)="","",VLOOKUP($A300-COUNT('Шаг2.Бланк заказа NEW'!$B$19:$B$201),'Бланк OLD 0.8 04'!$B$12:$K$200,2,0))),
IF(VLOOKUP($A300-COUNT('Шаг2.Бланк заказа NEW'!$B$19:$B$201)-COUNT('Бланк OLD 0.8 04'!$B$18:$B$200),'Бланк OLD 2.0 04 '!$B$16:$K$200,2,0)="","",VLOOKUP($A300-COUNT('Шаг2.Бланк заказа NEW'!$B$19:$B$201)-COUNT('Бланк OLD 0.8 04'!$B$18:$B$200),'Бланк OLD 2.0 04 '!$B$16:$K$200,2,0)))</f>
        <v/>
      </c>
      <c r="F300" s="147" t="str">
        <f ca="1">IFERROR(IFERROR(IF(VLOOKUP($A300,'Шаг2.Бланк заказа NEW'!$B$17:$N$201,3,0)="","",VLOOKUP($A300,'Шаг2.Бланк заказа NEW'!$B$17:$N$201,3,0)),
IF(VLOOKUP($A300-COUNT('Шаг2.Бланк заказа NEW'!$B$19:$B$201),'Бланк OLD 0.8 04'!$B$12:$K$200,3,0)="","",VLOOKUP($A300-COUNT('Шаг2.Бланк заказа NEW'!$B$19:$B$201),'Бланк OLD 0.8 04'!$B$12:$K$200,3,0))),
IF(VLOOKUP($A300-COUNT('Шаг2.Бланк заказа NEW'!$B$19:$B$201)-COUNT('Бланк OLD 0.8 04'!$B$18:$B$200),'Бланк OLD 2.0 04 '!$B$16:$K$200,3,0)="","",VLOOKUP($A300-COUNT('Шаг2.Бланк заказа NEW'!$B$19:$B$201)-COUNT('Бланк OLD 0.8 04'!$B$18:$B$200),'Бланк OLD 2.0 04 '!$B$16:$K$200,3,0)))</f>
        <v/>
      </c>
      <c r="G300" s="176" t="str">
        <f ca="1">IF(IF(R300="","",IF(R300=1,SUMIFS('Шаг1.Выбор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плиты'!C:Q,12,0)),1))))))=0,
R300,
IF(R300="","",IF(R300=1,SUMIFS('Шаг1.Выбор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плиты'!N:N,R300,'Шаг1.Выбор плиты'!M:M,SMALL(INDIRECT("мм"&amp;VLOOKUP(C300,'Шаг1.Выбор плиты'!C:Q,12,0)),1)))))))</f>
        <v/>
      </c>
      <c r="H300" s="177" t="str">
        <f ca="1">IF(IF(S300="","",IF(S300=1,SUMIFS('Шаг1.Выбор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плиты'!C:Q,12,0)),1))))))=0,
S300,
IF(S300="","",IF(S300=1,SUMIFS('Шаг1.Выбор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плиты'!N:N,S300,'Шаг1.Выбор плиты'!M:M,SMALL(INDIRECT("мм"&amp;VLOOKUP(C300,'Шаг1.Выбор плиты'!C:Q,12,0)),1)))))))</f>
        <v/>
      </c>
      <c r="I300" s="147" t="str">
        <f ca="1">IFERROR(IFERROR(IF(VLOOKUP($A300,'Шаг2.Бланк заказа NEW'!$B$17:$N$201,6,0)="","",VLOOKUP($A300,'Шаг2.Бланк заказа NEW'!$B$17:$N$201,6,0)),
IF(VLOOKUP($A300-COUNT('Шаг2.Бланк заказа NEW'!$B$19:$B$201),'Бланк OLD 0.8 04'!$B$12:$K$200,6,0)="","",VLOOKUP($A300-COUNT('Шаг2.Бланк заказа NEW'!$B$19:$B$201),'Бланк OLD 0.8 04'!$B$12:$K$200,6,0))),
IF(VLOOKUP($A300-COUNT('Шаг2.Бланк заказа NEW'!$B$19:$B$201)-COUNT('Бланк OLD 0.8 04'!$B$18:$B$200),'Бланк OLD 2.0 04 '!$B$16:$K$200,6,0)="","",VLOOKUP($A300-COUNT('Шаг2.Бланк заказа NEW'!$B$19:$B$201)-COUNT('Бланк OLD 0.8 04'!$B$18:$B$200),'Бланк OLD 2.0 04 '!$B$16:$K$200,6,0)))</f>
        <v/>
      </c>
      <c r="J300" s="177" t="str">
        <f ca="1">IF(IF(T300="","",IF(T300=1,SUMIFS('Шаг1.Выбор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плиты'!C:Q,12,0)),1))))))=0,
T300,
IF(T300="","",IF(T300=1,SUMIFS('Шаг1.Выбор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плиты'!N:N,T300,'Шаг1.Выбор плиты'!M:M,SMALL(INDIRECT("мм"&amp;VLOOKUP(C300,'Шаг1.Выбор плиты'!C:Q,12,0)),1)))))))</f>
        <v/>
      </c>
      <c r="K300" s="177" t="str">
        <f ca="1">IF(IF(U300="","",IF(U300=1,SUMIFS('Шаг1.Выбор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плиты'!C:Q,12,0)),1))))))=0,
U300,
IF(U300="","",IF(U300=1,SUMIFS('Шаг1.Выбор плиты'!$G:$G,'Шаг1.Выбор плиты'!J:J,"*"&amp;RIGHT(VLOOKUP(C300,'Шаг1.Выбор плиты'!C:Q,8,0),4),'Шаг1.Выбор плиты'!L:L,IF(MID(C300,1,6)="ЛДСП P","TM"&amp;MID(VLOOKUP(C300,'Шаг1.Выбор плиты'!C:Q,10,0),3,2),MID(VLOOKUP(C300,'Шаг1.Выбор плиты'!C:Q,10,0),1,2)),
'Шаг1.Выбор плиты'!N:N,1),IF(SUMIFS('Шаг1.Выбор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плиты'!C:Q,12,0)),1))=0,
IF(SUMIFS('Шаг1.Выбор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плиты'!C:Q,12,0)),2))=0,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плиты'!C:Q,12,0)),3)),
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плиты'!C:Q,12,0)),2))),
(SUMIFS('Шаг1.Выбор плиты'!$G:$G,'Шаг1.Выбор плиты'!J:J,"*"&amp;RIGHT(VLOOKUP(C300,'Шаг1.Выбор плиты'!C:Q,8,0),4),'Шаг1.Выбор плиты'!L:L,VLOOKUP(C300,'Шаг1.Выбор плиты'!C:Q,10,0),'Шаг1.Выбор плиты'!N:N,U300,'Шаг1.Выбор плиты'!M:M,SMALL(INDIRECT("мм"&amp;VLOOKUP(C300,'Шаг1.Выбор плиты'!C:Q,12,0)),1)))))))</f>
        <v/>
      </c>
      <c r="L300" s="147" t="str">
        <f ca="1">IFERROR(IFERROR(IF(VLOOKUP($A300,'Шаг2.Бланк заказа NEW'!$B$17:$N$201,9,0)="","",VLOOKUP($A300,'Шаг2.Бланк заказа NEW'!$B$17:$N$201,9,0)),
IF(VLOOKUP($A300-COUNT('Шаг2.Бланк заказа NEW'!$B$19:$B$201),'Бланк OLD 0.8 04'!$B$12:$K$200,9,0)="","",VLOOKUP($A300-COUNT('Шаг2.Бланк заказа NEW'!$B$19:$B$201),'Бланк OLD 0.8 04'!$B$12:$K$200,9,0))),
IF(VLOOKUP($A300-COUNT('Шаг2.Бланк заказа NEW'!$B$19:$B$201)-COUNT('Бланк OLD 0.8 04'!$B$18:$B$200),'Бланк OLD 2.0 04 '!$B$16:$K$200,9,0)="","",VLOOKUP($A300-COUNT('Шаг2.Бланк заказа NEW'!$B$19:$B$201)-COUNT('Бланк OLD 0.8 04'!$B$18:$B$200),'Бланк OLD 2.0 04 '!$B$16:$K$200,9,0)))</f>
        <v/>
      </c>
      <c r="M300" s="154" t="str">
        <f t="shared" ca="1" si="25"/>
        <v/>
      </c>
      <c r="N300" s="153" t="str">
        <f ca="1">IFERROR(IF(VLOOKUP($A300,'Шаг2.Бланк заказа NEW'!$B$17:$N$201,11,0)="","",VLOOKUP($A300,'Шаг2.Бланк заказа NEW'!$B$17:$N$201,11,0)),
"Нет")</f>
        <v/>
      </c>
      <c r="O300" s="147" t="str">
        <f ca="1">IFERROR(IF(VLOOKUP($A300,'Шаг2.Бланк заказа NEW'!$B$17:$N$201,11,0)="","",VLOOKUP($A300,'Шаг2.Бланк заказа NEW'!$B$17:$N$201,12,0)),
"Нет")</f>
        <v/>
      </c>
      <c r="P300" s="153" t="str">
        <f ca="1">IFERROR(IF(VLOOKUP($A300,'Шаг2.Бланк заказа NEW'!$B$17:$N$201,13,0)="","",VLOOKUP($A300,'Шаг2.Бланк заказа NEW'!$B$17:$N$201,13,0)),
"Нет")</f>
        <v/>
      </c>
      <c r="Q300" s="147" t="str">
        <f ca="1">IFERROR(IF(VLOOKUP($A300,'Шаг2.Бланк заказа NEW'!$B$17:$O$201,14,0)="","",VLOOKUP($A300,'Шаг2.Бланк заказа NEW'!$B$17:$O$201,14,0)),"")</f>
        <v/>
      </c>
      <c r="R300" s="147" t="str">
        <f ca="1">IFERROR(IFERROR(IF(VLOOKUP($A300,'Шаг2.Бланк заказа NEW'!$B$17:$N$201,4,0)="","",VLOOKUP($A300,'Шаг2.Бланк заказа NEW'!$B$17:$N$201,4,0)),
IF(VLOOKUP($A300-COUNT('Шаг2.Бланк заказа NEW'!$B$19:$B$201),'Бланк OLD 0.8 04'!$B$12:$K$200,4,0)&gt;0,0.8,
IF(VLOOKUP($A300-COUNT('Шаг2.Бланк заказа NEW'!$B$19:$B$201),'Бланк OLD 0.8 04'!$B$12:$K$200,5,0)&gt;0,0.4,""))),
IF(VLOOKUP($A300-COUNT('Шаг2.Бланк заказа NEW'!$B$19:$B$201)-COUNT('Бланк OLD 0.8 04'!$B$18:$B$200),'Бланк OLD 2.0 04 '!$B$16:$K$200,4,0)&gt;0,2,IF(VLOOKUP($A300-COUNT('Шаг2.Бланк заказа NEW'!$B$19:$B$201)-COUNT('Бланк OLD 0.8 04'!$B$18:$B$200),'Бланк OLD 2.0 04 '!$B$16:$K$200,5,0)&gt;0,0.4,"")))</f>
        <v/>
      </c>
      <c r="S300" s="147" t="str">
        <f ca="1">IFERROR(IFERROR(IF(VLOOKUP($A300,'Шаг2.Бланк заказа NEW'!$B$17:$N$201,5,0)="","",VLOOKUP($A300,'Шаг2.Бланк заказа NEW'!$B$17:$N$201,5,0)),
IF(VLOOKUP($A300-COUNT('Шаг2.Бланк заказа NEW'!$B$19:$B$201),'Бланк OLD 0.8 04'!$B$12:$K$200,4,0)&gt;1,0.8,
IF(VLOOKUP($A300-COUNT('Шаг2.Бланк заказа NEW'!$B$19:$B$201),'Бланк OLD 0.8 04'!$B$12:$K$200,5,0)&gt;1,0.4,
IF(AND(VLOOKUP($A300-COUNT('Шаг2.Бланк заказа NEW'!$B$19:$B$201),'Бланк OLD 0.8 04'!$B$12:$K$200,4,0)&gt;0,VLOOKUP($A300-COUNT('Шаг2.Бланк заказа NEW'!$B$19:$B$201),'Бланк OLD 0.8 04'!$B$12:$K$200,5,0)&gt;0),0.4,"")))),
IF(VLOOKUP($A300-COUNT('Шаг2.Бланк заказа NEW'!$B$19:$B$201)-COUNT('Бланк OLD 0.8 04'!$B$18:$B$200),'Бланк OLD 2.0 04 '!$B$16:$K$200,4,0)&gt;1,2,
IF(VLOOKUP($A300-COUNT('Шаг2.Бланк заказа NEW'!$B$19:$B$201)-COUNT('Бланк OLD 0.8 04'!$B$18:$B$200),'Бланк OLD 2.0 04 '!$B$16:$K$200,5,0)&gt;1,0.4,IF(AND(VLOOKUP($A300-COUNT('Шаг2.Бланк заказа NEW'!$B$19:$B$201)-COUNT('Бланк OLD 0.8 04'!$B$18:$B$200),'Бланк OLD 2.0 04 '!$B$16:$K$200,4,0)&gt;0,VLOOKUP($A300-COUNT('Шаг2.Бланк заказа NEW'!$B$19:$B$201)-COUNT('Бланк OLD 0.8 04'!$B$18:$B$200),'Бланк OLD 2.0 04 '!$B$16:$K$200,5,0)&gt;0),0.4,""))))</f>
        <v/>
      </c>
      <c r="T300" s="147" t="str">
        <f ca="1">IFERROR(IFERROR(IF(VLOOKUP($A300,'Шаг2.Бланк заказа NEW'!$B$17:$N$201,7,0)="","",VLOOKUP($A300,'Шаг2.Бланк заказа NEW'!$B$17:$N$201,7,0)),
IF(VLOOKUP($A300-COUNT('Шаг2.Бланк заказа NEW'!$B$19:$B$201),'Бланк OLD 0.8 04'!$B$12:$K$200,7,0)&gt;0,0.8,
IF(VLOOKUP($A300-COUNT('Шаг2.Бланк заказа NEW'!$B$19:$B$201),'Бланк OLD 0.8 04'!$B$12:$K$200,8,0)&gt;0,0.4,""))),
IF(VLOOKUP($A300-COUNT('Шаг2.Бланк заказа NEW'!$B$19:$B$201)-COUNT('Бланк OLD 0.8 04'!$B$18:$B$200),'Бланк OLD 2.0 04 '!$B$16:$K$200,7,0)&gt;0,2,IF(VLOOKUP($A300-COUNT('Шаг2.Бланк заказа NEW'!$B$19:$B$201)-COUNT('Бланк OLD 0.8 04'!$B$18:$B$200),'Бланк OLD 2.0 04 '!$B$16:$K$200,8,0)&gt;0,0.4,"")))</f>
        <v/>
      </c>
      <c r="U300" s="147" t="str">
        <f ca="1">IFERROR(IFERROR(IF(VLOOKUP($A300,'Шаг2.Бланк заказа NEW'!$B$17:$N$201,8,0)="","",VLOOKUP($A300,'Шаг2.Бланк заказа NEW'!$B$17:$N$201,8,0)),
IF(VLOOKUP($A300-COUNT('Шаг2.Бланк заказа NEW'!$B$19:$B$201),'Бланк OLD 0.8 04'!$B$12:$K$200,7,0)&gt;1,0.8,
IF(VLOOKUP($A300-COUNT('Шаг2.Бланк заказа NEW'!$B$19:$B$201),'Бланк OLD 0.8 04'!$B$12:$K$200,8,0)&gt;1,0.4,
IF(AND(VLOOKUP($A300-COUNT('Шаг2.Бланк заказа NEW'!$B$19:$B$201),'Бланк OLD 0.8 04'!$B$12:$K$200,7,0)&gt;0,VLOOKUP($A300-COUNT('Шаг2.Бланк заказа NEW'!$B$19:$B$201),'Бланк OLD 0.8 04'!$B$12:$K$200,8,0)&gt;0),0.4,"")))),
IF(VLOOKUP($A300-COUNT('Шаг2.Бланк заказа NEW'!$B$19:$B$201)-COUNT('Бланк OLD 0.8 04'!$B$18:$B$200),'Бланк OLD 2.0 04 '!$B$16:$K$200,7,0)&gt;1,2,
IF(VLOOKUP($A300-COUNT('Шаг2.Бланк заказа NEW'!$B$19:$B$201)-COUNT('Бланк OLD 0.8 04'!$B$18:$B$200),'Бланк OLD 2.0 04 '!$B$16:$K$200,8,0)&gt;1,0.4,
IF(AND(VLOOKUP($A300-COUNT('Шаг2.Бланк заказа NEW'!$B$19:$B$201)-COUNT('Бланк OLD 0.8 04'!$B$18:$B$200),'Бланк OLD 2.0 04 '!$B$16:$K$200,7,0)&gt;0,VLOOKUP($A300-COUNT('Шаг2.Бланк заказа NEW'!$B$19:$B$201)-COUNT('Бланк OLD 0.8 04'!$B$18:$B$200),'Бланк OLD 2.0 04 '!$B$16:$K$200,8,0)&gt;0),0.4,""))))</f>
        <v/>
      </c>
      <c r="V300" s="146" t="str">
        <f ca="1">IFERROR(VLOOKUP(C300,'Шаг1.Выбор плиты'!C:S,12,0),"")</f>
        <v/>
      </c>
      <c r="W300" s="146" t="str">
        <f ca="1">IFERROR(VLOOKUP(C300,'Шаг1.Выбор плиты'!C:S,8,0),"")</f>
        <v/>
      </c>
      <c r="X300" s="146" t="str">
        <f ca="1">IFERROR(VLOOKUP(C300,'Шаг1.Выбор плиты'!C:S,10,0),"")</f>
        <v/>
      </c>
      <c r="Y300" s="147" t="str">
        <f t="shared" ca="1" si="23"/>
        <v/>
      </c>
      <c r="AD300" s="147" t="str">
        <f t="shared" ca="1" si="26"/>
        <v/>
      </c>
      <c r="AE300" s="147" t="str">
        <f t="shared" ca="1" si="24"/>
        <v/>
      </c>
      <c r="AF300" s="25"/>
      <c r="AH300" s="147" t="str">
        <f ca="1">IF(C300="","",VLOOKUP(C300,'Шаг1.Выбор плиты'!C:Q,7,0))</f>
        <v/>
      </c>
      <c r="AI300" s="147" t="str">
        <f t="shared" ca="1" si="27"/>
        <v/>
      </c>
    </row>
    <row r="301" spans="1:35" x14ac:dyDescent="0.2">
      <c r="A301" s="151" t="str">
        <f ca="1">IF(C301="","",MAX($A$1:OFFSET(C301,-1,0))+1)</f>
        <v/>
      </c>
      <c r="B301" s="151" t="str">
        <f ca="1">IFERROR(IFERROR(IFERROR("Шаг2.Бланк заказа NEW №"&amp;VLOOKUP(A300+1,CHOOSE({1,2},'Шаг2.Бланк заказа NEW'!$B$19:$B$201,'Шаг2.Бланк заказа NEW'!$A$19:$A$201),1,0),
"Бланк OLD 0.8 04 №"&amp;VLOOKUP(A300+1-COUNT('Шаг2.Бланк заказа NEW'!$B$19:$B$201),CHOOSE({1,2},'Бланк OLD 0.8 04'!$B$18:$B$200,'Бланк OLD 0.8 04'!$A$18:$A$200),1,0)),
"Бланк OLD 2.0 04 №"&amp;VLOOKUP(A300+1-COUNT('Шаг2.Бланк заказа NEW'!$B$19:$B$201)-COUNT('Бланк OLD 0.8 04'!$B$18:$B$200),CHOOSE({1,2},'Бланк OLD 2.0 04 '!$B$18:$B$200,'Бланк OLD 2.0 04 '!$A$18:$A$200),1,0)),"")</f>
        <v/>
      </c>
      <c r="C301" s="152" t="str">
        <f ca="1">IFERROR(IFERROR(IFERROR(VLOOKUP(A300+1,CHOOSE({1,2},'Шаг2.Бланк заказа NEW'!$B$19:$B$201,'Шаг2.Бланк заказа NEW'!$A$19:$A$201),2,0),
VLOOKUP(A300+1-COUNT('Шаг2.Бланк заказа NEW'!$B$19:$B$201),CHOOSE({1,2},'Бланк OLD 0.8 04'!$B$18:$B$200,'Бланк OLD 0.8 04'!$A$18:$A$200),2,0)),
VLOOKUP(A300+1-COUNT('Шаг2.Бланк заказа NEW'!$B$19:$B$201)-COUNT('Бланк OLD 0.8 04'!$B$18:$B$200),CHOOSE({1,2},'Бланк OLD 2.0 04 '!$B$18:$B$200,'Бланк OLD 2.0 04 '!$A$18:$A$200),2,0)),"")</f>
        <v/>
      </c>
      <c r="D301" s="150" t="str">
        <f ca="1">IFERROR(VLOOKUP(C301,'Шаг1.Выбор плиты'!C:G,5,0),"")</f>
        <v/>
      </c>
      <c r="E301" s="147" t="str">
        <f ca="1">IFERROR(IFERROR(IF(VLOOKUP($A301,'Шаг2.Бланк заказа NEW'!$B$17:$N$201,2,0)="","",VLOOKUP($A301,'Шаг2.Бланк заказа NEW'!$B$17:$N$201,2,0)),
IF(VLOOKUP($A301-COUNT('Шаг2.Бланк заказа NEW'!$B$19:$B$201),'Бланк OLD 0.8 04'!$B$12:$K$200,2,0)="","",VLOOKUP($A301-COUNT('Шаг2.Бланк заказа NEW'!$B$19:$B$201),'Бланк OLD 0.8 04'!$B$12:$K$200,2,0))),
IF(VLOOKUP($A301-COUNT('Шаг2.Бланк заказа NEW'!$B$19:$B$201)-COUNT('Бланк OLD 0.8 04'!$B$18:$B$200),'Бланк OLD 2.0 04 '!$B$16:$K$200,2,0)="","",VLOOKUP($A301-COUNT('Шаг2.Бланк заказа NEW'!$B$19:$B$201)-COUNT('Бланк OLD 0.8 04'!$B$18:$B$200),'Бланк OLD 2.0 04 '!$B$16:$K$200,2,0)))</f>
        <v/>
      </c>
      <c r="F301" s="147" t="str">
        <f ca="1">IFERROR(IFERROR(IF(VLOOKUP($A301,'Шаг2.Бланк заказа NEW'!$B$17:$N$201,3,0)="","",VLOOKUP($A301,'Шаг2.Бланк заказа NEW'!$B$17:$N$201,3,0)),
IF(VLOOKUP($A301-COUNT('Шаг2.Бланк заказа NEW'!$B$19:$B$201),'Бланк OLD 0.8 04'!$B$12:$K$200,3,0)="","",VLOOKUP($A301-COUNT('Шаг2.Бланк заказа NEW'!$B$19:$B$201),'Бланк OLD 0.8 04'!$B$12:$K$200,3,0))),
IF(VLOOKUP($A301-COUNT('Шаг2.Бланк заказа NEW'!$B$19:$B$201)-COUNT('Бланк OLD 0.8 04'!$B$18:$B$200),'Бланк OLD 2.0 04 '!$B$16:$K$200,3,0)="","",VLOOKUP($A301-COUNT('Шаг2.Бланк заказа NEW'!$B$19:$B$201)-COUNT('Бланк OLD 0.8 04'!$B$18:$B$200),'Бланк OLD 2.0 04 '!$B$16:$K$200,3,0)))</f>
        <v/>
      </c>
      <c r="G301" s="176" t="str">
        <f ca="1">IF(IF(R301="","",IF(R301=1,SUMIFS('Шаг1.Выбор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плиты'!C:Q,12,0)),1))))))=0,
R301,
IF(R301="","",IF(R301=1,SUMIFS('Шаг1.Выбор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плиты'!N:N,R301,'Шаг1.Выбор плиты'!M:M,SMALL(INDIRECT("мм"&amp;VLOOKUP(C301,'Шаг1.Выбор плиты'!C:Q,12,0)),1)))))))</f>
        <v/>
      </c>
      <c r="H301" s="177" t="str">
        <f ca="1">IF(IF(S301="","",IF(S301=1,SUMIFS('Шаг1.Выбор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плиты'!C:Q,12,0)),1))))))=0,
S301,
IF(S301="","",IF(S301=1,SUMIFS('Шаг1.Выбор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плиты'!N:N,S301,'Шаг1.Выбор плиты'!M:M,SMALL(INDIRECT("мм"&amp;VLOOKUP(C301,'Шаг1.Выбор плиты'!C:Q,12,0)),1)))))))</f>
        <v/>
      </c>
      <c r="I301" s="147" t="str">
        <f ca="1">IFERROR(IFERROR(IF(VLOOKUP($A301,'Шаг2.Бланк заказа NEW'!$B$17:$N$201,6,0)="","",VLOOKUP($A301,'Шаг2.Бланк заказа NEW'!$B$17:$N$201,6,0)),
IF(VLOOKUP($A301-COUNT('Шаг2.Бланк заказа NEW'!$B$19:$B$201),'Бланк OLD 0.8 04'!$B$12:$K$200,6,0)="","",VLOOKUP($A301-COUNT('Шаг2.Бланк заказа NEW'!$B$19:$B$201),'Бланк OLD 0.8 04'!$B$12:$K$200,6,0))),
IF(VLOOKUP($A301-COUNT('Шаг2.Бланк заказа NEW'!$B$19:$B$201)-COUNT('Бланк OLD 0.8 04'!$B$18:$B$200),'Бланк OLD 2.0 04 '!$B$16:$K$200,6,0)="","",VLOOKUP($A301-COUNT('Шаг2.Бланк заказа NEW'!$B$19:$B$201)-COUNT('Бланк OLD 0.8 04'!$B$18:$B$200),'Бланк OLD 2.0 04 '!$B$16:$K$200,6,0)))</f>
        <v/>
      </c>
      <c r="J301" s="177" t="str">
        <f ca="1">IF(IF(T301="","",IF(T301=1,SUMIFS('Шаг1.Выбор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плиты'!C:Q,12,0)),1))))))=0,
T301,
IF(T301="","",IF(T301=1,SUMIFS('Шаг1.Выбор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плиты'!N:N,T301,'Шаг1.Выбор плиты'!M:M,SMALL(INDIRECT("мм"&amp;VLOOKUP(C301,'Шаг1.Выбор плиты'!C:Q,12,0)),1)))))))</f>
        <v/>
      </c>
      <c r="K301" s="177" t="str">
        <f ca="1">IF(IF(U301="","",IF(U301=1,SUMIFS('Шаг1.Выбор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плиты'!C:Q,12,0)),1))))))=0,
U301,
IF(U301="","",IF(U301=1,SUMIFS('Шаг1.Выбор плиты'!$G:$G,'Шаг1.Выбор плиты'!J:J,"*"&amp;RIGHT(VLOOKUP(C301,'Шаг1.Выбор плиты'!C:Q,8,0),4),'Шаг1.Выбор плиты'!L:L,IF(MID(C301,1,6)="ЛДСП P","TM"&amp;MID(VLOOKUP(C301,'Шаг1.Выбор плиты'!C:Q,10,0),3,2),MID(VLOOKUP(C301,'Шаг1.Выбор плиты'!C:Q,10,0),1,2)),
'Шаг1.Выбор плиты'!N:N,1),IF(SUMIFS('Шаг1.Выбор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плиты'!C:Q,12,0)),1))=0,
IF(SUMIFS('Шаг1.Выбор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плиты'!C:Q,12,0)),2))=0,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плиты'!C:Q,12,0)),3)),
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плиты'!C:Q,12,0)),2))),
(SUMIFS('Шаг1.Выбор плиты'!$G:$G,'Шаг1.Выбор плиты'!J:J,"*"&amp;RIGHT(VLOOKUP(C301,'Шаг1.Выбор плиты'!C:Q,8,0),4),'Шаг1.Выбор плиты'!L:L,VLOOKUP(C301,'Шаг1.Выбор плиты'!C:Q,10,0),'Шаг1.Выбор плиты'!N:N,U301,'Шаг1.Выбор плиты'!M:M,SMALL(INDIRECT("мм"&amp;VLOOKUP(C301,'Шаг1.Выбор плиты'!C:Q,12,0)),1)))))))</f>
        <v/>
      </c>
      <c r="L301" s="147" t="str">
        <f ca="1">IFERROR(IFERROR(IF(VLOOKUP($A301,'Шаг2.Бланк заказа NEW'!$B$17:$N$201,9,0)="","",VLOOKUP($A301,'Шаг2.Бланк заказа NEW'!$B$17:$N$201,9,0)),
IF(VLOOKUP($A301-COUNT('Шаг2.Бланк заказа NEW'!$B$19:$B$201),'Бланк OLD 0.8 04'!$B$12:$K$200,9,0)="","",VLOOKUP($A301-COUNT('Шаг2.Бланк заказа NEW'!$B$19:$B$201),'Бланк OLD 0.8 04'!$B$12:$K$200,9,0))),
IF(VLOOKUP($A301-COUNT('Шаг2.Бланк заказа NEW'!$B$19:$B$201)-COUNT('Бланк OLD 0.8 04'!$B$18:$B$200),'Бланк OLD 2.0 04 '!$B$16:$K$200,9,0)="","",VLOOKUP($A301-COUNT('Шаг2.Бланк заказа NEW'!$B$19:$B$201)-COUNT('Бланк OLD 0.8 04'!$B$18:$B$200),'Бланк OLD 2.0 04 '!$B$16:$K$200,9,0)))</f>
        <v/>
      </c>
      <c r="M301" s="154" t="str">
        <f t="shared" ca="1" si="25"/>
        <v/>
      </c>
      <c r="N301" s="153" t="str">
        <f ca="1">IFERROR(IF(VLOOKUP($A301,'Шаг2.Бланк заказа NEW'!$B$17:$N$201,11,0)="","",VLOOKUP($A301,'Шаг2.Бланк заказа NEW'!$B$17:$N$201,11,0)),
"Нет")</f>
        <v/>
      </c>
      <c r="O301" s="147" t="str">
        <f ca="1">IFERROR(IF(VLOOKUP($A301,'Шаг2.Бланк заказа NEW'!$B$17:$N$201,11,0)="","",VLOOKUP($A301,'Шаг2.Бланк заказа NEW'!$B$17:$N$201,12,0)),
"Нет")</f>
        <v/>
      </c>
      <c r="P301" s="153" t="str">
        <f ca="1">IFERROR(IF(VLOOKUP($A301,'Шаг2.Бланк заказа NEW'!$B$17:$N$201,13,0)="","",VLOOKUP($A301,'Шаг2.Бланк заказа NEW'!$B$17:$N$201,13,0)),
"Нет")</f>
        <v/>
      </c>
      <c r="Q301" s="147" t="str">
        <f ca="1">IFERROR(IF(VLOOKUP($A301,'Шаг2.Бланк заказа NEW'!$B$17:$O$201,14,0)="","",VLOOKUP($A301,'Шаг2.Бланк заказа NEW'!$B$17:$O$201,14,0)),"")</f>
        <v/>
      </c>
      <c r="R301" s="147" t="str">
        <f ca="1">IFERROR(IFERROR(IF(VLOOKUP($A301,'Шаг2.Бланк заказа NEW'!$B$17:$N$201,4,0)="","",VLOOKUP($A301,'Шаг2.Бланк заказа NEW'!$B$17:$N$201,4,0)),
IF(VLOOKUP($A301-COUNT('Шаг2.Бланк заказа NEW'!$B$19:$B$201),'Бланк OLD 0.8 04'!$B$12:$K$200,4,0)&gt;0,0.8,
IF(VLOOKUP($A301-COUNT('Шаг2.Бланк заказа NEW'!$B$19:$B$201),'Бланк OLD 0.8 04'!$B$12:$K$200,5,0)&gt;0,0.4,""))),
IF(VLOOKUP($A301-COUNT('Шаг2.Бланк заказа NEW'!$B$19:$B$201)-COUNT('Бланк OLD 0.8 04'!$B$18:$B$200),'Бланк OLD 2.0 04 '!$B$16:$K$200,4,0)&gt;0,2,IF(VLOOKUP($A301-COUNT('Шаг2.Бланк заказа NEW'!$B$19:$B$201)-COUNT('Бланк OLD 0.8 04'!$B$18:$B$200),'Бланк OLD 2.0 04 '!$B$16:$K$200,5,0)&gt;0,0.4,"")))</f>
        <v/>
      </c>
      <c r="S301" s="147" t="str">
        <f ca="1">IFERROR(IFERROR(IF(VLOOKUP($A301,'Шаг2.Бланк заказа NEW'!$B$17:$N$201,5,0)="","",VLOOKUP($A301,'Шаг2.Бланк заказа NEW'!$B$17:$N$201,5,0)),
IF(VLOOKUP($A301-COUNT('Шаг2.Бланк заказа NEW'!$B$19:$B$201),'Бланк OLD 0.8 04'!$B$12:$K$200,4,0)&gt;1,0.8,
IF(VLOOKUP($A301-COUNT('Шаг2.Бланк заказа NEW'!$B$19:$B$201),'Бланк OLD 0.8 04'!$B$12:$K$200,5,0)&gt;1,0.4,
IF(AND(VLOOKUP($A301-COUNT('Шаг2.Бланк заказа NEW'!$B$19:$B$201),'Бланк OLD 0.8 04'!$B$12:$K$200,4,0)&gt;0,VLOOKUP($A301-COUNT('Шаг2.Бланк заказа NEW'!$B$19:$B$201),'Бланк OLD 0.8 04'!$B$12:$K$200,5,0)&gt;0),0.4,"")))),
IF(VLOOKUP($A301-COUNT('Шаг2.Бланк заказа NEW'!$B$19:$B$201)-COUNT('Бланк OLD 0.8 04'!$B$18:$B$200),'Бланк OLD 2.0 04 '!$B$16:$K$200,4,0)&gt;1,2,
IF(VLOOKUP($A301-COUNT('Шаг2.Бланк заказа NEW'!$B$19:$B$201)-COUNT('Бланк OLD 0.8 04'!$B$18:$B$200),'Бланк OLD 2.0 04 '!$B$16:$K$200,5,0)&gt;1,0.4,IF(AND(VLOOKUP($A301-COUNT('Шаг2.Бланк заказа NEW'!$B$19:$B$201)-COUNT('Бланк OLD 0.8 04'!$B$18:$B$200),'Бланк OLD 2.0 04 '!$B$16:$K$200,4,0)&gt;0,VLOOKUP($A301-COUNT('Шаг2.Бланк заказа NEW'!$B$19:$B$201)-COUNT('Бланк OLD 0.8 04'!$B$18:$B$200),'Бланк OLD 2.0 04 '!$B$16:$K$200,5,0)&gt;0),0.4,""))))</f>
        <v/>
      </c>
      <c r="T301" s="147" t="str">
        <f ca="1">IFERROR(IFERROR(IF(VLOOKUP($A301,'Шаг2.Бланк заказа NEW'!$B$17:$N$201,7,0)="","",VLOOKUP($A301,'Шаг2.Бланк заказа NEW'!$B$17:$N$201,7,0)),
IF(VLOOKUP($A301-COUNT('Шаг2.Бланк заказа NEW'!$B$19:$B$201),'Бланк OLD 0.8 04'!$B$12:$K$200,7,0)&gt;0,0.8,
IF(VLOOKUP($A301-COUNT('Шаг2.Бланк заказа NEW'!$B$19:$B$201),'Бланк OLD 0.8 04'!$B$12:$K$200,8,0)&gt;0,0.4,""))),
IF(VLOOKUP($A301-COUNT('Шаг2.Бланк заказа NEW'!$B$19:$B$201)-COUNT('Бланк OLD 0.8 04'!$B$18:$B$200),'Бланк OLD 2.0 04 '!$B$16:$K$200,7,0)&gt;0,2,IF(VLOOKUP($A301-COUNT('Шаг2.Бланк заказа NEW'!$B$19:$B$201)-COUNT('Бланк OLD 0.8 04'!$B$18:$B$200),'Бланк OLD 2.0 04 '!$B$16:$K$200,8,0)&gt;0,0.4,"")))</f>
        <v/>
      </c>
      <c r="U301" s="147" t="str">
        <f ca="1">IFERROR(IFERROR(IF(VLOOKUP($A301,'Шаг2.Бланк заказа NEW'!$B$17:$N$201,8,0)="","",VLOOKUP($A301,'Шаг2.Бланк заказа NEW'!$B$17:$N$201,8,0)),
IF(VLOOKUP($A301-COUNT('Шаг2.Бланк заказа NEW'!$B$19:$B$201),'Бланк OLD 0.8 04'!$B$12:$K$200,7,0)&gt;1,0.8,
IF(VLOOKUP($A301-COUNT('Шаг2.Бланк заказа NEW'!$B$19:$B$201),'Бланк OLD 0.8 04'!$B$12:$K$200,8,0)&gt;1,0.4,
IF(AND(VLOOKUP($A301-COUNT('Шаг2.Бланк заказа NEW'!$B$19:$B$201),'Бланк OLD 0.8 04'!$B$12:$K$200,7,0)&gt;0,VLOOKUP($A301-COUNT('Шаг2.Бланк заказа NEW'!$B$19:$B$201),'Бланк OLD 0.8 04'!$B$12:$K$200,8,0)&gt;0),0.4,"")))),
IF(VLOOKUP($A301-COUNT('Шаг2.Бланк заказа NEW'!$B$19:$B$201)-COUNT('Бланк OLD 0.8 04'!$B$18:$B$200),'Бланк OLD 2.0 04 '!$B$16:$K$200,7,0)&gt;1,2,
IF(VLOOKUP($A301-COUNT('Шаг2.Бланк заказа NEW'!$B$19:$B$201)-COUNT('Бланк OLD 0.8 04'!$B$18:$B$200),'Бланк OLD 2.0 04 '!$B$16:$K$200,8,0)&gt;1,0.4,
IF(AND(VLOOKUP($A301-COUNT('Шаг2.Бланк заказа NEW'!$B$19:$B$201)-COUNT('Бланк OLD 0.8 04'!$B$18:$B$200),'Бланк OLD 2.0 04 '!$B$16:$K$200,7,0)&gt;0,VLOOKUP($A301-COUNT('Шаг2.Бланк заказа NEW'!$B$19:$B$201)-COUNT('Бланк OLD 0.8 04'!$B$18:$B$200),'Бланк OLD 2.0 04 '!$B$16:$K$200,8,0)&gt;0),0.4,""))))</f>
        <v/>
      </c>
      <c r="V301" s="146" t="str">
        <f ca="1">IFERROR(VLOOKUP(C301,'Шаг1.Выбор плиты'!C:S,12,0),"")</f>
        <v/>
      </c>
      <c r="W301" s="146" t="str">
        <f ca="1">IFERROR(VLOOKUP(C301,'Шаг1.Выбор плиты'!C:S,8,0),"")</f>
        <v/>
      </c>
      <c r="X301" s="146" t="str">
        <f ca="1">IFERROR(VLOOKUP(C301,'Шаг1.Выбор плиты'!C:S,10,0),"")</f>
        <v/>
      </c>
      <c r="Y301" s="147" t="str">
        <f t="shared" ca="1" si="23"/>
        <v/>
      </c>
      <c r="AD301" s="147" t="str">
        <f t="shared" ca="1" si="26"/>
        <v/>
      </c>
      <c r="AE301" s="147" t="str">
        <f t="shared" ca="1" si="24"/>
        <v/>
      </c>
      <c r="AF301" s="25"/>
      <c r="AH301" s="147" t="str">
        <f ca="1">IF(C301="","",VLOOKUP(C301,'Шаг1.Выбор плиты'!C:Q,7,0))</f>
        <v/>
      </c>
      <c r="AI301" s="147" t="str">
        <f t="shared" ca="1" si="27"/>
        <v/>
      </c>
    </row>
    <row r="302" spans="1:35" x14ac:dyDescent="0.2">
      <c r="A302" s="151" t="str">
        <f ca="1">IF(C302="","",MAX($A$1:OFFSET(C302,-1,0))+1)</f>
        <v/>
      </c>
      <c r="B302" s="151" t="str">
        <f ca="1">IFERROR(IFERROR(IFERROR("Шаг2.Бланк заказа NEW №"&amp;VLOOKUP(A301+1,CHOOSE({1,2},'Шаг2.Бланк заказа NEW'!$B$19:$B$201,'Шаг2.Бланк заказа NEW'!$A$19:$A$201),1,0),
"Бланк OLD 0.8 04 №"&amp;VLOOKUP(A301+1-COUNT('Шаг2.Бланк заказа NEW'!$B$19:$B$201),CHOOSE({1,2},'Бланк OLD 0.8 04'!$B$18:$B$200,'Бланк OLD 0.8 04'!$A$18:$A$200),1,0)),
"Бланк OLD 2.0 04 №"&amp;VLOOKUP(A301+1-COUNT('Шаг2.Бланк заказа NEW'!$B$19:$B$201)-COUNT('Бланк OLD 0.8 04'!$B$18:$B$200),CHOOSE({1,2},'Бланк OLD 2.0 04 '!$B$18:$B$200,'Бланк OLD 2.0 04 '!$A$18:$A$200),1,0)),"")</f>
        <v/>
      </c>
      <c r="C302" s="152" t="str">
        <f ca="1">IFERROR(IFERROR(IFERROR(VLOOKUP(A301+1,CHOOSE({1,2},'Шаг2.Бланк заказа NEW'!$B$19:$B$201,'Шаг2.Бланк заказа NEW'!$A$19:$A$201),2,0),
VLOOKUP(A301+1-COUNT('Шаг2.Бланк заказа NEW'!$B$19:$B$201),CHOOSE({1,2},'Бланк OLD 0.8 04'!$B$18:$B$200,'Бланк OLD 0.8 04'!$A$18:$A$200),2,0)),
VLOOKUP(A301+1-COUNT('Шаг2.Бланк заказа NEW'!$B$19:$B$201)-COUNT('Бланк OLD 0.8 04'!$B$18:$B$200),CHOOSE({1,2},'Бланк OLD 2.0 04 '!$B$18:$B$200,'Бланк OLD 2.0 04 '!$A$18:$A$200),2,0)),"")</f>
        <v/>
      </c>
      <c r="D302" s="150" t="str">
        <f ca="1">IFERROR(VLOOKUP(C302,'Шаг1.Выбор плиты'!C:G,5,0),"")</f>
        <v/>
      </c>
      <c r="E302" s="147" t="str">
        <f ca="1">IFERROR(IFERROR(IF(VLOOKUP($A302,'Шаг2.Бланк заказа NEW'!$B$17:$N$201,2,0)="","",VLOOKUP($A302,'Шаг2.Бланк заказа NEW'!$B$17:$N$201,2,0)),
IF(VLOOKUP($A302-COUNT('Шаг2.Бланк заказа NEW'!$B$19:$B$201),'Бланк OLD 0.8 04'!$B$12:$K$200,2,0)="","",VLOOKUP($A302-COUNT('Шаг2.Бланк заказа NEW'!$B$19:$B$201),'Бланк OLD 0.8 04'!$B$12:$K$200,2,0))),
IF(VLOOKUP($A302-COUNT('Шаг2.Бланк заказа NEW'!$B$19:$B$201)-COUNT('Бланк OLD 0.8 04'!$B$18:$B$200),'Бланк OLD 2.0 04 '!$B$16:$K$200,2,0)="","",VLOOKUP($A302-COUNT('Шаг2.Бланк заказа NEW'!$B$19:$B$201)-COUNT('Бланк OLD 0.8 04'!$B$18:$B$200),'Бланк OLD 2.0 04 '!$B$16:$K$200,2,0)))</f>
        <v/>
      </c>
      <c r="F302" s="147" t="str">
        <f ca="1">IFERROR(IFERROR(IF(VLOOKUP($A302,'Шаг2.Бланк заказа NEW'!$B$17:$N$201,3,0)="","",VLOOKUP($A302,'Шаг2.Бланк заказа NEW'!$B$17:$N$201,3,0)),
IF(VLOOKUP($A302-COUNT('Шаг2.Бланк заказа NEW'!$B$19:$B$201),'Бланк OLD 0.8 04'!$B$12:$K$200,3,0)="","",VLOOKUP($A302-COUNT('Шаг2.Бланк заказа NEW'!$B$19:$B$201),'Бланк OLD 0.8 04'!$B$12:$K$200,3,0))),
IF(VLOOKUP($A302-COUNT('Шаг2.Бланк заказа NEW'!$B$19:$B$201)-COUNT('Бланк OLD 0.8 04'!$B$18:$B$200),'Бланк OLD 2.0 04 '!$B$16:$K$200,3,0)="","",VLOOKUP($A302-COUNT('Шаг2.Бланк заказа NEW'!$B$19:$B$201)-COUNT('Бланк OLD 0.8 04'!$B$18:$B$200),'Бланк OLD 2.0 04 '!$B$16:$K$200,3,0)))</f>
        <v/>
      </c>
      <c r="G302" s="176" t="str">
        <f ca="1">IF(IF(R302="","",IF(R302=1,SUMIFS('Шаг1.Выбор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плиты'!C:Q,12,0)),1))))))=0,
R302,
IF(R302="","",IF(R302=1,SUMIFS('Шаг1.Выбор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плиты'!N:N,R302,'Шаг1.Выбор плиты'!M:M,SMALL(INDIRECT("мм"&amp;VLOOKUP(C302,'Шаг1.Выбор плиты'!C:Q,12,0)),1)))))))</f>
        <v/>
      </c>
      <c r="H302" s="177" t="str">
        <f ca="1">IF(IF(S302="","",IF(S302=1,SUMIFS('Шаг1.Выбор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плиты'!C:Q,12,0)),1))))))=0,
S302,
IF(S302="","",IF(S302=1,SUMIFS('Шаг1.Выбор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плиты'!N:N,S302,'Шаг1.Выбор плиты'!M:M,SMALL(INDIRECT("мм"&amp;VLOOKUP(C302,'Шаг1.Выбор плиты'!C:Q,12,0)),1)))))))</f>
        <v/>
      </c>
      <c r="I302" s="147" t="str">
        <f ca="1">IFERROR(IFERROR(IF(VLOOKUP($A302,'Шаг2.Бланк заказа NEW'!$B$17:$N$201,6,0)="","",VLOOKUP($A302,'Шаг2.Бланк заказа NEW'!$B$17:$N$201,6,0)),
IF(VLOOKUP($A302-COUNT('Шаг2.Бланк заказа NEW'!$B$19:$B$201),'Бланк OLD 0.8 04'!$B$12:$K$200,6,0)="","",VLOOKUP($A302-COUNT('Шаг2.Бланк заказа NEW'!$B$19:$B$201),'Бланк OLD 0.8 04'!$B$12:$K$200,6,0))),
IF(VLOOKUP($A302-COUNT('Шаг2.Бланк заказа NEW'!$B$19:$B$201)-COUNT('Бланк OLD 0.8 04'!$B$18:$B$200),'Бланк OLD 2.0 04 '!$B$16:$K$200,6,0)="","",VLOOKUP($A302-COUNT('Шаг2.Бланк заказа NEW'!$B$19:$B$201)-COUNT('Бланк OLD 0.8 04'!$B$18:$B$200),'Бланк OLD 2.0 04 '!$B$16:$K$200,6,0)))</f>
        <v/>
      </c>
      <c r="J302" s="177" t="str">
        <f ca="1">IF(IF(T302="","",IF(T302=1,SUMIFS('Шаг1.Выбор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плиты'!C:Q,12,0)),1))))))=0,
T302,
IF(T302="","",IF(T302=1,SUMIFS('Шаг1.Выбор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плиты'!N:N,T302,'Шаг1.Выбор плиты'!M:M,SMALL(INDIRECT("мм"&amp;VLOOKUP(C302,'Шаг1.Выбор плиты'!C:Q,12,0)),1)))))))</f>
        <v/>
      </c>
      <c r="K302" s="177" t="str">
        <f ca="1">IF(IF(U302="","",IF(U302=1,SUMIFS('Шаг1.Выбор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плиты'!C:Q,12,0)),1))))))=0,
U302,
IF(U302="","",IF(U302=1,SUMIFS('Шаг1.Выбор плиты'!$G:$G,'Шаг1.Выбор плиты'!J:J,"*"&amp;RIGHT(VLOOKUP(C302,'Шаг1.Выбор плиты'!C:Q,8,0),4),'Шаг1.Выбор плиты'!L:L,IF(MID(C302,1,6)="ЛДСП P","TM"&amp;MID(VLOOKUP(C302,'Шаг1.Выбор плиты'!C:Q,10,0),3,2),MID(VLOOKUP(C302,'Шаг1.Выбор плиты'!C:Q,10,0),1,2)),
'Шаг1.Выбор плиты'!N:N,1),IF(SUMIFS('Шаг1.Выбор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плиты'!C:Q,12,0)),1))=0,
IF(SUMIFS('Шаг1.Выбор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плиты'!C:Q,12,0)),2))=0,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плиты'!C:Q,12,0)),3)),
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плиты'!C:Q,12,0)),2))),
(SUMIFS('Шаг1.Выбор плиты'!$G:$G,'Шаг1.Выбор плиты'!J:J,"*"&amp;RIGHT(VLOOKUP(C302,'Шаг1.Выбор плиты'!C:Q,8,0),4),'Шаг1.Выбор плиты'!L:L,VLOOKUP(C302,'Шаг1.Выбор плиты'!C:Q,10,0),'Шаг1.Выбор плиты'!N:N,U302,'Шаг1.Выбор плиты'!M:M,SMALL(INDIRECT("мм"&amp;VLOOKUP(C302,'Шаг1.Выбор плиты'!C:Q,12,0)),1)))))))</f>
        <v/>
      </c>
      <c r="L302" s="147" t="str">
        <f ca="1">IFERROR(IFERROR(IF(VLOOKUP($A302,'Шаг2.Бланк заказа NEW'!$B$17:$N$201,9,0)="","",VLOOKUP($A302,'Шаг2.Бланк заказа NEW'!$B$17:$N$201,9,0)),
IF(VLOOKUP($A302-COUNT('Шаг2.Бланк заказа NEW'!$B$19:$B$201),'Бланк OLD 0.8 04'!$B$12:$K$200,9,0)="","",VLOOKUP($A302-COUNT('Шаг2.Бланк заказа NEW'!$B$19:$B$201),'Бланк OLD 0.8 04'!$B$12:$K$200,9,0))),
IF(VLOOKUP($A302-COUNT('Шаг2.Бланк заказа NEW'!$B$19:$B$201)-COUNT('Бланк OLD 0.8 04'!$B$18:$B$200),'Бланк OLD 2.0 04 '!$B$16:$K$200,9,0)="","",VLOOKUP($A302-COUNT('Шаг2.Бланк заказа NEW'!$B$19:$B$201)-COUNT('Бланк OLD 0.8 04'!$B$18:$B$200),'Бланк OLD 2.0 04 '!$B$16:$K$200,9,0)))</f>
        <v/>
      </c>
      <c r="M302" s="154" t="str">
        <f t="shared" ca="1" si="25"/>
        <v/>
      </c>
      <c r="N302" s="153" t="str">
        <f ca="1">IFERROR(IF(VLOOKUP($A302,'Шаг2.Бланк заказа NEW'!$B$17:$N$201,11,0)="","",VLOOKUP($A302,'Шаг2.Бланк заказа NEW'!$B$17:$N$201,11,0)),
"Нет")</f>
        <v/>
      </c>
      <c r="O302" s="147" t="str">
        <f ca="1">IFERROR(IF(VLOOKUP($A302,'Шаг2.Бланк заказа NEW'!$B$17:$N$201,11,0)="","",VLOOKUP($A302,'Шаг2.Бланк заказа NEW'!$B$17:$N$201,12,0)),
"Нет")</f>
        <v/>
      </c>
      <c r="P302" s="153" t="str">
        <f ca="1">IFERROR(IF(VLOOKUP($A302,'Шаг2.Бланк заказа NEW'!$B$17:$N$201,13,0)="","",VLOOKUP($A302,'Шаг2.Бланк заказа NEW'!$B$17:$N$201,13,0)),
"Нет")</f>
        <v/>
      </c>
      <c r="Q302" s="147" t="str">
        <f ca="1">IFERROR(IF(VLOOKUP($A302,'Шаг2.Бланк заказа NEW'!$B$17:$O$201,14,0)="","",VLOOKUP($A302,'Шаг2.Бланк заказа NEW'!$B$17:$O$201,14,0)),"")</f>
        <v/>
      </c>
      <c r="R302" s="147" t="str">
        <f ca="1">IFERROR(IFERROR(IF(VLOOKUP($A302,'Шаг2.Бланк заказа NEW'!$B$17:$N$201,4,0)="","",VLOOKUP($A302,'Шаг2.Бланк заказа NEW'!$B$17:$N$201,4,0)),
IF(VLOOKUP($A302-COUNT('Шаг2.Бланк заказа NEW'!$B$19:$B$201),'Бланк OLD 0.8 04'!$B$12:$K$200,4,0)&gt;0,0.8,
IF(VLOOKUP($A302-COUNT('Шаг2.Бланк заказа NEW'!$B$19:$B$201),'Бланк OLD 0.8 04'!$B$12:$K$200,5,0)&gt;0,0.4,""))),
IF(VLOOKUP($A302-COUNT('Шаг2.Бланк заказа NEW'!$B$19:$B$201)-COUNT('Бланк OLD 0.8 04'!$B$18:$B$200),'Бланк OLD 2.0 04 '!$B$16:$K$200,4,0)&gt;0,2,IF(VLOOKUP($A302-COUNT('Шаг2.Бланк заказа NEW'!$B$19:$B$201)-COUNT('Бланк OLD 0.8 04'!$B$18:$B$200),'Бланк OLD 2.0 04 '!$B$16:$K$200,5,0)&gt;0,0.4,"")))</f>
        <v/>
      </c>
      <c r="S302" s="147" t="str">
        <f ca="1">IFERROR(IFERROR(IF(VLOOKUP($A302,'Шаг2.Бланк заказа NEW'!$B$17:$N$201,5,0)="","",VLOOKUP($A302,'Шаг2.Бланк заказа NEW'!$B$17:$N$201,5,0)),
IF(VLOOKUP($A302-COUNT('Шаг2.Бланк заказа NEW'!$B$19:$B$201),'Бланк OLD 0.8 04'!$B$12:$K$200,4,0)&gt;1,0.8,
IF(VLOOKUP($A302-COUNT('Шаг2.Бланк заказа NEW'!$B$19:$B$201),'Бланк OLD 0.8 04'!$B$12:$K$200,5,0)&gt;1,0.4,
IF(AND(VLOOKUP($A302-COUNT('Шаг2.Бланк заказа NEW'!$B$19:$B$201),'Бланк OLD 0.8 04'!$B$12:$K$200,4,0)&gt;0,VLOOKUP($A302-COUNT('Шаг2.Бланк заказа NEW'!$B$19:$B$201),'Бланк OLD 0.8 04'!$B$12:$K$200,5,0)&gt;0),0.4,"")))),
IF(VLOOKUP($A302-COUNT('Шаг2.Бланк заказа NEW'!$B$19:$B$201)-COUNT('Бланк OLD 0.8 04'!$B$18:$B$200),'Бланк OLD 2.0 04 '!$B$16:$K$200,4,0)&gt;1,2,
IF(VLOOKUP($A302-COUNT('Шаг2.Бланк заказа NEW'!$B$19:$B$201)-COUNT('Бланк OLD 0.8 04'!$B$18:$B$200),'Бланк OLD 2.0 04 '!$B$16:$K$200,5,0)&gt;1,0.4,IF(AND(VLOOKUP($A302-COUNT('Шаг2.Бланк заказа NEW'!$B$19:$B$201)-COUNT('Бланк OLD 0.8 04'!$B$18:$B$200),'Бланк OLD 2.0 04 '!$B$16:$K$200,4,0)&gt;0,VLOOKUP($A302-COUNT('Шаг2.Бланк заказа NEW'!$B$19:$B$201)-COUNT('Бланк OLD 0.8 04'!$B$18:$B$200),'Бланк OLD 2.0 04 '!$B$16:$K$200,5,0)&gt;0),0.4,""))))</f>
        <v/>
      </c>
      <c r="T302" s="147" t="str">
        <f ca="1">IFERROR(IFERROR(IF(VLOOKUP($A302,'Шаг2.Бланк заказа NEW'!$B$17:$N$201,7,0)="","",VLOOKUP($A302,'Шаг2.Бланк заказа NEW'!$B$17:$N$201,7,0)),
IF(VLOOKUP($A302-COUNT('Шаг2.Бланк заказа NEW'!$B$19:$B$201),'Бланк OLD 0.8 04'!$B$12:$K$200,7,0)&gt;0,0.8,
IF(VLOOKUP($A302-COUNT('Шаг2.Бланк заказа NEW'!$B$19:$B$201),'Бланк OLD 0.8 04'!$B$12:$K$200,8,0)&gt;0,0.4,""))),
IF(VLOOKUP($A302-COUNT('Шаг2.Бланк заказа NEW'!$B$19:$B$201)-COUNT('Бланк OLD 0.8 04'!$B$18:$B$200),'Бланк OLD 2.0 04 '!$B$16:$K$200,7,0)&gt;0,2,IF(VLOOKUP($A302-COUNT('Шаг2.Бланк заказа NEW'!$B$19:$B$201)-COUNT('Бланк OLD 0.8 04'!$B$18:$B$200),'Бланк OLD 2.0 04 '!$B$16:$K$200,8,0)&gt;0,0.4,"")))</f>
        <v/>
      </c>
      <c r="U302" s="147" t="str">
        <f ca="1">IFERROR(IFERROR(IF(VLOOKUP($A302,'Шаг2.Бланк заказа NEW'!$B$17:$N$201,8,0)="","",VLOOKUP($A302,'Шаг2.Бланк заказа NEW'!$B$17:$N$201,8,0)),
IF(VLOOKUP($A302-COUNT('Шаг2.Бланк заказа NEW'!$B$19:$B$201),'Бланк OLD 0.8 04'!$B$12:$K$200,7,0)&gt;1,0.8,
IF(VLOOKUP($A302-COUNT('Шаг2.Бланк заказа NEW'!$B$19:$B$201),'Бланк OLD 0.8 04'!$B$12:$K$200,8,0)&gt;1,0.4,
IF(AND(VLOOKUP($A302-COUNT('Шаг2.Бланк заказа NEW'!$B$19:$B$201),'Бланк OLD 0.8 04'!$B$12:$K$200,7,0)&gt;0,VLOOKUP($A302-COUNT('Шаг2.Бланк заказа NEW'!$B$19:$B$201),'Бланк OLD 0.8 04'!$B$12:$K$200,8,0)&gt;0),0.4,"")))),
IF(VLOOKUP($A302-COUNT('Шаг2.Бланк заказа NEW'!$B$19:$B$201)-COUNT('Бланк OLD 0.8 04'!$B$18:$B$200),'Бланк OLD 2.0 04 '!$B$16:$K$200,7,0)&gt;1,2,
IF(VLOOKUP($A302-COUNT('Шаг2.Бланк заказа NEW'!$B$19:$B$201)-COUNT('Бланк OLD 0.8 04'!$B$18:$B$200),'Бланк OLD 2.0 04 '!$B$16:$K$200,8,0)&gt;1,0.4,
IF(AND(VLOOKUP($A302-COUNT('Шаг2.Бланк заказа NEW'!$B$19:$B$201)-COUNT('Бланк OLD 0.8 04'!$B$18:$B$200),'Бланк OLD 2.0 04 '!$B$16:$K$200,7,0)&gt;0,VLOOKUP($A302-COUNT('Шаг2.Бланк заказа NEW'!$B$19:$B$201)-COUNT('Бланк OLD 0.8 04'!$B$18:$B$200),'Бланк OLD 2.0 04 '!$B$16:$K$200,8,0)&gt;0),0.4,""))))</f>
        <v/>
      </c>
      <c r="V302" s="146" t="str">
        <f ca="1">IFERROR(VLOOKUP(C302,'Шаг1.Выбор плиты'!C:S,12,0),"")</f>
        <v/>
      </c>
      <c r="W302" s="146" t="str">
        <f ca="1">IFERROR(VLOOKUP(C302,'Шаг1.Выбор плиты'!C:S,8,0),"")</f>
        <v/>
      </c>
      <c r="X302" s="146" t="str">
        <f ca="1">IFERROR(VLOOKUP(C302,'Шаг1.Выбор плиты'!C:S,10,0),"")</f>
        <v/>
      </c>
      <c r="Y302" s="147" t="str">
        <f t="shared" ca="1" si="23"/>
        <v/>
      </c>
      <c r="AD302" s="147" t="str">
        <f t="shared" ca="1" si="26"/>
        <v/>
      </c>
      <c r="AE302" s="147" t="str">
        <f t="shared" ca="1" si="24"/>
        <v/>
      </c>
      <c r="AF302" s="25"/>
      <c r="AH302" s="147" t="str">
        <f ca="1">IF(C302="","",VLOOKUP(C302,'Шаг1.Выбор плиты'!C:Q,7,0))</f>
        <v/>
      </c>
      <c r="AI302" s="147" t="str">
        <f t="shared" ca="1" si="27"/>
        <v/>
      </c>
    </row>
    <row r="303" spans="1:35" x14ac:dyDescent="0.2">
      <c r="A303" s="151" t="str">
        <f ca="1">IF(C303="","",MAX($A$1:OFFSET(C303,-1,0))+1)</f>
        <v/>
      </c>
      <c r="B303" s="151" t="str">
        <f ca="1">IFERROR(IFERROR(IFERROR("Шаг2.Бланк заказа NEW №"&amp;VLOOKUP(A302+1,CHOOSE({1,2},'Шаг2.Бланк заказа NEW'!$B$19:$B$201,'Шаг2.Бланк заказа NEW'!$A$19:$A$201),1,0),
"Бланк OLD 0.8 04 №"&amp;VLOOKUP(A302+1-COUNT('Шаг2.Бланк заказа NEW'!$B$19:$B$201),CHOOSE({1,2},'Бланк OLD 0.8 04'!$B$18:$B$200,'Бланк OLD 0.8 04'!$A$18:$A$200),1,0)),
"Бланк OLD 2.0 04 №"&amp;VLOOKUP(A302+1-COUNT('Шаг2.Бланк заказа NEW'!$B$19:$B$201)-COUNT('Бланк OLD 0.8 04'!$B$18:$B$200),CHOOSE({1,2},'Бланк OLD 2.0 04 '!$B$18:$B$200,'Бланк OLD 2.0 04 '!$A$18:$A$200),1,0)),"")</f>
        <v/>
      </c>
      <c r="C303" s="152" t="str">
        <f ca="1">IFERROR(IFERROR(IFERROR(VLOOKUP(A302+1,CHOOSE({1,2},'Шаг2.Бланк заказа NEW'!$B$19:$B$201,'Шаг2.Бланк заказа NEW'!$A$19:$A$201),2,0),
VLOOKUP(A302+1-COUNT('Шаг2.Бланк заказа NEW'!$B$19:$B$201),CHOOSE({1,2},'Бланк OLD 0.8 04'!$B$18:$B$200,'Бланк OLD 0.8 04'!$A$18:$A$200),2,0)),
VLOOKUP(A302+1-COUNT('Шаг2.Бланк заказа NEW'!$B$19:$B$201)-COUNT('Бланк OLD 0.8 04'!$B$18:$B$200),CHOOSE({1,2},'Бланк OLD 2.0 04 '!$B$18:$B$200,'Бланк OLD 2.0 04 '!$A$18:$A$200),2,0)),"")</f>
        <v/>
      </c>
      <c r="D303" s="150" t="str">
        <f ca="1">IFERROR(VLOOKUP(C303,'Шаг1.Выбор плиты'!C:G,5,0),"")</f>
        <v/>
      </c>
      <c r="E303" s="147" t="str">
        <f ca="1">IFERROR(IFERROR(IF(VLOOKUP($A303,'Шаг2.Бланк заказа NEW'!$B$17:$N$201,2,0)="","",VLOOKUP($A303,'Шаг2.Бланк заказа NEW'!$B$17:$N$201,2,0)),
IF(VLOOKUP($A303-COUNT('Шаг2.Бланк заказа NEW'!$B$19:$B$201),'Бланк OLD 0.8 04'!$B$12:$K$200,2,0)="","",VLOOKUP($A303-COUNT('Шаг2.Бланк заказа NEW'!$B$19:$B$201),'Бланк OLD 0.8 04'!$B$12:$K$200,2,0))),
IF(VLOOKUP($A303-COUNT('Шаг2.Бланк заказа NEW'!$B$19:$B$201)-COUNT('Бланк OLD 0.8 04'!$B$18:$B$200),'Бланк OLD 2.0 04 '!$B$16:$K$200,2,0)="","",VLOOKUP($A303-COUNT('Шаг2.Бланк заказа NEW'!$B$19:$B$201)-COUNT('Бланк OLD 0.8 04'!$B$18:$B$200),'Бланк OLD 2.0 04 '!$B$16:$K$200,2,0)))</f>
        <v/>
      </c>
      <c r="F303" s="147" t="str">
        <f ca="1">IFERROR(IFERROR(IF(VLOOKUP($A303,'Шаг2.Бланк заказа NEW'!$B$17:$N$201,3,0)="","",VLOOKUP($A303,'Шаг2.Бланк заказа NEW'!$B$17:$N$201,3,0)),
IF(VLOOKUP($A303-COUNT('Шаг2.Бланк заказа NEW'!$B$19:$B$201),'Бланк OLD 0.8 04'!$B$12:$K$200,3,0)="","",VLOOKUP($A303-COUNT('Шаг2.Бланк заказа NEW'!$B$19:$B$201),'Бланк OLD 0.8 04'!$B$12:$K$200,3,0))),
IF(VLOOKUP($A303-COUNT('Шаг2.Бланк заказа NEW'!$B$19:$B$201)-COUNT('Бланк OLD 0.8 04'!$B$18:$B$200),'Бланк OLD 2.0 04 '!$B$16:$K$200,3,0)="","",VLOOKUP($A303-COUNT('Шаг2.Бланк заказа NEW'!$B$19:$B$201)-COUNT('Бланк OLD 0.8 04'!$B$18:$B$200),'Бланк OLD 2.0 04 '!$B$16:$K$200,3,0)))</f>
        <v/>
      </c>
      <c r="G303" s="176" t="str">
        <f ca="1">IF(IF(R303="","",IF(R303=1,SUMIFS('Шаг1.Выбор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плиты'!C:Q,12,0)),1))))))=0,
R303,
IF(R303="","",IF(R303=1,SUMIFS('Шаг1.Выбор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плиты'!N:N,R303,'Шаг1.Выбор плиты'!M:M,SMALL(INDIRECT("мм"&amp;VLOOKUP(C303,'Шаг1.Выбор плиты'!C:Q,12,0)),1)))))))</f>
        <v/>
      </c>
      <c r="H303" s="177" t="str">
        <f ca="1">IF(IF(S303="","",IF(S303=1,SUMIFS('Шаг1.Выбор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плиты'!C:Q,12,0)),1))))))=0,
S303,
IF(S303="","",IF(S303=1,SUMIFS('Шаг1.Выбор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плиты'!N:N,S303,'Шаг1.Выбор плиты'!M:M,SMALL(INDIRECT("мм"&amp;VLOOKUP(C303,'Шаг1.Выбор плиты'!C:Q,12,0)),1)))))))</f>
        <v/>
      </c>
      <c r="I303" s="147" t="str">
        <f ca="1">IFERROR(IFERROR(IF(VLOOKUP($A303,'Шаг2.Бланк заказа NEW'!$B$17:$N$201,6,0)="","",VLOOKUP($A303,'Шаг2.Бланк заказа NEW'!$B$17:$N$201,6,0)),
IF(VLOOKUP($A303-COUNT('Шаг2.Бланк заказа NEW'!$B$19:$B$201),'Бланк OLD 0.8 04'!$B$12:$K$200,6,0)="","",VLOOKUP($A303-COUNT('Шаг2.Бланк заказа NEW'!$B$19:$B$201),'Бланк OLD 0.8 04'!$B$12:$K$200,6,0))),
IF(VLOOKUP($A303-COUNT('Шаг2.Бланк заказа NEW'!$B$19:$B$201)-COUNT('Бланк OLD 0.8 04'!$B$18:$B$200),'Бланк OLD 2.0 04 '!$B$16:$K$200,6,0)="","",VLOOKUP($A303-COUNT('Шаг2.Бланк заказа NEW'!$B$19:$B$201)-COUNT('Бланк OLD 0.8 04'!$B$18:$B$200),'Бланк OLD 2.0 04 '!$B$16:$K$200,6,0)))</f>
        <v/>
      </c>
      <c r="J303" s="177" t="str">
        <f ca="1">IF(IF(T303="","",IF(T303=1,SUMIFS('Шаг1.Выбор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плиты'!C:Q,12,0)),1))))))=0,
T303,
IF(T303="","",IF(T303=1,SUMIFS('Шаг1.Выбор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плиты'!N:N,T303,'Шаг1.Выбор плиты'!M:M,SMALL(INDIRECT("мм"&amp;VLOOKUP(C303,'Шаг1.Выбор плиты'!C:Q,12,0)),1)))))))</f>
        <v/>
      </c>
      <c r="K303" s="177" t="str">
        <f ca="1">IF(IF(U303="","",IF(U303=1,SUMIFS('Шаг1.Выбор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плиты'!C:Q,12,0)),1))))))=0,
U303,
IF(U303="","",IF(U303=1,SUMIFS('Шаг1.Выбор плиты'!$G:$G,'Шаг1.Выбор плиты'!J:J,"*"&amp;RIGHT(VLOOKUP(C303,'Шаг1.Выбор плиты'!C:Q,8,0),4),'Шаг1.Выбор плиты'!L:L,IF(MID(C303,1,6)="ЛДСП P","TM"&amp;MID(VLOOKUP(C303,'Шаг1.Выбор плиты'!C:Q,10,0),3,2),MID(VLOOKUP(C303,'Шаг1.Выбор плиты'!C:Q,10,0),1,2)),
'Шаг1.Выбор плиты'!N:N,1),IF(SUMIFS('Шаг1.Выбор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плиты'!C:Q,12,0)),1))=0,
IF(SUMIFS('Шаг1.Выбор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плиты'!C:Q,12,0)),2))=0,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плиты'!C:Q,12,0)),3)),
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плиты'!C:Q,12,0)),2))),
(SUMIFS('Шаг1.Выбор плиты'!$G:$G,'Шаг1.Выбор плиты'!J:J,"*"&amp;RIGHT(VLOOKUP(C303,'Шаг1.Выбор плиты'!C:Q,8,0),4),'Шаг1.Выбор плиты'!L:L,VLOOKUP(C303,'Шаг1.Выбор плиты'!C:Q,10,0),'Шаг1.Выбор плиты'!N:N,U303,'Шаг1.Выбор плиты'!M:M,SMALL(INDIRECT("мм"&amp;VLOOKUP(C303,'Шаг1.Выбор плиты'!C:Q,12,0)),1)))))))</f>
        <v/>
      </c>
      <c r="L303" s="147" t="str">
        <f ca="1">IFERROR(IFERROR(IF(VLOOKUP($A303,'Шаг2.Бланк заказа NEW'!$B$17:$N$201,9,0)="","",VLOOKUP($A303,'Шаг2.Бланк заказа NEW'!$B$17:$N$201,9,0)),
IF(VLOOKUP($A303-COUNT('Шаг2.Бланк заказа NEW'!$B$19:$B$201),'Бланк OLD 0.8 04'!$B$12:$K$200,9,0)="","",VLOOKUP($A303-COUNT('Шаг2.Бланк заказа NEW'!$B$19:$B$201),'Бланк OLD 0.8 04'!$B$12:$K$200,9,0))),
IF(VLOOKUP($A303-COUNT('Шаг2.Бланк заказа NEW'!$B$19:$B$201)-COUNT('Бланк OLD 0.8 04'!$B$18:$B$200),'Бланк OLD 2.0 04 '!$B$16:$K$200,9,0)="","",VLOOKUP($A303-COUNT('Шаг2.Бланк заказа NEW'!$B$19:$B$201)-COUNT('Бланк OLD 0.8 04'!$B$18:$B$200),'Бланк OLD 2.0 04 '!$B$16:$K$200,9,0)))</f>
        <v/>
      </c>
      <c r="M303" s="154" t="str">
        <f t="shared" ca="1" si="25"/>
        <v/>
      </c>
      <c r="N303" s="153" t="str">
        <f ca="1">IFERROR(IF(VLOOKUP($A303,'Шаг2.Бланк заказа NEW'!$B$17:$N$201,11,0)="","",VLOOKUP($A303,'Шаг2.Бланк заказа NEW'!$B$17:$N$201,11,0)),
"Нет")</f>
        <v/>
      </c>
      <c r="O303" s="147" t="str">
        <f ca="1">IFERROR(IF(VLOOKUP($A303,'Шаг2.Бланк заказа NEW'!$B$17:$N$201,11,0)="","",VLOOKUP($A303,'Шаг2.Бланк заказа NEW'!$B$17:$N$201,12,0)),
"Нет")</f>
        <v/>
      </c>
      <c r="P303" s="153" t="str">
        <f ca="1">IFERROR(IF(VLOOKUP($A303,'Шаг2.Бланк заказа NEW'!$B$17:$N$201,13,0)="","",VLOOKUP($A303,'Шаг2.Бланк заказа NEW'!$B$17:$N$201,13,0)),
"Нет")</f>
        <v/>
      </c>
      <c r="Q303" s="147" t="str">
        <f ca="1">IFERROR(IF(VLOOKUP($A303,'Шаг2.Бланк заказа NEW'!$B$17:$O$201,14,0)="","",VLOOKUP($A303,'Шаг2.Бланк заказа NEW'!$B$17:$O$201,14,0)),"")</f>
        <v/>
      </c>
      <c r="R303" s="147" t="str">
        <f ca="1">IFERROR(IFERROR(IF(VLOOKUP($A303,'Шаг2.Бланк заказа NEW'!$B$17:$N$201,4,0)="","",VLOOKUP($A303,'Шаг2.Бланк заказа NEW'!$B$17:$N$201,4,0)),
IF(VLOOKUP($A303-COUNT('Шаг2.Бланк заказа NEW'!$B$19:$B$201),'Бланк OLD 0.8 04'!$B$12:$K$200,4,0)&gt;0,0.8,
IF(VLOOKUP($A303-COUNT('Шаг2.Бланк заказа NEW'!$B$19:$B$201),'Бланк OLD 0.8 04'!$B$12:$K$200,5,0)&gt;0,0.4,""))),
IF(VLOOKUP($A303-COUNT('Шаг2.Бланк заказа NEW'!$B$19:$B$201)-COUNT('Бланк OLD 0.8 04'!$B$18:$B$200),'Бланк OLD 2.0 04 '!$B$16:$K$200,4,0)&gt;0,2,IF(VLOOKUP($A303-COUNT('Шаг2.Бланк заказа NEW'!$B$19:$B$201)-COUNT('Бланк OLD 0.8 04'!$B$18:$B$200),'Бланк OLD 2.0 04 '!$B$16:$K$200,5,0)&gt;0,0.4,"")))</f>
        <v/>
      </c>
      <c r="S303" s="147" t="str">
        <f ca="1">IFERROR(IFERROR(IF(VLOOKUP($A303,'Шаг2.Бланк заказа NEW'!$B$17:$N$201,5,0)="","",VLOOKUP($A303,'Шаг2.Бланк заказа NEW'!$B$17:$N$201,5,0)),
IF(VLOOKUP($A303-COUNT('Шаг2.Бланк заказа NEW'!$B$19:$B$201),'Бланк OLD 0.8 04'!$B$12:$K$200,4,0)&gt;1,0.8,
IF(VLOOKUP($A303-COUNT('Шаг2.Бланк заказа NEW'!$B$19:$B$201),'Бланк OLD 0.8 04'!$B$12:$K$200,5,0)&gt;1,0.4,
IF(AND(VLOOKUP($A303-COUNT('Шаг2.Бланк заказа NEW'!$B$19:$B$201),'Бланк OLD 0.8 04'!$B$12:$K$200,4,0)&gt;0,VLOOKUP($A303-COUNT('Шаг2.Бланк заказа NEW'!$B$19:$B$201),'Бланк OLD 0.8 04'!$B$12:$K$200,5,0)&gt;0),0.4,"")))),
IF(VLOOKUP($A303-COUNT('Шаг2.Бланк заказа NEW'!$B$19:$B$201)-COUNT('Бланк OLD 0.8 04'!$B$18:$B$200),'Бланк OLD 2.0 04 '!$B$16:$K$200,4,0)&gt;1,2,
IF(VLOOKUP($A303-COUNT('Шаг2.Бланк заказа NEW'!$B$19:$B$201)-COUNT('Бланк OLD 0.8 04'!$B$18:$B$200),'Бланк OLD 2.0 04 '!$B$16:$K$200,5,0)&gt;1,0.4,IF(AND(VLOOKUP($A303-COUNT('Шаг2.Бланк заказа NEW'!$B$19:$B$201)-COUNT('Бланк OLD 0.8 04'!$B$18:$B$200),'Бланк OLD 2.0 04 '!$B$16:$K$200,4,0)&gt;0,VLOOKUP($A303-COUNT('Шаг2.Бланк заказа NEW'!$B$19:$B$201)-COUNT('Бланк OLD 0.8 04'!$B$18:$B$200),'Бланк OLD 2.0 04 '!$B$16:$K$200,5,0)&gt;0),0.4,""))))</f>
        <v/>
      </c>
      <c r="T303" s="147" t="str">
        <f ca="1">IFERROR(IFERROR(IF(VLOOKUP($A303,'Шаг2.Бланк заказа NEW'!$B$17:$N$201,7,0)="","",VLOOKUP($A303,'Шаг2.Бланк заказа NEW'!$B$17:$N$201,7,0)),
IF(VLOOKUP($A303-COUNT('Шаг2.Бланк заказа NEW'!$B$19:$B$201),'Бланк OLD 0.8 04'!$B$12:$K$200,7,0)&gt;0,0.8,
IF(VLOOKUP($A303-COUNT('Шаг2.Бланк заказа NEW'!$B$19:$B$201),'Бланк OLD 0.8 04'!$B$12:$K$200,8,0)&gt;0,0.4,""))),
IF(VLOOKUP($A303-COUNT('Шаг2.Бланк заказа NEW'!$B$19:$B$201)-COUNT('Бланк OLD 0.8 04'!$B$18:$B$200),'Бланк OLD 2.0 04 '!$B$16:$K$200,7,0)&gt;0,2,IF(VLOOKUP($A303-COUNT('Шаг2.Бланк заказа NEW'!$B$19:$B$201)-COUNT('Бланк OLD 0.8 04'!$B$18:$B$200),'Бланк OLD 2.0 04 '!$B$16:$K$200,8,0)&gt;0,0.4,"")))</f>
        <v/>
      </c>
      <c r="U303" s="147" t="str">
        <f ca="1">IFERROR(IFERROR(IF(VLOOKUP($A303,'Шаг2.Бланк заказа NEW'!$B$17:$N$201,8,0)="","",VLOOKUP($A303,'Шаг2.Бланк заказа NEW'!$B$17:$N$201,8,0)),
IF(VLOOKUP($A303-COUNT('Шаг2.Бланк заказа NEW'!$B$19:$B$201),'Бланк OLD 0.8 04'!$B$12:$K$200,7,0)&gt;1,0.8,
IF(VLOOKUP($A303-COUNT('Шаг2.Бланк заказа NEW'!$B$19:$B$201),'Бланк OLD 0.8 04'!$B$12:$K$200,8,0)&gt;1,0.4,
IF(AND(VLOOKUP($A303-COUNT('Шаг2.Бланк заказа NEW'!$B$19:$B$201),'Бланк OLD 0.8 04'!$B$12:$K$200,7,0)&gt;0,VLOOKUP($A303-COUNT('Шаг2.Бланк заказа NEW'!$B$19:$B$201),'Бланк OLD 0.8 04'!$B$12:$K$200,8,0)&gt;0),0.4,"")))),
IF(VLOOKUP($A303-COUNT('Шаг2.Бланк заказа NEW'!$B$19:$B$201)-COUNT('Бланк OLD 0.8 04'!$B$18:$B$200),'Бланк OLD 2.0 04 '!$B$16:$K$200,7,0)&gt;1,2,
IF(VLOOKUP($A303-COUNT('Шаг2.Бланк заказа NEW'!$B$19:$B$201)-COUNT('Бланк OLD 0.8 04'!$B$18:$B$200),'Бланк OLD 2.0 04 '!$B$16:$K$200,8,0)&gt;1,0.4,
IF(AND(VLOOKUP($A303-COUNT('Шаг2.Бланк заказа NEW'!$B$19:$B$201)-COUNT('Бланк OLD 0.8 04'!$B$18:$B$200),'Бланк OLD 2.0 04 '!$B$16:$K$200,7,0)&gt;0,VLOOKUP($A303-COUNT('Шаг2.Бланк заказа NEW'!$B$19:$B$201)-COUNT('Бланк OLD 0.8 04'!$B$18:$B$200),'Бланк OLD 2.0 04 '!$B$16:$K$200,8,0)&gt;0),0.4,""))))</f>
        <v/>
      </c>
      <c r="V303" s="146" t="str">
        <f ca="1">IFERROR(VLOOKUP(C303,'Шаг1.Выбор плиты'!C:S,12,0),"")</f>
        <v/>
      </c>
      <c r="W303" s="146" t="str">
        <f ca="1">IFERROR(VLOOKUP(C303,'Шаг1.Выбор плиты'!C:S,8,0),"")</f>
        <v/>
      </c>
      <c r="X303" s="146" t="str">
        <f ca="1">IFERROR(VLOOKUP(C303,'Шаг1.Выбор плиты'!C:S,10,0),"")</f>
        <v/>
      </c>
      <c r="Y303" s="147" t="str">
        <f t="shared" ca="1" si="23"/>
        <v/>
      </c>
      <c r="AD303" s="147" t="str">
        <f t="shared" ca="1" si="26"/>
        <v/>
      </c>
      <c r="AE303" s="147" t="str">
        <f t="shared" ca="1" si="24"/>
        <v/>
      </c>
      <c r="AF303" s="25"/>
      <c r="AH303" s="147" t="str">
        <f ca="1">IF(C303="","",VLOOKUP(C303,'Шаг1.Выбор плиты'!C:Q,7,0))</f>
        <v/>
      </c>
      <c r="AI303" s="147" t="str">
        <f t="shared" ca="1" si="27"/>
        <v/>
      </c>
    </row>
    <row r="304" spans="1:35" x14ac:dyDescent="0.2">
      <c r="A304" s="151" t="str">
        <f ca="1">IF(C304="","",MAX($A$1:OFFSET(C304,-1,0))+1)</f>
        <v/>
      </c>
      <c r="B304" s="151" t="str">
        <f ca="1">IFERROR(IFERROR(IFERROR("Шаг2.Бланк заказа NEW №"&amp;VLOOKUP(A303+1,CHOOSE({1,2},'Шаг2.Бланк заказа NEW'!$B$19:$B$201,'Шаг2.Бланк заказа NEW'!$A$19:$A$201),1,0),
"Бланк OLD 0.8 04 №"&amp;VLOOKUP(A303+1-COUNT('Шаг2.Бланк заказа NEW'!$B$19:$B$201),CHOOSE({1,2},'Бланк OLD 0.8 04'!$B$18:$B$200,'Бланк OLD 0.8 04'!$A$18:$A$200),1,0)),
"Бланк OLD 2.0 04 №"&amp;VLOOKUP(A303+1-COUNT('Шаг2.Бланк заказа NEW'!$B$19:$B$201)-COUNT('Бланк OLD 0.8 04'!$B$18:$B$200),CHOOSE({1,2},'Бланк OLD 2.0 04 '!$B$18:$B$200,'Бланк OLD 2.0 04 '!$A$18:$A$200),1,0)),"")</f>
        <v/>
      </c>
      <c r="C304" s="152" t="str">
        <f ca="1">IFERROR(IFERROR(IFERROR(VLOOKUP(A303+1,CHOOSE({1,2},'Шаг2.Бланк заказа NEW'!$B$19:$B$201,'Шаг2.Бланк заказа NEW'!$A$19:$A$201),2,0),
VLOOKUP(A303+1-COUNT('Шаг2.Бланк заказа NEW'!$B$19:$B$201),CHOOSE({1,2},'Бланк OLD 0.8 04'!$B$18:$B$200,'Бланк OLD 0.8 04'!$A$18:$A$200),2,0)),
VLOOKUP(A303+1-COUNT('Шаг2.Бланк заказа NEW'!$B$19:$B$201)-COUNT('Бланк OLD 0.8 04'!$B$18:$B$200),CHOOSE({1,2},'Бланк OLD 2.0 04 '!$B$18:$B$200,'Бланк OLD 2.0 04 '!$A$18:$A$200),2,0)),"")</f>
        <v/>
      </c>
      <c r="D304" s="150" t="str">
        <f ca="1">IFERROR(VLOOKUP(C304,'Шаг1.Выбор плиты'!C:G,5,0),"")</f>
        <v/>
      </c>
      <c r="E304" s="147" t="str">
        <f ca="1">IFERROR(IFERROR(IF(VLOOKUP($A304,'Шаг2.Бланк заказа NEW'!$B$17:$N$201,2,0)="","",VLOOKUP($A304,'Шаг2.Бланк заказа NEW'!$B$17:$N$201,2,0)),
IF(VLOOKUP($A304-COUNT('Шаг2.Бланк заказа NEW'!$B$19:$B$201),'Бланк OLD 0.8 04'!$B$12:$K$200,2,0)="","",VLOOKUP($A304-COUNT('Шаг2.Бланк заказа NEW'!$B$19:$B$201),'Бланк OLD 0.8 04'!$B$12:$K$200,2,0))),
IF(VLOOKUP($A304-COUNT('Шаг2.Бланк заказа NEW'!$B$19:$B$201)-COUNT('Бланк OLD 0.8 04'!$B$18:$B$200),'Бланк OLD 2.0 04 '!$B$16:$K$200,2,0)="","",VLOOKUP($A304-COUNT('Шаг2.Бланк заказа NEW'!$B$19:$B$201)-COUNT('Бланк OLD 0.8 04'!$B$18:$B$200),'Бланк OLD 2.0 04 '!$B$16:$K$200,2,0)))</f>
        <v/>
      </c>
      <c r="F304" s="147" t="str">
        <f ca="1">IFERROR(IFERROR(IF(VLOOKUP($A304,'Шаг2.Бланк заказа NEW'!$B$17:$N$201,3,0)="","",VLOOKUP($A304,'Шаг2.Бланк заказа NEW'!$B$17:$N$201,3,0)),
IF(VLOOKUP($A304-COUNT('Шаг2.Бланк заказа NEW'!$B$19:$B$201),'Бланк OLD 0.8 04'!$B$12:$K$200,3,0)="","",VLOOKUP($A304-COUNT('Шаг2.Бланк заказа NEW'!$B$19:$B$201),'Бланк OLD 0.8 04'!$B$12:$K$200,3,0))),
IF(VLOOKUP($A304-COUNT('Шаг2.Бланк заказа NEW'!$B$19:$B$201)-COUNT('Бланк OLD 0.8 04'!$B$18:$B$200),'Бланк OLD 2.0 04 '!$B$16:$K$200,3,0)="","",VLOOKUP($A304-COUNT('Шаг2.Бланк заказа NEW'!$B$19:$B$201)-COUNT('Бланк OLD 0.8 04'!$B$18:$B$200),'Бланк OLD 2.0 04 '!$B$16:$K$200,3,0)))</f>
        <v/>
      </c>
      <c r="G304" s="176" t="str">
        <f ca="1">IF(IF(R304="","",IF(R304=1,SUMIFS('Шаг1.Выбор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плиты'!C:Q,12,0)),1))))))=0,
R304,
IF(R304="","",IF(R304=1,SUMIFS('Шаг1.Выбор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плиты'!N:N,R304,'Шаг1.Выбор плиты'!M:M,SMALL(INDIRECT("мм"&amp;VLOOKUP(C304,'Шаг1.Выбор плиты'!C:Q,12,0)),1)))))))</f>
        <v/>
      </c>
      <c r="H304" s="177" t="str">
        <f ca="1">IF(IF(S304="","",IF(S304=1,SUMIFS('Шаг1.Выбор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плиты'!C:Q,12,0)),1))))))=0,
S304,
IF(S304="","",IF(S304=1,SUMIFS('Шаг1.Выбор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плиты'!N:N,S304,'Шаг1.Выбор плиты'!M:M,SMALL(INDIRECT("мм"&amp;VLOOKUP(C304,'Шаг1.Выбор плиты'!C:Q,12,0)),1)))))))</f>
        <v/>
      </c>
      <c r="I304" s="147" t="str">
        <f ca="1">IFERROR(IFERROR(IF(VLOOKUP($A304,'Шаг2.Бланк заказа NEW'!$B$17:$N$201,6,0)="","",VLOOKUP($A304,'Шаг2.Бланк заказа NEW'!$B$17:$N$201,6,0)),
IF(VLOOKUP($A304-COUNT('Шаг2.Бланк заказа NEW'!$B$19:$B$201),'Бланк OLD 0.8 04'!$B$12:$K$200,6,0)="","",VLOOKUP($A304-COUNT('Шаг2.Бланк заказа NEW'!$B$19:$B$201),'Бланк OLD 0.8 04'!$B$12:$K$200,6,0))),
IF(VLOOKUP($A304-COUNT('Шаг2.Бланк заказа NEW'!$B$19:$B$201)-COUNT('Бланк OLD 0.8 04'!$B$18:$B$200),'Бланк OLD 2.0 04 '!$B$16:$K$200,6,0)="","",VLOOKUP($A304-COUNT('Шаг2.Бланк заказа NEW'!$B$19:$B$201)-COUNT('Бланк OLD 0.8 04'!$B$18:$B$200),'Бланк OLD 2.0 04 '!$B$16:$K$200,6,0)))</f>
        <v/>
      </c>
      <c r="J304" s="177" t="str">
        <f ca="1">IF(IF(T304="","",IF(T304=1,SUMIFS('Шаг1.Выбор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плиты'!C:Q,12,0)),1))))))=0,
T304,
IF(T304="","",IF(T304=1,SUMIFS('Шаг1.Выбор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плиты'!N:N,T304,'Шаг1.Выбор плиты'!M:M,SMALL(INDIRECT("мм"&amp;VLOOKUP(C304,'Шаг1.Выбор плиты'!C:Q,12,0)),1)))))))</f>
        <v/>
      </c>
      <c r="K304" s="177" t="str">
        <f ca="1">IF(IF(U304="","",IF(U304=1,SUMIFS('Шаг1.Выбор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плиты'!C:Q,12,0)),1))))))=0,
U304,
IF(U304="","",IF(U304=1,SUMIFS('Шаг1.Выбор плиты'!$G:$G,'Шаг1.Выбор плиты'!J:J,"*"&amp;RIGHT(VLOOKUP(C304,'Шаг1.Выбор плиты'!C:Q,8,0),4),'Шаг1.Выбор плиты'!L:L,IF(MID(C304,1,6)="ЛДСП P","TM"&amp;MID(VLOOKUP(C304,'Шаг1.Выбор плиты'!C:Q,10,0),3,2),MID(VLOOKUP(C304,'Шаг1.Выбор плиты'!C:Q,10,0),1,2)),
'Шаг1.Выбор плиты'!N:N,1),IF(SUMIFS('Шаг1.Выбор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плиты'!C:Q,12,0)),1))=0,
IF(SUMIFS('Шаг1.Выбор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плиты'!C:Q,12,0)),2))=0,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плиты'!C:Q,12,0)),3)),
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плиты'!C:Q,12,0)),2))),
(SUMIFS('Шаг1.Выбор плиты'!$G:$G,'Шаг1.Выбор плиты'!J:J,"*"&amp;RIGHT(VLOOKUP(C304,'Шаг1.Выбор плиты'!C:Q,8,0),4),'Шаг1.Выбор плиты'!L:L,VLOOKUP(C304,'Шаг1.Выбор плиты'!C:Q,10,0),'Шаг1.Выбор плиты'!N:N,U304,'Шаг1.Выбор плиты'!M:M,SMALL(INDIRECT("мм"&amp;VLOOKUP(C304,'Шаг1.Выбор плиты'!C:Q,12,0)),1)))))))</f>
        <v/>
      </c>
      <c r="L304" s="147" t="str">
        <f ca="1">IFERROR(IFERROR(IF(VLOOKUP($A304,'Шаг2.Бланк заказа NEW'!$B$17:$N$201,9,0)="","",VLOOKUP($A304,'Шаг2.Бланк заказа NEW'!$B$17:$N$201,9,0)),
IF(VLOOKUP($A304-COUNT('Шаг2.Бланк заказа NEW'!$B$19:$B$201),'Бланк OLD 0.8 04'!$B$12:$K$200,9,0)="","",VLOOKUP($A304-COUNT('Шаг2.Бланк заказа NEW'!$B$19:$B$201),'Бланк OLD 0.8 04'!$B$12:$K$200,9,0))),
IF(VLOOKUP($A304-COUNT('Шаг2.Бланк заказа NEW'!$B$19:$B$201)-COUNT('Бланк OLD 0.8 04'!$B$18:$B$200),'Бланк OLD 2.0 04 '!$B$16:$K$200,9,0)="","",VLOOKUP($A304-COUNT('Шаг2.Бланк заказа NEW'!$B$19:$B$201)-COUNT('Бланк OLD 0.8 04'!$B$18:$B$200),'Бланк OLD 2.0 04 '!$B$16:$K$200,9,0)))</f>
        <v/>
      </c>
      <c r="M304" s="154" t="str">
        <f t="shared" ca="1" si="25"/>
        <v/>
      </c>
      <c r="N304" s="153" t="str">
        <f ca="1">IFERROR(IF(VLOOKUP($A304,'Шаг2.Бланк заказа NEW'!$B$17:$N$201,11,0)="","",VLOOKUP($A304,'Шаг2.Бланк заказа NEW'!$B$17:$N$201,11,0)),
"Нет")</f>
        <v/>
      </c>
      <c r="O304" s="147" t="str">
        <f ca="1">IFERROR(IF(VLOOKUP($A304,'Шаг2.Бланк заказа NEW'!$B$17:$N$201,11,0)="","",VLOOKUP($A304,'Шаг2.Бланк заказа NEW'!$B$17:$N$201,12,0)),
"Нет")</f>
        <v/>
      </c>
      <c r="P304" s="153" t="str">
        <f ca="1">IFERROR(IF(VLOOKUP($A304,'Шаг2.Бланк заказа NEW'!$B$17:$N$201,13,0)="","",VLOOKUP($A304,'Шаг2.Бланк заказа NEW'!$B$17:$N$201,13,0)),
"Нет")</f>
        <v/>
      </c>
      <c r="Q304" s="147" t="str">
        <f ca="1">IFERROR(IF(VLOOKUP($A304,'Шаг2.Бланк заказа NEW'!$B$17:$O$201,14,0)="","",VLOOKUP($A304,'Шаг2.Бланк заказа NEW'!$B$17:$O$201,14,0)),"")</f>
        <v/>
      </c>
      <c r="R304" s="147" t="str">
        <f ca="1">IFERROR(IFERROR(IF(VLOOKUP($A304,'Шаг2.Бланк заказа NEW'!$B$17:$N$201,4,0)="","",VLOOKUP($A304,'Шаг2.Бланк заказа NEW'!$B$17:$N$201,4,0)),
IF(VLOOKUP($A304-COUNT('Шаг2.Бланк заказа NEW'!$B$19:$B$201),'Бланк OLD 0.8 04'!$B$12:$K$200,4,0)&gt;0,0.8,
IF(VLOOKUP($A304-COUNT('Шаг2.Бланк заказа NEW'!$B$19:$B$201),'Бланк OLD 0.8 04'!$B$12:$K$200,5,0)&gt;0,0.4,""))),
IF(VLOOKUP($A304-COUNT('Шаг2.Бланк заказа NEW'!$B$19:$B$201)-COUNT('Бланк OLD 0.8 04'!$B$18:$B$200),'Бланк OLD 2.0 04 '!$B$16:$K$200,4,0)&gt;0,2,IF(VLOOKUP($A304-COUNT('Шаг2.Бланк заказа NEW'!$B$19:$B$201)-COUNT('Бланк OLD 0.8 04'!$B$18:$B$200),'Бланк OLD 2.0 04 '!$B$16:$K$200,5,0)&gt;0,0.4,"")))</f>
        <v/>
      </c>
      <c r="S304" s="147" t="str">
        <f ca="1">IFERROR(IFERROR(IF(VLOOKUP($A304,'Шаг2.Бланк заказа NEW'!$B$17:$N$201,5,0)="","",VLOOKUP($A304,'Шаг2.Бланк заказа NEW'!$B$17:$N$201,5,0)),
IF(VLOOKUP($A304-COUNT('Шаг2.Бланк заказа NEW'!$B$19:$B$201),'Бланк OLD 0.8 04'!$B$12:$K$200,4,0)&gt;1,0.8,
IF(VLOOKUP($A304-COUNT('Шаг2.Бланк заказа NEW'!$B$19:$B$201),'Бланк OLD 0.8 04'!$B$12:$K$200,5,0)&gt;1,0.4,
IF(AND(VLOOKUP($A304-COUNT('Шаг2.Бланк заказа NEW'!$B$19:$B$201),'Бланк OLD 0.8 04'!$B$12:$K$200,4,0)&gt;0,VLOOKUP($A304-COUNT('Шаг2.Бланк заказа NEW'!$B$19:$B$201),'Бланк OLD 0.8 04'!$B$12:$K$200,5,0)&gt;0),0.4,"")))),
IF(VLOOKUP($A304-COUNT('Шаг2.Бланк заказа NEW'!$B$19:$B$201)-COUNT('Бланк OLD 0.8 04'!$B$18:$B$200),'Бланк OLD 2.0 04 '!$B$16:$K$200,4,0)&gt;1,2,
IF(VLOOKUP($A304-COUNT('Шаг2.Бланк заказа NEW'!$B$19:$B$201)-COUNT('Бланк OLD 0.8 04'!$B$18:$B$200),'Бланк OLD 2.0 04 '!$B$16:$K$200,5,0)&gt;1,0.4,IF(AND(VLOOKUP($A304-COUNT('Шаг2.Бланк заказа NEW'!$B$19:$B$201)-COUNT('Бланк OLD 0.8 04'!$B$18:$B$200),'Бланк OLD 2.0 04 '!$B$16:$K$200,4,0)&gt;0,VLOOKUP($A304-COUNT('Шаг2.Бланк заказа NEW'!$B$19:$B$201)-COUNT('Бланк OLD 0.8 04'!$B$18:$B$200),'Бланк OLD 2.0 04 '!$B$16:$K$200,5,0)&gt;0),0.4,""))))</f>
        <v/>
      </c>
      <c r="T304" s="147" t="str">
        <f ca="1">IFERROR(IFERROR(IF(VLOOKUP($A304,'Шаг2.Бланк заказа NEW'!$B$17:$N$201,7,0)="","",VLOOKUP($A304,'Шаг2.Бланк заказа NEW'!$B$17:$N$201,7,0)),
IF(VLOOKUP($A304-COUNT('Шаг2.Бланк заказа NEW'!$B$19:$B$201),'Бланк OLD 0.8 04'!$B$12:$K$200,7,0)&gt;0,0.8,
IF(VLOOKUP($A304-COUNT('Шаг2.Бланк заказа NEW'!$B$19:$B$201),'Бланк OLD 0.8 04'!$B$12:$K$200,8,0)&gt;0,0.4,""))),
IF(VLOOKUP($A304-COUNT('Шаг2.Бланк заказа NEW'!$B$19:$B$201)-COUNT('Бланк OLD 0.8 04'!$B$18:$B$200),'Бланк OLD 2.0 04 '!$B$16:$K$200,7,0)&gt;0,2,IF(VLOOKUP($A304-COUNT('Шаг2.Бланк заказа NEW'!$B$19:$B$201)-COUNT('Бланк OLD 0.8 04'!$B$18:$B$200),'Бланк OLD 2.0 04 '!$B$16:$K$200,8,0)&gt;0,0.4,"")))</f>
        <v/>
      </c>
      <c r="U304" s="147" t="str">
        <f ca="1">IFERROR(IFERROR(IF(VLOOKUP($A304,'Шаг2.Бланк заказа NEW'!$B$17:$N$201,8,0)="","",VLOOKUP($A304,'Шаг2.Бланк заказа NEW'!$B$17:$N$201,8,0)),
IF(VLOOKUP($A304-COUNT('Шаг2.Бланк заказа NEW'!$B$19:$B$201),'Бланк OLD 0.8 04'!$B$12:$K$200,7,0)&gt;1,0.8,
IF(VLOOKUP($A304-COUNT('Шаг2.Бланк заказа NEW'!$B$19:$B$201),'Бланк OLD 0.8 04'!$B$12:$K$200,8,0)&gt;1,0.4,
IF(AND(VLOOKUP($A304-COUNT('Шаг2.Бланк заказа NEW'!$B$19:$B$201),'Бланк OLD 0.8 04'!$B$12:$K$200,7,0)&gt;0,VLOOKUP($A304-COUNT('Шаг2.Бланк заказа NEW'!$B$19:$B$201),'Бланк OLD 0.8 04'!$B$12:$K$200,8,0)&gt;0),0.4,"")))),
IF(VLOOKUP($A304-COUNT('Шаг2.Бланк заказа NEW'!$B$19:$B$201)-COUNT('Бланк OLD 0.8 04'!$B$18:$B$200),'Бланк OLD 2.0 04 '!$B$16:$K$200,7,0)&gt;1,2,
IF(VLOOKUP($A304-COUNT('Шаг2.Бланк заказа NEW'!$B$19:$B$201)-COUNT('Бланк OLD 0.8 04'!$B$18:$B$200),'Бланк OLD 2.0 04 '!$B$16:$K$200,8,0)&gt;1,0.4,
IF(AND(VLOOKUP($A304-COUNT('Шаг2.Бланк заказа NEW'!$B$19:$B$201)-COUNT('Бланк OLD 0.8 04'!$B$18:$B$200),'Бланк OLD 2.0 04 '!$B$16:$K$200,7,0)&gt;0,VLOOKUP($A304-COUNT('Шаг2.Бланк заказа NEW'!$B$19:$B$201)-COUNT('Бланк OLD 0.8 04'!$B$18:$B$200),'Бланк OLD 2.0 04 '!$B$16:$K$200,8,0)&gt;0),0.4,""))))</f>
        <v/>
      </c>
      <c r="V304" s="146" t="str">
        <f ca="1">IFERROR(VLOOKUP(C304,'Шаг1.Выбор плиты'!C:S,12,0),"")</f>
        <v/>
      </c>
      <c r="W304" s="146" t="str">
        <f ca="1">IFERROR(VLOOKUP(C304,'Шаг1.Выбор плиты'!C:S,8,0),"")</f>
        <v/>
      </c>
      <c r="X304" s="146" t="str">
        <f ca="1">IFERROR(VLOOKUP(C304,'Шаг1.Выбор плиты'!C:S,10,0),"")</f>
        <v/>
      </c>
      <c r="Y304" s="147" t="str">
        <f t="shared" ca="1" si="23"/>
        <v/>
      </c>
      <c r="AD304" s="147" t="str">
        <f t="shared" ca="1" si="26"/>
        <v/>
      </c>
      <c r="AE304" s="147" t="str">
        <f t="shared" ca="1" si="24"/>
        <v/>
      </c>
      <c r="AF304" s="25"/>
      <c r="AH304" s="147" t="str">
        <f ca="1">IF(C304="","",VLOOKUP(C304,'Шаг1.Выбор плиты'!C:Q,7,0))</f>
        <v/>
      </c>
      <c r="AI304" s="147" t="str">
        <f t="shared" ca="1" si="27"/>
        <v/>
      </c>
    </row>
    <row r="305" spans="1:35" x14ac:dyDescent="0.2">
      <c r="A305" s="151" t="str">
        <f ca="1">IF(C305="","",MAX($A$1:OFFSET(C305,-1,0))+1)</f>
        <v/>
      </c>
      <c r="B305" s="151" t="str">
        <f ca="1">IFERROR(IFERROR(IFERROR("Шаг2.Бланк заказа NEW №"&amp;VLOOKUP(A304+1,CHOOSE({1,2},'Шаг2.Бланк заказа NEW'!$B$19:$B$201,'Шаг2.Бланк заказа NEW'!$A$19:$A$201),1,0),
"Бланк OLD 0.8 04 №"&amp;VLOOKUP(A304+1-COUNT('Шаг2.Бланк заказа NEW'!$B$19:$B$201),CHOOSE({1,2},'Бланк OLD 0.8 04'!$B$18:$B$200,'Бланк OLD 0.8 04'!$A$18:$A$200),1,0)),
"Бланк OLD 2.0 04 №"&amp;VLOOKUP(A304+1-COUNT('Шаг2.Бланк заказа NEW'!$B$19:$B$201)-COUNT('Бланк OLD 0.8 04'!$B$18:$B$200),CHOOSE({1,2},'Бланк OLD 2.0 04 '!$B$18:$B$200,'Бланк OLD 2.0 04 '!$A$18:$A$200),1,0)),"")</f>
        <v/>
      </c>
      <c r="C305" s="152" t="str">
        <f ca="1">IFERROR(IFERROR(IFERROR(VLOOKUP(A304+1,CHOOSE({1,2},'Шаг2.Бланк заказа NEW'!$B$19:$B$201,'Шаг2.Бланк заказа NEW'!$A$19:$A$201),2,0),
VLOOKUP(A304+1-COUNT('Шаг2.Бланк заказа NEW'!$B$19:$B$201),CHOOSE({1,2},'Бланк OLD 0.8 04'!$B$18:$B$200,'Бланк OLD 0.8 04'!$A$18:$A$200),2,0)),
VLOOKUP(A304+1-COUNT('Шаг2.Бланк заказа NEW'!$B$19:$B$201)-COUNT('Бланк OLD 0.8 04'!$B$18:$B$200),CHOOSE({1,2},'Бланк OLD 2.0 04 '!$B$18:$B$200,'Бланк OLD 2.0 04 '!$A$18:$A$200),2,0)),"")</f>
        <v/>
      </c>
      <c r="D305" s="150" t="str">
        <f ca="1">IFERROR(VLOOKUP(C305,'Шаг1.Выбор плиты'!C:G,5,0),"")</f>
        <v/>
      </c>
      <c r="E305" s="147" t="str">
        <f ca="1">IFERROR(IFERROR(IF(VLOOKUP($A305,'Шаг2.Бланк заказа NEW'!$B$17:$N$201,2,0)="","",VLOOKUP($A305,'Шаг2.Бланк заказа NEW'!$B$17:$N$201,2,0)),
IF(VLOOKUP($A305-COUNT('Шаг2.Бланк заказа NEW'!$B$19:$B$201),'Бланк OLD 0.8 04'!$B$12:$K$200,2,0)="","",VLOOKUP($A305-COUNT('Шаг2.Бланк заказа NEW'!$B$19:$B$201),'Бланк OLD 0.8 04'!$B$12:$K$200,2,0))),
IF(VLOOKUP($A305-COUNT('Шаг2.Бланк заказа NEW'!$B$19:$B$201)-COUNT('Бланк OLD 0.8 04'!$B$18:$B$200),'Бланк OLD 2.0 04 '!$B$16:$K$200,2,0)="","",VLOOKUP($A305-COUNT('Шаг2.Бланк заказа NEW'!$B$19:$B$201)-COUNT('Бланк OLD 0.8 04'!$B$18:$B$200),'Бланк OLD 2.0 04 '!$B$16:$K$200,2,0)))</f>
        <v/>
      </c>
      <c r="F305" s="147" t="str">
        <f ca="1">IFERROR(IFERROR(IF(VLOOKUP($A305,'Шаг2.Бланк заказа NEW'!$B$17:$N$201,3,0)="","",VLOOKUP($A305,'Шаг2.Бланк заказа NEW'!$B$17:$N$201,3,0)),
IF(VLOOKUP($A305-COUNT('Шаг2.Бланк заказа NEW'!$B$19:$B$201),'Бланк OLD 0.8 04'!$B$12:$K$200,3,0)="","",VLOOKUP($A305-COUNT('Шаг2.Бланк заказа NEW'!$B$19:$B$201),'Бланк OLD 0.8 04'!$B$12:$K$200,3,0))),
IF(VLOOKUP($A305-COUNT('Шаг2.Бланк заказа NEW'!$B$19:$B$201)-COUNT('Бланк OLD 0.8 04'!$B$18:$B$200),'Бланк OLD 2.0 04 '!$B$16:$K$200,3,0)="","",VLOOKUP($A305-COUNT('Шаг2.Бланк заказа NEW'!$B$19:$B$201)-COUNT('Бланк OLD 0.8 04'!$B$18:$B$200),'Бланк OLD 2.0 04 '!$B$16:$K$200,3,0)))</f>
        <v/>
      </c>
      <c r="G305" s="176" t="str">
        <f ca="1">IF(IF(R305="","",IF(R305=1,SUMIFS('Шаг1.Выбор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плиты'!C:Q,12,0)),1))))))=0,
R305,
IF(R305="","",IF(R305=1,SUMIFS('Шаг1.Выбор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плиты'!N:N,R305,'Шаг1.Выбор плиты'!M:M,SMALL(INDIRECT("мм"&amp;VLOOKUP(C305,'Шаг1.Выбор плиты'!C:Q,12,0)),1)))))))</f>
        <v/>
      </c>
      <c r="H305" s="177" t="str">
        <f ca="1">IF(IF(S305="","",IF(S305=1,SUMIFS('Шаг1.Выбор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плиты'!C:Q,12,0)),1))))))=0,
S305,
IF(S305="","",IF(S305=1,SUMIFS('Шаг1.Выбор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плиты'!N:N,S305,'Шаг1.Выбор плиты'!M:M,SMALL(INDIRECT("мм"&amp;VLOOKUP(C305,'Шаг1.Выбор плиты'!C:Q,12,0)),1)))))))</f>
        <v/>
      </c>
      <c r="I305" s="147" t="str">
        <f ca="1">IFERROR(IFERROR(IF(VLOOKUP($A305,'Шаг2.Бланк заказа NEW'!$B$17:$N$201,6,0)="","",VLOOKUP($A305,'Шаг2.Бланк заказа NEW'!$B$17:$N$201,6,0)),
IF(VLOOKUP($A305-COUNT('Шаг2.Бланк заказа NEW'!$B$19:$B$201),'Бланк OLD 0.8 04'!$B$12:$K$200,6,0)="","",VLOOKUP($A305-COUNT('Шаг2.Бланк заказа NEW'!$B$19:$B$201),'Бланк OLD 0.8 04'!$B$12:$K$200,6,0))),
IF(VLOOKUP($A305-COUNT('Шаг2.Бланк заказа NEW'!$B$19:$B$201)-COUNT('Бланк OLD 0.8 04'!$B$18:$B$200),'Бланк OLD 2.0 04 '!$B$16:$K$200,6,0)="","",VLOOKUP($A305-COUNT('Шаг2.Бланк заказа NEW'!$B$19:$B$201)-COUNT('Бланк OLD 0.8 04'!$B$18:$B$200),'Бланк OLD 2.0 04 '!$B$16:$K$200,6,0)))</f>
        <v/>
      </c>
      <c r="J305" s="177" t="str">
        <f ca="1">IF(IF(T305="","",IF(T305=1,SUMIFS('Шаг1.Выбор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плиты'!C:Q,12,0)),1))))))=0,
T305,
IF(T305="","",IF(T305=1,SUMIFS('Шаг1.Выбор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плиты'!N:N,T305,'Шаг1.Выбор плиты'!M:M,SMALL(INDIRECT("мм"&amp;VLOOKUP(C305,'Шаг1.Выбор плиты'!C:Q,12,0)),1)))))))</f>
        <v/>
      </c>
      <c r="K305" s="177" t="str">
        <f ca="1">IF(IF(U305="","",IF(U305=1,SUMIFS('Шаг1.Выбор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плиты'!C:Q,12,0)),1))))))=0,
U305,
IF(U305="","",IF(U305=1,SUMIFS('Шаг1.Выбор плиты'!$G:$G,'Шаг1.Выбор плиты'!J:J,"*"&amp;RIGHT(VLOOKUP(C305,'Шаг1.Выбор плиты'!C:Q,8,0),4),'Шаг1.Выбор плиты'!L:L,IF(MID(C305,1,6)="ЛДСП P","TM"&amp;MID(VLOOKUP(C305,'Шаг1.Выбор плиты'!C:Q,10,0),3,2),MID(VLOOKUP(C305,'Шаг1.Выбор плиты'!C:Q,10,0),1,2)),
'Шаг1.Выбор плиты'!N:N,1),IF(SUMIFS('Шаг1.Выбор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плиты'!C:Q,12,0)),1))=0,
IF(SUMIFS('Шаг1.Выбор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плиты'!C:Q,12,0)),2))=0,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плиты'!C:Q,12,0)),3)),
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плиты'!C:Q,12,0)),2))),
(SUMIFS('Шаг1.Выбор плиты'!$G:$G,'Шаг1.Выбор плиты'!J:J,"*"&amp;RIGHT(VLOOKUP(C305,'Шаг1.Выбор плиты'!C:Q,8,0),4),'Шаг1.Выбор плиты'!L:L,VLOOKUP(C305,'Шаг1.Выбор плиты'!C:Q,10,0),'Шаг1.Выбор плиты'!N:N,U305,'Шаг1.Выбор плиты'!M:M,SMALL(INDIRECT("мм"&amp;VLOOKUP(C305,'Шаг1.Выбор плиты'!C:Q,12,0)),1)))))))</f>
        <v/>
      </c>
      <c r="L305" s="147" t="str">
        <f ca="1">IFERROR(IFERROR(IF(VLOOKUP($A305,'Шаг2.Бланк заказа NEW'!$B$17:$N$201,9,0)="","",VLOOKUP($A305,'Шаг2.Бланк заказа NEW'!$B$17:$N$201,9,0)),
IF(VLOOKUP($A305-COUNT('Шаг2.Бланк заказа NEW'!$B$19:$B$201),'Бланк OLD 0.8 04'!$B$12:$K$200,9,0)="","",VLOOKUP($A305-COUNT('Шаг2.Бланк заказа NEW'!$B$19:$B$201),'Бланк OLD 0.8 04'!$B$12:$K$200,9,0))),
IF(VLOOKUP($A305-COUNT('Шаг2.Бланк заказа NEW'!$B$19:$B$201)-COUNT('Бланк OLD 0.8 04'!$B$18:$B$200),'Бланк OLD 2.0 04 '!$B$16:$K$200,9,0)="","",VLOOKUP($A305-COUNT('Шаг2.Бланк заказа NEW'!$B$19:$B$201)-COUNT('Бланк OLD 0.8 04'!$B$18:$B$200),'Бланк OLD 2.0 04 '!$B$16:$K$200,9,0)))</f>
        <v/>
      </c>
      <c r="M305" s="154" t="str">
        <f t="shared" ca="1" si="25"/>
        <v/>
      </c>
      <c r="N305" s="153" t="str">
        <f ca="1">IFERROR(IF(VLOOKUP($A305,'Шаг2.Бланк заказа NEW'!$B$17:$N$201,11,0)="","",VLOOKUP($A305,'Шаг2.Бланк заказа NEW'!$B$17:$N$201,11,0)),
"Нет")</f>
        <v/>
      </c>
      <c r="O305" s="147" t="str">
        <f ca="1">IFERROR(IF(VLOOKUP($A305,'Шаг2.Бланк заказа NEW'!$B$17:$N$201,11,0)="","",VLOOKUP($A305,'Шаг2.Бланк заказа NEW'!$B$17:$N$201,12,0)),
"Нет")</f>
        <v/>
      </c>
      <c r="P305" s="153" t="str">
        <f ca="1">IFERROR(IF(VLOOKUP($A305,'Шаг2.Бланк заказа NEW'!$B$17:$N$201,13,0)="","",VLOOKUP($A305,'Шаг2.Бланк заказа NEW'!$B$17:$N$201,13,0)),
"Нет")</f>
        <v/>
      </c>
      <c r="Q305" s="147" t="str">
        <f ca="1">IFERROR(IF(VLOOKUP($A305,'Шаг2.Бланк заказа NEW'!$B$17:$O$201,14,0)="","",VLOOKUP($A305,'Шаг2.Бланк заказа NEW'!$B$17:$O$201,14,0)),"")</f>
        <v/>
      </c>
      <c r="R305" s="147" t="str">
        <f ca="1">IFERROR(IFERROR(IF(VLOOKUP($A305,'Шаг2.Бланк заказа NEW'!$B$17:$N$201,4,0)="","",VLOOKUP($A305,'Шаг2.Бланк заказа NEW'!$B$17:$N$201,4,0)),
IF(VLOOKUP($A305-COUNT('Шаг2.Бланк заказа NEW'!$B$19:$B$201),'Бланк OLD 0.8 04'!$B$12:$K$200,4,0)&gt;0,0.8,
IF(VLOOKUP($A305-COUNT('Шаг2.Бланк заказа NEW'!$B$19:$B$201),'Бланк OLD 0.8 04'!$B$12:$K$200,5,0)&gt;0,0.4,""))),
IF(VLOOKUP($A305-COUNT('Шаг2.Бланк заказа NEW'!$B$19:$B$201)-COUNT('Бланк OLD 0.8 04'!$B$18:$B$200),'Бланк OLD 2.0 04 '!$B$16:$K$200,4,0)&gt;0,2,IF(VLOOKUP($A305-COUNT('Шаг2.Бланк заказа NEW'!$B$19:$B$201)-COUNT('Бланк OLD 0.8 04'!$B$18:$B$200),'Бланк OLD 2.0 04 '!$B$16:$K$200,5,0)&gt;0,0.4,"")))</f>
        <v/>
      </c>
      <c r="S305" s="147" t="str">
        <f ca="1">IFERROR(IFERROR(IF(VLOOKUP($A305,'Шаг2.Бланк заказа NEW'!$B$17:$N$201,5,0)="","",VLOOKUP($A305,'Шаг2.Бланк заказа NEW'!$B$17:$N$201,5,0)),
IF(VLOOKUP($A305-COUNT('Шаг2.Бланк заказа NEW'!$B$19:$B$201),'Бланк OLD 0.8 04'!$B$12:$K$200,4,0)&gt;1,0.8,
IF(VLOOKUP($A305-COUNT('Шаг2.Бланк заказа NEW'!$B$19:$B$201),'Бланк OLD 0.8 04'!$B$12:$K$200,5,0)&gt;1,0.4,
IF(AND(VLOOKUP($A305-COUNT('Шаг2.Бланк заказа NEW'!$B$19:$B$201),'Бланк OLD 0.8 04'!$B$12:$K$200,4,0)&gt;0,VLOOKUP($A305-COUNT('Шаг2.Бланк заказа NEW'!$B$19:$B$201),'Бланк OLD 0.8 04'!$B$12:$K$200,5,0)&gt;0),0.4,"")))),
IF(VLOOKUP($A305-COUNT('Шаг2.Бланк заказа NEW'!$B$19:$B$201)-COUNT('Бланк OLD 0.8 04'!$B$18:$B$200),'Бланк OLD 2.0 04 '!$B$16:$K$200,4,0)&gt;1,2,
IF(VLOOKUP($A305-COUNT('Шаг2.Бланк заказа NEW'!$B$19:$B$201)-COUNT('Бланк OLD 0.8 04'!$B$18:$B$200),'Бланк OLD 2.0 04 '!$B$16:$K$200,5,0)&gt;1,0.4,IF(AND(VLOOKUP($A305-COUNT('Шаг2.Бланк заказа NEW'!$B$19:$B$201)-COUNT('Бланк OLD 0.8 04'!$B$18:$B$200),'Бланк OLD 2.0 04 '!$B$16:$K$200,4,0)&gt;0,VLOOKUP($A305-COUNT('Шаг2.Бланк заказа NEW'!$B$19:$B$201)-COUNT('Бланк OLD 0.8 04'!$B$18:$B$200),'Бланк OLD 2.0 04 '!$B$16:$K$200,5,0)&gt;0),0.4,""))))</f>
        <v/>
      </c>
      <c r="T305" s="147" t="str">
        <f ca="1">IFERROR(IFERROR(IF(VLOOKUP($A305,'Шаг2.Бланк заказа NEW'!$B$17:$N$201,7,0)="","",VLOOKUP($A305,'Шаг2.Бланк заказа NEW'!$B$17:$N$201,7,0)),
IF(VLOOKUP($A305-COUNT('Шаг2.Бланк заказа NEW'!$B$19:$B$201),'Бланк OLD 0.8 04'!$B$12:$K$200,7,0)&gt;0,0.8,
IF(VLOOKUP($A305-COUNT('Шаг2.Бланк заказа NEW'!$B$19:$B$201),'Бланк OLD 0.8 04'!$B$12:$K$200,8,0)&gt;0,0.4,""))),
IF(VLOOKUP($A305-COUNT('Шаг2.Бланк заказа NEW'!$B$19:$B$201)-COUNT('Бланк OLD 0.8 04'!$B$18:$B$200),'Бланк OLD 2.0 04 '!$B$16:$K$200,7,0)&gt;0,2,IF(VLOOKUP($A305-COUNT('Шаг2.Бланк заказа NEW'!$B$19:$B$201)-COUNT('Бланк OLD 0.8 04'!$B$18:$B$200),'Бланк OLD 2.0 04 '!$B$16:$K$200,8,0)&gt;0,0.4,"")))</f>
        <v/>
      </c>
      <c r="U305" s="147" t="str">
        <f ca="1">IFERROR(IFERROR(IF(VLOOKUP($A305,'Шаг2.Бланк заказа NEW'!$B$17:$N$201,8,0)="","",VLOOKUP($A305,'Шаг2.Бланк заказа NEW'!$B$17:$N$201,8,0)),
IF(VLOOKUP($A305-COUNT('Шаг2.Бланк заказа NEW'!$B$19:$B$201),'Бланк OLD 0.8 04'!$B$12:$K$200,7,0)&gt;1,0.8,
IF(VLOOKUP($A305-COUNT('Шаг2.Бланк заказа NEW'!$B$19:$B$201),'Бланк OLD 0.8 04'!$B$12:$K$200,8,0)&gt;1,0.4,
IF(AND(VLOOKUP($A305-COUNT('Шаг2.Бланк заказа NEW'!$B$19:$B$201),'Бланк OLD 0.8 04'!$B$12:$K$200,7,0)&gt;0,VLOOKUP($A305-COUNT('Шаг2.Бланк заказа NEW'!$B$19:$B$201),'Бланк OLD 0.8 04'!$B$12:$K$200,8,0)&gt;0),0.4,"")))),
IF(VLOOKUP($A305-COUNT('Шаг2.Бланк заказа NEW'!$B$19:$B$201)-COUNT('Бланк OLD 0.8 04'!$B$18:$B$200),'Бланк OLD 2.0 04 '!$B$16:$K$200,7,0)&gt;1,2,
IF(VLOOKUP($A305-COUNT('Шаг2.Бланк заказа NEW'!$B$19:$B$201)-COUNT('Бланк OLD 0.8 04'!$B$18:$B$200),'Бланк OLD 2.0 04 '!$B$16:$K$200,8,0)&gt;1,0.4,
IF(AND(VLOOKUP($A305-COUNT('Шаг2.Бланк заказа NEW'!$B$19:$B$201)-COUNT('Бланк OLD 0.8 04'!$B$18:$B$200),'Бланк OLD 2.0 04 '!$B$16:$K$200,7,0)&gt;0,VLOOKUP($A305-COUNT('Шаг2.Бланк заказа NEW'!$B$19:$B$201)-COUNT('Бланк OLD 0.8 04'!$B$18:$B$200),'Бланк OLD 2.0 04 '!$B$16:$K$200,8,0)&gt;0),0.4,""))))</f>
        <v/>
      </c>
      <c r="V305" s="146" t="str">
        <f ca="1">IFERROR(VLOOKUP(C305,'Шаг1.Выбор плиты'!C:S,12,0),"")</f>
        <v/>
      </c>
      <c r="W305" s="146" t="str">
        <f ca="1">IFERROR(VLOOKUP(C305,'Шаг1.Выбор плиты'!C:S,8,0),"")</f>
        <v/>
      </c>
      <c r="X305" s="146" t="str">
        <f ca="1">IFERROR(VLOOKUP(C305,'Шаг1.Выбор плиты'!C:S,10,0),"")</f>
        <v/>
      </c>
      <c r="Y305" s="147" t="str">
        <f t="shared" ca="1" si="23"/>
        <v/>
      </c>
      <c r="AD305" s="147" t="str">
        <f t="shared" ca="1" si="26"/>
        <v/>
      </c>
      <c r="AE305" s="147" t="str">
        <f t="shared" ca="1" si="24"/>
        <v/>
      </c>
      <c r="AF305" s="25"/>
      <c r="AH305" s="147" t="str">
        <f ca="1">IF(C305="","",VLOOKUP(C305,'Шаг1.Выбор плиты'!C:Q,7,0))</f>
        <v/>
      </c>
      <c r="AI305" s="147" t="str">
        <f t="shared" ca="1" si="27"/>
        <v/>
      </c>
    </row>
    <row r="306" spans="1:35" x14ac:dyDescent="0.2">
      <c r="A306" s="151" t="str">
        <f ca="1">IF(C306="","",MAX($A$1:OFFSET(C306,-1,0))+1)</f>
        <v/>
      </c>
      <c r="B306" s="151" t="str">
        <f ca="1">IFERROR(IFERROR(IFERROR("Шаг2.Бланк заказа NEW №"&amp;VLOOKUP(A305+1,CHOOSE({1,2},'Шаг2.Бланк заказа NEW'!$B$19:$B$201,'Шаг2.Бланк заказа NEW'!$A$19:$A$201),1,0),
"Бланк OLD 0.8 04 №"&amp;VLOOKUP(A305+1-COUNT('Шаг2.Бланк заказа NEW'!$B$19:$B$201),CHOOSE({1,2},'Бланк OLD 0.8 04'!$B$18:$B$200,'Бланк OLD 0.8 04'!$A$18:$A$200),1,0)),
"Бланк OLD 2.0 04 №"&amp;VLOOKUP(A305+1-COUNT('Шаг2.Бланк заказа NEW'!$B$19:$B$201)-COUNT('Бланк OLD 0.8 04'!$B$18:$B$200),CHOOSE({1,2},'Бланк OLD 2.0 04 '!$B$18:$B$200,'Бланк OLD 2.0 04 '!$A$18:$A$200),1,0)),"")</f>
        <v/>
      </c>
      <c r="C306" s="152" t="str">
        <f ca="1">IFERROR(IFERROR(IFERROR(VLOOKUP(A305+1,CHOOSE({1,2},'Шаг2.Бланк заказа NEW'!$B$19:$B$201,'Шаг2.Бланк заказа NEW'!$A$19:$A$201),2,0),
VLOOKUP(A305+1-COUNT('Шаг2.Бланк заказа NEW'!$B$19:$B$201),CHOOSE({1,2},'Бланк OLD 0.8 04'!$B$18:$B$200,'Бланк OLD 0.8 04'!$A$18:$A$200),2,0)),
VLOOKUP(A305+1-COUNT('Шаг2.Бланк заказа NEW'!$B$19:$B$201)-COUNT('Бланк OLD 0.8 04'!$B$18:$B$200),CHOOSE({1,2},'Бланк OLD 2.0 04 '!$B$18:$B$200,'Бланк OLD 2.0 04 '!$A$18:$A$200),2,0)),"")</f>
        <v/>
      </c>
      <c r="D306" s="150" t="str">
        <f ca="1">IFERROR(VLOOKUP(C306,'Шаг1.Выбор плиты'!C:G,5,0),"")</f>
        <v/>
      </c>
      <c r="E306" s="147" t="str">
        <f ca="1">IFERROR(IFERROR(IF(VLOOKUP($A306,'Шаг2.Бланк заказа NEW'!$B$17:$N$201,2,0)="","",VLOOKUP($A306,'Шаг2.Бланк заказа NEW'!$B$17:$N$201,2,0)),
IF(VLOOKUP($A306-COUNT('Шаг2.Бланк заказа NEW'!$B$19:$B$201),'Бланк OLD 0.8 04'!$B$12:$K$200,2,0)="","",VLOOKUP($A306-COUNT('Шаг2.Бланк заказа NEW'!$B$19:$B$201),'Бланк OLD 0.8 04'!$B$12:$K$200,2,0))),
IF(VLOOKUP($A306-COUNT('Шаг2.Бланк заказа NEW'!$B$19:$B$201)-COUNT('Бланк OLD 0.8 04'!$B$18:$B$200),'Бланк OLD 2.0 04 '!$B$16:$K$200,2,0)="","",VLOOKUP($A306-COUNT('Шаг2.Бланк заказа NEW'!$B$19:$B$201)-COUNT('Бланк OLD 0.8 04'!$B$18:$B$200),'Бланк OLD 2.0 04 '!$B$16:$K$200,2,0)))</f>
        <v/>
      </c>
      <c r="F306" s="147" t="str">
        <f ca="1">IFERROR(IFERROR(IF(VLOOKUP($A306,'Шаг2.Бланк заказа NEW'!$B$17:$N$201,3,0)="","",VLOOKUP($A306,'Шаг2.Бланк заказа NEW'!$B$17:$N$201,3,0)),
IF(VLOOKUP($A306-COUNT('Шаг2.Бланк заказа NEW'!$B$19:$B$201),'Бланк OLD 0.8 04'!$B$12:$K$200,3,0)="","",VLOOKUP($A306-COUNT('Шаг2.Бланк заказа NEW'!$B$19:$B$201),'Бланк OLD 0.8 04'!$B$12:$K$200,3,0))),
IF(VLOOKUP($A306-COUNT('Шаг2.Бланк заказа NEW'!$B$19:$B$201)-COUNT('Бланк OLD 0.8 04'!$B$18:$B$200),'Бланк OLD 2.0 04 '!$B$16:$K$200,3,0)="","",VLOOKUP($A306-COUNT('Шаг2.Бланк заказа NEW'!$B$19:$B$201)-COUNT('Бланк OLD 0.8 04'!$B$18:$B$200),'Бланк OLD 2.0 04 '!$B$16:$K$200,3,0)))</f>
        <v/>
      </c>
      <c r="G306" s="176" t="str">
        <f ca="1">IF(IF(R306="","",IF(R306=1,SUMIFS('Шаг1.Выбор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плиты'!C:Q,12,0)),1))))))=0,
R306,
IF(R306="","",IF(R306=1,SUMIFS('Шаг1.Выбор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плиты'!N:N,R306,'Шаг1.Выбор плиты'!M:M,SMALL(INDIRECT("мм"&amp;VLOOKUP(C306,'Шаг1.Выбор плиты'!C:Q,12,0)),1)))))))</f>
        <v/>
      </c>
      <c r="H306" s="177" t="str">
        <f ca="1">IF(IF(S306="","",IF(S306=1,SUMIFS('Шаг1.Выбор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плиты'!C:Q,12,0)),1))))))=0,
S306,
IF(S306="","",IF(S306=1,SUMIFS('Шаг1.Выбор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плиты'!N:N,S306,'Шаг1.Выбор плиты'!M:M,SMALL(INDIRECT("мм"&amp;VLOOKUP(C306,'Шаг1.Выбор плиты'!C:Q,12,0)),1)))))))</f>
        <v/>
      </c>
      <c r="I306" s="147" t="str">
        <f ca="1">IFERROR(IFERROR(IF(VLOOKUP($A306,'Шаг2.Бланк заказа NEW'!$B$17:$N$201,6,0)="","",VLOOKUP($A306,'Шаг2.Бланк заказа NEW'!$B$17:$N$201,6,0)),
IF(VLOOKUP($A306-COUNT('Шаг2.Бланк заказа NEW'!$B$19:$B$201),'Бланк OLD 0.8 04'!$B$12:$K$200,6,0)="","",VLOOKUP($A306-COUNT('Шаг2.Бланк заказа NEW'!$B$19:$B$201),'Бланк OLD 0.8 04'!$B$12:$K$200,6,0))),
IF(VLOOKUP($A306-COUNT('Шаг2.Бланк заказа NEW'!$B$19:$B$201)-COUNT('Бланк OLD 0.8 04'!$B$18:$B$200),'Бланк OLD 2.0 04 '!$B$16:$K$200,6,0)="","",VLOOKUP($A306-COUNT('Шаг2.Бланк заказа NEW'!$B$19:$B$201)-COUNT('Бланк OLD 0.8 04'!$B$18:$B$200),'Бланк OLD 2.0 04 '!$B$16:$K$200,6,0)))</f>
        <v/>
      </c>
      <c r="J306" s="177" t="str">
        <f ca="1">IF(IF(T306="","",IF(T306=1,SUMIFS('Шаг1.Выбор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плиты'!C:Q,12,0)),1))))))=0,
T306,
IF(T306="","",IF(T306=1,SUMIFS('Шаг1.Выбор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плиты'!N:N,T306,'Шаг1.Выбор плиты'!M:M,SMALL(INDIRECT("мм"&amp;VLOOKUP(C306,'Шаг1.Выбор плиты'!C:Q,12,0)),1)))))))</f>
        <v/>
      </c>
      <c r="K306" s="177" t="str">
        <f ca="1">IF(IF(U306="","",IF(U306=1,SUMIFS('Шаг1.Выбор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плиты'!C:Q,12,0)),1))))))=0,
U306,
IF(U306="","",IF(U306=1,SUMIFS('Шаг1.Выбор плиты'!$G:$G,'Шаг1.Выбор плиты'!J:J,"*"&amp;RIGHT(VLOOKUP(C306,'Шаг1.Выбор плиты'!C:Q,8,0),4),'Шаг1.Выбор плиты'!L:L,IF(MID(C306,1,6)="ЛДСП P","TM"&amp;MID(VLOOKUP(C306,'Шаг1.Выбор плиты'!C:Q,10,0),3,2),MID(VLOOKUP(C306,'Шаг1.Выбор плиты'!C:Q,10,0),1,2)),
'Шаг1.Выбор плиты'!N:N,1),IF(SUMIFS('Шаг1.Выбор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плиты'!C:Q,12,0)),1))=0,
IF(SUMIFS('Шаг1.Выбор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плиты'!C:Q,12,0)),2))=0,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плиты'!C:Q,12,0)),3)),
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плиты'!C:Q,12,0)),2))),
(SUMIFS('Шаг1.Выбор плиты'!$G:$G,'Шаг1.Выбор плиты'!J:J,"*"&amp;RIGHT(VLOOKUP(C306,'Шаг1.Выбор плиты'!C:Q,8,0),4),'Шаг1.Выбор плиты'!L:L,VLOOKUP(C306,'Шаг1.Выбор плиты'!C:Q,10,0),'Шаг1.Выбор плиты'!N:N,U306,'Шаг1.Выбор плиты'!M:M,SMALL(INDIRECT("мм"&amp;VLOOKUP(C306,'Шаг1.Выбор плиты'!C:Q,12,0)),1)))))))</f>
        <v/>
      </c>
      <c r="L306" s="147" t="str">
        <f ca="1">IFERROR(IFERROR(IF(VLOOKUP($A306,'Шаг2.Бланк заказа NEW'!$B$17:$N$201,9,0)="","",VLOOKUP($A306,'Шаг2.Бланк заказа NEW'!$B$17:$N$201,9,0)),
IF(VLOOKUP($A306-COUNT('Шаг2.Бланк заказа NEW'!$B$19:$B$201),'Бланк OLD 0.8 04'!$B$12:$K$200,9,0)="","",VLOOKUP($A306-COUNT('Шаг2.Бланк заказа NEW'!$B$19:$B$201),'Бланк OLD 0.8 04'!$B$12:$K$200,9,0))),
IF(VLOOKUP($A306-COUNT('Шаг2.Бланк заказа NEW'!$B$19:$B$201)-COUNT('Бланк OLD 0.8 04'!$B$18:$B$200),'Бланк OLD 2.0 04 '!$B$16:$K$200,9,0)="","",VLOOKUP($A306-COUNT('Шаг2.Бланк заказа NEW'!$B$19:$B$201)-COUNT('Бланк OLD 0.8 04'!$B$18:$B$200),'Бланк OLD 2.0 04 '!$B$16:$K$200,9,0)))</f>
        <v/>
      </c>
      <c r="M306" s="154" t="str">
        <f t="shared" ca="1" si="25"/>
        <v/>
      </c>
      <c r="N306" s="153" t="str">
        <f ca="1">IFERROR(IF(VLOOKUP($A306,'Шаг2.Бланк заказа NEW'!$B$17:$N$201,11,0)="","",VLOOKUP($A306,'Шаг2.Бланк заказа NEW'!$B$17:$N$201,11,0)),
"Нет")</f>
        <v/>
      </c>
      <c r="O306" s="147" t="str">
        <f ca="1">IFERROR(IF(VLOOKUP($A306,'Шаг2.Бланк заказа NEW'!$B$17:$N$201,11,0)="","",VLOOKUP($A306,'Шаг2.Бланк заказа NEW'!$B$17:$N$201,12,0)),
"Нет")</f>
        <v/>
      </c>
      <c r="P306" s="153" t="str">
        <f ca="1">IFERROR(IF(VLOOKUP($A306,'Шаг2.Бланк заказа NEW'!$B$17:$N$201,13,0)="","",VLOOKUP($A306,'Шаг2.Бланк заказа NEW'!$B$17:$N$201,13,0)),
"Нет")</f>
        <v/>
      </c>
      <c r="Q306" s="147" t="str">
        <f ca="1">IFERROR(IF(VLOOKUP($A306,'Шаг2.Бланк заказа NEW'!$B$17:$O$201,14,0)="","",VLOOKUP($A306,'Шаг2.Бланк заказа NEW'!$B$17:$O$201,14,0)),"")</f>
        <v/>
      </c>
      <c r="R306" s="147" t="str">
        <f ca="1">IFERROR(IFERROR(IF(VLOOKUP($A306,'Шаг2.Бланк заказа NEW'!$B$17:$N$201,4,0)="","",VLOOKUP($A306,'Шаг2.Бланк заказа NEW'!$B$17:$N$201,4,0)),
IF(VLOOKUP($A306-COUNT('Шаг2.Бланк заказа NEW'!$B$19:$B$201),'Бланк OLD 0.8 04'!$B$12:$K$200,4,0)&gt;0,0.8,
IF(VLOOKUP($A306-COUNT('Шаг2.Бланк заказа NEW'!$B$19:$B$201),'Бланк OLD 0.8 04'!$B$12:$K$200,5,0)&gt;0,0.4,""))),
IF(VLOOKUP($A306-COUNT('Шаг2.Бланк заказа NEW'!$B$19:$B$201)-COUNT('Бланк OLD 0.8 04'!$B$18:$B$200),'Бланк OLD 2.0 04 '!$B$16:$K$200,4,0)&gt;0,2,IF(VLOOKUP($A306-COUNT('Шаг2.Бланк заказа NEW'!$B$19:$B$201)-COUNT('Бланк OLD 0.8 04'!$B$18:$B$200),'Бланк OLD 2.0 04 '!$B$16:$K$200,5,0)&gt;0,0.4,"")))</f>
        <v/>
      </c>
      <c r="S306" s="147" t="str">
        <f ca="1">IFERROR(IFERROR(IF(VLOOKUP($A306,'Шаг2.Бланк заказа NEW'!$B$17:$N$201,5,0)="","",VLOOKUP($A306,'Шаг2.Бланк заказа NEW'!$B$17:$N$201,5,0)),
IF(VLOOKUP($A306-COUNT('Шаг2.Бланк заказа NEW'!$B$19:$B$201),'Бланк OLD 0.8 04'!$B$12:$K$200,4,0)&gt;1,0.8,
IF(VLOOKUP($A306-COUNT('Шаг2.Бланк заказа NEW'!$B$19:$B$201),'Бланк OLD 0.8 04'!$B$12:$K$200,5,0)&gt;1,0.4,
IF(AND(VLOOKUP($A306-COUNT('Шаг2.Бланк заказа NEW'!$B$19:$B$201),'Бланк OLD 0.8 04'!$B$12:$K$200,4,0)&gt;0,VLOOKUP($A306-COUNT('Шаг2.Бланк заказа NEW'!$B$19:$B$201),'Бланк OLD 0.8 04'!$B$12:$K$200,5,0)&gt;0),0.4,"")))),
IF(VLOOKUP($A306-COUNT('Шаг2.Бланк заказа NEW'!$B$19:$B$201)-COUNT('Бланк OLD 0.8 04'!$B$18:$B$200),'Бланк OLD 2.0 04 '!$B$16:$K$200,4,0)&gt;1,2,
IF(VLOOKUP($A306-COUNT('Шаг2.Бланк заказа NEW'!$B$19:$B$201)-COUNT('Бланк OLD 0.8 04'!$B$18:$B$200),'Бланк OLD 2.0 04 '!$B$16:$K$200,5,0)&gt;1,0.4,IF(AND(VLOOKUP($A306-COUNT('Шаг2.Бланк заказа NEW'!$B$19:$B$201)-COUNT('Бланк OLD 0.8 04'!$B$18:$B$200),'Бланк OLD 2.0 04 '!$B$16:$K$200,4,0)&gt;0,VLOOKUP($A306-COUNT('Шаг2.Бланк заказа NEW'!$B$19:$B$201)-COUNT('Бланк OLD 0.8 04'!$B$18:$B$200),'Бланк OLD 2.0 04 '!$B$16:$K$200,5,0)&gt;0),0.4,""))))</f>
        <v/>
      </c>
      <c r="T306" s="147" t="str">
        <f ca="1">IFERROR(IFERROR(IF(VLOOKUP($A306,'Шаг2.Бланк заказа NEW'!$B$17:$N$201,7,0)="","",VLOOKUP($A306,'Шаг2.Бланк заказа NEW'!$B$17:$N$201,7,0)),
IF(VLOOKUP($A306-COUNT('Шаг2.Бланк заказа NEW'!$B$19:$B$201),'Бланк OLD 0.8 04'!$B$12:$K$200,7,0)&gt;0,0.8,
IF(VLOOKUP($A306-COUNT('Шаг2.Бланк заказа NEW'!$B$19:$B$201),'Бланк OLD 0.8 04'!$B$12:$K$200,8,0)&gt;0,0.4,""))),
IF(VLOOKUP($A306-COUNT('Шаг2.Бланк заказа NEW'!$B$19:$B$201)-COUNT('Бланк OLD 0.8 04'!$B$18:$B$200),'Бланк OLD 2.0 04 '!$B$16:$K$200,7,0)&gt;0,2,IF(VLOOKUP($A306-COUNT('Шаг2.Бланк заказа NEW'!$B$19:$B$201)-COUNT('Бланк OLD 0.8 04'!$B$18:$B$200),'Бланк OLD 2.0 04 '!$B$16:$K$200,8,0)&gt;0,0.4,"")))</f>
        <v/>
      </c>
      <c r="U306" s="147" t="str">
        <f ca="1">IFERROR(IFERROR(IF(VLOOKUP($A306,'Шаг2.Бланк заказа NEW'!$B$17:$N$201,8,0)="","",VLOOKUP($A306,'Шаг2.Бланк заказа NEW'!$B$17:$N$201,8,0)),
IF(VLOOKUP($A306-COUNT('Шаг2.Бланк заказа NEW'!$B$19:$B$201),'Бланк OLD 0.8 04'!$B$12:$K$200,7,0)&gt;1,0.8,
IF(VLOOKUP($A306-COUNT('Шаг2.Бланк заказа NEW'!$B$19:$B$201),'Бланк OLD 0.8 04'!$B$12:$K$200,8,0)&gt;1,0.4,
IF(AND(VLOOKUP($A306-COUNT('Шаг2.Бланк заказа NEW'!$B$19:$B$201),'Бланк OLD 0.8 04'!$B$12:$K$200,7,0)&gt;0,VLOOKUP($A306-COUNT('Шаг2.Бланк заказа NEW'!$B$19:$B$201),'Бланк OLD 0.8 04'!$B$12:$K$200,8,0)&gt;0),0.4,"")))),
IF(VLOOKUP($A306-COUNT('Шаг2.Бланк заказа NEW'!$B$19:$B$201)-COUNT('Бланк OLD 0.8 04'!$B$18:$B$200),'Бланк OLD 2.0 04 '!$B$16:$K$200,7,0)&gt;1,2,
IF(VLOOKUP($A306-COUNT('Шаг2.Бланк заказа NEW'!$B$19:$B$201)-COUNT('Бланк OLD 0.8 04'!$B$18:$B$200),'Бланк OLD 2.0 04 '!$B$16:$K$200,8,0)&gt;1,0.4,
IF(AND(VLOOKUP($A306-COUNT('Шаг2.Бланк заказа NEW'!$B$19:$B$201)-COUNT('Бланк OLD 0.8 04'!$B$18:$B$200),'Бланк OLD 2.0 04 '!$B$16:$K$200,7,0)&gt;0,VLOOKUP($A306-COUNT('Шаг2.Бланк заказа NEW'!$B$19:$B$201)-COUNT('Бланк OLD 0.8 04'!$B$18:$B$200),'Бланк OLD 2.0 04 '!$B$16:$K$200,8,0)&gt;0),0.4,""))))</f>
        <v/>
      </c>
      <c r="V306" s="146" t="str">
        <f ca="1">IFERROR(VLOOKUP(C306,'Шаг1.Выбор плиты'!C:S,12,0),"")</f>
        <v/>
      </c>
      <c r="W306" s="146" t="str">
        <f ca="1">IFERROR(VLOOKUP(C306,'Шаг1.Выбор плиты'!C:S,8,0),"")</f>
        <v/>
      </c>
      <c r="X306" s="146" t="str">
        <f ca="1">IFERROR(VLOOKUP(C306,'Шаг1.Выбор плиты'!C:S,10,0),"")</f>
        <v/>
      </c>
      <c r="Y306" s="147" t="str">
        <f t="shared" ca="1" si="23"/>
        <v/>
      </c>
      <c r="AD306" s="147" t="str">
        <f t="shared" ca="1" si="26"/>
        <v/>
      </c>
      <c r="AE306" s="147" t="str">
        <f t="shared" ca="1" si="24"/>
        <v/>
      </c>
      <c r="AF306" s="25"/>
      <c r="AH306" s="147" t="str">
        <f ca="1">IF(C306="","",VLOOKUP(C306,'Шаг1.Выбор плиты'!C:Q,7,0))</f>
        <v/>
      </c>
      <c r="AI306" s="147" t="str">
        <f t="shared" ca="1" si="27"/>
        <v/>
      </c>
    </row>
    <row r="307" spans="1:35" x14ac:dyDescent="0.2">
      <c r="A307" s="151" t="str">
        <f ca="1">IF(C307="","",MAX($A$1:OFFSET(C307,-1,0))+1)</f>
        <v/>
      </c>
      <c r="B307" s="151" t="str">
        <f ca="1">IFERROR(IFERROR(IFERROR("Шаг2.Бланк заказа NEW №"&amp;VLOOKUP(A306+1,CHOOSE({1,2},'Шаг2.Бланк заказа NEW'!$B$19:$B$201,'Шаг2.Бланк заказа NEW'!$A$19:$A$201),1,0),
"Бланк OLD 0.8 04 №"&amp;VLOOKUP(A306+1-COUNT('Шаг2.Бланк заказа NEW'!$B$19:$B$201),CHOOSE({1,2},'Бланк OLD 0.8 04'!$B$18:$B$200,'Бланк OLD 0.8 04'!$A$18:$A$200),1,0)),
"Бланк OLD 2.0 04 №"&amp;VLOOKUP(A306+1-COUNT('Шаг2.Бланк заказа NEW'!$B$19:$B$201)-COUNT('Бланк OLD 0.8 04'!$B$18:$B$200),CHOOSE({1,2},'Бланк OLD 2.0 04 '!$B$18:$B$200,'Бланк OLD 2.0 04 '!$A$18:$A$200),1,0)),"")</f>
        <v/>
      </c>
      <c r="C307" s="152" t="str">
        <f ca="1">IFERROR(IFERROR(IFERROR(VLOOKUP(A306+1,CHOOSE({1,2},'Шаг2.Бланк заказа NEW'!$B$19:$B$201,'Шаг2.Бланк заказа NEW'!$A$19:$A$201),2,0),
VLOOKUP(A306+1-COUNT('Шаг2.Бланк заказа NEW'!$B$19:$B$201),CHOOSE({1,2},'Бланк OLD 0.8 04'!$B$18:$B$200,'Бланк OLD 0.8 04'!$A$18:$A$200),2,0)),
VLOOKUP(A306+1-COUNT('Шаг2.Бланк заказа NEW'!$B$19:$B$201)-COUNT('Бланк OLD 0.8 04'!$B$18:$B$200),CHOOSE({1,2},'Бланк OLD 2.0 04 '!$B$18:$B$200,'Бланк OLD 2.0 04 '!$A$18:$A$200),2,0)),"")</f>
        <v/>
      </c>
      <c r="D307" s="150" t="str">
        <f ca="1">IFERROR(VLOOKUP(C307,'Шаг1.Выбор плиты'!C:G,5,0),"")</f>
        <v/>
      </c>
      <c r="E307" s="147" t="str">
        <f ca="1">IFERROR(IFERROR(IF(VLOOKUP($A307,'Шаг2.Бланк заказа NEW'!$B$17:$N$201,2,0)="","",VLOOKUP($A307,'Шаг2.Бланк заказа NEW'!$B$17:$N$201,2,0)),
IF(VLOOKUP($A307-COUNT('Шаг2.Бланк заказа NEW'!$B$19:$B$201),'Бланк OLD 0.8 04'!$B$12:$K$200,2,0)="","",VLOOKUP($A307-COUNT('Шаг2.Бланк заказа NEW'!$B$19:$B$201),'Бланк OLD 0.8 04'!$B$12:$K$200,2,0))),
IF(VLOOKUP($A307-COUNT('Шаг2.Бланк заказа NEW'!$B$19:$B$201)-COUNT('Бланк OLD 0.8 04'!$B$18:$B$200),'Бланк OLD 2.0 04 '!$B$16:$K$200,2,0)="","",VLOOKUP($A307-COUNT('Шаг2.Бланк заказа NEW'!$B$19:$B$201)-COUNT('Бланк OLD 0.8 04'!$B$18:$B$200),'Бланк OLD 2.0 04 '!$B$16:$K$200,2,0)))</f>
        <v/>
      </c>
      <c r="F307" s="147" t="str">
        <f ca="1">IFERROR(IFERROR(IF(VLOOKUP($A307,'Шаг2.Бланк заказа NEW'!$B$17:$N$201,3,0)="","",VLOOKUP($A307,'Шаг2.Бланк заказа NEW'!$B$17:$N$201,3,0)),
IF(VLOOKUP($A307-COUNT('Шаг2.Бланк заказа NEW'!$B$19:$B$201),'Бланк OLD 0.8 04'!$B$12:$K$200,3,0)="","",VLOOKUP($A307-COUNT('Шаг2.Бланк заказа NEW'!$B$19:$B$201),'Бланк OLD 0.8 04'!$B$12:$K$200,3,0))),
IF(VLOOKUP($A307-COUNT('Шаг2.Бланк заказа NEW'!$B$19:$B$201)-COUNT('Бланк OLD 0.8 04'!$B$18:$B$200),'Бланк OLD 2.0 04 '!$B$16:$K$200,3,0)="","",VLOOKUP($A307-COUNT('Шаг2.Бланк заказа NEW'!$B$19:$B$201)-COUNT('Бланк OLD 0.8 04'!$B$18:$B$200),'Бланк OLD 2.0 04 '!$B$16:$K$200,3,0)))</f>
        <v/>
      </c>
      <c r="G307" s="176" t="str">
        <f ca="1">IF(IF(R307="","",IF(R307=1,SUMIFS('Шаг1.Выбор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плиты'!C:Q,12,0)),1))))))=0,
R307,
IF(R307="","",IF(R307=1,SUMIFS('Шаг1.Выбор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плиты'!N:N,R307,'Шаг1.Выбор плиты'!M:M,SMALL(INDIRECT("мм"&amp;VLOOKUP(C307,'Шаг1.Выбор плиты'!C:Q,12,0)),1)))))))</f>
        <v/>
      </c>
      <c r="H307" s="177" t="str">
        <f ca="1">IF(IF(S307="","",IF(S307=1,SUMIFS('Шаг1.Выбор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плиты'!C:Q,12,0)),1))))))=0,
S307,
IF(S307="","",IF(S307=1,SUMIFS('Шаг1.Выбор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плиты'!N:N,S307,'Шаг1.Выбор плиты'!M:M,SMALL(INDIRECT("мм"&amp;VLOOKUP(C307,'Шаг1.Выбор плиты'!C:Q,12,0)),1)))))))</f>
        <v/>
      </c>
      <c r="I307" s="147" t="str">
        <f ca="1">IFERROR(IFERROR(IF(VLOOKUP($A307,'Шаг2.Бланк заказа NEW'!$B$17:$N$201,6,0)="","",VLOOKUP($A307,'Шаг2.Бланк заказа NEW'!$B$17:$N$201,6,0)),
IF(VLOOKUP($A307-COUNT('Шаг2.Бланк заказа NEW'!$B$19:$B$201),'Бланк OLD 0.8 04'!$B$12:$K$200,6,0)="","",VLOOKUP($A307-COUNT('Шаг2.Бланк заказа NEW'!$B$19:$B$201),'Бланк OLD 0.8 04'!$B$12:$K$200,6,0))),
IF(VLOOKUP($A307-COUNT('Шаг2.Бланк заказа NEW'!$B$19:$B$201)-COUNT('Бланк OLD 0.8 04'!$B$18:$B$200),'Бланк OLD 2.0 04 '!$B$16:$K$200,6,0)="","",VLOOKUP($A307-COUNT('Шаг2.Бланк заказа NEW'!$B$19:$B$201)-COUNT('Бланк OLD 0.8 04'!$B$18:$B$200),'Бланк OLD 2.0 04 '!$B$16:$K$200,6,0)))</f>
        <v/>
      </c>
      <c r="J307" s="177" t="str">
        <f ca="1">IF(IF(T307="","",IF(T307=1,SUMIFS('Шаг1.Выбор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плиты'!C:Q,12,0)),1))))))=0,
T307,
IF(T307="","",IF(T307=1,SUMIFS('Шаг1.Выбор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плиты'!N:N,T307,'Шаг1.Выбор плиты'!M:M,SMALL(INDIRECT("мм"&amp;VLOOKUP(C307,'Шаг1.Выбор плиты'!C:Q,12,0)),1)))))))</f>
        <v/>
      </c>
      <c r="K307" s="177" t="str">
        <f ca="1">IF(IF(U307="","",IF(U307=1,SUMIFS('Шаг1.Выбор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плиты'!C:Q,12,0)),1))))))=0,
U307,
IF(U307="","",IF(U307=1,SUMIFS('Шаг1.Выбор плиты'!$G:$G,'Шаг1.Выбор плиты'!J:J,"*"&amp;RIGHT(VLOOKUP(C307,'Шаг1.Выбор плиты'!C:Q,8,0),4),'Шаг1.Выбор плиты'!L:L,IF(MID(C307,1,6)="ЛДСП P","TM"&amp;MID(VLOOKUP(C307,'Шаг1.Выбор плиты'!C:Q,10,0),3,2),MID(VLOOKUP(C307,'Шаг1.Выбор плиты'!C:Q,10,0),1,2)),
'Шаг1.Выбор плиты'!N:N,1),IF(SUMIFS('Шаг1.Выбор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плиты'!C:Q,12,0)),1))=0,
IF(SUMIFS('Шаг1.Выбор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плиты'!C:Q,12,0)),2))=0,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плиты'!C:Q,12,0)),3)),
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плиты'!C:Q,12,0)),2))),
(SUMIFS('Шаг1.Выбор плиты'!$G:$G,'Шаг1.Выбор плиты'!J:J,"*"&amp;RIGHT(VLOOKUP(C307,'Шаг1.Выбор плиты'!C:Q,8,0),4),'Шаг1.Выбор плиты'!L:L,VLOOKUP(C307,'Шаг1.Выбор плиты'!C:Q,10,0),'Шаг1.Выбор плиты'!N:N,U307,'Шаг1.Выбор плиты'!M:M,SMALL(INDIRECT("мм"&amp;VLOOKUP(C307,'Шаг1.Выбор плиты'!C:Q,12,0)),1)))))))</f>
        <v/>
      </c>
      <c r="L307" s="147" t="str">
        <f ca="1">IFERROR(IFERROR(IF(VLOOKUP($A307,'Шаг2.Бланк заказа NEW'!$B$17:$N$201,9,0)="","",VLOOKUP($A307,'Шаг2.Бланк заказа NEW'!$B$17:$N$201,9,0)),
IF(VLOOKUP($A307-COUNT('Шаг2.Бланк заказа NEW'!$B$19:$B$201),'Бланк OLD 0.8 04'!$B$12:$K$200,9,0)="","",VLOOKUP($A307-COUNT('Шаг2.Бланк заказа NEW'!$B$19:$B$201),'Бланк OLD 0.8 04'!$B$12:$K$200,9,0))),
IF(VLOOKUP($A307-COUNT('Шаг2.Бланк заказа NEW'!$B$19:$B$201)-COUNT('Бланк OLD 0.8 04'!$B$18:$B$200),'Бланк OLD 2.0 04 '!$B$16:$K$200,9,0)="","",VLOOKUP($A307-COUNT('Шаг2.Бланк заказа NEW'!$B$19:$B$201)-COUNT('Бланк OLD 0.8 04'!$B$18:$B$200),'Бланк OLD 2.0 04 '!$B$16:$K$200,9,0)))</f>
        <v/>
      </c>
      <c r="M307" s="154" t="str">
        <f t="shared" ca="1" si="25"/>
        <v/>
      </c>
      <c r="N307" s="153" t="str">
        <f ca="1">IFERROR(IF(VLOOKUP($A307,'Шаг2.Бланк заказа NEW'!$B$17:$N$201,11,0)="","",VLOOKUP($A307,'Шаг2.Бланк заказа NEW'!$B$17:$N$201,11,0)),
"Нет")</f>
        <v/>
      </c>
      <c r="O307" s="147" t="str">
        <f ca="1">IFERROR(IF(VLOOKUP($A307,'Шаг2.Бланк заказа NEW'!$B$17:$N$201,11,0)="","",VLOOKUP($A307,'Шаг2.Бланк заказа NEW'!$B$17:$N$201,12,0)),
"Нет")</f>
        <v/>
      </c>
      <c r="P307" s="153" t="str">
        <f ca="1">IFERROR(IF(VLOOKUP($A307,'Шаг2.Бланк заказа NEW'!$B$17:$N$201,13,0)="","",VLOOKUP($A307,'Шаг2.Бланк заказа NEW'!$B$17:$N$201,13,0)),
"Нет")</f>
        <v/>
      </c>
      <c r="Q307" s="147" t="str">
        <f ca="1">IFERROR(IF(VLOOKUP($A307,'Шаг2.Бланк заказа NEW'!$B$17:$O$201,14,0)="","",VLOOKUP($A307,'Шаг2.Бланк заказа NEW'!$B$17:$O$201,14,0)),"")</f>
        <v/>
      </c>
      <c r="R307" s="147" t="str">
        <f ca="1">IFERROR(IFERROR(IF(VLOOKUP($A307,'Шаг2.Бланк заказа NEW'!$B$17:$N$201,4,0)="","",VLOOKUP($A307,'Шаг2.Бланк заказа NEW'!$B$17:$N$201,4,0)),
IF(VLOOKUP($A307-COUNT('Шаг2.Бланк заказа NEW'!$B$19:$B$201),'Бланк OLD 0.8 04'!$B$12:$K$200,4,0)&gt;0,0.8,
IF(VLOOKUP($A307-COUNT('Шаг2.Бланк заказа NEW'!$B$19:$B$201),'Бланк OLD 0.8 04'!$B$12:$K$200,5,0)&gt;0,0.4,""))),
IF(VLOOKUP($A307-COUNT('Шаг2.Бланк заказа NEW'!$B$19:$B$201)-COUNT('Бланк OLD 0.8 04'!$B$18:$B$200),'Бланк OLD 2.0 04 '!$B$16:$K$200,4,0)&gt;0,2,IF(VLOOKUP($A307-COUNT('Шаг2.Бланк заказа NEW'!$B$19:$B$201)-COUNT('Бланк OLD 0.8 04'!$B$18:$B$200),'Бланк OLD 2.0 04 '!$B$16:$K$200,5,0)&gt;0,0.4,"")))</f>
        <v/>
      </c>
      <c r="S307" s="147" t="str">
        <f ca="1">IFERROR(IFERROR(IF(VLOOKUP($A307,'Шаг2.Бланк заказа NEW'!$B$17:$N$201,5,0)="","",VLOOKUP($A307,'Шаг2.Бланк заказа NEW'!$B$17:$N$201,5,0)),
IF(VLOOKUP($A307-COUNT('Шаг2.Бланк заказа NEW'!$B$19:$B$201),'Бланк OLD 0.8 04'!$B$12:$K$200,4,0)&gt;1,0.8,
IF(VLOOKUP($A307-COUNT('Шаг2.Бланк заказа NEW'!$B$19:$B$201),'Бланк OLD 0.8 04'!$B$12:$K$200,5,0)&gt;1,0.4,
IF(AND(VLOOKUP($A307-COUNT('Шаг2.Бланк заказа NEW'!$B$19:$B$201),'Бланк OLD 0.8 04'!$B$12:$K$200,4,0)&gt;0,VLOOKUP($A307-COUNT('Шаг2.Бланк заказа NEW'!$B$19:$B$201),'Бланк OLD 0.8 04'!$B$12:$K$200,5,0)&gt;0),0.4,"")))),
IF(VLOOKUP($A307-COUNT('Шаг2.Бланк заказа NEW'!$B$19:$B$201)-COUNT('Бланк OLD 0.8 04'!$B$18:$B$200),'Бланк OLD 2.0 04 '!$B$16:$K$200,4,0)&gt;1,2,
IF(VLOOKUP($A307-COUNT('Шаг2.Бланк заказа NEW'!$B$19:$B$201)-COUNT('Бланк OLD 0.8 04'!$B$18:$B$200),'Бланк OLD 2.0 04 '!$B$16:$K$200,5,0)&gt;1,0.4,IF(AND(VLOOKUP($A307-COUNT('Шаг2.Бланк заказа NEW'!$B$19:$B$201)-COUNT('Бланк OLD 0.8 04'!$B$18:$B$200),'Бланк OLD 2.0 04 '!$B$16:$K$200,4,0)&gt;0,VLOOKUP($A307-COUNT('Шаг2.Бланк заказа NEW'!$B$19:$B$201)-COUNT('Бланк OLD 0.8 04'!$B$18:$B$200),'Бланк OLD 2.0 04 '!$B$16:$K$200,5,0)&gt;0),0.4,""))))</f>
        <v/>
      </c>
      <c r="T307" s="147" t="str">
        <f ca="1">IFERROR(IFERROR(IF(VLOOKUP($A307,'Шаг2.Бланк заказа NEW'!$B$17:$N$201,7,0)="","",VLOOKUP($A307,'Шаг2.Бланк заказа NEW'!$B$17:$N$201,7,0)),
IF(VLOOKUP($A307-COUNT('Шаг2.Бланк заказа NEW'!$B$19:$B$201),'Бланк OLD 0.8 04'!$B$12:$K$200,7,0)&gt;0,0.8,
IF(VLOOKUP($A307-COUNT('Шаг2.Бланк заказа NEW'!$B$19:$B$201),'Бланк OLD 0.8 04'!$B$12:$K$200,8,0)&gt;0,0.4,""))),
IF(VLOOKUP($A307-COUNT('Шаг2.Бланк заказа NEW'!$B$19:$B$201)-COUNT('Бланк OLD 0.8 04'!$B$18:$B$200),'Бланк OLD 2.0 04 '!$B$16:$K$200,7,0)&gt;0,2,IF(VLOOKUP($A307-COUNT('Шаг2.Бланк заказа NEW'!$B$19:$B$201)-COUNT('Бланк OLD 0.8 04'!$B$18:$B$200),'Бланк OLD 2.0 04 '!$B$16:$K$200,8,0)&gt;0,0.4,"")))</f>
        <v/>
      </c>
      <c r="U307" s="147" t="str">
        <f ca="1">IFERROR(IFERROR(IF(VLOOKUP($A307,'Шаг2.Бланк заказа NEW'!$B$17:$N$201,8,0)="","",VLOOKUP($A307,'Шаг2.Бланк заказа NEW'!$B$17:$N$201,8,0)),
IF(VLOOKUP($A307-COUNT('Шаг2.Бланк заказа NEW'!$B$19:$B$201),'Бланк OLD 0.8 04'!$B$12:$K$200,7,0)&gt;1,0.8,
IF(VLOOKUP($A307-COUNT('Шаг2.Бланк заказа NEW'!$B$19:$B$201),'Бланк OLD 0.8 04'!$B$12:$K$200,8,0)&gt;1,0.4,
IF(AND(VLOOKUP($A307-COUNT('Шаг2.Бланк заказа NEW'!$B$19:$B$201),'Бланк OLD 0.8 04'!$B$12:$K$200,7,0)&gt;0,VLOOKUP($A307-COUNT('Шаг2.Бланк заказа NEW'!$B$19:$B$201),'Бланк OLD 0.8 04'!$B$12:$K$200,8,0)&gt;0),0.4,"")))),
IF(VLOOKUP($A307-COUNT('Шаг2.Бланк заказа NEW'!$B$19:$B$201)-COUNT('Бланк OLD 0.8 04'!$B$18:$B$200),'Бланк OLD 2.0 04 '!$B$16:$K$200,7,0)&gt;1,2,
IF(VLOOKUP($A307-COUNT('Шаг2.Бланк заказа NEW'!$B$19:$B$201)-COUNT('Бланк OLD 0.8 04'!$B$18:$B$200),'Бланк OLD 2.0 04 '!$B$16:$K$200,8,0)&gt;1,0.4,
IF(AND(VLOOKUP($A307-COUNT('Шаг2.Бланк заказа NEW'!$B$19:$B$201)-COUNT('Бланк OLD 0.8 04'!$B$18:$B$200),'Бланк OLD 2.0 04 '!$B$16:$K$200,7,0)&gt;0,VLOOKUP($A307-COUNT('Шаг2.Бланк заказа NEW'!$B$19:$B$201)-COUNT('Бланк OLD 0.8 04'!$B$18:$B$200),'Бланк OLD 2.0 04 '!$B$16:$K$200,8,0)&gt;0),0.4,""))))</f>
        <v/>
      </c>
      <c r="V307" s="146" t="str">
        <f ca="1">IFERROR(VLOOKUP(C307,'Шаг1.Выбор плиты'!C:S,12,0),"")</f>
        <v/>
      </c>
      <c r="W307" s="146" t="str">
        <f ca="1">IFERROR(VLOOKUP(C307,'Шаг1.Выбор плиты'!C:S,8,0),"")</f>
        <v/>
      </c>
      <c r="X307" s="146" t="str">
        <f ca="1">IFERROR(VLOOKUP(C307,'Шаг1.Выбор плиты'!C:S,10,0),"")</f>
        <v/>
      </c>
      <c r="Y307" s="147" t="str">
        <f t="shared" ca="1" si="23"/>
        <v/>
      </c>
      <c r="AD307" s="147" t="str">
        <f t="shared" ca="1" si="26"/>
        <v/>
      </c>
      <c r="AE307" s="147" t="str">
        <f t="shared" ca="1" si="24"/>
        <v/>
      </c>
      <c r="AF307" s="25"/>
      <c r="AH307" s="147" t="str">
        <f ca="1">IF(C307="","",VLOOKUP(C307,'Шаг1.Выбор плиты'!C:Q,7,0))</f>
        <v/>
      </c>
      <c r="AI307" s="147" t="str">
        <f t="shared" ca="1" si="27"/>
        <v/>
      </c>
    </row>
    <row r="308" spans="1:35" x14ac:dyDescent="0.2">
      <c r="A308" s="151" t="str">
        <f ca="1">IF(C308="","",MAX($A$1:OFFSET(C308,-1,0))+1)</f>
        <v/>
      </c>
      <c r="B308" s="151" t="str">
        <f ca="1">IFERROR(IFERROR(IFERROR("Шаг2.Бланк заказа NEW №"&amp;VLOOKUP(A307+1,CHOOSE({1,2},'Шаг2.Бланк заказа NEW'!$B$19:$B$201,'Шаг2.Бланк заказа NEW'!$A$19:$A$201),1,0),
"Бланк OLD 0.8 04 №"&amp;VLOOKUP(A307+1-COUNT('Шаг2.Бланк заказа NEW'!$B$19:$B$201),CHOOSE({1,2},'Бланк OLD 0.8 04'!$B$18:$B$200,'Бланк OLD 0.8 04'!$A$18:$A$200),1,0)),
"Бланк OLD 2.0 04 №"&amp;VLOOKUP(A307+1-COUNT('Шаг2.Бланк заказа NEW'!$B$19:$B$201)-COUNT('Бланк OLD 0.8 04'!$B$18:$B$200),CHOOSE({1,2},'Бланк OLD 2.0 04 '!$B$18:$B$200,'Бланк OLD 2.0 04 '!$A$18:$A$200),1,0)),"")</f>
        <v/>
      </c>
      <c r="C308" s="152" t="str">
        <f ca="1">IFERROR(IFERROR(IFERROR(VLOOKUP(A307+1,CHOOSE({1,2},'Шаг2.Бланк заказа NEW'!$B$19:$B$201,'Шаг2.Бланк заказа NEW'!$A$19:$A$201),2,0),
VLOOKUP(A307+1-COUNT('Шаг2.Бланк заказа NEW'!$B$19:$B$201),CHOOSE({1,2},'Бланк OLD 0.8 04'!$B$18:$B$200,'Бланк OLD 0.8 04'!$A$18:$A$200),2,0)),
VLOOKUP(A307+1-COUNT('Шаг2.Бланк заказа NEW'!$B$19:$B$201)-COUNT('Бланк OLD 0.8 04'!$B$18:$B$200),CHOOSE({1,2},'Бланк OLD 2.0 04 '!$B$18:$B$200,'Бланк OLD 2.0 04 '!$A$18:$A$200),2,0)),"")</f>
        <v/>
      </c>
      <c r="D308" s="150" t="str">
        <f ca="1">IFERROR(VLOOKUP(C308,'Шаг1.Выбор плиты'!C:G,5,0),"")</f>
        <v/>
      </c>
      <c r="E308" s="147" t="str">
        <f ca="1">IFERROR(IFERROR(IF(VLOOKUP($A308,'Шаг2.Бланк заказа NEW'!$B$17:$N$201,2,0)="","",VLOOKUP($A308,'Шаг2.Бланк заказа NEW'!$B$17:$N$201,2,0)),
IF(VLOOKUP($A308-COUNT('Шаг2.Бланк заказа NEW'!$B$19:$B$201),'Бланк OLD 0.8 04'!$B$12:$K$200,2,0)="","",VLOOKUP($A308-COUNT('Шаг2.Бланк заказа NEW'!$B$19:$B$201),'Бланк OLD 0.8 04'!$B$12:$K$200,2,0))),
IF(VLOOKUP($A308-COUNT('Шаг2.Бланк заказа NEW'!$B$19:$B$201)-COUNT('Бланк OLD 0.8 04'!$B$18:$B$200),'Бланк OLD 2.0 04 '!$B$16:$K$200,2,0)="","",VLOOKUP($A308-COUNT('Шаг2.Бланк заказа NEW'!$B$19:$B$201)-COUNT('Бланк OLD 0.8 04'!$B$18:$B$200),'Бланк OLD 2.0 04 '!$B$16:$K$200,2,0)))</f>
        <v/>
      </c>
      <c r="F308" s="147" t="str">
        <f ca="1">IFERROR(IFERROR(IF(VLOOKUP($A308,'Шаг2.Бланк заказа NEW'!$B$17:$N$201,3,0)="","",VLOOKUP($A308,'Шаг2.Бланк заказа NEW'!$B$17:$N$201,3,0)),
IF(VLOOKUP($A308-COUNT('Шаг2.Бланк заказа NEW'!$B$19:$B$201),'Бланк OLD 0.8 04'!$B$12:$K$200,3,0)="","",VLOOKUP($A308-COUNT('Шаг2.Бланк заказа NEW'!$B$19:$B$201),'Бланк OLD 0.8 04'!$B$12:$K$200,3,0))),
IF(VLOOKUP($A308-COUNT('Шаг2.Бланк заказа NEW'!$B$19:$B$201)-COUNT('Бланк OLD 0.8 04'!$B$18:$B$200),'Бланк OLD 2.0 04 '!$B$16:$K$200,3,0)="","",VLOOKUP($A308-COUNT('Шаг2.Бланк заказа NEW'!$B$19:$B$201)-COUNT('Бланк OLD 0.8 04'!$B$18:$B$200),'Бланк OLD 2.0 04 '!$B$16:$K$200,3,0)))</f>
        <v/>
      </c>
      <c r="G308" s="176" t="str">
        <f ca="1">IF(IF(R308="","",IF(R308=1,SUMIFS('Шаг1.Выбор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плиты'!C:Q,12,0)),1))))))=0,
R308,
IF(R308="","",IF(R308=1,SUMIFS('Шаг1.Выбор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плиты'!N:N,R308,'Шаг1.Выбор плиты'!M:M,SMALL(INDIRECT("мм"&amp;VLOOKUP(C308,'Шаг1.Выбор плиты'!C:Q,12,0)),1)))))))</f>
        <v/>
      </c>
      <c r="H308" s="177" t="str">
        <f ca="1">IF(IF(S308="","",IF(S308=1,SUMIFS('Шаг1.Выбор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плиты'!C:Q,12,0)),1))))))=0,
S308,
IF(S308="","",IF(S308=1,SUMIFS('Шаг1.Выбор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плиты'!N:N,S308,'Шаг1.Выбор плиты'!M:M,SMALL(INDIRECT("мм"&amp;VLOOKUP(C308,'Шаг1.Выбор плиты'!C:Q,12,0)),1)))))))</f>
        <v/>
      </c>
      <c r="I308" s="147" t="str">
        <f ca="1">IFERROR(IFERROR(IF(VLOOKUP($A308,'Шаг2.Бланк заказа NEW'!$B$17:$N$201,6,0)="","",VLOOKUP($A308,'Шаг2.Бланк заказа NEW'!$B$17:$N$201,6,0)),
IF(VLOOKUP($A308-COUNT('Шаг2.Бланк заказа NEW'!$B$19:$B$201),'Бланк OLD 0.8 04'!$B$12:$K$200,6,0)="","",VLOOKUP($A308-COUNT('Шаг2.Бланк заказа NEW'!$B$19:$B$201),'Бланк OLD 0.8 04'!$B$12:$K$200,6,0))),
IF(VLOOKUP($A308-COUNT('Шаг2.Бланк заказа NEW'!$B$19:$B$201)-COUNT('Бланк OLD 0.8 04'!$B$18:$B$200),'Бланк OLD 2.0 04 '!$B$16:$K$200,6,0)="","",VLOOKUP($A308-COUNT('Шаг2.Бланк заказа NEW'!$B$19:$B$201)-COUNT('Бланк OLD 0.8 04'!$B$18:$B$200),'Бланк OLD 2.0 04 '!$B$16:$K$200,6,0)))</f>
        <v/>
      </c>
      <c r="J308" s="177" t="str">
        <f ca="1">IF(IF(T308="","",IF(T308=1,SUMIFS('Шаг1.Выбор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плиты'!C:Q,12,0)),1))))))=0,
T308,
IF(T308="","",IF(T308=1,SUMIFS('Шаг1.Выбор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плиты'!N:N,T308,'Шаг1.Выбор плиты'!M:M,SMALL(INDIRECT("мм"&amp;VLOOKUP(C308,'Шаг1.Выбор плиты'!C:Q,12,0)),1)))))))</f>
        <v/>
      </c>
      <c r="K308" s="177" t="str">
        <f ca="1">IF(IF(U308="","",IF(U308=1,SUMIFS('Шаг1.Выбор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плиты'!C:Q,12,0)),1))))))=0,
U308,
IF(U308="","",IF(U308=1,SUMIFS('Шаг1.Выбор плиты'!$G:$G,'Шаг1.Выбор плиты'!J:J,"*"&amp;RIGHT(VLOOKUP(C308,'Шаг1.Выбор плиты'!C:Q,8,0),4),'Шаг1.Выбор плиты'!L:L,IF(MID(C308,1,6)="ЛДСП P","TM"&amp;MID(VLOOKUP(C308,'Шаг1.Выбор плиты'!C:Q,10,0),3,2),MID(VLOOKUP(C308,'Шаг1.Выбор плиты'!C:Q,10,0),1,2)),
'Шаг1.Выбор плиты'!N:N,1),IF(SUMIFS('Шаг1.Выбор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плиты'!C:Q,12,0)),1))=0,
IF(SUMIFS('Шаг1.Выбор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плиты'!C:Q,12,0)),2))=0,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плиты'!C:Q,12,0)),3)),
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плиты'!C:Q,12,0)),2))),
(SUMIFS('Шаг1.Выбор плиты'!$G:$G,'Шаг1.Выбор плиты'!J:J,"*"&amp;RIGHT(VLOOKUP(C308,'Шаг1.Выбор плиты'!C:Q,8,0),4),'Шаг1.Выбор плиты'!L:L,VLOOKUP(C308,'Шаг1.Выбор плиты'!C:Q,10,0),'Шаг1.Выбор плиты'!N:N,U308,'Шаг1.Выбор плиты'!M:M,SMALL(INDIRECT("мм"&amp;VLOOKUP(C308,'Шаг1.Выбор плиты'!C:Q,12,0)),1)))))))</f>
        <v/>
      </c>
      <c r="L308" s="147" t="str">
        <f ca="1">IFERROR(IFERROR(IF(VLOOKUP($A308,'Шаг2.Бланк заказа NEW'!$B$17:$N$201,9,0)="","",VLOOKUP($A308,'Шаг2.Бланк заказа NEW'!$B$17:$N$201,9,0)),
IF(VLOOKUP($A308-COUNT('Шаг2.Бланк заказа NEW'!$B$19:$B$201),'Бланк OLD 0.8 04'!$B$12:$K$200,9,0)="","",VLOOKUP($A308-COUNT('Шаг2.Бланк заказа NEW'!$B$19:$B$201),'Бланк OLD 0.8 04'!$B$12:$K$200,9,0))),
IF(VLOOKUP($A308-COUNT('Шаг2.Бланк заказа NEW'!$B$19:$B$201)-COUNT('Бланк OLD 0.8 04'!$B$18:$B$200),'Бланк OLD 2.0 04 '!$B$16:$K$200,9,0)="","",VLOOKUP($A308-COUNT('Шаг2.Бланк заказа NEW'!$B$19:$B$201)-COUNT('Бланк OLD 0.8 04'!$B$18:$B$200),'Бланк OLD 2.0 04 '!$B$16:$K$200,9,0)))</f>
        <v/>
      </c>
      <c r="M308" s="154" t="str">
        <f t="shared" ca="1" si="25"/>
        <v/>
      </c>
      <c r="N308" s="153" t="str">
        <f ca="1">IFERROR(IF(VLOOKUP($A308,'Шаг2.Бланк заказа NEW'!$B$17:$N$201,11,0)="","",VLOOKUP($A308,'Шаг2.Бланк заказа NEW'!$B$17:$N$201,11,0)),
"Нет")</f>
        <v/>
      </c>
      <c r="O308" s="147" t="str">
        <f ca="1">IFERROR(IF(VLOOKUP($A308,'Шаг2.Бланк заказа NEW'!$B$17:$N$201,11,0)="","",VLOOKUP($A308,'Шаг2.Бланк заказа NEW'!$B$17:$N$201,12,0)),
"Нет")</f>
        <v/>
      </c>
      <c r="P308" s="153" t="str">
        <f ca="1">IFERROR(IF(VLOOKUP($A308,'Шаг2.Бланк заказа NEW'!$B$17:$N$201,13,0)="","",VLOOKUP($A308,'Шаг2.Бланк заказа NEW'!$B$17:$N$201,13,0)),
"Нет")</f>
        <v/>
      </c>
      <c r="Q308" s="147" t="str">
        <f ca="1">IFERROR(IF(VLOOKUP($A308,'Шаг2.Бланк заказа NEW'!$B$17:$O$201,14,0)="","",VLOOKUP($A308,'Шаг2.Бланк заказа NEW'!$B$17:$O$201,14,0)),"")</f>
        <v/>
      </c>
      <c r="R308" s="147" t="str">
        <f ca="1">IFERROR(IFERROR(IF(VLOOKUP($A308,'Шаг2.Бланк заказа NEW'!$B$17:$N$201,4,0)="","",VLOOKUP($A308,'Шаг2.Бланк заказа NEW'!$B$17:$N$201,4,0)),
IF(VLOOKUP($A308-COUNT('Шаг2.Бланк заказа NEW'!$B$19:$B$201),'Бланк OLD 0.8 04'!$B$12:$K$200,4,0)&gt;0,0.8,
IF(VLOOKUP($A308-COUNT('Шаг2.Бланк заказа NEW'!$B$19:$B$201),'Бланк OLD 0.8 04'!$B$12:$K$200,5,0)&gt;0,0.4,""))),
IF(VLOOKUP($A308-COUNT('Шаг2.Бланк заказа NEW'!$B$19:$B$201)-COUNT('Бланк OLD 0.8 04'!$B$18:$B$200),'Бланк OLD 2.0 04 '!$B$16:$K$200,4,0)&gt;0,2,IF(VLOOKUP($A308-COUNT('Шаг2.Бланк заказа NEW'!$B$19:$B$201)-COUNT('Бланк OLD 0.8 04'!$B$18:$B$200),'Бланк OLD 2.0 04 '!$B$16:$K$200,5,0)&gt;0,0.4,"")))</f>
        <v/>
      </c>
      <c r="S308" s="147" t="str">
        <f ca="1">IFERROR(IFERROR(IF(VLOOKUP($A308,'Шаг2.Бланк заказа NEW'!$B$17:$N$201,5,0)="","",VLOOKUP($A308,'Шаг2.Бланк заказа NEW'!$B$17:$N$201,5,0)),
IF(VLOOKUP($A308-COUNT('Шаг2.Бланк заказа NEW'!$B$19:$B$201),'Бланк OLD 0.8 04'!$B$12:$K$200,4,0)&gt;1,0.8,
IF(VLOOKUP($A308-COUNT('Шаг2.Бланк заказа NEW'!$B$19:$B$201),'Бланк OLD 0.8 04'!$B$12:$K$200,5,0)&gt;1,0.4,
IF(AND(VLOOKUP($A308-COUNT('Шаг2.Бланк заказа NEW'!$B$19:$B$201),'Бланк OLD 0.8 04'!$B$12:$K$200,4,0)&gt;0,VLOOKUP($A308-COUNT('Шаг2.Бланк заказа NEW'!$B$19:$B$201),'Бланк OLD 0.8 04'!$B$12:$K$200,5,0)&gt;0),0.4,"")))),
IF(VLOOKUP($A308-COUNT('Шаг2.Бланк заказа NEW'!$B$19:$B$201)-COUNT('Бланк OLD 0.8 04'!$B$18:$B$200),'Бланк OLD 2.0 04 '!$B$16:$K$200,4,0)&gt;1,2,
IF(VLOOKUP($A308-COUNT('Шаг2.Бланк заказа NEW'!$B$19:$B$201)-COUNT('Бланк OLD 0.8 04'!$B$18:$B$200),'Бланк OLD 2.0 04 '!$B$16:$K$200,5,0)&gt;1,0.4,IF(AND(VLOOKUP($A308-COUNT('Шаг2.Бланк заказа NEW'!$B$19:$B$201)-COUNT('Бланк OLD 0.8 04'!$B$18:$B$200),'Бланк OLD 2.0 04 '!$B$16:$K$200,4,0)&gt;0,VLOOKUP($A308-COUNT('Шаг2.Бланк заказа NEW'!$B$19:$B$201)-COUNT('Бланк OLD 0.8 04'!$B$18:$B$200),'Бланк OLD 2.0 04 '!$B$16:$K$200,5,0)&gt;0),0.4,""))))</f>
        <v/>
      </c>
      <c r="T308" s="147" t="str">
        <f ca="1">IFERROR(IFERROR(IF(VLOOKUP($A308,'Шаг2.Бланк заказа NEW'!$B$17:$N$201,7,0)="","",VLOOKUP($A308,'Шаг2.Бланк заказа NEW'!$B$17:$N$201,7,0)),
IF(VLOOKUP($A308-COUNT('Шаг2.Бланк заказа NEW'!$B$19:$B$201),'Бланк OLD 0.8 04'!$B$12:$K$200,7,0)&gt;0,0.8,
IF(VLOOKUP($A308-COUNT('Шаг2.Бланк заказа NEW'!$B$19:$B$201),'Бланк OLD 0.8 04'!$B$12:$K$200,8,0)&gt;0,0.4,""))),
IF(VLOOKUP($A308-COUNT('Шаг2.Бланк заказа NEW'!$B$19:$B$201)-COUNT('Бланк OLD 0.8 04'!$B$18:$B$200),'Бланк OLD 2.0 04 '!$B$16:$K$200,7,0)&gt;0,2,IF(VLOOKUP($A308-COUNT('Шаг2.Бланк заказа NEW'!$B$19:$B$201)-COUNT('Бланк OLD 0.8 04'!$B$18:$B$200),'Бланк OLD 2.0 04 '!$B$16:$K$200,8,0)&gt;0,0.4,"")))</f>
        <v/>
      </c>
      <c r="U308" s="147" t="str">
        <f ca="1">IFERROR(IFERROR(IF(VLOOKUP($A308,'Шаг2.Бланк заказа NEW'!$B$17:$N$201,8,0)="","",VLOOKUP($A308,'Шаг2.Бланк заказа NEW'!$B$17:$N$201,8,0)),
IF(VLOOKUP($A308-COUNT('Шаг2.Бланк заказа NEW'!$B$19:$B$201),'Бланк OLD 0.8 04'!$B$12:$K$200,7,0)&gt;1,0.8,
IF(VLOOKUP($A308-COUNT('Шаг2.Бланк заказа NEW'!$B$19:$B$201),'Бланк OLD 0.8 04'!$B$12:$K$200,8,0)&gt;1,0.4,
IF(AND(VLOOKUP($A308-COUNT('Шаг2.Бланк заказа NEW'!$B$19:$B$201),'Бланк OLD 0.8 04'!$B$12:$K$200,7,0)&gt;0,VLOOKUP($A308-COUNT('Шаг2.Бланк заказа NEW'!$B$19:$B$201),'Бланк OLD 0.8 04'!$B$12:$K$200,8,0)&gt;0),0.4,"")))),
IF(VLOOKUP($A308-COUNT('Шаг2.Бланк заказа NEW'!$B$19:$B$201)-COUNT('Бланк OLD 0.8 04'!$B$18:$B$200),'Бланк OLD 2.0 04 '!$B$16:$K$200,7,0)&gt;1,2,
IF(VLOOKUP($A308-COUNT('Шаг2.Бланк заказа NEW'!$B$19:$B$201)-COUNT('Бланк OLD 0.8 04'!$B$18:$B$200),'Бланк OLD 2.0 04 '!$B$16:$K$200,8,0)&gt;1,0.4,
IF(AND(VLOOKUP($A308-COUNT('Шаг2.Бланк заказа NEW'!$B$19:$B$201)-COUNT('Бланк OLD 0.8 04'!$B$18:$B$200),'Бланк OLD 2.0 04 '!$B$16:$K$200,7,0)&gt;0,VLOOKUP($A308-COUNT('Шаг2.Бланк заказа NEW'!$B$19:$B$201)-COUNT('Бланк OLD 0.8 04'!$B$18:$B$200),'Бланк OLD 2.0 04 '!$B$16:$K$200,8,0)&gt;0),0.4,""))))</f>
        <v/>
      </c>
      <c r="V308" s="146" t="str">
        <f ca="1">IFERROR(VLOOKUP(C308,'Шаг1.Выбор плиты'!C:S,12,0),"")</f>
        <v/>
      </c>
      <c r="W308" s="146" t="str">
        <f ca="1">IFERROR(VLOOKUP(C308,'Шаг1.Выбор плиты'!C:S,8,0),"")</f>
        <v/>
      </c>
      <c r="X308" s="146" t="str">
        <f ca="1">IFERROR(VLOOKUP(C308,'Шаг1.Выбор плиты'!C:S,10,0),"")</f>
        <v/>
      </c>
      <c r="Y308" s="147" t="str">
        <f t="shared" ca="1" si="23"/>
        <v/>
      </c>
      <c r="AD308" s="147" t="str">
        <f t="shared" ca="1" si="26"/>
        <v/>
      </c>
      <c r="AE308" s="147" t="str">
        <f t="shared" ca="1" si="24"/>
        <v/>
      </c>
      <c r="AF308" s="25"/>
      <c r="AH308" s="147" t="str">
        <f ca="1">IF(C308="","",VLOOKUP(C308,'Шаг1.Выбор плиты'!C:Q,7,0))</f>
        <v/>
      </c>
      <c r="AI308" s="147" t="str">
        <f t="shared" ca="1" si="27"/>
        <v/>
      </c>
    </row>
    <row r="309" spans="1:35" x14ac:dyDescent="0.2">
      <c r="A309" s="151" t="str">
        <f ca="1">IF(C309="","",MAX($A$1:OFFSET(C309,-1,0))+1)</f>
        <v/>
      </c>
      <c r="B309" s="151" t="str">
        <f ca="1">IFERROR(IFERROR(IFERROR("Шаг2.Бланк заказа NEW №"&amp;VLOOKUP(A308+1,CHOOSE({1,2},'Шаг2.Бланк заказа NEW'!$B$19:$B$201,'Шаг2.Бланк заказа NEW'!$A$19:$A$201),1,0),
"Бланк OLD 0.8 04 №"&amp;VLOOKUP(A308+1-COUNT('Шаг2.Бланк заказа NEW'!$B$19:$B$201),CHOOSE({1,2},'Бланк OLD 0.8 04'!$B$18:$B$200,'Бланк OLD 0.8 04'!$A$18:$A$200),1,0)),
"Бланк OLD 2.0 04 №"&amp;VLOOKUP(A308+1-COUNT('Шаг2.Бланк заказа NEW'!$B$19:$B$201)-COUNT('Бланк OLD 0.8 04'!$B$18:$B$200),CHOOSE({1,2},'Бланк OLD 2.0 04 '!$B$18:$B$200,'Бланк OLD 2.0 04 '!$A$18:$A$200),1,0)),"")</f>
        <v/>
      </c>
      <c r="C309" s="152" t="str">
        <f ca="1">IFERROR(IFERROR(IFERROR(VLOOKUP(A308+1,CHOOSE({1,2},'Шаг2.Бланк заказа NEW'!$B$19:$B$201,'Шаг2.Бланк заказа NEW'!$A$19:$A$201),2,0),
VLOOKUP(A308+1-COUNT('Шаг2.Бланк заказа NEW'!$B$19:$B$201),CHOOSE({1,2},'Бланк OLD 0.8 04'!$B$18:$B$200,'Бланк OLD 0.8 04'!$A$18:$A$200),2,0)),
VLOOKUP(A308+1-COUNT('Шаг2.Бланк заказа NEW'!$B$19:$B$201)-COUNT('Бланк OLD 0.8 04'!$B$18:$B$200),CHOOSE({1,2},'Бланк OLD 2.0 04 '!$B$18:$B$200,'Бланк OLD 2.0 04 '!$A$18:$A$200),2,0)),"")</f>
        <v/>
      </c>
      <c r="D309" s="150" t="str">
        <f ca="1">IFERROR(VLOOKUP(C309,'Шаг1.Выбор плиты'!C:G,5,0),"")</f>
        <v/>
      </c>
      <c r="E309" s="147" t="str">
        <f ca="1">IFERROR(IFERROR(IF(VLOOKUP($A309,'Шаг2.Бланк заказа NEW'!$B$17:$N$201,2,0)="","",VLOOKUP($A309,'Шаг2.Бланк заказа NEW'!$B$17:$N$201,2,0)),
IF(VLOOKUP($A309-COUNT('Шаг2.Бланк заказа NEW'!$B$19:$B$201),'Бланк OLD 0.8 04'!$B$12:$K$200,2,0)="","",VLOOKUP($A309-COUNT('Шаг2.Бланк заказа NEW'!$B$19:$B$201),'Бланк OLD 0.8 04'!$B$12:$K$200,2,0))),
IF(VLOOKUP($A309-COUNT('Шаг2.Бланк заказа NEW'!$B$19:$B$201)-COUNT('Бланк OLD 0.8 04'!$B$18:$B$200),'Бланк OLD 2.0 04 '!$B$16:$K$200,2,0)="","",VLOOKUP($A309-COUNT('Шаг2.Бланк заказа NEW'!$B$19:$B$201)-COUNT('Бланк OLD 0.8 04'!$B$18:$B$200),'Бланк OLD 2.0 04 '!$B$16:$K$200,2,0)))</f>
        <v/>
      </c>
      <c r="F309" s="147" t="str">
        <f ca="1">IFERROR(IFERROR(IF(VLOOKUP($A309,'Шаг2.Бланк заказа NEW'!$B$17:$N$201,3,0)="","",VLOOKUP($A309,'Шаг2.Бланк заказа NEW'!$B$17:$N$201,3,0)),
IF(VLOOKUP($A309-COUNT('Шаг2.Бланк заказа NEW'!$B$19:$B$201),'Бланк OLD 0.8 04'!$B$12:$K$200,3,0)="","",VLOOKUP($A309-COUNT('Шаг2.Бланк заказа NEW'!$B$19:$B$201),'Бланк OLD 0.8 04'!$B$12:$K$200,3,0))),
IF(VLOOKUP($A309-COUNT('Шаг2.Бланк заказа NEW'!$B$19:$B$201)-COUNT('Бланк OLD 0.8 04'!$B$18:$B$200),'Бланк OLD 2.0 04 '!$B$16:$K$200,3,0)="","",VLOOKUP($A309-COUNT('Шаг2.Бланк заказа NEW'!$B$19:$B$201)-COUNT('Бланк OLD 0.8 04'!$B$18:$B$200),'Бланк OLD 2.0 04 '!$B$16:$K$200,3,0)))</f>
        <v/>
      </c>
      <c r="G309" s="176" t="str">
        <f ca="1">IF(IF(R309="","",IF(R309=1,SUMIFS('Шаг1.Выбор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плиты'!C:Q,12,0)),1))))))=0,
R309,
IF(R309="","",IF(R309=1,SUMIFS('Шаг1.Выбор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плиты'!N:N,R309,'Шаг1.Выбор плиты'!M:M,SMALL(INDIRECT("мм"&amp;VLOOKUP(C309,'Шаг1.Выбор плиты'!C:Q,12,0)),1)))))))</f>
        <v/>
      </c>
      <c r="H309" s="177" t="str">
        <f ca="1">IF(IF(S309="","",IF(S309=1,SUMIFS('Шаг1.Выбор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плиты'!C:Q,12,0)),1))))))=0,
S309,
IF(S309="","",IF(S309=1,SUMIFS('Шаг1.Выбор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плиты'!N:N,S309,'Шаг1.Выбор плиты'!M:M,SMALL(INDIRECT("мм"&amp;VLOOKUP(C309,'Шаг1.Выбор плиты'!C:Q,12,0)),1)))))))</f>
        <v/>
      </c>
      <c r="I309" s="147" t="str">
        <f ca="1">IFERROR(IFERROR(IF(VLOOKUP($A309,'Шаг2.Бланк заказа NEW'!$B$17:$N$201,6,0)="","",VLOOKUP($A309,'Шаг2.Бланк заказа NEW'!$B$17:$N$201,6,0)),
IF(VLOOKUP($A309-COUNT('Шаг2.Бланк заказа NEW'!$B$19:$B$201),'Бланк OLD 0.8 04'!$B$12:$K$200,6,0)="","",VLOOKUP($A309-COUNT('Шаг2.Бланк заказа NEW'!$B$19:$B$201),'Бланк OLD 0.8 04'!$B$12:$K$200,6,0))),
IF(VLOOKUP($A309-COUNT('Шаг2.Бланк заказа NEW'!$B$19:$B$201)-COUNT('Бланк OLD 0.8 04'!$B$18:$B$200),'Бланк OLD 2.0 04 '!$B$16:$K$200,6,0)="","",VLOOKUP($A309-COUNT('Шаг2.Бланк заказа NEW'!$B$19:$B$201)-COUNT('Бланк OLD 0.8 04'!$B$18:$B$200),'Бланк OLD 2.0 04 '!$B$16:$K$200,6,0)))</f>
        <v/>
      </c>
      <c r="J309" s="177" t="str">
        <f ca="1">IF(IF(T309="","",IF(T309=1,SUMIFS('Шаг1.Выбор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плиты'!C:Q,12,0)),1))))))=0,
T309,
IF(T309="","",IF(T309=1,SUMIFS('Шаг1.Выбор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плиты'!N:N,T309,'Шаг1.Выбор плиты'!M:M,SMALL(INDIRECT("мм"&amp;VLOOKUP(C309,'Шаг1.Выбор плиты'!C:Q,12,0)),1)))))))</f>
        <v/>
      </c>
      <c r="K309" s="177" t="str">
        <f ca="1">IF(IF(U309="","",IF(U309=1,SUMIFS('Шаг1.Выбор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плиты'!C:Q,12,0)),1))))))=0,
U309,
IF(U309="","",IF(U309=1,SUMIFS('Шаг1.Выбор плиты'!$G:$G,'Шаг1.Выбор плиты'!J:J,"*"&amp;RIGHT(VLOOKUP(C309,'Шаг1.Выбор плиты'!C:Q,8,0),4),'Шаг1.Выбор плиты'!L:L,IF(MID(C309,1,6)="ЛДСП P","TM"&amp;MID(VLOOKUP(C309,'Шаг1.Выбор плиты'!C:Q,10,0),3,2),MID(VLOOKUP(C309,'Шаг1.Выбор плиты'!C:Q,10,0),1,2)),
'Шаг1.Выбор плиты'!N:N,1),IF(SUMIFS('Шаг1.Выбор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плиты'!C:Q,12,0)),1))=0,
IF(SUMIFS('Шаг1.Выбор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плиты'!C:Q,12,0)),2))=0,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плиты'!C:Q,12,0)),3)),
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плиты'!C:Q,12,0)),2))),
(SUMIFS('Шаг1.Выбор плиты'!$G:$G,'Шаг1.Выбор плиты'!J:J,"*"&amp;RIGHT(VLOOKUP(C309,'Шаг1.Выбор плиты'!C:Q,8,0),4),'Шаг1.Выбор плиты'!L:L,VLOOKUP(C309,'Шаг1.Выбор плиты'!C:Q,10,0),'Шаг1.Выбор плиты'!N:N,U309,'Шаг1.Выбор плиты'!M:M,SMALL(INDIRECT("мм"&amp;VLOOKUP(C309,'Шаг1.Выбор плиты'!C:Q,12,0)),1)))))))</f>
        <v/>
      </c>
      <c r="L309" s="147" t="str">
        <f ca="1">IFERROR(IFERROR(IF(VLOOKUP($A309,'Шаг2.Бланк заказа NEW'!$B$17:$N$201,9,0)="","",VLOOKUP($A309,'Шаг2.Бланк заказа NEW'!$B$17:$N$201,9,0)),
IF(VLOOKUP($A309-COUNT('Шаг2.Бланк заказа NEW'!$B$19:$B$201),'Бланк OLD 0.8 04'!$B$12:$K$200,9,0)="","",VLOOKUP($A309-COUNT('Шаг2.Бланк заказа NEW'!$B$19:$B$201),'Бланк OLD 0.8 04'!$B$12:$K$200,9,0))),
IF(VLOOKUP($A309-COUNT('Шаг2.Бланк заказа NEW'!$B$19:$B$201)-COUNT('Бланк OLD 0.8 04'!$B$18:$B$200),'Бланк OLD 2.0 04 '!$B$16:$K$200,9,0)="","",VLOOKUP($A309-COUNT('Шаг2.Бланк заказа NEW'!$B$19:$B$201)-COUNT('Бланк OLD 0.8 04'!$B$18:$B$200),'Бланк OLD 2.0 04 '!$B$16:$K$200,9,0)))</f>
        <v/>
      </c>
      <c r="M309" s="154" t="str">
        <f t="shared" ca="1" si="25"/>
        <v/>
      </c>
      <c r="N309" s="153" t="str">
        <f ca="1">IFERROR(IF(VLOOKUP($A309,'Шаг2.Бланк заказа NEW'!$B$17:$N$201,11,0)="","",VLOOKUP($A309,'Шаг2.Бланк заказа NEW'!$B$17:$N$201,11,0)),
"Нет")</f>
        <v/>
      </c>
      <c r="O309" s="147" t="str">
        <f ca="1">IFERROR(IF(VLOOKUP($A309,'Шаг2.Бланк заказа NEW'!$B$17:$N$201,11,0)="","",VLOOKUP($A309,'Шаг2.Бланк заказа NEW'!$B$17:$N$201,12,0)),
"Нет")</f>
        <v/>
      </c>
      <c r="P309" s="153" t="str">
        <f ca="1">IFERROR(IF(VLOOKUP($A309,'Шаг2.Бланк заказа NEW'!$B$17:$N$201,13,0)="","",VLOOKUP($A309,'Шаг2.Бланк заказа NEW'!$B$17:$N$201,13,0)),
"Нет")</f>
        <v/>
      </c>
      <c r="Q309" s="147" t="str">
        <f ca="1">IFERROR(IF(VLOOKUP($A309,'Шаг2.Бланк заказа NEW'!$B$17:$O$201,14,0)="","",VLOOKUP($A309,'Шаг2.Бланк заказа NEW'!$B$17:$O$201,14,0)),"")</f>
        <v/>
      </c>
      <c r="R309" s="147" t="str">
        <f ca="1">IFERROR(IFERROR(IF(VLOOKUP($A309,'Шаг2.Бланк заказа NEW'!$B$17:$N$201,4,0)="","",VLOOKUP($A309,'Шаг2.Бланк заказа NEW'!$B$17:$N$201,4,0)),
IF(VLOOKUP($A309-COUNT('Шаг2.Бланк заказа NEW'!$B$19:$B$201),'Бланк OLD 0.8 04'!$B$12:$K$200,4,0)&gt;0,0.8,
IF(VLOOKUP($A309-COUNT('Шаг2.Бланк заказа NEW'!$B$19:$B$201),'Бланк OLD 0.8 04'!$B$12:$K$200,5,0)&gt;0,0.4,""))),
IF(VLOOKUP($A309-COUNT('Шаг2.Бланк заказа NEW'!$B$19:$B$201)-COUNT('Бланк OLD 0.8 04'!$B$18:$B$200),'Бланк OLD 2.0 04 '!$B$16:$K$200,4,0)&gt;0,2,IF(VLOOKUP($A309-COUNT('Шаг2.Бланк заказа NEW'!$B$19:$B$201)-COUNT('Бланк OLD 0.8 04'!$B$18:$B$200),'Бланк OLD 2.0 04 '!$B$16:$K$200,5,0)&gt;0,0.4,"")))</f>
        <v/>
      </c>
      <c r="S309" s="147" t="str">
        <f ca="1">IFERROR(IFERROR(IF(VLOOKUP($A309,'Шаг2.Бланк заказа NEW'!$B$17:$N$201,5,0)="","",VLOOKUP($A309,'Шаг2.Бланк заказа NEW'!$B$17:$N$201,5,0)),
IF(VLOOKUP($A309-COUNT('Шаг2.Бланк заказа NEW'!$B$19:$B$201),'Бланк OLD 0.8 04'!$B$12:$K$200,4,0)&gt;1,0.8,
IF(VLOOKUP($A309-COUNT('Шаг2.Бланк заказа NEW'!$B$19:$B$201),'Бланк OLD 0.8 04'!$B$12:$K$200,5,0)&gt;1,0.4,
IF(AND(VLOOKUP($A309-COUNT('Шаг2.Бланк заказа NEW'!$B$19:$B$201),'Бланк OLD 0.8 04'!$B$12:$K$200,4,0)&gt;0,VLOOKUP($A309-COUNT('Шаг2.Бланк заказа NEW'!$B$19:$B$201),'Бланк OLD 0.8 04'!$B$12:$K$200,5,0)&gt;0),0.4,"")))),
IF(VLOOKUP($A309-COUNT('Шаг2.Бланк заказа NEW'!$B$19:$B$201)-COUNT('Бланк OLD 0.8 04'!$B$18:$B$200),'Бланк OLD 2.0 04 '!$B$16:$K$200,4,0)&gt;1,2,
IF(VLOOKUP($A309-COUNT('Шаг2.Бланк заказа NEW'!$B$19:$B$201)-COUNT('Бланк OLD 0.8 04'!$B$18:$B$200),'Бланк OLD 2.0 04 '!$B$16:$K$200,5,0)&gt;1,0.4,IF(AND(VLOOKUP($A309-COUNT('Шаг2.Бланк заказа NEW'!$B$19:$B$201)-COUNT('Бланк OLD 0.8 04'!$B$18:$B$200),'Бланк OLD 2.0 04 '!$B$16:$K$200,4,0)&gt;0,VLOOKUP($A309-COUNT('Шаг2.Бланк заказа NEW'!$B$19:$B$201)-COUNT('Бланк OLD 0.8 04'!$B$18:$B$200),'Бланк OLD 2.0 04 '!$B$16:$K$200,5,0)&gt;0),0.4,""))))</f>
        <v/>
      </c>
      <c r="T309" s="147" t="str">
        <f ca="1">IFERROR(IFERROR(IF(VLOOKUP($A309,'Шаг2.Бланк заказа NEW'!$B$17:$N$201,7,0)="","",VLOOKUP($A309,'Шаг2.Бланк заказа NEW'!$B$17:$N$201,7,0)),
IF(VLOOKUP($A309-COUNT('Шаг2.Бланк заказа NEW'!$B$19:$B$201),'Бланк OLD 0.8 04'!$B$12:$K$200,7,0)&gt;0,0.8,
IF(VLOOKUP($A309-COUNT('Шаг2.Бланк заказа NEW'!$B$19:$B$201),'Бланк OLD 0.8 04'!$B$12:$K$200,8,0)&gt;0,0.4,""))),
IF(VLOOKUP($A309-COUNT('Шаг2.Бланк заказа NEW'!$B$19:$B$201)-COUNT('Бланк OLD 0.8 04'!$B$18:$B$200),'Бланк OLD 2.0 04 '!$B$16:$K$200,7,0)&gt;0,2,IF(VLOOKUP($A309-COUNT('Шаг2.Бланк заказа NEW'!$B$19:$B$201)-COUNT('Бланк OLD 0.8 04'!$B$18:$B$200),'Бланк OLD 2.0 04 '!$B$16:$K$200,8,0)&gt;0,0.4,"")))</f>
        <v/>
      </c>
      <c r="U309" s="147" t="str">
        <f ca="1">IFERROR(IFERROR(IF(VLOOKUP($A309,'Шаг2.Бланк заказа NEW'!$B$17:$N$201,8,0)="","",VLOOKUP($A309,'Шаг2.Бланк заказа NEW'!$B$17:$N$201,8,0)),
IF(VLOOKUP($A309-COUNT('Шаг2.Бланк заказа NEW'!$B$19:$B$201),'Бланк OLD 0.8 04'!$B$12:$K$200,7,0)&gt;1,0.8,
IF(VLOOKUP($A309-COUNT('Шаг2.Бланк заказа NEW'!$B$19:$B$201),'Бланк OLD 0.8 04'!$B$12:$K$200,8,0)&gt;1,0.4,
IF(AND(VLOOKUP($A309-COUNT('Шаг2.Бланк заказа NEW'!$B$19:$B$201),'Бланк OLD 0.8 04'!$B$12:$K$200,7,0)&gt;0,VLOOKUP($A309-COUNT('Шаг2.Бланк заказа NEW'!$B$19:$B$201),'Бланк OLD 0.8 04'!$B$12:$K$200,8,0)&gt;0),0.4,"")))),
IF(VLOOKUP($A309-COUNT('Шаг2.Бланк заказа NEW'!$B$19:$B$201)-COUNT('Бланк OLD 0.8 04'!$B$18:$B$200),'Бланк OLD 2.0 04 '!$B$16:$K$200,7,0)&gt;1,2,
IF(VLOOKUP($A309-COUNT('Шаг2.Бланк заказа NEW'!$B$19:$B$201)-COUNT('Бланк OLD 0.8 04'!$B$18:$B$200),'Бланк OLD 2.0 04 '!$B$16:$K$200,8,0)&gt;1,0.4,
IF(AND(VLOOKUP($A309-COUNT('Шаг2.Бланк заказа NEW'!$B$19:$B$201)-COUNT('Бланк OLD 0.8 04'!$B$18:$B$200),'Бланк OLD 2.0 04 '!$B$16:$K$200,7,0)&gt;0,VLOOKUP($A309-COUNT('Шаг2.Бланк заказа NEW'!$B$19:$B$201)-COUNT('Бланк OLD 0.8 04'!$B$18:$B$200),'Бланк OLD 2.0 04 '!$B$16:$K$200,8,0)&gt;0),0.4,""))))</f>
        <v/>
      </c>
      <c r="V309" s="146" t="str">
        <f ca="1">IFERROR(VLOOKUP(C309,'Шаг1.Выбор плиты'!C:S,12,0),"")</f>
        <v/>
      </c>
      <c r="W309" s="146" t="str">
        <f ca="1">IFERROR(VLOOKUP(C309,'Шаг1.Выбор плиты'!C:S,8,0),"")</f>
        <v/>
      </c>
      <c r="X309" s="146" t="str">
        <f ca="1">IFERROR(VLOOKUP(C309,'Шаг1.Выбор плиты'!C:S,10,0),"")</f>
        <v/>
      </c>
      <c r="Y309" s="147" t="str">
        <f t="shared" ca="1" si="23"/>
        <v/>
      </c>
      <c r="AD309" s="147" t="str">
        <f t="shared" ca="1" si="26"/>
        <v/>
      </c>
      <c r="AE309" s="147" t="str">
        <f t="shared" ca="1" si="24"/>
        <v/>
      </c>
      <c r="AF309" s="25"/>
      <c r="AH309" s="147" t="str">
        <f ca="1">IF(C309="","",VLOOKUP(C309,'Шаг1.Выбор плиты'!C:Q,7,0))</f>
        <v/>
      </c>
      <c r="AI309" s="147" t="str">
        <f t="shared" ca="1" si="27"/>
        <v/>
      </c>
    </row>
    <row r="310" spans="1:35" x14ac:dyDescent="0.2">
      <c r="A310" s="151" t="str">
        <f ca="1">IF(C310="","",MAX($A$1:OFFSET(C310,-1,0))+1)</f>
        <v/>
      </c>
      <c r="B310" s="151" t="str">
        <f ca="1">IFERROR(IFERROR(IFERROR("Шаг2.Бланк заказа NEW №"&amp;VLOOKUP(A309+1,CHOOSE({1,2},'Шаг2.Бланк заказа NEW'!$B$19:$B$201,'Шаг2.Бланк заказа NEW'!$A$19:$A$201),1,0),
"Бланк OLD 0.8 04 №"&amp;VLOOKUP(A309+1-COUNT('Шаг2.Бланк заказа NEW'!$B$19:$B$201),CHOOSE({1,2},'Бланк OLD 0.8 04'!$B$18:$B$200,'Бланк OLD 0.8 04'!$A$18:$A$200),1,0)),
"Бланк OLD 2.0 04 №"&amp;VLOOKUP(A309+1-COUNT('Шаг2.Бланк заказа NEW'!$B$19:$B$201)-COUNT('Бланк OLD 0.8 04'!$B$18:$B$200),CHOOSE({1,2},'Бланк OLD 2.0 04 '!$B$18:$B$200,'Бланк OLD 2.0 04 '!$A$18:$A$200),1,0)),"")</f>
        <v/>
      </c>
      <c r="C310" s="152" t="str">
        <f ca="1">IFERROR(IFERROR(IFERROR(VLOOKUP(A309+1,CHOOSE({1,2},'Шаг2.Бланк заказа NEW'!$B$19:$B$201,'Шаг2.Бланк заказа NEW'!$A$19:$A$201),2,0),
VLOOKUP(A309+1-COUNT('Шаг2.Бланк заказа NEW'!$B$19:$B$201),CHOOSE({1,2},'Бланк OLD 0.8 04'!$B$18:$B$200,'Бланк OLD 0.8 04'!$A$18:$A$200),2,0)),
VLOOKUP(A309+1-COUNT('Шаг2.Бланк заказа NEW'!$B$19:$B$201)-COUNT('Бланк OLD 0.8 04'!$B$18:$B$200),CHOOSE({1,2},'Бланк OLD 2.0 04 '!$B$18:$B$200,'Бланк OLD 2.0 04 '!$A$18:$A$200),2,0)),"")</f>
        <v/>
      </c>
      <c r="D310" s="150" t="str">
        <f ca="1">IFERROR(VLOOKUP(C310,'Шаг1.Выбор плиты'!C:G,5,0),"")</f>
        <v/>
      </c>
      <c r="E310" s="147" t="str">
        <f ca="1">IFERROR(IFERROR(IF(VLOOKUP($A310,'Шаг2.Бланк заказа NEW'!$B$17:$N$201,2,0)="","",VLOOKUP($A310,'Шаг2.Бланк заказа NEW'!$B$17:$N$201,2,0)),
IF(VLOOKUP($A310-COUNT('Шаг2.Бланк заказа NEW'!$B$19:$B$201),'Бланк OLD 0.8 04'!$B$12:$K$200,2,0)="","",VLOOKUP($A310-COUNT('Шаг2.Бланк заказа NEW'!$B$19:$B$201),'Бланк OLD 0.8 04'!$B$12:$K$200,2,0))),
IF(VLOOKUP($A310-COUNT('Шаг2.Бланк заказа NEW'!$B$19:$B$201)-COUNT('Бланк OLD 0.8 04'!$B$18:$B$200),'Бланк OLD 2.0 04 '!$B$16:$K$200,2,0)="","",VLOOKUP($A310-COUNT('Шаг2.Бланк заказа NEW'!$B$19:$B$201)-COUNT('Бланк OLD 0.8 04'!$B$18:$B$200),'Бланк OLD 2.0 04 '!$B$16:$K$200,2,0)))</f>
        <v/>
      </c>
      <c r="F310" s="147" t="str">
        <f ca="1">IFERROR(IFERROR(IF(VLOOKUP($A310,'Шаг2.Бланк заказа NEW'!$B$17:$N$201,3,0)="","",VLOOKUP($A310,'Шаг2.Бланк заказа NEW'!$B$17:$N$201,3,0)),
IF(VLOOKUP($A310-COUNT('Шаг2.Бланк заказа NEW'!$B$19:$B$201),'Бланк OLD 0.8 04'!$B$12:$K$200,3,0)="","",VLOOKUP($A310-COUNT('Шаг2.Бланк заказа NEW'!$B$19:$B$201),'Бланк OLD 0.8 04'!$B$12:$K$200,3,0))),
IF(VLOOKUP($A310-COUNT('Шаг2.Бланк заказа NEW'!$B$19:$B$201)-COUNT('Бланк OLD 0.8 04'!$B$18:$B$200),'Бланк OLD 2.0 04 '!$B$16:$K$200,3,0)="","",VLOOKUP($A310-COUNT('Шаг2.Бланк заказа NEW'!$B$19:$B$201)-COUNT('Бланк OLD 0.8 04'!$B$18:$B$200),'Бланк OLD 2.0 04 '!$B$16:$K$200,3,0)))</f>
        <v/>
      </c>
      <c r="G310" s="176" t="str">
        <f ca="1">IF(IF(R310="","",IF(R310=1,SUMIFS('Шаг1.Выбор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плиты'!C:Q,12,0)),1))))))=0,
R310,
IF(R310="","",IF(R310=1,SUMIFS('Шаг1.Выбор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плиты'!N:N,R310,'Шаг1.Выбор плиты'!M:M,SMALL(INDIRECT("мм"&amp;VLOOKUP(C310,'Шаг1.Выбор плиты'!C:Q,12,0)),1)))))))</f>
        <v/>
      </c>
      <c r="H310" s="177" t="str">
        <f ca="1">IF(IF(S310="","",IF(S310=1,SUMIFS('Шаг1.Выбор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плиты'!C:Q,12,0)),1))))))=0,
S310,
IF(S310="","",IF(S310=1,SUMIFS('Шаг1.Выбор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плиты'!N:N,S310,'Шаг1.Выбор плиты'!M:M,SMALL(INDIRECT("мм"&amp;VLOOKUP(C310,'Шаг1.Выбор плиты'!C:Q,12,0)),1)))))))</f>
        <v/>
      </c>
      <c r="I310" s="147" t="str">
        <f ca="1">IFERROR(IFERROR(IF(VLOOKUP($A310,'Шаг2.Бланк заказа NEW'!$B$17:$N$201,6,0)="","",VLOOKUP($A310,'Шаг2.Бланк заказа NEW'!$B$17:$N$201,6,0)),
IF(VLOOKUP($A310-COUNT('Шаг2.Бланк заказа NEW'!$B$19:$B$201),'Бланк OLD 0.8 04'!$B$12:$K$200,6,0)="","",VLOOKUP($A310-COUNT('Шаг2.Бланк заказа NEW'!$B$19:$B$201),'Бланк OLD 0.8 04'!$B$12:$K$200,6,0))),
IF(VLOOKUP($A310-COUNT('Шаг2.Бланк заказа NEW'!$B$19:$B$201)-COUNT('Бланк OLD 0.8 04'!$B$18:$B$200),'Бланк OLD 2.0 04 '!$B$16:$K$200,6,0)="","",VLOOKUP($A310-COUNT('Шаг2.Бланк заказа NEW'!$B$19:$B$201)-COUNT('Бланк OLD 0.8 04'!$B$18:$B$200),'Бланк OLD 2.0 04 '!$B$16:$K$200,6,0)))</f>
        <v/>
      </c>
      <c r="J310" s="177" t="str">
        <f ca="1">IF(IF(T310="","",IF(T310=1,SUMIFS('Шаг1.Выбор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плиты'!C:Q,12,0)),1))))))=0,
T310,
IF(T310="","",IF(T310=1,SUMIFS('Шаг1.Выбор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плиты'!N:N,T310,'Шаг1.Выбор плиты'!M:M,SMALL(INDIRECT("мм"&amp;VLOOKUP(C310,'Шаг1.Выбор плиты'!C:Q,12,0)),1)))))))</f>
        <v/>
      </c>
      <c r="K310" s="177" t="str">
        <f ca="1">IF(IF(U310="","",IF(U310=1,SUMIFS('Шаг1.Выбор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плиты'!C:Q,12,0)),1))))))=0,
U310,
IF(U310="","",IF(U310=1,SUMIFS('Шаг1.Выбор плиты'!$G:$G,'Шаг1.Выбор плиты'!J:J,"*"&amp;RIGHT(VLOOKUP(C310,'Шаг1.Выбор плиты'!C:Q,8,0),4),'Шаг1.Выбор плиты'!L:L,IF(MID(C310,1,6)="ЛДСП P","TM"&amp;MID(VLOOKUP(C310,'Шаг1.Выбор плиты'!C:Q,10,0),3,2),MID(VLOOKUP(C310,'Шаг1.Выбор плиты'!C:Q,10,0),1,2)),
'Шаг1.Выбор плиты'!N:N,1),IF(SUMIFS('Шаг1.Выбор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плиты'!C:Q,12,0)),1))=0,
IF(SUMIFS('Шаг1.Выбор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плиты'!C:Q,12,0)),2))=0,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плиты'!C:Q,12,0)),3)),
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плиты'!C:Q,12,0)),2))),
(SUMIFS('Шаг1.Выбор плиты'!$G:$G,'Шаг1.Выбор плиты'!J:J,"*"&amp;RIGHT(VLOOKUP(C310,'Шаг1.Выбор плиты'!C:Q,8,0),4),'Шаг1.Выбор плиты'!L:L,VLOOKUP(C310,'Шаг1.Выбор плиты'!C:Q,10,0),'Шаг1.Выбор плиты'!N:N,U310,'Шаг1.Выбор плиты'!M:M,SMALL(INDIRECT("мм"&amp;VLOOKUP(C310,'Шаг1.Выбор плиты'!C:Q,12,0)),1)))))))</f>
        <v/>
      </c>
      <c r="L310" s="147" t="str">
        <f ca="1">IFERROR(IFERROR(IF(VLOOKUP($A310,'Шаг2.Бланк заказа NEW'!$B$17:$N$201,9,0)="","",VLOOKUP($A310,'Шаг2.Бланк заказа NEW'!$B$17:$N$201,9,0)),
IF(VLOOKUP($A310-COUNT('Шаг2.Бланк заказа NEW'!$B$19:$B$201),'Бланк OLD 0.8 04'!$B$12:$K$200,9,0)="","",VLOOKUP($A310-COUNT('Шаг2.Бланк заказа NEW'!$B$19:$B$201),'Бланк OLD 0.8 04'!$B$12:$K$200,9,0))),
IF(VLOOKUP($A310-COUNT('Шаг2.Бланк заказа NEW'!$B$19:$B$201)-COUNT('Бланк OLD 0.8 04'!$B$18:$B$200),'Бланк OLD 2.0 04 '!$B$16:$K$200,9,0)="","",VLOOKUP($A310-COUNT('Шаг2.Бланк заказа NEW'!$B$19:$B$201)-COUNT('Бланк OLD 0.8 04'!$B$18:$B$200),'Бланк OLD 2.0 04 '!$B$16:$K$200,9,0)))</f>
        <v/>
      </c>
      <c r="M310" s="154" t="str">
        <f t="shared" ca="1" si="25"/>
        <v/>
      </c>
      <c r="N310" s="153" t="str">
        <f ca="1">IFERROR(IF(VLOOKUP($A310,'Шаг2.Бланк заказа NEW'!$B$17:$N$201,11,0)="","",VLOOKUP($A310,'Шаг2.Бланк заказа NEW'!$B$17:$N$201,11,0)),
"Нет")</f>
        <v/>
      </c>
      <c r="O310" s="147" t="str">
        <f ca="1">IFERROR(IF(VLOOKUP($A310,'Шаг2.Бланк заказа NEW'!$B$17:$N$201,11,0)="","",VLOOKUP($A310,'Шаг2.Бланк заказа NEW'!$B$17:$N$201,12,0)),
"Нет")</f>
        <v/>
      </c>
      <c r="P310" s="153" t="str">
        <f ca="1">IFERROR(IF(VLOOKUP($A310,'Шаг2.Бланк заказа NEW'!$B$17:$N$201,13,0)="","",VLOOKUP($A310,'Шаг2.Бланк заказа NEW'!$B$17:$N$201,13,0)),
"Нет")</f>
        <v/>
      </c>
      <c r="Q310" s="147" t="str">
        <f ca="1">IFERROR(IF(VLOOKUP($A310,'Шаг2.Бланк заказа NEW'!$B$17:$O$201,14,0)="","",VLOOKUP($A310,'Шаг2.Бланк заказа NEW'!$B$17:$O$201,14,0)),"")</f>
        <v/>
      </c>
      <c r="R310" s="147" t="str">
        <f ca="1">IFERROR(IFERROR(IF(VLOOKUP($A310,'Шаг2.Бланк заказа NEW'!$B$17:$N$201,4,0)="","",VLOOKUP($A310,'Шаг2.Бланк заказа NEW'!$B$17:$N$201,4,0)),
IF(VLOOKUP($A310-COUNT('Шаг2.Бланк заказа NEW'!$B$19:$B$201),'Бланк OLD 0.8 04'!$B$12:$K$200,4,0)&gt;0,0.8,
IF(VLOOKUP($A310-COUNT('Шаг2.Бланк заказа NEW'!$B$19:$B$201),'Бланк OLD 0.8 04'!$B$12:$K$200,5,0)&gt;0,0.4,""))),
IF(VLOOKUP($A310-COUNT('Шаг2.Бланк заказа NEW'!$B$19:$B$201)-COUNT('Бланк OLD 0.8 04'!$B$18:$B$200),'Бланк OLD 2.0 04 '!$B$16:$K$200,4,0)&gt;0,2,IF(VLOOKUP($A310-COUNT('Шаг2.Бланк заказа NEW'!$B$19:$B$201)-COUNT('Бланк OLD 0.8 04'!$B$18:$B$200),'Бланк OLD 2.0 04 '!$B$16:$K$200,5,0)&gt;0,0.4,"")))</f>
        <v/>
      </c>
      <c r="S310" s="147" t="str">
        <f ca="1">IFERROR(IFERROR(IF(VLOOKUP($A310,'Шаг2.Бланк заказа NEW'!$B$17:$N$201,5,0)="","",VLOOKUP($A310,'Шаг2.Бланк заказа NEW'!$B$17:$N$201,5,0)),
IF(VLOOKUP($A310-COUNT('Шаг2.Бланк заказа NEW'!$B$19:$B$201),'Бланк OLD 0.8 04'!$B$12:$K$200,4,0)&gt;1,0.8,
IF(VLOOKUP($A310-COUNT('Шаг2.Бланк заказа NEW'!$B$19:$B$201),'Бланк OLD 0.8 04'!$B$12:$K$200,5,0)&gt;1,0.4,
IF(AND(VLOOKUP($A310-COUNT('Шаг2.Бланк заказа NEW'!$B$19:$B$201),'Бланк OLD 0.8 04'!$B$12:$K$200,4,0)&gt;0,VLOOKUP($A310-COUNT('Шаг2.Бланк заказа NEW'!$B$19:$B$201),'Бланк OLD 0.8 04'!$B$12:$K$200,5,0)&gt;0),0.4,"")))),
IF(VLOOKUP($A310-COUNT('Шаг2.Бланк заказа NEW'!$B$19:$B$201)-COUNT('Бланк OLD 0.8 04'!$B$18:$B$200),'Бланк OLD 2.0 04 '!$B$16:$K$200,4,0)&gt;1,2,
IF(VLOOKUP($A310-COUNT('Шаг2.Бланк заказа NEW'!$B$19:$B$201)-COUNT('Бланк OLD 0.8 04'!$B$18:$B$200),'Бланк OLD 2.0 04 '!$B$16:$K$200,5,0)&gt;1,0.4,IF(AND(VLOOKUP($A310-COUNT('Шаг2.Бланк заказа NEW'!$B$19:$B$201)-COUNT('Бланк OLD 0.8 04'!$B$18:$B$200),'Бланк OLD 2.0 04 '!$B$16:$K$200,4,0)&gt;0,VLOOKUP($A310-COUNT('Шаг2.Бланк заказа NEW'!$B$19:$B$201)-COUNT('Бланк OLD 0.8 04'!$B$18:$B$200),'Бланк OLD 2.0 04 '!$B$16:$K$200,5,0)&gt;0),0.4,""))))</f>
        <v/>
      </c>
      <c r="T310" s="147" t="str">
        <f ca="1">IFERROR(IFERROR(IF(VLOOKUP($A310,'Шаг2.Бланк заказа NEW'!$B$17:$N$201,7,0)="","",VLOOKUP($A310,'Шаг2.Бланк заказа NEW'!$B$17:$N$201,7,0)),
IF(VLOOKUP($A310-COUNT('Шаг2.Бланк заказа NEW'!$B$19:$B$201),'Бланк OLD 0.8 04'!$B$12:$K$200,7,0)&gt;0,0.8,
IF(VLOOKUP($A310-COUNT('Шаг2.Бланк заказа NEW'!$B$19:$B$201),'Бланк OLD 0.8 04'!$B$12:$K$200,8,0)&gt;0,0.4,""))),
IF(VLOOKUP($A310-COUNT('Шаг2.Бланк заказа NEW'!$B$19:$B$201)-COUNT('Бланк OLD 0.8 04'!$B$18:$B$200),'Бланк OLD 2.0 04 '!$B$16:$K$200,7,0)&gt;0,2,IF(VLOOKUP($A310-COUNT('Шаг2.Бланк заказа NEW'!$B$19:$B$201)-COUNT('Бланк OLD 0.8 04'!$B$18:$B$200),'Бланк OLD 2.0 04 '!$B$16:$K$200,8,0)&gt;0,0.4,"")))</f>
        <v/>
      </c>
      <c r="U310" s="147" t="str">
        <f ca="1">IFERROR(IFERROR(IF(VLOOKUP($A310,'Шаг2.Бланк заказа NEW'!$B$17:$N$201,8,0)="","",VLOOKUP($A310,'Шаг2.Бланк заказа NEW'!$B$17:$N$201,8,0)),
IF(VLOOKUP($A310-COUNT('Шаг2.Бланк заказа NEW'!$B$19:$B$201),'Бланк OLD 0.8 04'!$B$12:$K$200,7,0)&gt;1,0.8,
IF(VLOOKUP($A310-COUNT('Шаг2.Бланк заказа NEW'!$B$19:$B$201),'Бланк OLD 0.8 04'!$B$12:$K$200,8,0)&gt;1,0.4,
IF(AND(VLOOKUP($A310-COUNT('Шаг2.Бланк заказа NEW'!$B$19:$B$201),'Бланк OLD 0.8 04'!$B$12:$K$200,7,0)&gt;0,VLOOKUP($A310-COUNT('Шаг2.Бланк заказа NEW'!$B$19:$B$201),'Бланк OLD 0.8 04'!$B$12:$K$200,8,0)&gt;0),0.4,"")))),
IF(VLOOKUP($A310-COUNT('Шаг2.Бланк заказа NEW'!$B$19:$B$201)-COUNT('Бланк OLD 0.8 04'!$B$18:$B$200),'Бланк OLD 2.0 04 '!$B$16:$K$200,7,0)&gt;1,2,
IF(VLOOKUP($A310-COUNT('Шаг2.Бланк заказа NEW'!$B$19:$B$201)-COUNT('Бланк OLD 0.8 04'!$B$18:$B$200),'Бланк OLD 2.0 04 '!$B$16:$K$200,8,0)&gt;1,0.4,
IF(AND(VLOOKUP($A310-COUNT('Шаг2.Бланк заказа NEW'!$B$19:$B$201)-COUNT('Бланк OLD 0.8 04'!$B$18:$B$200),'Бланк OLD 2.0 04 '!$B$16:$K$200,7,0)&gt;0,VLOOKUP($A310-COUNT('Шаг2.Бланк заказа NEW'!$B$19:$B$201)-COUNT('Бланк OLD 0.8 04'!$B$18:$B$200),'Бланк OLD 2.0 04 '!$B$16:$K$200,8,0)&gt;0),0.4,""))))</f>
        <v/>
      </c>
      <c r="V310" s="146" t="str">
        <f ca="1">IFERROR(VLOOKUP(C310,'Шаг1.Выбор плиты'!C:S,12,0),"")</f>
        <v/>
      </c>
      <c r="W310" s="146" t="str">
        <f ca="1">IFERROR(VLOOKUP(C310,'Шаг1.Выбор плиты'!C:S,8,0),"")</f>
        <v/>
      </c>
      <c r="X310" s="146" t="str">
        <f ca="1">IFERROR(VLOOKUP(C310,'Шаг1.Выбор плиты'!C:S,10,0),"")</f>
        <v/>
      </c>
      <c r="Y310" s="147" t="str">
        <f t="shared" ca="1" si="23"/>
        <v/>
      </c>
      <c r="AD310" s="147" t="str">
        <f t="shared" ca="1" si="26"/>
        <v/>
      </c>
      <c r="AE310" s="147" t="str">
        <f t="shared" ca="1" si="24"/>
        <v/>
      </c>
      <c r="AF310" s="25"/>
      <c r="AH310" s="147" t="str">
        <f ca="1">IF(C310="","",VLOOKUP(C310,'Шаг1.Выбор плиты'!C:Q,7,0))</f>
        <v/>
      </c>
      <c r="AI310" s="147" t="str">
        <f t="shared" ca="1" si="27"/>
        <v/>
      </c>
    </row>
    <row r="311" spans="1:35" x14ac:dyDescent="0.2">
      <c r="A311" s="151" t="str">
        <f ca="1">IF(C311="","",MAX($A$1:OFFSET(C311,-1,0))+1)</f>
        <v/>
      </c>
      <c r="B311" s="151" t="str">
        <f ca="1">IFERROR(IFERROR(IFERROR("Шаг2.Бланк заказа NEW №"&amp;VLOOKUP(A310+1,CHOOSE({1,2},'Шаг2.Бланк заказа NEW'!$B$19:$B$201,'Шаг2.Бланк заказа NEW'!$A$19:$A$201),1,0),
"Бланк OLD 0.8 04 №"&amp;VLOOKUP(A310+1-COUNT('Шаг2.Бланк заказа NEW'!$B$19:$B$201),CHOOSE({1,2},'Бланк OLD 0.8 04'!$B$18:$B$200,'Бланк OLD 0.8 04'!$A$18:$A$200),1,0)),
"Бланк OLD 2.0 04 №"&amp;VLOOKUP(A310+1-COUNT('Шаг2.Бланк заказа NEW'!$B$19:$B$201)-COUNT('Бланк OLD 0.8 04'!$B$18:$B$200),CHOOSE({1,2},'Бланк OLD 2.0 04 '!$B$18:$B$200,'Бланк OLD 2.0 04 '!$A$18:$A$200),1,0)),"")</f>
        <v/>
      </c>
      <c r="C311" s="152" t="str">
        <f ca="1">IFERROR(IFERROR(IFERROR(VLOOKUP(A310+1,CHOOSE({1,2},'Шаг2.Бланк заказа NEW'!$B$19:$B$201,'Шаг2.Бланк заказа NEW'!$A$19:$A$201),2,0),
VLOOKUP(A310+1-COUNT('Шаг2.Бланк заказа NEW'!$B$19:$B$201),CHOOSE({1,2},'Бланк OLD 0.8 04'!$B$18:$B$200,'Бланк OLD 0.8 04'!$A$18:$A$200),2,0)),
VLOOKUP(A310+1-COUNT('Шаг2.Бланк заказа NEW'!$B$19:$B$201)-COUNT('Бланк OLD 0.8 04'!$B$18:$B$200),CHOOSE({1,2},'Бланк OLD 2.0 04 '!$B$18:$B$200,'Бланк OLD 2.0 04 '!$A$18:$A$200),2,0)),"")</f>
        <v/>
      </c>
      <c r="D311" s="150" t="str">
        <f ca="1">IFERROR(VLOOKUP(C311,'Шаг1.Выбор плиты'!C:G,5,0),"")</f>
        <v/>
      </c>
      <c r="E311" s="147" t="str">
        <f ca="1">IFERROR(IFERROR(IF(VLOOKUP($A311,'Шаг2.Бланк заказа NEW'!$B$17:$N$201,2,0)="","",VLOOKUP($A311,'Шаг2.Бланк заказа NEW'!$B$17:$N$201,2,0)),
IF(VLOOKUP($A311-COUNT('Шаг2.Бланк заказа NEW'!$B$19:$B$201),'Бланк OLD 0.8 04'!$B$12:$K$200,2,0)="","",VLOOKUP($A311-COUNT('Шаг2.Бланк заказа NEW'!$B$19:$B$201),'Бланк OLD 0.8 04'!$B$12:$K$200,2,0))),
IF(VLOOKUP($A311-COUNT('Шаг2.Бланк заказа NEW'!$B$19:$B$201)-COUNT('Бланк OLD 0.8 04'!$B$18:$B$200),'Бланк OLD 2.0 04 '!$B$16:$K$200,2,0)="","",VLOOKUP($A311-COUNT('Шаг2.Бланк заказа NEW'!$B$19:$B$201)-COUNT('Бланк OLD 0.8 04'!$B$18:$B$200),'Бланк OLD 2.0 04 '!$B$16:$K$200,2,0)))</f>
        <v/>
      </c>
      <c r="F311" s="147" t="str">
        <f ca="1">IFERROR(IFERROR(IF(VLOOKUP($A311,'Шаг2.Бланк заказа NEW'!$B$17:$N$201,3,0)="","",VLOOKUP($A311,'Шаг2.Бланк заказа NEW'!$B$17:$N$201,3,0)),
IF(VLOOKUP($A311-COUNT('Шаг2.Бланк заказа NEW'!$B$19:$B$201),'Бланк OLD 0.8 04'!$B$12:$K$200,3,0)="","",VLOOKUP($A311-COUNT('Шаг2.Бланк заказа NEW'!$B$19:$B$201),'Бланк OLD 0.8 04'!$B$12:$K$200,3,0))),
IF(VLOOKUP($A311-COUNT('Шаг2.Бланк заказа NEW'!$B$19:$B$201)-COUNT('Бланк OLD 0.8 04'!$B$18:$B$200),'Бланк OLD 2.0 04 '!$B$16:$K$200,3,0)="","",VLOOKUP($A311-COUNT('Шаг2.Бланк заказа NEW'!$B$19:$B$201)-COUNT('Бланк OLD 0.8 04'!$B$18:$B$200),'Бланк OLD 2.0 04 '!$B$16:$K$200,3,0)))</f>
        <v/>
      </c>
      <c r="G311" s="176" t="str">
        <f ca="1">IF(IF(R311="","",IF(R311=1,SUMIFS('Шаг1.Выбор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плиты'!C:Q,12,0)),1))))))=0,
R311,
IF(R311="","",IF(R311=1,SUMIFS('Шаг1.Выбор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плиты'!N:N,R311,'Шаг1.Выбор плиты'!M:M,SMALL(INDIRECT("мм"&amp;VLOOKUP(C311,'Шаг1.Выбор плиты'!C:Q,12,0)),1)))))))</f>
        <v/>
      </c>
      <c r="H311" s="177" t="str">
        <f ca="1">IF(IF(S311="","",IF(S311=1,SUMIFS('Шаг1.Выбор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плиты'!C:Q,12,0)),1))))))=0,
S311,
IF(S311="","",IF(S311=1,SUMIFS('Шаг1.Выбор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плиты'!N:N,S311,'Шаг1.Выбор плиты'!M:M,SMALL(INDIRECT("мм"&amp;VLOOKUP(C311,'Шаг1.Выбор плиты'!C:Q,12,0)),1)))))))</f>
        <v/>
      </c>
      <c r="I311" s="147" t="str">
        <f ca="1">IFERROR(IFERROR(IF(VLOOKUP($A311,'Шаг2.Бланк заказа NEW'!$B$17:$N$201,6,0)="","",VLOOKUP($A311,'Шаг2.Бланк заказа NEW'!$B$17:$N$201,6,0)),
IF(VLOOKUP($A311-COUNT('Шаг2.Бланк заказа NEW'!$B$19:$B$201),'Бланк OLD 0.8 04'!$B$12:$K$200,6,0)="","",VLOOKUP($A311-COUNT('Шаг2.Бланк заказа NEW'!$B$19:$B$201),'Бланк OLD 0.8 04'!$B$12:$K$200,6,0))),
IF(VLOOKUP($A311-COUNT('Шаг2.Бланк заказа NEW'!$B$19:$B$201)-COUNT('Бланк OLD 0.8 04'!$B$18:$B$200),'Бланк OLD 2.0 04 '!$B$16:$K$200,6,0)="","",VLOOKUP($A311-COUNT('Шаг2.Бланк заказа NEW'!$B$19:$B$201)-COUNT('Бланк OLD 0.8 04'!$B$18:$B$200),'Бланк OLD 2.0 04 '!$B$16:$K$200,6,0)))</f>
        <v/>
      </c>
      <c r="J311" s="177" t="str">
        <f ca="1">IF(IF(T311="","",IF(T311=1,SUMIFS('Шаг1.Выбор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плиты'!C:Q,12,0)),1))))))=0,
T311,
IF(T311="","",IF(T311=1,SUMIFS('Шаг1.Выбор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плиты'!N:N,T311,'Шаг1.Выбор плиты'!M:M,SMALL(INDIRECT("мм"&amp;VLOOKUP(C311,'Шаг1.Выбор плиты'!C:Q,12,0)),1)))))))</f>
        <v/>
      </c>
      <c r="K311" s="177" t="str">
        <f ca="1">IF(IF(U311="","",IF(U311=1,SUMIFS('Шаг1.Выбор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плиты'!C:Q,12,0)),1))))))=0,
U311,
IF(U311="","",IF(U311=1,SUMIFS('Шаг1.Выбор плиты'!$G:$G,'Шаг1.Выбор плиты'!J:J,"*"&amp;RIGHT(VLOOKUP(C311,'Шаг1.Выбор плиты'!C:Q,8,0),4),'Шаг1.Выбор плиты'!L:L,IF(MID(C311,1,6)="ЛДСП P","TM"&amp;MID(VLOOKUP(C311,'Шаг1.Выбор плиты'!C:Q,10,0),3,2),MID(VLOOKUP(C311,'Шаг1.Выбор плиты'!C:Q,10,0),1,2)),
'Шаг1.Выбор плиты'!N:N,1),IF(SUMIFS('Шаг1.Выбор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плиты'!C:Q,12,0)),1))=0,
IF(SUMIFS('Шаг1.Выбор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плиты'!C:Q,12,0)),2))=0,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плиты'!C:Q,12,0)),3)),
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плиты'!C:Q,12,0)),2))),
(SUMIFS('Шаг1.Выбор плиты'!$G:$G,'Шаг1.Выбор плиты'!J:J,"*"&amp;RIGHT(VLOOKUP(C311,'Шаг1.Выбор плиты'!C:Q,8,0),4),'Шаг1.Выбор плиты'!L:L,VLOOKUP(C311,'Шаг1.Выбор плиты'!C:Q,10,0),'Шаг1.Выбор плиты'!N:N,U311,'Шаг1.Выбор плиты'!M:M,SMALL(INDIRECT("мм"&amp;VLOOKUP(C311,'Шаг1.Выбор плиты'!C:Q,12,0)),1)))))))</f>
        <v/>
      </c>
      <c r="L311" s="147" t="str">
        <f ca="1">IFERROR(IFERROR(IF(VLOOKUP($A311,'Шаг2.Бланк заказа NEW'!$B$17:$N$201,9,0)="","",VLOOKUP($A311,'Шаг2.Бланк заказа NEW'!$B$17:$N$201,9,0)),
IF(VLOOKUP($A311-COUNT('Шаг2.Бланк заказа NEW'!$B$19:$B$201),'Бланк OLD 0.8 04'!$B$12:$K$200,9,0)="","",VLOOKUP($A311-COUNT('Шаг2.Бланк заказа NEW'!$B$19:$B$201),'Бланк OLD 0.8 04'!$B$12:$K$200,9,0))),
IF(VLOOKUP($A311-COUNT('Шаг2.Бланк заказа NEW'!$B$19:$B$201)-COUNT('Бланк OLD 0.8 04'!$B$18:$B$200),'Бланк OLD 2.0 04 '!$B$16:$K$200,9,0)="","",VLOOKUP($A311-COUNT('Шаг2.Бланк заказа NEW'!$B$19:$B$201)-COUNT('Бланк OLD 0.8 04'!$B$18:$B$200),'Бланк OLD 2.0 04 '!$B$16:$K$200,9,0)))</f>
        <v/>
      </c>
      <c r="M311" s="154" t="str">
        <f t="shared" ca="1" si="25"/>
        <v/>
      </c>
      <c r="N311" s="153" t="str">
        <f ca="1">IFERROR(IF(VLOOKUP($A311,'Шаг2.Бланк заказа NEW'!$B$17:$N$201,11,0)="","",VLOOKUP($A311,'Шаг2.Бланк заказа NEW'!$B$17:$N$201,11,0)),
"Нет")</f>
        <v/>
      </c>
      <c r="O311" s="147" t="str">
        <f ca="1">IFERROR(IF(VLOOKUP($A311,'Шаг2.Бланк заказа NEW'!$B$17:$N$201,11,0)="","",VLOOKUP($A311,'Шаг2.Бланк заказа NEW'!$B$17:$N$201,12,0)),
"Нет")</f>
        <v/>
      </c>
      <c r="P311" s="153" t="str">
        <f ca="1">IFERROR(IF(VLOOKUP($A311,'Шаг2.Бланк заказа NEW'!$B$17:$N$201,13,0)="","",VLOOKUP($A311,'Шаг2.Бланк заказа NEW'!$B$17:$N$201,13,0)),
"Нет")</f>
        <v/>
      </c>
      <c r="Q311" s="147" t="str">
        <f ca="1">IFERROR(IF(VLOOKUP($A311,'Шаг2.Бланк заказа NEW'!$B$17:$O$201,14,0)="","",VLOOKUP($A311,'Шаг2.Бланк заказа NEW'!$B$17:$O$201,14,0)),"")</f>
        <v/>
      </c>
      <c r="R311" s="147" t="str">
        <f ca="1">IFERROR(IFERROR(IF(VLOOKUP($A311,'Шаг2.Бланк заказа NEW'!$B$17:$N$201,4,0)="","",VLOOKUP($A311,'Шаг2.Бланк заказа NEW'!$B$17:$N$201,4,0)),
IF(VLOOKUP($A311-COUNT('Шаг2.Бланк заказа NEW'!$B$19:$B$201),'Бланк OLD 0.8 04'!$B$12:$K$200,4,0)&gt;0,0.8,
IF(VLOOKUP($A311-COUNT('Шаг2.Бланк заказа NEW'!$B$19:$B$201),'Бланк OLD 0.8 04'!$B$12:$K$200,5,0)&gt;0,0.4,""))),
IF(VLOOKUP($A311-COUNT('Шаг2.Бланк заказа NEW'!$B$19:$B$201)-COUNT('Бланк OLD 0.8 04'!$B$18:$B$200),'Бланк OLD 2.0 04 '!$B$16:$K$200,4,0)&gt;0,2,IF(VLOOKUP($A311-COUNT('Шаг2.Бланк заказа NEW'!$B$19:$B$201)-COUNT('Бланк OLD 0.8 04'!$B$18:$B$200),'Бланк OLD 2.0 04 '!$B$16:$K$200,5,0)&gt;0,0.4,"")))</f>
        <v/>
      </c>
      <c r="S311" s="147" t="str">
        <f ca="1">IFERROR(IFERROR(IF(VLOOKUP($A311,'Шаг2.Бланк заказа NEW'!$B$17:$N$201,5,0)="","",VLOOKUP($A311,'Шаг2.Бланк заказа NEW'!$B$17:$N$201,5,0)),
IF(VLOOKUP($A311-COUNT('Шаг2.Бланк заказа NEW'!$B$19:$B$201),'Бланк OLD 0.8 04'!$B$12:$K$200,4,0)&gt;1,0.8,
IF(VLOOKUP($A311-COUNT('Шаг2.Бланк заказа NEW'!$B$19:$B$201),'Бланк OLD 0.8 04'!$B$12:$K$200,5,0)&gt;1,0.4,
IF(AND(VLOOKUP($A311-COUNT('Шаг2.Бланк заказа NEW'!$B$19:$B$201),'Бланк OLD 0.8 04'!$B$12:$K$200,4,0)&gt;0,VLOOKUP($A311-COUNT('Шаг2.Бланк заказа NEW'!$B$19:$B$201),'Бланк OLD 0.8 04'!$B$12:$K$200,5,0)&gt;0),0.4,"")))),
IF(VLOOKUP($A311-COUNT('Шаг2.Бланк заказа NEW'!$B$19:$B$201)-COUNT('Бланк OLD 0.8 04'!$B$18:$B$200),'Бланк OLD 2.0 04 '!$B$16:$K$200,4,0)&gt;1,2,
IF(VLOOKUP($A311-COUNT('Шаг2.Бланк заказа NEW'!$B$19:$B$201)-COUNT('Бланк OLD 0.8 04'!$B$18:$B$200),'Бланк OLD 2.0 04 '!$B$16:$K$200,5,0)&gt;1,0.4,IF(AND(VLOOKUP($A311-COUNT('Шаг2.Бланк заказа NEW'!$B$19:$B$201)-COUNT('Бланк OLD 0.8 04'!$B$18:$B$200),'Бланк OLD 2.0 04 '!$B$16:$K$200,4,0)&gt;0,VLOOKUP($A311-COUNT('Шаг2.Бланк заказа NEW'!$B$19:$B$201)-COUNT('Бланк OLD 0.8 04'!$B$18:$B$200),'Бланк OLD 2.0 04 '!$B$16:$K$200,5,0)&gt;0),0.4,""))))</f>
        <v/>
      </c>
      <c r="T311" s="147" t="str">
        <f ca="1">IFERROR(IFERROR(IF(VLOOKUP($A311,'Шаг2.Бланк заказа NEW'!$B$17:$N$201,7,0)="","",VLOOKUP($A311,'Шаг2.Бланк заказа NEW'!$B$17:$N$201,7,0)),
IF(VLOOKUP($A311-COUNT('Шаг2.Бланк заказа NEW'!$B$19:$B$201),'Бланк OLD 0.8 04'!$B$12:$K$200,7,0)&gt;0,0.8,
IF(VLOOKUP($A311-COUNT('Шаг2.Бланк заказа NEW'!$B$19:$B$201),'Бланк OLD 0.8 04'!$B$12:$K$200,8,0)&gt;0,0.4,""))),
IF(VLOOKUP($A311-COUNT('Шаг2.Бланк заказа NEW'!$B$19:$B$201)-COUNT('Бланк OLD 0.8 04'!$B$18:$B$200),'Бланк OLD 2.0 04 '!$B$16:$K$200,7,0)&gt;0,2,IF(VLOOKUP($A311-COUNT('Шаг2.Бланк заказа NEW'!$B$19:$B$201)-COUNT('Бланк OLD 0.8 04'!$B$18:$B$200),'Бланк OLD 2.0 04 '!$B$16:$K$200,8,0)&gt;0,0.4,"")))</f>
        <v/>
      </c>
      <c r="U311" s="147" t="str">
        <f ca="1">IFERROR(IFERROR(IF(VLOOKUP($A311,'Шаг2.Бланк заказа NEW'!$B$17:$N$201,8,0)="","",VLOOKUP($A311,'Шаг2.Бланк заказа NEW'!$B$17:$N$201,8,0)),
IF(VLOOKUP($A311-COUNT('Шаг2.Бланк заказа NEW'!$B$19:$B$201),'Бланк OLD 0.8 04'!$B$12:$K$200,7,0)&gt;1,0.8,
IF(VLOOKUP($A311-COUNT('Шаг2.Бланк заказа NEW'!$B$19:$B$201),'Бланк OLD 0.8 04'!$B$12:$K$200,8,0)&gt;1,0.4,
IF(AND(VLOOKUP($A311-COUNT('Шаг2.Бланк заказа NEW'!$B$19:$B$201),'Бланк OLD 0.8 04'!$B$12:$K$200,7,0)&gt;0,VLOOKUP($A311-COUNT('Шаг2.Бланк заказа NEW'!$B$19:$B$201),'Бланк OLD 0.8 04'!$B$12:$K$200,8,0)&gt;0),0.4,"")))),
IF(VLOOKUP($A311-COUNT('Шаг2.Бланк заказа NEW'!$B$19:$B$201)-COUNT('Бланк OLD 0.8 04'!$B$18:$B$200),'Бланк OLD 2.0 04 '!$B$16:$K$200,7,0)&gt;1,2,
IF(VLOOKUP($A311-COUNT('Шаг2.Бланк заказа NEW'!$B$19:$B$201)-COUNT('Бланк OLD 0.8 04'!$B$18:$B$200),'Бланк OLD 2.0 04 '!$B$16:$K$200,8,0)&gt;1,0.4,
IF(AND(VLOOKUP($A311-COUNT('Шаг2.Бланк заказа NEW'!$B$19:$B$201)-COUNT('Бланк OLD 0.8 04'!$B$18:$B$200),'Бланк OLD 2.0 04 '!$B$16:$K$200,7,0)&gt;0,VLOOKUP($A311-COUNT('Шаг2.Бланк заказа NEW'!$B$19:$B$201)-COUNT('Бланк OLD 0.8 04'!$B$18:$B$200),'Бланк OLD 2.0 04 '!$B$16:$K$200,8,0)&gt;0),0.4,""))))</f>
        <v/>
      </c>
      <c r="V311" s="146" t="str">
        <f ca="1">IFERROR(VLOOKUP(C311,'Шаг1.Выбор плиты'!C:S,12,0),"")</f>
        <v/>
      </c>
      <c r="W311" s="146" t="str">
        <f ca="1">IFERROR(VLOOKUP(C311,'Шаг1.Выбор плиты'!C:S,8,0),"")</f>
        <v/>
      </c>
      <c r="X311" s="146" t="str">
        <f ca="1">IFERROR(VLOOKUP(C311,'Шаг1.Выбор плиты'!C:S,10,0),"")</f>
        <v/>
      </c>
      <c r="Y311" s="147" t="str">
        <f t="shared" ca="1" si="23"/>
        <v/>
      </c>
      <c r="AD311" s="147" t="str">
        <f t="shared" ca="1" si="26"/>
        <v/>
      </c>
      <c r="AE311" s="147" t="str">
        <f t="shared" ca="1" si="24"/>
        <v/>
      </c>
      <c r="AF311" s="25"/>
      <c r="AH311" s="147" t="str">
        <f ca="1">IF(C311="","",VLOOKUP(C311,'Шаг1.Выбор плиты'!C:Q,7,0))</f>
        <v/>
      </c>
      <c r="AI311" s="147" t="str">
        <f t="shared" ca="1" si="27"/>
        <v/>
      </c>
    </row>
    <row r="312" spans="1:35" x14ac:dyDescent="0.2">
      <c r="A312" s="151" t="str">
        <f ca="1">IF(C312="","",MAX($A$1:OFFSET(C312,-1,0))+1)</f>
        <v/>
      </c>
      <c r="B312" s="151" t="str">
        <f ca="1">IFERROR(IFERROR(IFERROR("Шаг2.Бланк заказа NEW №"&amp;VLOOKUP(A311+1,CHOOSE({1,2},'Шаг2.Бланк заказа NEW'!$B$19:$B$201,'Шаг2.Бланк заказа NEW'!$A$19:$A$201),1,0),
"Бланк OLD 0.8 04 №"&amp;VLOOKUP(A311+1-COUNT('Шаг2.Бланк заказа NEW'!$B$19:$B$201),CHOOSE({1,2},'Бланк OLD 0.8 04'!$B$18:$B$200,'Бланк OLD 0.8 04'!$A$18:$A$200),1,0)),
"Бланк OLD 2.0 04 №"&amp;VLOOKUP(A311+1-COUNT('Шаг2.Бланк заказа NEW'!$B$19:$B$201)-COUNT('Бланк OLD 0.8 04'!$B$18:$B$200),CHOOSE({1,2},'Бланк OLD 2.0 04 '!$B$18:$B$200,'Бланк OLD 2.0 04 '!$A$18:$A$200),1,0)),"")</f>
        <v/>
      </c>
      <c r="C312" s="152" t="str">
        <f ca="1">IFERROR(IFERROR(IFERROR(VLOOKUP(A311+1,CHOOSE({1,2},'Шаг2.Бланк заказа NEW'!$B$19:$B$201,'Шаг2.Бланк заказа NEW'!$A$19:$A$201),2,0),
VLOOKUP(A311+1-COUNT('Шаг2.Бланк заказа NEW'!$B$19:$B$201),CHOOSE({1,2},'Бланк OLD 0.8 04'!$B$18:$B$200,'Бланк OLD 0.8 04'!$A$18:$A$200),2,0)),
VLOOKUP(A311+1-COUNT('Шаг2.Бланк заказа NEW'!$B$19:$B$201)-COUNT('Бланк OLD 0.8 04'!$B$18:$B$200),CHOOSE({1,2},'Бланк OLD 2.0 04 '!$B$18:$B$200,'Бланк OLD 2.0 04 '!$A$18:$A$200),2,0)),"")</f>
        <v/>
      </c>
      <c r="D312" s="150" t="str">
        <f ca="1">IFERROR(VLOOKUP(C312,'Шаг1.Выбор плиты'!C:G,5,0),"")</f>
        <v/>
      </c>
      <c r="E312" s="147" t="str">
        <f ca="1">IFERROR(IFERROR(IF(VLOOKUP($A312,'Шаг2.Бланк заказа NEW'!$B$17:$N$201,2,0)="","",VLOOKUP($A312,'Шаг2.Бланк заказа NEW'!$B$17:$N$201,2,0)),
IF(VLOOKUP($A312-COUNT('Шаг2.Бланк заказа NEW'!$B$19:$B$201),'Бланк OLD 0.8 04'!$B$12:$K$200,2,0)="","",VLOOKUP($A312-COUNT('Шаг2.Бланк заказа NEW'!$B$19:$B$201),'Бланк OLD 0.8 04'!$B$12:$K$200,2,0))),
IF(VLOOKUP($A312-COUNT('Шаг2.Бланк заказа NEW'!$B$19:$B$201)-COUNT('Бланк OLD 0.8 04'!$B$18:$B$200),'Бланк OLD 2.0 04 '!$B$16:$K$200,2,0)="","",VLOOKUP($A312-COUNT('Шаг2.Бланк заказа NEW'!$B$19:$B$201)-COUNT('Бланк OLD 0.8 04'!$B$18:$B$200),'Бланк OLD 2.0 04 '!$B$16:$K$200,2,0)))</f>
        <v/>
      </c>
      <c r="F312" s="147" t="str">
        <f ca="1">IFERROR(IFERROR(IF(VLOOKUP($A312,'Шаг2.Бланк заказа NEW'!$B$17:$N$201,3,0)="","",VLOOKUP($A312,'Шаг2.Бланк заказа NEW'!$B$17:$N$201,3,0)),
IF(VLOOKUP($A312-COUNT('Шаг2.Бланк заказа NEW'!$B$19:$B$201),'Бланк OLD 0.8 04'!$B$12:$K$200,3,0)="","",VLOOKUP($A312-COUNT('Шаг2.Бланк заказа NEW'!$B$19:$B$201),'Бланк OLD 0.8 04'!$B$12:$K$200,3,0))),
IF(VLOOKUP($A312-COUNT('Шаг2.Бланк заказа NEW'!$B$19:$B$201)-COUNT('Бланк OLD 0.8 04'!$B$18:$B$200),'Бланк OLD 2.0 04 '!$B$16:$K$200,3,0)="","",VLOOKUP($A312-COUNT('Шаг2.Бланк заказа NEW'!$B$19:$B$201)-COUNT('Бланк OLD 0.8 04'!$B$18:$B$200),'Бланк OLD 2.0 04 '!$B$16:$K$200,3,0)))</f>
        <v/>
      </c>
      <c r="G312" s="176" t="str">
        <f ca="1">IF(IF(R312="","",IF(R312=1,SUMIFS('Шаг1.Выбор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плиты'!C:Q,12,0)),1))))))=0,
R312,
IF(R312="","",IF(R312=1,SUMIFS('Шаг1.Выбор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плиты'!N:N,R312,'Шаг1.Выбор плиты'!M:M,SMALL(INDIRECT("мм"&amp;VLOOKUP(C312,'Шаг1.Выбор плиты'!C:Q,12,0)),1)))))))</f>
        <v/>
      </c>
      <c r="H312" s="177" t="str">
        <f ca="1">IF(IF(S312="","",IF(S312=1,SUMIFS('Шаг1.Выбор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плиты'!C:Q,12,0)),1))))))=0,
S312,
IF(S312="","",IF(S312=1,SUMIFS('Шаг1.Выбор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плиты'!N:N,S312,'Шаг1.Выбор плиты'!M:M,SMALL(INDIRECT("мм"&amp;VLOOKUP(C312,'Шаг1.Выбор плиты'!C:Q,12,0)),1)))))))</f>
        <v/>
      </c>
      <c r="I312" s="147" t="str">
        <f ca="1">IFERROR(IFERROR(IF(VLOOKUP($A312,'Шаг2.Бланк заказа NEW'!$B$17:$N$201,6,0)="","",VLOOKUP($A312,'Шаг2.Бланк заказа NEW'!$B$17:$N$201,6,0)),
IF(VLOOKUP($A312-COUNT('Шаг2.Бланк заказа NEW'!$B$19:$B$201),'Бланк OLD 0.8 04'!$B$12:$K$200,6,0)="","",VLOOKUP($A312-COUNT('Шаг2.Бланк заказа NEW'!$B$19:$B$201),'Бланк OLD 0.8 04'!$B$12:$K$200,6,0))),
IF(VLOOKUP($A312-COUNT('Шаг2.Бланк заказа NEW'!$B$19:$B$201)-COUNT('Бланк OLD 0.8 04'!$B$18:$B$200),'Бланк OLD 2.0 04 '!$B$16:$K$200,6,0)="","",VLOOKUP($A312-COUNT('Шаг2.Бланк заказа NEW'!$B$19:$B$201)-COUNT('Бланк OLD 0.8 04'!$B$18:$B$200),'Бланк OLD 2.0 04 '!$B$16:$K$200,6,0)))</f>
        <v/>
      </c>
      <c r="J312" s="177" t="str">
        <f ca="1">IF(IF(T312="","",IF(T312=1,SUMIFS('Шаг1.Выбор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плиты'!C:Q,12,0)),1))))))=0,
T312,
IF(T312="","",IF(T312=1,SUMIFS('Шаг1.Выбор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плиты'!N:N,T312,'Шаг1.Выбор плиты'!M:M,SMALL(INDIRECT("мм"&amp;VLOOKUP(C312,'Шаг1.Выбор плиты'!C:Q,12,0)),1)))))))</f>
        <v/>
      </c>
      <c r="K312" s="177" t="str">
        <f ca="1">IF(IF(U312="","",IF(U312=1,SUMIFS('Шаг1.Выбор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плиты'!C:Q,12,0)),1))))))=0,
U312,
IF(U312="","",IF(U312=1,SUMIFS('Шаг1.Выбор плиты'!$G:$G,'Шаг1.Выбор плиты'!J:J,"*"&amp;RIGHT(VLOOKUP(C312,'Шаг1.Выбор плиты'!C:Q,8,0),4),'Шаг1.Выбор плиты'!L:L,IF(MID(C312,1,6)="ЛДСП P","TM"&amp;MID(VLOOKUP(C312,'Шаг1.Выбор плиты'!C:Q,10,0),3,2),MID(VLOOKUP(C312,'Шаг1.Выбор плиты'!C:Q,10,0),1,2)),
'Шаг1.Выбор плиты'!N:N,1),IF(SUMIFS('Шаг1.Выбор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плиты'!C:Q,12,0)),1))=0,
IF(SUMIFS('Шаг1.Выбор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плиты'!C:Q,12,0)),2))=0,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плиты'!C:Q,12,0)),3)),
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плиты'!C:Q,12,0)),2))),
(SUMIFS('Шаг1.Выбор плиты'!$G:$G,'Шаг1.Выбор плиты'!J:J,"*"&amp;RIGHT(VLOOKUP(C312,'Шаг1.Выбор плиты'!C:Q,8,0),4),'Шаг1.Выбор плиты'!L:L,VLOOKUP(C312,'Шаг1.Выбор плиты'!C:Q,10,0),'Шаг1.Выбор плиты'!N:N,U312,'Шаг1.Выбор плиты'!M:M,SMALL(INDIRECT("мм"&amp;VLOOKUP(C312,'Шаг1.Выбор плиты'!C:Q,12,0)),1)))))))</f>
        <v/>
      </c>
      <c r="L312" s="147" t="str">
        <f ca="1">IFERROR(IFERROR(IF(VLOOKUP($A312,'Шаг2.Бланк заказа NEW'!$B$17:$N$201,9,0)="","",VLOOKUP($A312,'Шаг2.Бланк заказа NEW'!$B$17:$N$201,9,0)),
IF(VLOOKUP($A312-COUNT('Шаг2.Бланк заказа NEW'!$B$19:$B$201),'Бланк OLD 0.8 04'!$B$12:$K$200,9,0)="","",VLOOKUP($A312-COUNT('Шаг2.Бланк заказа NEW'!$B$19:$B$201),'Бланк OLD 0.8 04'!$B$12:$K$200,9,0))),
IF(VLOOKUP($A312-COUNT('Шаг2.Бланк заказа NEW'!$B$19:$B$201)-COUNT('Бланк OLD 0.8 04'!$B$18:$B$200),'Бланк OLD 2.0 04 '!$B$16:$K$200,9,0)="","",VLOOKUP($A312-COUNT('Шаг2.Бланк заказа NEW'!$B$19:$B$201)-COUNT('Бланк OLD 0.8 04'!$B$18:$B$200),'Бланк OLD 2.0 04 '!$B$16:$K$200,9,0)))</f>
        <v/>
      </c>
      <c r="M312" s="154" t="str">
        <f t="shared" ca="1" si="25"/>
        <v/>
      </c>
      <c r="N312" s="153" t="str">
        <f ca="1">IFERROR(IF(VLOOKUP($A312,'Шаг2.Бланк заказа NEW'!$B$17:$N$201,11,0)="","",VLOOKUP($A312,'Шаг2.Бланк заказа NEW'!$B$17:$N$201,11,0)),
"Нет")</f>
        <v/>
      </c>
      <c r="O312" s="147" t="str">
        <f ca="1">IFERROR(IF(VLOOKUP($A312,'Шаг2.Бланк заказа NEW'!$B$17:$N$201,11,0)="","",VLOOKUP($A312,'Шаг2.Бланк заказа NEW'!$B$17:$N$201,12,0)),
"Нет")</f>
        <v/>
      </c>
      <c r="P312" s="153" t="str">
        <f ca="1">IFERROR(IF(VLOOKUP($A312,'Шаг2.Бланк заказа NEW'!$B$17:$N$201,13,0)="","",VLOOKUP($A312,'Шаг2.Бланк заказа NEW'!$B$17:$N$201,13,0)),
"Нет")</f>
        <v/>
      </c>
      <c r="Q312" s="147" t="str">
        <f ca="1">IFERROR(IF(VLOOKUP($A312,'Шаг2.Бланк заказа NEW'!$B$17:$O$201,14,0)="","",VLOOKUP($A312,'Шаг2.Бланк заказа NEW'!$B$17:$O$201,14,0)),"")</f>
        <v/>
      </c>
      <c r="R312" s="147" t="str">
        <f ca="1">IFERROR(IFERROR(IF(VLOOKUP($A312,'Шаг2.Бланк заказа NEW'!$B$17:$N$201,4,0)="","",VLOOKUP($A312,'Шаг2.Бланк заказа NEW'!$B$17:$N$201,4,0)),
IF(VLOOKUP($A312-COUNT('Шаг2.Бланк заказа NEW'!$B$19:$B$201),'Бланк OLD 0.8 04'!$B$12:$K$200,4,0)&gt;0,0.8,
IF(VLOOKUP($A312-COUNT('Шаг2.Бланк заказа NEW'!$B$19:$B$201),'Бланк OLD 0.8 04'!$B$12:$K$200,5,0)&gt;0,0.4,""))),
IF(VLOOKUP($A312-COUNT('Шаг2.Бланк заказа NEW'!$B$19:$B$201)-COUNT('Бланк OLD 0.8 04'!$B$18:$B$200),'Бланк OLD 2.0 04 '!$B$16:$K$200,4,0)&gt;0,2,IF(VLOOKUP($A312-COUNT('Шаг2.Бланк заказа NEW'!$B$19:$B$201)-COUNT('Бланк OLD 0.8 04'!$B$18:$B$200),'Бланк OLD 2.0 04 '!$B$16:$K$200,5,0)&gt;0,0.4,"")))</f>
        <v/>
      </c>
      <c r="S312" s="147" t="str">
        <f ca="1">IFERROR(IFERROR(IF(VLOOKUP($A312,'Шаг2.Бланк заказа NEW'!$B$17:$N$201,5,0)="","",VLOOKUP($A312,'Шаг2.Бланк заказа NEW'!$B$17:$N$201,5,0)),
IF(VLOOKUP($A312-COUNT('Шаг2.Бланк заказа NEW'!$B$19:$B$201),'Бланк OLD 0.8 04'!$B$12:$K$200,4,0)&gt;1,0.8,
IF(VLOOKUP($A312-COUNT('Шаг2.Бланк заказа NEW'!$B$19:$B$201),'Бланк OLD 0.8 04'!$B$12:$K$200,5,0)&gt;1,0.4,
IF(AND(VLOOKUP($A312-COUNT('Шаг2.Бланк заказа NEW'!$B$19:$B$201),'Бланк OLD 0.8 04'!$B$12:$K$200,4,0)&gt;0,VLOOKUP($A312-COUNT('Шаг2.Бланк заказа NEW'!$B$19:$B$201),'Бланк OLD 0.8 04'!$B$12:$K$200,5,0)&gt;0),0.4,"")))),
IF(VLOOKUP($A312-COUNT('Шаг2.Бланк заказа NEW'!$B$19:$B$201)-COUNT('Бланк OLD 0.8 04'!$B$18:$B$200),'Бланк OLD 2.0 04 '!$B$16:$K$200,4,0)&gt;1,2,
IF(VLOOKUP($A312-COUNT('Шаг2.Бланк заказа NEW'!$B$19:$B$201)-COUNT('Бланк OLD 0.8 04'!$B$18:$B$200),'Бланк OLD 2.0 04 '!$B$16:$K$200,5,0)&gt;1,0.4,IF(AND(VLOOKUP($A312-COUNT('Шаг2.Бланк заказа NEW'!$B$19:$B$201)-COUNT('Бланк OLD 0.8 04'!$B$18:$B$200),'Бланк OLD 2.0 04 '!$B$16:$K$200,4,0)&gt;0,VLOOKUP($A312-COUNT('Шаг2.Бланк заказа NEW'!$B$19:$B$201)-COUNT('Бланк OLD 0.8 04'!$B$18:$B$200),'Бланк OLD 2.0 04 '!$B$16:$K$200,5,0)&gt;0),0.4,""))))</f>
        <v/>
      </c>
      <c r="T312" s="147" t="str">
        <f ca="1">IFERROR(IFERROR(IF(VLOOKUP($A312,'Шаг2.Бланк заказа NEW'!$B$17:$N$201,7,0)="","",VLOOKUP($A312,'Шаг2.Бланк заказа NEW'!$B$17:$N$201,7,0)),
IF(VLOOKUP($A312-COUNT('Шаг2.Бланк заказа NEW'!$B$19:$B$201),'Бланк OLD 0.8 04'!$B$12:$K$200,7,0)&gt;0,0.8,
IF(VLOOKUP($A312-COUNT('Шаг2.Бланк заказа NEW'!$B$19:$B$201),'Бланк OLD 0.8 04'!$B$12:$K$200,8,0)&gt;0,0.4,""))),
IF(VLOOKUP($A312-COUNT('Шаг2.Бланк заказа NEW'!$B$19:$B$201)-COUNT('Бланк OLD 0.8 04'!$B$18:$B$200),'Бланк OLD 2.0 04 '!$B$16:$K$200,7,0)&gt;0,2,IF(VLOOKUP($A312-COUNT('Шаг2.Бланк заказа NEW'!$B$19:$B$201)-COUNT('Бланк OLD 0.8 04'!$B$18:$B$200),'Бланк OLD 2.0 04 '!$B$16:$K$200,8,0)&gt;0,0.4,"")))</f>
        <v/>
      </c>
      <c r="U312" s="147" t="str">
        <f ca="1">IFERROR(IFERROR(IF(VLOOKUP($A312,'Шаг2.Бланк заказа NEW'!$B$17:$N$201,8,0)="","",VLOOKUP($A312,'Шаг2.Бланк заказа NEW'!$B$17:$N$201,8,0)),
IF(VLOOKUP($A312-COUNT('Шаг2.Бланк заказа NEW'!$B$19:$B$201),'Бланк OLD 0.8 04'!$B$12:$K$200,7,0)&gt;1,0.8,
IF(VLOOKUP($A312-COUNT('Шаг2.Бланк заказа NEW'!$B$19:$B$201),'Бланк OLD 0.8 04'!$B$12:$K$200,8,0)&gt;1,0.4,
IF(AND(VLOOKUP($A312-COUNT('Шаг2.Бланк заказа NEW'!$B$19:$B$201),'Бланк OLD 0.8 04'!$B$12:$K$200,7,0)&gt;0,VLOOKUP($A312-COUNT('Шаг2.Бланк заказа NEW'!$B$19:$B$201),'Бланк OLD 0.8 04'!$B$12:$K$200,8,0)&gt;0),0.4,"")))),
IF(VLOOKUP($A312-COUNT('Шаг2.Бланк заказа NEW'!$B$19:$B$201)-COUNT('Бланк OLD 0.8 04'!$B$18:$B$200),'Бланк OLD 2.0 04 '!$B$16:$K$200,7,0)&gt;1,2,
IF(VLOOKUP($A312-COUNT('Шаг2.Бланк заказа NEW'!$B$19:$B$201)-COUNT('Бланк OLD 0.8 04'!$B$18:$B$200),'Бланк OLD 2.0 04 '!$B$16:$K$200,8,0)&gt;1,0.4,
IF(AND(VLOOKUP($A312-COUNT('Шаг2.Бланк заказа NEW'!$B$19:$B$201)-COUNT('Бланк OLD 0.8 04'!$B$18:$B$200),'Бланк OLD 2.0 04 '!$B$16:$K$200,7,0)&gt;0,VLOOKUP($A312-COUNT('Шаг2.Бланк заказа NEW'!$B$19:$B$201)-COUNT('Бланк OLD 0.8 04'!$B$18:$B$200),'Бланк OLD 2.0 04 '!$B$16:$K$200,8,0)&gt;0),0.4,""))))</f>
        <v/>
      </c>
      <c r="V312" s="146" t="str">
        <f ca="1">IFERROR(VLOOKUP(C312,'Шаг1.Выбор плиты'!C:S,12,0),"")</f>
        <v/>
      </c>
      <c r="W312" s="146" t="str">
        <f ca="1">IFERROR(VLOOKUP(C312,'Шаг1.Выбор плиты'!C:S,8,0),"")</f>
        <v/>
      </c>
      <c r="X312" s="146" t="str">
        <f ca="1">IFERROR(VLOOKUP(C312,'Шаг1.Выбор плиты'!C:S,10,0),"")</f>
        <v/>
      </c>
      <c r="Y312" s="147" t="str">
        <f t="shared" ca="1" si="23"/>
        <v/>
      </c>
      <c r="AD312" s="147" t="str">
        <f t="shared" ca="1" si="26"/>
        <v/>
      </c>
      <c r="AE312" s="147" t="str">
        <f t="shared" ca="1" si="24"/>
        <v/>
      </c>
      <c r="AF312" s="25"/>
      <c r="AH312" s="147" t="str">
        <f ca="1">IF(C312="","",VLOOKUP(C312,'Шаг1.Выбор плиты'!C:Q,7,0))</f>
        <v/>
      </c>
      <c r="AI312" s="147" t="str">
        <f t="shared" ca="1" si="27"/>
        <v/>
      </c>
    </row>
    <row r="313" spans="1:35" x14ac:dyDescent="0.2">
      <c r="A313" s="151" t="str">
        <f ca="1">IF(C313="","",MAX($A$1:OFFSET(C313,-1,0))+1)</f>
        <v/>
      </c>
      <c r="B313" s="151" t="str">
        <f ca="1">IFERROR(IFERROR(IFERROR("Шаг2.Бланк заказа NEW №"&amp;VLOOKUP(A312+1,CHOOSE({1,2},'Шаг2.Бланк заказа NEW'!$B$19:$B$201,'Шаг2.Бланк заказа NEW'!$A$19:$A$201),1,0),
"Бланк OLD 0.8 04 №"&amp;VLOOKUP(A312+1-COUNT('Шаг2.Бланк заказа NEW'!$B$19:$B$201),CHOOSE({1,2},'Бланк OLD 0.8 04'!$B$18:$B$200,'Бланк OLD 0.8 04'!$A$18:$A$200),1,0)),
"Бланк OLD 2.0 04 №"&amp;VLOOKUP(A312+1-COUNT('Шаг2.Бланк заказа NEW'!$B$19:$B$201)-COUNT('Бланк OLD 0.8 04'!$B$18:$B$200),CHOOSE({1,2},'Бланк OLD 2.0 04 '!$B$18:$B$200,'Бланк OLD 2.0 04 '!$A$18:$A$200),1,0)),"")</f>
        <v/>
      </c>
      <c r="C313" s="152" t="str">
        <f ca="1">IFERROR(IFERROR(IFERROR(VLOOKUP(A312+1,CHOOSE({1,2},'Шаг2.Бланк заказа NEW'!$B$19:$B$201,'Шаг2.Бланк заказа NEW'!$A$19:$A$201),2,0),
VLOOKUP(A312+1-COUNT('Шаг2.Бланк заказа NEW'!$B$19:$B$201),CHOOSE({1,2},'Бланк OLD 0.8 04'!$B$18:$B$200,'Бланк OLD 0.8 04'!$A$18:$A$200),2,0)),
VLOOKUP(A312+1-COUNT('Шаг2.Бланк заказа NEW'!$B$19:$B$201)-COUNT('Бланк OLD 0.8 04'!$B$18:$B$200),CHOOSE({1,2},'Бланк OLD 2.0 04 '!$B$18:$B$200,'Бланк OLD 2.0 04 '!$A$18:$A$200),2,0)),"")</f>
        <v/>
      </c>
      <c r="D313" s="150" t="str">
        <f ca="1">IFERROR(VLOOKUP(C313,'Шаг1.Выбор плиты'!C:G,5,0),"")</f>
        <v/>
      </c>
      <c r="E313" s="147" t="str">
        <f ca="1">IFERROR(IFERROR(IF(VLOOKUP($A313,'Шаг2.Бланк заказа NEW'!$B$17:$N$201,2,0)="","",VLOOKUP($A313,'Шаг2.Бланк заказа NEW'!$B$17:$N$201,2,0)),
IF(VLOOKUP($A313-COUNT('Шаг2.Бланк заказа NEW'!$B$19:$B$201),'Бланк OLD 0.8 04'!$B$12:$K$200,2,0)="","",VLOOKUP($A313-COUNT('Шаг2.Бланк заказа NEW'!$B$19:$B$201),'Бланк OLD 0.8 04'!$B$12:$K$200,2,0))),
IF(VLOOKUP($A313-COUNT('Шаг2.Бланк заказа NEW'!$B$19:$B$201)-COUNT('Бланк OLD 0.8 04'!$B$18:$B$200),'Бланк OLD 2.0 04 '!$B$16:$K$200,2,0)="","",VLOOKUP($A313-COUNT('Шаг2.Бланк заказа NEW'!$B$19:$B$201)-COUNT('Бланк OLD 0.8 04'!$B$18:$B$200),'Бланк OLD 2.0 04 '!$B$16:$K$200,2,0)))</f>
        <v/>
      </c>
      <c r="F313" s="147" t="str">
        <f ca="1">IFERROR(IFERROR(IF(VLOOKUP($A313,'Шаг2.Бланк заказа NEW'!$B$17:$N$201,3,0)="","",VLOOKUP($A313,'Шаг2.Бланк заказа NEW'!$B$17:$N$201,3,0)),
IF(VLOOKUP($A313-COUNT('Шаг2.Бланк заказа NEW'!$B$19:$B$201),'Бланк OLD 0.8 04'!$B$12:$K$200,3,0)="","",VLOOKUP($A313-COUNT('Шаг2.Бланк заказа NEW'!$B$19:$B$201),'Бланк OLD 0.8 04'!$B$12:$K$200,3,0))),
IF(VLOOKUP($A313-COUNT('Шаг2.Бланк заказа NEW'!$B$19:$B$201)-COUNT('Бланк OLD 0.8 04'!$B$18:$B$200),'Бланк OLD 2.0 04 '!$B$16:$K$200,3,0)="","",VLOOKUP($A313-COUNT('Шаг2.Бланк заказа NEW'!$B$19:$B$201)-COUNT('Бланк OLD 0.8 04'!$B$18:$B$200),'Бланк OLD 2.0 04 '!$B$16:$K$200,3,0)))</f>
        <v/>
      </c>
      <c r="G313" s="176" t="str">
        <f ca="1">IF(IF(R313="","",IF(R313=1,SUMIFS('Шаг1.Выбор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плиты'!C:Q,12,0)),1))))))=0,
R313,
IF(R313="","",IF(R313=1,SUMIFS('Шаг1.Выбор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плиты'!N:N,R313,'Шаг1.Выбор плиты'!M:M,SMALL(INDIRECT("мм"&amp;VLOOKUP(C313,'Шаг1.Выбор плиты'!C:Q,12,0)),1)))))))</f>
        <v/>
      </c>
      <c r="H313" s="177" t="str">
        <f ca="1">IF(IF(S313="","",IF(S313=1,SUMIFS('Шаг1.Выбор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плиты'!C:Q,12,0)),1))))))=0,
S313,
IF(S313="","",IF(S313=1,SUMIFS('Шаг1.Выбор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плиты'!N:N,S313,'Шаг1.Выбор плиты'!M:M,SMALL(INDIRECT("мм"&amp;VLOOKUP(C313,'Шаг1.Выбор плиты'!C:Q,12,0)),1)))))))</f>
        <v/>
      </c>
      <c r="I313" s="147" t="str">
        <f ca="1">IFERROR(IFERROR(IF(VLOOKUP($A313,'Шаг2.Бланк заказа NEW'!$B$17:$N$201,6,0)="","",VLOOKUP($A313,'Шаг2.Бланк заказа NEW'!$B$17:$N$201,6,0)),
IF(VLOOKUP($A313-COUNT('Шаг2.Бланк заказа NEW'!$B$19:$B$201),'Бланк OLD 0.8 04'!$B$12:$K$200,6,0)="","",VLOOKUP($A313-COUNT('Шаг2.Бланк заказа NEW'!$B$19:$B$201),'Бланк OLD 0.8 04'!$B$12:$K$200,6,0))),
IF(VLOOKUP($A313-COUNT('Шаг2.Бланк заказа NEW'!$B$19:$B$201)-COUNT('Бланк OLD 0.8 04'!$B$18:$B$200),'Бланк OLD 2.0 04 '!$B$16:$K$200,6,0)="","",VLOOKUP($A313-COUNT('Шаг2.Бланк заказа NEW'!$B$19:$B$201)-COUNT('Бланк OLD 0.8 04'!$B$18:$B$200),'Бланк OLD 2.0 04 '!$B$16:$K$200,6,0)))</f>
        <v/>
      </c>
      <c r="J313" s="177" t="str">
        <f ca="1">IF(IF(T313="","",IF(T313=1,SUMIFS('Шаг1.Выбор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плиты'!C:Q,12,0)),1))))))=0,
T313,
IF(T313="","",IF(T313=1,SUMIFS('Шаг1.Выбор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плиты'!N:N,T313,'Шаг1.Выбор плиты'!M:M,SMALL(INDIRECT("мм"&amp;VLOOKUP(C313,'Шаг1.Выбор плиты'!C:Q,12,0)),1)))))))</f>
        <v/>
      </c>
      <c r="K313" s="177" t="str">
        <f ca="1">IF(IF(U313="","",IF(U313=1,SUMIFS('Шаг1.Выбор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плиты'!C:Q,12,0)),1))))))=0,
U313,
IF(U313="","",IF(U313=1,SUMIFS('Шаг1.Выбор плиты'!$G:$G,'Шаг1.Выбор плиты'!J:J,"*"&amp;RIGHT(VLOOKUP(C313,'Шаг1.Выбор плиты'!C:Q,8,0),4),'Шаг1.Выбор плиты'!L:L,IF(MID(C313,1,6)="ЛДСП P","TM"&amp;MID(VLOOKUP(C313,'Шаг1.Выбор плиты'!C:Q,10,0),3,2),MID(VLOOKUP(C313,'Шаг1.Выбор плиты'!C:Q,10,0),1,2)),
'Шаг1.Выбор плиты'!N:N,1),IF(SUMIFS('Шаг1.Выбор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плиты'!C:Q,12,0)),1))=0,
IF(SUMIFS('Шаг1.Выбор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плиты'!C:Q,12,0)),2))=0,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плиты'!C:Q,12,0)),3)),
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плиты'!C:Q,12,0)),2))),
(SUMIFS('Шаг1.Выбор плиты'!$G:$G,'Шаг1.Выбор плиты'!J:J,"*"&amp;RIGHT(VLOOKUP(C313,'Шаг1.Выбор плиты'!C:Q,8,0),4),'Шаг1.Выбор плиты'!L:L,VLOOKUP(C313,'Шаг1.Выбор плиты'!C:Q,10,0),'Шаг1.Выбор плиты'!N:N,U313,'Шаг1.Выбор плиты'!M:M,SMALL(INDIRECT("мм"&amp;VLOOKUP(C313,'Шаг1.Выбор плиты'!C:Q,12,0)),1)))))))</f>
        <v/>
      </c>
      <c r="L313" s="147" t="str">
        <f ca="1">IFERROR(IFERROR(IF(VLOOKUP($A313,'Шаг2.Бланк заказа NEW'!$B$17:$N$201,9,0)="","",VLOOKUP($A313,'Шаг2.Бланк заказа NEW'!$B$17:$N$201,9,0)),
IF(VLOOKUP($A313-COUNT('Шаг2.Бланк заказа NEW'!$B$19:$B$201),'Бланк OLD 0.8 04'!$B$12:$K$200,9,0)="","",VLOOKUP($A313-COUNT('Шаг2.Бланк заказа NEW'!$B$19:$B$201),'Бланк OLD 0.8 04'!$B$12:$K$200,9,0))),
IF(VLOOKUP($A313-COUNT('Шаг2.Бланк заказа NEW'!$B$19:$B$201)-COUNT('Бланк OLD 0.8 04'!$B$18:$B$200),'Бланк OLD 2.0 04 '!$B$16:$K$200,9,0)="","",VLOOKUP($A313-COUNT('Шаг2.Бланк заказа NEW'!$B$19:$B$201)-COUNT('Бланк OLD 0.8 04'!$B$18:$B$200),'Бланк OLD 2.0 04 '!$B$16:$K$200,9,0)))</f>
        <v/>
      </c>
      <c r="M313" s="154" t="str">
        <f t="shared" ca="1" si="25"/>
        <v/>
      </c>
      <c r="N313" s="153" t="str">
        <f ca="1">IFERROR(IF(VLOOKUP($A313,'Шаг2.Бланк заказа NEW'!$B$17:$N$201,11,0)="","",VLOOKUP($A313,'Шаг2.Бланк заказа NEW'!$B$17:$N$201,11,0)),
"Нет")</f>
        <v/>
      </c>
      <c r="O313" s="147" t="str">
        <f ca="1">IFERROR(IF(VLOOKUP($A313,'Шаг2.Бланк заказа NEW'!$B$17:$N$201,11,0)="","",VLOOKUP($A313,'Шаг2.Бланк заказа NEW'!$B$17:$N$201,12,0)),
"Нет")</f>
        <v/>
      </c>
      <c r="P313" s="153" t="str">
        <f ca="1">IFERROR(IF(VLOOKUP($A313,'Шаг2.Бланк заказа NEW'!$B$17:$N$201,13,0)="","",VLOOKUP($A313,'Шаг2.Бланк заказа NEW'!$B$17:$N$201,13,0)),
"Нет")</f>
        <v/>
      </c>
      <c r="Q313" s="147" t="str">
        <f ca="1">IFERROR(IF(VLOOKUP($A313,'Шаг2.Бланк заказа NEW'!$B$17:$O$201,14,0)="","",VLOOKUP($A313,'Шаг2.Бланк заказа NEW'!$B$17:$O$201,14,0)),"")</f>
        <v/>
      </c>
      <c r="R313" s="147" t="str">
        <f ca="1">IFERROR(IFERROR(IF(VLOOKUP($A313,'Шаг2.Бланк заказа NEW'!$B$17:$N$201,4,0)="","",VLOOKUP($A313,'Шаг2.Бланк заказа NEW'!$B$17:$N$201,4,0)),
IF(VLOOKUP($A313-COUNT('Шаг2.Бланк заказа NEW'!$B$19:$B$201),'Бланк OLD 0.8 04'!$B$12:$K$200,4,0)&gt;0,0.8,
IF(VLOOKUP($A313-COUNT('Шаг2.Бланк заказа NEW'!$B$19:$B$201),'Бланк OLD 0.8 04'!$B$12:$K$200,5,0)&gt;0,0.4,""))),
IF(VLOOKUP($A313-COUNT('Шаг2.Бланк заказа NEW'!$B$19:$B$201)-COUNT('Бланк OLD 0.8 04'!$B$18:$B$200),'Бланк OLD 2.0 04 '!$B$16:$K$200,4,0)&gt;0,2,IF(VLOOKUP($A313-COUNT('Шаг2.Бланк заказа NEW'!$B$19:$B$201)-COUNT('Бланк OLD 0.8 04'!$B$18:$B$200),'Бланк OLD 2.0 04 '!$B$16:$K$200,5,0)&gt;0,0.4,"")))</f>
        <v/>
      </c>
      <c r="S313" s="147" t="str">
        <f ca="1">IFERROR(IFERROR(IF(VLOOKUP($A313,'Шаг2.Бланк заказа NEW'!$B$17:$N$201,5,0)="","",VLOOKUP($A313,'Шаг2.Бланк заказа NEW'!$B$17:$N$201,5,0)),
IF(VLOOKUP($A313-COUNT('Шаг2.Бланк заказа NEW'!$B$19:$B$201),'Бланк OLD 0.8 04'!$B$12:$K$200,4,0)&gt;1,0.8,
IF(VLOOKUP($A313-COUNT('Шаг2.Бланк заказа NEW'!$B$19:$B$201),'Бланк OLD 0.8 04'!$B$12:$K$200,5,0)&gt;1,0.4,
IF(AND(VLOOKUP($A313-COUNT('Шаг2.Бланк заказа NEW'!$B$19:$B$201),'Бланк OLD 0.8 04'!$B$12:$K$200,4,0)&gt;0,VLOOKUP($A313-COUNT('Шаг2.Бланк заказа NEW'!$B$19:$B$201),'Бланк OLD 0.8 04'!$B$12:$K$200,5,0)&gt;0),0.4,"")))),
IF(VLOOKUP($A313-COUNT('Шаг2.Бланк заказа NEW'!$B$19:$B$201)-COUNT('Бланк OLD 0.8 04'!$B$18:$B$200),'Бланк OLD 2.0 04 '!$B$16:$K$200,4,0)&gt;1,2,
IF(VLOOKUP($A313-COUNT('Шаг2.Бланк заказа NEW'!$B$19:$B$201)-COUNT('Бланк OLD 0.8 04'!$B$18:$B$200),'Бланк OLD 2.0 04 '!$B$16:$K$200,5,0)&gt;1,0.4,IF(AND(VLOOKUP($A313-COUNT('Шаг2.Бланк заказа NEW'!$B$19:$B$201)-COUNT('Бланк OLD 0.8 04'!$B$18:$B$200),'Бланк OLD 2.0 04 '!$B$16:$K$200,4,0)&gt;0,VLOOKUP($A313-COUNT('Шаг2.Бланк заказа NEW'!$B$19:$B$201)-COUNT('Бланк OLD 0.8 04'!$B$18:$B$200),'Бланк OLD 2.0 04 '!$B$16:$K$200,5,0)&gt;0),0.4,""))))</f>
        <v/>
      </c>
      <c r="T313" s="147" t="str">
        <f ca="1">IFERROR(IFERROR(IF(VLOOKUP($A313,'Шаг2.Бланк заказа NEW'!$B$17:$N$201,7,0)="","",VLOOKUP($A313,'Шаг2.Бланк заказа NEW'!$B$17:$N$201,7,0)),
IF(VLOOKUP($A313-COUNT('Шаг2.Бланк заказа NEW'!$B$19:$B$201),'Бланк OLD 0.8 04'!$B$12:$K$200,7,0)&gt;0,0.8,
IF(VLOOKUP($A313-COUNT('Шаг2.Бланк заказа NEW'!$B$19:$B$201),'Бланк OLD 0.8 04'!$B$12:$K$200,8,0)&gt;0,0.4,""))),
IF(VLOOKUP($A313-COUNT('Шаг2.Бланк заказа NEW'!$B$19:$B$201)-COUNT('Бланк OLD 0.8 04'!$B$18:$B$200),'Бланк OLD 2.0 04 '!$B$16:$K$200,7,0)&gt;0,2,IF(VLOOKUP($A313-COUNT('Шаг2.Бланк заказа NEW'!$B$19:$B$201)-COUNT('Бланк OLD 0.8 04'!$B$18:$B$200),'Бланк OLD 2.0 04 '!$B$16:$K$200,8,0)&gt;0,0.4,"")))</f>
        <v/>
      </c>
      <c r="U313" s="147" t="str">
        <f ca="1">IFERROR(IFERROR(IF(VLOOKUP($A313,'Шаг2.Бланк заказа NEW'!$B$17:$N$201,8,0)="","",VLOOKUP($A313,'Шаг2.Бланк заказа NEW'!$B$17:$N$201,8,0)),
IF(VLOOKUP($A313-COUNT('Шаг2.Бланк заказа NEW'!$B$19:$B$201),'Бланк OLD 0.8 04'!$B$12:$K$200,7,0)&gt;1,0.8,
IF(VLOOKUP($A313-COUNT('Шаг2.Бланк заказа NEW'!$B$19:$B$201),'Бланк OLD 0.8 04'!$B$12:$K$200,8,0)&gt;1,0.4,
IF(AND(VLOOKUP($A313-COUNT('Шаг2.Бланк заказа NEW'!$B$19:$B$201),'Бланк OLD 0.8 04'!$B$12:$K$200,7,0)&gt;0,VLOOKUP($A313-COUNT('Шаг2.Бланк заказа NEW'!$B$19:$B$201),'Бланк OLD 0.8 04'!$B$12:$K$200,8,0)&gt;0),0.4,"")))),
IF(VLOOKUP($A313-COUNT('Шаг2.Бланк заказа NEW'!$B$19:$B$201)-COUNT('Бланк OLD 0.8 04'!$B$18:$B$200),'Бланк OLD 2.0 04 '!$B$16:$K$200,7,0)&gt;1,2,
IF(VLOOKUP($A313-COUNT('Шаг2.Бланк заказа NEW'!$B$19:$B$201)-COUNT('Бланк OLD 0.8 04'!$B$18:$B$200),'Бланк OLD 2.0 04 '!$B$16:$K$200,8,0)&gt;1,0.4,
IF(AND(VLOOKUP($A313-COUNT('Шаг2.Бланк заказа NEW'!$B$19:$B$201)-COUNT('Бланк OLD 0.8 04'!$B$18:$B$200),'Бланк OLD 2.0 04 '!$B$16:$K$200,7,0)&gt;0,VLOOKUP($A313-COUNT('Шаг2.Бланк заказа NEW'!$B$19:$B$201)-COUNT('Бланк OLD 0.8 04'!$B$18:$B$200),'Бланк OLD 2.0 04 '!$B$16:$K$200,8,0)&gt;0),0.4,""))))</f>
        <v/>
      </c>
      <c r="V313" s="146" t="str">
        <f ca="1">IFERROR(VLOOKUP(C313,'Шаг1.Выбор плиты'!C:S,12,0),"")</f>
        <v/>
      </c>
      <c r="W313" s="146" t="str">
        <f ca="1">IFERROR(VLOOKUP(C313,'Шаг1.Выбор плиты'!C:S,8,0),"")</f>
        <v/>
      </c>
      <c r="X313" s="146" t="str">
        <f ca="1">IFERROR(VLOOKUP(C313,'Шаг1.Выбор плиты'!C:S,10,0),"")</f>
        <v/>
      </c>
      <c r="Y313" s="147" t="str">
        <f t="shared" ca="1" si="23"/>
        <v/>
      </c>
      <c r="AD313" s="147" t="str">
        <f t="shared" ca="1" si="26"/>
        <v/>
      </c>
      <c r="AE313" s="147" t="str">
        <f t="shared" ca="1" si="24"/>
        <v/>
      </c>
      <c r="AF313" s="25"/>
      <c r="AH313" s="147" t="str">
        <f ca="1">IF(C313="","",VLOOKUP(C313,'Шаг1.Выбор плиты'!C:Q,7,0))</f>
        <v/>
      </c>
      <c r="AI313" s="147" t="str">
        <f t="shared" ca="1" si="27"/>
        <v/>
      </c>
    </row>
    <row r="314" spans="1:35" x14ac:dyDescent="0.2">
      <c r="A314" s="151" t="str">
        <f ca="1">IF(C314="","",MAX($A$1:OFFSET(C314,-1,0))+1)</f>
        <v/>
      </c>
      <c r="B314" s="151" t="str">
        <f ca="1">IFERROR(IFERROR(IFERROR("Шаг2.Бланк заказа NEW №"&amp;VLOOKUP(A313+1,CHOOSE({1,2},'Шаг2.Бланк заказа NEW'!$B$19:$B$201,'Шаг2.Бланк заказа NEW'!$A$19:$A$201),1,0),
"Бланк OLD 0.8 04 №"&amp;VLOOKUP(A313+1-COUNT('Шаг2.Бланк заказа NEW'!$B$19:$B$201),CHOOSE({1,2},'Бланк OLD 0.8 04'!$B$18:$B$200,'Бланк OLD 0.8 04'!$A$18:$A$200),1,0)),
"Бланк OLD 2.0 04 №"&amp;VLOOKUP(A313+1-COUNT('Шаг2.Бланк заказа NEW'!$B$19:$B$201)-COUNT('Бланк OLD 0.8 04'!$B$18:$B$200),CHOOSE({1,2},'Бланк OLD 2.0 04 '!$B$18:$B$200,'Бланк OLD 2.0 04 '!$A$18:$A$200),1,0)),"")</f>
        <v/>
      </c>
      <c r="C314" s="152" t="str">
        <f ca="1">IFERROR(IFERROR(IFERROR(VLOOKUP(A313+1,CHOOSE({1,2},'Шаг2.Бланк заказа NEW'!$B$19:$B$201,'Шаг2.Бланк заказа NEW'!$A$19:$A$201),2,0),
VLOOKUP(A313+1-COUNT('Шаг2.Бланк заказа NEW'!$B$19:$B$201),CHOOSE({1,2},'Бланк OLD 0.8 04'!$B$18:$B$200,'Бланк OLD 0.8 04'!$A$18:$A$200),2,0)),
VLOOKUP(A313+1-COUNT('Шаг2.Бланк заказа NEW'!$B$19:$B$201)-COUNT('Бланк OLD 0.8 04'!$B$18:$B$200),CHOOSE({1,2},'Бланк OLD 2.0 04 '!$B$18:$B$200,'Бланк OLD 2.0 04 '!$A$18:$A$200),2,0)),"")</f>
        <v/>
      </c>
      <c r="D314" s="150" t="str">
        <f ca="1">IFERROR(VLOOKUP(C314,'Шаг1.Выбор плиты'!C:G,5,0),"")</f>
        <v/>
      </c>
      <c r="E314" s="147" t="str">
        <f ca="1">IFERROR(IFERROR(IF(VLOOKUP($A314,'Шаг2.Бланк заказа NEW'!$B$17:$N$201,2,0)="","",VLOOKUP($A314,'Шаг2.Бланк заказа NEW'!$B$17:$N$201,2,0)),
IF(VLOOKUP($A314-COUNT('Шаг2.Бланк заказа NEW'!$B$19:$B$201),'Бланк OLD 0.8 04'!$B$12:$K$200,2,0)="","",VLOOKUP($A314-COUNT('Шаг2.Бланк заказа NEW'!$B$19:$B$201),'Бланк OLD 0.8 04'!$B$12:$K$200,2,0))),
IF(VLOOKUP($A314-COUNT('Шаг2.Бланк заказа NEW'!$B$19:$B$201)-COUNT('Бланк OLD 0.8 04'!$B$18:$B$200),'Бланк OLD 2.0 04 '!$B$16:$K$200,2,0)="","",VLOOKUP($A314-COUNT('Шаг2.Бланк заказа NEW'!$B$19:$B$201)-COUNT('Бланк OLD 0.8 04'!$B$18:$B$200),'Бланк OLD 2.0 04 '!$B$16:$K$200,2,0)))</f>
        <v/>
      </c>
      <c r="F314" s="147" t="str">
        <f ca="1">IFERROR(IFERROR(IF(VLOOKUP($A314,'Шаг2.Бланк заказа NEW'!$B$17:$N$201,3,0)="","",VLOOKUP($A314,'Шаг2.Бланк заказа NEW'!$B$17:$N$201,3,0)),
IF(VLOOKUP($A314-COUNT('Шаг2.Бланк заказа NEW'!$B$19:$B$201),'Бланк OLD 0.8 04'!$B$12:$K$200,3,0)="","",VLOOKUP($A314-COUNT('Шаг2.Бланк заказа NEW'!$B$19:$B$201),'Бланк OLD 0.8 04'!$B$12:$K$200,3,0))),
IF(VLOOKUP($A314-COUNT('Шаг2.Бланк заказа NEW'!$B$19:$B$201)-COUNT('Бланк OLD 0.8 04'!$B$18:$B$200),'Бланк OLD 2.0 04 '!$B$16:$K$200,3,0)="","",VLOOKUP($A314-COUNT('Шаг2.Бланк заказа NEW'!$B$19:$B$201)-COUNT('Бланк OLD 0.8 04'!$B$18:$B$200),'Бланк OLD 2.0 04 '!$B$16:$K$200,3,0)))</f>
        <v/>
      </c>
      <c r="G314" s="176" t="str">
        <f ca="1">IF(IF(R314="","",IF(R314=1,SUMIFS('Шаг1.Выбор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плиты'!C:Q,12,0)),1))))))=0,
R314,
IF(R314="","",IF(R314=1,SUMIFS('Шаг1.Выбор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плиты'!N:N,R314,'Шаг1.Выбор плиты'!M:M,SMALL(INDIRECT("мм"&amp;VLOOKUP(C314,'Шаг1.Выбор плиты'!C:Q,12,0)),1)))))))</f>
        <v/>
      </c>
      <c r="H314" s="177" t="str">
        <f ca="1">IF(IF(S314="","",IF(S314=1,SUMIFS('Шаг1.Выбор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плиты'!C:Q,12,0)),1))))))=0,
S314,
IF(S314="","",IF(S314=1,SUMIFS('Шаг1.Выбор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плиты'!N:N,S314,'Шаг1.Выбор плиты'!M:M,SMALL(INDIRECT("мм"&amp;VLOOKUP(C314,'Шаг1.Выбор плиты'!C:Q,12,0)),1)))))))</f>
        <v/>
      </c>
      <c r="I314" s="147" t="str">
        <f ca="1">IFERROR(IFERROR(IF(VLOOKUP($A314,'Шаг2.Бланк заказа NEW'!$B$17:$N$201,6,0)="","",VLOOKUP($A314,'Шаг2.Бланк заказа NEW'!$B$17:$N$201,6,0)),
IF(VLOOKUP($A314-COUNT('Шаг2.Бланк заказа NEW'!$B$19:$B$201),'Бланк OLD 0.8 04'!$B$12:$K$200,6,0)="","",VLOOKUP($A314-COUNT('Шаг2.Бланк заказа NEW'!$B$19:$B$201),'Бланк OLD 0.8 04'!$B$12:$K$200,6,0))),
IF(VLOOKUP($A314-COUNT('Шаг2.Бланк заказа NEW'!$B$19:$B$201)-COUNT('Бланк OLD 0.8 04'!$B$18:$B$200),'Бланк OLD 2.0 04 '!$B$16:$K$200,6,0)="","",VLOOKUP($A314-COUNT('Шаг2.Бланк заказа NEW'!$B$19:$B$201)-COUNT('Бланк OLD 0.8 04'!$B$18:$B$200),'Бланк OLD 2.0 04 '!$B$16:$K$200,6,0)))</f>
        <v/>
      </c>
      <c r="J314" s="177" t="str">
        <f ca="1">IF(IF(T314="","",IF(T314=1,SUMIFS('Шаг1.Выбор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плиты'!C:Q,12,0)),1))))))=0,
T314,
IF(T314="","",IF(T314=1,SUMIFS('Шаг1.Выбор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плиты'!N:N,T314,'Шаг1.Выбор плиты'!M:M,SMALL(INDIRECT("мм"&amp;VLOOKUP(C314,'Шаг1.Выбор плиты'!C:Q,12,0)),1)))))))</f>
        <v/>
      </c>
      <c r="K314" s="177" t="str">
        <f ca="1">IF(IF(U314="","",IF(U314=1,SUMIFS('Шаг1.Выбор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плиты'!C:Q,12,0)),1))))))=0,
U314,
IF(U314="","",IF(U314=1,SUMIFS('Шаг1.Выбор плиты'!$G:$G,'Шаг1.Выбор плиты'!J:J,"*"&amp;RIGHT(VLOOKUP(C314,'Шаг1.Выбор плиты'!C:Q,8,0),4),'Шаг1.Выбор плиты'!L:L,IF(MID(C314,1,6)="ЛДСП P","TM"&amp;MID(VLOOKUP(C314,'Шаг1.Выбор плиты'!C:Q,10,0),3,2),MID(VLOOKUP(C314,'Шаг1.Выбор плиты'!C:Q,10,0),1,2)),
'Шаг1.Выбор плиты'!N:N,1),IF(SUMIFS('Шаг1.Выбор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плиты'!C:Q,12,0)),1))=0,
IF(SUMIFS('Шаг1.Выбор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плиты'!C:Q,12,0)),2))=0,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плиты'!C:Q,12,0)),3)),
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плиты'!C:Q,12,0)),2))),
(SUMIFS('Шаг1.Выбор плиты'!$G:$G,'Шаг1.Выбор плиты'!J:J,"*"&amp;RIGHT(VLOOKUP(C314,'Шаг1.Выбор плиты'!C:Q,8,0),4),'Шаг1.Выбор плиты'!L:L,VLOOKUP(C314,'Шаг1.Выбор плиты'!C:Q,10,0),'Шаг1.Выбор плиты'!N:N,U314,'Шаг1.Выбор плиты'!M:M,SMALL(INDIRECT("мм"&amp;VLOOKUP(C314,'Шаг1.Выбор плиты'!C:Q,12,0)),1)))))))</f>
        <v/>
      </c>
      <c r="L314" s="147" t="str">
        <f ca="1">IFERROR(IFERROR(IF(VLOOKUP($A314,'Шаг2.Бланк заказа NEW'!$B$17:$N$201,9,0)="","",VLOOKUP($A314,'Шаг2.Бланк заказа NEW'!$B$17:$N$201,9,0)),
IF(VLOOKUP($A314-COUNT('Шаг2.Бланк заказа NEW'!$B$19:$B$201),'Бланк OLD 0.8 04'!$B$12:$K$200,9,0)="","",VLOOKUP($A314-COUNT('Шаг2.Бланк заказа NEW'!$B$19:$B$201),'Бланк OLD 0.8 04'!$B$12:$K$200,9,0))),
IF(VLOOKUP($A314-COUNT('Шаг2.Бланк заказа NEW'!$B$19:$B$201)-COUNT('Бланк OLD 0.8 04'!$B$18:$B$200),'Бланк OLD 2.0 04 '!$B$16:$K$200,9,0)="","",VLOOKUP($A314-COUNT('Шаг2.Бланк заказа NEW'!$B$19:$B$201)-COUNT('Бланк OLD 0.8 04'!$B$18:$B$200),'Бланк OLD 2.0 04 '!$B$16:$K$200,9,0)))</f>
        <v/>
      </c>
      <c r="M314" s="154" t="str">
        <f t="shared" ca="1" si="25"/>
        <v/>
      </c>
      <c r="N314" s="153" t="str">
        <f ca="1">IFERROR(IF(VLOOKUP($A314,'Шаг2.Бланк заказа NEW'!$B$17:$N$201,11,0)="","",VLOOKUP($A314,'Шаг2.Бланк заказа NEW'!$B$17:$N$201,11,0)),
"Нет")</f>
        <v/>
      </c>
      <c r="O314" s="147" t="str">
        <f ca="1">IFERROR(IF(VLOOKUP($A314,'Шаг2.Бланк заказа NEW'!$B$17:$N$201,11,0)="","",VLOOKUP($A314,'Шаг2.Бланк заказа NEW'!$B$17:$N$201,12,0)),
"Нет")</f>
        <v/>
      </c>
      <c r="P314" s="153" t="str">
        <f ca="1">IFERROR(IF(VLOOKUP($A314,'Шаг2.Бланк заказа NEW'!$B$17:$N$201,13,0)="","",VLOOKUP($A314,'Шаг2.Бланк заказа NEW'!$B$17:$N$201,13,0)),
"Нет")</f>
        <v/>
      </c>
      <c r="Q314" s="147" t="str">
        <f ca="1">IFERROR(IF(VLOOKUP($A314,'Шаг2.Бланк заказа NEW'!$B$17:$O$201,14,0)="","",VLOOKUP($A314,'Шаг2.Бланк заказа NEW'!$B$17:$O$201,14,0)),"")</f>
        <v/>
      </c>
      <c r="R314" s="147" t="str">
        <f ca="1">IFERROR(IFERROR(IF(VLOOKUP($A314,'Шаг2.Бланк заказа NEW'!$B$17:$N$201,4,0)="","",VLOOKUP($A314,'Шаг2.Бланк заказа NEW'!$B$17:$N$201,4,0)),
IF(VLOOKUP($A314-COUNT('Шаг2.Бланк заказа NEW'!$B$19:$B$201),'Бланк OLD 0.8 04'!$B$12:$K$200,4,0)&gt;0,0.8,
IF(VLOOKUP($A314-COUNT('Шаг2.Бланк заказа NEW'!$B$19:$B$201),'Бланк OLD 0.8 04'!$B$12:$K$200,5,0)&gt;0,0.4,""))),
IF(VLOOKUP($A314-COUNT('Шаг2.Бланк заказа NEW'!$B$19:$B$201)-COUNT('Бланк OLD 0.8 04'!$B$18:$B$200),'Бланк OLD 2.0 04 '!$B$16:$K$200,4,0)&gt;0,2,IF(VLOOKUP($A314-COUNT('Шаг2.Бланк заказа NEW'!$B$19:$B$201)-COUNT('Бланк OLD 0.8 04'!$B$18:$B$200),'Бланк OLD 2.0 04 '!$B$16:$K$200,5,0)&gt;0,0.4,"")))</f>
        <v/>
      </c>
      <c r="S314" s="147" t="str">
        <f ca="1">IFERROR(IFERROR(IF(VLOOKUP($A314,'Шаг2.Бланк заказа NEW'!$B$17:$N$201,5,0)="","",VLOOKUP($A314,'Шаг2.Бланк заказа NEW'!$B$17:$N$201,5,0)),
IF(VLOOKUP($A314-COUNT('Шаг2.Бланк заказа NEW'!$B$19:$B$201),'Бланк OLD 0.8 04'!$B$12:$K$200,4,0)&gt;1,0.8,
IF(VLOOKUP($A314-COUNT('Шаг2.Бланк заказа NEW'!$B$19:$B$201),'Бланк OLD 0.8 04'!$B$12:$K$200,5,0)&gt;1,0.4,
IF(AND(VLOOKUP($A314-COUNT('Шаг2.Бланк заказа NEW'!$B$19:$B$201),'Бланк OLD 0.8 04'!$B$12:$K$200,4,0)&gt;0,VLOOKUP($A314-COUNT('Шаг2.Бланк заказа NEW'!$B$19:$B$201),'Бланк OLD 0.8 04'!$B$12:$K$200,5,0)&gt;0),0.4,"")))),
IF(VLOOKUP($A314-COUNT('Шаг2.Бланк заказа NEW'!$B$19:$B$201)-COUNT('Бланк OLD 0.8 04'!$B$18:$B$200),'Бланк OLD 2.0 04 '!$B$16:$K$200,4,0)&gt;1,2,
IF(VLOOKUP($A314-COUNT('Шаг2.Бланк заказа NEW'!$B$19:$B$201)-COUNT('Бланк OLD 0.8 04'!$B$18:$B$200),'Бланк OLD 2.0 04 '!$B$16:$K$200,5,0)&gt;1,0.4,IF(AND(VLOOKUP($A314-COUNT('Шаг2.Бланк заказа NEW'!$B$19:$B$201)-COUNT('Бланк OLD 0.8 04'!$B$18:$B$200),'Бланк OLD 2.0 04 '!$B$16:$K$200,4,0)&gt;0,VLOOKUP($A314-COUNT('Шаг2.Бланк заказа NEW'!$B$19:$B$201)-COUNT('Бланк OLD 0.8 04'!$B$18:$B$200),'Бланк OLD 2.0 04 '!$B$16:$K$200,5,0)&gt;0),0.4,""))))</f>
        <v/>
      </c>
      <c r="T314" s="147" t="str">
        <f ca="1">IFERROR(IFERROR(IF(VLOOKUP($A314,'Шаг2.Бланк заказа NEW'!$B$17:$N$201,7,0)="","",VLOOKUP($A314,'Шаг2.Бланк заказа NEW'!$B$17:$N$201,7,0)),
IF(VLOOKUP($A314-COUNT('Шаг2.Бланк заказа NEW'!$B$19:$B$201),'Бланк OLD 0.8 04'!$B$12:$K$200,7,0)&gt;0,0.8,
IF(VLOOKUP($A314-COUNT('Шаг2.Бланк заказа NEW'!$B$19:$B$201),'Бланк OLD 0.8 04'!$B$12:$K$200,8,0)&gt;0,0.4,""))),
IF(VLOOKUP($A314-COUNT('Шаг2.Бланк заказа NEW'!$B$19:$B$201)-COUNT('Бланк OLD 0.8 04'!$B$18:$B$200),'Бланк OLD 2.0 04 '!$B$16:$K$200,7,0)&gt;0,2,IF(VLOOKUP($A314-COUNT('Шаг2.Бланк заказа NEW'!$B$19:$B$201)-COUNT('Бланк OLD 0.8 04'!$B$18:$B$200),'Бланк OLD 2.0 04 '!$B$16:$K$200,8,0)&gt;0,0.4,"")))</f>
        <v/>
      </c>
      <c r="U314" s="147" t="str">
        <f ca="1">IFERROR(IFERROR(IF(VLOOKUP($A314,'Шаг2.Бланк заказа NEW'!$B$17:$N$201,8,0)="","",VLOOKUP($A314,'Шаг2.Бланк заказа NEW'!$B$17:$N$201,8,0)),
IF(VLOOKUP($A314-COUNT('Шаг2.Бланк заказа NEW'!$B$19:$B$201),'Бланк OLD 0.8 04'!$B$12:$K$200,7,0)&gt;1,0.8,
IF(VLOOKUP($A314-COUNT('Шаг2.Бланк заказа NEW'!$B$19:$B$201),'Бланк OLD 0.8 04'!$B$12:$K$200,8,0)&gt;1,0.4,
IF(AND(VLOOKUP($A314-COUNT('Шаг2.Бланк заказа NEW'!$B$19:$B$201),'Бланк OLD 0.8 04'!$B$12:$K$200,7,0)&gt;0,VLOOKUP($A314-COUNT('Шаг2.Бланк заказа NEW'!$B$19:$B$201),'Бланк OLD 0.8 04'!$B$12:$K$200,8,0)&gt;0),0.4,"")))),
IF(VLOOKUP($A314-COUNT('Шаг2.Бланк заказа NEW'!$B$19:$B$201)-COUNT('Бланк OLD 0.8 04'!$B$18:$B$200),'Бланк OLD 2.0 04 '!$B$16:$K$200,7,0)&gt;1,2,
IF(VLOOKUP($A314-COUNT('Шаг2.Бланк заказа NEW'!$B$19:$B$201)-COUNT('Бланк OLD 0.8 04'!$B$18:$B$200),'Бланк OLD 2.0 04 '!$B$16:$K$200,8,0)&gt;1,0.4,
IF(AND(VLOOKUP($A314-COUNT('Шаг2.Бланк заказа NEW'!$B$19:$B$201)-COUNT('Бланк OLD 0.8 04'!$B$18:$B$200),'Бланк OLD 2.0 04 '!$B$16:$K$200,7,0)&gt;0,VLOOKUP($A314-COUNT('Шаг2.Бланк заказа NEW'!$B$19:$B$201)-COUNT('Бланк OLD 0.8 04'!$B$18:$B$200),'Бланк OLD 2.0 04 '!$B$16:$K$200,8,0)&gt;0),0.4,""))))</f>
        <v/>
      </c>
      <c r="V314" s="146" t="str">
        <f ca="1">IFERROR(VLOOKUP(C314,'Шаг1.Выбор плиты'!C:S,12,0),"")</f>
        <v/>
      </c>
      <c r="W314" s="146" t="str">
        <f ca="1">IFERROR(VLOOKUP(C314,'Шаг1.Выбор плиты'!C:S,8,0),"")</f>
        <v/>
      </c>
      <c r="X314" s="146" t="str">
        <f ca="1">IFERROR(VLOOKUP(C314,'Шаг1.Выбор плиты'!C:S,10,0),"")</f>
        <v/>
      </c>
      <c r="Y314" s="147" t="str">
        <f t="shared" ca="1" si="23"/>
        <v/>
      </c>
      <c r="AD314" s="147" t="str">
        <f t="shared" ca="1" si="26"/>
        <v/>
      </c>
      <c r="AE314" s="147" t="str">
        <f t="shared" ca="1" si="24"/>
        <v/>
      </c>
      <c r="AF314" s="25"/>
      <c r="AH314" s="147" t="str">
        <f ca="1">IF(C314="","",VLOOKUP(C314,'Шаг1.Выбор плиты'!C:Q,7,0))</f>
        <v/>
      </c>
      <c r="AI314" s="147" t="str">
        <f t="shared" ca="1" si="27"/>
        <v/>
      </c>
    </row>
    <row r="315" spans="1:35" x14ac:dyDescent="0.2">
      <c r="A315" s="151" t="str">
        <f ca="1">IF(C315="","",MAX($A$1:OFFSET(C315,-1,0))+1)</f>
        <v/>
      </c>
      <c r="B315" s="151" t="str">
        <f ca="1">IFERROR(IFERROR(IFERROR("Шаг2.Бланк заказа NEW №"&amp;VLOOKUP(A314+1,CHOOSE({1,2},'Шаг2.Бланк заказа NEW'!$B$19:$B$201,'Шаг2.Бланк заказа NEW'!$A$19:$A$201),1,0),
"Бланк OLD 0.8 04 №"&amp;VLOOKUP(A314+1-COUNT('Шаг2.Бланк заказа NEW'!$B$19:$B$201),CHOOSE({1,2},'Бланк OLD 0.8 04'!$B$18:$B$200,'Бланк OLD 0.8 04'!$A$18:$A$200),1,0)),
"Бланк OLD 2.0 04 №"&amp;VLOOKUP(A314+1-COUNT('Шаг2.Бланк заказа NEW'!$B$19:$B$201)-COUNT('Бланк OLD 0.8 04'!$B$18:$B$200),CHOOSE({1,2},'Бланк OLD 2.0 04 '!$B$18:$B$200,'Бланк OLD 2.0 04 '!$A$18:$A$200),1,0)),"")</f>
        <v/>
      </c>
      <c r="C315" s="152" t="str">
        <f ca="1">IFERROR(IFERROR(IFERROR(VLOOKUP(A314+1,CHOOSE({1,2},'Шаг2.Бланк заказа NEW'!$B$19:$B$201,'Шаг2.Бланк заказа NEW'!$A$19:$A$201),2,0),
VLOOKUP(A314+1-COUNT('Шаг2.Бланк заказа NEW'!$B$19:$B$201),CHOOSE({1,2},'Бланк OLD 0.8 04'!$B$18:$B$200,'Бланк OLD 0.8 04'!$A$18:$A$200),2,0)),
VLOOKUP(A314+1-COUNT('Шаг2.Бланк заказа NEW'!$B$19:$B$201)-COUNT('Бланк OLD 0.8 04'!$B$18:$B$200),CHOOSE({1,2},'Бланк OLD 2.0 04 '!$B$18:$B$200,'Бланк OLD 2.0 04 '!$A$18:$A$200),2,0)),"")</f>
        <v/>
      </c>
      <c r="D315" s="150" t="str">
        <f ca="1">IFERROR(VLOOKUP(C315,'Шаг1.Выбор плиты'!C:G,5,0),"")</f>
        <v/>
      </c>
      <c r="E315" s="147" t="str">
        <f ca="1">IFERROR(IFERROR(IF(VLOOKUP($A315,'Шаг2.Бланк заказа NEW'!$B$17:$N$201,2,0)="","",VLOOKUP($A315,'Шаг2.Бланк заказа NEW'!$B$17:$N$201,2,0)),
IF(VLOOKUP($A315-COUNT('Шаг2.Бланк заказа NEW'!$B$19:$B$201),'Бланк OLD 0.8 04'!$B$12:$K$200,2,0)="","",VLOOKUP($A315-COUNT('Шаг2.Бланк заказа NEW'!$B$19:$B$201),'Бланк OLD 0.8 04'!$B$12:$K$200,2,0))),
IF(VLOOKUP($A315-COUNT('Шаг2.Бланк заказа NEW'!$B$19:$B$201)-COUNT('Бланк OLD 0.8 04'!$B$18:$B$200),'Бланк OLD 2.0 04 '!$B$16:$K$200,2,0)="","",VLOOKUP($A315-COUNT('Шаг2.Бланк заказа NEW'!$B$19:$B$201)-COUNT('Бланк OLD 0.8 04'!$B$18:$B$200),'Бланк OLD 2.0 04 '!$B$16:$K$200,2,0)))</f>
        <v/>
      </c>
      <c r="F315" s="147" t="str">
        <f ca="1">IFERROR(IFERROR(IF(VLOOKUP($A315,'Шаг2.Бланк заказа NEW'!$B$17:$N$201,3,0)="","",VLOOKUP($A315,'Шаг2.Бланк заказа NEW'!$B$17:$N$201,3,0)),
IF(VLOOKUP($A315-COUNT('Шаг2.Бланк заказа NEW'!$B$19:$B$201),'Бланк OLD 0.8 04'!$B$12:$K$200,3,0)="","",VLOOKUP($A315-COUNT('Шаг2.Бланк заказа NEW'!$B$19:$B$201),'Бланк OLD 0.8 04'!$B$12:$K$200,3,0))),
IF(VLOOKUP($A315-COUNT('Шаг2.Бланк заказа NEW'!$B$19:$B$201)-COUNT('Бланк OLD 0.8 04'!$B$18:$B$200),'Бланк OLD 2.0 04 '!$B$16:$K$200,3,0)="","",VLOOKUP($A315-COUNT('Шаг2.Бланк заказа NEW'!$B$19:$B$201)-COUNT('Бланк OLD 0.8 04'!$B$18:$B$200),'Бланк OLD 2.0 04 '!$B$16:$K$200,3,0)))</f>
        <v/>
      </c>
      <c r="G315" s="176" t="str">
        <f ca="1">IF(IF(R315="","",IF(R315=1,SUMIFS('Шаг1.Выбор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плиты'!C:Q,12,0)),1))))))=0,
R315,
IF(R315="","",IF(R315=1,SUMIFS('Шаг1.Выбор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плиты'!N:N,R315,'Шаг1.Выбор плиты'!M:M,SMALL(INDIRECT("мм"&amp;VLOOKUP(C315,'Шаг1.Выбор плиты'!C:Q,12,0)),1)))))))</f>
        <v/>
      </c>
      <c r="H315" s="177" t="str">
        <f ca="1">IF(IF(S315="","",IF(S315=1,SUMIFS('Шаг1.Выбор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плиты'!C:Q,12,0)),1))))))=0,
S315,
IF(S315="","",IF(S315=1,SUMIFS('Шаг1.Выбор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плиты'!N:N,S315,'Шаг1.Выбор плиты'!M:M,SMALL(INDIRECT("мм"&amp;VLOOKUP(C315,'Шаг1.Выбор плиты'!C:Q,12,0)),1)))))))</f>
        <v/>
      </c>
      <c r="I315" s="147" t="str">
        <f ca="1">IFERROR(IFERROR(IF(VLOOKUP($A315,'Шаг2.Бланк заказа NEW'!$B$17:$N$201,6,0)="","",VLOOKUP($A315,'Шаг2.Бланк заказа NEW'!$B$17:$N$201,6,0)),
IF(VLOOKUP($A315-COUNT('Шаг2.Бланк заказа NEW'!$B$19:$B$201),'Бланк OLD 0.8 04'!$B$12:$K$200,6,0)="","",VLOOKUP($A315-COUNT('Шаг2.Бланк заказа NEW'!$B$19:$B$201),'Бланк OLD 0.8 04'!$B$12:$K$200,6,0))),
IF(VLOOKUP($A315-COUNT('Шаг2.Бланк заказа NEW'!$B$19:$B$201)-COUNT('Бланк OLD 0.8 04'!$B$18:$B$200),'Бланк OLD 2.0 04 '!$B$16:$K$200,6,0)="","",VLOOKUP($A315-COUNT('Шаг2.Бланк заказа NEW'!$B$19:$B$201)-COUNT('Бланк OLD 0.8 04'!$B$18:$B$200),'Бланк OLD 2.0 04 '!$B$16:$K$200,6,0)))</f>
        <v/>
      </c>
      <c r="J315" s="177" t="str">
        <f ca="1">IF(IF(T315="","",IF(T315=1,SUMIFS('Шаг1.Выбор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плиты'!C:Q,12,0)),1))))))=0,
T315,
IF(T315="","",IF(T315=1,SUMIFS('Шаг1.Выбор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плиты'!N:N,T315,'Шаг1.Выбор плиты'!M:M,SMALL(INDIRECT("мм"&amp;VLOOKUP(C315,'Шаг1.Выбор плиты'!C:Q,12,0)),1)))))))</f>
        <v/>
      </c>
      <c r="K315" s="177" t="str">
        <f ca="1">IF(IF(U315="","",IF(U315=1,SUMIFS('Шаг1.Выбор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плиты'!C:Q,12,0)),1))))))=0,
U315,
IF(U315="","",IF(U315=1,SUMIFS('Шаг1.Выбор плиты'!$G:$G,'Шаг1.Выбор плиты'!J:J,"*"&amp;RIGHT(VLOOKUP(C315,'Шаг1.Выбор плиты'!C:Q,8,0),4),'Шаг1.Выбор плиты'!L:L,IF(MID(C315,1,6)="ЛДСП P","TM"&amp;MID(VLOOKUP(C315,'Шаг1.Выбор плиты'!C:Q,10,0),3,2),MID(VLOOKUP(C315,'Шаг1.Выбор плиты'!C:Q,10,0),1,2)),
'Шаг1.Выбор плиты'!N:N,1),IF(SUMIFS('Шаг1.Выбор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плиты'!C:Q,12,0)),1))=0,
IF(SUMIFS('Шаг1.Выбор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плиты'!C:Q,12,0)),2))=0,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плиты'!C:Q,12,0)),3)),
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плиты'!C:Q,12,0)),2))),
(SUMIFS('Шаг1.Выбор плиты'!$G:$G,'Шаг1.Выбор плиты'!J:J,"*"&amp;RIGHT(VLOOKUP(C315,'Шаг1.Выбор плиты'!C:Q,8,0),4),'Шаг1.Выбор плиты'!L:L,VLOOKUP(C315,'Шаг1.Выбор плиты'!C:Q,10,0),'Шаг1.Выбор плиты'!N:N,U315,'Шаг1.Выбор плиты'!M:M,SMALL(INDIRECT("мм"&amp;VLOOKUP(C315,'Шаг1.Выбор плиты'!C:Q,12,0)),1)))))))</f>
        <v/>
      </c>
      <c r="L315" s="147" t="str">
        <f ca="1">IFERROR(IFERROR(IF(VLOOKUP($A315,'Шаг2.Бланк заказа NEW'!$B$17:$N$201,9,0)="","",VLOOKUP($A315,'Шаг2.Бланк заказа NEW'!$B$17:$N$201,9,0)),
IF(VLOOKUP($A315-COUNT('Шаг2.Бланк заказа NEW'!$B$19:$B$201),'Бланк OLD 0.8 04'!$B$12:$K$200,9,0)="","",VLOOKUP($A315-COUNT('Шаг2.Бланк заказа NEW'!$B$19:$B$201),'Бланк OLD 0.8 04'!$B$12:$K$200,9,0))),
IF(VLOOKUP($A315-COUNT('Шаг2.Бланк заказа NEW'!$B$19:$B$201)-COUNT('Бланк OLD 0.8 04'!$B$18:$B$200),'Бланк OLD 2.0 04 '!$B$16:$K$200,9,0)="","",VLOOKUP($A315-COUNT('Шаг2.Бланк заказа NEW'!$B$19:$B$201)-COUNT('Бланк OLD 0.8 04'!$B$18:$B$200),'Бланк OLD 2.0 04 '!$B$16:$K$200,9,0)))</f>
        <v/>
      </c>
      <c r="M315" s="154" t="str">
        <f t="shared" ca="1" si="25"/>
        <v/>
      </c>
      <c r="N315" s="153" t="str">
        <f ca="1">IFERROR(IF(VLOOKUP($A315,'Шаг2.Бланк заказа NEW'!$B$17:$N$201,11,0)="","",VLOOKUP($A315,'Шаг2.Бланк заказа NEW'!$B$17:$N$201,11,0)),
"Нет")</f>
        <v/>
      </c>
      <c r="O315" s="147" t="str">
        <f ca="1">IFERROR(IF(VLOOKUP($A315,'Шаг2.Бланк заказа NEW'!$B$17:$N$201,11,0)="","",VLOOKUP($A315,'Шаг2.Бланк заказа NEW'!$B$17:$N$201,12,0)),
"Нет")</f>
        <v/>
      </c>
      <c r="P315" s="153" t="str">
        <f ca="1">IFERROR(IF(VLOOKUP($A315,'Шаг2.Бланк заказа NEW'!$B$17:$N$201,13,0)="","",VLOOKUP($A315,'Шаг2.Бланк заказа NEW'!$B$17:$N$201,13,0)),
"Нет")</f>
        <v/>
      </c>
      <c r="Q315" s="147" t="str">
        <f ca="1">IFERROR(IF(VLOOKUP($A315,'Шаг2.Бланк заказа NEW'!$B$17:$O$201,14,0)="","",VLOOKUP($A315,'Шаг2.Бланк заказа NEW'!$B$17:$O$201,14,0)),"")</f>
        <v/>
      </c>
      <c r="R315" s="147" t="str">
        <f ca="1">IFERROR(IFERROR(IF(VLOOKUP($A315,'Шаг2.Бланк заказа NEW'!$B$17:$N$201,4,0)="","",VLOOKUP($A315,'Шаг2.Бланк заказа NEW'!$B$17:$N$201,4,0)),
IF(VLOOKUP($A315-COUNT('Шаг2.Бланк заказа NEW'!$B$19:$B$201),'Бланк OLD 0.8 04'!$B$12:$K$200,4,0)&gt;0,0.8,
IF(VLOOKUP($A315-COUNT('Шаг2.Бланк заказа NEW'!$B$19:$B$201),'Бланк OLD 0.8 04'!$B$12:$K$200,5,0)&gt;0,0.4,""))),
IF(VLOOKUP($A315-COUNT('Шаг2.Бланк заказа NEW'!$B$19:$B$201)-COUNT('Бланк OLD 0.8 04'!$B$18:$B$200),'Бланк OLD 2.0 04 '!$B$16:$K$200,4,0)&gt;0,2,IF(VLOOKUP($A315-COUNT('Шаг2.Бланк заказа NEW'!$B$19:$B$201)-COUNT('Бланк OLD 0.8 04'!$B$18:$B$200),'Бланк OLD 2.0 04 '!$B$16:$K$200,5,0)&gt;0,0.4,"")))</f>
        <v/>
      </c>
      <c r="S315" s="147" t="str">
        <f ca="1">IFERROR(IFERROR(IF(VLOOKUP($A315,'Шаг2.Бланк заказа NEW'!$B$17:$N$201,5,0)="","",VLOOKUP($A315,'Шаг2.Бланк заказа NEW'!$B$17:$N$201,5,0)),
IF(VLOOKUP($A315-COUNT('Шаг2.Бланк заказа NEW'!$B$19:$B$201),'Бланк OLD 0.8 04'!$B$12:$K$200,4,0)&gt;1,0.8,
IF(VLOOKUP($A315-COUNT('Шаг2.Бланк заказа NEW'!$B$19:$B$201),'Бланк OLD 0.8 04'!$B$12:$K$200,5,0)&gt;1,0.4,
IF(AND(VLOOKUP($A315-COUNT('Шаг2.Бланк заказа NEW'!$B$19:$B$201),'Бланк OLD 0.8 04'!$B$12:$K$200,4,0)&gt;0,VLOOKUP($A315-COUNT('Шаг2.Бланк заказа NEW'!$B$19:$B$201),'Бланк OLD 0.8 04'!$B$12:$K$200,5,0)&gt;0),0.4,"")))),
IF(VLOOKUP($A315-COUNT('Шаг2.Бланк заказа NEW'!$B$19:$B$201)-COUNT('Бланк OLD 0.8 04'!$B$18:$B$200),'Бланк OLD 2.0 04 '!$B$16:$K$200,4,0)&gt;1,2,
IF(VLOOKUP($A315-COUNT('Шаг2.Бланк заказа NEW'!$B$19:$B$201)-COUNT('Бланк OLD 0.8 04'!$B$18:$B$200),'Бланк OLD 2.0 04 '!$B$16:$K$200,5,0)&gt;1,0.4,IF(AND(VLOOKUP($A315-COUNT('Шаг2.Бланк заказа NEW'!$B$19:$B$201)-COUNT('Бланк OLD 0.8 04'!$B$18:$B$200),'Бланк OLD 2.0 04 '!$B$16:$K$200,4,0)&gt;0,VLOOKUP($A315-COUNT('Шаг2.Бланк заказа NEW'!$B$19:$B$201)-COUNT('Бланк OLD 0.8 04'!$B$18:$B$200),'Бланк OLD 2.0 04 '!$B$16:$K$200,5,0)&gt;0),0.4,""))))</f>
        <v/>
      </c>
      <c r="T315" s="147" t="str">
        <f ca="1">IFERROR(IFERROR(IF(VLOOKUP($A315,'Шаг2.Бланк заказа NEW'!$B$17:$N$201,7,0)="","",VLOOKUP($A315,'Шаг2.Бланк заказа NEW'!$B$17:$N$201,7,0)),
IF(VLOOKUP($A315-COUNT('Шаг2.Бланк заказа NEW'!$B$19:$B$201),'Бланк OLD 0.8 04'!$B$12:$K$200,7,0)&gt;0,0.8,
IF(VLOOKUP($A315-COUNT('Шаг2.Бланк заказа NEW'!$B$19:$B$201),'Бланк OLD 0.8 04'!$B$12:$K$200,8,0)&gt;0,0.4,""))),
IF(VLOOKUP($A315-COUNT('Шаг2.Бланк заказа NEW'!$B$19:$B$201)-COUNT('Бланк OLD 0.8 04'!$B$18:$B$200),'Бланк OLD 2.0 04 '!$B$16:$K$200,7,0)&gt;0,2,IF(VLOOKUP($A315-COUNT('Шаг2.Бланк заказа NEW'!$B$19:$B$201)-COUNT('Бланк OLD 0.8 04'!$B$18:$B$200),'Бланк OLD 2.0 04 '!$B$16:$K$200,8,0)&gt;0,0.4,"")))</f>
        <v/>
      </c>
      <c r="U315" s="147" t="str">
        <f ca="1">IFERROR(IFERROR(IF(VLOOKUP($A315,'Шаг2.Бланк заказа NEW'!$B$17:$N$201,8,0)="","",VLOOKUP($A315,'Шаг2.Бланк заказа NEW'!$B$17:$N$201,8,0)),
IF(VLOOKUP($A315-COUNT('Шаг2.Бланк заказа NEW'!$B$19:$B$201),'Бланк OLD 0.8 04'!$B$12:$K$200,7,0)&gt;1,0.8,
IF(VLOOKUP($A315-COUNT('Шаг2.Бланк заказа NEW'!$B$19:$B$201),'Бланк OLD 0.8 04'!$B$12:$K$200,8,0)&gt;1,0.4,
IF(AND(VLOOKUP($A315-COUNT('Шаг2.Бланк заказа NEW'!$B$19:$B$201),'Бланк OLD 0.8 04'!$B$12:$K$200,7,0)&gt;0,VLOOKUP($A315-COUNT('Шаг2.Бланк заказа NEW'!$B$19:$B$201),'Бланк OLD 0.8 04'!$B$12:$K$200,8,0)&gt;0),0.4,"")))),
IF(VLOOKUP($A315-COUNT('Шаг2.Бланк заказа NEW'!$B$19:$B$201)-COUNT('Бланк OLD 0.8 04'!$B$18:$B$200),'Бланк OLD 2.0 04 '!$B$16:$K$200,7,0)&gt;1,2,
IF(VLOOKUP($A315-COUNT('Шаг2.Бланк заказа NEW'!$B$19:$B$201)-COUNT('Бланк OLD 0.8 04'!$B$18:$B$200),'Бланк OLD 2.0 04 '!$B$16:$K$200,8,0)&gt;1,0.4,
IF(AND(VLOOKUP($A315-COUNT('Шаг2.Бланк заказа NEW'!$B$19:$B$201)-COUNT('Бланк OLD 0.8 04'!$B$18:$B$200),'Бланк OLD 2.0 04 '!$B$16:$K$200,7,0)&gt;0,VLOOKUP($A315-COUNT('Шаг2.Бланк заказа NEW'!$B$19:$B$201)-COUNT('Бланк OLD 0.8 04'!$B$18:$B$200),'Бланк OLD 2.0 04 '!$B$16:$K$200,8,0)&gt;0),0.4,""))))</f>
        <v/>
      </c>
      <c r="V315" s="146" t="str">
        <f ca="1">IFERROR(VLOOKUP(C315,'Шаг1.Выбор плиты'!C:S,12,0),"")</f>
        <v/>
      </c>
      <c r="W315" s="146" t="str">
        <f ca="1">IFERROR(VLOOKUP(C315,'Шаг1.Выбор плиты'!C:S,8,0),"")</f>
        <v/>
      </c>
      <c r="X315" s="146" t="str">
        <f ca="1">IFERROR(VLOOKUP(C315,'Шаг1.Выбор плиты'!C:S,10,0),"")</f>
        <v/>
      </c>
      <c r="Y315" s="147" t="str">
        <f t="shared" ca="1" si="23"/>
        <v/>
      </c>
      <c r="AD315" s="147" t="str">
        <f t="shared" ca="1" si="26"/>
        <v/>
      </c>
      <c r="AE315" s="147" t="str">
        <f t="shared" ca="1" si="24"/>
        <v/>
      </c>
      <c r="AF315" s="25"/>
      <c r="AH315" s="147" t="str">
        <f ca="1">IF(C315="","",VLOOKUP(C315,'Шаг1.Выбор плиты'!C:Q,7,0))</f>
        <v/>
      </c>
      <c r="AI315" s="147" t="str">
        <f t="shared" ca="1" si="27"/>
        <v/>
      </c>
    </row>
    <row r="316" spans="1:35" x14ac:dyDescent="0.2">
      <c r="A316" s="151" t="str">
        <f ca="1">IF(C316="","",MAX($A$1:OFFSET(C316,-1,0))+1)</f>
        <v/>
      </c>
      <c r="B316" s="151" t="str">
        <f ca="1">IFERROR(IFERROR(IFERROR("Шаг2.Бланк заказа NEW №"&amp;VLOOKUP(A315+1,CHOOSE({1,2},'Шаг2.Бланк заказа NEW'!$B$19:$B$201,'Шаг2.Бланк заказа NEW'!$A$19:$A$201),1,0),
"Бланк OLD 0.8 04 №"&amp;VLOOKUP(A315+1-COUNT('Шаг2.Бланк заказа NEW'!$B$19:$B$201),CHOOSE({1,2},'Бланк OLD 0.8 04'!$B$18:$B$200,'Бланк OLD 0.8 04'!$A$18:$A$200),1,0)),
"Бланк OLD 2.0 04 №"&amp;VLOOKUP(A315+1-COUNT('Шаг2.Бланк заказа NEW'!$B$19:$B$201)-COUNT('Бланк OLD 0.8 04'!$B$18:$B$200),CHOOSE({1,2},'Бланк OLD 2.0 04 '!$B$18:$B$200,'Бланк OLD 2.0 04 '!$A$18:$A$200),1,0)),"")</f>
        <v/>
      </c>
      <c r="C316" s="152" t="str">
        <f ca="1">IFERROR(IFERROR(IFERROR(VLOOKUP(A315+1,CHOOSE({1,2},'Шаг2.Бланк заказа NEW'!$B$19:$B$201,'Шаг2.Бланк заказа NEW'!$A$19:$A$201),2,0),
VLOOKUP(A315+1-COUNT('Шаг2.Бланк заказа NEW'!$B$19:$B$201),CHOOSE({1,2},'Бланк OLD 0.8 04'!$B$18:$B$200,'Бланк OLD 0.8 04'!$A$18:$A$200),2,0)),
VLOOKUP(A315+1-COUNT('Шаг2.Бланк заказа NEW'!$B$19:$B$201)-COUNT('Бланк OLD 0.8 04'!$B$18:$B$200),CHOOSE({1,2},'Бланк OLD 2.0 04 '!$B$18:$B$200,'Бланк OLD 2.0 04 '!$A$18:$A$200),2,0)),"")</f>
        <v/>
      </c>
      <c r="D316" s="150" t="str">
        <f ca="1">IFERROR(VLOOKUP(C316,'Шаг1.Выбор плиты'!C:G,5,0),"")</f>
        <v/>
      </c>
      <c r="E316" s="147" t="str">
        <f ca="1">IFERROR(IFERROR(IF(VLOOKUP($A316,'Шаг2.Бланк заказа NEW'!$B$17:$N$201,2,0)="","",VLOOKUP($A316,'Шаг2.Бланк заказа NEW'!$B$17:$N$201,2,0)),
IF(VLOOKUP($A316-COUNT('Шаг2.Бланк заказа NEW'!$B$19:$B$201),'Бланк OLD 0.8 04'!$B$12:$K$200,2,0)="","",VLOOKUP($A316-COUNT('Шаг2.Бланк заказа NEW'!$B$19:$B$201),'Бланк OLD 0.8 04'!$B$12:$K$200,2,0))),
IF(VLOOKUP($A316-COUNT('Шаг2.Бланк заказа NEW'!$B$19:$B$201)-COUNT('Бланк OLD 0.8 04'!$B$18:$B$200),'Бланк OLD 2.0 04 '!$B$16:$K$200,2,0)="","",VLOOKUP($A316-COUNT('Шаг2.Бланк заказа NEW'!$B$19:$B$201)-COUNT('Бланк OLD 0.8 04'!$B$18:$B$200),'Бланк OLD 2.0 04 '!$B$16:$K$200,2,0)))</f>
        <v/>
      </c>
      <c r="F316" s="147" t="str">
        <f ca="1">IFERROR(IFERROR(IF(VLOOKUP($A316,'Шаг2.Бланк заказа NEW'!$B$17:$N$201,3,0)="","",VLOOKUP($A316,'Шаг2.Бланк заказа NEW'!$B$17:$N$201,3,0)),
IF(VLOOKUP($A316-COUNT('Шаг2.Бланк заказа NEW'!$B$19:$B$201),'Бланк OLD 0.8 04'!$B$12:$K$200,3,0)="","",VLOOKUP($A316-COUNT('Шаг2.Бланк заказа NEW'!$B$19:$B$201),'Бланк OLD 0.8 04'!$B$12:$K$200,3,0))),
IF(VLOOKUP($A316-COUNT('Шаг2.Бланк заказа NEW'!$B$19:$B$201)-COUNT('Бланк OLD 0.8 04'!$B$18:$B$200),'Бланк OLD 2.0 04 '!$B$16:$K$200,3,0)="","",VLOOKUP($A316-COUNT('Шаг2.Бланк заказа NEW'!$B$19:$B$201)-COUNT('Бланк OLD 0.8 04'!$B$18:$B$200),'Бланк OLD 2.0 04 '!$B$16:$K$200,3,0)))</f>
        <v/>
      </c>
      <c r="G316" s="176" t="str">
        <f ca="1">IF(IF(R316="","",IF(R316=1,SUMIFS('Шаг1.Выбор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плиты'!C:Q,12,0)),1))))))=0,
R316,
IF(R316="","",IF(R316=1,SUMIFS('Шаг1.Выбор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плиты'!N:N,R316,'Шаг1.Выбор плиты'!M:M,SMALL(INDIRECT("мм"&amp;VLOOKUP(C316,'Шаг1.Выбор плиты'!C:Q,12,0)),1)))))))</f>
        <v/>
      </c>
      <c r="H316" s="177" t="str">
        <f ca="1">IF(IF(S316="","",IF(S316=1,SUMIFS('Шаг1.Выбор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плиты'!C:Q,12,0)),1))))))=0,
S316,
IF(S316="","",IF(S316=1,SUMIFS('Шаг1.Выбор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плиты'!N:N,S316,'Шаг1.Выбор плиты'!M:M,SMALL(INDIRECT("мм"&amp;VLOOKUP(C316,'Шаг1.Выбор плиты'!C:Q,12,0)),1)))))))</f>
        <v/>
      </c>
      <c r="I316" s="147" t="str">
        <f ca="1">IFERROR(IFERROR(IF(VLOOKUP($A316,'Шаг2.Бланк заказа NEW'!$B$17:$N$201,6,0)="","",VLOOKUP($A316,'Шаг2.Бланк заказа NEW'!$B$17:$N$201,6,0)),
IF(VLOOKUP($A316-COUNT('Шаг2.Бланк заказа NEW'!$B$19:$B$201),'Бланк OLD 0.8 04'!$B$12:$K$200,6,0)="","",VLOOKUP($A316-COUNT('Шаг2.Бланк заказа NEW'!$B$19:$B$201),'Бланк OLD 0.8 04'!$B$12:$K$200,6,0))),
IF(VLOOKUP($A316-COUNT('Шаг2.Бланк заказа NEW'!$B$19:$B$201)-COUNT('Бланк OLD 0.8 04'!$B$18:$B$200),'Бланк OLD 2.0 04 '!$B$16:$K$200,6,0)="","",VLOOKUP($A316-COUNT('Шаг2.Бланк заказа NEW'!$B$19:$B$201)-COUNT('Бланк OLD 0.8 04'!$B$18:$B$200),'Бланк OLD 2.0 04 '!$B$16:$K$200,6,0)))</f>
        <v/>
      </c>
      <c r="J316" s="177" t="str">
        <f ca="1">IF(IF(T316="","",IF(T316=1,SUMIFS('Шаг1.Выбор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плиты'!C:Q,12,0)),1))))))=0,
T316,
IF(T316="","",IF(T316=1,SUMIFS('Шаг1.Выбор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плиты'!N:N,T316,'Шаг1.Выбор плиты'!M:M,SMALL(INDIRECT("мм"&amp;VLOOKUP(C316,'Шаг1.Выбор плиты'!C:Q,12,0)),1)))))))</f>
        <v/>
      </c>
      <c r="K316" s="177" t="str">
        <f ca="1">IF(IF(U316="","",IF(U316=1,SUMIFS('Шаг1.Выбор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плиты'!C:Q,12,0)),1))))))=0,
U316,
IF(U316="","",IF(U316=1,SUMIFS('Шаг1.Выбор плиты'!$G:$G,'Шаг1.Выбор плиты'!J:J,"*"&amp;RIGHT(VLOOKUP(C316,'Шаг1.Выбор плиты'!C:Q,8,0),4),'Шаг1.Выбор плиты'!L:L,IF(MID(C316,1,6)="ЛДСП P","TM"&amp;MID(VLOOKUP(C316,'Шаг1.Выбор плиты'!C:Q,10,0),3,2),MID(VLOOKUP(C316,'Шаг1.Выбор плиты'!C:Q,10,0),1,2)),
'Шаг1.Выбор плиты'!N:N,1),IF(SUMIFS('Шаг1.Выбор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плиты'!C:Q,12,0)),1))=0,
IF(SUMIFS('Шаг1.Выбор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плиты'!C:Q,12,0)),2))=0,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плиты'!C:Q,12,0)),3)),
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плиты'!C:Q,12,0)),2))),
(SUMIFS('Шаг1.Выбор плиты'!$G:$G,'Шаг1.Выбор плиты'!J:J,"*"&amp;RIGHT(VLOOKUP(C316,'Шаг1.Выбор плиты'!C:Q,8,0),4),'Шаг1.Выбор плиты'!L:L,VLOOKUP(C316,'Шаг1.Выбор плиты'!C:Q,10,0),'Шаг1.Выбор плиты'!N:N,U316,'Шаг1.Выбор плиты'!M:M,SMALL(INDIRECT("мм"&amp;VLOOKUP(C316,'Шаг1.Выбор плиты'!C:Q,12,0)),1)))))))</f>
        <v/>
      </c>
      <c r="L316" s="147" t="str">
        <f ca="1">IFERROR(IFERROR(IF(VLOOKUP($A316,'Шаг2.Бланк заказа NEW'!$B$17:$N$201,9,0)="","",VLOOKUP($A316,'Шаг2.Бланк заказа NEW'!$B$17:$N$201,9,0)),
IF(VLOOKUP($A316-COUNT('Шаг2.Бланк заказа NEW'!$B$19:$B$201),'Бланк OLD 0.8 04'!$B$12:$K$200,9,0)="","",VLOOKUP($A316-COUNT('Шаг2.Бланк заказа NEW'!$B$19:$B$201),'Бланк OLD 0.8 04'!$B$12:$K$200,9,0))),
IF(VLOOKUP($A316-COUNT('Шаг2.Бланк заказа NEW'!$B$19:$B$201)-COUNT('Бланк OLD 0.8 04'!$B$18:$B$200),'Бланк OLD 2.0 04 '!$B$16:$K$200,9,0)="","",VLOOKUP($A316-COUNT('Шаг2.Бланк заказа NEW'!$B$19:$B$201)-COUNT('Бланк OLD 0.8 04'!$B$18:$B$200),'Бланк OLD 2.0 04 '!$B$16:$K$200,9,0)))</f>
        <v/>
      </c>
      <c r="M316" s="154" t="str">
        <f t="shared" ca="1" si="25"/>
        <v/>
      </c>
      <c r="N316" s="153" t="str">
        <f ca="1">IFERROR(IF(VLOOKUP($A316,'Шаг2.Бланк заказа NEW'!$B$17:$N$201,11,0)="","",VLOOKUP($A316,'Шаг2.Бланк заказа NEW'!$B$17:$N$201,11,0)),
"Нет")</f>
        <v/>
      </c>
      <c r="O316" s="147" t="str">
        <f ca="1">IFERROR(IF(VLOOKUP($A316,'Шаг2.Бланк заказа NEW'!$B$17:$N$201,11,0)="","",VLOOKUP($A316,'Шаг2.Бланк заказа NEW'!$B$17:$N$201,12,0)),
"Нет")</f>
        <v/>
      </c>
      <c r="P316" s="153" t="str">
        <f ca="1">IFERROR(IF(VLOOKUP($A316,'Шаг2.Бланк заказа NEW'!$B$17:$N$201,13,0)="","",VLOOKUP($A316,'Шаг2.Бланк заказа NEW'!$B$17:$N$201,13,0)),
"Нет")</f>
        <v/>
      </c>
      <c r="Q316" s="147" t="str">
        <f ca="1">IFERROR(IF(VLOOKUP($A316,'Шаг2.Бланк заказа NEW'!$B$17:$O$201,14,0)="","",VLOOKUP($A316,'Шаг2.Бланк заказа NEW'!$B$17:$O$201,14,0)),"")</f>
        <v/>
      </c>
      <c r="R316" s="147" t="str">
        <f ca="1">IFERROR(IFERROR(IF(VLOOKUP($A316,'Шаг2.Бланк заказа NEW'!$B$17:$N$201,4,0)="","",VLOOKUP($A316,'Шаг2.Бланк заказа NEW'!$B$17:$N$201,4,0)),
IF(VLOOKUP($A316-COUNT('Шаг2.Бланк заказа NEW'!$B$19:$B$201),'Бланк OLD 0.8 04'!$B$12:$K$200,4,0)&gt;0,0.8,
IF(VLOOKUP($A316-COUNT('Шаг2.Бланк заказа NEW'!$B$19:$B$201),'Бланк OLD 0.8 04'!$B$12:$K$200,5,0)&gt;0,0.4,""))),
IF(VLOOKUP($A316-COUNT('Шаг2.Бланк заказа NEW'!$B$19:$B$201)-COUNT('Бланк OLD 0.8 04'!$B$18:$B$200),'Бланк OLD 2.0 04 '!$B$16:$K$200,4,0)&gt;0,2,IF(VLOOKUP($A316-COUNT('Шаг2.Бланк заказа NEW'!$B$19:$B$201)-COUNT('Бланк OLD 0.8 04'!$B$18:$B$200),'Бланк OLD 2.0 04 '!$B$16:$K$200,5,0)&gt;0,0.4,"")))</f>
        <v/>
      </c>
      <c r="S316" s="147" t="str">
        <f ca="1">IFERROR(IFERROR(IF(VLOOKUP($A316,'Шаг2.Бланк заказа NEW'!$B$17:$N$201,5,0)="","",VLOOKUP($A316,'Шаг2.Бланк заказа NEW'!$B$17:$N$201,5,0)),
IF(VLOOKUP($A316-COUNT('Шаг2.Бланк заказа NEW'!$B$19:$B$201),'Бланк OLD 0.8 04'!$B$12:$K$200,4,0)&gt;1,0.8,
IF(VLOOKUP($A316-COUNT('Шаг2.Бланк заказа NEW'!$B$19:$B$201),'Бланк OLD 0.8 04'!$B$12:$K$200,5,0)&gt;1,0.4,
IF(AND(VLOOKUP($A316-COUNT('Шаг2.Бланк заказа NEW'!$B$19:$B$201),'Бланк OLD 0.8 04'!$B$12:$K$200,4,0)&gt;0,VLOOKUP($A316-COUNT('Шаг2.Бланк заказа NEW'!$B$19:$B$201),'Бланк OLD 0.8 04'!$B$12:$K$200,5,0)&gt;0),0.4,"")))),
IF(VLOOKUP($A316-COUNT('Шаг2.Бланк заказа NEW'!$B$19:$B$201)-COUNT('Бланк OLD 0.8 04'!$B$18:$B$200),'Бланк OLD 2.0 04 '!$B$16:$K$200,4,0)&gt;1,2,
IF(VLOOKUP($A316-COUNT('Шаг2.Бланк заказа NEW'!$B$19:$B$201)-COUNT('Бланк OLD 0.8 04'!$B$18:$B$200),'Бланк OLD 2.0 04 '!$B$16:$K$200,5,0)&gt;1,0.4,IF(AND(VLOOKUP($A316-COUNT('Шаг2.Бланк заказа NEW'!$B$19:$B$201)-COUNT('Бланк OLD 0.8 04'!$B$18:$B$200),'Бланк OLD 2.0 04 '!$B$16:$K$200,4,0)&gt;0,VLOOKUP($A316-COUNT('Шаг2.Бланк заказа NEW'!$B$19:$B$201)-COUNT('Бланк OLD 0.8 04'!$B$18:$B$200),'Бланк OLD 2.0 04 '!$B$16:$K$200,5,0)&gt;0),0.4,""))))</f>
        <v/>
      </c>
      <c r="T316" s="147" t="str">
        <f ca="1">IFERROR(IFERROR(IF(VLOOKUP($A316,'Шаг2.Бланк заказа NEW'!$B$17:$N$201,7,0)="","",VLOOKUP($A316,'Шаг2.Бланк заказа NEW'!$B$17:$N$201,7,0)),
IF(VLOOKUP($A316-COUNT('Шаг2.Бланк заказа NEW'!$B$19:$B$201),'Бланк OLD 0.8 04'!$B$12:$K$200,7,0)&gt;0,0.8,
IF(VLOOKUP($A316-COUNT('Шаг2.Бланк заказа NEW'!$B$19:$B$201),'Бланк OLD 0.8 04'!$B$12:$K$200,8,0)&gt;0,0.4,""))),
IF(VLOOKUP($A316-COUNT('Шаг2.Бланк заказа NEW'!$B$19:$B$201)-COUNT('Бланк OLD 0.8 04'!$B$18:$B$200),'Бланк OLD 2.0 04 '!$B$16:$K$200,7,0)&gt;0,2,IF(VLOOKUP($A316-COUNT('Шаг2.Бланк заказа NEW'!$B$19:$B$201)-COUNT('Бланк OLD 0.8 04'!$B$18:$B$200),'Бланк OLD 2.0 04 '!$B$16:$K$200,8,0)&gt;0,0.4,"")))</f>
        <v/>
      </c>
      <c r="U316" s="147" t="str">
        <f ca="1">IFERROR(IFERROR(IF(VLOOKUP($A316,'Шаг2.Бланк заказа NEW'!$B$17:$N$201,8,0)="","",VLOOKUP($A316,'Шаг2.Бланк заказа NEW'!$B$17:$N$201,8,0)),
IF(VLOOKUP($A316-COUNT('Шаг2.Бланк заказа NEW'!$B$19:$B$201),'Бланк OLD 0.8 04'!$B$12:$K$200,7,0)&gt;1,0.8,
IF(VLOOKUP($A316-COUNT('Шаг2.Бланк заказа NEW'!$B$19:$B$201),'Бланк OLD 0.8 04'!$B$12:$K$200,8,0)&gt;1,0.4,
IF(AND(VLOOKUP($A316-COUNT('Шаг2.Бланк заказа NEW'!$B$19:$B$201),'Бланк OLD 0.8 04'!$B$12:$K$200,7,0)&gt;0,VLOOKUP($A316-COUNT('Шаг2.Бланк заказа NEW'!$B$19:$B$201),'Бланк OLD 0.8 04'!$B$12:$K$200,8,0)&gt;0),0.4,"")))),
IF(VLOOKUP($A316-COUNT('Шаг2.Бланк заказа NEW'!$B$19:$B$201)-COUNT('Бланк OLD 0.8 04'!$B$18:$B$200),'Бланк OLD 2.0 04 '!$B$16:$K$200,7,0)&gt;1,2,
IF(VLOOKUP($A316-COUNT('Шаг2.Бланк заказа NEW'!$B$19:$B$201)-COUNT('Бланк OLD 0.8 04'!$B$18:$B$200),'Бланк OLD 2.0 04 '!$B$16:$K$200,8,0)&gt;1,0.4,
IF(AND(VLOOKUP($A316-COUNT('Шаг2.Бланк заказа NEW'!$B$19:$B$201)-COUNT('Бланк OLD 0.8 04'!$B$18:$B$200),'Бланк OLD 2.0 04 '!$B$16:$K$200,7,0)&gt;0,VLOOKUP($A316-COUNT('Шаг2.Бланк заказа NEW'!$B$19:$B$201)-COUNT('Бланк OLD 0.8 04'!$B$18:$B$200),'Бланк OLD 2.0 04 '!$B$16:$K$200,8,0)&gt;0),0.4,""))))</f>
        <v/>
      </c>
      <c r="V316" s="146" t="str">
        <f ca="1">IFERROR(VLOOKUP(C316,'Шаг1.Выбор плиты'!C:S,12,0),"")</f>
        <v/>
      </c>
      <c r="W316" s="146" t="str">
        <f ca="1">IFERROR(VLOOKUP(C316,'Шаг1.Выбор плиты'!C:S,8,0),"")</f>
        <v/>
      </c>
      <c r="X316" s="146" t="str">
        <f ca="1">IFERROR(VLOOKUP(C316,'Шаг1.Выбор плиты'!C:S,10,0),"")</f>
        <v/>
      </c>
      <c r="Y316" s="147" t="str">
        <f t="shared" ca="1" si="23"/>
        <v/>
      </c>
      <c r="AD316" s="147" t="str">
        <f t="shared" ca="1" si="26"/>
        <v/>
      </c>
      <c r="AE316" s="147" t="str">
        <f t="shared" ca="1" si="24"/>
        <v/>
      </c>
      <c r="AF316" s="25"/>
      <c r="AH316" s="147" t="str">
        <f ca="1">IF(C316="","",VLOOKUP(C316,'Шаг1.Выбор плиты'!C:Q,7,0))</f>
        <v/>
      </c>
      <c r="AI316" s="147" t="str">
        <f t="shared" ca="1" si="27"/>
        <v/>
      </c>
    </row>
    <row r="317" spans="1:35" x14ac:dyDescent="0.2">
      <c r="A317" s="151" t="str">
        <f ca="1">IF(C317="","",MAX($A$1:OFFSET(C317,-1,0))+1)</f>
        <v/>
      </c>
      <c r="B317" s="151" t="str">
        <f ca="1">IFERROR(IFERROR(IFERROR("Шаг2.Бланк заказа NEW №"&amp;VLOOKUP(A316+1,CHOOSE({1,2},'Шаг2.Бланк заказа NEW'!$B$19:$B$201,'Шаг2.Бланк заказа NEW'!$A$19:$A$201),1,0),
"Бланк OLD 0.8 04 №"&amp;VLOOKUP(A316+1-COUNT('Шаг2.Бланк заказа NEW'!$B$19:$B$201),CHOOSE({1,2},'Бланк OLD 0.8 04'!$B$18:$B$200,'Бланк OLD 0.8 04'!$A$18:$A$200),1,0)),
"Бланк OLD 2.0 04 №"&amp;VLOOKUP(A316+1-COUNT('Шаг2.Бланк заказа NEW'!$B$19:$B$201)-COUNT('Бланк OLD 0.8 04'!$B$18:$B$200),CHOOSE({1,2},'Бланк OLD 2.0 04 '!$B$18:$B$200,'Бланк OLD 2.0 04 '!$A$18:$A$200),1,0)),"")</f>
        <v/>
      </c>
      <c r="C317" s="152" t="str">
        <f ca="1">IFERROR(IFERROR(IFERROR(VLOOKUP(A316+1,CHOOSE({1,2},'Шаг2.Бланк заказа NEW'!$B$19:$B$201,'Шаг2.Бланк заказа NEW'!$A$19:$A$201),2,0),
VLOOKUP(A316+1-COUNT('Шаг2.Бланк заказа NEW'!$B$19:$B$201),CHOOSE({1,2},'Бланк OLD 0.8 04'!$B$18:$B$200,'Бланк OLD 0.8 04'!$A$18:$A$200),2,0)),
VLOOKUP(A316+1-COUNT('Шаг2.Бланк заказа NEW'!$B$19:$B$201)-COUNT('Бланк OLD 0.8 04'!$B$18:$B$200),CHOOSE({1,2},'Бланк OLD 2.0 04 '!$B$18:$B$200,'Бланк OLD 2.0 04 '!$A$18:$A$200),2,0)),"")</f>
        <v/>
      </c>
      <c r="D317" s="150" t="str">
        <f ca="1">IFERROR(VLOOKUP(C317,'Шаг1.Выбор плиты'!C:G,5,0),"")</f>
        <v/>
      </c>
      <c r="E317" s="147" t="str">
        <f ca="1">IFERROR(IFERROR(IF(VLOOKUP($A317,'Шаг2.Бланк заказа NEW'!$B$17:$N$201,2,0)="","",VLOOKUP($A317,'Шаг2.Бланк заказа NEW'!$B$17:$N$201,2,0)),
IF(VLOOKUP($A317-COUNT('Шаг2.Бланк заказа NEW'!$B$19:$B$201),'Бланк OLD 0.8 04'!$B$12:$K$200,2,0)="","",VLOOKUP($A317-COUNT('Шаг2.Бланк заказа NEW'!$B$19:$B$201),'Бланк OLD 0.8 04'!$B$12:$K$200,2,0))),
IF(VLOOKUP($A317-COUNT('Шаг2.Бланк заказа NEW'!$B$19:$B$201)-COUNT('Бланк OLD 0.8 04'!$B$18:$B$200),'Бланк OLD 2.0 04 '!$B$16:$K$200,2,0)="","",VLOOKUP($A317-COUNT('Шаг2.Бланк заказа NEW'!$B$19:$B$201)-COUNT('Бланк OLD 0.8 04'!$B$18:$B$200),'Бланк OLD 2.0 04 '!$B$16:$K$200,2,0)))</f>
        <v/>
      </c>
      <c r="F317" s="147" t="str">
        <f ca="1">IFERROR(IFERROR(IF(VLOOKUP($A317,'Шаг2.Бланк заказа NEW'!$B$17:$N$201,3,0)="","",VLOOKUP($A317,'Шаг2.Бланк заказа NEW'!$B$17:$N$201,3,0)),
IF(VLOOKUP($A317-COUNT('Шаг2.Бланк заказа NEW'!$B$19:$B$201),'Бланк OLD 0.8 04'!$B$12:$K$200,3,0)="","",VLOOKUP($A317-COUNT('Шаг2.Бланк заказа NEW'!$B$19:$B$201),'Бланк OLD 0.8 04'!$B$12:$K$200,3,0))),
IF(VLOOKUP($A317-COUNT('Шаг2.Бланк заказа NEW'!$B$19:$B$201)-COUNT('Бланк OLD 0.8 04'!$B$18:$B$200),'Бланк OLD 2.0 04 '!$B$16:$K$200,3,0)="","",VLOOKUP($A317-COUNT('Шаг2.Бланк заказа NEW'!$B$19:$B$201)-COUNT('Бланк OLD 0.8 04'!$B$18:$B$200),'Бланк OLD 2.0 04 '!$B$16:$K$200,3,0)))</f>
        <v/>
      </c>
      <c r="G317" s="176" t="str">
        <f ca="1">IF(IF(R317="","",IF(R317=1,SUMIFS('Шаг1.Выбор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плиты'!C:Q,12,0)),1))))))=0,
R317,
IF(R317="","",IF(R317=1,SUMIFS('Шаг1.Выбор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плиты'!N:N,R317,'Шаг1.Выбор плиты'!M:M,SMALL(INDIRECT("мм"&amp;VLOOKUP(C317,'Шаг1.Выбор плиты'!C:Q,12,0)),1)))))))</f>
        <v/>
      </c>
      <c r="H317" s="177" t="str">
        <f ca="1">IF(IF(S317="","",IF(S317=1,SUMIFS('Шаг1.Выбор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плиты'!C:Q,12,0)),1))))))=0,
S317,
IF(S317="","",IF(S317=1,SUMIFS('Шаг1.Выбор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плиты'!N:N,S317,'Шаг1.Выбор плиты'!M:M,SMALL(INDIRECT("мм"&amp;VLOOKUP(C317,'Шаг1.Выбор плиты'!C:Q,12,0)),1)))))))</f>
        <v/>
      </c>
      <c r="I317" s="147" t="str">
        <f ca="1">IFERROR(IFERROR(IF(VLOOKUP($A317,'Шаг2.Бланк заказа NEW'!$B$17:$N$201,6,0)="","",VLOOKUP($A317,'Шаг2.Бланк заказа NEW'!$B$17:$N$201,6,0)),
IF(VLOOKUP($A317-COUNT('Шаг2.Бланк заказа NEW'!$B$19:$B$201),'Бланк OLD 0.8 04'!$B$12:$K$200,6,0)="","",VLOOKUP($A317-COUNT('Шаг2.Бланк заказа NEW'!$B$19:$B$201),'Бланк OLD 0.8 04'!$B$12:$K$200,6,0))),
IF(VLOOKUP($A317-COUNT('Шаг2.Бланк заказа NEW'!$B$19:$B$201)-COUNT('Бланк OLD 0.8 04'!$B$18:$B$200),'Бланк OLD 2.0 04 '!$B$16:$K$200,6,0)="","",VLOOKUP($A317-COUNT('Шаг2.Бланк заказа NEW'!$B$19:$B$201)-COUNT('Бланк OLD 0.8 04'!$B$18:$B$200),'Бланк OLD 2.0 04 '!$B$16:$K$200,6,0)))</f>
        <v/>
      </c>
      <c r="J317" s="177" t="str">
        <f ca="1">IF(IF(T317="","",IF(T317=1,SUMIFS('Шаг1.Выбор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плиты'!C:Q,12,0)),1))))))=0,
T317,
IF(T317="","",IF(T317=1,SUMIFS('Шаг1.Выбор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плиты'!N:N,T317,'Шаг1.Выбор плиты'!M:M,SMALL(INDIRECT("мм"&amp;VLOOKUP(C317,'Шаг1.Выбор плиты'!C:Q,12,0)),1)))))))</f>
        <v/>
      </c>
      <c r="K317" s="177" t="str">
        <f ca="1">IF(IF(U317="","",IF(U317=1,SUMIFS('Шаг1.Выбор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плиты'!C:Q,12,0)),1))))))=0,
U317,
IF(U317="","",IF(U317=1,SUMIFS('Шаг1.Выбор плиты'!$G:$G,'Шаг1.Выбор плиты'!J:J,"*"&amp;RIGHT(VLOOKUP(C317,'Шаг1.Выбор плиты'!C:Q,8,0),4),'Шаг1.Выбор плиты'!L:L,IF(MID(C317,1,6)="ЛДСП P","TM"&amp;MID(VLOOKUP(C317,'Шаг1.Выбор плиты'!C:Q,10,0),3,2),MID(VLOOKUP(C317,'Шаг1.Выбор плиты'!C:Q,10,0),1,2)),
'Шаг1.Выбор плиты'!N:N,1),IF(SUMIFS('Шаг1.Выбор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плиты'!C:Q,12,0)),1))=0,
IF(SUMIFS('Шаг1.Выбор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плиты'!C:Q,12,0)),2))=0,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плиты'!C:Q,12,0)),3)),
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плиты'!C:Q,12,0)),2))),
(SUMIFS('Шаг1.Выбор плиты'!$G:$G,'Шаг1.Выбор плиты'!J:J,"*"&amp;RIGHT(VLOOKUP(C317,'Шаг1.Выбор плиты'!C:Q,8,0),4),'Шаг1.Выбор плиты'!L:L,VLOOKUP(C317,'Шаг1.Выбор плиты'!C:Q,10,0),'Шаг1.Выбор плиты'!N:N,U317,'Шаг1.Выбор плиты'!M:M,SMALL(INDIRECT("мм"&amp;VLOOKUP(C317,'Шаг1.Выбор плиты'!C:Q,12,0)),1)))))))</f>
        <v/>
      </c>
      <c r="L317" s="147" t="str">
        <f ca="1">IFERROR(IFERROR(IF(VLOOKUP($A317,'Шаг2.Бланк заказа NEW'!$B$17:$N$201,9,0)="","",VLOOKUP($A317,'Шаг2.Бланк заказа NEW'!$B$17:$N$201,9,0)),
IF(VLOOKUP($A317-COUNT('Шаг2.Бланк заказа NEW'!$B$19:$B$201),'Бланк OLD 0.8 04'!$B$12:$K$200,9,0)="","",VLOOKUP($A317-COUNT('Шаг2.Бланк заказа NEW'!$B$19:$B$201),'Бланк OLD 0.8 04'!$B$12:$K$200,9,0))),
IF(VLOOKUP($A317-COUNT('Шаг2.Бланк заказа NEW'!$B$19:$B$201)-COUNT('Бланк OLD 0.8 04'!$B$18:$B$200),'Бланк OLD 2.0 04 '!$B$16:$K$200,9,0)="","",VLOOKUP($A317-COUNT('Шаг2.Бланк заказа NEW'!$B$19:$B$201)-COUNT('Бланк OLD 0.8 04'!$B$18:$B$200),'Бланк OLD 2.0 04 '!$B$16:$K$200,9,0)))</f>
        <v/>
      </c>
      <c r="M317" s="154" t="str">
        <f t="shared" ca="1" si="25"/>
        <v/>
      </c>
      <c r="N317" s="153" t="str">
        <f ca="1">IFERROR(IF(VLOOKUP($A317,'Шаг2.Бланк заказа NEW'!$B$17:$N$201,11,0)="","",VLOOKUP($A317,'Шаг2.Бланк заказа NEW'!$B$17:$N$201,11,0)),
"Нет")</f>
        <v/>
      </c>
      <c r="O317" s="147" t="str">
        <f ca="1">IFERROR(IF(VLOOKUP($A317,'Шаг2.Бланк заказа NEW'!$B$17:$N$201,11,0)="","",VLOOKUP($A317,'Шаг2.Бланк заказа NEW'!$B$17:$N$201,12,0)),
"Нет")</f>
        <v/>
      </c>
      <c r="P317" s="153" t="str">
        <f ca="1">IFERROR(IF(VLOOKUP($A317,'Шаг2.Бланк заказа NEW'!$B$17:$N$201,13,0)="","",VLOOKUP($A317,'Шаг2.Бланк заказа NEW'!$B$17:$N$201,13,0)),
"Нет")</f>
        <v/>
      </c>
      <c r="Q317" s="147" t="str">
        <f ca="1">IFERROR(IF(VLOOKUP($A317,'Шаг2.Бланк заказа NEW'!$B$17:$O$201,14,0)="","",VLOOKUP($A317,'Шаг2.Бланк заказа NEW'!$B$17:$O$201,14,0)),"")</f>
        <v/>
      </c>
      <c r="R317" s="147" t="str">
        <f ca="1">IFERROR(IFERROR(IF(VLOOKUP($A317,'Шаг2.Бланк заказа NEW'!$B$17:$N$201,4,0)="","",VLOOKUP($A317,'Шаг2.Бланк заказа NEW'!$B$17:$N$201,4,0)),
IF(VLOOKUP($A317-COUNT('Шаг2.Бланк заказа NEW'!$B$19:$B$201),'Бланк OLD 0.8 04'!$B$12:$K$200,4,0)&gt;0,0.8,
IF(VLOOKUP($A317-COUNT('Шаг2.Бланк заказа NEW'!$B$19:$B$201),'Бланк OLD 0.8 04'!$B$12:$K$200,5,0)&gt;0,0.4,""))),
IF(VLOOKUP($A317-COUNT('Шаг2.Бланк заказа NEW'!$B$19:$B$201)-COUNT('Бланк OLD 0.8 04'!$B$18:$B$200),'Бланк OLD 2.0 04 '!$B$16:$K$200,4,0)&gt;0,2,IF(VLOOKUP($A317-COUNT('Шаг2.Бланк заказа NEW'!$B$19:$B$201)-COUNT('Бланк OLD 0.8 04'!$B$18:$B$200),'Бланк OLD 2.0 04 '!$B$16:$K$200,5,0)&gt;0,0.4,"")))</f>
        <v/>
      </c>
      <c r="S317" s="147" t="str">
        <f ca="1">IFERROR(IFERROR(IF(VLOOKUP($A317,'Шаг2.Бланк заказа NEW'!$B$17:$N$201,5,0)="","",VLOOKUP($A317,'Шаг2.Бланк заказа NEW'!$B$17:$N$201,5,0)),
IF(VLOOKUP($A317-COUNT('Шаг2.Бланк заказа NEW'!$B$19:$B$201),'Бланк OLD 0.8 04'!$B$12:$K$200,4,0)&gt;1,0.8,
IF(VLOOKUP($A317-COUNT('Шаг2.Бланк заказа NEW'!$B$19:$B$201),'Бланк OLD 0.8 04'!$B$12:$K$200,5,0)&gt;1,0.4,
IF(AND(VLOOKUP($A317-COUNT('Шаг2.Бланк заказа NEW'!$B$19:$B$201),'Бланк OLD 0.8 04'!$B$12:$K$200,4,0)&gt;0,VLOOKUP($A317-COUNT('Шаг2.Бланк заказа NEW'!$B$19:$B$201),'Бланк OLD 0.8 04'!$B$12:$K$200,5,0)&gt;0),0.4,"")))),
IF(VLOOKUP($A317-COUNT('Шаг2.Бланк заказа NEW'!$B$19:$B$201)-COUNT('Бланк OLD 0.8 04'!$B$18:$B$200),'Бланк OLD 2.0 04 '!$B$16:$K$200,4,0)&gt;1,2,
IF(VLOOKUP($A317-COUNT('Шаг2.Бланк заказа NEW'!$B$19:$B$201)-COUNT('Бланк OLD 0.8 04'!$B$18:$B$200),'Бланк OLD 2.0 04 '!$B$16:$K$200,5,0)&gt;1,0.4,IF(AND(VLOOKUP($A317-COUNT('Шаг2.Бланк заказа NEW'!$B$19:$B$201)-COUNT('Бланк OLD 0.8 04'!$B$18:$B$200),'Бланк OLD 2.0 04 '!$B$16:$K$200,4,0)&gt;0,VLOOKUP($A317-COUNT('Шаг2.Бланк заказа NEW'!$B$19:$B$201)-COUNT('Бланк OLD 0.8 04'!$B$18:$B$200),'Бланк OLD 2.0 04 '!$B$16:$K$200,5,0)&gt;0),0.4,""))))</f>
        <v/>
      </c>
      <c r="T317" s="147" t="str">
        <f ca="1">IFERROR(IFERROR(IF(VLOOKUP($A317,'Шаг2.Бланк заказа NEW'!$B$17:$N$201,7,0)="","",VLOOKUP($A317,'Шаг2.Бланк заказа NEW'!$B$17:$N$201,7,0)),
IF(VLOOKUP($A317-COUNT('Шаг2.Бланк заказа NEW'!$B$19:$B$201),'Бланк OLD 0.8 04'!$B$12:$K$200,7,0)&gt;0,0.8,
IF(VLOOKUP($A317-COUNT('Шаг2.Бланк заказа NEW'!$B$19:$B$201),'Бланк OLD 0.8 04'!$B$12:$K$200,8,0)&gt;0,0.4,""))),
IF(VLOOKUP($A317-COUNT('Шаг2.Бланк заказа NEW'!$B$19:$B$201)-COUNT('Бланк OLD 0.8 04'!$B$18:$B$200),'Бланк OLD 2.0 04 '!$B$16:$K$200,7,0)&gt;0,2,IF(VLOOKUP($A317-COUNT('Шаг2.Бланк заказа NEW'!$B$19:$B$201)-COUNT('Бланк OLD 0.8 04'!$B$18:$B$200),'Бланк OLD 2.0 04 '!$B$16:$K$200,8,0)&gt;0,0.4,"")))</f>
        <v/>
      </c>
      <c r="U317" s="147" t="str">
        <f ca="1">IFERROR(IFERROR(IF(VLOOKUP($A317,'Шаг2.Бланк заказа NEW'!$B$17:$N$201,8,0)="","",VLOOKUP($A317,'Шаг2.Бланк заказа NEW'!$B$17:$N$201,8,0)),
IF(VLOOKUP($A317-COUNT('Шаг2.Бланк заказа NEW'!$B$19:$B$201),'Бланк OLD 0.8 04'!$B$12:$K$200,7,0)&gt;1,0.8,
IF(VLOOKUP($A317-COUNT('Шаг2.Бланк заказа NEW'!$B$19:$B$201),'Бланк OLD 0.8 04'!$B$12:$K$200,8,0)&gt;1,0.4,
IF(AND(VLOOKUP($A317-COUNT('Шаг2.Бланк заказа NEW'!$B$19:$B$201),'Бланк OLD 0.8 04'!$B$12:$K$200,7,0)&gt;0,VLOOKUP($A317-COUNT('Шаг2.Бланк заказа NEW'!$B$19:$B$201),'Бланк OLD 0.8 04'!$B$12:$K$200,8,0)&gt;0),0.4,"")))),
IF(VLOOKUP($A317-COUNT('Шаг2.Бланк заказа NEW'!$B$19:$B$201)-COUNT('Бланк OLD 0.8 04'!$B$18:$B$200),'Бланк OLD 2.0 04 '!$B$16:$K$200,7,0)&gt;1,2,
IF(VLOOKUP($A317-COUNT('Шаг2.Бланк заказа NEW'!$B$19:$B$201)-COUNT('Бланк OLD 0.8 04'!$B$18:$B$200),'Бланк OLD 2.0 04 '!$B$16:$K$200,8,0)&gt;1,0.4,
IF(AND(VLOOKUP($A317-COUNT('Шаг2.Бланк заказа NEW'!$B$19:$B$201)-COUNT('Бланк OLD 0.8 04'!$B$18:$B$200),'Бланк OLD 2.0 04 '!$B$16:$K$200,7,0)&gt;0,VLOOKUP($A317-COUNT('Шаг2.Бланк заказа NEW'!$B$19:$B$201)-COUNT('Бланк OLD 0.8 04'!$B$18:$B$200),'Бланк OLD 2.0 04 '!$B$16:$K$200,8,0)&gt;0),0.4,""))))</f>
        <v/>
      </c>
      <c r="V317" s="146" t="str">
        <f ca="1">IFERROR(VLOOKUP(C317,'Шаг1.Выбор плиты'!C:S,12,0),"")</f>
        <v/>
      </c>
      <c r="W317" s="146" t="str">
        <f ca="1">IFERROR(VLOOKUP(C317,'Шаг1.Выбор плиты'!C:S,8,0),"")</f>
        <v/>
      </c>
      <c r="X317" s="146" t="str">
        <f ca="1">IFERROR(VLOOKUP(C317,'Шаг1.Выбор плиты'!C:S,10,0),"")</f>
        <v/>
      </c>
      <c r="Y317" s="147" t="str">
        <f t="shared" ca="1" si="23"/>
        <v/>
      </c>
      <c r="AD317" s="147" t="str">
        <f t="shared" ca="1" si="26"/>
        <v/>
      </c>
      <c r="AE317" s="147" t="str">
        <f t="shared" ca="1" si="24"/>
        <v/>
      </c>
      <c r="AF317" s="25"/>
      <c r="AH317" s="147" t="str">
        <f ca="1">IF(C317="","",VLOOKUP(C317,'Шаг1.Выбор плиты'!C:Q,7,0))</f>
        <v/>
      </c>
      <c r="AI317" s="147" t="str">
        <f t="shared" ca="1" si="27"/>
        <v/>
      </c>
    </row>
    <row r="318" spans="1:35" x14ac:dyDescent="0.2">
      <c r="A318" s="151" t="str">
        <f ca="1">IF(C318="","",MAX($A$1:OFFSET(C318,-1,0))+1)</f>
        <v/>
      </c>
      <c r="B318" s="151" t="str">
        <f ca="1">IFERROR(IFERROR(IFERROR("Шаг2.Бланк заказа NEW №"&amp;VLOOKUP(A317+1,CHOOSE({1,2},'Шаг2.Бланк заказа NEW'!$B$19:$B$201,'Шаг2.Бланк заказа NEW'!$A$19:$A$201),1,0),
"Бланк OLD 0.8 04 №"&amp;VLOOKUP(A317+1-COUNT('Шаг2.Бланк заказа NEW'!$B$19:$B$201),CHOOSE({1,2},'Бланк OLD 0.8 04'!$B$18:$B$200,'Бланк OLD 0.8 04'!$A$18:$A$200),1,0)),
"Бланк OLD 2.0 04 №"&amp;VLOOKUP(A317+1-COUNT('Шаг2.Бланк заказа NEW'!$B$19:$B$201)-COUNT('Бланк OLD 0.8 04'!$B$18:$B$200),CHOOSE({1,2},'Бланк OLD 2.0 04 '!$B$18:$B$200,'Бланк OLD 2.0 04 '!$A$18:$A$200),1,0)),"")</f>
        <v/>
      </c>
      <c r="C318" s="152" t="str">
        <f ca="1">IFERROR(IFERROR(IFERROR(VLOOKUP(A317+1,CHOOSE({1,2},'Шаг2.Бланк заказа NEW'!$B$19:$B$201,'Шаг2.Бланк заказа NEW'!$A$19:$A$201),2,0),
VLOOKUP(A317+1-COUNT('Шаг2.Бланк заказа NEW'!$B$19:$B$201),CHOOSE({1,2},'Бланк OLD 0.8 04'!$B$18:$B$200,'Бланк OLD 0.8 04'!$A$18:$A$200),2,0)),
VLOOKUP(A317+1-COUNT('Шаг2.Бланк заказа NEW'!$B$19:$B$201)-COUNT('Бланк OLD 0.8 04'!$B$18:$B$200),CHOOSE({1,2},'Бланк OLD 2.0 04 '!$B$18:$B$200,'Бланк OLD 2.0 04 '!$A$18:$A$200),2,0)),"")</f>
        <v/>
      </c>
      <c r="D318" s="150" t="str">
        <f ca="1">IFERROR(VLOOKUP(C318,'Шаг1.Выбор плиты'!C:G,5,0),"")</f>
        <v/>
      </c>
      <c r="E318" s="147" t="str">
        <f ca="1">IFERROR(IFERROR(IF(VLOOKUP($A318,'Шаг2.Бланк заказа NEW'!$B$17:$N$201,2,0)="","",VLOOKUP($A318,'Шаг2.Бланк заказа NEW'!$B$17:$N$201,2,0)),
IF(VLOOKUP($A318-COUNT('Шаг2.Бланк заказа NEW'!$B$19:$B$201),'Бланк OLD 0.8 04'!$B$12:$K$200,2,0)="","",VLOOKUP($A318-COUNT('Шаг2.Бланк заказа NEW'!$B$19:$B$201),'Бланк OLD 0.8 04'!$B$12:$K$200,2,0))),
IF(VLOOKUP($A318-COUNT('Шаг2.Бланк заказа NEW'!$B$19:$B$201)-COUNT('Бланк OLD 0.8 04'!$B$18:$B$200),'Бланк OLD 2.0 04 '!$B$16:$K$200,2,0)="","",VLOOKUP($A318-COUNT('Шаг2.Бланк заказа NEW'!$B$19:$B$201)-COUNT('Бланк OLD 0.8 04'!$B$18:$B$200),'Бланк OLD 2.0 04 '!$B$16:$K$200,2,0)))</f>
        <v/>
      </c>
      <c r="F318" s="147" t="str">
        <f ca="1">IFERROR(IFERROR(IF(VLOOKUP($A318,'Шаг2.Бланк заказа NEW'!$B$17:$N$201,3,0)="","",VLOOKUP($A318,'Шаг2.Бланк заказа NEW'!$B$17:$N$201,3,0)),
IF(VLOOKUP($A318-COUNT('Шаг2.Бланк заказа NEW'!$B$19:$B$201),'Бланк OLD 0.8 04'!$B$12:$K$200,3,0)="","",VLOOKUP($A318-COUNT('Шаг2.Бланк заказа NEW'!$B$19:$B$201),'Бланк OLD 0.8 04'!$B$12:$K$200,3,0))),
IF(VLOOKUP($A318-COUNT('Шаг2.Бланк заказа NEW'!$B$19:$B$201)-COUNT('Бланк OLD 0.8 04'!$B$18:$B$200),'Бланк OLD 2.0 04 '!$B$16:$K$200,3,0)="","",VLOOKUP($A318-COUNT('Шаг2.Бланк заказа NEW'!$B$19:$B$201)-COUNT('Бланк OLD 0.8 04'!$B$18:$B$200),'Бланк OLD 2.0 04 '!$B$16:$K$200,3,0)))</f>
        <v/>
      </c>
      <c r="G318" s="176" t="str">
        <f ca="1">IF(IF(R318="","",IF(R318=1,SUMIFS('Шаг1.Выбор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плиты'!C:Q,12,0)),1))))))=0,
R318,
IF(R318="","",IF(R318=1,SUMIFS('Шаг1.Выбор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плиты'!N:N,R318,'Шаг1.Выбор плиты'!M:M,SMALL(INDIRECT("мм"&amp;VLOOKUP(C318,'Шаг1.Выбор плиты'!C:Q,12,0)),1)))))))</f>
        <v/>
      </c>
      <c r="H318" s="177" t="str">
        <f ca="1">IF(IF(S318="","",IF(S318=1,SUMIFS('Шаг1.Выбор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плиты'!C:Q,12,0)),1))))))=0,
S318,
IF(S318="","",IF(S318=1,SUMIFS('Шаг1.Выбор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плиты'!N:N,S318,'Шаг1.Выбор плиты'!M:M,SMALL(INDIRECT("мм"&amp;VLOOKUP(C318,'Шаг1.Выбор плиты'!C:Q,12,0)),1)))))))</f>
        <v/>
      </c>
      <c r="I318" s="147" t="str">
        <f ca="1">IFERROR(IFERROR(IF(VLOOKUP($A318,'Шаг2.Бланк заказа NEW'!$B$17:$N$201,6,0)="","",VLOOKUP($A318,'Шаг2.Бланк заказа NEW'!$B$17:$N$201,6,0)),
IF(VLOOKUP($A318-COUNT('Шаг2.Бланк заказа NEW'!$B$19:$B$201),'Бланк OLD 0.8 04'!$B$12:$K$200,6,0)="","",VLOOKUP($A318-COUNT('Шаг2.Бланк заказа NEW'!$B$19:$B$201),'Бланк OLD 0.8 04'!$B$12:$K$200,6,0))),
IF(VLOOKUP($A318-COUNT('Шаг2.Бланк заказа NEW'!$B$19:$B$201)-COUNT('Бланк OLD 0.8 04'!$B$18:$B$200),'Бланк OLD 2.0 04 '!$B$16:$K$200,6,0)="","",VLOOKUP($A318-COUNT('Шаг2.Бланк заказа NEW'!$B$19:$B$201)-COUNT('Бланк OLD 0.8 04'!$B$18:$B$200),'Бланк OLD 2.0 04 '!$B$16:$K$200,6,0)))</f>
        <v/>
      </c>
      <c r="J318" s="177" t="str">
        <f ca="1">IF(IF(T318="","",IF(T318=1,SUMIFS('Шаг1.Выбор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плиты'!C:Q,12,0)),1))))))=0,
T318,
IF(T318="","",IF(T318=1,SUMIFS('Шаг1.Выбор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плиты'!N:N,T318,'Шаг1.Выбор плиты'!M:M,SMALL(INDIRECT("мм"&amp;VLOOKUP(C318,'Шаг1.Выбор плиты'!C:Q,12,0)),1)))))))</f>
        <v/>
      </c>
      <c r="K318" s="177" t="str">
        <f ca="1">IF(IF(U318="","",IF(U318=1,SUMIFS('Шаг1.Выбор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плиты'!C:Q,12,0)),1))))))=0,
U318,
IF(U318="","",IF(U318=1,SUMIFS('Шаг1.Выбор плиты'!$G:$G,'Шаг1.Выбор плиты'!J:J,"*"&amp;RIGHT(VLOOKUP(C318,'Шаг1.Выбор плиты'!C:Q,8,0),4),'Шаг1.Выбор плиты'!L:L,IF(MID(C318,1,6)="ЛДСП P","TM"&amp;MID(VLOOKUP(C318,'Шаг1.Выбор плиты'!C:Q,10,0),3,2),MID(VLOOKUP(C318,'Шаг1.Выбор плиты'!C:Q,10,0),1,2)),
'Шаг1.Выбор плиты'!N:N,1),IF(SUMIFS('Шаг1.Выбор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плиты'!C:Q,12,0)),1))=0,
IF(SUMIFS('Шаг1.Выбор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плиты'!C:Q,12,0)),2))=0,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плиты'!C:Q,12,0)),3)),
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плиты'!C:Q,12,0)),2))),
(SUMIFS('Шаг1.Выбор плиты'!$G:$G,'Шаг1.Выбор плиты'!J:J,"*"&amp;RIGHT(VLOOKUP(C318,'Шаг1.Выбор плиты'!C:Q,8,0),4),'Шаг1.Выбор плиты'!L:L,VLOOKUP(C318,'Шаг1.Выбор плиты'!C:Q,10,0),'Шаг1.Выбор плиты'!N:N,U318,'Шаг1.Выбор плиты'!M:M,SMALL(INDIRECT("мм"&amp;VLOOKUP(C318,'Шаг1.Выбор плиты'!C:Q,12,0)),1)))))))</f>
        <v/>
      </c>
      <c r="L318" s="147" t="str">
        <f ca="1">IFERROR(IFERROR(IF(VLOOKUP($A318,'Шаг2.Бланк заказа NEW'!$B$17:$N$201,9,0)="","",VLOOKUP($A318,'Шаг2.Бланк заказа NEW'!$B$17:$N$201,9,0)),
IF(VLOOKUP($A318-COUNT('Шаг2.Бланк заказа NEW'!$B$19:$B$201),'Бланк OLD 0.8 04'!$B$12:$K$200,9,0)="","",VLOOKUP($A318-COUNT('Шаг2.Бланк заказа NEW'!$B$19:$B$201),'Бланк OLD 0.8 04'!$B$12:$K$200,9,0))),
IF(VLOOKUP($A318-COUNT('Шаг2.Бланк заказа NEW'!$B$19:$B$201)-COUNT('Бланк OLD 0.8 04'!$B$18:$B$200),'Бланк OLD 2.0 04 '!$B$16:$K$200,9,0)="","",VLOOKUP($A318-COUNT('Шаг2.Бланк заказа NEW'!$B$19:$B$201)-COUNT('Бланк OLD 0.8 04'!$B$18:$B$200),'Бланк OLD 2.0 04 '!$B$16:$K$200,9,0)))</f>
        <v/>
      </c>
      <c r="M318" s="154" t="str">
        <f t="shared" ca="1" si="25"/>
        <v/>
      </c>
      <c r="N318" s="153" t="str">
        <f ca="1">IFERROR(IF(VLOOKUP($A318,'Шаг2.Бланк заказа NEW'!$B$17:$N$201,11,0)="","",VLOOKUP($A318,'Шаг2.Бланк заказа NEW'!$B$17:$N$201,11,0)),
"Нет")</f>
        <v/>
      </c>
      <c r="O318" s="147" t="str">
        <f ca="1">IFERROR(IF(VLOOKUP($A318,'Шаг2.Бланк заказа NEW'!$B$17:$N$201,11,0)="","",VLOOKUP($A318,'Шаг2.Бланк заказа NEW'!$B$17:$N$201,12,0)),
"Нет")</f>
        <v/>
      </c>
      <c r="P318" s="153" t="str">
        <f ca="1">IFERROR(IF(VLOOKUP($A318,'Шаг2.Бланк заказа NEW'!$B$17:$N$201,13,0)="","",VLOOKUP($A318,'Шаг2.Бланк заказа NEW'!$B$17:$N$201,13,0)),
"Нет")</f>
        <v/>
      </c>
      <c r="Q318" s="147" t="str">
        <f ca="1">IFERROR(IF(VLOOKUP($A318,'Шаг2.Бланк заказа NEW'!$B$17:$O$201,14,0)="","",VLOOKUP($A318,'Шаг2.Бланк заказа NEW'!$B$17:$O$201,14,0)),"")</f>
        <v/>
      </c>
      <c r="R318" s="147" t="str">
        <f ca="1">IFERROR(IFERROR(IF(VLOOKUP($A318,'Шаг2.Бланк заказа NEW'!$B$17:$N$201,4,0)="","",VLOOKUP($A318,'Шаг2.Бланк заказа NEW'!$B$17:$N$201,4,0)),
IF(VLOOKUP($A318-COUNT('Шаг2.Бланк заказа NEW'!$B$19:$B$201),'Бланк OLD 0.8 04'!$B$12:$K$200,4,0)&gt;0,0.8,
IF(VLOOKUP($A318-COUNT('Шаг2.Бланк заказа NEW'!$B$19:$B$201),'Бланк OLD 0.8 04'!$B$12:$K$200,5,0)&gt;0,0.4,""))),
IF(VLOOKUP($A318-COUNT('Шаг2.Бланк заказа NEW'!$B$19:$B$201)-COUNT('Бланк OLD 0.8 04'!$B$18:$B$200),'Бланк OLD 2.0 04 '!$B$16:$K$200,4,0)&gt;0,2,IF(VLOOKUP($A318-COUNT('Шаг2.Бланк заказа NEW'!$B$19:$B$201)-COUNT('Бланк OLD 0.8 04'!$B$18:$B$200),'Бланк OLD 2.0 04 '!$B$16:$K$200,5,0)&gt;0,0.4,"")))</f>
        <v/>
      </c>
      <c r="S318" s="147" t="str">
        <f ca="1">IFERROR(IFERROR(IF(VLOOKUP($A318,'Шаг2.Бланк заказа NEW'!$B$17:$N$201,5,0)="","",VLOOKUP($A318,'Шаг2.Бланк заказа NEW'!$B$17:$N$201,5,0)),
IF(VLOOKUP($A318-COUNT('Шаг2.Бланк заказа NEW'!$B$19:$B$201),'Бланк OLD 0.8 04'!$B$12:$K$200,4,0)&gt;1,0.8,
IF(VLOOKUP($A318-COUNT('Шаг2.Бланк заказа NEW'!$B$19:$B$201),'Бланк OLD 0.8 04'!$B$12:$K$200,5,0)&gt;1,0.4,
IF(AND(VLOOKUP($A318-COUNT('Шаг2.Бланк заказа NEW'!$B$19:$B$201),'Бланк OLD 0.8 04'!$B$12:$K$200,4,0)&gt;0,VLOOKUP($A318-COUNT('Шаг2.Бланк заказа NEW'!$B$19:$B$201),'Бланк OLD 0.8 04'!$B$12:$K$200,5,0)&gt;0),0.4,"")))),
IF(VLOOKUP($A318-COUNT('Шаг2.Бланк заказа NEW'!$B$19:$B$201)-COUNT('Бланк OLD 0.8 04'!$B$18:$B$200),'Бланк OLD 2.0 04 '!$B$16:$K$200,4,0)&gt;1,2,
IF(VLOOKUP($A318-COUNT('Шаг2.Бланк заказа NEW'!$B$19:$B$201)-COUNT('Бланк OLD 0.8 04'!$B$18:$B$200),'Бланк OLD 2.0 04 '!$B$16:$K$200,5,0)&gt;1,0.4,IF(AND(VLOOKUP($A318-COUNT('Шаг2.Бланк заказа NEW'!$B$19:$B$201)-COUNT('Бланк OLD 0.8 04'!$B$18:$B$200),'Бланк OLD 2.0 04 '!$B$16:$K$200,4,0)&gt;0,VLOOKUP($A318-COUNT('Шаг2.Бланк заказа NEW'!$B$19:$B$201)-COUNT('Бланк OLD 0.8 04'!$B$18:$B$200),'Бланк OLD 2.0 04 '!$B$16:$K$200,5,0)&gt;0),0.4,""))))</f>
        <v/>
      </c>
      <c r="T318" s="147" t="str">
        <f ca="1">IFERROR(IFERROR(IF(VLOOKUP($A318,'Шаг2.Бланк заказа NEW'!$B$17:$N$201,7,0)="","",VLOOKUP($A318,'Шаг2.Бланк заказа NEW'!$B$17:$N$201,7,0)),
IF(VLOOKUP($A318-COUNT('Шаг2.Бланк заказа NEW'!$B$19:$B$201),'Бланк OLD 0.8 04'!$B$12:$K$200,7,0)&gt;0,0.8,
IF(VLOOKUP($A318-COUNT('Шаг2.Бланк заказа NEW'!$B$19:$B$201),'Бланк OLD 0.8 04'!$B$12:$K$200,8,0)&gt;0,0.4,""))),
IF(VLOOKUP($A318-COUNT('Шаг2.Бланк заказа NEW'!$B$19:$B$201)-COUNT('Бланк OLD 0.8 04'!$B$18:$B$200),'Бланк OLD 2.0 04 '!$B$16:$K$200,7,0)&gt;0,2,IF(VLOOKUP($A318-COUNT('Шаг2.Бланк заказа NEW'!$B$19:$B$201)-COUNT('Бланк OLD 0.8 04'!$B$18:$B$200),'Бланк OLD 2.0 04 '!$B$16:$K$200,8,0)&gt;0,0.4,"")))</f>
        <v/>
      </c>
      <c r="U318" s="147" t="str">
        <f ca="1">IFERROR(IFERROR(IF(VLOOKUP($A318,'Шаг2.Бланк заказа NEW'!$B$17:$N$201,8,0)="","",VLOOKUP($A318,'Шаг2.Бланк заказа NEW'!$B$17:$N$201,8,0)),
IF(VLOOKUP($A318-COUNT('Шаг2.Бланк заказа NEW'!$B$19:$B$201),'Бланк OLD 0.8 04'!$B$12:$K$200,7,0)&gt;1,0.8,
IF(VLOOKUP($A318-COUNT('Шаг2.Бланк заказа NEW'!$B$19:$B$201),'Бланк OLD 0.8 04'!$B$12:$K$200,8,0)&gt;1,0.4,
IF(AND(VLOOKUP($A318-COUNT('Шаг2.Бланк заказа NEW'!$B$19:$B$201),'Бланк OLD 0.8 04'!$B$12:$K$200,7,0)&gt;0,VLOOKUP($A318-COUNT('Шаг2.Бланк заказа NEW'!$B$19:$B$201),'Бланк OLD 0.8 04'!$B$12:$K$200,8,0)&gt;0),0.4,"")))),
IF(VLOOKUP($A318-COUNT('Шаг2.Бланк заказа NEW'!$B$19:$B$201)-COUNT('Бланк OLD 0.8 04'!$B$18:$B$200),'Бланк OLD 2.0 04 '!$B$16:$K$200,7,0)&gt;1,2,
IF(VLOOKUP($A318-COUNT('Шаг2.Бланк заказа NEW'!$B$19:$B$201)-COUNT('Бланк OLD 0.8 04'!$B$18:$B$200),'Бланк OLD 2.0 04 '!$B$16:$K$200,8,0)&gt;1,0.4,
IF(AND(VLOOKUP($A318-COUNT('Шаг2.Бланк заказа NEW'!$B$19:$B$201)-COUNT('Бланк OLD 0.8 04'!$B$18:$B$200),'Бланк OLD 2.0 04 '!$B$16:$K$200,7,0)&gt;0,VLOOKUP($A318-COUNT('Шаг2.Бланк заказа NEW'!$B$19:$B$201)-COUNT('Бланк OLD 0.8 04'!$B$18:$B$200),'Бланк OLD 2.0 04 '!$B$16:$K$200,8,0)&gt;0),0.4,""))))</f>
        <v/>
      </c>
      <c r="V318" s="146" t="str">
        <f ca="1">IFERROR(VLOOKUP(C318,'Шаг1.Выбор плиты'!C:S,12,0),"")</f>
        <v/>
      </c>
      <c r="W318" s="146" t="str">
        <f ca="1">IFERROR(VLOOKUP(C318,'Шаг1.Выбор плиты'!C:S,8,0),"")</f>
        <v/>
      </c>
      <c r="X318" s="146" t="str">
        <f ca="1">IFERROR(VLOOKUP(C318,'Шаг1.Выбор плиты'!C:S,10,0),"")</f>
        <v/>
      </c>
      <c r="Y318" s="147" t="str">
        <f t="shared" ca="1" si="23"/>
        <v/>
      </c>
      <c r="AD318" s="147" t="str">
        <f t="shared" ca="1" si="26"/>
        <v/>
      </c>
      <c r="AE318" s="147" t="str">
        <f t="shared" ca="1" si="24"/>
        <v/>
      </c>
      <c r="AF318" s="25"/>
      <c r="AH318" s="147" t="str">
        <f ca="1">IF(C318="","",VLOOKUP(C318,'Шаг1.Выбор плиты'!C:Q,7,0))</f>
        <v/>
      </c>
      <c r="AI318" s="147" t="str">
        <f t="shared" ca="1" si="27"/>
        <v/>
      </c>
    </row>
    <row r="319" spans="1:35" x14ac:dyDescent="0.2">
      <c r="A319" s="151" t="str">
        <f ca="1">IF(C319="","",MAX($A$1:OFFSET(C319,-1,0))+1)</f>
        <v/>
      </c>
      <c r="B319" s="151" t="str">
        <f ca="1">IFERROR(IFERROR(IFERROR("Шаг2.Бланк заказа NEW №"&amp;VLOOKUP(A318+1,CHOOSE({1,2},'Шаг2.Бланк заказа NEW'!$B$19:$B$201,'Шаг2.Бланк заказа NEW'!$A$19:$A$201),1,0),
"Бланк OLD 0.8 04 №"&amp;VLOOKUP(A318+1-COUNT('Шаг2.Бланк заказа NEW'!$B$19:$B$201),CHOOSE({1,2},'Бланк OLD 0.8 04'!$B$18:$B$200,'Бланк OLD 0.8 04'!$A$18:$A$200),1,0)),
"Бланк OLD 2.0 04 №"&amp;VLOOKUP(A318+1-COUNT('Шаг2.Бланк заказа NEW'!$B$19:$B$201)-COUNT('Бланк OLD 0.8 04'!$B$18:$B$200),CHOOSE({1,2},'Бланк OLD 2.0 04 '!$B$18:$B$200,'Бланк OLD 2.0 04 '!$A$18:$A$200),1,0)),"")</f>
        <v/>
      </c>
      <c r="C319" s="152" t="str">
        <f ca="1">IFERROR(IFERROR(IFERROR(VLOOKUP(A318+1,CHOOSE({1,2},'Шаг2.Бланк заказа NEW'!$B$19:$B$201,'Шаг2.Бланк заказа NEW'!$A$19:$A$201),2,0),
VLOOKUP(A318+1-COUNT('Шаг2.Бланк заказа NEW'!$B$19:$B$201),CHOOSE({1,2},'Бланк OLD 0.8 04'!$B$18:$B$200,'Бланк OLD 0.8 04'!$A$18:$A$200),2,0)),
VLOOKUP(A318+1-COUNT('Шаг2.Бланк заказа NEW'!$B$19:$B$201)-COUNT('Бланк OLD 0.8 04'!$B$18:$B$200),CHOOSE({1,2},'Бланк OLD 2.0 04 '!$B$18:$B$200,'Бланк OLD 2.0 04 '!$A$18:$A$200),2,0)),"")</f>
        <v/>
      </c>
      <c r="D319" s="150" t="str">
        <f ca="1">IFERROR(VLOOKUP(C319,'Шаг1.Выбор плиты'!C:G,5,0),"")</f>
        <v/>
      </c>
      <c r="E319" s="147" t="str">
        <f ca="1">IFERROR(IFERROR(IF(VLOOKUP($A319,'Шаг2.Бланк заказа NEW'!$B$17:$N$201,2,0)="","",VLOOKUP($A319,'Шаг2.Бланк заказа NEW'!$B$17:$N$201,2,0)),
IF(VLOOKUP($A319-COUNT('Шаг2.Бланк заказа NEW'!$B$19:$B$201),'Бланк OLD 0.8 04'!$B$12:$K$200,2,0)="","",VLOOKUP($A319-COUNT('Шаг2.Бланк заказа NEW'!$B$19:$B$201),'Бланк OLD 0.8 04'!$B$12:$K$200,2,0))),
IF(VLOOKUP($A319-COUNT('Шаг2.Бланк заказа NEW'!$B$19:$B$201)-COUNT('Бланк OLD 0.8 04'!$B$18:$B$200),'Бланк OLD 2.0 04 '!$B$16:$K$200,2,0)="","",VLOOKUP($A319-COUNT('Шаг2.Бланк заказа NEW'!$B$19:$B$201)-COUNT('Бланк OLD 0.8 04'!$B$18:$B$200),'Бланк OLD 2.0 04 '!$B$16:$K$200,2,0)))</f>
        <v/>
      </c>
      <c r="F319" s="147" t="str">
        <f ca="1">IFERROR(IFERROR(IF(VLOOKUP($A319,'Шаг2.Бланк заказа NEW'!$B$17:$N$201,3,0)="","",VLOOKUP($A319,'Шаг2.Бланк заказа NEW'!$B$17:$N$201,3,0)),
IF(VLOOKUP($A319-COUNT('Шаг2.Бланк заказа NEW'!$B$19:$B$201),'Бланк OLD 0.8 04'!$B$12:$K$200,3,0)="","",VLOOKUP($A319-COUNT('Шаг2.Бланк заказа NEW'!$B$19:$B$201),'Бланк OLD 0.8 04'!$B$12:$K$200,3,0))),
IF(VLOOKUP($A319-COUNT('Шаг2.Бланк заказа NEW'!$B$19:$B$201)-COUNT('Бланк OLD 0.8 04'!$B$18:$B$200),'Бланк OLD 2.0 04 '!$B$16:$K$200,3,0)="","",VLOOKUP($A319-COUNT('Шаг2.Бланк заказа NEW'!$B$19:$B$201)-COUNT('Бланк OLD 0.8 04'!$B$18:$B$200),'Бланк OLD 2.0 04 '!$B$16:$K$200,3,0)))</f>
        <v/>
      </c>
      <c r="G319" s="176" t="str">
        <f ca="1">IF(IF(R319="","",IF(R319=1,SUMIFS('Шаг1.Выбор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плиты'!C:Q,12,0)),1))))))=0,
R319,
IF(R319="","",IF(R319=1,SUMIFS('Шаг1.Выбор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плиты'!N:N,R319,'Шаг1.Выбор плиты'!M:M,SMALL(INDIRECT("мм"&amp;VLOOKUP(C319,'Шаг1.Выбор плиты'!C:Q,12,0)),1)))))))</f>
        <v/>
      </c>
      <c r="H319" s="177" t="str">
        <f ca="1">IF(IF(S319="","",IF(S319=1,SUMIFS('Шаг1.Выбор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плиты'!C:Q,12,0)),1))))))=0,
S319,
IF(S319="","",IF(S319=1,SUMIFS('Шаг1.Выбор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плиты'!N:N,S319,'Шаг1.Выбор плиты'!M:M,SMALL(INDIRECT("мм"&amp;VLOOKUP(C319,'Шаг1.Выбор плиты'!C:Q,12,0)),1)))))))</f>
        <v/>
      </c>
      <c r="I319" s="147" t="str">
        <f ca="1">IFERROR(IFERROR(IF(VLOOKUP($A319,'Шаг2.Бланк заказа NEW'!$B$17:$N$201,6,0)="","",VLOOKUP($A319,'Шаг2.Бланк заказа NEW'!$B$17:$N$201,6,0)),
IF(VLOOKUP($A319-COUNT('Шаг2.Бланк заказа NEW'!$B$19:$B$201),'Бланк OLD 0.8 04'!$B$12:$K$200,6,0)="","",VLOOKUP($A319-COUNT('Шаг2.Бланк заказа NEW'!$B$19:$B$201),'Бланк OLD 0.8 04'!$B$12:$K$200,6,0))),
IF(VLOOKUP($A319-COUNT('Шаг2.Бланк заказа NEW'!$B$19:$B$201)-COUNT('Бланк OLD 0.8 04'!$B$18:$B$200),'Бланк OLD 2.0 04 '!$B$16:$K$200,6,0)="","",VLOOKUP($A319-COUNT('Шаг2.Бланк заказа NEW'!$B$19:$B$201)-COUNT('Бланк OLD 0.8 04'!$B$18:$B$200),'Бланк OLD 2.0 04 '!$B$16:$K$200,6,0)))</f>
        <v/>
      </c>
      <c r="J319" s="177" t="str">
        <f ca="1">IF(IF(T319="","",IF(T319=1,SUMIFS('Шаг1.Выбор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плиты'!C:Q,12,0)),1))))))=0,
T319,
IF(T319="","",IF(T319=1,SUMIFS('Шаг1.Выбор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плиты'!N:N,T319,'Шаг1.Выбор плиты'!M:M,SMALL(INDIRECT("мм"&amp;VLOOKUP(C319,'Шаг1.Выбор плиты'!C:Q,12,0)),1)))))))</f>
        <v/>
      </c>
      <c r="K319" s="177" t="str">
        <f ca="1">IF(IF(U319="","",IF(U319=1,SUMIFS('Шаг1.Выбор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плиты'!C:Q,12,0)),1))))))=0,
U319,
IF(U319="","",IF(U319=1,SUMIFS('Шаг1.Выбор плиты'!$G:$G,'Шаг1.Выбор плиты'!J:J,"*"&amp;RIGHT(VLOOKUP(C319,'Шаг1.Выбор плиты'!C:Q,8,0),4),'Шаг1.Выбор плиты'!L:L,IF(MID(C319,1,6)="ЛДСП P","TM"&amp;MID(VLOOKUP(C319,'Шаг1.Выбор плиты'!C:Q,10,0),3,2),MID(VLOOKUP(C319,'Шаг1.Выбор плиты'!C:Q,10,0),1,2)),
'Шаг1.Выбор плиты'!N:N,1),IF(SUMIFS('Шаг1.Выбор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плиты'!C:Q,12,0)),1))=0,
IF(SUMIFS('Шаг1.Выбор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плиты'!C:Q,12,0)),2))=0,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плиты'!C:Q,12,0)),3)),
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плиты'!C:Q,12,0)),2))),
(SUMIFS('Шаг1.Выбор плиты'!$G:$G,'Шаг1.Выбор плиты'!J:J,"*"&amp;RIGHT(VLOOKUP(C319,'Шаг1.Выбор плиты'!C:Q,8,0),4),'Шаг1.Выбор плиты'!L:L,VLOOKUP(C319,'Шаг1.Выбор плиты'!C:Q,10,0),'Шаг1.Выбор плиты'!N:N,U319,'Шаг1.Выбор плиты'!M:M,SMALL(INDIRECT("мм"&amp;VLOOKUP(C319,'Шаг1.Выбор плиты'!C:Q,12,0)),1)))))))</f>
        <v/>
      </c>
      <c r="L319" s="147" t="str">
        <f ca="1">IFERROR(IFERROR(IF(VLOOKUP($A319,'Шаг2.Бланк заказа NEW'!$B$17:$N$201,9,0)="","",VLOOKUP($A319,'Шаг2.Бланк заказа NEW'!$B$17:$N$201,9,0)),
IF(VLOOKUP($A319-COUNT('Шаг2.Бланк заказа NEW'!$B$19:$B$201),'Бланк OLD 0.8 04'!$B$12:$K$200,9,0)="","",VLOOKUP($A319-COUNT('Шаг2.Бланк заказа NEW'!$B$19:$B$201),'Бланк OLD 0.8 04'!$B$12:$K$200,9,0))),
IF(VLOOKUP($A319-COUNT('Шаг2.Бланк заказа NEW'!$B$19:$B$201)-COUNT('Бланк OLD 0.8 04'!$B$18:$B$200),'Бланк OLD 2.0 04 '!$B$16:$K$200,9,0)="","",VLOOKUP($A319-COUNT('Шаг2.Бланк заказа NEW'!$B$19:$B$201)-COUNT('Бланк OLD 0.8 04'!$B$18:$B$200),'Бланк OLD 2.0 04 '!$B$16:$K$200,9,0)))</f>
        <v/>
      </c>
      <c r="M319" s="154" t="str">
        <f t="shared" ca="1" si="25"/>
        <v/>
      </c>
      <c r="N319" s="153" t="str">
        <f ca="1">IFERROR(IF(VLOOKUP($A319,'Шаг2.Бланк заказа NEW'!$B$17:$N$201,11,0)="","",VLOOKUP($A319,'Шаг2.Бланк заказа NEW'!$B$17:$N$201,11,0)),
"Нет")</f>
        <v/>
      </c>
      <c r="O319" s="147" t="str">
        <f ca="1">IFERROR(IF(VLOOKUP($A319,'Шаг2.Бланк заказа NEW'!$B$17:$N$201,11,0)="","",VLOOKUP($A319,'Шаг2.Бланк заказа NEW'!$B$17:$N$201,12,0)),
"Нет")</f>
        <v/>
      </c>
      <c r="P319" s="153" t="str">
        <f ca="1">IFERROR(IF(VLOOKUP($A319,'Шаг2.Бланк заказа NEW'!$B$17:$N$201,13,0)="","",VLOOKUP($A319,'Шаг2.Бланк заказа NEW'!$B$17:$N$201,13,0)),
"Нет")</f>
        <v/>
      </c>
      <c r="Q319" s="147" t="str">
        <f ca="1">IFERROR(IF(VLOOKUP($A319,'Шаг2.Бланк заказа NEW'!$B$17:$O$201,14,0)="","",VLOOKUP($A319,'Шаг2.Бланк заказа NEW'!$B$17:$O$201,14,0)),"")</f>
        <v/>
      </c>
      <c r="R319" s="147" t="str">
        <f ca="1">IFERROR(IFERROR(IF(VLOOKUP($A319,'Шаг2.Бланк заказа NEW'!$B$17:$N$201,4,0)="","",VLOOKUP($A319,'Шаг2.Бланк заказа NEW'!$B$17:$N$201,4,0)),
IF(VLOOKUP($A319-COUNT('Шаг2.Бланк заказа NEW'!$B$19:$B$201),'Бланк OLD 0.8 04'!$B$12:$K$200,4,0)&gt;0,0.8,
IF(VLOOKUP($A319-COUNT('Шаг2.Бланк заказа NEW'!$B$19:$B$201),'Бланк OLD 0.8 04'!$B$12:$K$200,5,0)&gt;0,0.4,""))),
IF(VLOOKUP($A319-COUNT('Шаг2.Бланк заказа NEW'!$B$19:$B$201)-COUNT('Бланк OLD 0.8 04'!$B$18:$B$200),'Бланк OLD 2.0 04 '!$B$16:$K$200,4,0)&gt;0,2,IF(VLOOKUP($A319-COUNT('Шаг2.Бланк заказа NEW'!$B$19:$B$201)-COUNT('Бланк OLD 0.8 04'!$B$18:$B$200),'Бланк OLD 2.0 04 '!$B$16:$K$200,5,0)&gt;0,0.4,"")))</f>
        <v/>
      </c>
      <c r="S319" s="147" t="str">
        <f ca="1">IFERROR(IFERROR(IF(VLOOKUP($A319,'Шаг2.Бланк заказа NEW'!$B$17:$N$201,5,0)="","",VLOOKUP($A319,'Шаг2.Бланк заказа NEW'!$B$17:$N$201,5,0)),
IF(VLOOKUP($A319-COUNT('Шаг2.Бланк заказа NEW'!$B$19:$B$201),'Бланк OLD 0.8 04'!$B$12:$K$200,4,0)&gt;1,0.8,
IF(VLOOKUP($A319-COUNT('Шаг2.Бланк заказа NEW'!$B$19:$B$201),'Бланк OLD 0.8 04'!$B$12:$K$200,5,0)&gt;1,0.4,
IF(AND(VLOOKUP($A319-COUNT('Шаг2.Бланк заказа NEW'!$B$19:$B$201),'Бланк OLD 0.8 04'!$B$12:$K$200,4,0)&gt;0,VLOOKUP($A319-COUNT('Шаг2.Бланк заказа NEW'!$B$19:$B$201),'Бланк OLD 0.8 04'!$B$12:$K$200,5,0)&gt;0),0.4,"")))),
IF(VLOOKUP($A319-COUNT('Шаг2.Бланк заказа NEW'!$B$19:$B$201)-COUNT('Бланк OLD 0.8 04'!$B$18:$B$200),'Бланк OLD 2.0 04 '!$B$16:$K$200,4,0)&gt;1,2,
IF(VLOOKUP($A319-COUNT('Шаг2.Бланк заказа NEW'!$B$19:$B$201)-COUNT('Бланк OLD 0.8 04'!$B$18:$B$200),'Бланк OLD 2.0 04 '!$B$16:$K$200,5,0)&gt;1,0.4,IF(AND(VLOOKUP($A319-COUNT('Шаг2.Бланк заказа NEW'!$B$19:$B$201)-COUNT('Бланк OLD 0.8 04'!$B$18:$B$200),'Бланк OLD 2.0 04 '!$B$16:$K$200,4,0)&gt;0,VLOOKUP($A319-COUNT('Шаг2.Бланк заказа NEW'!$B$19:$B$201)-COUNT('Бланк OLD 0.8 04'!$B$18:$B$200),'Бланк OLD 2.0 04 '!$B$16:$K$200,5,0)&gt;0),0.4,""))))</f>
        <v/>
      </c>
      <c r="T319" s="147" t="str">
        <f ca="1">IFERROR(IFERROR(IF(VLOOKUP($A319,'Шаг2.Бланк заказа NEW'!$B$17:$N$201,7,0)="","",VLOOKUP($A319,'Шаг2.Бланк заказа NEW'!$B$17:$N$201,7,0)),
IF(VLOOKUP($A319-COUNT('Шаг2.Бланк заказа NEW'!$B$19:$B$201),'Бланк OLD 0.8 04'!$B$12:$K$200,7,0)&gt;0,0.8,
IF(VLOOKUP($A319-COUNT('Шаг2.Бланк заказа NEW'!$B$19:$B$201),'Бланк OLD 0.8 04'!$B$12:$K$200,8,0)&gt;0,0.4,""))),
IF(VLOOKUP($A319-COUNT('Шаг2.Бланк заказа NEW'!$B$19:$B$201)-COUNT('Бланк OLD 0.8 04'!$B$18:$B$200),'Бланк OLD 2.0 04 '!$B$16:$K$200,7,0)&gt;0,2,IF(VLOOKUP($A319-COUNT('Шаг2.Бланк заказа NEW'!$B$19:$B$201)-COUNT('Бланк OLD 0.8 04'!$B$18:$B$200),'Бланк OLD 2.0 04 '!$B$16:$K$200,8,0)&gt;0,0.4,"")))</f>
        <v/>
      </c>
      <c r="U319" s="147" t="str">
        <f ca="1">IFERROR(IFERROR(IF(VLOOKUP($A319,'Шаг2.Бланк заказа NEW'!$B$17:$N$201,8,0)="","",VLOOKUP($A319,'Шаг2.Бланк заказа NEW'!$B$17:$N$201,8,0)),
IF(VLOOKUP($A319-COUNT('Шаг2.Бланк заказа NEW'!$B$19:$B$201),'Бланк OLD 0.8 04'!$B$12:$K$200,7,0)&gt;1,0.8,
IF(VLOOKUP($A319-COUNT('Шаг2.Бланк заказа NEW'!$B$19:$B$201),'Бланк OLD 0.8 04'!$B$12:$K$200,8,0)&gt;1,0.4,
IF(AND(VLOOKUP($A319-COUNT('Шаг2.Бланк заказа NEW'!$B$19:$B$201),'Бланк OLD 0.8 04'!$B$12:$K$200,7,0)&gt;0,VLOOKUP($A319-COUNT('Шаг2.Бланк заказа NEW'!$B$19:$B$201),'Бланк OLD 0.8 04'!$B$12:$K$200,8,0)&gt;0),0.4,"")))),
IF(VLOOKUP($A319-COUNT('Шаг2.Бланк заказа NEW'!$B$19:$B$201)-COUNT('Бланк OLD 0.8 04'!$B$18:$B$200),'Бланк OLD 2.0 04 '!$B$16:$K$200,7,0)&gt;1,2,
IF(VLOOKUP($A319-COUNT('Шаг2.Бланк заказа NEW'!$B$19:$B$201)-COUNT('Бланк OLD 0.8 04'!$B$18:$B$200),'Бланк OLD 2.0 04 '!$B$16:$K$200,8,0)&gt;1,0.4,
IF(AND(VLOOKUP($A319-COUNT('Шаг2.Бланк заказа NEW'!$B$19:$B$201)-COUNT('Бланк OLD 0.8 04'!$B$18:$B$200),'Бланк OLD 2.0 04 '!$B$16:$K$200,7,0)&gt;0,VLOOKUP($A319-COUNT('Шаг2.Бланк заказа NEW'!$B$19:$B$201)-COUNT('Бланк OLD 0.8 04'!$B$18:$B$200),'Бланк OLD 2.0 04 '!$B$16:$K$200,8,0)&gt;0),0.4,""))))</f>
        <v/>
      </c>
      <c r="V319" s="146" t="str">
        <f ca="1">IFERROR(VLOOKUP(C319,'Шаг1.Выбор плиты'!C:S,12,0),"")</f>
        <v/>
      </c>
      <c r="W319" s="146" t="str">
        <f ca="1">IFERROR(VLOOKUP(C319,'Шаг1.Выбор плиты'!C:S,8,0),"")</f>
        <v/>
      </c>
      <c r="X319" s="146" t="str">
        <f ca="1">IFERROR(VLOOKUP(C319,'Шаг1.Выбор плиты'!C:S,10,0),"")</f>
        <v/>
      </c>
      <c r="Y319" s="147" t="str">
        <f t="shared" ca="1" si="23"/>
        <v/>
      </c>
      <c r="AD319" s="147" t="str">
        <f t="shared" ca="1" si="26"/>
        <v/>
      </c>
      <c r="AE319" s="147" t="str">
        <f t="shared" ca="1" si="24"/>
        <v/>
      </c>
      <c r="AF319" s="25"/>
      <c r="AH319" s="147" t="str">
        <f ca="1">IF(C319="","",VLOOKUP(C319,'Шаг1.Выбор плиты'!C:Q,7,0))</f>
        <v/>
      </c>
      <c r="AI319" s="147" t="str">
        <f t="shared" ca="1" si="27"/>
        <v/>
      </c>
    </row>
    <row r="320" spans="1:35" x14ac:dyDescent="0.2">
      <c r="A320" s="151" t="str">
        <f ca="1">IF(C320="","",MAX($A$1:OFFSET(C320,-1,0))+1)</f>
        <v/>
      </c>
      <c r="B320" s="151" t="str">
        <f ca="1">IFERROR(IFERROR(IFERROR("Шаг2.Бланк заказа NEW №"&amp;VLOOKUP(A319+1,CHOOSE({1,2},'Шаг2.Бланк заказа NEW'!$B$19:$B$201,'Шаг2.Бланк заказа NEW'!$A$19:$A$201),1,0),
"Бланк OLD 0.8 04 №"&amp;VLOOKUP(A319+1-COUNT('Шаг2.Бланк заказа NEW'!$B$19:$B$201),CHOOSE({1,2},'Бланк OLD 0.8 04'!$B$18:$B$200,'Бланк OLD 0.8 04'!$A$18:$A$200),1,0)),
"Бланк OLD 2.0 04 №"&amp;VLOOKUP(A319+1-COUNT('Шаг2.Бланк заказа NEW'!$B$19:$B$201)-COUNT('Бланк OLD 0.8 04'!$B$18:$B$200),CHOOSE({1,2},'Бланк OLD 2.0 04 '!$B$18:$B$200,'Бланк OLD 2.0 04 '!$A$18:$A$200),1,0)),"")</f>
        <v/>
      </c>
      <c r="C320" s="152" t="str">
        <f ca="1">IFERROR(IFERROR(IFERROR(VLOOKUP(A319+1,CHOOSE({1,2},'Шаг2.Бланк заказа NEW'!$B$19:$B$201,'Шаг2.Бланк заказа NEW'!$A$19:$A$201),2,0),
VLOOKUP(A319+1-COUNT('Шаг2.Бланк заказа NEW'!$B$19:$B$201),CHOOSE({1,2},'Бланк OLD 0.8 04'!$B$18:$B$200,'Бланк OLD 0.8 04'!$A$18:$A$200),2,0)),
VLOOKUP(A319+1-COUNT('Шаг2.Бланк заказа NEW'!$B$19:$B$201)-COUNT('Бланк OLD 0.8 04'!$B$18:$B$200),CHOOSE({1,2},'Бланк OLD 2.0 04 '!$B$18:$B$200,'Бланк OLD 2.0 04 '!$A$18:$A$200),2,0)),"")</f>
        <v/>
      </c>
      <c r="D320" s="150" t="str">
        <f ca="1">IFERROR(VLOOKUP(C320,'Шаг1.Выбор плиты'!C:G,5,0),"")</f>
        <v/>
      </c>
      <c r="E320" s="147" t="str">
        <f ca="1">IFERROR(IFERROR(IF(VLOOKUP($A320,'Шаг2.Бланк заказа NEW'!$B$17:$N$201,2,0)="","",VLOOKUP($A320,'Шаг2.Бланк заказа NEW'!$B$17:$N$201,2,0)),
IF(VLOOKUP($A320-COUNT('Шаг2.Бланк заказа NEW'!$B$19:$B$201),'Бланк OLD 0.8 04'!$B$12:$K$200,2,0)="","",VLOOKUP($A320-COUNT('Шаг2.Бланк заказа NEW'!$B$19:$B$201),'Бланк OLD 0.8 04'!$B$12:$K$200,2,0))),
IF(VLOOKUP($A320-COUNT('Шаг2.Бланк заказа NEW'!$B$19:$B$201)-COUNT('Бланк OLD 0.8 04'!$B$18:$B$200),'Бланк OLD 2.0 04 '!$B$16:$K$200,2,0)="","",VLOOKUP($A320-COUNT('Шаг2.Бланк заказа NEW'!$B$19:$B$201)-COUNT('Бланк OLD 0.8 04'!$B$18:$B$200),'Бланк OLD 2.0 04 '!$B$16:$K$200,2,0)))</f>
        <v/>
      </c>
      <c r="F320" s="147" t="str">
        <f ca="1">IFERROR(IFERROR(IF(VLOOKUP($A320,'Шаг2.Бланк заказа NEW'!$B$17:$N$201,3,0)="","",VLOOKUP($A320,'Шаг2.Бланк заказа NEW'!$B$17:$N$201,3,0)),
IF(VLOOKUP($A320-COUNT('Шаг2.Бланк заказа NEW'!$B$19:$B$201),'Бланк OLD 0.8 04'!$B$12:$K$200,3,0)="","",VLOOKUP($A320-COUNT('Шаг2.Бланк заказа NEW'!$B$19:$B$201),'Бланк OLD 0.8 04'!$B$12:$K$200,3,0))),
IF(VLOOKUP($A320-COUNT('Шаг2.Бланк заказа NEW'!$B$19:$B$201)-COUNT('Бланк OLD 0.8 04'!$B$18:$B$200),'Бланк OLD 2.0 04 '!$B$16:$K$200,3,0)="","",VLOOKUP($A320-COUNT('Шаг2.Бланк заказа NEW'!$B$19:$B$201)-COUNT('Бланк OLD 0.8 04'!$B$18:$B$200),'Бланк OLD 2.0 04 '!$B$16:$K$200,3,0)))</f>
        <v/>
      </c>
      <c r="G320" s="176" t="str">
        <f ca="1">IF(IF(R320="","",IF(R320=1,SUMIFS('Шаг1.Выбор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плиты'!C:Q,12,0)),1))))))=0,
R320,
IF(R320="","",IF(R320=1,SUMIFS('Шаг1.Выбор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плиты'!N:N,R320,'Шаг1.Выбор плиты'!M:M,SMALL(INDIRECT("мм"&amp;VLOOKUP(C320,'Шаг1.Выбор плиты'!C:Q,12,0)),1)))))))</f>
        <v/>
      </c>
      <c r="H320" s="177" t="str">
        <f ca="1">IF(IF(S320="","",IF(S320=1,SUMIFS('Шаг1.Выбор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плиты'!C:Q,12,0)),1))))))=0,
S320,
IF(S320="","",IF(S320=1,SUMIFS('Шаг1.Выбор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плиты'!N:N,S320,'Шаг1.Выбор плиты'!M:M,SMALL(INDIRECT("мм"&amp;VLOOKUP(C320,'Шаг1.Выбор плиты'!C:Q,12,0)),1)))))))</f>
        <v/>
      </c>
      <c r="I320" s="147" t="str">
        <f ca="1">IFERROR(IFERROR(IF(VLOOKUP($A320,'Шаг2.Бланк заказа NEW'!$B$17:$N$201,6,0)="","",VLOOKUP($A320,'Шаг2.Бланк заказа NEW'!$B$17:$N$201,6,0)),
IF(VLOOKUP($A320-COUNT('Шаг2.Бланк заказа NEW'!$B$19:$B$201),'Бланк OLD 0.8 04'!$B$12:$K$200,6,0)="","",VLOOKUP($A320-COUNT('Шаг2.Бланк заказа NEW'!$B$19:$B$201),'Бланк OLD 0.8 04'!$B$12:$K$200,6,0))),
IF(VLOOKUP($A320-COUNT('Шаг2.Бланк заказа NEW'!$B$19:$B$201)-COUNT('Бланк OLD 0.8 04'!$B$18:$B$200),'Бланк OLD 2.0 04 '!$B$16:$K$200,6,0)="","",VLOOKUP($A320-COUNT('Шаг2.Бланк заказа NEW'!$B$19:$B$201)-COUNT('Бланк OLD 0.8 04'!$B$18:$B$200),'Бланк OLD 2.0 04 '!$B$16:$K$200,6,0)))</f>
        <v/>
      </c>
      <c r="J320" s="177" t="str">
        <f ca="1">IF(IF(T320="","",IF(T320=1,SUMIFS('Шаг1.Выбор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плиты'!C:Q,12,0)),1))))))=0,
T320,
IF(T320="","",IF(T320=1,SUMIFS('Шаг1.Выбор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плиты'!N:N,T320,'Шаг1.Выбор плиты'!M:M,SMALL(INDIRECT("мм"&amp;VLOOKUP(C320,'Шаг1.Выбор плиты'!C:Q,12,0)),1)))))))</f>
        <v/>
      </c>
      <c r="K320" s="177" t="str">
        <f ca="1">IF(IF(U320="","",IF(U320=1,SUMIFS('Шаг1.Выбор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плиты'!C:Q,12,0)),1))))))=0,
U320,
IF(U320="","",IF(U320=1,SUMIFS('Шаг1.Выбор плиты'!$G:$G,'Шаг1.Выбор плиты'!J:J,"*"&amp;RIGHT(VLOOKUP(C320,'Шаг1.Выбор плиты'!C:Q,8,0),4),'Шаг1.Выбор плиты'!L:L,IF(MID(C320,1,6)="ЛДСП P","TM"&amp;MID(VLOOKUP(C320,'Шаг1.Выбор плиты'!C:Q,10,0),3,2),MID(VLOOKUP(C320,'Шаг1.Выбор плиты'!C:Q,10,0),1,2)),
'Шаг1.Выбор плиты'!N:N,1),IF(SUMIFS('Шаг1.Выбор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плиты'!C:Q,12,0)),1))=0,
IF(SUMIFS('Шаг1.Выбор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плиты'!C:Q,12,0)),2))=0,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плиты'!C:Q,12,0)),3)),
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плиты'!C:Q,12,0)),2))),
(SUMIFS('Шаг1.Выбор плиты'!$G:$G,'Шаг1.Выбор плиты'!J:J,"*"&amp;RIGHT(VLOOKUP(C320,'Шаг1.Выбор плиты'!C:Q,8,0),4),'Шаг1.Выбор плиты'!L:L,VLOOKUP(C320,'Шаг1.Выбор плиты'!C:Q,10,0),'Шаг1.Выбор плиты'!N:N,U320,'Шаг1.Выбор плиты'!M:M,SMALL(INDIRECT("мм"&amp;VLOOKUP(C320,'Шаг1.Выбор плиты'!C:Q,12,0)),1)))))))</f>
        <v/>
      </c>
      <c r="L320" s="147" t="str">
        <f ca="1">IFERROR(IFERROR(IF(VLOOKUP($A320,'Шаг2.Бланк заказа NEW'!$B$17:$N$201,9,0)="","",VLOOKUP($A320,'Шаг2.Бланк заказа NEW'!$B$17:$N$201,9,0)),
IF(VLOOKUP($A320-COUNT('Шаг2.Бланк заказа NEW'!$B$19:$B$201),'Бланк OLD 0.8 04'!$B$12:$K$200,9,0)="","",VLOOKUP($A320-COUNT('Шаг2.Бланк заказа NEW'!$B$19:$B$201),'Бланк OLD 0.8 04'!$B$12:$K$200,9,0))),
IF(VLOOKUP($A320-COUNT('Шаг2.Бланк заказа NEW'!$B$19:$B$201)-COUNT('Бланк OLD 0.8 04'!$B$18:$B$200),'Бланк OLD 2.0 04 '!$B$16:$K$200,9,0)="","",VLOOKUP($A320-COUNT('Шаг2.Бланк заказа NEW'!$B$19:$B$201)-COUNT('Бланк OLD 0.8 04'!$B$18:$B$200),'Бланк OLD 2.0 04 '!$B$16:$K$200,9,0)))</f>
        <v/>
      </c>
      <c r="M320" s="154" t="str">
        <f t="shared" ca="1" si="25"/>
        <v/>
      </c>
      <c r="N320" s="153" t="str">
        <f ca="1">IFERROR(IF(VLOOKUP($A320,'Шаг2.Бланк заказа NEW'!$B$17:$N$201,11,0)="","",VLOOKUP($A320,'Шаг2.Бланк заказа NEW'!$B$17:$N$201,11,0)),
"Нет")</f>
        <v/>
      </c>
      <c r="O320" s="147" t="str">
        <f ca="1">IFERROR(IF(VLOOKUP($A320,'Шаг2.Бланк заказа NEW'!$B$17:$N$201,11,0)="","",VLOOKUP($A320,'Шаг2.Бланк заказа NEW'!$B$17:$N$201,12,0)),
"Нет")</f>
        <v/>
      </c>
      <c r="P320" s="153" t="str">
        <f ca="1">IFERROR(IF(VLOOKUP($A320,'Шаг2.Бланк заказа NEW'!$B$17:$N$201,13,0)="","",VLOOKUP($A320,'Шаг2.Бланк заказа NEW'!$B$17:$N$201,13,0)),
"Нет")</f>
        <v/>
      </c>
      <c r="Q320" s="147" t="str">
        <f ca="1">IFERROR(IF(VLOOKUP($A320,'Шаг2.Бланк заказа NEW'!$B$17:$O$201,14,0)="","",VLOOKUP($A320,'Шаг2.Бланк заказа NEW'!$B$17:$O$201,14,0)),"")</f>
        <v/>
      </c>
      <c r="R320" s="147" t="str">
        <f ca="1">IFERROR(IFERROR(IF(VLOOKUP($A320,'Шаг2.Бланк заказа NEW'!$B$17:$N$201,4,0)="","",VLOOKUP($A320,'Шаг2.Бланк заказа NEW'!$B$17:$N$201,4,0)),
IF(VLOOKUP($A320-COUNT('Шаг2.Бланк заказа NEW'!$B$19:$B$201),'Бланк OLD 0.8 04'!$B$12:$K$200,4,0)&gt;0,0.8,
IF(VLOOKUP($A320-COUNT('Шаг2.Бланк заказа NEW'!$B$19:$B$201),'Бланк OLD 0.8 04'!$B$12:$K$200,5,0)&gt;0,0.4,""))),
IF(VLOOKUP($A320-COUNT('Шаг2.Бланк заказа NEW'!$B$19:$B$201)-COUNT('Бланк OLD 0.8 04'!$B$18:$B$200),'Бланк OLD 2.0 04 '!$B$16:$K$200,4,0)&gt;0,2,IF(VLOOKUP($A320-COUNT('Шаг2.Бланк заказа NEW'!$B$19:$B$201)-COUNT('Бланк OLD 0.8 04'!$B$18:$B$200),'Бланк OLD 2.0 04 '!$B$16:$K$200,5,0)&gt;0,0.4,"")))</f>
        <v/>
      </c>
      <c r="S320" s="147" t="str">
        <f ca="1">IFERROR(IFERROR(IF(VLOOKUP($A320,'Шаг2.Бланк заказа NEW'!$B$17:$N$201,5,0)="","",VLOOKUP($A320,'Шаг2.Бланк заказа NEW'!$B$17:$N$201,5,0)),
IF(VLOOKUP($A320-COUNT('Шаг2.Бланк заказа NEW'!$B$19:$B$201),'Бланк OLD 0.8 04'!$B$12:$K$200,4,0)&gt;1,0.8,
IF(VLOOKUP($A320-COUNT('Шаг2.Бланк заказа NEW'!$B$19:$B$201),'Бланк OLD 0.8 04'!$B$12:$K$200,5,0)&gt;1,0.4,
IF(AND(VLOOKUP($A320-COUNT('Шаг2.Бланк заказа NEW'!$B$19:$B$201),'Бланк OLD 0.8 04'!$B$12:$K$200,4,0)&gt;0,VLOOKUP($A320-COUNT('Шаг2.Бланк заказа NEW'!$B$19:$B$201),'Бланк OLD 0.8 04'!$B$12:$K$200,5,0)&gt;0),0.4,"")))),
IF(VLOOKUP($A320-COUNT('Шаг2.Бланк заказа NEW'!$B$19:$B$201)-COUNT('Бланк OLD 0.8 04'!$B$18:$B$200),'Бланк OLD 2.0 04 '!$B$16:$K$200,4,0)&gt;1,2,
IF(VLOOKUP($A320-COUNT('Шаг2.Бланк заказа NEW'!$B$19:$B$201)-COUNT('Бланк OLD 0.8 04'!$B$18:$B$200),'Бланк OLD 2.0 04 '!$B$16:$K$200,5,0)&gt;1,0.4,IF(AND(VLOOKUP($A320-COUNT('Шаг2.Бланк заказа NEW'!$B$19:$B$201)-COUNT('Бланк OLD 0.8 04'!$B$18:$B$200),'Бланк OLD 2.0 04 '!$B$16:$K$200,4,0)&gt;0,VLOOKUP($A320-COUNT('Шаг2.Бланк заказа NEW'!$B$19:$B$201)-COUNT('Бланк OLD 0.8 04'!$B$18:$B$200),'Бланк OLD 2.0 04 '!$B$16:$K$200,5,0)&gt;0),0.4,""))))</f>
        <v/>
      </c>
      <c r="T320" s="147" t="str">
        <f ca="1">IFERROR(IFERROR(IF(VLOOKUP($A320,'Шаг2.Бланк заказа NEW'!$B$17:$N$201,7,0)="","",VLOOKUP($A320,'Шаг2.Бланк заказа NEW'!$B$17:$N$201,7,0)),
IF(VLOOKUP($A320-COUNT('Шаг2.Бланк заказа NEW'!$B$19:$B$201),'Бланк OLD 0.8 04'!$B$12:$K$200,7,0)&gt;0,0.8,
IF(VLOOKUP($A320-COUNT('Шаг2.Бланк заказа NEW'!$B$19:$B$201),'Бланк OLD 0.8 04'!$B$12:$K$200,8,0)&gt;0,0.4,""))),
IF(VLOOKUP($A320-COUNT('Шаг2.Бланк заказа NEW'!$B$19:$B$201)-COUNT('Бланк OLD 0.8 04'!$B$18:$B$200),'Бланк OLD 2.0 04 '!$B$16:$K$200,7,0)&gt;0,2,IF(VLOOKUP($A320-COUNT('Шаг2.Бланк заказа NEW'!$B$19:$B$201)-COUNT('Бланк OLD 0.8 04'!$B$18:$B$200),'Бланк OLD 2.0 04 '!$B$16:$K$200,8,0)&gt;0,0.4,"")))</f>
        <v/>
      </c>
      <c r="U320" s="147" t="str">
        <f ca="1">IFERROR(IFERROR(IF(VLOOKUP($A320,'Шаг2.Бланк заказа NEW'!$B$17:$N$201,8,0)="","",VLOOKUP($A320,'Шаг2.Бланк заказа NEW'!$B$17:$N$201,8,0)),
IF(VLOOKUP($A320-COUNT('Шаг2.Бланк заказа NEW'!$B$19:$B$201),'Бланк OLD 0.8 04'!$B$12:$K$200,7,0)&gt;1,0.8,
IF(VLOOKUP($A320-COUNT('Шаг2.Бланк заказа NEW'!$B$19:$B$201),'Бланк OLD 0.8 04'!$B$12:$K$200,8,0)&gt;1,0.4,
IF(AND(VLOOKUP($A320-COUNT('Шаг2.Бланк заказа NEW'!$B$19:$B$201),'Бланк OLD 0.8 04'!$B$12:$K$200,7,0)&gt;0,VLOOKUP($A320-COUNT('Шаг2.Бланк заказа NEW'!$B$19:$B$201),'Бланк OLD 0.8 04'!$B$12:$K$200,8,0)&gt;0),0.4,"")))),
IF(VLOOKUP($A320-COUNT('Шаг2.Бланк заказа NEW'!$B$19:$B$201)-COUNT('Бланк OLD 0.8 04'!$B$18:$B$200),'Бланк OLD 2.0 04 '!$B$16:$K$200,7,0)&gt;1,2,
IF(VLOOKUP($A320-COUNT('Шаг2.Бланк заказа NEW'!$B$19:$B$201)-COUNT('Бланк OLD 0.8 04'!$B$18:$B$200),'Бланк OLD 2.0 04 '!$B$16:$K$200,8,0)&gt;1,0.4,
IF(AND(VLOOKUP($A320-COUNT('Шаг2.Бланк заказа NEW'!$B$19:$B$201)-COUNT('Бланк OLD 0.8 04'!$B$18:$B$200),'Бланк OLD 2.0 04 '!$B$16:$K$200,7,0)&gt;0,VLOOKUP($A320-COUNT('Шаг2.Бланк заказа NEW'!$B$19:$B$201)-COUNT('Бланк OLD 0.8 04'!$B$18:$B$200),'Бланк OLD 2.0 04 '!$B$16:$K$200,8,0)&gt;0),0.4,""))))</f>
        <v/>
      </c>
      <c r="V320" s="146" t="str">
        <f ca="1">IFERROR(VLOOKUP(C320,'Шаг1.Выбор плиты'!C:S,12,0),"")</f>
        <v/>
      </c>
      <c r="W320" s="146" t="str">
        <f ca="1">IFERROR(VLOOKUP(C320,'Шаг1.Выбор плиты'!C:S,8,0),"")</f>
        <v/>
      </c>
      <c r="X320" s="146" t="str">
        <f ca="1">IFERROR(VLOOKUP(C320,'Шаг1.Выбор плиты'!C:S,10,0),"")</f>
        <v/>
      </c>
      <c r="Y320" s="147" t="str">
        <f t="shared" ca="1" si="23"/>
        <v/>
      </c>
      <c r="AD320" s="147" t="str">
        <f t="shared" ca="1" si="26"/>
        <v/>
      </c>
      <c r="AE320" s="147" t="str">
        <f t="shared" ca="1" si="24"/>
        <v/>
      </c>
      <c r="AF320" s="25"/>
      <c r="AH320" s="147" t="str">
        <f ca="1">IF(C320="","",VLOOKUP(C320,'Шаг1.Выбор плиты'!C:Q,7,0))</f>
        <v/>
      </c>
      <c r="AI320" s="147" t="str">
        <f t="shared" ca="1" si="27"/>
        <v/>
      </c>
    </row>
    <row r="321" spans="1:35" x14ac:dyDescent="0.2">
      <c r="A321" s="151" t="str">
        <f ca="1">IF(C321="","",MAX($A$1:OFFSET(C321,-1,0))+1)</f>
        <v/>
      </c>
      <c r="B321" s="151" t="str">
        <f ca="1">IFERROR(IFERROR(IFERROR("Шаг2.Бланк заказа NEW №"&amp;VLOOKUP(A320+1,CHOOSE({1,2},'Шаг2.Бланк заказа NEW'!$B$19:$B$201,'Шаг2.Бланк заказа NEW'!$A$19:$A$201),1,0),
"Бланк OLD 0.8 04 №"&amp;VLOOKUP(A320+1-COUNT('Шаг2.Бланк заказа NEW'!$B$19:$B$201),CHOOSE({1,2},'Бланк OLD 0.8 04'!$B$18:$B$200,'Бланк OLD 0.8 04'!$A$18:$A$200),1,0)),
"Бланк OLD 2.0 04 №"&amp;VLOOKUP(A320+1-COUNT('Шаг2.Бланк заказа NEW'!$B$19:$B$201)-COUNT('Бланк OLD 0.8 04'!$B$18:$B$200),CHOOSE({1,2},'Бланк OLD 2.0 04 '!$B$18:$B$200,'Бланк OLD 2.0 04 '!$A$18:$A$200),1,0)),"")</f>
        <v/>
      </c>
      <c r="C321" s="152" t="str">
        <f ca="1">IFERROR(IFERROR(IFERROR(VLOOKUP(A320+1,CHOOSE({1,2},'Шаг2.Бланк заказа NEW'!$B$19:$B$201,'Шаг2.Бланк заказа NEW'!$A$19:$A$201),2,0),
VLOOKUP(A320+1-COUNT('Шаг2.Бланк заказа NEW'!$B$19:$B$201),CHOOSE({1,2},'Бланк OLD 0.8 04'!$B$18:$B$200,'Бланк OLD 0.8 04'!$A$18:$A$200),2,0)),
VLOOKUP(A320+1-COUNT('Шаг2.Бланк заказа NEW'!$B$19:$B$201)-COUNT('Бланк OLD 0.8 04'!$B$18:$B$200),CHOOSE({1,2},'Бланк OLD 2.0 04 '!$B$18:$B$200,'Бланк OLD 2.0 04 '!$A$18:$A$200),2,0)),"")</f>
        <v/>
      </c>
      <c r="D321" s="150" t="str">
        <f ca="1">IFERROR(VLOOKUP(C321,'Шаг1.Выбор плиты'!C:G,5,0),"")</f>
        <v/>
      </c>
      <c r="E321" s="147" t="str">
        <f ca="1">IFERROR(IFERROR(IF(VLOOKUP($A321,'Шаг2.Бланк заказа NEW'!$B$17:$N$201,2,0)="","",VLOOKUP($A321,'Шаг2.Бланк заказа NEW'!$B$17:$N$201,2,0)),
IF(VLOOKUP($A321-COUNT('Шаг2.Бланк заказа NEW'!$B$19:$B$201),'Бланк OLD 0.8 04'!$B$12:$K$200,2,0)="","",VLOOKUP($A321-COUNT('Шаг2.Бланк заказа NEW'!$B$19:$B$201),'Бланк OLD 0.8 04'!$B$12:$K$200,2,0))),
IF(VLOOKUP($A321-COUNT('Шаг2.Бланк заказа NEW'!$B$19:$B$201)-COUNT('Бланк OLD 0.8 04'!$B$18:$B$200),'Бланк OLD 2.0 04 '!$B$16:$K$200,2,0)="","",VLOOKUP($A321-COUNT('Шаг2.Бланк заказа NEW'!$B$19:$B$201)-COUNT('Бланк OLD 0.8 04'!$B$18:$B$200),'Бланк OLD 2.0 04 '!$B$16:$K$200,2,0)))</f>
        <v/>
      </c>
      <c r="F321" s="147" t="str">
        <f ca="1">IFERROR(IFERROR(IF(VLOOKUP($A321,'Шаг2.Бланк заказа NEW'!$B$17:$N$201,3,0)="","",VLOOKUP($A321,'Шаг2.Бланк заказа NEW'!$B$17:$N$201,3,0)),
IF(VLOOKUP($A321-COUNT('Шаг2.Бланк заказа NEW'!$B$19:$B$201),'Бланк OLD 0.8 04'!$B$12:$K$200,3,0)="","",VLOOKUP($A321-COUNT('Шаг2.Бланк заказа NEW'!$B$19:$B$201),'Бланк OLD 0.8 04'!$B$12:$K$200,3,0))),
IF(VLOOKUP($A321-COUNT('Шаг2.Бланк заказа NEW'!$B$19:$B$201)-COUNT('Бланк OLD 0.8 04'!$B$18:$B$200),'Бланк OLD 2.0 04 '!$B$16:$K$200,3,0)="","",VLOOKUP($A321-COUNT('Шаг2.Бланк заказа NEW'!$B$19:$B$201)-COUNT('Бланк OLD 0.8 04'!$B$18:$B$200),'Бланк OLD 2.0 04 '!$B$16:$K$200,3,0)))</f>
        <v/>
      </c>
      <c r="G321" s="176" t="str">
        <f ca="1">IF(IF(R321="","",IF(R321=1,SUMIFS('Шаг1.Выбор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плиты'!C:Q,12,0)),1))))))=0,
R321,
IF(R321="","",IF(R321=1,SUMIFS('Шаг1.Выбор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плиты'!N:N,R321,'Шаг1.Выбор плиты'!M:M,SMALL(INDIRECT("мм"&amp;VLOOKUP(C321,'Шаг1.Выбор плиты'!C:Q,12,0)),1)))))))</f>
        <v/>
      </c>
      <c r="H321" s="177" t="str">
        <f ca="1">IF(IF(S321="","",IF(S321=1,SUMIFS('Шаг1.Выбор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плиты'!C:Q,12,0)),1))))))=0,
S321,
IF(S321="","",IF(S321=1,SUMIFS('Шаг1.Выбор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плиты'!N:N,S321,'Шаг1.Выбор плиты'!M:M,SMALL(INDIRECT("мм"&amp;VLOOKUP(C321,'Шаг1.Выбор плиты'!C:Q,12,0)),1)))))))</f>
        <v/>
      </c>
      <c r="I321" s="147" t="str">
        <f ca="1">IFERROR(IFERROR(IF(VLOOKUP($A321,'Шаг2.Бланк заказа NEW'!$B$17:$N$201,6,0)="","",VLOOKUP($A321,'Шаг2.Бланк заказа NEW'!$B$17:$N$201,6,0)),
IF(VLOOKUP($A321-COUNT('Шаг2.Бланк заказа NEW'!$B$19:$B$201),'Бланк OLD 0.8 04'!$B$12:$K$200,6,0)="","",VLOOKUP($A321-COUNT('Шаг2.Бланк заказа NEW'!$B$19:$B$201),'Бланк OLD 0.8 04'!$B$12:$K$200,6,0))),
IF(VLOOKUP($A321-COUNT('Шаг2.Бланк заказа NEW'!$B$19:$B$201)-COUNT('Бланк OLD 0.8 04'!$B$18:$B$200),'Бланк OLD 2.0 04 '!$B$16:$K$200,6,0)="","",VLOOKUP($A321-COUNT('Шаг2.Бланк заказа NEW'!$B$19:$B$201)-COUNT('Бланк OLD 0.8 04'!$B$18:$B$200),'Бланк OLD 2.0 04 '!$B$16:$K$200,6,0)))</f>
        <v/>
      </c>
      <c r="J321" s="177" t="str">
        <f ca="1">IF(IF(T321="","",IF(T321=1,SUMIFS('Шаг1.Выбор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плиты'!C:Q,12,0)),1))))))=0,
T321,
IF(T321="","",IF(T321=1,SUMIFS('Шаг1.Выбор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плиты'!N:N,T321,'Шаг1.Выбор плиты'!M:M,SMALL(INDIRECT("мм"&amp;VLOOKUP(C321,'Шаг1.Выбор плиты'!C:Q,12,0)),1)))))))</f>
        <v/>
      </c>
      <c r="K321" s="177" t="str">
        <f ca="1">IF(IF(U321="","",IF(U321=1,SUMIFS('Шаг1.Выбор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плиты'!C:Q,12,0)),1))))))=0,
U321,
IF(U321="","",IF(U321=1,SUMIFS('Шаг1.Выбор плиты'!$G:$G,'Шаг1.Выбор плиты'!J:J,"*"&amp;RIGHT(VLOOKUP(C321,'Шаг1.Выбор плиты'!C:Q,8,0),4),'Шаг1.Выбор плиты'!L:L,IF(MID(C321,1,6)="ЛДСП P","TM"&amp;MID(VLOOKUP(C321,'Шаг1.Выбор плиты'!C:Q,10,0),3,2),MID(VLOOKUP(C321,'Шаг1.Выбор плиты'!C:Q,10,0),1,2)),
'Шаг1.Выбор плиты'!N:N,1),IF(SUMIFS('Шаг1.Выбор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плиты'!C:Q,12,0)),1))=0,
IF(SUMIFS('Шаг1.Выбор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плиты'!C:Q,12,0)),2))=0,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плиты'!C:Q,12,0)),3)),
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плиты'!C:Q,12,0)),2))),
(SUMIFS('Шаг1.Выбор плиты'!$G:$G,'Шаг1.Выбор плиты'!J:J,"*"&amp;RIGHT(VLOOKUP(C321,'Шаг1.Выбор плиты'!C:Q,8,0),4),'Шаг1.Выбор плиты'!L:L,VLOOKUP(C321,'Шаг1.Выбор плиты'!C:Q,10,0),'Шаг1.Выбор плиты'!N:N,U321,'Шаг1.Выбор плиты'!M:M,SMALL(INDIRECT("мм"&amp;VLOOKUP(C321,'Шаг1.Выбор плиты'!C:Q,12,0)),1)))))))</f>
        <v/>
      </c>
      <c r="L321" s="147" t="str">
        <f ca="1">IFERROR(IFERROR(IF(VLOOKUP($A321,'Шаг2.Бланк заказа NEW'!$B$17:$N$201,9,0)="","",VLOOKUP($A321,'Шаг2.Бланк заказа NEW'!$B$17:$N$201,9,0)),
IF(VLOOKUP($A321-COUNT('Шаг2.Бланк заказа NEW'!$B$19:$B$201),'Бланк OLD 0.8 04'!$B$12:$K$200,9,0)="","",VLOOKUP($A321-COUNT('Шаг2.Бланк заказа NEW'!$B$19:$B$201),'Бланк OLD 0.8 04'!$B$12:$K$200,9,0))),
IF(VLOOKUP($A321-COUNT('Шаг2.Бланк заказа NEW'!$B$19:$B$201)-COUNT('Бланк OLD 0.8 04'!$B$18:$B$200),'Бланк OLD 2.0 04 '!$B$16:$K$200,9,0)="","",VLOOKUP($A321-COUNT('Шаг2.Бланк заказа NEW'!$B$19:$B$201)-COUNT('Бланк OLD 0.8 04'!$B$18:$B$200),'Бланк OLD 2.0 04 '!$B$16:$K$200,9,0)))</f>
        <v/>
      </c>
      <c r="M321" s="154" t="str">
        <f t="shared" ca="1" si="25"/>
        <v/>
      </c>
      <c r="N321" s="153" t="str">
        <f ca="1">IFERROR(IF(VLOOKUP($A321,'Шаг2.Бланк заказа NEW'!$B$17:$N$201,11,0)="","",VLOOKUP($A321,'Шаг2.Бланк заказа NEW'!$B$17:$N$201,11,0)),
"Нет")</f>
        <v/>
      </c>
      <c r="O321" s="147" t="str">
        <f ca="1">IFERROR(IF(VLOOKUP($A321,'Шаг2.Бланк заказа NEW'!$B$17:$N$201,11,0)="","",VLOOKUP($A321,'Шаг2.Бланк заказа NEW'!$B$17:$N$201,12,0)),
"Нет")</f>
        <v/>
      </c>
      <c r="P321" s="153" t="str">
        <f ca="1">IFERROR(IF(VLOOKUP($A321,'Шаг2.Бланк заказа NEW'!$B$17:$N$201,13,0)="","",VLOOKUP($A321,'Шаг2.Бланк заказа NEW'!$B$17:$N$201,13,0)),
"Нет")</f>
        <v/>
      </c>
      <c r="Q321" s="147" t="str">
        <f ca="1">IFERROR(IF(VLOOKUP($A321,'Шаг2.Бланк заказа NEW'!$B$17:$O$201,14,0)="","",VLOOKUP($A321,'Шаг2.Бланк заказа NEW'!$B$17:$O$201,14,0)),"")</f>
        <v/>
      </c>
      <c r="R321" s="147" t="str">
        <f ca="1">IFERROR(IFERROR(IF(VLOOKUP($A321,'Шаг2.Бланк заказа NEW'!$B$17:$N$201,4,0)="","",VLOOKUP($A321,'Шаг2.Бланк заказа NEW'!$B$17:$N$201,4,0)),
IF(VLOOKUP($A321-COUNT('Шаг2.Бланк заказа NEW'!$B$19:$B$201),'Бланк OLD 0.8 04'!$B$12:$K$200,4,0)&gt;0,0.8,
IF(VLOOKUP($A321-COUNT('Шаг2.Бланк заказа NEW'!$B$19:$B$201),'Бланк OLD 0.8 04'!$B$12:$K$200,5,0)&gt;0,0.4,""))),
IF(VLOOKUP($A321-COUNT('Шаг2.Бланк заказа NEW'!$B$19:$B$201)-COUNT('Бланк OLD 0.8 04'!$B$18:$B$200),'Бланк OLD 2.0 04 '!$B$16:$K$200,4,0)&gt;0,2,IF(VLOOKUP($A321-COUNT('Шаг2.Бланк заказа NEW'!$B$19:$B$201)-COUNT('Бланк OLD 0.8 04'!$B$18:$B$200),'Бланк OLD 2.0 04 '!$B$16:$K$200,5,0)&gt;0,0.4,"")))</f>
        <v/>
      </c>
      <c r="S321" s="147" t="str">
        <f ca="1">IFERROR(IFERROR(IF(VLOOKUP($A321,'Шаг2.Бланк заказа NEW'!$B$17:$N$201,5,0)="","",VLOOKUP($A321,'Шаг2.Бланк заказа NEW'!$B$17:$N$201,5,0)),
IF(VLOOKUP($A321-COUNT('Шаг2.Бланк заказа NEW'!$B$19:$B$201),'Бланк OLD 0.8 04'!$B$12:$K$200,4,0)&gt;1,0.8,
IF(VLOOKUP($A321-COUNT('Шаг2.Бланк заказа NEW'!$B$19:$B$201),'Бланк OLD 0.8 04'!$B$12:$K$200,5,0)&gt;1,0.4,
IF(AND(VLOOKUP($A321-COUNT('Шаг2.Бланк заказа NEW'!$B$19:$B$201),'Бланк OLD 0.8 04'!$B$12:$K$200,4,0)&gt;0,VLOOKUP($A321-COUNT('Шаг2.Бланк заказа NEW'!$B$19:$B$201),'Бланк OLD 0.8 04'!$B$12:$K$200,5,0)&gt;0),0.4,"")))),
IF(VLOOKUP($A321-COUNT('Шаг2.Бланк заказа NEW'!$B$19:$B$201)-COUNT('Бланк OLD 0.8 04'!$B$18:$B$200),'Бланк OLD 2.0 04 '!$B$16:$K$200,4,0)&gt;1,2,
IF(VLOOKUP($A321-COUNT('Шаг2.Бланк заказа NEW'!$B$19:$B$201)-COUNT('Бланк OLD 0.8 04'!$B$18:$B$200),'Бланк OLD 2.0 04 '!$B$16:$K$200,5,0)&gt;1,0.4,IF(AND(VLOOKUP($A321-COUNT('Шаг2.Бланк заказа NEW'!$B$19:$B$201)-COUNT('Бланк OLD 0.8 04'!$B$18:$B$200),'Бланк OLD 2.0 04 '!$B$16:$K$200,4,0)&gt;0,VLOOKUP($A321-COUNT('Шаг2.Бланк заказа NEW'!$B$19:$B$201)-COUNT('Бланк OLD 0.8 04'!$B$18:$B$200),'Бланк OLD 2.0 04 '!$B$16:$K$200,5,0)&gt;0),0.4,""))))</f>
        <v/>
      </c>
      <c r="T321" s="147" t="str">
        <f ca="1">IFERROR(IFERROR(IF(VLOOKUP($A321,'Шаг2.Бланк заказа NEW'!$B$17:$N$201,7,0)="","",VLOOKUP($A321,'Шаг2.Бланк заказа NEW'!$B$17:$N$201,7,0)),
IF(VLOOKUP($A321-COUNT('Шаг2.Бланк заказа NEW'!$B$19:$B$201),'Бланк OLD 0.8 04'!$B$12:$K$200,7,0)&gt;0,0.8,
IF(VLOOKUP($A321-COUNT('Шаг2.Бланк заказа NEW'!$B$19:$B$201),'Бланк OLD 0.8 04'!$B$12:$K$200,8,0)&gt;0,0.4,""))),
IF(VLOOKUP($A321-COUNT('Шаг2.Бланк заказа NEW'!$B$19:$B$201)-COUNT('Бланк OLD 0.8 04'!$B$18:$B$200),'Бланк OLD 2.0 04 '!$B$16:$K$200,7,0)&gt;0,2,IF(VLOOKUP($A321-COUNT('Шаг2.Бланк заказа NEW'!$B$19:$B$201)-COUNT('Бланк OLD 0.8 04'!$B$18:$B$200),'Бланк OLD 2.0 04 '!$B$16:$K$200,8,0)&gt;0,0.4,"")))</f>
        <v/>
      </c>
      <c r="U321" s="147" t="str">
        <f ca="1">IFERROR(IFERROR(IF(VLOOKUP($A321,'Шаг2.Бланк заказа NEW'!$B$17:$N$201,8,0)="","",VLOOKUP($A321,'Шаг2.Бланк заказа NEW'!$B$17:$N$201,8,0)),
IF(VLOOKUP($A321-COUNT('Шаг2.Бланк заказа NEW'!$B$19:$B$201),'Бланк OLD 0.8 04'!$B$12:$K$200,7,0)&gt;1,0.8,
IF(VLOOKUP($A321-COUNT('Шаг2.Бланк заказа NEW'!$B$19:$B$201),'Бланк OLD 0.8 04'!$B$12:$K$200,8,0)&gt;1,0.4,
IF(AND(VLOOKUP($A321-COUNT('Шаг2.Бланк заказа NEW'!$B$19:$B$201),'Бланк OLD 0.8 04'!$B$12:$K$200,7,0)&gt;0,VLOOKUP($A321-COUNT('Шаг2.Бланк заказа NEW'!$B$19:$B$201),'Бланк OLD 0.8 04'!$B$12:$K$200,8,0)&gt;0),0.4,"")))),
IF(VLOOKUP($A321-COUNT('Шаг2.Бланк заказа NEW'!$B$19:$B$201)-COUNT('Бланк OLD 0.8 04'!$B$18:$B$200),'Бланк OLD 2.0 04 '!$B$16:$K$200,7,0)&gt;1,2,
IF(VLOOKUP($A321-COUNT('Шаг2.Бланк заказа NEW'!$B$19:$B$201)-COUNT('Бланк OLD 0.8 04'!$B$18:$B$200),'Бланк OLD 2.0 04 '!$B$16:$K$200,8,0)&gt;1,0.4,
IF(AND(VLOOKUP($A321-COUNT('Шаг2.Бланк заказа NEW'!$B$19:$B$201)-COUNT('Бланк OLD 0.8 04'!$B$18:$B$200),'Бланк OLD 2.0 04 '!$B$16:$K$200,7,0)&gt;0,VLOOKUP($A321-COUNT('Шаг2.Бланк заказа NEW'!$B$19:$B$201)-COUNT('Бланк OLD 0.8 04'!$B$18:$B$200),'Бланк OLD 2.0 04 '!$B$16:$K$200,8,0)&gt;0),0.4,""))))</f>
        <v/>
      </c>
      <c r="V321" s="146" t="str">
        <f ca="1">IFERROR(VLOOKUP(C321,'Шаг1.Выбор плиты'!C:S,12,0),"")</f>
        <v/>
      </c>
      <c r="W321" s="146" t="str">
        <f ca="1">IFERROR(VLOOKUP(C321,'Шаг1.Выбор плиты'!C:S,8,0),"")</f>
        <v/>
      </c>
      <c r="X321" s="146" t="str">
        <f ca="1">IFERROR(VLOOKUP(C321,'Шаг1.Выбор плиты'!C:S,10,0),"")</f>
        <v/>
      </c>
      <c r="Y321" s="147" t="str">
        <f t="shared" ca="1" si="23"/>
        <v/>
      </c>
      <c r="AD321" s="147" t="str">
        <f t="shared" ca="1" si="26"/>
        <v/>
      </c>
      <c r="AE321" s="147" t="str">
        <f t="shared" ca="1" si="24"/>
        <v/>
      </c>
      <c r="AF321" s="25"/>
      <c r="AH321" s="147" t="str">
        <f ca="1">IF(C321="","",VLOOKUP(C321,'Шаг1.Выбор плиты'!C:Q,7,0))</f>
        <v/>
      </c>
      <c r="AI321" s="147" t="str">
        <f t="shared" ca="1" si="27"/>
        <v/>
      </c>
    </row>
    <row r="322" spans="1:35" x14ac:dyDescent="0.2">
      <c r="A322" s="151" t="str">
        <f ca="1">IF(C322="","",MAX($A$1:OFFSET(C322,-1,0))+1)</f>
        <v/>
      </c>
      <c r="B322" s="151" t="str">
        <f ca="1">IFERROR(IFERROR(IFERROR("Шаг2.Бланк заказа NEW №"&amp;VLOOKUP(A321+1,CHOOSE({1,2},'Шаг2.Бланк заказа NEW'!$B$19:$B$201,'Шаг2.Бланк заказа NEW'!$A$19:$A$201),1,0),
"Бланк OLD 0.8 04 №"&amp;VLOOKUP(A321+1-COUNT('Шаг2.Бланк заказа NEW'!$B$19:$B$201),CHOOSE({1,2},'Бланк OLD 0.8 04'!$B$18:$B$200,'Бланк OLD 0.8 04'!$A$18:$A$200),1,0)),
"Бланк OLD 2.0 04 №"&amp;VLOOKUP(A321+1-COUNT('Шаг2.Бланк заказа NEW'!$B$19:$B$201)-COUNT('Бланк OLD 0.8 04'!$B$18:$B$200),CHOOSE({1,2},'Бланк OLD 2.0 04 '!$B$18:$B$200,'Бланк OLD 2.0 04 '!$A$18:$A$200),1,0)),"")</f>
        <v/>
      </c>
      <c r="C322" s="152" t="str">
        <f ca="1">IFERROR(IFERROR(IFERROR(VLOOKUP(A321+1,CHOOSE({1,2},'Шаг2.Бланк заказа NEW'!$B$19:$B$201,'Шаг2.Бланк заказа NEW'!$A$19:$A$201),2,0),
VLOOKUP(A321+1-COUNT('Шаг2.Бланк заказа NEW'!$B$19:$B$201),CHOOSE({1,2},'Бланк OLD 0.8 04'!$B$18:$B$200,'Бланк OLD 0.8 04'!$A$18:$A$200),2,0)),
VLOOKUP(A321+1-COUNT('Шаг2.Бланк заказа NEW'!$B$19:$B$201)-COUNT('Бланк OLD 0.8 04'!$B$18:$B$200),CHOOSE({1,2},'Бланк OLD 2.0 04 '!$B$18:$B$200,'Бланк OLD 2.0 04 '!$A$18:$A$200),2,0)),"")</f>
        <v/>
      </c>
      <c r="D322" s="150" t="str">
        <f ca="1">IFERROR(VLOOKUP(C322,'Шаг1.Выбор плиты'!C:G,5,0),"")</f>
        <v/>
      </c>
      <c r="E322" s="147" t="str">
        <f ca="1">IFERROR(IFERROR(IF(VLOOKUP($A322,'Шаг2.Бланк заказа NEW'!$B$17:$N$201,2,0)="","",VLOOKUP($A322,'Шаг2.Бланк заказа NEW'!$B$17:$N$201,2,0)),
IF(VLOOKUP($A322-COUNT('Шаг2.Бланк заказа NEW'!$B$19:$B$201),'Бланк OLD 0.8 04'!$B$12:$K$200,2,0)="","",VLOOKUP($A322-COUNT('Шаг2.Бланк заказа NEW'!$B$19:$B$201),'Бланк OLD 0.8 04'!$B$12:$K$200,2,0))),
IF(VLOOKUP($A322-COUNT('Шаг2.Бланк заказа NEW'!$B$19:$B$201)-COUNT('Бланк OLD 0.8 04'!$B$18:$B$200),'Бланк OLD 2.0 04 '!$B$16:$K$200,2,0)="","",VLOOKUP($A322-COUNT('Шаг2.Бланк заказа NEW'!$B$19:$B$201)-COUNT('Бланк OLD 0.8 04'!$B$18:$B$200),'Бланк OLD 2.0 04 '!$B$16:$K$200,2,0)))</f>
        <v/>
      </c>
      <c r="F322" s="147" t="str">
        <f ca="1">IFERROR(IFERROR(IF(VLOOKUP($A322,'Шаг2.Бланк заказа NEW'!$B$17:$N$201,3,0)="","",VLOOKUP($A322,'Шаг2.Бланк заказа NEW'!$B$17:$N$201,3,0)),
IF(VLOOKUP($A322-COUNT('Шаг2.Бланк заказа NEW'!$B$19:$B$201),'Бланк OLD 0.8 04'!$B$12:$K$200,3,0)="","",VLOOKUP($A322-COUNT('Шаг2.Бланк заказа NEW'!$B$19:$B$201),'Бланк OLD 0.8 04'!$B$12:$K$200,3,0))),
IF(VLOOKUP($A322-COUNT('Шаг2.Бланк заказа NEW'!$B$19:$B$201)-COUNT('Бланк OLD 0.8 04'!$B$18:$B$200),'Бланк OLD 2.0 04 '!$B$16:$K$200,3,0)="","",VLOOKUP($A322-COUNT('Шаг2.Бланк заказа NEW'!$B$19:$B$201)-COUNT('Бланк OLD 0.8 04'!$B$18:$B$200),'Бланк OLD 2.0 04 '!$B$16:$K$200,3,0)))</f>
        <v/>
      </c>
      <c r="G322" s="176" t="str">
        <f ca="1">IF(IF(R322="","",IF(R322=1,SUMIFS('Шаг1.Выбор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плиты'!C:Q,12,0)),1))))))=0,
R322,
IF(R322="","",IF(R322=1,SUMIFS('Шаг1.Выбор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плиты'!N:N,R322,'Шаг1.Выбор плиты'!M:M,SMALL(INDIRECT("мм"&amp;VLOOKUP(C322,'Шаг1.Выбор плиты'!C:Q,12,0)),1)))))))</f>
        <v/>
      </c>
      <c r="H322" s="177" t="str">
        <f ca="1">IF(IF(S322="","",IF(S322=1,SUMIFS('Шаг1.Выбор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плиты'!C:Q,12,0)),1))))))=0,
S322,
IF(S322="","",IF(S322=1,SUMIFS('Шаг1.Выбор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плиты'!N:N,S322,'Шаг1.Выбор плиты'!M:M,SMALL(INDIRECT("мм"&amp;VLOOKUP(C322,'Шаг1.Выбор плиты'!C:Q,12,0)),1)))))))</f>
        <v/>
      </c>
      <c r="I322" s="147" t="str">
        <f ca="1">IFERROR(IFERROR(IF(VLOOKUP($A322,'Шаг2.Бланк заказа NEW'!$B$17:$N$201,6,0)="","",VLOOKUP($A322,'Шаг2.Бланк заказа NEW'!$B$17:$N$201,6,0)),
IF(VLOOKUP($A322-COUNT('Шаг2.Бланк заказа NEW'!$B$19:$B$201),'Бланк OLD 0.8 04'!$B$12:$K$200,6,0)="","",VLOOKUP($A322-COUNT('Шаг2.Бланк заказа NEW'!$B$19:$B$201),'Бланк OLD 0.8 04'!$B$12:$K$200,6,0))),
IF(VLOOKUP($A322-COUNT('Шаг2.Бланк заказа NEW'!$B$19:$B$201)-COUNT('Бланк OLD 0.8 04'!$B$18:$B$200),'Бланк OLD 2.0 04 '!$B$16:$K$200,6,0)="","",VLOOKUP($A322-COUNT('Шаг2.Бланк заказа NEW'!$B$19:$B$201)-COUNT('Бланк OLD 0.8 04'!$B$18:$B$200),'Бланк OLD 2.0 04 '!$B$16:$K$200,6,0)))</f>
        <v/>
      </c>
      <c r="J322" s="177" t="str">
        <f ca="1">IF(IF(T322="","",IF(T322=1,SUMIFS('Шаг1.Выбор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плиты'!C:Q,12,0)),1))))))=0,
T322,
IF(T322="","",IF(T322=1,SUMIFS('Шаг1.Выбор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плиты'!N:N,T322,'Шаг1.Выбор плиты'!M:M,SMALL(INDIRECT("мм"&amp;VLOOKUP(C322,'Шаг1.Выбор плиты'!C:Q,12,0)),1)))))))</f>
        <v/>
      </c>
      <c r="K322" s="177" t="str">
        <f ca="1">IF(IF(U322="","",IF(U322=1,SUMIFS('Шаг1.Выбор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плиты'!C:Q,12,0)),1))))))=0,
U322,
IF(U322="","",IF(U322=1,SUMIFS('Шаг1.Выбор плиты'!$G:$G,'Шаг1.Выбор плиты'!J:J,"*"&amp;RIGHT(VLOOKUP(C322,'Шаг1.Выбор плиты'!C:Q,8,0),4),'Шаг1.Выбор плиты'!L:L,IF(MID(C322,1,6)="ЛДСП P","TM"&amp;MID(VLOOKUP(C322,'Шаг1.Выбор плиты'!C:Q,10,0),3,2),MID(VLOOKUP(C322,'Шаг1.Выбор плиты'!C:Q,10,0),1,2)),
'Шаг1.Выбор плиты'!N:N,1),IF(SUMIFS('Шаг1.Выбор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плиты'!C:Q,12,0)),1))=0,
IF(SUMIFS('Шаг1.Выбор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плиты'!C:Q,12,0)),2))=0,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плиты'!C:Q,12,0)),3)),
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плиты'!C:Q,12,0)),2))),
(SUMIFS('Шаг1.Выбор плиты'!$G:$G,'Шаг1.Выбор плиты'!J:J,"*"&amp;RIGHT(VLOOKUP(C322,'Шаг1.Выбор плиты'!C:Q,8,0),4),'Шаг1.Выбор плиты'!L:L,VLOOKUP(C322,'Шаг1.Выбор плиты'!C:Q,10,0),'Шаг1.Выбор плиты'!N:N,U322,'Шаг1.Выбор плиты'!M:M,SMALL(INDIRECT("мм"&amp;VLOOKUP(C322,'Шаг1.Выбор плиты'!C:Q,12,0)),1)))))))</f>
        <v/>
      </c>
      <c r="L322" s="147" t="str">
        <f ca="1">IFERROR(IFERROR(IF(VLOOKUP($A322,'Шаг2.Бланк заказа NEW'!$B$17:$N$201,9,0)="","",VLOOKUP($A322,'Шаг2.Бланк заказа NEW'!$B$17:$N$201,9,0)),
IF(VLOOKUP($A322-COUNT('Шаг2.Бланк заказа NEW'!$B$19:$B$201),'Бланк OLD 0.8 04'!$B$12:$K$200,9,0)="","",VLOOKUP($A322-COUNT('Шаг2.Бланк заказа NEW'!$B$19:$B$201),'Бланк OLD 0.8 04'!$B$12:$K$200,9,0))),
IF(VLOOKUP($A322-COUNT('Шаг2.Бланк заказа NEW'!$B$19:$B$201)-COUNT('Бланк OLD 0.8 04'!$B$18:$B$200),'Бланк OLD 2.0 04 '!$B$16:$K$200,9,0)="","",VLOOKUP($A322-COUNT('Шаг2.Бланк заказа NEW'!$B$19:$B$201)-COUNT('Бланк OLD 0.8 04'!$B$18:$B$200),'Бланк OLD 2.0 04 '!$B$16:$K$200,9,0)))</f>
        <v/>
      </c>
      <c r="M322" s="154" t="str">
        <f t="shared" ca="1" si="25"/>
        <v/>
      </c>
      <c r="N322" s="153" t="str">
        <f ca="1">IFERROR(IF(VLOOKUP($A322,'Шаг2.Бланк заказа NEW'!$B$17:$N$201,11,0)="","",VLOOKUP($A322,'Шаг2.Бланк заказа NEW'!$B$17:$N$201,11,0)),
"Нет")</f>
        <v/>
      </c>
      <c r="O322" s="147" t="str">
        <f ca="1">IFERROR(IF(VLOOKUP($A322,'Шаг2.Бланк заказа NEW'!$B$17:$N$201,11,0)="","",VLOOKUP($A322,'Шаг2.Бланк заказа NEW'!$B$17:$N$201,12,0)),
"Нет")</f>
        <v/>
      </c>
      <c r="P322" s="153" t="str">
        <f ca="1">IFERROR(IF(VLOOKUP($A322,'Шаг2.Бланк заказа NEW'!$B$17:$N$201,13,0)="","",VLOOKUP($A322,'Шаг2.Бланк заказа NEW'!$B$17:$N$201,13,0)),
"Нет")</f>
        <v/>
      </c>
      <c r="Q322" s="147" t="str">
        <f ca="1">IFERROR(IF(VLOOKUP($A322,'Шаг2.Бланк заказа NEW'!$B$17:$O$201,14,0)="","",VLOOKUP($A322,'Шаг2.Бланк заказа NEW'!$B$17:$O$201,14,0)),"")</f>
        <v/>
      </c>
      <c r="R322" s="147" t="str">
        <f ca="1">IFERROR(IFERROR(IF(VLOOKUP($A322,'Шаг2.Бланк заказа NEW'!$B$17:$N$201,4,0)="","",VLOOKUP($A322,'Шаг2.Бланк заказа NEW'!$B$17:$N$201,4,0)),
IF(VLOOKUP($A322-COUNT('Шаг2.Бланк заказа NEW'!$B$19:$B$201),'Бланк OLD 0.8 04'!$B$12:$K$200,4,0)&gt;0,0.8,
IF(VLOOKUP($A322-COUNT('Шаг2.Бланк заказа NEW'!$B$19:$B$201),'Бланк OLD 0.8 04'!$B$12:$K$200,5,0)&gt;0,0.4,""))),
IF(VLOOKUP($A322-COUNT('Шаг2.Бланк заказа NEW'!$B$19:$B$201)-COUNT('Бланк OLD 0.8 04'!$B$18:$B$200),'Бланк OLD 2.0 04 '!$B$16:$K$200,4,0)&gt;0,2,IF(VLOOKUP($A322-COUNT('Шаг2.Бланк заказа NEW'!$B$19:$B$201)-COUNT('Бланк OLD 0.8 04'!$B$18:$B$200),'Бланк OLD 2.0 04 '!$B$16:$K$200,5,0)&gt;0,0.4,"")))</f>
        <v/>
      </c>
      <c r="S322" s="147" t="str">
        <f ca="1">IFERROR(IFERROR(IF(VLOOKUP($A322,'Шаг2.Бланк заказа NEW'!$B$17:$N$201,5,0)="","",VLOOKUP($A322,'Шаг2.Бланк заказа NEW'!$B$17:$N$201,5,0)),
IF(VLOOKUP($A322-COUNT('Шаг2.Бланк заказа NEW'!$B$19:$B$201),'Бланк OLD 0.8 04'!$B$12:$K$200,4,0)&gt;1,0.8,
IF(VLOOKUP($A322-COUNT('Шаг2.Бланк заказа NEW'!$B$19:$B$201),'Бланк OLD 0.8 04'!$B$12:$K$200,5,0)&gt;1,0.4,
IF(AND(VLOOKUP($A322-COUNT('Шаг2.Бланк заказа NEW'!$B$19:$B$201),'Бланк OLD 0.8 04'!$B$12:$K$200,4,0)&gt;0,VLOOKUP($A322-COUNT('Шаг2.Бланк заказа NEW'!$B$19:$B$201),'Бланк OLD 0.8 04'!$B$12:$K$200,5,0)&gt;0),0.4,"")))),
IF(VLOOKUP($A322-COUNT('Шаг2.Бланк заказа NEW'!$B$19:$B$201)-COUNT('Бланк OLD 0.8 04'!$B$18:$B$200),'Бланк OLD 2.0 04 '!$B$16:$K$200,4,0)&gt;1,2,
IF(VLOOKUP($A322-COUNT('Шаг2.Бланк заказа NEW'!$B$19:$B$201)-COUNT('Бланк OLD 0.8 04'!$B$18:$B$200),'Бланк OLD 2.0 04 '!$B$16:$K$200,5,0)&gt;1,0.4,IF(AND(VLOOKUP($A322-COUNT('Шаг2.Бланк заказа NEW'!$B$19:$B$201)-COUNT('Бланк OLD 0.8 04'!$B$18:$B$200),'Бланк OLD 2.0 04 '!$B$16:$K$200,4,0)&gt;0,VLOOKUP($A322-COUNT('Шаг2.Бланк заказа NEW'!$B$19:$B$201)-COUNT('Бланк OLD 0.8 04'!$B$18:$B$200),'Бланк OLD 2.0 04 '!$B$16:$K$200,5,0)&gt;0),0.4,""))))</f>
        <v/>
      </c>
      <c r="T322" s="147" t="str">
        <f ca="1">IFERROR(IFERROR(IF(VLOOKUP($A322,'Шаг2.Бланк заказа NEW'!$B$17:$N$201,7,0)="","",VLOOKUP($A322,'Шаг2.Бланк заказа NEW'!$B$17:$N$201,7,0)),
IF(VLOOKUP($A322-COUNT('Шаг2.Бланк заказа NEW'!$B$19:$B$201),'Бланк OLD 0.8 04'!$B$12:$K$200,7,0)&gt;0,0.8,
IF(VLOOKUP($A322-COUNT('Шаг2.Бланк заказа NEW'!$B$19:$B$201),'Бланк OLD 0.8 04'!$B$12:$K$200,8,0)&gt;0,0.4,""))),
IF(VLOOKUP($A322-COUNT('Шаг2.Бланк заказа NEW'!$B$19:$B$201)-COUNT('Бланк OLD 0.8 04'!$B$18:$B$200),'Бланк OLD 2.0 04 '!$B$16:$K$200,7,0)&gt;0,2,IF(VLOOKUP($A322-COUNT('Шаг2.Бланк заказа NEW'!$B$19:$B$201)-COUNT('Бланк OLD 0.8 04'!$B$18:$B$200),'Бланк OLD 2.0 04 '!$B$16:$K$200,8,0)&gt;0,0.4,"")))</f>
        <v/>
      </c>
      <c r="U322" s="147" t="str">
        <f ca="1">IFERROR(IFERROR(IF(VLOOKUP($A322,'Шаг2.Бланк заказа NEW'!$B$17:$N$201,8,0)="","",VLOOKUP($A322,'Шаг2.Бланк заказа NEW'!$B$17:$N$201,8,0)),
IF(VLOOKUP($A322-COUNT('Шаг2.Бланк заказа NEW'!$B$19:$B$201),'Бланк OLD 0.8 04'!$B$12:$K$200,7,0)&gt;1,0.8,
IF(VLOOKUP($A322-COUNT('Шаг2.Бланк заказа NEW'!$B$19:$B$201),'Бланк OLD 0.8 04'!$B$12:$K$200,8,0)&gt;1,0.4,
IF(AND(VLOOKUP($A322-COUNT('Шаг2.Бланк заказа NEW'!$B$19:$B$201),'Бланк OLD 0.8 04'!$B$12:$K$200,7,0)&gt;0,VLOOKUP($A322-COUNT('Шаг2.Бланк заказа NEW'!$B$19:$B$201),'Бланк OLD 0.8 04'!$B$12:$K$200,8,0)&gt;0),0.4,"")))),
IF(VLOOKUP($A322-COUNT('Шаг2.Бланк заказа NEW'!$B$19:$B$201)-COUNT('Бланк OLD 0.8 04'!$B$18:$B$200),'Бланк OLD 2.0 04 '!$B$16:$K$200,7,0)&gt;1,2,
IF(VLOOKUP($A322-COUNT('Шаг2.Бланк заказа NEW'!$B$19:$B$201)-COUNT('Бланк OLD 0.8 04'!$B$18:$B$200),'Бланк OLD 2.0 04 '!$B$16:$K$200,8,0)&gt;1,0.4,
IF(AND(VLOOKUP($A322-COUNT('Шаг2.Бланк заказа NEW'!$B$19:$B$201)-COUNT('Бланк OLD 0.8 04'!$B$18:$B$200),'Бланк OLD 2.0 04 '!$B$16:$K$200,7,0)&gt;0,VLOOKUP($A322-COUNT('Шаг2.Бланк заказа NEW'!$B$19:$B$201)-COUNT('Бланк OLD 0.8 04'!$B$18:$B$200),'Бланк OLD 2.0 04 '!$B$16:$K$200,8,0)&gt;0),0.4,""))))</f>
        <v/>
      </c>
      <c r="V322" s="146" t="str">
        <f ca="1">IFERROR(VLOOKUP(C322,'Шаг1.Выбор плиты'!C:S,12,0),"")</f>
        <v/>
      </c>
      <c r="W322" s="146" t="str">
        <f ca="1">IFERROR(VLOOKUP(C322,'Шаг1.Выбор плиты'!C:S,8,0),"")</f>
        <v/>
      </c>
      <c r="X322" s="146" t="str">
        <f ca="1">IFERROR(VLOOKUP(C322,'Шаг1.Выбор плиты'!C:S,10,0),"")</f>
        <v/>
      </c>
      <c r="Y322" s="147" t="str">
        <f t="shared" ca="1" si="23"/>
        <v/>
      </c>
      <c r="AD322" s="147" t="str">
        <f t="shared" ca="1" si="26"/>
        <v/>
      </c>
      <c r="AE322" s="147" t="str">
        <f t="shared" ca="1" si="24"/>
        <v/>
      </c>
      <c r="AF322" s="25"/>
      <c r="AH322" s="147" t="str">
        <f ca="1">IF(C322="","",VLOOKUP(C322,'Шаг1.Выбор плиты'!C:Q,7,0))</f>
        <v/>
      </c>
      <c r="AI322" s="147" t="str">
        <f t="shared" ca="1" si="27"/>
        <v/>
      </c>
    </row>
    <row r="323" spans="1:35" x14ac:dyDescent="0.2">
      <c r="A323" s="151" t="str">
        <f ca="1">IF(C323="","",MAX($A$1:OFFSET(C323,-1,0))+1)</f>
        <v/>
      </c>
      <c r="B323" s="151" t="str">
        <f ca="1">IFERROR(IFERROR(IFERROR("Шаг2.Бланк заказа NEW №"&amp;VLOOKUP(A322+1,CHOOSE({1,2},'Шаг2.Бланк заказа NEW'!$B$19:$B$201,'Шаг2.Бланк заказа NEW'!$A$19:$A$201),1,0),
"Бланк OLD 0.8 04 №"&amp;VLOOKUP(A322+1-COUNT('Шаг2.Бланк заказа NEW'!$B$19:$B$201),CHOOSE({1,2},'Бланк OLD 0.8 04'!$B$18:$B$200,'Бланк OLD 0.8 04'!$A$18:$A$200),1,0)),
"Бланк OLD 2.0 04 №"&amp;VLOOKUP(A322+1-COUNT('Шаг2.Бланк заказа NEW'!$B$19:$B$201)-COUNT('Бланк OLD 0.8 04'!$B$18:$B$200),CHOOSE({1,2},'Бланк OLD 2.0 04 '!$B$18:$B$200,'Бланк OLD 2.0 04 '!$A$18:$A$200),1,0)),"")</f>
        <v/>
      </c>
      <c r="C323" s="152" t="str">
        <f ca="1">IFERROR(IFERROR(IFERROR(VLOOKUP(A322+1,CHOOSE({1,2},'Шаг2.Бланк заказа NEW'!$B$19:$B$201,'Шаг2.Бланк заказа NEW'!$A$19:$A$201),2,0),
VLOOKUP(A322+1-COUNT('Шаг2.Бланк заказа NEW'!$B$19:$B$201),CHOOSE({1,2},'Бланк OLD 0.8 04'!$B$18:$B$200,'Бланк OLD 0.8 04'!$A$18:$A$200),2,0)),
VLOOKUP(A322+1-COUNT('Шаг2.Бланк заказа NEW'!$B$19:$B$201)-COUNT('Бланк OLD 0.8 04'!$B$18:$B$200),CHOOSE({1,2},'Бланк OLD 2.0 04 '!$B$18:$B$200,'Бланк OLD 2.0 04 '!$A$18:$A$200),2,0)),"")</f>
        <v/>
      </c>
      <c r="D323" s="150" t="str">
        <f ca="1">IFERROR(VLOOKUP(C323,'Шаг1.Выбор плиты'!C:G,5,0),"")</f>
        <v/>
      </c>
      <c r="E323" s="147" t="str">
        <f ca="1">IFERROR(IFERROR(IF(VLOOKUP($A323,'Шаг2.Бланк заказа NEW'!$B$17:$N$201,2,0)="","",VLOOKUP($A323,'Шаг2.Бланк заказа NEW'!$B$17:$N$201,2,0)),
IF(VLOOKUP($A323-COUNT('Шаг2.Бланк заказа NEW'!$B$19:$B$201),'Бланк OLD 0.8 04'!$B$12:$K$200,2,0)="","",VLOOKUP($A323-COUNT('Шаг2.Бланк заказа NEW'!$B$19:$B$201),'Бланк OLD 0.8 04'!$B$12:$K$200,2,0))),
IF(VLOOKUP($A323-COUNT('Шаг2.Бланк заказа NEW'!$B$19:$B$201)-COUNT('Бланк OLD 0.8 04'!$B$18:$B$200),'Бланк OLD 2.0 04 '!$B$16:$K$200,2,0)="","",VLOOKUP($A323-COUNT('Шаг2.Бланк заказа NEW'!$B$19:$B$201)-COUNT('Бланк OLD 0.8 04'!$B$18:$B$200),'Бланк OLD 2.0 04 '!$B$16:$K$200,2,0)))</f>
        <v/>
      </c>
      <c r="F323" s="147" t="str">
        <f ca="1">IFERROR(IFERROR(IF(VLOOKUP($A323,'Шаг2.Бланк заказа NEW'!$B$17:$N$201,3,0)="","",VLOOKUP($A323,'Шаг2.Бланк заказа NEW'!$B$17:$N$201,3,0)),
IF(VLOOKUP($A323-COUNT('Шаг2.Бланк заказа NEW'!$B$19:$B$201),'Бланк OLD 0.8 04'!$B$12:$K$200,3,0)="","",VLOOKUP($A323-COUNT('Шаг2.Бланк заказа NEW'!$B$19:$B$201),'Бланк OLD 0.8 04'!$B$12:$K$200,3,0))),
IF(VLOOKUP($A323-COUNT('Шаг2.Бланк заказа NEW'!$B$19:$B$201)-COUNT('Бланк OLD 0.8 04'!$B$18:$B$200),'Бланк OLD 2.0 04 '!$B$16:$K$200,3,0)="","",VLOOKUP($A323-COUNT('Шаг2.Бланк заказа NEW'!$B$19:$B$201)-COUNT('Бланк OLD 0.8 04'!$B$18:$B$200),'Бланк OLD 2.0 04 '!$B$16:$K$200,3,0)))</f>
        <v/>
      </c>
      <c r="G323" s="176" t="str">
        <f ca="1">IF(IF(R323="","",IF(R323=1,SUMIFS('Шаг1.Выбор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плиты'!C:Q,12,0)),1))))))=0,
R323,
IF(R323="","",IF(R323=1,SUMIFS('Шаг1.Выбор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плиты'!N:N,R323,'Шаг1.Выбор плиты'!M:M,SMALL(INDIRECT("мм"&amp;VLOOKUP(C323,'Шаг1.Выбор плиты'!C:Q,12,0)),1)))))))</f>
        <v/>
      </c>
      <c r="H323" s="177" t="str">
        <f ca="1">IF(IF(S323="","",IF(S323=1,SUMIFS('Шаг1.Выбор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плиты'!C:Q,12,0)),1))))))=0,
S323,
IF(S323="","",IF(S323=1,SUMIFS('Шаг1.Выбор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плиты'!N:N,S323,'Шаг1.Выбор плиты'!M:M,SMALL(INDIRECT("мм"&amp;VLOOKUP(C323,'Шаг1.Выбор плиты'!C:Q,12,0)),1)))))))</f>
        <v/>
      </c>
      <c r="I323" s="147" t="str">
        <f ca="1">IFERROR(IFERROR(IF(VLOOKUP($A323,'Шаг2.Бланк заказа NEW'!$B$17:$N$201,6,0)="","",VLOOKUP($A323,'Шаг2.Бланк заказа NEW'!$B$17:$N$201,6,0)),
IF(VLOOKUP($A323-COUNT('Шаг2.Бланк заказа NEW'!$B$19:$B$201),'Бланк OLD 0.8 04'!$B$12:$K$200,6,0)="","",VLOOKUP($A323-COUNT('Шаг2.Бланк заказа NEW'!$B$19:$B$201),'Бланк OLD 0.8 04'!$B$12:$K$200,6,0))),
IF(VLOOKUP($A323-COUNT('Шаг2.Бланк заказа NEW'!$B$19:$B$201)-COUNT('Бланк OLD 0.8 04'!$B$18:$B$200),'Бланк OLD 2.0 04 '!$B$16:$K$200,6,0)="","",VLOOKUP($A323-COUNT('Шаг2.Бланк заказа NEW'!$B$19:$B$201)-COUNT('Бланк OLD 0.8 04'!$B$18:$B$200),'Бланк OLD 2.0 04 '!$B$16:$K$200,6,0)))</f>
        <v/>
      </c>
      <c r="J323" s="177" t="str">
        <f ca="1">IF(IF(T323="","",IF(T323=1,SUMIFS('Шаг1.Выбор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плиты'!C:Q,12,0)),1))))))=0,
T323,
IF(T323="","",IF(T323=1,SUMIFS('Шаг1.Выбор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плиты'!N:N,T323,'Шаг1.Выбор плиты'!M:M,SMALL(INDIRECT("мм"&amp;VLOOKUP(C323,'Шаг1.Выбор плиты'!C:Q,12,0)),1)))))))</f>
        <v/>
      </c>
      <c r="K323" s="177" t="str">
        <f ca="1">IF(IF(U323="","",IF(U323=1,SUMIFS('Шаг1.Выбор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плиты'!C:Q,12,0)),1))))))=0,
U323,
IF(U323="","",IF(U323=1,SUMIFS('Шаг1.Выбор плиты'!$G:$G,'Шаг1.Выбор плиты'!J:J,"*"&amp;RIGHT(VLOOKUP(C323,'Шаг1.Выбор плиты'!C:Q,8,0),4),'Шаг1.Выбор плиты'!L:L,IF(MID(C323,1,6)="ЛДСП P","TM"&amp;MID(VLOOKUP(C323,'Шаг1.Выбор плиты'!C:Q,10,0),3,2),MID(VLOOKUP(C323,'Шаг1.Выбор плиты'!C:Q,10,0),1,2)),
'Шаг1.Выбор плиты'!N:N,1),IF(SUMIFS('Шаг1.Выбор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плиты'!C:Q,12,0)),1))=0,
IF(SUMIFS('Шаг1.Выбор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плиты'!C:Q,12,0)),2))=0,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плиты'!C:Q,12,0)),3)),
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плиты'!C:Q,12,0)),2))),
(SUMIFS('Шаг1.Выбор плиты'!$G:$G,'Шаг1.Выбор плиты'!J:J,"*"&amp;RIGHT(VLOOKUP(C323,'Шаг1.Выбор плиты'!C:Q,8,0),4),'Шаг1.Выбор плиты'!L:L,VLOOKUP(C323,'Шаг1.Выбор плиты'!C:Q,10,0),'Шаг1.Выбор плиты'!N:N,U323,'Шаг1.Выбор плиты'!M:M,SMALL(INDIRECT("мм"&amp;VLOOKUP(C323,'Шаг1.Выбор плиты'!C:Q,12,0)),1)))))))</f>
        <v/>
      </c>
      <c r="L323" s="147" t="str">
        <f ca="1">IFERROR(IFERROR(IF(VLOOKUP($A323,'Шаг2.Бланк заказа NEW'!$B$17:$N$201,9,0)="","",VLOOKUP($A323,'Шаг2.Бланк заказа NEW'!$B$17:$N$201,9,0)),
IF(VLOOKUP($A323-COUNT('Шаг2.Бланк заказа NEW'!$B$19:$B$201),'Бланк OLD 0.8 04'!$B$12:$K$200,9,0)="","",VLOOKUP($A323-COUNT('Шаг2.Бланк заказа NEW'!$B$19:$B$201),'Бланк OLD 0.8 04'!$B$12:$K$200,9,0))),
IF(VLOOKUP($A323-COUNT('Шаг2.Бланк заказа NEW'!$B$19:$B$201)-COUNT('Бланк OLD 0.8 04'!$B$18:$B$200),'Бланк OLD 2.0 04 '!$B$16:$K$200,9,0)="","",VLOOKUP($A323-COUNT('Шаг2.Бланк заказа NEW'!$B$19:$B$201)-COUNT('Бланк OLD 0.8 04'!$B$18:$B$200),'Бланк OLD 2.0 04 '!$B$16:$K$200,9,0)))</f>
        <v/>
      </c>
      <c r="M323" s="154" t="str">
        <f t="shared" ca="1" si="25"/>
        <v/>
      </c>
      <c r="N323" s="153" t="str">
        <f ca="1">IFERROR(IF(VLOOKUP($A323,'Шаг2.Бланк заказа NEW'!$B$17:$N$201,11,0)="","",VLOOKUP($A323,'Шаг2.Бланк заказа NEW'!$B$17:$N$201,11,0)),
"Нет")</f>
        <v/>
      </c>
      <c r="O323" s="147" t="str">
        <f ca="1">IFERROR(IF(VLOOKUP($A323,'Шаг2.Бланк заказа NEW'!$B$17:$N$201,11,0)="","",VLOOKUP($A323,'Шаг2.Бланк заказа NEW'!$B$17:$N$201,12,0)),
"Нет")</f>
        <v/>
      </c>
      <c r="P323" s="153" t="str">
        <f ca="1">IFERROR(IF(VLOOKUP($A323,'Шаг2.Бланк заказа NEW'!$B$17:$N$201,13,0)="","",VLOOKUP($A323,'Шаг2.Бланк заказа NEW'!$B$17:$N$201,13,0)),
"Нет")</f>
        <v/>
      </c>
      <c r="Q323" s="147" t="str">
        <f ca="1">IFERROR(IF(VLOOKUP($A323,'Шаг2.Бланк заказа NEW'!$B$17:$O$201,14,0)="","",VLOOKUP($A323,'Шаг2.Бланк заказа NEW'!$B$17:$O$201,14,0)),"")</f>
        <v/>
      </c>
      <c r="R323" s="147" t="str">
        <f ca="1">IFERROR(IFERROR(IF(VLOOKUP($A323,'Шаг2.Бланк заказа NEW'!$B$17:$N$201,4,0)="","",VLOOKUP($A323,'Шаг2.Бланк заказа NEW'!$B$17:$N$201,4,0)),
IF(VLOOKUP($A323-COUNT('Шаг2.Бланк заказа NEW'!$B$19:$B$201),'Бланк OLD 0.8 04'!$B$12:$K$200,4,0)&gt;0,0.8,
IF(VLOOKUP($A323-COUNT('Шаг2.Бланк заказа NEW'!$B$19:$B$201),'Бланк OLD 0.8 04'!$B$12:$K$200,5,0)&gt;0,0.4,""))),
IF(VLOOKUP($A323-COUNT('Шаг2.Бланк заказа NEW'!$B$19:$B$201)-COUNT('Бланк OLD 0.8 04'!$B$18:$B$200),'Бланк OLD 2.0 04 '!$B$16:$K$200,4,0)&gt;0,2,IF(VLOOKUP($A323-COUNT('Шаг2.Бланк заказа NEW'!$B$19:$B$201)-COUNT('Бланк OLD 0.8 04'!$B$18:$B$200),'Бланк OLD 2.0 04 '!$B$16:$K$200,5,0)&gt;0,0.4,"")))</f>
        <v/>
      </c>
      <c r="S323" s="147" t="str">
        <f ca="1">IFERROR(IFERROR(IF(VLOOKUP($A323,'Шаг2.Бланк заказа NEW'!$B$17:$N$201,5,0)="","",VLOOKUP($A323,'Шаг2.Бланк заказа NEW'!$B$17:$N$201,5,0)),
IF(VLOOKUP($A323-COUNT('Шаг2.Бланк заказа NEW'!$B$19:$B$201),'Бланк OLD 0.8 04'!$B$12:$K$200,4,0)&gt;1,0.8,
IF(VLOOKUP($A323-COUNT('Шаг2.Бланк заказа NEW'!$B$19:$B$201),'Бланк OLD 0.8 04'!$B$12:$K$200,5,0)&gt;1,0.4,
IF(AND(VLOOKUP($A323-COUNT('Шаг2.Бланк заказа NEW'!$B$19:$B$201),'Бланк OLD 0.8 04'!$B$12:$K$200,4,0)&gt;0,VLOOKUP($A323-COUNT('Шаг2.Бланк заказа NEW'!$B$19:$B$201),'Бланк OLD 0.8 04'!$B$12:$K$200,5,0)&gt;0),0.4,"")))),
IF(VLOOKUP($A323-COUNT('Шаг2.Бланк заказа NEW'!$B$19:$B$201)-COUNT('Бланк OLD 0.8 04'!$B$18:$B$200),'Бланк OLD 2.0 04 '!$B$16:$K$200,4,0)&gt;1,2,
IF(VLOOKUP($A323-COUNT('Шаг2.Бланк заказа NEW'!$B$19:$B$201)-COUNT('Бланк OLD 0.8 04'!$B$18:$B$200),'Бланк OLD 2.0 04 '!$B$16:$K$200,5,0)&gt;1,0.4,IF(AND(VLOOKUP($A323-COUNT('Шаг2.Бланк заказа NEW'!$B$19:$B$201)-COUNT('Бланк OLD 0.8 04'!$B$18:$B$200),'Бланк OLD 2.0 04 '!$B$16:$K$200,4,0)&gt;0,VLOOKUP($A323-COUNT('Шаг2.Бланк заказа NEW'!$B$19:$B$201)-COUNT('Бланк OLD 0.8 04'!$B$18:$B$200),'Бланк OLD 2.0 04 '!$B$16:$K$200,5,0)&gt;0),0.4,""))))</f>
        <v/>
      </c>
      <c r="T323" s="147" t="str">
        <f ca="1">IFERROR(IFERROR(IF(VLOOKUP($A323,'Шаг2.Бланк заказа NEW'!$B$17:$N$201,7,0)="","",VLOOKUP($A323,'Шаг2.Бланк заказа NEW'!$B$17:$N$201,7,0)),
IF(VLOOKUP($A323-COUNT('Шаг2.Бланк заказа NEW'!$B$19:$B$201),'Бланк OLD 0.8 04'!$B$12:$K$200,7,0)&gt;0,0.8,
IF(VLOOKUP($A323-COUNT('Шаг2.Бланк заказа NEW'!$B$19:$B$201),'Бланк OLD 0.8 04'!$B$12:$K$200,8,0)&gt;0,0.4,""))),
IF(VLOOKUP($A323-COUNT('Шаг2.Бланк заказа NEW'!$B$19:$B$201)-COUNT('Бланк OLD 0.8 04'!$B$18:$B$200),'Бланк OLD 2.0 04 '!$B$16:$K$200,7,0)&gt;0,2,IF(VLOOKUP($A323-COUNT('Шаг2.Бланк заказа NEW'!$B$19:$B$201)-COUNT('Бланк OLD 0.8 04'!$B$18:$B$200),'Бланк OLD 2.0 04 '!$B$16:$K$200,8,0)&gt;0,0.4,"")))</f>
        <v/>
      </c>
      <c r="U323" s="147" t="str">
        <f ca="1">IFERROR(IFERROR(IF(VLOOKUP($A323,'Шаг2.Бланк заказа NEW'!$B$17:$N$201,8,0)="","",VLOOKUP($A323,'Шаг2.Бланк заказа NEW'!$B$17:$N$201,8,0)),
IF(VLOOKUP($A323-COUNT('Шаг2.Бланк заказа NEW'!$B$19:$B$201),'Бланк OLD 0.8 04'!$B$12:$K$200,7,0)&gt;1,0.8,
IF(VLOOKUP($A323-COUNT('Шаг2.Бланк заказа NEW'!$B$19:$B$201),'Бланк OLD 0.8 04'!$B$12:$K$200,8,0)&gt;1,0.4,
IF(AND(VLOOKUP($A323-COUNT('Шаг2.Бланк заказа NEW'!$B$19:$B$201),'Бланк OLD 0.8 04'!$B$12:$K$200,7,0)&gt;0,VLOOKUP($A323-COUNT('Шаг2.Бланк заказа NEW'!$B$19:$B$201),'Бланк OLD 0.8 04'!$B$12:$K$200,8,0)&gt;0),0.4,"")))),
IF(VLOOKUP($A323-COUNT('Шаг2.Бланк заказа NEW'!$B$19:$B$201)-COUNT('Бланк OLD 0.8 04'!$B$18:$B$200),'Бланк OLD 2.0 04 '!$B$16:$K$200,7,0)&gt;1,2,
IF(VLOOKUP($A323-COUNT('Шаг2.Бланк заказа NEW'!$B$19:$B$201)-COUNT('Бланк OLD 0.8 04'!$B$18:$B$200),'Бланк OLD 2.0 04 '!$B$16:$K$200,8,0)&gt;1,0.4,
IF(AND(VLOOKUP($A323-COUNT('Шаг2.Бланк заказа NEW'!$B$19:$B$201)-COUNT('Бланк OLD 0.8 04'!$B$18:$B$200),'Бланк OLD 2.0 04 '!$B$16:$K$200,7,0)&gt;0,VLOOKUP($A323-COUNT('Шаг2.Бланк заказа NEW'!$B$19:$B$201)-COUNT('Бланк OLD 0.8 04'!$B$18:$B$200),'Бланк OLD 2.0 04 '!$B$16:$K$200,8,0)&gt;0),0.4,""))))</f>
        <v/>
      </c>
      <c r="V323" s="146" t="str">
        <f ca="1">IFERROR(VLOOKUP(C323,'Шаг1.Выбор плиты'!C:S,12,0),"")</f>
        <v/>
      </c>
      <c r="W323" s="146" t="str">
        <f ca="1">IFERROR(VLOOKUP(C323,'Шаг1.Выбор плиты'!C:S,8,0),"")</f>
        <v/>
      </c>
      <c r="X323" s="146" t="str">
        <f ca="1">IFERROR(VLOOKUP(C323,'Шаг1.Выбор плиты'!C:S,10,0),"")</f>
        <v/>
      </c>
      <c r="Y323" s="147" t="str">
        <f t="shared" ref="Y323:Y386" ca="1" si="28">IF(C323="","",$Z$7)</f>
        <v/>
      </c>
      <c r="AD323" s="147" t="str">
        <f t="shared" ca="1" si="26"/>
        <v/>
      </c>
      <c r="AE323" s="147" t="str">
        <f t="shared" ref="AE323:AE386" ca="1" si="29">IF(B323="","","kwadrat"&amp;(V323*1))</f>
        <v/>
      </c>
      <c r="AF323" s="25"/>
      <c r="AH323" s="147" t="str">
        <f ca="1">IF(C323="","",VLOOKUP(C323,'Шаг1.Выбор плиты'!C:Q,7,0))</f>
        <v/>
      </c>
      <c r="AI323" s="147" t="str">
        <f t="shared" ca="1" si="27"/>
        <v/>
      </c>
    </row>
    <row r="324" spans="1:35" x14ac:dyDescent="0.2">
      <c r="A324" s="151" t="str">
        <f ca="1">IF(C324="","",MAX($A$1:OFFSET(C324,-1,0))+1)</f>
        <v/>
      </c>
      <c r="B324" s="151" t="str">
        <f ca="1">IFERROR(IFERROR(IFERROR("Шаг2.Бланк заказа NEW №"&amp;VLOOKUP(A323+1,CHOOSE({1,2},'Шаг2.Бланк заказа NEW'!$B$19:$B$201,'Шаг2.Бланк заказа NEW'!$A$19:$A$201),1,0),
"Бланк OLD 0.8 04 №"&amp;VLOOKUP(A323+1-COUNT('Шаг2.Бланк заказа NEW'!$B$19:$B$201),CHOOSE({1,2},'Бланк OLD 0.8 04'!$B$18:$B$200,'Бланк OLD 0.8 04'!$A$18:$A$200),1,0)),
"Бланк OLD 2.0 04 №"&amp;VLOOKUP(A323+1-COUNT('Шаг2.Бланк заказа NEW'!$B$19:$B$201)-COUNT('Бланк OLD 0.8 04'!$B$18:$B$200),CHOOSE({1,2},'Бланк OLD 2.0 04 '!$B$18:$B$200,'Бланк OLD 2.0 04 '!$A$18:$A$200),1,0)),"")</f>
        <v/>
      </c>
      <c r="C324" s="152" t="str">
        <f ca="1">IFERROR(IFERROR(IFERROR(VLOOKUP(A323+1,CHOOSE({1,2},'Шаг2.Бланк заказа NEW'!$B$19:$B$201,'Шаг2.Бланк заказа NEW'!$A$19:$A$201),2,0),
VLOOKUP(A323+1-COUNT('Шаг2.Бланк заказа NEW'!$B$19:$B$201),CHOOSE({1,2},'Бланк OLD 0.8 04'!$B$18:$B$200,'Бланк OLD 0.8 04'!$A$18:$A$200),2,0)),
VLOOKUP(A323+1-COUNT('Шаг2.Бланк заказа NEW'!$B$19:$B$201)-COUNT('Бланк OLD 0.8 04'!$B$18:$B$200),CHOOSE({1,2},'Бланк OLD 2.0 04 '!$B$18:$B$200,'Бланк OLD 2.0 04 '!$A$18:$A$200),2,0)),"")</f>
        <v/>
      </c>
      <c r="D324" s="150" t="str">
        <f ca="1">IFERROR(VLOOKUP(C324,'Шаг1.Выбор плиты'!C:G,5,0),"")</f>
        <v/>
      </c>
      <c r="E324" s="147" t="str">
        <f ca="1">IFERROR(IFERROR(IF(VLOOKUP($A324,'Шаг2.Бланк заказа NEW'!$B$17:$N$201,2,0)="","",VLOOKUP($A324,'Шаг2.Бланк заказа NEW'!$B$17:$N$201,2,0)),
IF(VLOOKUP($A324-COUNT('Шаг2.Бланк заказа NEW'!$B$19:$B$201),'Бланк OLD 0.8 04'!$B$12:$K$200,2,0)="","",VLOOKUP($A324-COUNT('Шаг2.Бланк заказа NEW'!$B$19:$B$201),'Бланк OLD 0.8 04'!$B$12:$K$200,2,0))),
IF(VLOOKUP($A324-COUNT('Шаг2.Бланк заказа NEW'!$B$19:$B$201)-COUNT('Бланк OLD 0.8 04'!$B$18:$B$200),'Бланк OLD 2.0 04 '!$B$16:$K$200,2,0)="","",VLOOKUP($A324-COUNT('Шаг2.Бланк заказа NEW'!$B$19:$B$201)-COUNT('Бланк OLD 0.8 04'!$B$18:$B$200),'Бланк OLD 2.0 04 '!$B$16:$K$200,2,0)))</f>
        <v/>
      </c>
      <c r="F324" s="147" t="str">
        <f ca="1">IFERROR(IFERROR(IF(VLOOKUP($A324,'Шаг2.Бланк заказа NEW'!$B$17:$N$201,3,0)="","",VLOOKUP($A324,'Шаг2.Бланк заказа NEW'!$B$17:$N$201,3,0)),
IF(VLOOKUP($A324-COUNT('Шаг2.Бланк заказа NEW'!$B$19:$B$201),'Бланк OLD 0.8 04'!$B$12:$K$200,3,0)="","",VLOOKUP($A324-COUNT('Шаг2.Бланк заказа NEW'!$B$19:$B$201),'Бланк OLD 0.8 04'!$B$12:$K$200,3,0))),
IF(VLOOKUP($A324-COUNT('Шаг2.Бланк заказа NEW'!$B$19:$B$201)-COUNT('Бланк OLD 0.8 04'!$B$18:$B$200),'Бланк OLD 2.0 04 '!$B$16:$K$200,3,0)="","",VLOOKUP($A324-COUNT('Шаг2.Бланк заказа NEW'!$B$19:$B$201)-COUNT('Бланк OLD 0.8 04'!$B$18:$B$200),'Бланк OLD 2.0 04 '!$B$16:$K$200,3,0)))</f>
        <v/>
      </c>
      <c r="G324" s="176" t="str">
        <f ca="1">IF(IF(R324="","",IF(R324=1,SUMIFS('Шаг1.Выбор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плиты'!C:Q,12,0)),1))))))=0,
R324,
IF(R324="","",IF(R324=1,SUMIFS('Шаг1.Выбор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плиты'!N:N,R324,'Шаг1.Выбор плиты'!M:M,SMALL(INDIRECT("мм"&amp;VLOOKUP(C324,'Шаг1.Выбор плиты'!C:Q,12,0)),1)))))))</f>
        <v/>
      </c>
      <c r="H324" s="177" t="str">
        <f ca="1">IF(IF(S324="","",IF(S324=1,SUMIFS('Шаг1.Выбор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плиты'!C:Q,12,0)),1))))))=0,
S324,
IF(S324="","",IF(S324=1,SUMIFS('Шаг1.Выбор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плиты'!N:N,S324,'Шаг1.Выбор плиты'!M:M,SMALL(INDIRECT("мм"&amp;VLOOKUP(C324,'Шаг1.Выбор плиты'!C:Q,12,0)),1)))))))</f>
        <v/>
      </c>
      <c r="I324" s="147" t="str">
        <f ca="1">IFERROR(IFERROR(IF(VLOOKUP($A324,'Шаг2.Бланк заказа NEW'!$B$17:$N$201,6,0)="","",VLOOKUP($A324,'Шаг2.Бланк заказа NEW'!$B$17:$N$201,6,0)),
IF(VLOOKUP($A324-COUNT('Шаг2.Бланк заказа NEW'!$B$19:$B$201),'Бланк OLD 0.8 04'!$B$12:$K$200,6,0)="","",VLOOKUP($A324-COUNT('Шаг2.Бланк заказа NEW'!$B$19:$B$201),'Бланк OLD 0.8 04'!$B$12:$K$200,6,0))),
IF(VLOOKUP($A324-COUNT('Шаг2.Бланк заказа NEW'!$B$19:$B$201)-COUNT('Бланк OLD 0.8 04'!$B$18:$B$200),'Бланк OLD 2.0 04 '!$B$16:$K$200,6,0)="","",VLOOKUP($A324-COUNT('Шаг2.Бланк заказа NEW'!$B$19:$B$201)-COUNT('Бланк OLD 0.8 04'!$B$18:$B$200),'Бланк OLD 2.0 04 '!$B$16:$K$200,6,0)))</f>
        <v/>
      </c>
      <c r="J324" s="177" t="str">
        <f ca="1">IF(IF(T324="","",IF(T324=1,SUMIFS('Шаг1.Выбор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плиты'!C:Q,12,0)),1))))))=0,
T324,
IF(T324="","",IF(T324=1,SUMIFS('Шаг1.Выбор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плиты'!N:N,T324,'Шаг1.Выбор плиты'!M:M,SMALL(INDIRECT("мм"&amp;VLOOKUP(C324,'Шаг1.Выбор плиты'!C:Q,12,0)),1)))))))</f>
        <v/>
      </c>
      <c r="K324" s="177" t="str">
        <f ca="1">IF(IF(U324="","",IF(U324=1,SUMIFS('Шаг1.Выбор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плиты'!C:Q,12,0)),1))))))=0,
U324,
IF(U324="","",IF(U324=1,SUMIFS('Шаг1.Выбор плиты'!$G:$G,'Шаг1.Выбор плиты'!J:J,"*"&amp;RIGHT(VLOOKUP(C324,'Шаг1.Выбор плиты'!C:Q,8,0),4),'Шаг1.Выбор плиты'!L:L,IF(MID(C324,1,6)="ЛДСП P","TM"&amp;MID(VLOOKUP(C324,'Шаг1.Выбор плиты'!C:Q,10,0),3,2),MID(VLOOKUP(C324,'Шаг1.Выбор плиты'!C:Q,10,0),1,2)),
'Шаг1.Выбор плиты'!N:N,1),IF(SUMIFS('Шаг1.Выбор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плиты'!C:Q,12,0)),1))=0,
IF(SUMIFS('Шаг1.Выбор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плиты'!C:Q,12,0)),2))=0,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плиты'!C:Q,12,0)),3)),
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плиты'!C:Q,12,0)),2))),
(SUMIFS('Шаг1.Выбор плиты'!$G:$G,'Шаг1.Выбор плиты'!J:J,"*"&amp;RIGHT(VLOOKUP(C324,'Шаг1.Выбор плиты'!C:Q,8,0),4),'Шаг1.Выбор плиты'!L:L,VLOOKUP(C324,'Шаг1.Выбор плиты'!C:Q,10,0),'Шаг1.Выбор плиты'!N:N,U324,'Шаг1.Выбор плиты'!M:M,SMALL(INDIRECT("мм"&amp;VLOOKUP(C324,'Шаг1.Выбор плиты'!C:Q,12,0)),1)))))))</f>
        <v/>
      </c>
      <c r="L324" s="147" t="str">
        <f ca="1">IFERROR(IFERROR(IF(VLOOKUP($A324,'Шаг2.Бланк заказа NEW'!$B$17:$N$201,9,0)="","",VLOOKUP($A324,'Шаг2.Бланк заказа NEW'!$B$17:$N$201,9,0)),
IF(VLOOKUP($A324-COUNT('Шаг2.Бланк заказа NEW'!$B$19:$B$201),'Бланк OLD 0.8 04'!$B$12:$K$200,9,0)="","",VLOOKUP($A324-COUNT('Шаг2.Бланк заказа NEW'!$B$19:$B$201),'Бланк OLD 0.8 04'!$B$12:$K$200,9,0))),
IF(VLOOKUP($A324-COUNT('Шаг2.Бланк заказа NEW'!$B$19:$B$201)-COUNT('Бланк OLD 0.8 04'!$B$18:$B$200),'Бланк OLD 2.0 04 '!$B$16:$K$200,9,0)="","",VLOOKUP($A324-COUNT('Шаг2.Бланк заказа NEW'!$B$19:$B$201)-COUNT('Бланк OLD 0.8 04'!$B$18:$B$200),'Бланк OLD 2.0 04 '!$B$16:$K$200,9,0)))</f>
        <v/>
      </c>
      <c r="M324" s="154" t="str">
        <f t="shared" ca="1" si="25"/>
        <v/>
      </c>
      <c r="N324" s="153" t="str">
        <f ca="1">IFERROR(IF(VLOOKUP($A324,'Шаг2.Бланк заказа NEW'!$B$17:$N$201,11,0)="","",VLOOKUP($A324,'Шаг2.Бланк заказа NEW'!$B$17:$N$201,11,0)),
"Нет")</f>
        <v/>
      </c>
      <c r="O324" s="147" t="str">
        <f ca="1">IFERROR(IF(VLOOKUP($A324,'Шаг2.Бланк заказа NEW'!$B$17:$N$201,11,0)="","",VLOOKUP($A324,'Шаг2.Бланк заказа NEW'!$B$17:$N$201,12,0)),
"Нет")</f>
        <v/>
      </c>
      <c r="P324" s="153" t="str">
        <f ca="1">IFERROR(IF(VLOOKUP($A324,'Шаг2.Бланк заказа NEW'!$B$17:$N$201,13,0)="","",VLOOKUP($A324,'Шаг2.Бланк заказа NEW'!$B$17:$N$201,13,0)),
"Нет")</f>
        <v/>
      </c>
      <c r="Q324" s="147" t="str">
        <f ca="1">IFERROR(IF(VLOOKUP($A324,'Шаг2.Бланк заказа NEW'!$B$17:$O$201,14,0)="","",VLOOKUP($A324,'Шаг2.Бланк заказа NEW'!$B$17:$O$201,14,0)),"")</f>
        <v/>
      </c>
      <c r="R324" s="147" t="str">
        <f ca="1">IFERROR(IFERROR(IF(VLOOKUP($A324,'Шаг2.Бланк заказа NEW'!$B$17:$N$201,4,0)="","",VLOOKUP($A324,'Шаг2.Бланк заказа NEW'!$B$17:$N$201,4,0)),
IF(VLOOKUP($A324-COUNT('Шаг2.Бланк заказа NEW'!$B$19:$B$201),'Бланк OLD 0.8 04'!$B$12:$K$200,4,0)&gt;0,0.8,
IF(VLOOKUP($A324-COUNT('Шаг2.Бланк заказа NEW'!$B$19:$B$201),'Бланк OLD 0.8 04'!$B$12:$K$200,5,0)&gt;0,0.4,""))),
IF(VLOOKUP($A324-COUNT('Шаг2.Бланк заказа NEW'!$B$19:$B$201)-COUNT('Бланк OLD 0.8 04'!$B$18:$B$200),'Бланк OLD 2.0 04 '!$B$16:$K$200,4,0)&gt;0,2,IF(VLOOKUP($A324-COUNT('Шаг2.Бланк заказа NEW'!$B$19:$B$201)-COUNT('Бланк OLD 0.8 04'!$B$18:$B$200),'Бланк OLD 2.0 04 '!$B$16:$K$200,5,0)&gt;0,0.4,"")))</f>
        <v/>
      </c>
      <c r="S324" s="147" t="str">
        <f ca="1">IFERROR(IFERROR(IF(VLOOKUP($A324,'Шаг2.Бланк заказа NEW'!$B$17:$N$201,5,0)="","",VLOOKUP($A324,'Шаг2.Бланк заказа NEW'!$B$17:$N$201,5,0)),
IF(VLOOKUP($A324-COUNT('Шаг2.Бланк заказа NEW'!$B$19:$B$201),'Бланк OLD 0.8 04'!$B$12:$K$200,4,0)&gt;1,0.8,
IF(VLOOKUP($A324-COUNT('Шаг2.Бланк заказа NEW'!$B$19:$B$201),'Бланк OLD 0.8 04'!$B$12:$K$200,5,0)&gt;1,0.4,
IF(AND(VLOOKUP($A324-COUNT('Шаг2.Бланк заказа NEW'!$B$19:$B$201),'Бланк OLD 0.8 04'!$B$12:$K$200,4,0)&gt;0,VLOOKUP($A324-COUNT('Шаг2.Бланк заказа NEW'!$B$19:$B$201),'Бланк OLD 0.8 04'!$B$12:$K$200,5,0)&gt;0),0.4,"")))),
IF(VLOOKUP($A324-COUNT('Шаг2.Бланк заказа NEW'!$B$19:$B$201)-COUNT('Бланк OLD 0.8 04'!$B$18:$B$200),'Бланк OLD 2.0 04 '!$B$16:$K$200,4,0)&gt;1,2,
IF(VLOOKUP($A324-COUNT('Шаг2.Бланк заказа NEW'!$B$19:$B$201)-COUNT('Бланк OLD 0.8 04'!$B$18:$B$200),'Бланк OLD 2.0 04 '!$B$16:$K$200,5,0)&gt;1,0.4,IF(AND(VLOOKUP($A324-COUNT('Шаг2.Бланк заказа NEW'!$B$19:$B$201)-COUNT('Бланк OLD 0.8 04'!$B$18:$B$200),'Бланк OLD 2.0 04 '!$B$16:$K$200,4,0)&gt;0,VLOOKUP($A324-COUNT('Шаг2.Бланк заказа NEW'!$B$19:$B$201)-COUNT('Бланк OLD 0.8 04'!$B$18:$B$200),'Бланк OLD 2.0 04 '!$B$16:$K$200,5,0)&gt;0),0.4,""))))</f>
        <v/>
      </c>
      <c r="T324" s="147" t="str">
        <f ca="1">IFERROR(IFERROR(IF(VLOOKUP($A324,'Шаг2.Бланк заказа NEW'!$B$17:$N$201,7,0)="","",VLOOKUP($A324,'Шаг2.Бланк заказа NEW'!$B$17:$N$201,7,0)),
IF(VLOOKUP($A324-COUNT('Шаг2.Бланк заказа NEW'!$B$19:$B$201),'Бланк OLD 0.8 04'!$B$12:$K$200,7,0)&gt;0,0.8,
IF(VLOOKUP($A324-COUNT('Шаг2.Бланк заказа NEW'!$B$19:$B$201),'Бланк OLD 0.8 04'!$B$12:$K$200,8,0)&gt;0,0.4,""))),
IF(VLOOKUP($A324-COUNT('Шаг2.Бланк заказа NEW'!$B$19:$B$201)-COUNT('Бланк OLD 0.8 04'!$B$18:$B$200),'Бланк OLD 2.0 04 '!$B$16:$K$200,7,0)&gt;0,2,IF(VLOOKUP($A324-COUNT('Шаг2.Бланк заказа NEW'!$B$19:$B$201)-COUNT('Бланк OLD 0.8 04'!$B$18:$B$200),'Бланк OLD 2.0 04 '!$B$16:$K$200,8,0)&gt;0,0.4,"")))</f>
        <v/>
      </c>
      <c r="U324" s="147" t="str">
        <f ca="1">IFERROR(IFERROR(IF(VLOOKUP($A324,'Шаг2.Бланк заказа NEW'!$B$17:$N$201,8,0)="","",VLOOKUP($A324,'Шаг2.Бланк заказа NEW'!$B$17:$N$201,8,0)),
IF(VLOOKUP($A324-COUNT('Шаг2.Бланк заказа NEW'!$B$19:$B$201),'Бланк OLD 0.8 04'!$B$12:$K$200,7,0)&gt;1,0.8,
IF(VLOOKUP($A324-COUNT('Шаг2.Бланк заказа NEW'!$B$19:$B$201),'Бланк OLD 0.8 04'!$B$12:$K$200,8,0)&gt;1,0.4,
IF(AND(VLOOKUP($A324-COUNT('Шаг2.Бланк заказа NEW'!$B$19:$B$201),'Бланк OLD 0.8 04'!$B$12:$K$200,7,0)&gt;0,VLOOKUP($A324-COUNT('Шаг2.Бланк заказа NEW'!$B$19:$B$201),'Бланк OLD 0.8 04'!$B$12:$K$200,8,0)&gt;0),0.4,"")))),
IF(VLOOKUP($A324-COUNT('Шаг2.Бланк заказа NEW'!$B$19:$B$201)-COUNT('Бланк OLD 0.8 04'!$B$18:$B$200),'Бланк OLD 2.0 04 '!$B$16:$K$200,7,0)&gt;1,2,
IF(VLOOKUP($A324-COUNT('Шаг2.Бланк заказа NEW'!$B$19:$B$201)-COUNT('Бланк OLD 0.8 04'!$B$18:$B$200),'Бланк OLD 2.0 04 '!$B$16:$K$200,8,0)&gt;1,0.4,
IF(AND(VLOOKUP($A324-COUNT('Шаг2.Бланк заказа NEW'!$B$19:$B$201)-COUNT('Бланк OLD 0.8 04'!$B$18:$B$200),'Бланк OLD 2.0 04 '!$B$16:$K$200,7,0)&gt;0,VLOOKUP($A324-COUNT('Шаг2.Бланк заказа NEW'!$B$19:$B$201)-COUNT('Бланк OLD 0.8 04'!$B$18:$B$200),'Бланк OLD 2.0 04 '!$B$16:$K$200,8,0)&gt;0),0.4,""))))</f>
        <v/>
      </c>
      <c r="V324" s="146" t="str">
        <f ca="1">IFERROR(VLOOKUP(C324,'Шаг1.Выбор плиты'!C:S,12,0),"")</f>
        <v/>
      </c>
      <c r="W324" s="146" t="str">
        <f ca="1">IFERROR(VLOOKUP(C324,'Шаг1.Выбор плиты'!C:S,8,0),"")</f>
        <v/>
      </c>
      <c r="X324" s="146" t="str">
        <f ca="1">IFERROR(VLOOKUP(C324,'Шаг1.Выбор плиты'!C:S,10,0),"")</f>
        <v/>
      </c>
      <c r="Y324" s="147" t="str">
        <f t="shared" ca="1" si="28"/>
        <v/>
      </c>
      <c r="AD324" s="147" t="str">
        <f t="shared" ca="1" si="26"/>
        <v/>
      </c>
      <c r="AE324" s="147" t="str">
        <f t="shared" ca="1" si="29"/>
        <v/>
      </c>
      <c r="AF324" s="25"/>
      <c r="AH324" s="147" t="str">
        <f ca="1">IF(C324="","",VLOOKUP(C324,'Шаг1.Выбор плиты'!C:Q,7,0))</f>
        <v/>
      </c>
      <c r="AI324" s="147" t="str">
        <f t="shared" ca="1" si="27"/>
        <v/>
      </c>
    </row>
    <row r="325" spans="1:35" x14ac:dyDescent="0.2">
      <c r="A325" s="151" t="str">
        <f ca="1">IF(C325="","",MAX($A$1:OFFSET(C325,-1,0))+1)</f>
        <v/>
      </c>
      <c r="B325" s="151" t="str">
        <f ca="1">IFERROR(IFERROR(IFERROR("Шаг2.Бланк заказа NEW №"&amp;VLOOKUP(A324+1,CHOOSE({1,2},'Шаг2.Бланк заказа NEW'!$B$19:$B$201,'Шаг2.Бланк заказа NEW'!$A$19:$A$201),1,0),
"Бланк OLD 0.8 04 №"&amp;VLOOKUP(A324+1-COUNT('Шаг2.Бланк заказа NEW'!$B$19:$B$201),CHOOSE({1,2},'Бланк OLD 0.8 04'!$B$18:$B$200,'Бланк OLD 0.8 04'!$A$18:$A$200),1,0)),
"Бланк OLD 2.0 04 №"&amp;VLOOKUP(A324+1-COUNT('Шаг2.Бланк заказа NEW'!$B$19:$B$201)-COUNT('Бланк OLD 0.8 04'!$B$18:$B$200),CHOOSE({1,2},'Бланк OLD 2.0 04 '!$B$18:$B$200,'Бланк OLD 2.0 04 '!$A$18:$A$200),1,0)),"")</f>
        <v/>
      </c>
      <c r="C325" s="152" t="str">
        <f ca="1">IFERROR(IFERROR(IFERROR(VLOOKUP(A324+1,CHOOSE({1,2},'Шаг2.Бланк заказа NEW'!$B$19:$B$201,'Шаг2.Бланк заказа NEW'!$A$19:$A$201),2,0),
VLOOKUP(A324+1-COUNT('Шаг2.Бланк заказа NEW'!$B$19:$B$201),CHOOSE({1,2},'Бланк OLD 0.8 04'!$B$18:$B$200,'Бланк OLD 0.8 04'!$A$18:$A$200),2,0)),
VLOOKUP(A324+1-COUNT('Шаг2.Бланк заказа NEW'!$B$19:$B$201)-COUNT('Бланк OLD 0.8 04'!$B$18:$B$200),CHOOSE({1,2},'Бланк OLD 2.0 04 '!$B$18:$B$200,'Бланк OLD 2.0 04 '!$A$18:$A$200),2,0)),"")</f>
        <v/>
      </c>
      <c r="D325" s="150" t="str">
        <f ca="1">IFERROR(VLOOKUP(C325,'Шаг1.Выбор плиты'!C:G,5,0),"")</f>
        <v/>
      </c>
      <c r="E325" s="147" t="str">
        <f ca="1">IFERROR(IFERROR(IF(VLOOKUP($A325,'Шаг2.Бланк заказа NEW'!$B$17:$N$201,2,0)="","",VLOOKUP($A325,'Шаг2.Бланк заказа NEW'!$B$17:$N$201,2,0)),
IF(VLOOKUP($A325-COUNT('Шаг2.Бланк заказа NEW'!$B$19:$B$201),'Бланк OLD 0.8 04'!$B$12:$K$200,2,0)="","",VLOOKUP($A325-COUNT('Шаг2.Бланк заказа NEW'!$B$19:$B$201),'Бланк OLD 0.8 04'!$B$12:$K$200,2,0))),
IF(VLOOKUP($A325-COUNT('Шаг2.Бланк заказа NEW'!$B$19:$B$201)-COUNT('Бланк OLD 0.8 04'!$B$18:$B$200),'Бланк OLD 2.0 04 '!$B$16:$K$200,2,0)="","",VLOOKUP($A325-COUNT('Шаг2.Бланк заказа NEW'!$B$19:$B$201)-COUNT('Бланк OLD 0.8 04'!$B$18:$B$200),'Бланк OLD 2.0 04 '!$B$16:$K$200,2,0)))</f>
        <v/>
      </c>
      <c r="F325" s="147" t="str">
        <f ca="1">IFERROR(IFERROR(IF(VLOOKUP($A325,'Шаг2.Бланк заказа NEW'!$B$17:$N$201,3,0)="","",VLOOKUP($A325,'Шаг2.Бланк заказа NEW'!$B$17:$N$201,3,0)),
IF(VLOOKUP($A325-COUNT('Шаг2.Бланк заказа NEW'!$B$19:$B$201),'Бланк OLD 0.8 04'!$B$12:$K$200,3,0)="","",VLOOKUP($A325-COUNT('Шаг2.Бланк заказа NEW'!$B$19:$B$201),'Бланк OLD 0.8 04'!$B$12:$K$200,3,0))),
IF(VLOOKUP($A325-COUNT('Шаг2.Бланк заказа NEW'!$B$19:$B$201)-COUNT('Бланк OLD 0.8 04'!$B$18:$B$200),'Бланк OLD 2.0 04 '!$B$16:$K$200,3,0)="","",VLOOKUP($A325-COUNT('Шаг2.Бланк заказа NEW'!$B$19:$B$201)-COUNT('Бланк OLD 0.8 04'!$B$18:$B$200),'Бланк OLD 2.0 04 '!$B$16:$K$200,3,0)))</f>
        <v/>
      </c>
      <c r="G325" s="176" t="str">
        <f ca="1">IF(IF(R325="","",IF(R325=1,SUMIFS('Шаг1.Выбор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плиты'!C:Q,12,0)),1))))))=0,
R325,
IF(R325="","",IF(R325=1,SUMIFS('Шаг1.Выбор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плиты'!N:N,R325,'Шаг1.Выбор плиты'!M:M,SMALL(INDIRECT("мм"&amp;VLOOKUP(C325,'Шаг1.Выбор плиты'!C:Q,12,0)),1)))))))</f>
        <v/>
      </c>
      <c r="H325" s="177" t="str">
        <f ca="1">IF(IF(S325="","",IF(S325=1,SUMIFS('Шаг1.Выбор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плиты'!C:Q,12,0)),1))))))=0,
S325,
IF(S325="","",IF(S325=1,SUMIFS('Шаг1.Выбор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плиты'!N:N,S325,'Шаг1.Выбор плиты'!M:M,SMALL(INDIRECT("мм"&amp;VLOOKUP(C325,'Шаг1.Выбор плиты'!C:Q,12,0)),1)))))))</f>
        <v/>
      </c>
      <c r="I325" s="147" t="str">
        <f ca="1">IFERROR(IFERROR(IF(VLOOKUP($A325,'Шаг2.Бланк заказа NEW'!$B$17:$N$201,6,0)="","",VLOOKUP($A325,'Шаг2.Бланк заказа NEW'!$B$17:$N$201,6,0)),
IF(VLOOKUP($A325-COUNT('Шаг2.Бланк заказа NEW'!$B$19:$B$201),'Бланк OLD 0.8 04'!$B$12:$K$200,6,0)="","",VLOOKUP($A325-COUNT('Шаг2.Бланк заказа NEW'!$B$19:$B$201),'Бланк OLD 0.8 04'!$B$12:$K$200,6,0))),
IF(VLOOKUP($A325-COUNT('Шаг2.Бланк заказа NEW'!$B$19:$B$201)-COUNT('Бланк OLD 0.8 04'!$B$18:$B$200),'Бланк OLD 2.0 04 '!$B$16:$K$200,6,0)="","",VLOOKUP($A325-COUNT('Шаг2.Бланк заказа NEW'!$B$19:$B$201)-COUNT('Бланк OLD 0.8 04'!$B$18:$B$200),'Бланк OLD 2.0 04 '!$B$16:$K$200,6,0)))</f>
        <v/>
      </c>
      <c r="J325" s="177" t="str">
        <f ca="1">IF(IF(T325="","",IF(T325=1,SUMIFS('Шаг1.Выбор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плиты'!C:Q,12,0)),1))))))=0,
T325,
IF(T325="","",IF(T325=1,SUMIFS('Шаг1.Выбор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плиты'!N:N,T325,'Шаг1.Выбор плиты'!M:M,SMALL(INDIRECT("мм"&amp;VLOOKUP(C325,'Шаг1.Выбор плиты'!C:Q,12,0)),1)))))))</f>
        <v/>
      </c>
      <c r="K325" s="177" t="str">
        <f ca="1">IF(IF(U325="","",IF(U325=1,SUMIFS('Шаг1.Выбор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плиты'!C:Q,12,0)),1))))))=0,
U325,
IF(U325="","",IF(U325=1,SUMIFS('Шаг1.Выбор плиты'!$G:$G,'Шаг1.Выбор плиты'!J:J,"*"&amp;RIGHT(VLOOKUP(C325,'Шаг1.Выбор плиты'!C:Q,8,0),4),'Шаг1.Выбор плиты'!L:L,IF(MID(C325,1,6)="ЛДСП P","TM"&amp;MID(VLOOKUP(C325,'Шаг1.Выбор плиты'!C:Q,10,0),3,2),MID(VLOOKUP(C325,'Шаг1.Выбор плиты'!C:Q,10,0),1,2)),
'Шаг1.Выбор плиты'!N:N,1),IF(SUMIFS('Шаг1.Выбор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плиты'!C:Q,12,0)),1))=0,
IF(SUMIFS('Шаг1.Выбор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плиты'!C:Q,12,0)),2))=0,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плиты'!C:Q,12,0)),3)),
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плиты'!C:Q,12,0)),2))),
(SUMIFS('Шаг1.Выбор плиты'!$G:$G,'Шаг1.Выбор плиты'!J:J,"*"&amp;RIGHT(VLOOKUP(C325,'Шаг1.Выбор плиты'!C:Q,8,0),4),'Шаг1.Выбор плиты'!L:L,VLOOKUP(C325,'Шаг1.Выбор плиты'!C:Q,10,0),'Шаг1.Выбор плиты'!N:N,U325,'Шаг1.Выбор плиты'!M:M,SMALL(INDIRECT("мм"&amp;VLOOKUP(C325,'Шаг1.Выбор плиты'!C:Q,12,0)),1)))))))</f>
        <v/>
      </c>
      <c r="L325" s="147" t="str">
        <f ca="1">IFERROR(IFERROR(IF(VLOOKUP($A325,'Шаг2.Бланк заказа NEW'!$B$17:$N$201,9,0)="","",VLOOKUP($A325,'Шаг2.Бланк заказа NEW'!$B$17:$N$201,9,0)),
IF(VLOOKUP($A325-COUNT('Шаг2.Бланк заказа NEW'!$B$19:$B$201),'Бланк OLD 0.8 04'!$B$12:$K$200,9,0)="","",VLOOKUP($A325-COUNT('Шаг2.Бланк заказа NEW'!$B$19:$B$201),'Бланк OLD 0.8 04'!$B$12:$K$200,9,0))),
IF(VLOOKUP($A325-COUNT('Шаг2.Бланк заказа NEW'!$B$19:$B$201)-COUNT('Бланк OLD 0.8 04'!$B$18:$B$200),'Бланк OLD 2.0 04 '!$B$16:$K$200,9,0)="","",VLOOKUP($A325-COUNT('Шаг2.Бланк заказа NEW'!$B$19:$B$201)-COUNT('Бланк OLD 0.8 04'!$B$18:$B$200),'Бланк OLD 2.0 04 '!$B$16:$K$200,9,0)))</f>
        <v/>
      </c>
      <c r="M325" s="154" t="str">
        <f t="shared" ca="1" si="25"/>
        <v/>
      </c>
      <c r="N325" s="153" t="str">
        <f ca="1">IFERROR(IF(VLOOKUP($A325,'Шаг2.Бланк заказа NEW'!$B$17:$N$201,11,0)="","",VLOOKUP($A325,'Шаг2.Бланк заказа NEW'!$B$17:$N$201,11,0)),
"Нет")</f>
        <v/>
      </c>
      <c r="O325" s="147" t="str">
        <f ca="1">IFERROR(IF(VLOOKUP($A325,'Шаг2.Бланк заказа NEW'!$B$17:$N$201,11,0)="","",VLOOKUP($A325,'Шаг2.Бланк заказа NEW'!$B$17:$N$201,12,0)),
"Нет")</f>
        <v/>
      </c>
      <c r="P325" s="153" t="str">
        <f ca="1">IFERROR(IF(VLOOKUP($A325,'Шаг2.Бланк заказа NEW'!$B$17:$N$201,13,0)="","",VLOOKUP($A325,'Шаг2.Бланк заказа NEW'!$B$17:$N$201,13,0)),
"Нет")</f>
        <v/>
      </c>
      <c r="Q325" s="147" t="str">
        <f ca="1">IFERROR(IF(VLOOKUP($A325,'Шаг2.Бланк заказа NEW'!$B$17:$O$201,14,0)="","",VLOOKUP($A325,'Шаг2.Бланк заказа NEW'!$B$17:$O$201,14,0)),"")</f>
        <v/>
      </c>
      <c r="R325" s="147" t="str">
        <f ca="1">IFERROR(IFERROR(IF(VLOOKUP($A325,'Шаг2.Бланк заказа NEW'!$B$17:$N$201,4,0)="","",VLOOKUP($A325,'Шаг2.Бланк заказа NEW'!$B$17:$N$201,4,0)),
IF(VLOOKUP($A325-COUNT('Шаг2.Бланк заказа NEW'!$B$19:$B$201),'Бланк OLD 0.8 04'!$B$12:$K$200,4,0)&gt;0,0.8,
IF(VLOOKUP($A325-COUNT('Шаг2.Бланк заказа NEW'!$B$19:$B$201),'Бланк OLD 0.8 04'!$B$12:$K$200,5,0)&gt;0,0.4,""))),
IF(VLOOKUP($A325-COUNT('Шаг2.Бланк заказа NEW'!$B$19:$B$201)-COUNT('Бланк OLD 0.8 04'!$B$18:$B$200),'Бланк OLD 2.0 04 '!$B$16:$K$200,4,0)&gt;0,2,IF(VLOOKUP($A325-COUNT('Шаг2.Бланк заказа NEW'!$B$19:$B$201)-COUNT('Бланк OLD 0.8 04'!$B$18:$B$200),'Бланк OLD 2.0 04 '!$B$16:$K$200,5,0)&gt;0,0.4,"")))</f>
        <v/>
      </c>
      <c r="S325" s="147" t="str">
        <f ca="1">IFERROR(IFERROR(IF(VLOOKUP($A325,'Шаг2.Бланк заказа NEW'!$B$17:$N$201,5,0)="","",VLOOKUP($A325,'Шаг2.Бланк заказа NEW'!$B$17:$N$201,5,0)),
IF(VLOOKUP($A325-COUNT('Шаг2.Бланк заказа NEW'!$B$19:$B$201),'Бланк OLD 0.8 04'!$B$12:$K$200,4,0)&gt;1,0.8,
IF(VLOOKUP($A325-COUNT('Шаг2.Бланк заказа NEW'!$B$19:$B$201),'Бланк OLD 0.8 04'!$B$12:$K$200,5,0)&gt;1,0.4,
IF(AND(VLOOKUP($A325-COUNT('Шаг2.Бланк заказа NEW'!$B$19:$B$201),'Бланк OLD 0.8 04'!$B$12:$K$200,4,0)&gt;0,VLOOKUP($A325-COUNT('Шаг2.Бланк заказа NEW'!$B$19:$B$201),'Бланк OLD 0.8 04'!$B$12:$K$200,5,0)&gt;0),0.4,"")))),
IF(VLOOKUP($A325-COUNT('Шаг2.Бланк заказа NEW'!$B$19:$B$201)-COUNT('Бланк OLD 0.8 04'!$B$18:$B$200),'Бланк OLD 2.0 04 '!$B$16:$K$200,4,0)&gt;1,2,
IF(VLOOKUP($A325-COUNT('Шаг2.Бланк заказа NEW'!$B$19:$B$201)-COUNT('Бланк OLD 0.8 04'!$B$18:$B$200),'Бланк OLD 2.0 04 '!$B$16:$K$200,5,0)&gt;1,0.4,IF(AND(VLOOKUP($A325-COUNT('Шаг2.Бланк заказа NEW'!$B$19:$B$201)-COUNT('Бланк OLD 0.8 04'!$B$18:$B$200),'Бланк OLD 2.0 04 '!$B$16:$K$200,4,0)&gt;0,VLOOKUP($A325-COUNT('Шаг2.Бланк заказа NEW'!$B$19:$B$201)-COUNT('Бланк OLD 0.8 04'!$B$18:$B$200),'Бланк OLD 2.0 04 '!$B$16:$K$200,5,0)&gt;0),0.4,""))))</f>
        <v/>
      </c>
      <c r="T325" s="147" t="str">
        <f ca="1">IFERROR(IFERROR(IF(VLOOKUP($A325,'Шаг2.Бланк заказа NEW'!$B$17:$N$201,7,0)="","",VLOOKUP($A325,'Шаг2.Бланк заказа NEW'!$B$17:$N$201,7,0)),
IF(VLOOKUP($A325-COUNT('Шаг2.Бланк заказа NEW'!$B$19:$B$201),'Бланк OLD 0.8 04'!$B$12:$K$200,7,0)&gt;0,0.8,
IF(VLOOKUP($A325-COUNT('Шаг2.Бланк заказа NEW'!$B$19:$B$201),'Бланк OLD 0.8 04'!$B$12:$K$200,8,0)&gt;0,0.4,""))),
IF(VLOOKUP($A325-COUNT('Шаг2.Бланк заказа NEW'!$B$19:$B$201)-COUNT('Бланк OLD 0.8 04'!$B$18:$B$200),'Бланк OLD 2.0 04 '!$B$16:$K$200,7,0)&gt;0,2,IF(VLOOKUP($A325-COUNT('Шаг2.Бланк заказа NEW'!$B$19:$B$201)-COUNT('Бланк OLD 0.8 04'!$B$18:$B$200),'Бланк OLD 2.0 04 '!$B$16:$K$200,8,0)&gt;0,0.4,"")))</f>
        <v/>
      </c>
      <c r="U325" s="147" t="str">
        <f ca="1">IFERROR(IFERROR(IF(VLOOKUP($A325,'Шаг2.Бланк заказа NEW'!$B$17:$N$201,8,0)="","",VLOOKUP($A325,'Шаг2.Бланк заказа NEW'!$B$17:$N$201,8,0)),
IF(VLOOKUP($A325-COUNT('Шаг2.Бланк заказа NEW'!$B$19:$B$201),'Бланк OLD 0.8 04'!$B$12:$K$200,7,0)&gt;1,0.8,
IF(VLOOKUP($A325-COUNT('Шаг2.Бланк заказа NEW'!$B$19:$B$201),'Бланк OLD 0.8 04'!$B$12:$K$200,8,0)&gt;1,0.4,
IF(AND(VLOOKUP($A325-COUNT('Шаг2.Бланк заказа NEW'!$B$19:$B$201),'Бланк OLD 0.8 04'!$B$12:$K$200,7,0)&gt;0,VLOOKUP($A325-COUNT('Шаг2.Бланк заказа NEW'!$B$19:$B$201),'Бланк OLD 0.8 04'!$B$12:$K$200,8,0)&gt;0),0.4,"")))),
IF(VLOOKUP($A325-COUNT('Шаг2.Бланк заказа NEW'!$B$19:$B$201)-COUNT('Бланк OLD 0.8 04'!$B$18:$B$200),'Бланк OLD 2.0 04 '!$B$16:$K$200,7,0)&gt;1,2,
IF(VLOOKUP($A325-COUNT('Шаг2.Бланк заказа NEW'!$B$19:$B$201)-COUNT('Бланк OLD 0.8 04'!$B$18:$B$200),'Бланк OLD 2.0 04 '!$B$16:$K$200,8,0)&gt;1,0.4,
IF(AND(VLOOKUP($A325-COUNT('Шаг2.Бланк заказа NEW'!$B$19:$B$201)-COUNT('Бланк OLD 0.8 04'!$B$18:$B$200),'Бланк OLD 2.0 04 '!$B$16:$K$200,7,0)&gt;0,VLOOKUP($A325-COUNT('Шаг2.Бланк заказа NEW'!$B$19:$B$201)-COUNT('Бланк OLD 0.8 04'!$B$18:$B$200),'Бланк OLD 2.0 04 '!$B$16:$K$200,8,0)&gt;0),0.4,""))))</f>
        <v/>
      </c>
      <c r="V325" s="146" t="str">
        <f ca="1">IFERROR(VLOOKUP(C325,'Шаг1.Выбор плиты'!C:S,12,0),"")</f>
        <v/>
      </c>
      <c r="W325" s="146" t="str">
        <f ca="1">IFERROR(VLOOKUP(C325,'Шаг1.Выбор плиты'!C:S,8,0),"")</f>
        <v/>
      </c>
      <c r="X325" s="146" t="str">
        <f ca="1">IFERROR(VLOOKUP(C325,'Шаг1.Выбор плиты'!C:S,10,0),"")</f>
        <v/>
      </c>
      <c r="Y325" s="147" t="str">
        <f t="shared" ca="1" si="28"/>
        <v/>
      </c>
      <c r="AD325" s="147" t="str">
        <f t="shared" ca="1" si="26"/>
        <v/>
      </c>
      <c r="AE325" s="147" t="str">
        <f t="shared" ca="1" si="29"/>
        <v/>
      </c>
      <c r="AF325" s="25"/>
      <c r="AH325" s="147" t="str">
        <f ca="1">IF(C325="","",VLOOKUP(C325,'Шаг1.Выбор плиты'!C:Q,7,0))</f>
        <v/>
      </c>
      <c r="AI325" s="147" t="str">
        <f t="shared" ca="1" si="27"/>
        <v/>
      </c>
    </row>
    <row r="326" spans="1:35" x14ac:dyDescent="0.2">
      <c r="A326" s="151" t="str">
        <f ca="1">IF(C326="","",MAX($A$1:OFFSET(C326,-1,0))+1)</f>
        <v/>
      </c>
      <c r="B326" s="151" t="str">
        <f ca="1">IFERROR(IFERROR(IFERROR("Шаг2.Бланк заказа NEW №"&amp;VLOOKUP(A325+1,CHOOSE({1,2},'Шаг2.Бланк заказа NEW'!$B$19:$B$201,'Шаг2.Бланк заказа NEW'!$A$19:$A$201),1,0),
"Бланк OLD 0.8 04 №"&amp;VLOOKUP(A325+1-COUNT('Шаг2.Бланк заказа NEW'!$B$19:$B$201),CHOOSE({1,2},'Бланк OLD 0.8 04'!$B$18:$B$200,'Бланк OLD 0.8 04'!$A$18:$A$200),1,0)),
"Бланк OLD 2.0 04 №"&amp;VLOOKUP(A325+1-COUNT('Шаг2.Бланк заказа NEW'!$B$19:$B$201)-COUNT('Бланк OLD 0.8 04'!$B$18:$B$200),CHOOSE({1,2},'Бланк OLD 2.0 04 '!$B$18:$B$200,'Бланк OLD 2.0 04 '!$A$18:$A$200),1,0)),"")</f>
        <v/>
      </c>
      <c r="C326" s="152" t="str">
        <f ca="1">IFERROR(IFERROR(IFERROR(VLOOKUP(A325+1,CHOOSE({1,2},'Шаг2.Бланк заказа NEW'!$B$19:$B$201,'Шаг2.Бланк заказа NEW'!$A$19:$A$201),2,0),
VLOOKUP(A325+1-COUNT('Шаг2.Бланк заказа NEW'!$B$19:$B$201),CHOOSE({1,2},'Бланк OLD 0.8 04'!$B$18:$B$200,'Бланк OLD 0.8 04'!$A$18:$A$200),2,0)),
VLOOKUP(A325+1-COUNT('Шаг2.Бланк заказа NEW'!$B$19:$B$201)-COUNT('Бланк OLD 0.8 04'!$B$18:$B$200),CHOOSE({1,2},'Бланк OLD 2.0 04 '!$B$18:$B$200,'Бланк OLD 2.0 04 '!$A$18:$A$200),2,0)),"")</f>
        <v/>
      </c>
      <c r="D326" s="150" t="str">
        <f ca="1">IFERROR(VLOOKUP(C326,'Шаг1.Выбор плиты'!C:G,5,0),"")</f>
        <v/>
      </c>
      <c r="E326" s="147" t="str">
        <f ca="1">IFERROR(IFERROR(IF(VLOOKUP($A326,'Шаг2.Бланк заказа NEW'!$B$17:$N$201,2,0)="","",VLOOKUP($A326,'Шаг2.Бланк заказа NEW'!$B$17:$N$201,2,0)),
IF(VLOOKUP($A326-COUNT('Шаг2.Бланк заказа NEW'!$B$19:$B$201),'Бланк OLD 0.8 04'!$B$12:$K$200,2,0)="","",VLOOKUP($A326-COUNT('Шаг2.Бланк заказа NEW'!$B$19:$B$201),'Бланк OLD 0.8 04'!$B$12:$K$200,2,0))),
IF(VLOOKUP($A326-COUNT('Шаг2.Бланк заказа NEW'!$B$19:$B$201)-COUNT('Бланк OLD 0.8 04'!$B$18:$B$200),'Бланк OLD 2.0 04 '!$B$16:$K$200,2,0)="","",VLOOKUP($A326-COUNT('Шаг2.Бланк заказа NEW'!$B$19:$B$201)-COUNT('Бланк OLD 0.8 04'!$B$18:$B$200),'Бланк OLD 2.0 04 '!$B$16:$K$200,2,0)))</f>
        <v/>
      </c>
      <c r="F326" s="147" t="str">
        <f ca="1">IFERROR(IFERROR(IF(VLOOKUP($A326,'Шаг2.Бланк заказа NEW'!$B$17:$N$201,3,0)="","",VLOOKUP($A326,'Шаг2.Бланк заказа NEW'!$B$17:$N$201,3,0)),
IF(VLOOKUP($A326-COUNT('Шаг2.Бланк заказа NEW'!$B$19:$B$201),'Бланк OLD 0.8 04'!$B$12:$K$200,3,0)="","",VLOOKUP($A326-COUNT('Шаг2.Бланк заказа NEW'!$B$19:$B$201),'Бланк OLD 0.8 04'!$B$12:$K$200,3,0))),
IF(VLOOKUP($A326-COUNT('Шаг2.Бланк заказа NEW'!$B$19:$B$201)-COUNT('Бланк OLD 0.8 04'!$B$18:$B$200),'Бланк OLD 2.0 04 '!$B$16:$K$200,3,0)="","",VLOOKUP($A326-COUNT('Шаг2.Бланк заказа NEW'!$B$19:$B$201)-COUNT('Бланк OLD 0.8 04'!$B$18:$B$200),'Бланк OLD 2.0 04 '!$B$16:$K$200,3,0)))</f>
        <v/>
      </c>
      <c r="G326" s="176" t="str">
        <f ca="1">IF(IF(R326="","",IF(R326=1,SUMIFS('Шаг1.Выбор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плиты'!C:Q,12,0)),1))))))=0,
R326,
IF(R326="","",IF(R326=1,SUMIFS('Шаг1.Выбор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плиты'!N:N,R326,'Шаг1.Выбор плиты'!M:M,SMALL(INDIRECT("мм"&amp;VLOOKUP(C326,'Шаг1.Выбор плиты'!C:Q,12,0)),1)))))))</f>
        <v/>
      </c>
      <c r="H326" s="177" t="str">
        <f ca="1">IF(IF(S326="","",IF(S326=1,SUMIFS('Шаг1.Выбор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плиты'!C:Q,12,0)),1))))))=0,
S326,
IF(S326="","",IF(S326=1,SUMIFS('Шаг1.Выбор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плиты'!N:N,S326,'Шаг1.Выбор плиты'!M:M,SMALL(INDIRECT("мм"&amp;VLOOKUP(C326,'Шаг1.Выбор плиты'!C:Q,12,0)),1)))))))</f>
        <v/>
      </c>
      <c r="I326" s="147" t="str">
        <f ca="1">IFERROR(IFERROR(IF(VLOOKUP($A326,'Шаг2.Бланк заказа NEW'!$B$17:$N$201,6,0)="","",VLOOKUP($A326,'Шаг2.Бланк заказа NEW'!$B$17:$N$201,6,0)),
IF(VLOOKUP($A326-COUNT('Шаг2.Бланк заказа NEW'!$B$19:$B$201),'Бланк OLD 0.8 04'!$B$12:$K$200,6,0)="","",VLOOKUP($A326-COUNT('Шаг2.Бланк заказа NEW'!$B$19:$B$201),'Бланк OLD 0.8 04'!$B$12:$K$200,6,0))),
IF(VLOOKUP($A326-COUNT('Шаг2.Бланк заказа NEW'!$B$19:$B$201)-COUNT('Бланк OLD 0.8 04'!$B$18:$B$200),'Бланк OLD 2.0 04 '!$B$16:$K$200,6,0)="","",VLOOKUP($A326-COUNT('Шаг2.Бланк заказа NEW'!$B$19:$B$201)-COUNT('Бланк OLD 0.8 04'!$B$18:$B$200),'Бланк OLD 2.0 04 '!$B$16:$K$200,6,0)))</f>
        <v/>
      </c>
      <c r="J326" s="177" t="str">
        <f ca="1">IF(IF(T326="","",IF(T326=1,SUMIFS('Шаг1.Выбор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плиты'!C:Q,12,0)),1))))))=0,
T326,
IF(T326="","",IF(T326=1,SUMIFS('Шаг1.Выбор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плиты'!N:N,T326,'Шаг1.Выбор плиты'!M:M,SMALL(INDIRECT("мм"&amp;VLOOKUP(C326,'Шаг1.Выбор плиты'!C:Q,12,0)),1)))))))</f>
        <v/>
      </c>
      <c r="K326" s="177" t="str">
        <f ca="1">IF(IF(U326="","",IF(U326=1,SUMIFS('Шаг1.Выбор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плиты'!C:Q,12,0)),1))))))=0,
U326,
IF(U326="","",IF(U326=1,SUMIFS('Шаг1.Выбор плиты'!$G:$G,'Шаг1.Выбор плиты'!J:J,"*"&amp;RIGHT(VLOOKUP(C326,'Шаг1.Выбор плиты'!C:Q,8,0),4),'Шаг1.Выбор плиты'!L:L,IF(MID(C326,1,6)="ЛДСП P","TM"&amp;MID(VLOOKUP(C326,'Шаг1.Выбор плиты'!C:Q,10,0),3,2),MID(VLOOKUP(C326,'Шаг1.Выбор плиты'!C:Q,10,0),1,2)),
'Шаг1.Выбор плиты'!N:N,1),IF(SUMIFS('Шаг1.Выбор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плиты'!C:Q,12,0)),1))=0,
IF(SUMIFS('Шаг1.Выбор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плиты'!C:Q,12,0)),2))=0,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плиты'!C:Q,12,0)),3)),
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плиты'!C:Q,12,0)),2))),
(SUMIFS('Шаг1.Выбор плиты'!$G:$G,'Шаг1.Выбор плиты'!J:J,"*"&amp;RIGHT(VLOOKUP(C326,'Шаг1.Выбор плиты'!C:Q,8,0),4),'Шаг1.Выбор плиты'!L:L,VLOOKUP(C326,'Шаг1.Выбор плиты'!C:Q,10,0),'Шаг1.Выбор плиты'!N:N,U326,'Шаг1.Выбор плиты'!M:M,SMALL(INDIRECT("мм"&amp;VLOOKUP(C326,'Шаг1.Выбор плиты'!C:Q,12,0)),1)))))))</f>
        <v/>
      </c>
      <c r="L326" s="147" t="str">
        <f ca="1">IFERROR(IFERROR(IF(VLOOKUP($A326,'Шаг2.Бланк заказа NEW'!$B$17:$N$201,9,0)="","",VLOOKUP($A326,'Шаг2.Бланк заказа NEW'!$B$17:$N$201,9,0)),
IF(VLOOKUP($A326-COUNT('Шаг2.Бланк заказа NEW'!$B$19:$B$201),'Бланк OLD 0.8 04'!$B$12:$K$200,9,0)="","",VLOOKUP($A326-COUNT('Шаг2.Бланк заказа NEW'!$B$19:$B$201),'Бланк OLD 0.8 04'!$B$12:$K$200,9,0))),
IF(VLOOKUP($A326-COUNT('Шаг2.Бланк заказа NEW'!$B$19:$B$201)-COUNT('Бланк OLD 0.8 04'!$B$18:$B$200),'Бланк OLD 2.0 04 '!$B$16:$K$200,9,0)="","",VLOOKUP($A326-COUNT('Шаг2.Бланк заказа NEW'!$B$19:$B$201)-COUNT('Бланк OLD 0.8 04'!$B$18:$B$200),'Бланк OLD 2.0 04 '!$B$16:$K$200,9,0)))</f>
        <v/>
      </c>
      <c r="M326" s="154" t="str">
        <f t="shared" ca="1" si="25"/>
        <v/>
      </c>
      <c r="N326" s="153" t="str">
        <f ca="1">IFERROR(IF(VLOOKUP($A326,'Шаг2.Бланк заказа NEW'!$B$17:$N$201,11,0)="","",VLOOKUP($A326,'Шаг2.Бланк заказа NEW'!$B$17:$N$201,11,0)),
"Нет")</f>
        <v/>
      </c>
      <c r="O326" s="147" t="str">
        <f ca="1">IFERROR(IF(VLOOKUP($A326,'Шаг2.Бланк заказа NEW'!$B$17:$N$201,11,0)="","",VLOOKUP($A326,'Шаг2.Бланк заказа NEW'!$B$17:$N$201,12,0)),
"Нет")</f>
        <v/>
      </c>
      <c r="P326" s="153" t="str">
        <f ca="1">IFERROR(IF(VLOOKUP($A326,'Шаг2.Бланк заказа NEW'!$B$17:$N$201,13,0)="","",VLOOKUP($A326,'Шаг2.Бланк заказа NEW'!$B$17:$N$201,13,0)),
"Нет")</f>
        <v/>
      </c>
      <c r="Q326" s="147" t="str">
        <f ca="1">IFERROR(IF(VLOOKUP($A326,'Шаг2.Бланк заказа NEW'!$B$17:$O$201,14,0)="","",VLOOKUP($A326,'Шаг2.Бланк заказа NEW'!$B$17:$O$201,14,0)),"")</f>
        <v/>
      </c>
      <c r="R326" s="147" t="str">
        <f ca="1">IFERROR(IFERROR(IF(VLOOKUP($A326,'Шаг2.Бланк заказа NEW'!$B$17:$N$201,4,0)="","",VLOOKUP($A326,'Шаг2.Бланк заказа NEW'!$B$17:$N$201,4,0)),
IF(VLOOKUP($A326-COUNT('Шаг2.Бланк заказа NEW'!$B$19:$B$201),'Бланк OLD 0.8 04'!$B$12:$K$200,4,0)&gt;0,0.8,
IF(VLOOKUP($A326-COUNT('Шаг2.Бланк заказа NEW'!$B$19:$B$201),'Бланк OLD 0.8 04'!$B$12:$K$200,5,0)&gt;0,0.4,""))),
IF(VLOOKUP($A326-COUNT('Шаг2.Бланк заказа NEW'!$B$19:$B$201)-COUNT('Бланк OLD 0.8 04'!$B$18:$B$200),'Бланк OLD 2.0 04 '!$B$16:$K$200,4,0)&gt;0,2,IF(VLOOKUP($A326-COUNT('Шаг2.Бланк заказа NEW'!$B$19:$B$201)-COUNT('Бланк OLD 0.8 04'!$B$18:$B$200),'Бланк OLD 2.0 04 '!$B$16:$K$200,5,0)&gt;0,0.4,"")))</f>
        <v/>
      </c>
      <c r="S326" s="147" t="str">
        <f ca="1">IFERROR(IFERROR(IF(VLOOKUP($A326,'Шаг2.Бланк заказа NEW'!$B$17:$N$201,5,0)="","",VLOOKUP($A326,'Шаг2.Бланк заказа NEW'!$B$17:$N$201,5,0)),
IF(VLOOKUP($A326-COUNT('Шаг2.Бланк заказа NEW'!$B$19:$B$201),'Бланк OLD 0.8 04'!$B$12:$K$200,4,0)&gt;1,0.8,
IF(VLOOKUP($A326-COUNT('Шаг2.Бланк заказа NEW'!$B$19:$B$201),'Бланк OLD 0.8 04'!$B$12:$K$200,5,0)&gt;1,0.4,
IF(AND(VLOOKUP($A326-COUNT('Шаг2.Бланк заказа NEW'!$B$19:$B$201),'Бланк OLD 0.8 04'!$B$12:$K$200,4,0)&gt;0,VLOOKUP($A326-COUNT('Шаг2.Бланк заказа NEW'!$B$19:$B$201),'Бланк OLD 0.8 04'!$B$12:$K$200,5,0)&gt;0),0.4,"")))),
IF(VLOOKUP($A326-COUNT('Шаг2.Бланк заказа NEW'!$B$19:$B$201)-COUNT('Бланк OLD 0.8 04'!$B$18:$B$200),'Бланк OLD 2.0 04 '!$B$16:$K$200,4,0)&gt;1,2,
IF(VLOOKUP($A326-COUNT('Шаг2.Бланк заказа NEW'!$B$19:$B$201)-COUNT('Бланк OLD 0.8 04'!$B$18:$B$200),'Бланк OLD 2.0 04 '!$B$16:$K$200,5,0)&gt;1,0.4,IF(AND(VLOOKUP($A326-COUNT('Шаг2.Бланк заказа NEW'!$B$19:$B$201)-COUNT('Бланк OLD 0.8 04'!$B$18:$B$200),'Бланк OLD 2.0 04 '!$B$16:$K$200,4,0)&gt;0,VLOOKUP($A326-COUNT('Шаг2.Бланк заказа NEW'!$B$19:$B$201)-COUNT('Бланк OLD 0.8 04'!$B$18:$B$200),'Бланк OLD 2.0 04 '!$B$16:$K$200,5,0)&gt;0),0.4,""))))</f>
        <v/>
      </c>
      <c r="T326" s="147" t="str">
        <f ca="1">IFERROR(IFERROR(IF(VLOOKUP($A326,'Шаг2.Бланк заказа NEW'!$B$17:$N$201,7,0)="","",VLOOKUP($A326,'Шаг2.Бланк заказа NEW'!$B$17:$N$201,7,0)),
IF(VLOOKUP($A326-COUNT('Шаг2.Бланк заказа NEW'!$B$19:$B$201),'Бланк OLD 0.8 04'!$B$12:$K$200,7,0)&gt;0,0.8,
IF(VLOOKUP($A326-COUNT('Шаг2.Бланк заказа NEW'!$B$19:$B$201),'Бланк OLD 0.8 04'!$B$12:$K$200,8,0)&gt;0,0.4,""))),
IF(VLOOKUP($A326-COUNT('Шаг2.Бланк заказа NEW'!$B$19:$B$201)-COUNT('Бланк OLD 0.8 04'!$B$18:$B$200),'Бланк OLD 2.0 04 '!$B$16:$K$200,7,0)&gt;0,2,IF(VLOOKUP($A326-COUNT('Шаг2.Бланк заказа NEW'!$B$19:$B$201)-COUNT('Бланк OLD 0.8 04'!$B$18:$B$200),'Бланк OLD 2.0 04 '!$B$16:$K$200,8,0)&gt;0,0.4,"")))</f>
        <v/>
      </c>
      <c r="U326" s="147" t="str">
        <f ca="1">IFERROR(IFERROR(IF(VLOOKUP($A326,'Шаг2.Бланк заказа NEW'!$B$17:$N$201,8,0)="","",VLOOKUP($A326,'Шаг2.Бланк заказа NEW'!$B$17:$N$201,8,0)),
IF(VLOOKUP($A326-COUNT('Шаг2.Бланк заказа NEW'!$B$19:$B$201),'Бланк OLD 0.8 04'!$B$12:$K$200,7,0)&gt;1,0.8,
IF(VLOOKUP($A326-COUNT('Шаг2.Бланк заказа NEW'!$B$19:$B$201),'Бланк OLD 0.8 04'!$B$12:$K$200,8,0)&gt;1,0.4,
IF(AND(VLOOKUP($A326-COUNT('Шаг2.Бланк заказа NEW'!$B$19:$B$201),'Бланк OLD 0.8 04'!$B$12:$K$200,7,0)&gt;0,VLOOKUP($A326-COUNT('Шаг2.Бланк заказа NEW'!$B$19:$B$201),'Бланк OLD 0.8 04'!$B$12:$K$200,8,0)&gt;0),0.4,"")))),
IF(VLOOKUP($A326-COUNT('Шаг2.Бланк заказа NEW'!$B$19:$B$201)-COUNT('Бланк OLD 0.8 04'!$B$18:$B$200),'Бланк OLD 2.0 04 '!$B$16:$K$200,7,0)&gt;1,2,
IF(VLOOKUP($A326-COUNT('Шаг2.Бланк заказа NEW'!$B$19:$B$201)-COUNT('Бланк OLD 0.8 04'!$B$18:$B$200),'Бланк OLD 2.0 04 '!$B$16:$K$200,8,0)&gt;1,0.4,
IF(AND(VLOOKUP($A326-COUNT('Шаг2.Бланк заказа NEW'!$B$19:$B$201)-COUNT('Бланк OLD 0.8 04'!$B$18:$B$200),'Бланк OLD 2.0 04 '!$B$16:$K$200,7,0)&gt;0,VLOOKUP($A326-COUNT('Шаг2.Бланк заказа NEW'!$B$19:$B$201)-COUNT('Бланк OLD 0.8 04'!$B$18:$B$200),'Бланк OLD 2.0 04 '!$B$16:$K$200,8,0)&gt;0),0.4,""))))</f>
        <v/>
      </c>
      <c r="V326" s="146" t="str">
        <f ca="1">IFERROR(VLOOKUP(C326,'Шаг1.Выбор плиты'!C:S,12,0),"")</f>
        <v/>
      </c>
      <c r="W326" s="146" t="str">
        <f ca="1">IFERROR(VLOOKUP(C326,'Шаг1.Выбор плиты'!C:S,8,0),"")</f>
        <v/>
      </c>
      <c r="X326" s="146" t="str">
        <f ca="1">IFERROR(VLOOKUP(C326,'Шаг1.Выбор плиты'!C:S,10,0),"")</f>
        <v/>
      </c>
      <c r="Y326" s="147" t="str">
        <f t="shared" ca="1" si="28"/>
        <v/>
      </c>
      <c r="AD326" s="147" t="str">
        <f t="shared" ca="1" si="26"/>
        <v/>
      </c>
      <c r="AE326" s="147" t="str">
        <f t="shared" ca="1" si="29"/>
        <v/>
      </c>
      <c r="AF326" s="25"/>
      <c r="AH326" s="147" t="str">
        <f ca="1">IF(C326="","",VLOOKUP(C326,'Шаг1.Выбор плиты'!C:Q,7,0))</f>
        <v/>
      </c>
      <c r="AI326" s="147" t="str">
        <f t="shared" ca="1" si="27"/>
        <v/>
      </c>
    </row>
    <row r="327" spans="1:35" x14ac:dyDescent="0.2">
      <c r="A327" s="151" t="str">
        <f ca="1">IF(C327="","",MAX($A$1:OFFSET(C327,-1,0))+1)</f>
        <v/>
      </c>
      <c r="B327" s="151" t="str">
        <f ca="1">IFERROR(IFERROR(IFERROR("Шаг2.Бланк заказа NEW №"&amp;VLOOKUP(A326+1,CHOOSE({1,2},'Шаг2.Бланк заказа NEW'!$B$19:$B$201,'Шаг2.Бланк заказа NEW'!$A$19:$A$201),1,0),
"Бланк OLD 0.8 04 №"&amp;VLOOKUP(A326+1-COUNT('Шаг2.Бланк заказа NEW'!$B$19:$B$201),CHOOSE({1,2},'Бланк OLD 0.8 04'!$B$18:$B$200,'Бланк OLD 0.8 04'!$A$18:$A$200),1,0)),
"Бланк OLD 2.0 04 №"&amp;VLOOKUP(A326+1-COUNT('Шаг2.Бланк заказа NEW'!$B$19:$B$201)-COUNT('Бланк OLD 0.8 04'!$B$18:$B$200),CHOOSE({1,2},'Бланк OLD 2.0 04 '!$B$18:$B$200,'Бланк OLD 2.0 04 '!$A$18:$A$200),1,0)),"")</f>
        <v/>
      </c>
      <c r="C327" s="152" t="str">
        <f ca="1">IFERROR(IFERROR(IFERROR(VLOOKUP(A326+1,CHOOSE({1,2},'Шаг2.Бланк заказа NEW'!$B$19:$B$201,'Шаг2.Бланк заказа NEW'!$A$19:$A$201),2,0),
VLOOKUP(A326+1-COUNT('Шаг2.Бланк заказа NEW'!$B$19:$B$201),CHOOSE({1,2},'Бланк OLD 0.8 04'!$B$18:$B$200,'Бланк OLD 0.8 04'!$A$18:$A$200),2,0)),
VLOOKUP(A326+1-COUNT('Шаг2.Бланк заказа NEW'!$B$19:$B$201)-COUNT('Бланк OLD 0.8 04'!$B$18:$B$200),CHOOSE({1,2},'Бланк OLD 2.0 04 '!$B$18:$B$200,'Бланк OLD 2.0 04 '!$A$18:$A$200),2,0)),"")</f>
        <v/>
      </c>
      <c r="D327" s="150" t="str">
        <f ca="1">IFERROR(VLOOKUP(C327,'Шаг1.Выбор плиты'!C:G,5,0),"")</f>
        <v/>
      </c>
      <c r="E327" s="147" t="str">
        <f ca="1">IFERROR(IFERROR(IF(VLOOKUP($A327,'Шаг2.Бланк заказа NEW'!$B$17:$N$201,2,0)="","",VLOOKUP($A327,'Шаг2.Бланк заказа NEW'!$B$17:$N$201,2,0)),
IF(VLOOKUP($A327-COUNT('Шаг2.Бланк заказа NEW'!$B$19:$B$201),'Бланк OLD 0.8 04'!$B$12:$K$200,2,0)="","",VLOOKUP($A327-COUNT('Шаг2.Бланк заказа NEW'!$B$19:$B$201),'Бланк OLD 0.8 04'!$B$12:$K$200,2,0))),
IF(VLOOKUP($A327-COUNT('Шаг2.Бланк заказа NEW'!$B$19:$B$201)-COUNT('Бланк OLD 0.8 04'!$B$18:$B$200),'Бланк OLD 2.0 04 '!$B$16:$K$200,2,0)="","",VLOOKUP($A327-COUNT('Шаг2.Бланк заказа NEW'!$B$19:$B$201)-COUNT('Бланк OLD 0.8 04'!$B$18:$B$200),'Бланк OLD 2.0 04 '!$B$16:$K$200,2,0)))</f>
        <v/>
      </c>
      <c r="F327" s="147" t="str">
        <f ca="1">IFERROR(IFERROR(IF(VLOOKUP($A327,'Шаг2.Бланк заказа NEW'!$B$17:$N$201,3,0)="","",VLOOKUP($A327,'Шаг2.Бланк заказа NEW'!$B$17:$N$201,3,0)),
IF(VLOOKUP($A327-COUNT('Шаг2.Бланк заказа NEW'!$B$19:$B$201),'Бланк OLD 0.8 04'!$B$12:$K$200,3,0)="","",VLOOKUP($A327-COUNT('Шаг2.Бланк заказа NEW'!$B$19:$B$201),'Бланк OLD 0.8 04'!$B$12:$K$200,3,0))),
IF(VLOOKUP($A327-COUNT('Шаг2.Бланк заказа NEW'!$B$19:$B$201)-COUNT('Бланк OLD 0.8 04'!$B$18:$B$200),'Бланк OLD 2.0 04 '!$B$16:$K$200,3,0)="","",VLOOKUP($A327-COUNT('Шаг2.Бланк заказа NEW'!$B$19:$B$201)-COUNT('Бланк OLD 0.8 04'!$B$18:$B$200),'Бланк OLD 2.0 04 '!$B$16:$K$200,3,0)))</f>
        <v/>
      </c>
      <c r="G327" s="176" t="str">
        <f ca="1">IF(IF(R327="","",IF(R327=1,SUMIFS('Шаг1.Выбор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плиты'!C:Q,12,0)),1))))))=0,
R327,
IF(R327="","",IF(R327=1,SUMIFS('Шаг1.Выбор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плиты'!N:N,R327,'Шаг1.Выбор плиты'!M:M,SMALL(INDIRECT("мм"&amp;VLOOKUP(C327,'Шаг1.Выбор плиты'!C:Q,12,0)),1)))))))</f>
        <v/>
      </c>
      <c r="H327" s="177" t="str">
        <f ca="1">IF(IF(S327="","",IF(S327=1,SUMIFS('Шаг1.Выбор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плиты'!C:Q,12,0)),1))))))=0,
S327,
IF(S327="","",IF(S327=1,SUMIFS('Шаг1.Выбор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плиты'!N:N,S327,'Шаг1.Выбор плиты'!M:M,SMALL(INDIRECT("мм"&amp;VLOOKUP(C327,'Шаг1.Выбор плиты'!C:Q,12,0)),1)))))))</f>
        <v/>
      </c>
      <c r="I327" s="147" t="str">
        <f ca="1">IFERROR(IFERROR(IF(VLOOKUP($A327,'Шаг2.Бланк заказа NEW'!$B$17:$N$201,6,0)="","",VLOOKUP($A327,'Шаг2.Бланк заказа NEW'!$B$17:$N$201,6,0)),
IF(VLOOKUP($A327-COUNT('Шаг2.Бланк заказа NEW'!$B$19:$B$201),'Бланк OLD 0.8 04'!$B$12:$K$200,6,0)="","",VLOOKUP($A327-COUNT('Шаг2.Бланк заказа NEW'!$B$19:$B$201),'Бланк OLD 0.8 04'!$B$12:$K$200,6,0))),
IF(VLOOKUP($A327-COUNT('Шаг2.Бланк заказа NEW'!$B$19:$B$201)-COUNT('Бланк OLD 0.8 04'!$B$18:$B$200),'Бланк OLD 2.0 04 '!$B$16:$K$200,6,0)="","",VLOOKUP($A327-COUNT('Шаг2.Бланк заказа NEW'!$B$19:$B$201)-COUNT('Бланк OLD 0.8 04'!$B$18:$B$200),'Бланк OLD 2.0 04 '!$B$16:$K$200,6,0)))</f>
        <v/>
      </c>
      <c r="J327" s="177" t="str">
        <f ca="1">IF(IF(T327="","",IF(T327=1,SUMIFS('Шаг1.Выбор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плиты'!C:Q,12,0)),1))))))=0,
T327,
IF(T327="","",IF(T327=1,SUMIFS('Шаг1.Выбор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плиты'!N:N,T327,'Шаг1.Выбор плиты'!M:M,SMALL(INDIRECT("мм"&amp;VLOOKUP(C327,'Шаг1.Выбор плиты'!C:Q,12,0)),1)))))))</f>
        <v/>
      </c>
      <c r="K327" s="177" t="str">
        <f ca="1">IF(IF(U327="","",IF(U327=1,SUMIFS('Шаг1.Выбор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плиты'!C:Q,12,0)),1))))))=0,
U327,
IF(U327="","",IF(U327=1,SUMIFS('Шаг1.Выбор плиты'!$G:$G,'Шаг1.Выбор плиты'!J:J,"*"&amp;RIGHT(VLOOKUP(C327,'Шаг1.Выбор плиты'!C:Q,8,0),4),'Шаг1.Выбор плиты'!L:L,IF(MID(C327,1,6)="ЛДСП P","TM"&amp;MID(VLOOKUP(C327,'Шаг1.Выбор плиты'!C:Q,10,0),3,2),MID(VLOOKUP(C327,'Шаг1.Выбор плиты'!C:Q,10,0),1,2)),
'Шаг1.Выбор плиты'!N:N,1),IF(SUMIFS('Шаг1.Выбор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плиты'!C:Q,12,0)),1))=0,
IF(SUMIFS('Шаг1.Выбор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плиты'!C:Q,12,0)),2))=0,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плиты'!C:Q,12,0)),3)),
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плиты'!C:Q,12,0)),2))),
(SUMIFS('Шаг1.Выбор плиты'!$G:$G,'Шаг1.Выбор плиты'!J:J,"*"&amp;RIGHT(VLOOKUP(C327,'Шаг1.Выбор плиты'!C:Q,8,0),4),'Шаг1.Выбор плиты'!L:L,VLOOKUP(C327,'Шаг1.Выбор плиты'!C:Q,10,0),'Шаг1.Выбор плиты'!N:N,U327,'Шаг1.Выбор плиты'!M:M,SMALL(INDIRECT("мм"&amp;VLOOKUP(C327,'Шаг1.Выбор плиты'!C:Q,12,0)),1)))))))</f>
        <v/>
      </c>
      <c r="L327" s="147" t="str">
        <f ca="1">IFERROR(IFERROR(IF(VLOOKUP($A327,'Шаг2.Бланк заказа NEW'!$B$17:$N$201,9,0)="","",VLOOKUP($A327,'Шаг2.Бланк заказа NEW'!$B$17:$N$201,9,0)),
IF(VLOOKUP($A327-COUNT('Шаг2.Бланк заказа NEW'!$B$19:$B$201),'Бланк OLD 0.8 04'!$B$12:$K$200,9,0)="","",VLOOKUP($A327-COUNT('Шаг2.Бланк заказа NEW'!$B$19:$B$201),'Бланк OLD 0.8 04'!$B$12:$K$200,9,0))),
IF(VLOOKUP($A327-COUNT('Шаг2.Бланк заказа NEW'!$B$19:$B$201)-COUNT('Бланк OLD 0.8 04'!$B$18:$B$200),'Бланк OLD 2.0 04 '!$B$16:$K$200,9,0)="","",VLOOKUP($A327-COUNT('Шаг2.Бланк заказа NEW'!$B$19:$B$201)-COUNT('Бланк OLD 0.8 04'!$B$18:$B$200),'Бланк OLD 2.0 04 '!$B$16:$K$200,9,0)))</f>
        <v/>
      </c>
      <c r="M327" s="154" t="str">
        <f t="shared" ca="1" si="25"/>
        <v/>
      </c>
      <c r="N327" s="153" t="str">
        <f ca="1">IFERROR(IF(VLOOKUP($A327,'Шаг2.Бланк заказа NEW'!$B$17:$N$201,11,0)="","",VLOOKUP($A327,'Шаг2.Бланк заказа NEW'!$B$17:$N$201,11,0)),
"Нет")</f>
        <v/>
      </c>
      <c r="O327" s="147" t="str">
        <f ca="1">IFERROR(IF(VLOOKUP($A327,'Шаг2.Бланк заказа NEW'!$B$17:$N$201,11,0)="","",VLOOKUP($A327,'Шаг2.Бланк заказа NEW'!$B$17:$N$201,12,0)),
"Нет")</f>
        <v/>
      </c>
      <c r="P327" s="153" t="str">
        <f ca="1">IFERROR(IF(VLOOKUP($A327,'Шаг2.Бланк заказа NEW'!$B$17:$N$201,13,0)="","",VLOOKUP($A327,'Шаг2.Бланк заказа NEW'!$B$17:$N$201,13,0)),
"Нет")</f>
        <v/>
      </c>
      <c r="Q327" s="147" t="str">
        <f ca="1">IFERROR(IF(VLOOKUP($A327,'Шаг2.Бланк заказа NEW'!$B$17:$O$201,14,0)="","",VLOOKUP($A327,'Шаг2.Бланк заказа NEW'!$B$17:$O$201,14,0)),"")</f>
        <v/>
      </c>
      <c r="R327" s="147" t="str">
        <f ca="1">IFERROR(IFERROR(IF(VLOOKUP($A327,'Шаг2.Бланк заказа NEW'!$B$17:$N$201,4,0)="","",VLOOKUP($A327,'Шаг2.Бланк заказа NEW'!$B$17:$N$201,4,0)),
IF(VLOOKUP($A327-COUNT('Шаг2.Бланк заказа NEW'!$B$19:$B$201),'Бланк OLD 0.8 04'!$B$12:$K$200,4,0)&gt;0,0.8,
IF(VLOOKUP($A327-COUNT('Шаг2.Бланк заказа NEW'!$B$19:$B$201),'Бланк OLD 0.8 04'!$B$12:$K$200,5,0)&gt;0,0.4,""))),
IF(VLOOKUP($A327-COUNT('Шаг2.Бланк заказа NEW'!$B$19:$B$201)-COUNT('Бланк OLD 0.8 04'!$B$18:$B$200),'Бланк OLD 2.0 04 '!$B$16:$K$200,4,0)&gt;0,2,IF(VLOOKUP($A327-COUNT('Шаг2.Бланк заказа NEW'!$B$19:$B$201)-COUNT('Бланк OLD 0.8 04'!$B$18:$B$200),'Бланк OLD 2.0 04 '!$B$16:$K$200,5,0)&gt;0,0.4,"")))</f>
        <v/>
      </c>
      <c r="S327" s="147" t="str">
        <f ca="1">IFERROR(IFERROR(IF(VLOOKUP($A327,'Шаг2.Бланк заказа NEW'!$B$17:$N$201,5,0)="","",VLOOKUP($A327,'Шаг2.Бланк заказа NEW'!$B$17:$N$201,5,0)),
IF(VLOOKUP($A327-COUNT('Шаг2.Бланк заказа NEW'!$B$19:$B$201),'Бланк OLD 0.8 04'!$B$12:$K$200,4,0)&gt;1,0.8,
IF(VLOOKUP($A327-COUNT('Шаг2.Бланк заказа NEW'!$B$19:$B$201),'Бланк OLD 0.8 04'!$B$12:$K$200,5,0)&gt;1,0.4,
IF(AND(VLOOKUP($A327-COUNT('Шаг2.Бланк заказа NEW'!$B$19:$B$201),'Бланк OLD 0.8 04'!$B$12:$K$200,4,0)&gt;0,VLOOKUP($A327-COUNT('Шаг2.Бланк заказа NEW'!$B$19:$B$201),'Бланк OLD 0.8 04'!$B$12:$K$200,5,0)&gt;0),0.4,"")))),
IF(VLOOKUP($A327-COUNT('Шаг2.Бланк заказа NEW'!$B$19:$B$201)-COUNT('Бланк OLD 0.8 04'!$B$18:$B$200),'Бланк OLD 2.0 04 '!$B$16:$K$200,4,0)&gt;1,2,
IF(VLOOKUP($A327-COUNT('Шаг2.Бланк заказа NEW'!$B$19:$B$201)-COUNT('Бланк OLD 0.8 04'!$B$18:$B$200),'Бланк OLD 2.0 04 '!$B$16:$K$200,5,0)&gt;1,0.4,IF(AND(VLOOKUP($A327-COUNT('Шаг2.Бланк заказа NEW'!$B$19:$B$201)-COUNT('Бланк OLD 0.8 04'!$B$18:$B$200),'Бланк OLD 2.0 04 '!$B$16:$K$200,4,0)&gt;0,VLOOKUP($A327-COUNT('Шаг2.Бланк заказа NEW'!$B$19:$B$201)-COUNT('Бланк OLD 0.8 04'!$B$18:$B$200),'Бланк OLD 2.0 04 '!$B$16:$K$200,5,0)&gt;0),0.4,""))))</f>
        <v/>
      </c>
      <c r="T327" s="147" t="str">
        <f ca="1">IFERROR(IFERROR(IF(VLOOKUP($A327,'Шаг2.Бланк заказа NEW'!$B$17:$N$201,7,0)="","",VLOOKUP($A327,'Шаг2.Бланк заказа NEW'!$B$17:$N$201,7,0)),
IF(VLOOKUP($A327-COUNT('Шаг2.Бланк заказа NEW'!$B$19:$B$201),'Бланк OLD 0.8 04'!$B$12:$K$200,7,0)&gt;0,0.8,
IF(VLOOKUP($A327-COUNT('Шаг2.Бланк заказа NEW'!$B$19:$B$201),'Бланк OLD 0.8 04'!$B$12:$K$200,8,0)&gt;0,0.4,""))),
IF(VLOOKUP($A327-COUNT('Шаг2.Бланк заказа NEW'!$B$19:$B$201)-COUNT('Бланк OLD 0.8 04'!$B$18:$B$200),'Бланк OLD 2.0 04 '!$B$16:$K$200,7,0)&gt;0,2,IF(VLOOKUP($A327-COUNT('Шаг2.Бланк заказа NEW'!$B$19:$B$201)-COUNT('Бланк OLD 0.8 04'!$B$18:$B$200),'Бланк OLD 2.0 04 '!$B$16:$K$200,8,0)&gt;0,0.4,"")))</f>
        <v/>
      </c>
      <c r="U327" s="147" t="str">
        <f ca="1">IFERROR(IFERROR(IF(VLOOKUP($A327,'Шаг2.Бланк заказа NEW'!$B$17:$N$201,8,0)="","",VLOOKUP($A327,'Шаг2.Бланк заказа NEW'!$B$17:$N$201,8,0)),
IF(VLOOKUP($A327-COUNT('Шаг2.Бланк заказа NEW'!$B$19:$B$201),'Бланк OLD 0.8 04'!$B$12:$K$200,7,0)&gt;1,0.8,
IF(VLOOKUP($A327-COUNT('Шаг2.Бланк заказа NEW'!$B$19:$B$201),'Бланк OLD 0.8 04'!$B$12:$K$200,8,0)&gt;1,0.4,
IF(AND(VLOOKUP($A327-COUNT('Шаг2.Бланк заказа NEW'!$B$19:$B$201),'Бланк OLD 0.8 04'!$B$12:$K$200,7,0)&gt;0,VLOOKUP($A327-COUNT('Шаг2.Бланк заказа NEW'!$B$19:$B$201),'Бланк OLD 0.8 04'!$B$12:$K$200,8,0)&gt;0),0.4,"")))),
IF(VLOOKUP($A327-COUNT('Шаг2.Бланк заказа NEW'!$B$19:$B$201)-COUNT('Бланк OLD 0.8 04'!$B$18:$B$200),'Бланк OLD 2.0 04 '!$B$16:$K$200,7,0)&gt;1,2,
IF(VLOOKUP($A327-COUNT('Шаг2.Бланк заказа NEW'!$B$19:$B$201)-COUNT('Бланк OLD 0.8 04'!$B$18:$B$200),'Бланк OLD 2.0 04 '!$B$16:$K$200,8,0)&gt;1,0.4,
IF(AND(VLOOKUP($A327-COUNT('Шаг2.Бланк заказа NEW'!$B$19:$B$201)-COUNT('Бланк OLD 0.8 04'!$B$18:$B$200),'Бланк OLD 2.0 04 '!$B$16:$K$200,7,0)&gt;0,VLOOKUP($A327-COUNT('Шаг2.Бланк заказа NEW'!$B$19:$B$201)-COUNT('Бланк OLD 0.8 04'!$B$18:$B$200),'Бланк OLD 2.0 04 '!$B$16:$K$200,8,0)&gt;0),0.4,""))))</f>
        <v/>
      </c>
      <c r="V327" s="146" t="str">
        <f ca="1">IFERROR(VLOOKUP(C327,'Шаг1.Выбор плиты'!C:S,12,0),"")</f>
        <v/>
      </c>
      <c r="W327" s="146" t="str">
        <f ca="1">IFERROR(VLOOKUP(C327,'Шаг1.Выбор плиты'!C:S,8,0),"")</f>
        <v/>
      </c>
      <c r="X327" s="146" t="str">
        <f ca="1">IFERROR(VLOOKUP(C327,'Шаг1.Выбор плиты'!C:S,10,0),"")</f>
        <v/>
      </c>
      <c r="Y327" s="147" t="str">
        <f t="shared" ca="1" si="28"/>
        <v/>
      </c>
      <c r="AD327" s="147" t="str">
        <f t="shared" ca="1" si="26"/>
        <v/>
      </c>
      <c r="AE327" s="147" t="str">
        <f t="shared" ca="1" si="29"/>
        <v/>
      </c>
      <c r="AF327" s="25"/>
      <c r="AH327" s="147" t="str">
        <f ca="1">IF(C327="","",VLOOKUP(C327,'Шаг1.Выбор плиты'!C:Q,7,0))</f>
        <v/>
      </c>
      <c r="AI327" s="147" t="str">
        <f t="shared" ca="1" si="27"/>
        <v/>
      </c>
    </row>
    <row r="328" spans="1:35" x14ac:dyDescent="0.2">
      <c r="A328" s="151" t="str">
        <f ca="1">IF(C328="","",MAX($A$1:OFFSET(C328,-1,0))+1)</f>
        <v/>
      </c>
      <c r="B328" s="151" t="str">
        <f ca="1">IFERROR(IFERROR(IFERROR("Шаг2.Бланк заказа NEW №"&amp;VLOOKUP(A327+1,CHOOSE({1,2},'Шаг2.Бланк заказа NEW'!$B$19:$B$201,'Шаг2.Бланк заказа NEW'!$A$19:$A$201),1,0),
"Бланк OLD 0.8 04 №"&amp;VLOOKUP(A327+1-COUNT('Шаг2.Бланк заказа NEW'!$B$19:$B$201),CHOOSE({1,2},'Бланк OLD 0.8 04'!$B$18:$B$200,'Бланк OLD 0.8 04'!$A$18:$A$200),1,0)),
"Бланк OLD 2.0 04 №"&amp;VLOOKUP(A327+1-COUNT('Шаг2.Бланк заказа NEW'!$B$19:$B$201)-COUNT('Бланк OLD 0.8 04'!$B$18:$B$200),CHOOSE({1,2},'Бланк OLD 2.0 04 '!$B$18:$B$200,'Бланк OLD 2.0 04 '!$A$18:$A$200),1,0)),"")</f>
        <v/>
      </c>
      <c r="C328" s="152" t="str">
        <f ca="1">IFERROR(IFERROR(IFERROR(VLOOKUP(A327+1,CHOOSE({1,2},'Шаг2.Бланк заказа NEW'!$B$19:$B$201,'Шаг2.Бланк заказа NEW'!$A$19:$A$201),2,0),
VLOOKUP(A327+1-COUNT('Шаг2.Бланк заказа NEW'!$B$19:$B$201),CHOOSE({1,2},'Бланк OLD 0.8 04'!$B$18:$B$200,'Бланк OLD 0.8 04'!$A$18:$A$200),2,0)),
VLOOKUP(A327+1-COUNT('Шаг2.Бланк заказа NEW'!$B$19:$B$201)-COUNT('Бланк OLD 0.8 04'!$B$18:$B$200),CHOOSE({1,2},'Бланк OLD 2.0 04 '!$B$18:$B$200,'Бланк OLD 2.0 04 '!$A$18:$A$200),2,0)),"")</f>
        <v/>
      </c>
      <c r="D328" s="150" t="str">
        <f ca="1">IFERROR(VLOOKUP(C328,'Шаг1.Выбор плиты'!C:G,5,0),"")</f>
        <v/>
      </c>
      <c r="E328" s="147" t="str">
        <f ca="1">IFERROR(IFERROR(IF(VLOOKUP($A328,'Шаг2.Бланк заказа NEW'!$B$17:$N$201,2,0)="","",VLOOKUP($A328,'Шаг2.Бланк заказа NEW'!$B$17:$N$201,2,0)),
IF(VLOOKUP($A328-COUNT('Шаг2.Бланк заказа NEW'!$B$19:$B$201),'Бланк OLD 0.8 04'!$B$12:$K$200,2,0)="","",VLOOKUP($A328-COUNT('Шаг2.Бланк заказа NEW'!$B$19:$B$201),'Бланк OLD 0.8 04'!$B$12:$K$200,2,0))),
IF(VLOOKUP($A328-COUNT('Шаг2.Бланк заказа NEW'!$B$19:$B$201)-COUNT('Бланк OLD 0.8 04'!$B$18:$B$200),'Бланк OLD 2.0 04 '!$B$16:$K$200,2,0)="","",VLOOKUP($A328-COUNT('Шаг2.Бланк заказа NEW'!$B$19:$B$201)-COUNT('Бланк OLD 0.8 04'!$B$18:$B$200),'Бланк OLD 2.0 04 '!$B$16:$K$200,2,0)))</f>
        <v/>
      </c>
      <c r="F328" s="147" t="str">
        <f ca="1">IFERROR(IFERROR(IF(VLOOKUP($A328,'Шаг2.Бланк заказа NEW'!$B$17:$N$201,3,0)="","",VLOOKUP($A328,'Шаг2.Бланк заказа NEW'!$B$17:$N$201,3,0)),
IF(VLOOKUP($A328-COUNT('Шаг2.Бланк заказа NEW'!$B$19:$B$201),'Бланк OLD 0.8 04'!$B$12:$K$200,3,0)="","",VLOOKUP($A328-COUNT('Шаг2.Бланк заказа NEW'!$B$19:$B$201),'Бланк OLD 0.8 04'!$B$12:$K$200,3,0))),
IF(VLOOKUP($A328-COUNT('Шаг2.Бланк заказа NEW'!$B$19:$B$201)-COUNT('Бланк OLD 0.8 04'!$B$18:$B$200),'Бланк OLD 2.0 04 '!$B$16:$K$200,3,0)="","",VLOOKUP($A328-COUNT('Шаг2.Бланк заказа NEW'!$B$19:$B$201)-COUNT('Бланк OLD 0.8 04'!$B$18:$B$200),'Бланк OLD 2.0 04 '!$B$16:$K$200,3,0)))</f>
        <v/>
      </c>
      <c r="G328" s="176" t="str">
        <f ca="1">IF(IF(R328="","",IF(R328=1,SUMIFS('Шаг1.Выбор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плиты'!C:Q,12,0)),1))))))=0,
R328,
IF(R328="","",IF(R328=1,SUMIFS('Шаг1.Выбор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плиты'!N:N,R328,'Шаг1.Выбор плиты'!M:M,SMALL(INDIRECT("мм"&amp;VLOOKUP(C328,'Шаг1.Выбор плиты'!C:Q,12,0)),1)))))))</f>
        <v/>
      </c>
      <c r="H328" s="177" t="str">
        <f ca="1">IF(IF(S328="","",IF(S328=1,SUMIFS('Шаг1.Выбор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плиты'!C:Q,12,0)),1))))))=0,
S328,
IF(S328="","",IF(S328=1,SUMIFS('Шаг1.Выбор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плиты'!N:N,S328,'Шаг1.Выбор плиты'!M:M,SMALL(INDIRECT("мм"&amp;VLOOKUP(C328,'Шаг1.Выбор плиты'!C:Q,12,0)),1)))))))</f>
        <v/>
      </c>
      <c r="I328" s="147" t="str">
        <f ca="1">IFERROR(IFERROR(IF(VLOOKUP($A328,'Шаг2.Бланк заказа NEW'!$B$17:$N$201,6,0)="","",VLOOKUP($A328,'Шаг2.Бланк заказа NEW'!$B$17:$N$201,6,0)),
IF(VLOOKUP($A328-COUNT('Шаг2.Бланк заказа NEW'!$B$19:$B$201),'Бланк OLD 0.8 04'!$B$12:$K$200,6,0)="","",VLOOKUP($A328-COUNT('Шаг2.Бланк заказа NEW'!$B$19:$B$201),'Бланк OLD 0.8 04'!$B$12:$K$200,6,0))),
IF(VLOOKUP($A328-COUNT('Шаг2.Бланк заказа NEW'!$B$19:$B$201)-COUNT('Бланк OLD 0.8 04'!$B$18:$B$200),'Бланк OLD 2.0 04 '!$B$16:$K$200,6,0)="","",VLOOKUP($A328-COUNT('Шаг2.Бланк заказа NEW'!$B$19:$B$201)-COUNT('Бланк OLD 0.8 04'!$B$18:$B$200),'Бланк OLD 2.0 04 '!$B$16:$K$200,6,0)))</f>
        <v/>
      </c>
      <c r="J328" s="177" t="str">
        <f ca="1">IF(IF(T328="","",IF(T328=1,SUMIFS('Шаг1.Выбор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плиты'!C:Q,12,0)),1))))))=0,
T328,
IF(T328="","",IF(T328=1,SUMIFS('Шаг1.Выбор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плиты'!N:N,T328,'Шаг1.Выбор плиты'!M:M,SMALL(INDIRECT("мм"&amp;VLOOKUP(C328,'Шаг1.Выбор плиты'!C:Q,12,0)),1)))))))</f>
        <v/>
      </c>
      <c r="K328" s="177" t="str">
        <f ca="1">IF(IF(U328="","",IF(U328=1,SUMIFS('Шаг1.Выбор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плиты'!C:Q,12,0)),1))))))=0,
U328,
IF(U328="","",IF(U328=1,SUMIFS('Шаг1.Выбор плиты'!$G:$G,'Шаг1.Выбор плиты'!J:J,"*"&amp;RIGHT(VLOOKUP(C328,'Шаг1.Выбор плиты'!C:Q,8,0),4),'Шаг1.Выбор плиты'!L:L,IF(MID(C328,1,6)="ЛДСП P","TM"&amp;MID(VLOOKUP(C328,'Шаг1.Выбор плиты'!C:Q,10,0),3,2),MID(VLOOKUP(C328,'Шаг1.Выбор плиты'!C:Q,10,0),1,2)),
'Шаг1.Выбор плиты'!N:N,1),IF(SUMIFS('Шаг1.Выбор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плиты'!C:Q,12,0)),1))=0,
IF(SUMIFS('Шаг1.Выбор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плиты'!C:Q,12,0)),2))=0,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плиты'!C:Q,12,0)),3)),
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плиты'!C:Q,12,0)),2))),
(SUMIFS('Шаг1.Выбор плиты'!$G:$G,'Шаг1.Выбор плиты'!J:J,"*"&amp;RIGHT(VLOOKUP(C328,'Шаг1.Выбор плиты'!C:Q,8,0),4),'Шаг1.Выбор плиты'!L:L,VLOOKUP(C328,'Шаг1.Выбор плиты'!C:Q,10,0),'Шаг1.Выбор плиты'!N:N,U328,'Шаг1.Выбор плиты'!M:M,SMALL(INDIRECT("мм"&amp;VLOOKUP(C328,'Шаг1.Выбор плиты'!C:Q,12,0)),1)))))))</f>
        <v/>
      </c>
      <c r="L328" s="147" t="str">
        <f ca="1">IFERROR(IFERROR(IF(VLOOKUP($A328,'Шаг2.Бланк заказа NEW'!$B$17:$N$201,9,0)="","",VLOOKUP($A328,'Шаг2.Бланк заказа NEW'!$B$17:$N$201,9,0)),
IF(VLOOKUP($A328-COUNT('Шаг2.Бланк заказа NEW'!$B$19:$B$201),'Бланк OLD 0.8 04'!$B$12:$K$200,9,0)="","",VLOOKUP($A328-COUNT('Шаг2.Бланк заказа NEW'!$B$19:$B$201),'Бланк OLD 0.8 04'!$B$12:$K$200,9,0))),
IF(VLOOKUP($A328-COUNT('Шаг2.Бланк заказа NEW'!$B$19:$B$201)-COUNT('Бланк OLD 0.8 04'!$B$18:$B$200),'Бланк OLD 2.0 04 '!$B$16:$K$200,9,0)="","",VLOOKUP($A328-COUNT('Шаг2.Бланк заказа NEW'!$B$19:$B$201)-COUNT('Бланк OLD 0.8 04'!$B$18:$B$200),'Бланк OLD 2.0 04 '!$B$16:$K$200,9,0)))</f>
        <v/>
      </c>
      <c r="M328" s="154" t="str">
        <f t="shared" ca="1" si="25"/>
        <v/>
      </c>
      <c r="N328" s="153" t="str">
        <f ca="1">IFERROR(IF(VLOOKUP($A328,'Шаг2.Бланк заказа NEW'!$B$17:$N$201,11,0)="","",VLOOKUP($A328,'Шаг2.Бланк заказа NEW'!$B$17:$N$201,11,0)),
"Нет")</f>
        <v/>
      </c>
      <c r="O328" s="147" t="str">
        <f ca="1">IFERROR(IF(VLOOKUP($A328,'Шаг2.Бланк заказа NEW'!$B$17:$N$201,11,0)="","",VLOOKUP($A328,'Шаг2.Бланк заказа NEW'!$B$17:$N$201,12,0)),
"Нет")</f>
        <v/>
      </c>
      <c r="P328" s="153" t="str">
        <f ca="1">IFERROR(IF(VLOOKUP($A328,'Шаг2.Бланк заказа NEW'!$B$17:$N$201,13,0)="","",VLOOKUP($A328,'Шаг2.Бланк заказа NEW'!$B$17:$N$201,13,0)),
"Нет")</f>
        <v/>
      </c>
      <c r="Q328" s="147" t="str">
        <f ca="1">IFERROR(IF(VLOOKUP($A328,'Шаг2.Бланк заказа NEW'!$B$17:$O$201,14,0)="","",VLOOKUP($A328,'Шаг2.Бланк заказа NEW'!$B$17:$O$201,14,0)),"")</f>
        <v/>
      </c>
      <c r="R328" s="147" t="str">
        <f ca="1">IFERROR(IFERROR(IF(VLOOKUP($A328,'Шаг2.Бланк заказа NEW'!$B$17:$N$201,4,0)="","",VLOOKUP($A328,'Шаг2.Бланк заказа NEW'!$B$17:$N$201,4,0)),
IF(VLOOKUP($A328-COUNT('Шаг2.Бланк заказа NEW'!$B$19:$B$201),'Бланк OLD 0.8 04'!$B$12:$K$200,4,0)&gt;0,0.8,
IF(VLOOKUP($A328-COUNT('Шаг2.Бланк заказа NEW'!$B$19:$B$201),'Бланк OLD 0.8 04'!$B$12:$K$200,5,0)&gt;0,0.4,""))),
IF(VLOOKUP($A328-COUNT('Шаг2.Бланк заказа NEW'!$B$19:$B$201)-COUNT('Бланк OLD 0.8 04'!$B$18:$B$200),'Бланк OLD 2.0 04 '!$B$16:$K$200,4,0)&gt;0,2,IF(VLOOKUP($A328-COUNT('Шаг2.Бланк заказа NEW'!$B$19:$B$201)-COUNT('Бланк OLD 0.8 04'!$B$18:$B$200),'Бланк OLD 2.0 04 '!$B$16:$K$200,5,0)&gt;0,0.4,"")))</f>
        <v/>
      </c>
      <c r="S328" s="147" t="str">
        <f ca="1">IFERROR(IFERROR(IF(VLOOKUP($A328,'Шаг2.Бланк заказа NEW'!$B$17:$N$201,5,0)="","",VLOOKUP($A328,'Шаг2.Бланк заказа NEW'!$B$17:$N$201,5,0)),
IF(VLOOKUP($A328-COUNT('Шаг2.Бланк заказа NEW'!$B$19:$B$201),'Бланк OLD 0.8 04'!$B$12:$K$200,4,0)&gt;1,0.8,
IF(VLOOKUP($A328-COUNT('Шаг2.Бланк заказа NEW'!$B$19:$B$201),'Бланк OLD 0.8 04'!$B$12:$K$200,5,0)&gt;1,0.4,
IF(AND(VLOOKUP($A328-COUNT('Шаг2.Бланк заказа NEW'!$B$19:$B$201),'Бланк OLD 0.8 04'!$B$12:$K$200,4,0)&gt;0,VLOOKUP($A328-COUNT('Шаг2.Бланк заказа NEW'!$B$19:$B$201),'Бланк OLD 0.8 04'!$B$12:$K$200,5,0)&gt;0),0.4,"")))),
IF(VLOOKUP($A328-COUNT('Шаг2.Бланк заказа NEW'!$B$19:$B$201)-COUNT('Бланк OLD 0.8 04'!$B$18:$B$200),'Бланк OLD 2.0 04 '!$B$16:$K$200,4,0)&gt;1,2,
IF(VLOOKUP($A328-COUNT('Шаг2.Бланк заказа NEW'!$B$19:$B$201)-COUNT('Бланк OLD 0.8 04'!$B$18:$B$200),'Бланк OLD 2.0 04 '!$B$16:$K$200,5,0)&gt;1,0.4,IF(AND(VLOOKUP($A328-COUNT('Шаг2.Бланк заказа NEW'!$B$19:$B$201)-COUNT('Бланк OLD 0.8 04'!$B$18:$B$200),'Бланк OLD 2.0 04 '!$B$16:$K$200,4,0)&gt;0,VLOOKUP($A328-COUNT('Шаг2.Бланк заказа NEW'!$B$19:$B$201)-COUNT('Бланк OLD 0.8 04'!$B$18:$B$200),'Бланк OLD 2.0 04 '!$B$16:$K$200,5,0)&gt;0),0.4,""))))</f>
        <v/>
      </c>
      <c r="T328" s="147" t="str">
        <f ca="1">IFERROR(IFERROR(IF(VLOOKUP($A328,'Шаг2.Бланк заказа NEW'!$B$17:$N$201,7,0)="","",VLOOKUP($A328,'Шаг2.Бланк заказа NEW'!$B$17:$N$201,7,0)),
IF(VLOOKUP($A328-COUNT('Шаг2.Бланк заказа NEW'!$B$19:$B$201),'Бланк OLD 0.8 04'!$B$12:$K$200,7,0)&gt;0,0.8,
IF(VLOOKUP($A328-COUNT('Шаг2.Бланк заказа NEW'!$B$19:$B$201),'Бланк OLD 0.8 04'!$B$12:$K$200,8,0)&gt;0,0.4,""))),
IF(VLOOKUP($A328-COUNT('Шаг2.Бланк заказа NEW'!$B$19:$B$201)-COUNT('Бланк OLD 0.8 04'!$B$18:$B$200),'Бланк OLD 2.0 04 '!$B$16:$K$200,7,0)&gt;0,2,IF(VLOOKUP($A328-COUNT('Шаг2.Бланк заказа NEW'!$B$19:$B$201)-COUNT('Бланк OLD 0.8 04'!$B$18:$B$200),'Бланк OLD 2.0 04 '!$B$16:$K$200,8,0)&gt;0,0.4,"")))</f>
        <v/>
      </c>
      <c r="U328" s="147" t="str">
        <f ca="1">IFERROR(IFERROR(IF(VLOOKUP($A328,'Шаг2.Бланк заказа NEW'!$B$17:$N$201,8,0)="","",VLOOKUP($A328,'Шаг2.Бланк заказа NEW'!$B$17:$N$201,8,0)),
IF(VLOOKUP($A328-COUNT('Шаг2.Бланк заказа NEW'!$B$19:$B$201),'Бланк OLD 0.8 04'!$B$12:$K$200,7,0)&gt;1,0.8,
IF(VLOOKUP($A328-COUNT('Шаг2.Бланк заказа NEW'!$B$19:$B$201),'Бланк OLD 0.8 04'!$B$12:$K$200,8,0)&gt;1,0.4,
IF(AND(VLOOKUP($A328-COUNT('Шаг2.Бланк заказа NEW'!$B$19:$B$201),'Бланк OLD 0.8 04'!$B$12:$K$200,7,0)&gt;0,VLOOKUP($A328-COUNT('Шаг2.Бланк заказа NEW'!$B$19:$B$201),'Бланк OLD 0.8 04'!$B$12:$K$200,8,0)&gt;0),0.4,"")))),
IF(VLOOKUP($A328-COUNT('Шаг2.Бланк заказа NEW'!$B$19:$B$201)-COUNT('Бланк OLD 0.8 04'!$B$18:$B$200),'Бланк OLD 2.0 04 '!$B$16:$K$200,7,0)&gt;1,2,
IF(VLOOKUP($A328-COUNT('Шаг2.Бланк заказа NEW'!$B$19:$B$201)-COUNT('Бланк OLD 0.8 04'!$B$18:$B$200),'Бланк OLD 2.0 04 '!$B$16:$K$200,8,0)&gt;1,0.4,
IF(AND(VLOOKUP($A328-COUNT('Шаг2.Бланк заказа NEW'!$B$19:$B$201)-COUNT('Бланк OLD 0.8 04'!$B$18:$B$200),'Бланк OLD 2.0 04 '!$B$16:$K$200,7,0)&gt;0,VLOOKUP($A328-COUNT('Шаг2.Бланк заказа NEW'!$B$19:$B$201)-COUNT('Бланк OLD 0.8 04'!$B$18:$B$200),'Бланк OLD 2.0 04 '!$B$16:$K$200,8,0)&gt;0),0.4,""))))</f>
        <v/>
      </c>
      <c r="V328" s="146" t="str">
        <f ca="1">IFERROR(VLOOKUP(C328,'Шаг1.Выбор плиты'!C:S,12,0),"")</f>
        <v/>
      </c>
      <c r="W328" s="146" t="str">
        <f ca="1">IFERROR(VLOOKUP(C328,'Шаг1.Выбор плиты'!C:S,8,0),"")</f>
        <v/>
      </c>
      <c r="X328" s="146" t="str">
        <f ca="1">IFERROR(VLOOKUP(C328,'Шаг1.Выбор плиты'!C:S,10,0),"")</f>
        <v/>
      </c>
      <c r="Y328" s="147" t="str">
        <f t="shared" ca="1" si="28"/>
        <v/>
      </c>
      <c r="AD328" s="147" t="str">
        <f t="shared" ca="1" si="26"/>
        <v/>
      </c>
      <c r="AE328" s="147" t="str">
        <f t="shared" ca="1" si="29"/>
        <v/>
      </c>
      <c r="AF328" s="25"/>
      <c r="AH328" s="147" t="str">
        <f ca="1">IF(C328="","",VLOOKUP(C328,'Шаг1.Выбор плиты'!C:Q,7,0))</f>
        <v/>
      </c>
      <c r="AI328" s="147" t="str">
        <f t="shared" ca="1" si="27"/>
        <v/>
      </c>
    </row>
    <row r="329" spans="1:35" x14ac:dyDescent="0.2">
      <c r="A329" s="151" t="str">
        <f ca="1">IF(C329="","",MAX($A$1:OFFSET(C329,-1,0))+1)</f>
        <v/>
      </c>
      <c r="B329" s="151" t="str">
        <f ca="1">IFERROR(IFERROR(IFERROR("Шаг2.Бланк заказа NEW №"&amp;VLOOKUP(A328+1,CHOOSE({1,2},'Шаг2.Бланк заказа NEW'!$B$19:$B$201,'Шаг2.Бланк заказа NEW'!$A$19:$A$201),1,0),
"Бланк OLD 0.8 04 №"&amp;VLOOKUP(A328+1-COUNT('Шаг2.Бланк заказа NEW'!$B$19:$B$201),CHOOSE({1,2},'Бланк OLD 0.8 04'!$B$18:$B$200,'Бланк OLD 0.8 04'!$A$18:$A$200),1,0)),
"Бланк OLD 2.0 04 №"&amp;VLOOKUP(A328+1-COUNT('Шаг2.Бланк заказа NEW'!$B$19:$B$201)-COUNT('Бланк OLD 0.8 04'!$B$18:$B$200),CHOOSE({1,2},'Бланк OLD 2.0 04 '!$B$18:$B$200,'Бланк OLD 2.0 04 '!$A$18:$A$200),1,0)),"")</f>
        <v/>
      </c>
      <c r="C329" s="152" t="str">
        <f ca="1">IFERROR(IFERROR(IFERROR(VLOOKUP(A328+1,CHOOSE({1,2},'Шаг2.Бланк заказа NEW'!$B$19:$B$201,'Шаг2.Бланк заказа NEW'!$A$19:$A$201),2,0),
VLOOKUP(A328+1-COUNT('Шаг2.Бланк заказа NEW'!$B$19:$B$201),CHOOSE({1,2},'Бланк OLD 0.8 04'!$B$18:$B$200,'Бланк OLD 0.8 04'!$A$18:$A$200),2,0)),
VLOOKUP(A328+1-COUNT('Шаг2.Бланк заказа NEW'!$B$19:$B$201)-COUNT('Бланк OLD 0.8 04'!$B$18:$B$200),CHOOSE({1,2},'Бланк OLD 2.0 04 '!$B$18:$B$200,'Бланк OLD 2.0 04 '!$A$18:$A$200),2,0)),"")</f>
        <v/>
      </c>
      <c r="D329" s="150" t="str">
        <f ca="1">IFERROR(VLOOKUP(C329,'Шаг1.Выбор плиты'!C:G,5,0),"")</f>
        <v/>
      </c>
      <c r="E329" s="147" t="str">
        <f ca="1">IFERROR(IFERROR(IF(VLOOKUP($A329,'Шаг2.Бланк заказа NEW'!$B$17:$N$201,2,0)="","",VLOOKUP($A329,'Шаг2.Бланк заказа NEW'!$B$17:$N$201,2,0)),
IF(VLOOKUP($A329-COUNT('Шаг2.Бланк заказа NEW'!$B$19:$B$201),'Бланк OLD 0.8 04'!$B$12:$K$200,2,0)="","",VLOOKUP($A329-COUNT('Шаг2.Бланк заказа NEW'!$B$19:$B$201),'Бланк OLD 0.8 04'!$B$12:$K$200,2,0))),
IF(VLOOKUP($A329-COUNT('Шаг2.Бланк заказа NEW'!$B$19:$B$201)-COUNT('Бланк OLD 0.8 04'!$B$18:$B$200),'Бланк OLD 2.0 04 '!$B$16:$K$200,2,0)="","",VLOOKUP($A329-COUNT('Шаг2.Бланк заказа NEW'!$B$19:$B$201)-COUNT('Бланк OLD 0.8 04'!$B$18:$B$200),'Бланк OLD 2.0 04 '!$B$16:$K$200,2,0)))</f>
        <v/>
      </c>
      <c r="F329" s="147" t="str">
        <f ca="1">IFERROR(IFERROR(IF(VLOOKUP($A329,'Шаг2.Бланк заказа NEW'!$B$17:$N$201,3,0)="","",VLOOKUP($A329,'Шаг2.Бланк заказа NEW'!$B$17:$N$201,3,0)),
IF(VLOOKUP($A329-COUNT('Шаг2.Бланк заказа NEW'!$B$19:$B$201),'Бланк OLD 0.8 04'!$B$12:$K$200,3,0)="","",VLOOKUP($A329-COUNT('Шаг2.Бланк заказа NEW'!$B$19:$B$201),'Бланк OLD 0.8 04'!$B$12:$K$200,3,0))),
IF(VLOOKUP($A329-COUNT('Шаг2.Бланк заказа NEW'!$B$19:$B$201)-COUNT('Бланк OLD 0.8 04'!$B$18:$B$200),'Бланк OLD 2.0 04 '!$B$16:$K$200,3,0)="","",VLOOKUP($A329-COUNT('Шаг2.Бланк заказа NEW'!$B$19:$B$201)-COUNT('Бланк OLD 0.8 04'!$B$18:$B$200),'Бланк OLD 2.0 04 '!$B$16:$K$200,3,0)))</f>
        <v/>
      </c>
      <c r="G329" s="176" t="str">
        <f ca="1">IF(IF(R329="","",IF(R329=1,SUMIFS('Шаг1.Выбор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плиты'!C:Q,12,0)),1))))))=0,
R329,
IF(R329="","",IF(R329=1,SUMIFS('Шаг1.Выбор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плиты'!N:N,R329,'Шаг1.Выбор плиты'!M:M,SMALL(INDIRECT("мм"&amp;VLOOKUP(C329,'Шаг1.Выбор плиты'!C:Q,12,0)),1)))))))</f>
        <v/>
      </c>
      <c r="H329" s="177" t="str">
        <f ca="1">IF(IF(S329="","",IF(S329=1,SUMIFS('Шаг1.Выбор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плиты'!C:Q,12,0)),1))))))=0,
S329,
IF(S329="","",IF(S329=1,SUMIFS('Шаг1.Выбор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плиты'!N:N,S329,'Шаг1.Выбор плиты'!M:M,SMALL(INDIRECT("мм"&amp;VLOOKUP(C329,'Шаг1.Выбор плиты'!C:Q,12,0)),1)))))))</f>
        <v/>
      </c>
      <c r="I329" s="147" t="str">
        <f ca="1">IFERROR(IFERROR(IF(VLOOKUP($A329,'Шаг2.Бланк заказа NEW'!$B$17:$N$201,6,0)="","",VLOOKUP($A329,'Шаг2.Бланк заказа NEW'!$B$17:$N$201,6,0)),
IF(VLOOKUP($A329-COUNT('Шаг2.Бланк заказа NEW'!$B$19:$B$201),'Бланк OLD 0.8 04'!$B$12:$K$200,6,0)="","",VLOOKUP($A329-COUNT('Шаг2.Бланк заказа NEW'!$B$19:$B$201),'Бланк OLD 0.8 04'!$B$12:$K$200,6,0))),
IF(VLOOKUP($A329-COUNT('Шаг2.Бланк заказа NEW'!$B$19:$B$201)-COUNT('Бланк OLD 0.8 04'!$B$18:$B$200),'Бланк OLD 2.0 04 '!$B$16:$K$200,6,0)="","",VLOOKUP($A329-COUNT('Шаг2.Бланк заказа NEW'!$B$19:$B$201)-COUNT('Бланк OLD 0.8 04'!$B$18:$B$200),'Бланк OLD 2.0 04 '!$B$16:$K$200,6,0)))</f>
        <v/>
      </c>
      <c r="J329" s="177" t="str">
        <f ca="1">IF(IF(T329="","",IF(T329=1,SUMIFS('Шаг1.Выбор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плиты'!C:Q,12,0)),1))))))=0,
T329,
IF(T329="","",IF(T329=1,SUMIFS('Шаг1.Выбор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плиты'!N:N,T329,'Шаг1.Выбор плиты'!M:M,SMALL(INDIRECT("мм"&amp;VLOOKUP(C329,'Шаг1.Выбор плиты'!C:Q,12,0)),1)))))))</f>
        <v/>
      </c>
      <c r="K329" s="177" t="str">
        <f ca="1">IF(IF(U329="","",IF(U329=1,SUMIFS('Шаг1.Выбор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плиты'!C:Q,12,0)),1))))))=0,
U329,
IF(U329="","",IF(U329=1,SUMIFS('Шаг1.Выбор плиты'!$G:$G,'Шаг1.Выбор плиты'!J:J,"*"&amp;RIGHT(VLOOKUP(C329,'Шаг1.Выбор плиты'!C:Q,8,0),4),'Шаг1.Выбор плиты'!L:L,IF(MID(C329,1,6)="ЛДСП P","TM"&amp;MID(VLOOKUP(C329,'Шаг1.Выбор плиты'!C:Q,10,0),3,2),MID(VLOOKUP(C329,'Шаг1.Выбор плиты'!C:Q,10,0),1,2)),
'Шаг1.Выбор плиты'!N:N,1),IF(SUMIFS('Шаг1.Выбор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плиты'!C:Q,12,0)),1))=0,
IF(SUMIFS('Шаг1.Выбор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плиты'!C:Q,12,0)),2))=0,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плиты'!C:Q,12,0)),3)),
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плиты'!C:Q,12,0)),2))),
(SUMIFS('Шаг1.Выбор плиты'!$G:$G,'Шаг1.Выбор плиты'!J:J,"*"&amp;RIGHT(VLOOKUP(C329,'Шаг1.Выбор плиты'!C:Q,8,0),4),'Шаг1.Выбор плиты'!L:L,VLOOKUP(C329,'Шаг1.Выбор плиты'!C:Q,10,0),'Шаг1.Выбор плиты'!N:N,U329,'Шаг1.Выбор плиты'!M:M,SMALL(INDIRECT("мм"&amp;VLOOKUP(C329,'Шаг1.Выбор плиты'!C:Q,12,0)),1)))))))</f>
        <v/>
      </c>
      <c r="L329" s="147" t="str">
        <f ca="1">IFERROR(IFERROR(IF(VLOOKUP($A329,'Шаг2.Бланк заказа NEW'!$B$17:$N$201,9,0)="","",VLOOKUP($A329,'Шаг2.Бланк заказа NEW'!$B$17:$N$201,9,0)),
IF(VLOOKUP($A329-COUNT('Шаг2.Бланк заказа NEW'!$B$19:$B$201),'Бланк OLD 0.8 04'!$B$12:$K$200,9,0)="","",VLOOKUP($A329-COUNT('Шаг2.Бланк заказа NEW'!$B$19:$B$201),'Бланк OLD 0.8 04'!$B$12:$K$200,9,0))),
IF(VLOOKUP($A329-COUNT('Шаг2.Бланк заказа NEW'!$B$19:$B$201)-COUNT('Бланк OLD 0.8 04'!$B$18:$B$200),'Бланк OLD 2.0 04 '!$B$16:$K$200,9,0)="","",VLOOKUP($A329-COUNT('Шаг2.Бланк заказа NEW'!$B$19:$B$201)-COUNT('Бланк OLD 0.8 04'!$B$18:$B$200),'Бланк OLD 2.0 04 '!$B$16:$K$200,9,0)))</f>
        <v/>
      </c>
      <c r="M329" s="154" t="str">
        <f t="shared" ca="1" si="25"/>
        <v/>
      </c>
      <c r="N329" s="153" t="str">
        <f ca="1">IFERROR(IF(VLOOKUP($A329,'Шаг2.Бланк заказа NEW'!$B$17:$N$201,11,0)="","",VLOOKUP($A329,'Шаг2.Бланк заказа NEW'!$B$17:$N$201,11,0)),
"Нет")</f>
        <v/>
      </c>
      <c r="O329" s="147" t="str">
        <f ca="1">IFERROR(IF(VLOOKUP($A329,'Шаг2.Бланк заказа NEW'!$B$17:$N$201,11,0)="","",VLOOKUP($A329,'Шаг2.Бланк заказа NEW'!$B$17:$N$201,12,0)),
"Нет")</f>
        <v/>
      </c>
      <c r="P329" s="153" t="str">
        <f ca="1">IFERROR(IF(VLOOKUP($A329,'Шаг2.Бланк заказа NEW'!$B$17:$N$201,13,0)="","",VLOOKUP($A329,'Шаг2.Бланк заказа NEW'!$B$17:$N$201,13,0)),
"Нет")</f>
        <v/>
      </c>
      <c r="Q329" s="147" t="str">
        <f ca="1">IFERROR(IF(VLOOKUP($A329,'Шаг2.Бланк заказа NEW'!$B$17:$O$201,14,0)="","",VLOOKUP($A329,'Шаг2.Бланк заказа NEW'!$B$17:$O$201,14,0)),"")</f>
        <v/>
      </c>
      <c r="R329" s="147" t="str">
        <f ca="1">IFERROR(IFERROR(IF(VLOOKUP($A329,'Шаг2.Бланк заказа NEW'!$B$17:$N$201,4,0)="","",VLOOKUP($A329,'Шаг2.Бланк заказа NEW'!$B$17:$N$201,4,0)),
IF(VLOOKUP($A329-COUNT('Шаг2.Бланк заказа NEW'!$B$19:$B$201),'Бланк OLD 0.8 04'!$B$12:$K$200,4,0)&gt;0,0.8,
IF(VLOOKUP($A329-COUNT('Шаг2.Бланк заказа NEW'!$B$19:$B$201),'Бланк OLD 0.8 04'!$B$12:$K$200,5,0)&gt;0,0.4,""))),
IF(VLOOKUP($A329-COUNT('Шаг2.Бланк заказа NEW'!$B$19:$B$201)-COUNT('Бланк OLD 0.8 04'!$B$18:$B$200),'Бланк OLD 2.0 04 '!$B$16:$K$200,4,0)&gt;0,2,IF(VLOOKUP($A329-COUNT('Шаг2.Бланк заказа NEW'!$B$19:$B$201)-COUNT('Бланк OLD 0.8 04'!$B$18:$B$200),'Бланк OLD 2.0 04 '!$B$16:$K$200,5,0)&gt;0,0.4,"")))</f>
        <v/>
      </c>
      <c r="S329" s="147" t="str">
        <f ca="1">IFERROR(IFERROR(IF(VLOOKUP($A329,'Шаг2.Бланк заказа NEW'!$B$17:$N$201,5,0)="","",VLOOKUP($A329,'Шаг2.Бланк заказа NEW'!$B$17:$N$201,5,0)),
IF(VLOOKUP($A329-COUNT('Шаг2.Бланк заказа NEW'!$B$19:$B$201),'Бланк OLD 0.8 04'!$B$12:$K$200,4,0)&gt;1,0.8,
IF(VLOOKUP($A329-COUNT('Шаг2.Бланк заказа NEW'!$B$19:$B$201),'Бланк OLD 0.8 04'!$B$12:$K$200,5,0)&gt;1,0.4,
IF(AND(VLOOKUP($A329-COUNT('Шаг2.Бланк заказа NEW'!$B$19:$B$201),'Бланк OLD 0.8 04'!$B$12:$K$200,4,0)&gt;0,VLOOKUP($A329-COUNT('Шаг2.Бланк заказа NEW'!$B$19:$B$201),'Бланк OLD 0.8 04'!$B$12:$K$200,5,0)&gt;0),0.4,"")))),
IF(VLOOKUP($A329-COUNT('Шаг2.Бланк заказа NEW'!$B$19:$B$201)-COUNT('Бланк OLD 0.8 04'!$B$18:$B$200),'Бланк OLD 2.0 04 '!$B$16:$K$200,4,0)&gt;1,2,
IF(VLOOKUP($A329-COUNT('Шаг2.Бланк заказа NEW'!$B$19:$B$201)-COUNT('Бланк OLD 0.8 04'!$B$18:$B$200),'Бланк OLD 2.0 04 '!$B$16:$K$200,5,0)&gt;1,0.4,IF(AND(VLOOKUP($A329-COUNT('Шаг2.Бланк заказа NEW'!$B$19:$B$201)-COUNT('Бланк OLD 0.8 04'!$B$18:$B$200),'Бланк OLD 2.0 04 '!$B$16:$K$200,4,0)&gt;0,VLOOKUP($A329-COUNT('Шаг2.Бланк заказа NEW'!$B$19:$B$201)-COUNT('Бланк OLD 0.8 04'!$B$18:$B$200),'Бланк OLD 2.0 04 '!$B$16:$K$200,5,0)&gt;0),0.4,""))))</f>
        <v/>
      </c>
      <c r="T329" s="147" t="str">
        <f ca="1">IFERROR(IFERROR(IF(VLOOKUP($A329,'Шаг2.Бланк заказа NEW'!$B$17:$N$201,7,0)="","",VLOOKUP($A329,'Шаг2.Бланк заказа NEW'!$B$17:$N$201,7,0)),
IF(VLOOKUP($A329-COUNT('Шаг2.Бланк заказа NEW'!$B$19:$B$201),'Бланк OLD 0.8 04'!$B$12:$K$200,7,0)&gt;0,0.8,
IF(VLOOKUP($A329-COUNT('Шаг2.Бланк заказа NEW'!$B$19:$B$201),'Бланк OLD 0.8 04'!$B$12:$K$200,8,0)&gt;0,0.4,""))),
IF(VLOOKUP($A329-COUNT('Шаг2.Бланк заказа NEW'!$B$19:$B$201)-COUNT('Бланк OLD 0.8 04'!$B$18:$B$200),'Бланк OLD 2.0 04 '!$B$16:$K$200,7,0)&gt;0,2,IF(VLOOKUP($A329-COUNT('Шаг2.Бланк заказа NEW'!$B$19:$B$201)-COUNT('Бланк OLD 0.8 04'!$B$18:$B$200),'Бланк OLD 2.0 04 '!$B$16:$K$200,8,0)&gt;0,0.4,"")))</f>
        <v/>
      </c>
      <c r="U329" s="147" t="str">
        <f ca="1">IFERROR(IFERROR(IF(VLOOKUP($A329,'Шаг2.Бланк заказа NEW'!$B$17:$N$201,8,0)="","",VLOOKUP($A329,'Шаг2.Бланк заказа NEW'!$B$17:$N$201,8,0)),
IF(VLOOKUP($A329-COUNT('Шаг2.Бланк заказа NEW'!$B$19:$B$201),'Бланк OLD 0.8 04'!$B$12:$K$200,7,0)&gt;1,0.8,
IF(VLOOKUP($A329-COUNT('Шаг2.Бланк заказа NEW'!$B$19:$B$201),'Бланк OLD 0.8 04'!$B$12:$K$200,8,0)&gt;1,0.4,
IF(AND(VLOOKUP($A329-COUNT('Шаг2.Бланк заказа NEW'!$B$19:$B$201),'Бланк OLD 0.8 04'!$B$12:$K$200,7,0)&gt;0,VLOOKUP($A329-COUNT('Шаг2.Бланк заказа NEW'!$B$19:$B$201),'Бланк OLD 0.8 04'!$B$12:$K$200,8,0)&gt;0),0.4,"")))),
IF(VLOOKUP($A329-COUNT('Шаг2.Бланк заказа NEW'!$B$19:$B$201)-COUNT('Бланк OLD 0.8 04'!$B$18:$B$200),'Бланк OLD 2.0 04 '!$B$16:$K$200,7,0)&gt;1,2,
IF(VLOOKUP($A329-COUNT('Шаг2.Бланк заказа NEW'!$B$19:$B$201)-COUNT('Бланк OLD 0.8 04'!$B$18:$B$200),'Бланк OLD 2.0 04 '!$B$16:$K$200,8,0)&gt;1,0.4,
IF(AND(VLOOKUP($A329-COUNT('Шаг2.Бланк заказа NEW'!$B$19:$B$201)-COUNT('Бланк OLD 0.8 04'!$B$18:$B$200),'Бланк OLD 2.0 04 '!$B$16:$K$200,7,0)&gt;0,VLOOKUP($A329-COUNT('Шаг2.Бланк заказа NEW'!$B$19:$B$201)-COUNT('Бланк OLD 0.8 04'!$B$18:$B$200),'Бланк OLD 2.0 04 '!$B$16:$K$200,8,0)&gt;0),0.4,""))))</f>
        <v/>
      </c>
      <c r="V329" s="146" t="str">
        <f ca="1">IFERROR(VLOOKUP(C329,'Шаг1.Выбор плиты'!C:S,12,0),"")</f>
        <v/>
      </c>
      <c r="W329" s="146" t="str">
        <f ca="1">IFERROR(VLOOKUP(C329,'Шаг1.Выбор плиты'!C:S,8,0),"")</f>
        <v/>
      </c>
      <c r="X329" s="146" t="str">
        <f ca="1">IFERROR(VLOOKUP(C329,'Шаг1.Выбор плиты'!C:S,10,0),"")</f>
        <v/>
      </c>
      <c r="Y329" s="147" t="str">
        <f t="shared" ca="1" si="28"/>
        <v/>
      </c>
      <c r="AD329" s="147" t="str">
        <f t="shared" ca="1" si="26"/>
        <v/>
      </c>
      <c r="AE329" s="147" t="str">
        <f t="shared" ca="1" si="29"/>
        <v/>
      </c>
      <c r="AF329" s="25"/>
      <c r="AH329" s="147" t="str">
        <f ca="1">IF(C329="","",VLOOKUP(C329,'Шаг1.Выбор плиты'!C:Q,7,0))</f>
        <v/>
      </c>
      <c r="AI329" s="147" t="str">
        <f t="shared" ca="1" si="27"/>
        <v/>
      </c>
    </row>
    <row r="330" spans="1:35" x14ac:dyDescent="0.2">
      <c r="A330" s="151" t="str">
        <f ca="1">IF(C330="","",MAX($A$1:OFFSET(C330,-1,0))+1)</f>
        <v/>
      </c>
      <c r="B330" s="151" t="str">
        <f ca="1">IFERROR(IFERROR(IFERROR("Шаг2.Бланк заказа NEW №"&amp;VLOOKUP(A329+1,CHOOSE({1,2},'Шаг2.Бланк заказа NEW'!$B$19:$B$201,'Шаг2.Бланк заказа NEW'!$A$19:$A$201),1,0),
"Бланк OLD 0.8 04 №"&amp;VLOOKUP(A329+1-COUNT('Шаг2.Бланк заказа NEW'!$B$19:$B$201),CHOOSE({1,2},'Бланк OLD 0.8 04'!$B$18:$B$200,'Бланк OLD 0.8 04'!$A$18:$A$200),1,0)),
"Бланк OLD 2.0 04 №"&amp;VLOOKUP(A329+1-COUNT('Шаг2.Бланк заказа NEW'!$B$19:$B$201)-COUNT('Бланк OLD 0.8 04'!$B$18:$B$200),CHOOSE({1,2},'Бланк OLD 2.0 04 '!$B$18:$B$200,'Бланк OLD 2.0 04 '!$A$18:$A$200),1,0)),"")</f>
        <v/>
      </c>
      <c r="C330" s="152" t="str">
        <f ca="1">IFERROR(IFERROR(IFERROR(VLOOKUP(A329+1,CHOOSE({1,2},'Шаг2.Бланк заказа NEW'!$B$19:$B$201,'Шаг2.Бланк заказа NEW'!$A$19:$A$201),2,0),
VLOOKUP(A329+1-COUNT('Шаг2.Бланк заказа NEW'!$B$19:$B$201),CHOOSE({1,2},'Бланк OLD 0.8 04'!$B$18:$B$200,'Бланк OLD 0.8 04'!$A$18:$A$200),2,0)),
VLOOKUP(A329+1-COUNT('Шаг2.Бланк заказа NEW'!$B$19:$B$201)-COUNT('Бланк OLD 0.8 04'!$B$18:$B$200),CHOOSE({1,2},'Бланк OLD 2.0 04 '!$B$18:$B$200,'Бланк OLD 2.0 04 '!$A$18:$A$200),2,0)),"")</f>
        <v/>
      </c>
      <c r="D330" s="150" t="str">
        <f ca="1">IFERROR(VLOOKUP(C330,'Шаг1.Выбор плиты'!C:G,5,0),"")</f>
        <v/>
      </c>
      <c r="E330" s="147" t="str">
        <f ca="1">IFERROR(IFERROR(IF(VLOOKUP($A330,'Шаг2.Бланк заказа NEW'!$B$17:$N$201,2,0)="","",VLOOKUP($A330,'Шаг2.Бланк заказа NEW'!$B$17:$N$201,2,0)),
IF(VLOOKUP($A330-COUNT('Шаг2.Бланк заказа NEW'!$B$19:$B$201),'Бланк OLD 0.8 04'!$B$12:$K$200,2,0)="","",VLOOKUP($A330-COUNT('Шаг2.Бланк заказа NEW'!$B$19:$B$201),'Бланк OLD 0.8 04'!$B$12:$K$200,2,0))),
IF(VLOOKUP($A330-COUNT('Шаг2.Бланк заказа NEW'!$B$19:$B$201)-COUNT('Бланк OLD 0.8 04'!$B$18:$B$200),'Бланк OLD 2.0 04 '!$B$16:$K$200,2,0)="","",VLOOKUP($A330-COUNT('Шаг2.Бланк заказа NEW'!$B$19:$B$201)-COUNT('Бланк OLD 0.8 04'!$B$18:$B$200),'Бланк OLD 2.0 04 '!$B$16:$K$200,2,0)))</f>
        <v/>
      </c>
      <c r="F330" s="147" t="str">
        <f ca="1">IFERROR(IFERROR(IF(VLOOKUP($A330,'Шаг2.Бланк заказа NEW'!$B$17:$N$201,3,0)="","",VLOOKUP($A330,'Шаг2.Бланк заказа NEW'!$B$17:$N$201,3,0)),
IF(VLOOKUP($A330-COUNT('Шаг2.Бланк заказа NEW'!$B$19:$B$201),'Бланк OLD 0.8 04'!$B$12:$K$200,3,0)="","",VLOOKUP($A330-COUNT('Шаг2.Бланк заказа NEW'!$B$19:$B$201),'Бланк OLD 0.8 04'!$B$12:$K$200,3,0))),
IF(VLOOKUP($A330-COUNT('Шаг2.Бланк заказа NEW'!$B$19:$B$201)-COUNT('Бланк OLD 0.8 04'!$B$18:$B$200),'Бланк OLD 2.0 04 '!$B$16:$K$200,3,0)="","",VLOOKUP($A330-COUNT('Шаг2.Бланк заказа NEW'!$B$19:$B$201)-COUNT('Бланк OLD 0.8 04'!$B$18:$B$200),'Бланк OLD 2.0 04 '!$B$16:$K$200,3,0)))</f>
        <v/>
      </c>
      <c r="G330" s="176" t="str">
        <f ca="1">IF(IF(R330="","",IF(R330=1,SUMIFS('Шаг1.Выбор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плиты'!C:Q,12,0)),1))))))=0,
R330,
IF(R330="","",IF(R330=1,SUMIFS('Шаг1.Выбор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плиты'!N:N,R330,'Шаг1.Выбор плиты'!M:M,SMALL(INDIRECT("мм"&amp;VLOOKUP(C330,'Шаг1.Выбор плиты'!C:Q,12,0)),1)))))))</f>
        <v/>
      </c>
      <c r="H330" s="177" t="str">
        <f ca="1">IF(IF(S330="","",IF(S330=1,SUMIFS('Шаг1.Выбор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плиты'!C:Q,12,0)),1))))))=0,
S330,
IF(S330="","",IF(S330=1,SUMIFS('Шаг1.Выбор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плиты'!N:N,S330,'Шаг1.Выбор плиты'!M:M,SMALL(INDIRECT("мм"&amp;VLOOKUP(C330,'Шаг1.Выбор плиты'!C:Q,12,0)),1)))))))</f>
        <v/>
      </c>
      <c r="I330" s="147" t="str">
        <f ca="1">IFERROR(IFERROR(IF(VLOOKUP($A330,'Шаг2.Бланк заказа NEW'!$B$17:$N$201,6,0)="","",VLOOKUP($A330,'Шаг2.Бланк заказа NEW'!$B$17:$N$201,6,0)),
IF(VLOOKUP($A330-COUNT('Шаг2.Бланк заказа NEW'!$B$19:$B$201),'Бланк OLD 0.8 04'!$B$12:$K$200,6,0)="","",VLOOKUP($A330-COUNT('Шаг2.Бланк заказа NEW'!$B$19:$B$201),'Бланк OLD 0.8 04'!$B$12:$K$200,6,0))),
IF(VLOOKUP($A330-COUNT('Шаг2.Бланк заказа NEW'!$B$19:$B$201)-COUNT('Бланк OLD 0.8 04'!$B$18:$B$200),'Бланк OLD 2.0 04 '!$B$16:$K$200,6,0)="","",VLOOKUP($A330-COUNT('Шаг2.Бланк заказа NEW'!$B$19:$B$201)-COUNT('Бланк OLD 0.8 04'!$B$18:$B$200),'Бланк OLD 2.0 04 '!$B$16:$K$200,6,0)))</f>
        <v/>
      </c>
      <c r="J330" s="177" t="str">
        <f ca="1">IF(IF(T330="","",IF(T330=1,SUMIFS('Шаг1.Выбор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плиты'!C:Q,12,0)),1))))))=0,
T330,
IF(T330="","",IF(T330=1,SUMIFS('Шаг1.Выбор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плиты'!N:N,T330,'Шаг1.Выбор плиты'!M:M,SMALL(INDIRECT("мм"&amp;VLOOKUP(C330,'Шаг1.Выбор плиты'!C:Q,12,0)),1)))))))</f>
        <v/>
      </c>
      <c r="K330" s="177" t="str">
        <f ca="1">IF(IF(U330="","",IF(U330=1,SUMIFS('Шаг1.Выбор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плиты'!C:Q,12,0)),1))))))=0,
U330,
IF(U330="","",IF(U330=1,SUMIFS('Шаг1.Выбор плиты'!$G:$G,'Шаг1.Выбор плиты'!J:J,"*"&amp;RIGHT(VLOOKUP(C330,'Шаг1.Выбор плиты'!C:Q,8,0),4),'Шаг1.Выбор плиты'!L:L,IF(MID(C330,1,6)="ЛДСП P","TM"&amp;MID(VLOOKUP(C330,'Шаг1.Выбор плиты'!C:Q,10,0),3,2),MID(VLOOKUP(C330,'Шаг1.Выбор плиты'!C:Q,10,0),1,2)),
'Шаг1.Выбор плиты'!N:N,1),IF(SUMIFS('Шаг1.Выбор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плиты'!C:Q,12,0)),1))=0,
IF(SUMIFS('Шаг1.Выбор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плиты'!C:Q,12,0)),2))=0,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плиты'!C:Q,12,0)),3)),
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плиты'!C:Q,12,0)),2))),
(SUMIFS('Шаг1.Выбор плиты'!$G:$G,'Шаг1.Выбор плиты'!J:J,"*"&amp;RIGHT(VLOOKUP(C330,'Шаг1.Выбор плиты'!C:Q,8,0),4),'Шаг1.Выбор плиты'!L:L,VLOOKUP(C330,'Шаг1.Выбор плиты'!C:Q,10,0),'Шаг1.Выбор плиты'!N:N,U330,'Шаг1.Выбор плиты'!M:M,SMALL(INDIRECT("мм"&amp;VLOOKUP(C330,'Шаг1.Выбор плиты'!C:Q,12,0)),1)))))))</f>
        <v/>
      </c>
      <c r="L330" s="147" t="str">
        <f ca="1">IFERROR(IFERROR(IF(VLOOKUP($A330,'Шаг2.Бланк заказа NEW'!$B$17:$N$201,9,0)="","",VLOOKUP($A330,'Шаг2.Бланк заказа NEW'!$B$17:$N$201,9,0)),
IF(VLOOKUP($A330-COUNT('Шаг2.Бланк заказа NEW'!$B$19:$B$201),'Бланк OLD 0.8 04'!$B$12:$K$200,9,0)="","",VLOOKUP($A330-COUNT('Шаг2.Бланк заказа NEW'!$B$19:$B$201),'Бланк OLD 0.8 04'!$B$12:$K$200,9,0))),
IF(VLOOKUP($A330-COUNT('Шаг2.Бланк заказа NEW'!$B$19:$B$201)-COUNT('Бланк OLD 0.8 04'!$B$18:$B$200),'Бланк OLD 2.0 04 '!$B$16:$K$200,9,0)="","",VLOOKUP($A330-COUNT('Шаг2.Бланк заказа NEW'!$B$19:$B$201)-COUNT('Бланк OLD 0.8 04'!$B$18:$B$200),'Бланк OLD 2.0 04 '!$B$16:$K$200,9,0)))</f>
        <v/>
      </c>
      <c r="M330" s="154" t="str">
        <f t="shared" ca="1" si="25"/>
        <v/>
      </c>
      <c r="N330" s="153" t="str">
        <f ca="1">IFERROR(IF(VLOOKUP($A330,'Шаг2.Бланк заказа NEW'!$B$17:$N$201,11,0)="","",VLOOKUP($A330,'Шаг2.Бланк заказа NEW'!$B$17:$N$201,11,0)),
"Нет")</f>
        <v/>
      </c>
      <c r="O330" s="147" t="str">
        <f ca="1">IFERROR(IF(VLOOKUP($A330,'Шаг2.Бланк заказа NEW'!$B$17:$N$201,11,0)="","",VLOOKUP($A330,'Шаг2.Бланк заказа NEW'!$B$17:$N$201,12,0)),
"Нет")</f>
        <v/>
      </c>
      <c r="P330" s="153" t="str">
        <f ca="1">IFERROR(IF(VLOOKUP($A330,'Шаг2.Бланк заказа NEW'!$B$17:$N$201,13,0)="","",VLOOKUP($A330,'Шаг2.Бланк заказа NEW'!$B$17:$N$201,13,0)),
"Нет")</f>
        <v/>
      </c>
      <c r="Q330" s="147" t="str">
        <f ca="1">IFERROR(IF(VLOOKUP($A330,'Шаг2.Бланк заказа NEW'!$B$17:$O$201,14,0)="","",VLOOKUP($A330,'Шаг2.Бланк заказа NEW'!$B$17:$O$201,14,0)),"")</f>
        <v/>
      </c>
      <c r="R330" s="147" t="str">
        <f ca="1">IFERROR(IFERROR(IF(VLOOKUP($A330,'Шаг2.Бланк заказа NEW'!$B$17:$N$201,4,0)="","",VLOOKUP($A330,'Шаг2.Бланк заказа NEW'!$B$17:$N$201,4,0)),
IF(VLOOKUP($A330-COUNT('Шаг2.Бланк заказа NEW'!$B$19:$B$201),'Бланк OLD 0.8 04'!$B$12:$K$200,4,0)&gt;0,0.8,
IF(VLOOKUP($A330-COUNT('Шаг2.Бланк заказа NEW'!$B$19:$B$201),'Бланк OLD 0.8 04'!$B$12:$K$200,5,0)&gt;0,0.4,""))),
IF(VLOOKUP($A330-COUNT('Шаг2.Бланк заказа NEW'!$B$19:$B$201)-COUNT('Бланк OLD 0.8 04'!$B$18:$B$200),'Бланк OLD 2.0 04 '!$B$16:$K$200,4,0)&gt;0,2,IF(VLOOKUP($A330-COUNT('Шаг2.Бланк заказа NEW'!$B$19:$B$201)-COUNT('Бланк OLD 0.8 04'!$B$18:$B$200),'Бланк OLD 2.0 04 '!$B$16:$K$200,5,0)&gt;0,0.4,"")))</f>
        <v/>
      </c>
      <c r="S330" s="147" t="str">
        <f ca="1">IFERROR(IFERROR(IF(VLOOKUP($A330,'Шаг2.Бланк заказа NEW'!$B$17:$N$201,5,0)="","",VLOOKUP($A330,'Шаг2.Бланк заказа NEW'!$B$17:$N$201,5,0)),
IF(VLOOKUP($A330-COUNT('Шаг2.Бланк заказа NEW'!$B$19:$B$201),'Бланк OLD 0.8 04'!$B$12:$K$200,4,0)&gt;1,0.8,
IF(VLOOKUP($A330-COUNT('Шаг2.Бланк заказа NEW'!$B$19:$B$201),'Бланк OLD 0.8 04'!$B$12:$K$200,5,0)&gt;1,0.4,
IF(AND(VLOOKUP($A330-COUNT('Шаг2.Бланк заказа NEW'!$B$19:$B$201),'Бланк OLD 0.8 04'!$B$12:$K$200,4,0)&gt;0,VLOOKUP($A330-COUNT('Шаг2.Бланк заказа NEW'!$B$19:$B$201),'Бланк OLD 0.8 04'!$B$12:$K$200,5,0)&gt;0),0.4,"")))),
IF(VLOOKUP($A330-COUNT('Шаг2.Бланк заказа NEW'!$B$19:$B$201)-COUNT('Бланк OLD 0.8 04'!$B$18:$B$200),'Бланк OLD 2.0 04 '!$B$16:$K$200,4,0)&gt;1,2,
IF(VLOOKUP($A330-COUNT('Шаг2.Бланк заказа NEW'!$B$19:$B$201)-COUNT('Бланк OLD 0.8 04'!$B$18:$B$200),'Бланк OLD 2.0 04 '!$B$16:$K$200,5,0)&gt;1,0.4,IF(AND(VLOOKUP($A330-COUNT('Шаг2.Бланк заказа NEW'!$B$19:$B$201)-COUNT('Бланк OLD 0.8 04'!$B$18:$B$200),'Бланк OLD 2.0 04 '!$B$16:$K$200,4,0)&gt;0,VLOOKUP($A330-COUNT('Шаг2.Бланк заказа NEW'!$B$19:$B$201)-COUNT('Бланк OLD 0.8 04'!$B$18:$B$200),'Бланк OLD 2.0 04 '!$B$16:$K$200,5,0)&gt;0),0.4,""))))</f>
        <v/>
      </c>
      <c r="T330" s="147" t="str">
        <f ca="1">IFERROR(IFERROR(IF(VLOOKUP($A330,'Шаг2.Бланк заказа NEW'!$B$17:$N$201,7,0)="","",VLOOKUP($A330,'Шаг2.Бланк заказа NEW'!$B$17:$N$201,7,0)),
IF(VLOOKUP($A330-COUNT('Шаг2.Бланк заказа NEW'!$B$19:$B$201),'Бланк OLD 0.8 04'!$B$12:$K$200,7,0)&gt;0,0.8,
IF(VLOOKUP($A330-COUNT('Шаг2.Бланк заказа NEW'!$B$19:$B$201),'Бланк OLD 0.8 04'!$B$12:$K$200,8,0)&gt;0,0.4,""))),
IF(VLOOKUP($A330-COUNT('Шаг2.Бланк заказа NEW'!$B$19:$B$201)-COUNT('Бланк OLD 0.8 04'!$B$18:$B$200),'Бланк OLD 2.0 04 '!$B$16:$K$200,7,0)&gt;0,2,IF(VLOOKUP($A330-COUNT('Шаг2.Бланк заказа NEW'!$B$19:$B$201)-COUNT('Бланк OLD 0.8 04'!$B$18:$B$200),'Бланк OLD 2.0 04 '!$B$16:$K$200,8,0)&gt;0,0.4,"")))</f>
        <v/>
      </c>
      <c r="U330" s="147" t="str">
        <f ca="1">IFERROR(IFERROR(IF(VLOOKUP($A330,'Шаг2.Бланк заказа NEW'!$B$17:$N$201,8,0)="","",VLOOKUP($A330,'Шаг2.Бланк заказа NEW'!$B$17:$N$201,8,0)),
IF(VLOOKUP($A330-COUNT('Шаг2.Бланк заказа NEW'!$B$19:$B$201),'Бланк OLD 0.8 04'!$B$12:$K$200,7,0)&gt;1,0.8,
IF(VLOOKUP($A330-COUNT('Шаг2.Бланк заказа NEW'!$B$19:$B$201),'Бланк OLD 0.8 04'!$B$12:$K$200,8,0)&gt;1,0.4,
IF(AND(VLOOKUP($A330-COUNT('Шаг2.Бланк заказа NEW'!$B$19:$B$201),'Бланк OLD 0.8 04'!$B$12:$K$200,7,0)&gt;0,VLOOKUP($A330-COUNT('Шаг2.Бланк заказа NEW'!$B$19:$B$201),'Бланк OLD 0.8 04'!$B$12:$K$200,8,0)&gt;0),0.4,"")))),
IF(VLOOKUP($A330-COUNT('Шаг2.Бланк заказа NEW'!$B$19:$B$201)-COUNT('Бланк OLD 0.8 04'!$B$18:$B$200),'Бланк OLD 2.0 04 '!$B$16:$K$200,7,0)&gt;1,2,
IF(VLOOKUP($A330-COUNT('Шаг2.Бланк заказа NEW'!$B$19:$B$201)-COUNT('Бланк OLD 0.8 04'!$B$18:$B$200),'Бланк OLD 2.0 04 '!$B$16:$K$200,8,0)&gt;1,0.4,
IF(AND(VLOOKUP($A330-COUNT('Шаг2.Бланк заказа NEW'!$B$19:$B$201)-COUNT('Бланк OLD 0.8 04'!$B$18:$B$200),'Бланк OLD 2.0 04 '!$B$16:$K$200,7,0)&gt;0,VLOOKUP($A330-COUNT('Шаг2.Бланк заказа NEW'!$B$19:$B$201)-COUNT('Бланк OLD 0.8 04'!$B$18:$B$200),'Бланк OLD 2.0 04 '!$B$16:$K$200,8,0)&gt;0),0.4,""))))</f>
        <v/>
      </c>
      <c r="V330" s="146" t="str">
        <f ca="1">IFERROR(VLOOKUP(C330,'Шаг1.Выбор плиты'!C:S,12,0),"")</f>
        <v/>
      </c>
      <c r="W330" s="146" t="str">
        <f ca="1">IFERROR(VLOOKUP(C330,'Шаг1.Выбор плиты'!C:S,8,0),"")</f>
        <v/>
      </c>
      <c r="X330" s="146" t="str">
        <f ca="1">IFERROR(VLOOKUP(C330,'Шаг1.Выбор плиты'!C:S,10,0),"")</f>
        <v/>
      </c>
      <c r="Y330" s="147" t="str">
        <f t="shared" ca="1" si="28"/>
        <v/>
      </c>
      <c r="AD330" s="147" t="str">
        <f t="shared" ca="1" si="26"/>
        <v/>
      </c>
      <c r="AE330" s="147" t="str">
        <f t="shared" ca="1" si="29"/>
        <v/>
      </c>
      <c r="AF330" s="25"/>
      <c r="AH330" s="147" t="str">
        <f ca="1">IF(C330="","",VLOOKUP(C330,'Шаг1.Выбор плиты'!C:Q,7,0))</f>
        <v/>
      </c>
      <c r="AI330" s="147" t="str">
        <f t="shared" ca="1" si="27"/>
        <v/>
      </c>
    </row>
    <row r="331" spans="1:35" x14ac:dyDescent="0.2">
      <c r="A331" s="151" t="str">
        <f ca="1">IF(C331="","",MAX($A$1:OFFSET(C331,-1,0))+1)</f>
        <v/>
      </c>
      <c r="B331" s="151" t="str">
        <f ca="1">IFERROR(IFERROR(IFERROR("Шаг2.Бланк заказа NEW №"&amp;VLOOKUP(A330+1,CHOOSE({1,2},'Шаг2.Бланк заказа NEW'!$B$19:$B$201,'Шаг2.Бланк заказа NEW'!$A$19:$A$201),1,0),
"Бланк OLD 0.8 04 №"&amp;VLOOKUP(A330+1-COUNT('Шаг2.Бланк заказа NEW'!$B$19:$B$201),CHOOSE({1,2},'Бланк OLD 0.8 04'!$B$18:$B$200,'Бланк OLD 0.8 04'!$A$18:$A$200),1,0)),
"Бланк OLD 2.0 04 №"&amp;VLOOKUP(A330+1-COUNT('Шаг2.Бланк заказа NEW'!$B$19:$B$201)-COUNT('Бланк OLD 0.8 04'!$B$18:$B$200),CHOOSE({1,2},'Бланк OLD 2.0 04 '!$B$18:$B$200,'Бланк OLD 2.0 04 '!$A$18:$A$200),1,0)),"")</f>
        <v/>
      </c>
      <c r="C331" s="152" t="str">
        <f ca="1">IFERROR(IFERROR(IFERROR(VLOOKUP(A330+1,CHOOSE({1,2},'Шаг2.Бланк заказа NEW'!$B$19:$B$201,'Шаг2.Бланк заказа NEW'!$A$19:$A$201),2,0),
VLOOKUP(A330+1-COUNT('Шаг2.Бланк заказа NEW'!$B$19:$B$201),CHOOSE({1,2},'Бланк OLD 0.8 04'!$B$18:$B$200,'Бланк OLD 0.8 04'!$A$18:$A$200),2,0)),
VLOOKUP(A330+1-COUNT('Шаг2.Бланк заказа NEW'!$B$19:$B$201)-COUNT('Бланк OLD 0.8 04'!$B$18:$B$200),CHOOSE({1,2},'Бланк OLD 2.0 04 '!$B$18:$B$200,'Бланк OLD 2.0 04 '!$A$18:$A$200),2,0)),"")</f>
        <v/>
      </c>
      <c r="D331" s="150" t="str">
        <f ca="1">IFERROR(VLOOKUP(C331,'Шаг1.Выбор плиты'!C:G,5,0),"")</f>
        <v/>
      </c>
      <c r="E331" s="147" t="str">
        <f ca="1">IFERROR(IFERROR(IF(VLOOKUP($A331,'Шаг2.Бланк заказа NEW'!$B$17:$N$201,2,0)="","",VLOOKUP($A331,'Шаг2.Бланк заказа NEW'!$B$17:$N$201,2,0)),
IF(VLOOKUP($A331-COUNT('Шаг2.Бланк заказа NEW'!$B$19:$B$201),'Бланк OLD 0.8 04'!$B$12:$K$200,2,0)="","",VLOOKUP($A331-COUNT('Шаг2.Бланк заказа NEW'!$B$19:$B$201),'Бланк OLD 0.8 04'!$B$12:$K$200,2,0))),
IF(VLOOKUP($A331-COUNT('Шаг2.Бланк заказа NEW'!$B$19:$B$201)-COUNT('Бланк OLD 0.8 04'!$B$18:$B$200),'Бланк OLD 2.0 04 '!$B$16:$K$200,2,0)="","",VLOOKUP($A331-COUNT('Шаг2.Бланк заказа NEW'!$B$19:$B$201)-COUNT('Бланк OLD 0.8 04'!$B$18:$B$200),'Бланк OLD 2.0 04 '!$B$16:$K$200,2,0)))</f>
        <v/>
      </c>
      <c r="F331" s="147" t="str">
        <f ca="1">IFERROR(IFERROR(IF(VLOOKUP($A331,'Шаг2.Бланк заказа NEW'!$B$17:$N$201,3,0)="","",VLOOKUP($A331,'Шаг2.Бланк заказа NEW'!$B$17:$N$201,3,0)),
IF(VLOOKUP($A331-COUNT('Шаг2.Бланк заказа NEW'!$B$19:$B$201),'Бланк OLD 0.8 04'!$B$12:$K$200,3,0)="","",VLOOKUP($A331-COUNT('Шаг2.Бланк заказа NEW'!$B$19:$B$201),'Бланк OLD 0.8 04'!$B$12:$K$200,3,0))),
IF(VLOOKUP($A331-COUNT('Шаг2.Бланк заказа NEW'!$B$19:$B$201)-COUNT('Бланк OLD 0.8 04'!$B$18:$B$200),'Бланк OLD 2.0 04 '!$B$16:$K$200,3,0)="","",VLOOKUP($A331-COUNT('Шаг2.Бланк заказа NEW'!$B$19:$B$201)-COUNT('Бланк OLD 0.8 04'!$B$18:$B$200),'Бланк OLD 2.0 04 '!$B$16:$K$200,3,0)))</f>
        <v/>
      </c>
      <c r="G331" s="176" t="str">
        <f ca="1">IF(IF(R331="","",IF(R331=1,SUMIFS('Шаг1.Выбор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плиты'!C:Q,12,0)),1))))))=0,
R331,
IF(R331="","",IF(R331=1,SUMIFS('Шаг1.Выбор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плиты'!N:N,R331,'Шаг1.Выбор плиты'!M:M,SMALL(INDIRECT("мм"&amp;VLOOKUP(C331,'Шаг1.Выбор плиты'!C:Q,12,0)),1)))))))</f>
        <v/>
      </c>
      <c r="H331" s="177" t="str">
        <f ca="1">IF(IF(S331="","",IF(S331=1,SUMIFS('Шаг1.Выбор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плиты'!C:Q,12,0)),1))))))=0,
S331,
IF(S331="","",IF(S331=1,SUMIFS('Шаг1.Выбор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плиты'!N:N,S331,'Шаг1.Выбор плиты'!M:M,SMALL(INDIRECT("мм"&amp;VLOOKUP(C331,'Шаг1.Выбор плиты'!C:Q,12,0)),1)))))))</f>
        <v/>
      </c>
      <c r="I331" s="147" t="str">
        <f ca="1">IFERROR(IFERROR(IF(VLOOKUP($A331,'Шаг2.Бланк заказа NEW'!$B$17:$N$201,6,0)="","",VLOOKUP($A331,'Шаг2.Бланк заказа NEW'!$B$17:$N$201,6,0)),
IF(VLOOKUP($A331-COUNT('Шаг2.Бланк заказа NEW'!$B$19:$B$201),'Бланк OLD 0.8 04'!$B$12:$K$200,6,0)="","",VLOOKUP($A331-COUNT('Шаг2.Бланк заказа NEW'!$B$19:$B$201),'Бланк OLD 0.8 04'!$B$12:$K$200,6,0))),
IF(VLOOKUP($A331-COUNT('Шаг2.Бланк заказа NEW'!$B$19:$B$201)-COUNT('Бланк OLD 0.8 04'!$B$18:$B$200),'Бланк OLD 2.0 04 '!$B$16:$K$200,6,0)="","",VLOOKUP($A331-COUNT('Шаг2.Бланк заказа NEW'!$B$19:$B$201)-COUNT('Бланк OLD 0.8 04'!$B$18:$B$200),'Бланк OLD 2.0 04 '!$B$16:$K$200,6,0)))</f>
        <v/>
      </c>
      <c r="J331" s="177" t="str">
        <f ca="1">IF(IF(T331="","",IF(T331=1,SUMIFS('Шаг1.Выбор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плиты'!C:Q,12,0)),1))))))=0,
T331,
IF(T331="","",IF(T331=1,SUMIFS('Шаг1.Выбор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плиты'!N:N,T331,'Шаг1.Выбор плиты'!M:M,SMALL(INDIRECT("мм"&amp;VLOOKUP(C331,'Шаг1.Выбор плиты'!C:Q,12,0)),1)))))))</f>
        <v/>
      </c>
      <c r="K331" s="177" t="str">
        <f ca="1">IF(IF(U331="","",IF(U331=1,SUMIFS('Шаг1.Выбор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плиты'!C:Q,12,0)),1))))))=0,
U331,
IF(U331="","",IF(U331=1,SUMIFS('Шаг1.Выбор плиты'!$G:$G,'Шаг1.Выбор плиты'!J:J,"*"&amp;RIGHT(VLOOKUP(C331,'Шаг1.Выбор плиты'!C:Q,8,0),4),'Шаг1.Выбор плиты'!L:L,IF(MID(C331,1,6)="ЛДСП P","TM"&amp;MID(VLOOKUP(C331,'Шаг1.Выбор плиты'!C:Q,10,0),3,2),MID(VLOOKUP(C331,'Шаг1.Выбор плиты'!C:Q,10,0),1,2)),
'Шаг1.Выбор плиты'!N:N,1),IF(SUMIFS('Шаг1.Выбор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плиты'!C:Q,12,0)),1))=0,
IF(SUMIFS('Шаг1.Выбор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плиты'!C:Q,12,0)),2))=0,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плиты'!C:Q,12,0)),3)),
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плиты'!C:Q,12,0)),2))),
(SUMIFS('Шаг1.Выбор плиты'!$G:$G,'Шаг1.Выбор плиты'!J:J,"*"&amp;RIGHT(VLOOKUP(C331,'Шаг1.Выбор плиты'!C:Q,8,0),4),'Шаг1.Выбор плиты'!L:L,VLOOKUP(C331,'Шаг1.Выбор плиты'!C:Q,10,0),'Шаг1.Выбор плиты'!N:N,U331,'Шаг1.Выбор плиты'!M:M,SMALL(INDIRECT("мм"&amp;VLOOKUP(C331,'Шаг1.Выбор плиты'!C:Q,12,0)),1)))))))</f>
        <v/>
      </c>
      <c r="L331" s="147" t="str">
        <f ca="1">IFERROR(IFERROR(IF(VLOOKUP($A331,'Шаг2.Бланк заказа NEW'!$B$17:$N$201,9,0)="","",VLOOKUP($A331,'Шаг2.Бланк заказа NEW'!$B$17:$N$201,9,0)),
IF(VLOOKUP($A331-COUNT('Шаг2.Бланк заказа NEW'!$B$19:$B$201),'Бланк OLD 0.8 04'!$B$12:$K$200,9,0)="","",VLOOKUP($A331-COUNT('Шаг2.Бланк заказа NEW'!$B$19:$B$201),'Бланк OLD 0.8 04'!$B$12:$K$200,9,0))),
IF(VLOOKUP($A331-COUNT('Шаг2.Бланк заказа NEW'!$B$19:$B$201)-COUNT('Бланк OLD 0.8 04'!$B$18:$B$200),'Бланк OLD 2.0 04 '!$B$16:$K$200,9,0)="","",VLOOKUP($A331-COUNT('Шаг2.Бланк заказа NEW'!$B$19:$B$201)-COUNT('Бланк OLD 0.8 04'!$B$18:$B$200),'Бланк OLD 2.0 04 '!$B$16:$K$200,9,0)))</f>
        <v/>
      </c>
      <c r="M331" s="154" t="str">
        <f t="shared" ca="1" si="25"/>
        <v/>
      </c>
      <c r="N331" s="153" t="str">
        <f ca="1">IFERROR(IF(VLOOKUP($A331,'Шаг2.Бланк заказа NEW'!$B$17:$N$201,11,0)="","",VLOOKUP($A331,'Шаг2.Бланк заказа NEW'!$B$17:$N$201,11,0)),
"Нет")</f>
        <v/>
      </c>
      <c r="O331" s="147" t="str">
        <f ca="1">IFERROR(IF(VLOOKUP($A331,'Шаг2.Бланк заказа NEW'!$B$17:$N$201,11,0)="","",VLOOKUP($A331,'Шаг2.Бланк заказа NEW'!$B$17:$N$201,12,0)),
"Нет")</f>
        <v/>
      </c>
      <c r="P331" s="153" t="str">
        <f ca="1">IFERROR(IF(VLOOKUP($A331,'Шаг2.Бланк заказа NEW'!$B$17:$N$201,13,0)="","",VLOOKUP($A331,'Шаг2.Бланк заказа NEW'!$B$17:$N$201,13,0)),
"Нет")</f>
        <v/>
      </c>
      <c r="Q331" s="147" t="str">
        <f ca="1">IFERROR(IF(VLOOKUP($A331,'Шаг2.Бланк заказа NEW'!$B$17:$O$201,14,0)="","",VLOOKUP($A331,'Шаг2.Бланк заказа NEW'!$B$17:$O$201,14,0)),"")</f>
        <v/>
      </c>
      <c r="R331" s="147" t="str">
        <f ca="1">IFERROR(IFERROR(IF(VLOOKUP($A331,'Шаг2.Бланк заказа NEW'!$B$17:$N$201,4,0)="","",VLOOKUP($A331,'Шаг2.Бланк заказа NEW'!$B$17:$N$201,4,0)),
IF(VLOOKUP($A331-COUNT('Шаг2.Бланк заказа NEW'!$B$19:$B$201),'Бланк OLD 0.8 04'!$B$12:$K$200,4,0)&gt;0,0.8,
IF(VLOOKUP($A331-COUNT('Шаг2.Бланк заказа NEW'!$B$19:$B$201),'Бланк OLD 0.8 04'!$B$12:$K$200,5,0)&gt;0,0.4,""))),
IF(VLOOKUP($A331-COUNT('Шаг2.Бланк заказа NEW'!$B$19:$B$201)-COUNT('Бланк OLD 0.8 04'!$B$18:$B$200),'Бланк OLD 2.0 04 '!$B$16:$K$200,4,0)&gt;0,2,IF(VLOOKUP($A331-COUNT('Шаг2.Бланк заказа NEW'!$B$19:$B$201)-COUNT('Бланк OLD 0.8 04'!$B$18:$B$200),'Бланк OLD 2.0 04 '!$B$16:$K$200,5,0)&gt;0,0.4,"")))</f>
        <v/>
      </c>
      <c r="S331" s="147" t="str">
        <f ca="1">IFERROR(IFERROR(IF(VLOOKUP($A331,'Шаг2.Бланк заказа NEW'!$B$17:$N$201,5,0)="","",VLOOKUP($A331,'Шаг2.Бланк заказа NEW'!$B$17:$N$201,5,0)),
IF(VLOOKUP($A331-COUNT('Шаг2.Бланк заказа NEW'!$B$19:$B$201),'Бланк OLD 0.8 04'!$B$12:$K$200,4,0)&gt;1,0.8,
IF(VLOOKUP($A331-COUNT('Шаг2.Бланк заказа NEW'!$B$19:$B$201),'Бланк OLD 0.8 04'!$B$12:$K$200,5,0)&gt;1,0.4,
IF(AND(VLOOKUP($A331-COUNT('Шаг2.Бланк заказа NEW'!$B$19:$B$201),'Бланк OLD 0.8 04'!$B$12:$K$200,4,0)&gt;0,VLOOKUP($A331-COUNT('Шаг2.Бланк заказа NEW'!$B$19:$B$201),'Бланк OLD 0.8 04'!$B$12:$K$200,5,0)&gt;0),0.4,"")))),
IF(VLOOKUP($A331-COUNT('Шаг2.Бланк заказа NEW'!$B$19:$B$201)-COUNT('Бланк OLD 0.8 04'!$B$18:$B$200),'Бланк OLD 2.0 04 '!$B$16:$K$200,4,0)&gt;1,2,
IF(VLOOKUP($A331-COUNT('Шаг2.Бланк заказа NEW'!$B$19:$B$201)-COUNT('Бланк OLD 0.8 04'!$B$18:$B$200),'Бланк OLD 2.0 04 '!$B$16:$K$200,5,0)&gt;1,0.4,IF(AND(VLOOKUP($A331-COUNT('Шаг2.Бланк заказа NEW'!$B$19:$B$201)-COUNT('Бланк OLD 0.8 04'!$B$18:$B$200),'Бланк OLD 2.0 04 '!$B$16:$K$200,4,0)&gt;0,VLOOKUP($A331-COUNT('Шаг2.Бланк заказа NEW'!$B$19:$B$201)-COUNT('Бланк OLD 0.8 04'!$B$18:$B$200),'Бланк OLD 2.0 04 '!$B$16:$K$200,5,0)&gt;0),0.4,""))))</f>
        <v/>
      </c>
      <c r="T331" s="147" t="str">
        <f ca="1">IFERROR(IFERROR(IF(VLOOKUP($A331,'Шаг2.Бланк заказа NEW'!$B$17:$N$201,7,0)="","",VLOOKUP($A331,'Шаг2.Бланк заказа NEW'!$B$17:$N$201,7,0)),
IF(VLOOKUP($A331-COUNT('Шаг2.Бланк заказа NEW'!$B$19:$B$201),'Бланк OLD 0.8 04'!$B$12:$K$200,7,0)&gt;0,0.8,
IF(VLOOKUP($A331-COUNT('Шаг2.Бланк заказа NEW'!$B$19:$B$201),'Бланк OLD 0.8 04'!$B$12:$K$200,8,0)&gt;0,0.4,""))),
IF(VLOOKUP($A331-COUNT('Шаг2.Бланк заказа NEW'!$B$19:$B$201)-COUNT('Бланк OLD 0.8 04'!$B$18:$B$200),'Бланк OLD 2.0 04 '!$B$16:$K$200,7,0)&gt;0,2,IF(VLOOKUP($A331-COUNT('Шаг2.Бланк заказа NEW'!$B$19:$B$201)-COUNT('Бланк OLD 0.8 04'!$B$18:$B$200),'Бланк OLD 2.0 04 '!$B$16:$K$200,8,0)&gt;0,0.4,"")))</f>
        <v/>
      </c>
      <c r="U331" s="147" t="str">
        <f ca="1">IFERROR(IFERROR(IF(VLOOKUP($A331,'Шаг2.Бланк заказа NEW'!$B$17:$N$201,8,0)="","",VLOOKUP($A331,'Шаг2.Бланк заказа NEW'!$B$17:$N$201,8,0)),
IF(VLOOKUP($A331-COUNT('Шаг2.Бланк заказа NEW'!$B$19:$B$201),'Бланк OLD 0.8 04'!$B$12:$K$200,7,0)&gt;1,0.8,
IF(VLOOKUP($A331-COUNT('Шаг2.Бланк заказа NEW'!$B$19:$B$201),'Бланк OLD 0.8 04'!$B$12:$K$200,8,0)&gt;1,0.4,
IF(AND(VLOOKUP($A331-COUNT('Шаг2.Бланк заказа NEW'!$B$19:$B$201),'Бланк OLD 0.8 04'!$B$12:$K$200,7,0)&gt;0,VLOOKUP($A331-COUNT('Шаг2.Бланк заказа NEW'!$B$19:$B$201),'Бланк OLD 0.8 04'!$B$12:$K$200,8,0)&gt;0),0.4,"")))),
IF(VLOOKUP($A331-COUNT('Шаг2.Бланк заказа NEW'!$B$19:$B$201)-COUNT('Бланк OLD 0.8 04'!$B$18:$B$200),'Бланк OLD 2.0 04 '!$B$16:$K$200,7,0)&gt;1,2,
IF(VLOOKUP($A331-COUNT('Шаг2.Бланк заказа NEW'!$B$19:$B$201)-COUNT('Бланк OLD 0.8 04'!$B$18:$B$200),'Бланк OLD 2.0 04 '!$B$16:$K$200,8,0)&gt;1,0.4,
IF(AND(VLOOKUP($A331-COUNT('Шаг2.Бланк заказа NEW'!$B$19:$B$201)-COUNT('Бланк OLD 0.8 04'!$B$18:$B$200),'Бланк OLD 2.0 04 '!$B$16:$K$200,7,0)&gt;0,VLOOKUP($A331-COUNT('Шаг2.Бланк заказа NEW'!$B$19:$B$201)-COUNT('Бланк OLD 0.8 04'!$B$18:$B$200),'Бланк OLD 2.0 04 '!$B$16:$K$200,8,0)&gt;0),0.4,""))))</f>
        <v/>
      </c>
      <c r="V331" s="146" t="str">
        <f ca="1">IFERROR(VLOOKUP(C331,'Шаг1.Выбор плиты'!C:S,12,0),"")</f>
        <v/>
      </c>
      <c r="W331" s="146" t="str">
        <f ca="1">IFERROR(VLOOKUP(C331,'Шаг1.Выбор плиты'!C:S,8,0),"")</f>
        <v/>
      </c>
      <c r="X331" s="146" t="str">
        <f ca="1">IFERROR(VLOOKUP(C331,'Шаг1.Выбор плиты'!C:S,10,0),"")</f>
        <v/>
      </c>
      <c r="Y331" s="147" t="str">
        <f t="shared" ca="1" si="28"/>
        <v/>
      </c>
      <c r="AD331" s="147" t="str">
        <f t="shared" ca="1" si="26"/>
        <v/>
      </c>
      <c r="AE331" s="147" t="str">
        <f t="shared" ca="1" si="29"/>
        <v/>
      </c>
      <c r="AF331" s="25"/>
      <c r="AH331" s="147" t="str">
        <f ca="1">IF(C331="","",VLOOKUP(C331,'Шаг1.Выбор плиты'!C:Q,7,0))</f>
        <v/>
      </c>
      <c r="AI331" s="147" t="str">
        <f t="shared" ca="1" si="27"/>
        <v/>
      </c>
    </row>
    <row r="332" spans="1:35" x14ac:dyDescent="0.2">
      <c r="A332" s="151" t="str">
        <f ca="1">IF(C332="","",MAX($A$1:OFFSET(C332,-1,0))+1)</f>
        <v/>
      </c>
      <c r="B332" s="151" t="str">
        <f ca="1">IFERROR(IFERROR(IFERROR("Шаг2.Бланк заказа NEW №"&amp;VLOOKUP(A331+1,CHOOSE({1,2},'Шаг2.Бланк заказа NEW'!$B$19:$B$201,'Шаг2.Бланк заказа NEW'!$A$19:$A$201),1,0),
"Бланк OLD 0.8 04 №"&amp;VLOOKUP(A331+1-COUNT('Шаг2.Бланк заказа NEW'!$B$19:$B$201),CHOOSE({1,2},'Бланк OLD 0.8 04'!$B$18:$B$200,'Бланк OLD 0.8 04'!$A$18:$A$200),1,0)),
"Бланк OLD 2.0 04 №"&amp;VLOOKUP(A331+1-COUNT('Шаг2.Бланк заказа NEW'!$B$19:$B$201)-COUNT('Бланк OLD 0.8 04'!$B$18:$B$200),CHOOSE({1,2},'Бланк OLD 2.0 04 '!$B$18:$B$200,'Бланк OLD 2.0 04 '!$A$18:$A$200),1,0)),"")</f>
        <v/>
      </c>
      <c r="C332" s="152" t="str">
        <f ca="1">IFERROR(IFERROR(IFERROR(VLOOKUP(A331+1,CHOOSE({1,2},'Шаг2.Бланк заказа NEW'!$B$19:$B$201,'Шаг2.Бланк заказа NEW'!$A$19:$A$201),2,0),
VLOOKUP(A331+1-COUNT('Шаг2.Бланк заказа NEW'!$B$19:$B$201),CHOOSE({1,2},'Бланк OLD 0.8 04'!$B$18:$B$200,'Бланк OLD 0.8 04'!$A$18:$A$200),2,0)),
VLOOKUP(A331+1-COUNT('Шаг2.Бланк заказа NEW'!$B$19:$B$201)-COUNT('Бланк OLD 0.8 04'!$B$18:$B$200),CHOOSE({1,2},'Бланк OLD 2.0 04 '!$B$18:$B$200,'Бланк OLD 2.0 04 '!$A$18:$A$200),2,0)),"")</f>
        <v/>
      </c>
      <c r="D332" s="150" t="str">
        <f ca="1">IFERROR(VLOOKUP(C332,'Шаг1.Выбор плиты'!C:G,5,0),"")</f>
        <v/>
      </c>
      <c r="E332" s="147" t="str">
        <f ca="1">IFERROR(IFERROR(IF(VLOOKUP($A332,'Шаг2.Бланк заказа NEW'!$B$17:$N$201,2,0)="","",VLOOKUP($A332,'Шаг2.Бланк заказа NEW'!$B$17:$N$201,2,0)),
IF(VLOOKUP($A332-COUNT('Шаг2.Бланк заказа NEW'!$B$19:$B$201),'Бланк OLD 0.8 04'!$B$12:$K$200,2,0)="","",VLOOKUP($A332-COUNT('Шаг2.Бланк заказа NEW'!$B$19:$B$201),'Бланк OLD 0.8 04'!$B$12:$K$200,2,0))),
IF(VLOOKUP($A332-COUNT('Шаг2.Бланк заказа NEW'!$B$19:$B$201)-COUNT('Бланк OLD 0.8 04'!$B$18:$B$200),'Бланк OLD 2.0 04 '!$B$16:$K$200,2,0)="","",VLOOKUP($A332-COUNT('Шаг2.Бланк заказа NEW'!$B$19:$B$201)-COUNT('Бланк OLD 0.8 04'!$B$18:$B$200),'Бланк OLD 2.0 04 '!$B$16:$K$200,2,0)))</f>
        <v/>
      </c>
      <c r="F332" s="147" t="str">
        <f ca="1">IFERROR(IFERROR(IF(VLOOKUP($A332,'Шаг2.Бланк заказа NEW'!$B$17:$N$201,3,0)="","",VLOOKUP($A332,'Шаг2.Бланк заказа NEW'!$B$17:$N$201,3,0)),
IF(VLOOKUP($A332-COUNT('Шаг2.Бланк заказа NEW'!$B$19:$B$201),'Бланк OLD 0.8 04'!$B$12:$K$200,3,0)="","",VLOOKUP($A332-COUNT('Шаг2.Бланк заказа NEW'!$B$19:$B$201),'Бланк OLD 0.8 04'!$B$12:$K$200,3,0))),
IF(VLOOKUP($A332-COUNT('Шаг2.Бланк заказа NEW'!$B$19:$B$201)-COUNT('Бланк OLD 0.8 04'!$B$18:$B$200),'Бланк OLD 2.0 04 '!$B$16:$K$200,3,0)="","",VLOOKUP($A332-COUNT('Шаг2.Бланк заказа NEW'!$B$19:$B$201)-COUNT('Бланк OLD 0.8 04'!$B$18:$B$200),'Бланк OLD 2.0 04 '!$B$16:$K$200,3,0)))</f>
        <v/>
      </c>
      <c r="G332" s="176" t="str">
        <f ca="1">IF(IF(R332="","",IF(R332=1,SUMIFS('Шаг1.Выбор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плиты'!C:Q,12,0)),1))))))=0,
R332,
IF(R332="","",IF(R332=1,SUMIFS('Шаг1.Выбор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плиты'!N:N,R332,'Шаг1.Выбор плиты'!M:M,SMALL(INDIRECT("мм"&amp;VLOOKUP(C332,'Шаг1.Выбор плиты'!C:Q,12,0)),1)))))))</f>
        <v/>
      </c>
      <c r="H332" s="177" t="str">
        <f ca="1">IF(IF(S332="","",IF(S332=1,SUMIFS('Шаг1.Выбор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плиты'!C:Q,12,0)),1))))))=0,
S332,
IF(S332="","",IF(S332=1,SUMIFS('Шаг1.Выбор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плиты'!N:N,S332,'Шаг1.Выбор плиты'!M:M,SMALL(INDIRECT("мм"&amp;VLOOKUP(C332,'Шаг1.Выбор плиты'!C:Q,12,0)),1)))))))</f>
        <v/>
      </c>
      <c r="I332" s="147" t="str">
        <f ca="1">IFERROR(IFERROR(IF(VLOOKUP($A332,'Шаг2.Бланк заказа NEW'!$B$17:$N$201,6,0)="","",VLOOKUP($A332,'Шаг2.Бланк заказа NEW'!$B$17:$N$201,6,0)),
IF(VLOOKUP($A332-COUNT('Шаг2.Бланк заказа NEW'!$B$19:$B$201),'Бланк OLD 0.8 04'!$B$12:$K$200,6,0)="","",VLOOKUP($A332-COUNT('Шаг2.Бланк заказа NEW'!$B$19:$B$201),'Бланк OLD 0.8 04'!$B$12:$K$200,6,0))),
IF(VLOOKUP($A332-COUNT('Шаг2.Бланк заказа NEW'!$B$19:$B$201)-COUNT('Бланк OLD 0.8 04'!$B$18:$B$200),'Бланк OLD 2.0 04 '!$B$16:$K$200,6,0)="","",VLOOKUP($A332-COUNT('Шаг2.Бланк заказа NEW'!$B$19:$B$201)-COUNT('Бланк OLD 0.8 04'!$B$18:$B$200),'Бланк OLD 2.0 04 '!$B$16:$K$200,6,0)))</f>
        <v/>
      </c>
      <c r="J332" s="177" t="str">
        <f ca="1">IF(IF(T332="","",IF(T332=1,SUMIFS('Шаг1.Выбор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плиты'!C:Q,12,0)),1))))))=0,
T332,
IF(T332="","",IF(T332=1,SUMIFS('Шаг1.Выбор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плиты'!N:N,T332,'Шаг1.Выбор плиты'!M:M,SMALL(INDIRECT("мм"&amp;VLOOKUP(C332,'Шаг1.Выбор плиты'!C:Q,12,0)),1)))))))</f>
        <v/>
      </c>
      <c r="K332" s="177" t="str">
        <f ca="1">IF(IF(U332="","",IF(U332=1,SUMIFS('Шаг1.Выбор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плиты'!C:Q,12,0)),1))))))=0,
U332,
IF(U332="","",IF(U332=1,SUMIFS('Шаг1.Выбор плиты'!$G:$G,'Шаг1.Выбор плиты'!J:J,"*"&amp;RIGHT(VLOOKUP(C332,'Шаг1.Выбор плиты'!C:Q,8,0),4),'Шаг1.Выбор плиты'!L:L,IF(MID(C332,1,6)="ЛДСП P","TM"&amp;MID(VLOOKUP(C332,'Шаг1.Выбор плиты'!C:Q,10,0),3,2),MID(VLOOKUP(C332,'Шаг1.Выбор плиты'!C:Q,10,0),1,2)),
'Шаг1.Выбор плиты'!N:N,1),IF(SUMIFS('Шаг1.Выбор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плиты'!C:Q,12,0)),1))=0,
IF(SUMIFS('Шаг1.Выбор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плиты'!C:Q,12,0)),2))=0,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плиты'!C:Q,12,0)),3)),
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плиты'!C:Q,12,0)),2))),
(SUMIFS('Шаг1.Выбор плиты'!$G:$G,'Шаг1.Выбор плиты'!J:J,"*"&amp;RIGHT(VLOOKUP(C332,'Шаг1.Выбор плиты'!C:Q,8,0),4),'Шаг1.Выбор плиты'!L:L,VLOOKUP(C332,'Шаг1.Выбор плиты'!C:Q,10,0),'Шаг1.Выбор плиты'!N:N,U332,'Шаг1.Выбор плиты'!M:M,SMALL(INDIRECT("мм"&amp;VLOOKUP(C332,'Шаг1.Выбор плиты'!C:Q,12,0)),1)))))))</f>
        <v/>
      </c>
      <c r="L332" s="147" t="str">
        <f ca="1">IFERROR(IFERROR(IF(VLOOKUP($A332,'Шаг2.Бланк заказа NEW'!$B$17:$N$201,9,0)="","",VLOOKUP($A332,'Шаг2.Бланк заказа NEW'!$B$17:$N$201,9,0)),
IF(VLOOKUP($A332-COUNT('Шаг2.Бланк заказа NEW'!$B$19:$B$201),'Бланк OLD 0.8 04'!$B$12:$K$200,9,0)="","",VLOOKUP($A332-COUNT('Шаг2.Бланк заказа NEW'!$B$19:$B$201),'Бланк OLD 0.8 04'!$B$12:$K$200,9,0))),
IF(VLOOKUP($A332-COUNT('Шаг2.Бланк заказа NEW'!$B$19:$B$201)-COUNT('Бланк OLD 0.8 04'!$B$18:$B$200),'Бланк OLD 2.0 04 '!$B$16:$K$200,9,0)="","",VLOOKUP($A332-COUNT('Шаг2.Бланк заказа NEW'!$B$19:$B$201)-COUNT('Бланк OLD 0.8 04'!$B$18:$B$200),'Бланк OLD 2.0 04 '!$B$16:$K$200,9,0)))</f>
        <v/>
      </c>
      <c r="M332" s="154" t="str">
        <f t="shared" ca="1" si="25"/>
        <v/>
      </c>
      <c r="N332" s="153" t="str">
        <f ca="1">IFERROR(IF(VLOOKUP($A332,'Шаг2.Бланк заказа NEW'!$B$17:$N$201,11,0)="","",VLOOKUP($A332,'Шаг2.Бланк заказа NEW'!$B$17:$N$201,11,0)),
"Нет")</f>
        <v/>
      </c>
      <c r="O332" s="147" t="str">
        <f ca="1">IFERROR(IF(VLOOKUP($A332,'Шаг2.Бланк заказа NEW'!$B$17:$N$201,11,0)="","",VLOOKUP($A332,'Шаг2.Бланк заказа NEW'!$B$17:$N$201,12,0)),
"Нет")</f>
        <v/>
      </c>
      <c r="P332" s="153" t="str">
        <f ca="1">IFERROR(IF(VLOOKUP($A332,'Шаг2.Бланк заказа NEW'!$B$17:$N$201,13,0)="","",VLOOKUP($A332,'Шаг2.Бланк заказа NEW'!$B$17:$N$201,13,0)),
"Нет")</f>
        <v/>
      </c>
      <c r="Q332" s="147" t="str">
        <f ca="1">IFERROR(IF(VLOOKUP($A332,'Шаг2.Бланк заказа NEW'!$B$17:$O$201,14,0)="","",VLOOKUP($A332,'Шаг2.Бланк заказа NEW'!$B$17:$O$201,14,0)),"")</f>
        <v/>
      </c>
      <c r="R332" s="147" t="str">
        <f ca="1">IFERROR(IFERROR(IF(VLOOKUP($A332,'Шаг2.Бланк заказа NEW'!$B$17:$N$201,4,0)="","",VLOOKUP($A332,'Шаг2.Бланк заказа NEW'!$B$17:$N$201,4,0)),
IF(VLOOKUP($A332-COUNT('Шаг2.Бланк заказа NEW'!$B$19:$B$201),'Бланк OLD 0.8 04'!$B$12:$K$200,4,0)&gt;0,0.8,
IF(VLOOKUP($A332-COUNT('Шаг2.Бланк заказа NEW'!$B$19:$B$201),'Бланк OLD 0.8 04'!$B$12:$K$200,5,0)&gt;0,0.4,""))),
IF(VLOOKUP($A332-COUNT('Шаг2.Бланк заказа NEW'!$B$19:$B$201)-COUNT('Бланк OLD 0.8 04'!$B$18:$B$200),'Бланк OLD 2.0 04 '!$B$16:$K$200,4,0)&gt;0,2,IF(VLOOKUP($A332-COUNT('Шаг2.Бланк заказа NEW'!$B$19:$B$201)-COUNT('Бланк OLD 0.8 04'!$B$18:$B$200),'Бланк OLD 2.0 04 '!$B$16:$K$200,5,0)&gt;0,0.4,"")))</f>
        <v/>
      </c>
      <c r="S332" s="147" t="str">
        <f ca="1">IFERROR(IFERROR(IF(VLOOKUP($A332,'Шаг2.Бланк заказа NEW'!$B$17:$N$201,5,0)="","",VLOOKUP($A332,'Шаг2.Бланк заказа NEW'!$B$17:$N$201,5,0)),
IF(VLOOKUP($A332-COUNT('Шаг2.Бланк заказа NEW'!$B$19:$B$201),'Бланк OLD 0.8 04'!$B$12:$K$200,4,0)&gt;1,0.8,
IF(VLOOKUP($A332-COUNT('Шаг2.Бланк заказа NEW'!$B$19:$B$201),'Бланк OLD 0.8 04'!$B$12:$K$200,5,0)&gt;1,0.4,
IF(AND(VLOOKUP($A332-COUNT('Шаг2.Бланк заказа NEW'!$B$19:$B$201),'Бланк OLD 0.8 04'!$B$12:$K$200,4,0)&gt;0,VLOOKUP($A332-COUNT('Шаг2.Бланк заказа NEW'!$B$19:$B$201),'Бланк OLD 0.8 04'!$B$12:$K$200,5,0)&gt;0),0.4,"")))),
IF(VLOOKUP($A332-COUNT('Шаг2.Бланк заказа NEW'!$B$19:$B$201)-COUNT('Бланк OLD 0.8 04'!$B$18:$B$200),'Бланк OLD 2.0 04 '!$B$16:$K$200,4,0)&gt;1,2,
IF(VLOOKUP($A332-COUNT('Шаг2.Бланк заказа NEW'!$B$19:$B$201)-COUNT('Бланк OLD 0.8 04'!$B$18:$B$200),'Бланк OLD 2.0 04 '!$B$16:$K$200,5,0)&gt;1,0.4,IF(AND(VLOOKUP($A332-COUNT('Шаг2.Бланк заказа NEW'!$B$19:$B$201)-COUNT('Бланк OLD 0.8 04'!$B$18:$B$200),'Бланк OLD 2.0 04 '!$B$16:$K$200,4,0)&gt;0,VLOOKUP($A332-COUNT('Шаг2.Бланк заказа NEW'!$B$19:$B$201)-COUNT('Бланк OLD 0.8 04'!$B$18:$B$200),'Бланк OLD 2.0 04 '!$B$16:$K$200,5,0)&gt;0),0.4,""))))</f>
        <v/>
      </c>
      <c r="T332" s="147" t="str">
        <f ca="1">IFERROR(IFERROR(IF(VLOOKUP($A332,'Шаг2.Бланк заказа NEW'!$B$17:$N$201,7,0)="","",VLOOKUP($A332,'Шаг2.Бланк заказа NEW'!$B$17:$N$201,7,0)),
IF(VLOOKUP($A332-COUNT('Шаг2.Бланк заказа NEW'!$B$19:$B$201),'Бланк OLD 0.8 04'!$B$12:$K$200,7,0)&gt;0,0.8,
IF(VLOOKUP($A332-COUNT('Шаг2.Бланк заказа NEW'!$B$19:$B$201),'Бланк OLD 0.8 04'!$B$12:$K$200,8,0)&gt;0,0.4,""))),
IF(VLOOKUP($A332-COUNT('Шаг2.Бланк заказа NEW'!$B$19:$B$201)-COUNT('Бланк OLD 0.8 04'!$B$18:$B$200),'Бланк OLD 2.0 04 '!$B$16:$K$200,7,0)&gt;0,2,IF(VLOOKUP($A332-COUNT('Шаг2.Бланк заказа NEW'!$B$19:$B$201)-COUNT('Бланк OLD 0.8 04'!$B$18:$B$200),'Бланк OLD 2.0 04 '!$B$16:$K$200,8,0)&gt;0,0.4,"")))</f>
        <v/>
      </c>
      <c r="U332" s="147" t="str">
        <f ca="1">IFERROR(IFERROR(IF(VLOOKUP($A332,'Шаг2.Бланк заказа NEW'!$B$17:$N$201,8,0)="","",VLOOKUP($A332,'Шаг2.Бланк заказа NEW'!$B$17:$N$201,8,0)),
IF(VLOOKUP($A332-COUNT('Шаг2.Бланк заказа NEW'!$B$19:$B$201),'Бланк OLD 0.8 04'!$B$12:$K$200,7,0)&gt;1,0.8,
IF(VLOOKUP($A332-COUNT('Шаг2.Бланк заказа NEW'!$B$19:$B$201),'Бланк OLD 0.8 04'!$B$12:$K$200,8,0)&gt;1,0.4,
IF(AND(VLOOKUP($A332-COUNT('Шаг2.Бланк заказа NEW'!$B$19:$B$201),'Бланк OLD 0.8 04'!$B$12:$K$200,7,0)&gt;0,VLOOKUP($A332-COUNT('Шаг2.Бланк заказа NEW'!$B$19:$B$201),'Бланк OLD 0.8 04'!$B$12:$K$200,8,0)&gt;0),0.4,"")))),
IF(VLOOKUP($A332-COUNT('Шаг2.Бланк заказа NEW'!$B$19:$B$201)-COUNT('Бланк OLD 0.8 04'!$B$18:$B$200),'Бланк OLD 2.0 04 '!$B$16:$K$200,7,0)&gt;1,2,
IF(VLOOKUP($A332-COUNT('Шаг2.Бланк заказа NEW'!$B$19:$B$201)-COUNT('Бланк OLD 0.8 04'!$B$18:$B$200),'Бланк OLD 2.0 04 '!$B$16:$K$200,8,0)&gt;1,0.4,
IF(AND(VLOOKUP($A332-COUNT('Шаг2.Бланк заказа NEW'!$B$19:$B$201)-COUNT('Бланк OLD 0.8 04'!$B$18:$B$200),'Бланк OLD 2.0 04 '!$B$16:$K$200,7,0)&gt;0,VLOOKUP($A332-COUNT('Шаг2.Бланк заказа NEW'!$B$19:$B$201)-COUNT('Бланк OLD 0.8 04'!$B$18:$B$200),'Бланк OLD 2.0 04 '!$B$16:$K$200,8,0)&gt;0),0.4,""))))</f>
        <v/>
      </c>
      <c r="V332" s="146" t="str">
        <f ca="1">IFERROR(VLOOKUP(C332,'Шаг1.Выбор плиты'!C:S,12,0),"")</f>
        <v/>
      </c>
      <c r="W332" s="146" t="str">
        <f ca="1">IFERROR(VLOOKUP(C332,'Шаг1.Выбор плиты'!C:S,8,0),"")</f>
        <v/>
      </c>
      <c r="X332" s="146" t="str">
        <f ca="1">IFERROR(VLOOKUP(C332,'Шаг1.Выбор плиты'!C:S,10,0),"")</f>
        <v/>
      </c>
      <c r="Y332" s="147" t="str">
        <f t="shared" ca="1" si="28"/>
        <v/>
      </c>
      <c r="AD332" s="147" t="str">
        <f t="shared" ca="1" si="26"/>
        <v/>
      </c>
      <c r="AE332" s="147" t="str">
        <f t="shared" ca="1" si="29"/>
        <v/>
      </c>
      <c r="AF332" s="25"/>
      <c r="AH332" s="147" t="str">
        <f ca="1">IF(C332="","",VLOOKUP(C332,'Шаг1.Выбор плиты'!C:Q,7,0))</f>
        <v/>
      </c>
      <c r="AI332" s="147" t="str">
        <f t="shared" ca="1" si="27"/>
        <v/>
      </c>
    </row>
    <row r="333" spans="1:35" x14ac:dyDescent="0.2">
      <c r="A333" s="151" t="str">
        <f ca="1">IF(C333="","",MAX($A$1:OFFSET(C333,-1,0))+1)</f>
        <v/>
      </c>
      <c r="B333" s="151" t="str">
        <f ca="1">IFERROR(IFERROR(IFERROR("Шаг2.Бланк заказа NEW №"&amp;VLOOKUP(A332+1,CHOOSE({1,2},'Шаг2.Бланк заказа NEW'!$B$19:$B$201,'Шаг2.Бланк заказа NEW'!$A$19:$A$201),1,0),
"Бланк OLD 0.8 04 №"&amp;VLOOKUP(A332+1-COUNT('Шаг2.Бланк заказа NEW'!$B$19:$B$201),CHOOSE({1,2},'Бланк OLD 0.8 04'!$B$18:$B$200,'Бланк OLD 0.8 04'!$A$18:$A$200),1,0)),
"Бланк OLD 2.0 04 №"&amp;VLOOKUP(A332+1-COUNT('Шаг2.Бланк заказа NEW'!$B$19:$B$201)-COUNT('Бланк OLD 0.8 04'!$B$18:$B$200),CHOOSE({1,2},'Бланк OLD 2.0 04 '!$B$18:$B$200,'Бланк OLD 2.0 04 '!$A$18:$A$200),1,0)),"")</f>
        <v/>
      </c>
      <c r="C333" s="152" t="str">
        <f ca="1">IFERROR(IFERROR(IFERROR(VLOOKUP(A332+1,CHOOSE({1,2},'Шаг2.Бланк заказа NEW'!$B$19:$B$201,'Шаг2.Бланк заказа NEW'!$A$19:$A$201),2,0),
VLOOKUP(A332+1-COUNT('Шаг2.Бланк заказа NEW'!$B$19:$B$201),CHOOSE({1,2},'Бланк OLD 0.8 04'!$B$18:$B$200,'Бланк OLD 0.8 04'!$A$18:$A$200),2,0)),
VLOOKUP(A332+1-COUNT('Шаг2.Бланк заказа NEW'!$B$19:$B$201)-COUNT('Бланк OLD 0.8 04'!$B$18:$B$200),CHOOSE({1,2},'Бланк OLD 2.0 04 '!$B$18:$B$200,'Бланк OLD 2.0 04 '!$A$18:$A$200),2,0)),"")</f>
        <v/>
      </c>
      <c r="D333" s="150" t="str">
        <f ca="1">IFERROR(VLOOKUP(C333,'Шаг1.Выбор плиты'!C:G,5,0),"")</f>
        <v/>
      </c>
      <c r="E333" s="147" t="str">
        <f ca="1">IFERROR(IFERROR(IF(VLOOKUP($A333,'Шаг2.Бланк заказа NEW'!$B$17:$N$201,2,0)="","",VLOOKUP($A333,'Шаг2.Бланк заказа NEW'!$B$17:$N$201,2,0)),
IF(VLOOKUP($A333-COUNT('Шаг2.Бланк заказа NEW'!$B$19:$B$201),'Бланк OLD 0.8 04'!$B$12:$K$200,2,0)="","",VLOOKUP($A333-COUNT('Шаг2.Бланк заказа NEW'!$B$19:$B$201),'Бланк OLD 0.8 04'!$B$12:$K$200,2,0))),
IF(VLOOKUP($A333-COUNT('Шаг2.Бланк заказа NEW'!$B$19:$B$201)-COUNT('Бланк OLD 0.8 04'!$B$18:$B$200),'Бланк OLD 2.0 04 '!$B$16:$K$200,2,0)="","",VLOOKUP($A333-COUNT('Шаг2.Бланк заказа NEW'!$B$19:$B$201)-COUNT('Бланк OLD 0.8 04'!$B$18:$B$200),'Бланк OLD 2.0 04 '!$B$16:$K$200,2,0)))</f>
        <v/>
      </c>
      <c r="F333" s="147" t="str">
        <f ca="1">IFERROR(IFERROR(IF(VLOOKUP($A333,'Шаг2.Бланк заказа NEW'!$B$17:$N$201,3,0)="","",VLOOKUP($A333,'Шаг2.Бланк заказа NEW'!$B$17:$N$201,3,0)),
IF(VLOOKUP($A333-COUNT('Шаг2.Бланк заказа NEW'!$B$19:$B$201),'Бланк OLD 0.8 04'!$B$12:$K$200,3,0)="","",VLOOKUP($A333-COUNT('Шаг2.Бланк заказа NEW'!$B$19:$B$201),'Бланк OLD 0.8 04'!$B$12:$K$200,3,0))),
IF(VLOOKUP($A333-COUNT('Шаг2.Бланк заказа NEW'!$B$19:$B$201)-COUNT('Бланк OLD 0.8 04'!$B$18:$B$200),'Бланк OLD 2.0 04 '!$B$16:$K$200,3,0)="","",VLOOKUP($A333-COUNT('Шаг2.Бланк заказа NEW'!$B$19:$B$201)-COUNT('Бланк OLD 0.8 04'!$B$18:$B$200),'Бланк OLD 2.0 04 '!$B$16:$K$200,3,0)))</f>
        <v/>
      </c>
      <c r="G333" s="176" t="str">
        <f ca="1">IF(IF(R333="","",IF(R333=1,SUMIFS('Шаг1.Выбор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плиты'!C:Q,12,0)),1))))))=0,
R333,
IF(R333="","",IF(R333=1,SUMIFS('Шаг1.Выбор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плиты'!N:N,R333,'Шаг1.Выбор плиты'!M:M,SMALL(INDIRECT("мм"&amp;VLOOKUP(C333,'Шаг1.Выбор плиты'!C:Q,12,0)),1)))))))</f>
        <v/>
      </c>
      <c r="H333" s="177" t="str">
        <f ca="1">IF(IF(S333="","",IF(S333=1,SUMIFS('Шаг1.Выбор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плиты'!C:Q,12,0)),1))))))=0,
S333,
IF(S333="","",IF(S333=1,SUMIFS('Шаг1.Выбор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плиты'!N:N,S333,'Шаг1.Выбор плиты'!M:M,SMALL(INDIRECT("мм"&amp;VLOOKUP(C333,'Шаг1.Выбор плиты'!C:Q,12,0)),1)))))))</f>
        <v/>
      </c>
      <c r="I333" s="147" t="str">
        <f ca="1">IFERROR(IFERROR(IF(VLOOKUP($A333,'Шаг2.Бланк заказа NEW'!$B$17:$N$201,6,0)="","",VLOOKUP($A333,'Шаг2.Бланк заказа NEW'!$B$17:$N$201,6,0)),
IF(VLOOKUP($A333-COUNT('Шаг2.Бланк заказа NEW'!$B$19:$B$201),'Бланк OLD 0.8 04'!$B$12:$K$200,6,0)="","",VLOOKUP($A333-COUNT('Шаг2.Бланк заказа NEW'!$B$19:$B$201),'Бланк OLD 0.8 04'!$B$12:$K$200,6,0))),
IF(VLOOKUP($A333-COUNT('Шаг2.Бланк заказа NEW'!$B$19:$B$201)-COUNT('Бланк OLD 0.8 04'!$B$18:$B$200),'Бланк OLD 2.0 04 '!$B$16:$K$200,6,0)="","",VLOOKUP($A333-COUNT('Шаг2.Бланк заказа NEW'!$B$19:$B$201)-COUNT('Бланк OLD 0.8 04'!$B$18:$B$200),'Бланк OLD 2.0 04 '!$B$16:$K$200,6,0)))</f>
        <v/>
      </c>
      <c r="J333" s="177" t="str">
        <f ca="1">IF(IF(T333="","",IF(T333=1,SUMIFS('Шаг1.Выбор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плиты'!C:Q,12,0)),1))))))=0,
T333,
IF(T333="","",IF(T333=1,SUMIFS('Шаг1.Выбор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плиты'!N:N,T333,'Шаг1.Выбор плиты'!M:M,SMALL(INDIRECT("мм"&amp;VLOOKUP(C333,'Шаг1.Выбор плиты'!C:Q,12,0)),1)))))))</f>
        <v/>
      </c>
      <c r="K333" s="177" t="str">
        <f ca="1">IF(IF(U333="","",IF(U333=1,SUMIFS('Шаг1.Выбор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плиты'!C:Q,12,0)),1))))))=0,
U333,
IF(U333="","",IF(U333=1,SUMIFS('Шаг1.Выбор плиты'!$G:$G,'Шаг1.Выбор плиты'!J:J,"*"&amp;RIGHT(VLOOKUP(C333,'Шаг1.Выбор плиты'!C:Q,8,0),4),'Шаг1.Выбор плиты'!L:L,IF(MID(C333,1,6)="ЛДСП P","TM"&amp;MID(VLOOKUP(C333,'Шаг1.Выбор плиты'!C:Q,10,0),3,2),MID(VLOOKUP(C333,'Шаг1.Выбор плиты'!C:Q,10,0),1,2)),
'Шаг1.Выбор плиты'!N:N,1),IF(SUMIFS('Шаг1.Выбор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плиты'!C:Q,12,0)),1))=0,
IF(SUMIFS('Шаг1.Выбор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плиты'!C:Q,12,0)),2))=0,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плиты'!C:Q,12,0)),3)),
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плиты'!C:Q,12,0)),2))),
(SUMIFS('Шаг1.Выбор плиты'!$G:$G,'Шаг1.Выбор плиты'!J:J,"*"&amp;RIGHT(VLOOKUP(C333,'Шаг1.Выбор плиты'!C:Q,8,0),4),'Шаг1.Выбор плиты'!L:L,VLOOKUP(C333,'Шаг1.Выбор плиты'!C:Q,10,0),'Шаг1.Выбор плиты'!N:N,U333,'Шаг1.Выбор плиты'!M:M,SMALL(INDIRECT("мм"&amp;VLOOKUP(C333,'Шаг1.Выбор плиты'!C:Q,12,0)),1)))))))</f>
        <v/>
      </c>
      <c r="L333" s="147" t="str">
        <f ca="1">IFERROR(IFERROR(IF(VLOOKUP($A333,'Шаг2.Бланк заказа NEW'!$B$17:$N$201,9,0)="","",VLOOKUP($A333,'Шаг2.Бланк заказа NEW'!$B$17:$N$201,9,0)),
IF(VLOOKUP($A333-COUNT('Шаг2.Бланк заказа NEW'!$B$19:$B$201),'Бланк OLD 0.8 04'!$B$12:$K$200,9,0)="","",VLOOKUP($A333-COUNT('Шаг2.Бланк заказа NEW'!$B$19:$B$201),'Бланк OLD 0.8 04'!$B$12:$K$200,9,0))),
IF(VLOOKUP($A333-COUNT('Шаг2.Бланк заказа NEW'!$B$19:$B$201)-COUNT('Бланк OLD 0.8 04'!$B$18:$B$200),'Бланк OLD 2.0 04 '!$B$16:$K$200,9,0)="","",VLOOKUP($A333-COUNT('Шаг2.Бланк заказа NEW'!$B$19:$B$201)-COUNT('Бланк OLD 0.8 04'!$B$18:$B$200),'Бланк OLD 2.0 04 '!$B$16:$K$200,9,0)))</f>
        <v/>
      </c>
      <c r="M333" s="154" t="str">
        <f t="shared" ca="1" si="25"/>
        <v/>
      </c>
      <c r="N333" s="153" t="str">
        <f ca="1">IFERROR(IF(VLOOKUP($A333,'Шаг2.Бланк заказа NEW'!$B$17:$N$201,11,0)="","",VLOOKUP($A333,'Шаг2.Бланк заказа NEW'!$B$17:$N$201,11,0)),
"Нет")</f>
        <v/>
      </c>
      <c r="O333" s="147" t="str">
        <f ca="1">IFERROR(IF(VLOOKUP($A333,'Шаг2.Бланк заказа NEW'!$B$17:$N$201,11,0)="","",VLOOKUP($A333,'Шаг2.Бланк заказа NEW'!$B$17:$N$201,12,0)),
"Нет")</f>
        <v/>
      </c>
      <c r="P333" s="153" t="str">
        <f ca="1">IFERROR(IF(VLOOKUP($A333,'Шаг2.Бланк заказа NEW'!$B$17:$N$201,13,0)="","",VLOOKUP($A333,'Шаг2.Бланк заказа NEW'!$B$17:$N$201,13,0)),
"Нет")</f>
        <v/>
      </c>
      <c r="Q333" s="147" t="str">
        <f ca="1">IFERROR(IF(VLOOKUP($A333,'Шаг2.Бланк заказа NEW'!$B$17:$O$201,14,0)="","",VLOOKUP($A333,'Шаг2.Бланк заказа NEW'!$B$17:$O$201,14,0)),"")</f>
        <v/>
      </c>
      <c r="R333" s="147" t="str">
        <f ca="1">IFERROR(IFERROR(IF(VLOOKUP($A333,'Шаг2.Бланк заказа NEW'!$B$17:$N$201,4,0)="","",VLOOKUP($A333,'Шаг2.Бланк заказа NEW'!$B$17:$N$201,4,0)),
IF(VLOOKUP($A333-COUNT('Шаг2.Бланк заказа NEW'!$B$19:$B$201),'Бланк OLD 0.8 04'!$B$12:$K$200,4,0)&gt;0,0.8,
IF(VLOOKUP($A333-COUNT('Шаг2.Бланк заказа NEW'!$B$19:$B$201),'Бланк OLD 0.8 04'!$B$12:$K$200,5,0)&gt;0,0.4,""))),
IF(VLOOKUP($A333-COUNT('Шаг2.Бланк заказа NEW'!$B$19:$B$201)-COUNT('Бланк OLD 0.8 04'!$B$18:$B$200),'Бланк OLD 2.0 04 '!$B$16:$K$200,4,0)&gt;0,2,IF(VLOOKUP($A333-COUNT('Шаг2.Бланк заказа NEW'!$B$19:$B$201)-COUNT('Бланк OLD 0.8 04'!$B$18:$B$200),'Бланк OLD 2.0 04 '!$B$16:$K$200,5,0)&gt;0,0.4,"")))</f>
        <v/>
      </c>
      <c r="S333" s="147" t="str">
        <f ca="1">IFERROR(IFERROR(IF(VLOOKUP($A333,'Шаг2.Бланк заказа NEW'!$B$17:$N$201,5,0)="","",VLOOKUP($A333,'Шаг2.Бланк заказа NEW'!$B$17:$N$201,5,0)),
IF(VLOOKUP($A333-COUNT('Шаг2.Бланк заказа NEW'!$B$19:$B$201),'Бланк OLD 0.8 04'!$B$12:$K$200,4,0)&gt;1,0.8,
IF(VLOOKUP($A333-COUNT('Шаг2.Бланк заказа NEW'!$B$19:$B$201),'Бланк OLD 0.8 04'!$B$12:$K$200,5,0)&gt;1,0.4,
IF(AND(VLOOKUP($A333-COUNT('Шаг2.Бланк заказа NEW'!$B$19:$B$201),'Бланк OLD 0.8 04'!$B$12:$K$200,4,0)&gt;0,VLOOKUP($A333-COUNT('Шаг2.Бланк заказа NEW'!$B$19:$B$201),'Бланк OLD 0.8 04'!$B$12:$K$200,5,0)&gt;0),0.4,"")))),
IF(VLOOKUP($A333-COUNT('Шаг2.Бланк заказа NEW'!$B$19:$B$201)-COUNT('Бланк OLD 0.8 04'!$B$18:$B$200),'Бланк OLD 2.0 04 '!$B$16:$K$200,4,0)&gt;1,2,
IF(VLOOKUP($A333-COUNT('Шаг2.Бланк заказа NEW'!$B$19:$B$201)-COUNT('Бланк OLD 0.8 04'!$B$18:$B$200),'Бланк OLD 2.0 04 '!$B$16:$K$200,5,0)&gt;1,0.4,IF(AND(VLOOKUP($A333-COUNT('Шаг2.Бланк заказа NEW'!$B$19:$B$201)-COUNT('Бланк OLD 0.8 04'!$B$18:$B$200),'Бланк OLD 2.0 04 '!$B$16:$K$200,4,0)&gt;0,VLOOKUP($A333-COUNT('Шаг2.Бланк заказа NEW'!$B$19:$B$201)-COUNT('Бланк OLD 0.8 04'!$B$18:$B$200),'Бланк OLD 2.0 04 '!$B$16:$K$200,5,0)&gt;0),0.4,""))))</f>
        <v/>
      </c>
      <c r="T333" s="147" t="str">
        <f ca="1">IFERROR(IFERROR(IF(VLOOKUP($A333,'Шаг2.Бланк заказа NEW'!$B$17:$N$201,7,0)="","",VLOOKUP($A333,'Шаг2.Бланк заказа NEW'!$B$17:$N$201,7,0)),
IF(VLOOKUP($A333-COUNT('Шаг2.Бланк заказа NEW'!$B$19:$B$201),'Бланк OLD 0.8 04'!$B$12:$K$200,7,0)&gt;0,0.8,
IF(VLOOKUP($A333-COUNT('Шаг2.Бланк заказа NEW'!$B$19:$B$201),'Бланк OLD 0.8 04'!$B$12:$K$200,8,0)&gt;0,0.4,""))),
IF(VLOOKUP($A333-COUNT('Шаг2.Бланк заказа NEW'!$B$19:$B$201)-COUNT('Бланк OLD 0.8 04'!$B$18:$B$200),'Бланк OLD 2.0 04 '!$B$16:$K$200,7,0)&gt;0,2,IF(VLOOKUP($A333-COUNT('Шаг2.Бланк заказа NEW'!$B$19:$B$201)-COUNT('Бланк OLD 0.8 04'!$B$18:$B$200),'Бланк OLD 2.0 04 '!$B$16:$K$200,8,0)&gt;0,0.4,"")))</f>
        <v/>
      </c>
      <c r="U333" s="147" t="str">
        <f ca="1">IFERROR(IFERROR(IF(VLOOKUP($A333,'Шаг2.Бланк заказа NEW'!$B$17:$N$201,8,0)="","",VLOOKUP($A333,'Шаг2.Бланк заказа NEW'!$B$17:$N$201,8,0)),
IF(VLOOKUP($A333-COUNT('Шаг2.Бланк заказа NEW'!$B$19:$B$201),'Бланк OLD 0.8 04'!$B$12:$K$200,7,0)&gt;1,0.8,
IF(VLOOKUP($A333-COUNT('Шаг2.Бланк заказа NEW'!$B$19:$B$201),'Бланк OLD 0.8 04'!$B$12:$K$200,8,0)&gt;1,0.4,
IF(AND(VLOOKUP($A333-COUNT('Шаг2.Бланк заказа NEW'!$B$19:$B$201),'Бланк OLD 0.8 04'!$B$12:$K$200,7,0)&gt;0,VLOOKUP($A333-COUNT('Шаг2.Бланк заказа NEW'!$B$19:$B$201),'Бланк OLD 0.8 04'!$B$12:$K$200,8,0)&gt;0),0.4,"")))),
IF(VLOOKUP($A333-COUNT('Шаг2.Бланк заказа NEW'!$B$19:$B$201)-COUNT('Бланк OLD 0.8 04'!$B$18:$B$200),'Бланк OLD 2.0 04 '!$B$16:$K$200,7,0)&gt;1,2,
IF(VLOOKUP($A333-COUNT('Шаг2.Бланк заказа NEW'!$B$19:$B$201)-COUNT('Бланк OLD 0.8 04'!$B$18:$B$200),'Бланк OLD 2.0 04 '!$B$16:$K$200,8,0)&gt;1,0.4,
IF(AND(VLOOKUP($A333-COUNT('Шаг2.Бланк заказа NEW'!$B$19:$B$201)-COUNT('Бланк OLD 0.8 04'!$B$18:$B$200),'Бланк OLD 2.0 04 '!$B$16:$K$200,7,0)&gt;0,VLOOKUP($A333-COUNT('Шаг2.Бланк заказа NEW'!$B$19:$B$201)-COUNT('Бланк OLD 0.8 04'!$B$18:$B$200),'Бланк OLD 2.0 04 '!$B$16:$K$200,8,0)&gt;0),0.4,""))))</f>
        <v/>
      </c>
      <c r="V333" s="146" t="str">
        <f ca="1">IFERROR(VLOOKUP(C333,'Шаг1.Выбор плиты'!C:S,12,0),"")</f>
        <v/>
      </c>
      <c r="W333" s="146" t="str">
        <f ca="1">IFERROR(VLOOKUP(C333,'Шаг1.Выбор плиты'!C:S,8,0),"")</f>
        <v/>
      </c>
      <c r="X333" s="146" t="str">
        <f ca="1">IFERROR(VLOOKUP(C333,'Шаг1.Выбор плиты'!C:S,10,0),"")</f>
        <v/>
      </c>
      <c r="Y333" s="147" t="str">
        <f t="shared" ca="1" si="28"/>
        <v/>
      </c>
      <c r="AD333" s="147" t="str">
        <f t="shared" ca="1" si="26"/>
        <v/>
      </c>
      <c r="AE333" s="147" t="str">
        <f t="shared" ca="1" si="29"/>
        <v/>
      </c>
      <c r="AF333" s="25"/>
      <c r="AH333" s="147" t="str">
        <f ca="1">IF(C333="","",VLOOKUP(C333,'Шаг1.Выбор плиты'!C:Q,7,0))</f>
        <v/>
      </c>
      <c r="AI333" s="147" t="str">
        <f t="shared" ca="1" si="27"/>
        <v/>
      </c>
    </row>
    <row r="334" spans="1:35" x14ac:dyDescent="0.2">
      <c r="A334" s="151" t="str">
        <f ca="1">IF(C334="","",MAX($A$1:OFFSET(C334,-1,0))+1)</f>
        <v/>
      </c>
      <c r="B334" s="151" t="str">
        <f ca="1">IFERROR(IFERROR(IFERROR("Шаг2.Бланк заказа NEW №"&amp;VLOOKUP(A333+1,CHOOSE({1,2},'Шаг2.Бланк заказа NEW'!$B$19:$B$201,'Шаг2.Бланк заказа NEW'!$A$19:$A$201),1,0),
"Бланк OLD 0.8 04 №"&amp;VLOOKUP(A333+1-COUNT('Шаг2.Бланк заказа NEW'!$B$19:$B$201),CHOOSE({1,2},'Бланк OLD 0.8 04'!$B$18:$B$200,'Бланк OLD 0.8 04'!$A$18:$A$200),1,0)),
"Бланк OLD 2.0 04 №"&amp;VLOOKUP(A333+1-COUNT('Шаг2.Бланк заказа NEW'!$B$19:$B$201)-COUNT('Бланк OLD 0.8 04'!$B$18:$B$200),CHOOSE({1,2},'Бланк OLD 2.0 04 '!$B$18:$B$200,'Бланк OLD 2.0 04 '!$A$18:$A$200),1,0)),"")</f>
        <v/>
      </c>
      <c r="C334" s="152" t="str">
        <f ca="1">IFERROR(IFERROR(IFERROR(VLOOKUP(A333+1,CHOOSE({1,2},'Шаг2.Бланк заказа NEW'!$B$19:$B$201,'Шаг2.Бланк заказа NEW'!$A$19:$A$201),2,0),
VLOOKUP(A333+1-COUNT('Шаг2.Бланк заказа NEW'!$B$19:$B$201),CHOOSE({1,2},'Бланк OLD 0.8 04'!$B$18:$B$200,'Бланк OLD 0.8 04'!$A$18:$A$200),2,0)),
VLOOKUP(A333+1-COUNT('Шаг2.Бланк заказа NEW'!$B$19:$B$201)-COUNT('Бланк OLD 0.8 04'!$B$18:$B$200),CHOOSE({1,2},'Бланк OLD 2.0 04 '!$B$18:$B$200,'Бланк OLD 2.0 04 '!$A$18:$A$200),2,0)),"")</f>
        <v/>
      </c>
      <c r="D334" s="150" t="str">
        <f ca="1">IFERROR(VLOOKUP(C334,'Шаг1.Выбор плиты'!C:G,5,0),"")</f>
        <v/>
      </c>
      <c r="E334" s="147" t="str">
        <f ca="1">IFERROR(IFERROR(IF(VLOOKUP($A334,'Шаг2.Бланк заказа NEW'!$B$17:$N$201,2,0)="","",VLOOKUP($A334,'Шаг2.Бланк заказа NEW'!$B$17:$N$201,2,0)),
IF(VLOOKUP($A334-COUNT('Шаг2.Бланк заказа NEW'!$B$19:$B$201),'Бланк OLD 0.8 04'!$B$12:$K$200,2,0)="","",VLOOKUP($A334-COUNT('Шаг2.Бланк заказа NEW'!$B$19:$B$201),'Бланк OLD 0.8 04'!$B$12:$K$200,2,0))),
IF(VLOOKUP($A334-COUNT('Шаг2.Бланк заказа NEW'!$B$19:$B$201)-COUNT('Бланк OLD 0.8 04'!$B$18:$B$200),'Бланк OLD 2.0 04 '!$B$16:$K$200,2,0)="","",VLOOKUP($A334-COUNT('Шаг2.Бланк заказа NEW'!$B$19:$B$201)-COUNT('Бланк OLD 0.8 04'!$B$18:$B$200),'Бланк OLD 2.0 04 '!$B$16:$K$200,2,0)))</f>
        <v/>
      </c>
      <c r="F334" s="147" t="str">
        <f ca="1">IFERROR(IFERROR(IF(VLOOKUP($A334,'Шаг2.Бланк заказа NEW'!$B$17:$N$201,3,0)="","",VLOOKUP($A334,'Шаг2.Бланк заказа NEW'!$B$17:$N$201,3,0)),
IF(VLOOKUP($A334-COUNT('Шаг2.Бланк заказа NEW'!$B$19:$B$201),'Бланк OLD 0.8 04'!$B$12:$K$200,3,0)="","",VLOOKUP($A334-COUNT('Шаг2.Бланк заказа NEW'!$B$19:$B$201),'Бланк OLD 0.8 04'!$B$12:$K$200,3,0))),
IF(VLOOKUP($A334-COUNT('Шаг2.Бланк заказа NEW'!$B$19:$B$201)-COUNT('Бланк OLD 0.8 04'!$B$18:$B$200),'Бланк OLD 2.0 04 '!$B$16:$K$200,3,0)="","",VLOOKUP($A334-COUNT('Шаг2.Бланк заказа NEW'!$B$19:$B$201)-COUNT('Бланк OLD 0.8 04'!$B$18:$B$200),'Бланк OLD 2.0 04 '!$B$16:$K$200,3,0)))</f>
        <v/>
      </c>
      <c r="G334" s="176" t="str">
        <f ca="1">IF(IF(R334="","",IF(R334=1,SUMIFS('Шаг1.Выбор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плиты'!C:Q,12,0)),1))))))=0,
R334,
IF(R334="","",IF(R334=1,SUMIFS('Шаг1.Выбор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плиты'!N:N,R334,'Шаг1.Выбор плиты'!M:M,SMALL(INDIRECT("мм"&amp;VLOOKUP(C334,'Шаг1.Выбор плиты'!C:Q,12,0)),1)))))))</f>
        <v/>
      </c>
      <c r="H334" s="177" t="str">
        <f ca="1">IF(IF(S334="","",IF(S334=1,SUMIFS('Шаг1.Выбор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плиты'!C:Q,12,0)),1))))))=0,
S334,
IF(S334="","",IF(S334=1,SUMIFS('Шаг1.Выбор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плиты'!N:N,S334,'Шаг1.Выбор плиты'!M:M,SMALL(INDIRECT("мм"&amp;VLOOKUP(C334,'Шаг1.Выбор плиты'!C:Q,12,0)),1)))))))</f>
        <v/>
      </c>
      <c r="I334" s="147" t="str">
        <f ca="1">IFERROR(IFERROR(IF(VLOOKUP($A334,'Шаг2.Бланк заказа NEW'!$B$17:$N$201,6,0)="","",VLOOKUP($A334,'Шаг2.Бланк заказа NEW'!$B$17:$N$201,6,0)),
IF(VLOOKUP($A334-COUNT('Шаг2.Бланк заказа NEW'!$B$19:$B$201),'Бланк OLD 0.8 04'!$B$12:$K$200,6,0)="","",VLOOKUP($A334-COUNT('Шаг2.Бланк заказа NEW'!$B$19:$B$201),'Бланк OLD 0.8 04'!$B$12:$K$200,6,0))),
IF(VLOOKUP($A334-COUNT('Шаг2.Бланк заказа NEW'!$B$19:$B$201)-COUNT('Бланк OLD 0.8 04'!$B$18:$B$200),'Бланк OLD 2.0 04 '!$B$16:$K$200,6,0)="","",VLOOKUP($A334-COUNT('Шаг2.Бланк заказа NEW'!$B$19:$B$201)-COUNT('Бланк OLD 0.8 04'!$B$18:$B$200),'Бланк OLD 2.0 04 '!$B$16:$K$200,6,0)))</f>
        <v/>
      </c>
      <c r="J334" s="177" t="str">
        <f ca="1">IF(IF(T334="","",IF(T334=1,SUMIFS('Шаг1.Выбор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плиты'!C:Q,12,0)),1))))))=0,
T334,
IF(T334="","",IF(T334=1,SUMIFS('Шаг1.Выбор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плиты'!N:N,T334,'Шаг1.Выбор плиты'!M:M,SMALL(INDIRECT("мм"&amp;VLOOKUP(C334,'Шаг1.Выбор плиты'!C:Q,12,0)),1)))))))</f>
        <v/>
      </c>
      <c r="K334" s="177" t="str">
        <f ca="1">IF(IF(U334="","",IF(U334=1,SUMIFS('Шаг1.Выбор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плиты'!C:Q,12,0)),1))))))=0,
U334,
IF(U334="","",IF(U334=1,SUMIFS('Шаг1.Выбор плиты'!$G:$G,'Шаг1.Выбор плиты'!J:J,"*"&amp;RIGHT(VLOOKUP(C334,'Шаг1.Выбор плиты'!C:Q,8,0),4),'Шаг1.Выбор плиты'!L:L,IF(MID(C334,1,6)="ЛДСП P","TM"&amp;MID(VLOOKUP(C334,'Шаг1.Выбор плиты'!C:Q,10,0),3,2),MID(VLOOKUP(C334,'Шаг1.Выбор плиты'!C:Q,10,0),1,2)),
'Шаг1.Выбор плиты'!N:N,1),IF(SUMIFS('Шаг1.Выбор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плиты'!C:Q,12,0)),1))=0,
IF(SUMIFS('Шаг1.Выбор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плиты'!C:Q,12,0)),2))=0,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плиты'!C:Q,12,0)),3)),
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плиты'!C:Q,12,0)),2))),
(SUMIFS('Шаг1.Выбор плиты'!$G:$G,'Шаг1.Выбор плиты'!J:J,"*"&amp;RIGHT(VLOOKUP(C334,'Шаг1.Выбор плиты'!C:Q,8,0),4),'Шаг1.Выбор плиты'!L:L,VLOOKUP(C334,'Шаг1.Выбор плиты'!C:Q,10,0),'Шаг1.Выбор плиты'!N:N,U334,'Шаг1.Выбор плиты'!M:M,SMALL(INDIRECT("мм"&amp;VLOOKUP(C334,'Шаг1.Выбор плиты'!C:Q,12,0)),1)))))))</f>
        <v/>
      </c>
      <c r="L334" s="147" t="str">
        <f ca="1">IFERROR(IFERROR(IF(VLOOKUP($A334,'Шаг2.Бланк заказа NEW'!$B$17:$N$201,9,0)="","",VLOOKUP($A334,'Шаг2.Бланк заказа NEW'!$B$17:$N$201,9,0)),
IF(VLOOKUP($A334-COUNT('Шаг2.Бланк заказа NEW'!$B$19:$B$201),'Бланк OLD 0.8 04'!$B$12:$K$200,9,0)="","",VLOOKUP($A334-COUNT('Шаг2.Бланк заказа NEW'!$B$19:$B$201),'Бланк OLD 0.8 04'!$B$12:$K$200,9,0))),
IF(VLOOKUP($A334-COUNT('Шаг2.Бланк заказа NEW'!$B$19:$B$201)-COUNT('Бланк OLD 0.8 04'!$B$18:$B$200),'Бланк OLD 2.0 04 '!$B$16:$K$200,9,0)="","",VLOOKUP($A334-COUNT('Шаг2.Бланк заказа NEW'!$B$19:$B$201)-COUNT('Бланк OLD 0.8 04'!$B$18:$B$200),'Бланк OLD 2.0 04 '!$B$16:$K$200,9,0)))</f>
        <v/>
      </c>
      <c r="M334" s="154" t="str">
        <f t="shared" ca="1" si="25"/>
        <v/>
      </c>
      <c r="N334" s="153" t="str">
        <f ca="1">IFERROR(IF(VLOOKUP($A334,'Шаг2.Бланк заказа NEW'!$B$17:$N$201,11,0)="","",VLOOKUP($A334,'Шаг2.Бланк заказа NEW'!$B$17:$N$201,11,0)),
"Нет")</f>
        <v/>
      </c>
      <c r="O334" s="147" t="str">
        <f ca="1">IFERROR(IF(VLOOKUP($A334,'Шаг2.Бланк заказа NEW'!$B$17:$N$201,11,0)="","",VLOOKUP($A334,'Шаг2.Бланк заказа NEW'!$B$17:$N$201,12,0)),
"Нет")</f>
        <v/>
      </c>
      <c r="P334" s="153" t="str">
        <f ca="1">IFERROR(IF(VLOOKUP($A334,'Шаг2.Бланк заказа NEW'!$B$17:$N$201,13,0)="","",VLOOKUP($A334,'Шаг2.Бланк заказа NEW'!$B$17:$N$201,13,0)),
"Нет")</f>
        <v/>
      </c>
      <c r="Q334" s="147" t="str">
        <f ca="1">IFERROR(IF(VLOOKUP($A334,'Шаг2.Бланк заказа NEW'!$B$17:$O$201,14,0)="","",VLOOKUP($A334,'Шаг2.Бланк заказа NEW'!$B$17:$O$201,14,0)),"")</f>
        <v/>
      </c>
      <c r="R334" s="147" t="str">
        <f ca="1">IFERROR(IFERROR(IF(VLOOKUP($A334,'Шаг2.Бланк заказа NEW'!$B$17:$N$201,4,0)="","",VLOOKUP($A334,'Шаг2.Бланк заказа NEW'!$B$17:$N$201,4,0)),
IF(VLOOKUP($A334-COUNT('Шаг2.Бланк заказа NEW'!$B$19:$B$201),'Бланк OLD 0.8 04'!$B$12:$K$200,4,0)&gt;0,0.8,
IF(VLOOKUP($A334-COUNT('Шаг2.Бланк заказа NEW'!$B$19:$B$201),'Бланк OLD 0.8 04'!$B$12:$K$200,5,0)&gt;0,0.4,""))),
IF(VLOOKUP($A334-COUNT('Шаг2.Бланк заказа NEW'!$B$19:$B$201)-COUNT('Бланк OLD 0.8 04'!$B$18:$B$200),'Бланк OLD 2.0 04 '!$B$16:$K$200,4,0)&gt;0,2,IF(VLOOKUP($A334-COUNT('Шаг2.Бланк заказа NEW'!$B$19:$B$201)-COUNT('Бланк OLD 0.8 04'!$B$18:$B$200),'Бланк OLD 2.0 04 '!$B$16:$K$200,5,0)&gt;0,0.4,"")))</f>
        <v/>
      </c>
      <c r="S334" s="147" t="str">
        <f ca="1">IFERROR(IFERROR(IF(VLOOKUP($A334,'Шаг2.Бланк заказа NEW'!$B$17:$N$201,5,0)="","",VLOOKUP($A334,'Шаг2.Бланк заказа NEW'!$B$17:$N$201,5,0)),
IF(VLOOKUP($A334-COUNT('Шаг2.Бланк заказа NEW'!$B$19:$B$201),'Бланк OLD 0.8 04'!$B$12:$K$200,4,0)&gt;1,0.8,
IF(VLOOKUP($A334-COUNT('Шаг2.Бланк заказа NEW'!$B$19:$B$201),'Бланк OLD 0.8 04'!$B$12:$K$200,5,0)&gt;1,0.4,
IF(AND(VLOOKUP($A334-COUNT('Шаг2.Бланк заказа NEW'!$B$19:$B$201),'Бланк OLD 0.8 04'!$B$12:$K$200,4,0)&gt;0,VLOOKUP($A334-COUNT('Шаг2.Бланк заказа NEW'!$B$19:$B$201),'Бланк OLD 0.8 04'!$B$12:$K$200,5,0)&gt;0),0.4,"")))),
IF(VLOOKUP($A334-COUNT('Шаг2.Бланк заказа NEW'!$B$19:$B$201)-COUNT('Бланк OLD 0.8 04'!$B$18:$B$200),'Бланк OLD 2.0 04 '!$B$16:$K$200,4,0)&gt;1,2,
IF(VLOOKUP($A334-COUNT('Шаг2.Бланк заказа NEW'!$B$19:$B$201)-COUNT('Бланк OLD 0.8 04'!$B$18:$B$200),'Бланк OLD 2.0 04 '!$B$16:$K$200,5,0)&gt;1,0.4,IF(AND(VLOOKUP($A334-COUNT('Шаг2.Бланк заказа NEW'!$B$19:$B$201)-COUNT('Бланк OLD 0.8 04'!$B$18:$B$200),'Бланк OLD 2.0 04 '!$B$16:$K$200,4,0)&gt;0,VLOOKUP($A334-COUNT('Шаг2.Бланк заказа NEW'!$B$19:$B$201)-COUNT('Бланк OLD 0.8 04'!$B$18:$B$200),'Бланк OLD 2.0 04 '!$B$16:$K$200,5,0)&gt;0),0.4,""))))</f>
        <v/>
      </c>
      <c r="T334" s="147" t="str">
        <f ca="1">IFERROR(IFERROR(IF(VLOOKUP($A334,'Шаг2.Бланк заказа NEW'!$B$17:$N$201,7,0)="","",VLOOKUP($A334,'Шаг2.Бланк заказа NEW'!$B$17:$N$201,7,0)),
IF(VLOOKUP($A334-COUNT('Шаг2.Бланк заказа NEW'!$B$19:$B$201),'Бланк OLD 0.8 04'!$B$12:$K$200,7,0)&gt;0,0.8,
IF(VLOOKUP($A334-COUNT('Шаг2.Бланк заказа NEW'!$B$19:$B$201),'Бланк OLD 0.8 04'!$B$12:$K$200,8,0)&gt;0,0.4,""))),
IF(VLOOKUP($A334-COUNT('Шаг2.Бланк заказа NEW'!$B$19:$B$201)-COUNT('Бланк OLD 0.8 04'!$B$18:$B$200),'Бланк OLD 2.0 04 '!$B$16:$K$200,7,0)&gt;0,2,IF(VLOOKUP($A334-COUNT('Шаг2.Бланк заказа NEW'!$B$19:$B$201)-COUNT('Бланк OLD 0.8 04'!$B$18:$B$200),'Бланк OLD 2.0 04 '!$B$16:$K$200,8,0)&gt;0,0.4,"")))</f>
        <v/>
      </c>
      <c r="U334" s="147" t="str">
        <f ca="1">IFERROR(IFERROR(IF(VLOOKUP($A334,'Шаг2.Бланк заказа NEW'!$B$17:$N$201,8,0)="","",VLOOKUP($A334,'Шаг2.Бланк заказа NEW'!$B$17:$N$201,8,0)),
IF(VLOOKUP($A334-COUNT('Шаг2.Бланк заказа NEW'!$B$19:$B$201),'Бланк OLD 0.8 04'!$B$12:$K$200,7,0)&gt;1,0.8,
IF(VLOOKUP($A334-COUNT('Шаг2.Бланк заказа NEW'!$B$19:$B$201),'Бланк OLD 0.8 04'!$B$12:$K$200,8,0)&gt;1,0.4,
IF(AND(VLOOKUP($A334-COUNT('Шаг2.Бланк заказа NEW'!$B$19:$B$201),'Бланк OLD 0.8 04'!$B$12:$K$200,7,0)&gt;0,VLOOKUP($A334-COUNT('Шаг2.Бланк заказа NEW'!$B$19:$B$201),'Бланк OLD 0.8 04'!$B$12:$K$200,8,0)&gt;0),0.4,"")))),
IF(VLOOKUP($A334-COUNT('Шаг2.Бланк заказа NEW'!$B$19:$B$201)-COUNT('Бланк OLD 0.8 04'!$B$18:$B$200),'Бланк OLD 2.0 04 '!$B$16:$K$200,7,0)&gt;1,2,
IF(VLOOKUP($A334-COUNT('Шаг2.Бланк заказа NEW'!$B$19:$B$201)-COUNT('Бланк OLD 0.8 04'!$B$18:$B$200),'Бланк OLD 2.0 04 '!$B$16:$K$200,8,0)&gt;1,0.4,
IF(AND(VLOOKUP($A334-COUNT('Шаг2.Бланк заказа NEW'!$B$19:$B$201)-COUNT('Бланк OLD 0.8 04'!$B$18:$B$200),'Бланк OLD 2.0 04 '!$B$16:$K$200,7,0)&gt;0,VLOOKUP($A334-COUNT('Шаг2.Бланк заказа NEW'!$B$19:$B$201)-COUNT('Бланк OLD 0.8 04'!$B$18:$B$200),'Бланк OLD 2.0 04 '!$B$16:$K$200,8,0)&gt;0),0.4,""))))</f>
        <v/>
      </c>
      <c r="V334" s="146" t="str">
        <f ca="1">IFERROR(VLOOKUP(C334,'Шаг1.Выбор плиты'!C:S,12,0),"")</f>
        <v/>
      </c>
      <c r="W334" s="146" t="str">
        <f ca="1">IFERROR(VLOOKUP(C334,'Шаг1.Выбор плиты'!C:S,8,0),"")</f>
        <v/>
      </c>
      <c r="X334" s="146" t="str">
        <f ca="1">IFERROR(VLOOKUP(C334,'Шаг1.Выбор плиты'!C:S,10,0),"")</f>
        <v/>
      </c>
      <c r="Y334" s="147" t="str">
        <f t="shared" ca="1" si="28"/>
        <v/>
      </c>
      <c r="AD334" s="147" t="str">
        <f t="shared" ca="1" si="26"/>
        <v/>
      </c>
      <c r="AE334" s="147" t="str">
        <f t="shared" ca="1" si="29"/>
        <v/>
      </c>
      <c r="AF334" s="25"/>
      <c r="AH334" s="147" t="str">
        <f ca="1">IF(C334="","",VLOOKUP(C334,'Шаг1.Выбор плиты'!C:Q,7,0))</f>
        <v/>
      </c>
      <c r="AI334" s="147" t="str">
        <f t="shared" ca="1" si="27"/>
        <v/>
      </c>
    </row>
    <row r="335" spans="1:35" x14ac:dyDescent="0.2">
      <c r="A335" s="151" t="str">
        <f ca="1">IF(C335="","",MAX($A$1:OFFSET(C335,-1,0))+1)</f>
        <v/>
      </c>
      <c r="B335" s="151" t="str">
        <f ca="1">IFERROR(IFERROR(IFERROR("Шаг2.Бланк заказа NEW №"&amp;VLOOKUP(A334+1,CHOOSE({1,2},'Шаг2.Бланк заказа NEW'!$B$19:$B$201,'Шаг2.Бланк заказа NEW'!$A$19:$A$201),1,0),
"Бланк OLD 0.8 04 №"&amp;VLOOKUP(A334+1-COUNT('Шаг2.Бланк заказа NEW'!$B$19:$B$201),CHOOSE({1,2},'Бланк OLD 0.8 04'!$B$18:$B$200,'Бланк OLD 0.8 04'!$A$18:$A$200),1,0)),
"Бланк OLD 2.0 04 №"&amp;VLOOKUP(A334+1-COUNT('Шаг2.Бланк заказа NEW'!$B$19:$B$201)-COUNT('Бланк OLD 0.8 04'!$B$18:$B$200),CHOOSE({1,2},'Бланк OLD 2.0 04 '!$B$18:$B$200,'Бланк OLD 2.0 04 '!$A$18:$A$200),1,0)),"")</f>
        <v/>
      </c>
      <c r="C335" s="152" t="str">
        <f ca="1">IFERROR(IFERROR(IFERROR(VLOOKUP(A334+1,CHOOSE({1,2},'Шаг2.Бланк заказа NEW'!$B$19:$B$201,'Шаг2.Бланк заказа NEW'!$A$19:$A$201),2,0),
VLOOKUP(A334+1-COUNT('Шаг2.Бланк заказа NEW'!$B$19:$B$201),CHOOSE({1,2},'Бланк OLD 0.8 04'!$B$18:$B$200,'Бланк OLD 0.8 04'!$A$18:$A$200),2,0)),
VLOOKUP(A334+1-COUNT('Шаг2.Бланк заказа NEW'!$B$19:$B$201)-COUNT('Бланк OLD 0.8 04'!$B$18:$B$200),CHOOSE({1,2},'Бланк OLD 2.0 04 '!$B$18:$B$200,'Бланк OLD 2.0 04 '!$A$18:$A$200),2,0)),"")</f>
        <v/>
      </c>
      <c r="D335" s="150" t="str">
        <f ca="1">IFERROR(VLOOKUP(C335,'Шаг1.Выбор плиты'!C:G,5,0),"")</f>
        <v/>
      </c>
      <c r="E335" s="147" t="str">
        <f ca="1">IFERROR(IFERROR(IF(VLOOKUP($A335,'Шаг2.Бланк заказа NEW'!$B$17:$N$201,2,0)="","",VLOOKUP($A335,'Шаг2.Бланк заказа NEW'!$B$17:$N$201,2,0)),
IF(VLOOKUP($A335-COUNT('Шаг2.Бланк заказа NEW'!$B$19:$B$201),'Бланк OLD 0.8 04'!$B$12:$K$200,2,0)="","",VLOOKUP($A335-COUNT('Шаг2.Бланк заказа NEW'!$B$19:$B$201),'Бланк OLD 0.8 04'!$B$12:$K$200,2,0))),
IF(VLOOKUP($A335-COUNT('Шаг2.Бланк заказа NEW'!$B$19:$B$201)-COUNT('Бланк OLD 0.8 04'!$B$18:$B$200),'Бланк OLD 2.0 04 '!$B$16:$K$200,2,0)="","",VLOOKUP($A335-COUNT('Шаг2.Бланк заказа NEW'!$B$19:$B$201)-COUNT('Бланк OLD 0.8 04'!$B$18:$B$200),'Бланк OLD 2.0 04 '!$B$16:$K$200,2,0)))</f>
        <v/>
      </c>
      <c r="F335" s="147" t="str">
        <f ca="1">IFERROR(IFERROR(IF(VLOOKUP($A335,'Шаг2.Бланк заказа NEW'!$B$17:$N$201,3,0)="","",VLOOKUP($A335,'Шаг2.Бланк заказа NEW'!$B$17:$N$201,3,0)),
IF(VLOOKUP($A335-COUNT('Шаг2.Бланк заказа NEW'!$B$19:$B$201),'Бланк OLD 0.8 04'!$B$12:$K$200,3,0)="","",VLOOKUP($A335-COUNT('Шаг2.Бланк заказа NEW'!$B$19:$B$201),'Бланк OLD 0.8 04'!$B$12:$K$200,3,0))),
IF(VLOOKUP($A335-COUNT('Шаг2.Бланк заказа NEW'!$B$19:$B$201)-COUNT('Бланк OLD 0.8 04'!$B$18:$B$200),'Бланк OLD 2.0 04 '!$B$16:$K$200,3,0)="","",VLOOKUP($A335-COUNT('Шаг2.Бланк заказа NEW'!$B$19:$B$201)-COUNT('Бланк OLD 0.8 04'!$B$18:$B$200),'Бланк OLD 2.0 04 '!$B$16:$K$200,3,0)))</f>
        <v/>
      </c>
      <c r="G335" s="176" t="str">
        <f ca="1">IF(IF(R335="","",IF(R335=1,SUMIFS('Шаг1.Выбор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плиты'!C:Q,12,0)),1))))))=0,
R335,
IF(R335="","",IF(R335=1,SUMIFS('Шаг1.Выбор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плиты'!N:N,R335,'Шаг1.Выбор плиты'!M:M,SMALL(INDIRECT("мм"&amp;VLOOKUP(C335,'Шаг1.Выбор плиты'!C:Q,12,0)),1)))))))</f>
        <v/>
      </c>
      <c r="H335" s="177" t="str">
        <f ca="1">IF(IF(S335="","",IF(S335=1,SUMIFS('Шаг1.Выбор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плиты'!C:Q,12,0)),1))))))=0,
S335,
IF(S335="","",IF(S335=1,SUMIFS('Шаг1.Выбор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плиты'!N:N,S335,'Шаг1.Выбор плиты'!M:M,SMALL(INDIRECT("мм"&amp;VLOOKUP(C335,'Шаг1.Выбор плиты'!C:Q,12,0)),1)))))))</f>
        <v/>
      </c>
      <c r="I335" s="147" t="str">
        <f ca="1">IFERROR(IFERROR(IF(VLOOKUP($A335,'Шаг2.Бланк заказа NEW'!$B$17:$N$201,6,0)="","",VLOOKUP($A335,'Шаг2.Бланк заказа NEW'!$B$17:$N$201,6,0)),
IF(VLOOKUP($A335-COUNT('Шаг2.Бланк заказа NEW'!$B$19:$B$201),'Бланк OLD 0.8 04'!$B$12:$K$200,6,0)="","",VLOOKUP($A335-COUNT('Шаг2.Бланк заказа NEW'!$B$19:$B$201),'Бланк OLD 0.8 04'!$B$12:$K$200,6,0))),
IF(VLOOKUP($A335-COUNT('Шаг2.Бланк заказа NEW'!$B$19:$B$201)-COUNT('Бланк OLD 0.8 04'!$B$18:$B$200),'Бланк OLD 2.0 04 '!$B$16:$K$200,6,0)="","",VLOOKUP($A335-COUNT('Шаг2.Бланк заказа NEW'!$B$19:$B$201)-COUNT('Бланк OLD 0.8 04'!$B$18:$B$200),'Бланк OLD 2.0 04 '!$B$16:$K$200,6,0)))</f>
        <v/>
      </c>
      <c r="J335" s="177" t="str">
        <f ca="1">IF(IF(T335="","",IF(T335=1,SUMIFS('Шаг1.Выбор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плиты'!C:Q,12,0)),1))))))=0,
T335,
IF(T335="","",IF(T335=1,SUMIFS('Шаг1.Выбор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плиты'!N:N,T335,'Шаг1.Выбор плиты'!M:M,SMALL(INDIRECT("мм"&amp;VLOOKUP(C335,'Шаг1.Выбор плиты'!C:Q,12,0)),1)))))))</f>
        <v/>
      </c>
      <c r="K335" s="177" t="str">
        <f ca="1">IF(IF(U335="","",IF(U335=1,SUMIFS('Шаг1.Выбор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плиты'!C:Q,12,0)),1))))))=0,
U335,
IF(U335="","",IF(U335=1,SUMIFS('Шаг1.Выбор плиты'!$G:$G,'Шаг1.Выбор плиты'!J:J,"*"&amp;RIGHT(VLOOKUP(C335,'Шаг1.Выбор плиты'!C:Q,8,0),4),'Шаг1.Выбор плиты'!L:L,IF(MID(C335,1,6)="ЛДСП P","TM"&amp;MID(VLOOKUP(C335,'Шаг1.Выбор плиты'!C:Q,10,0),3,2),MID(VLOOKUP(C335,'Шаг1.Выбор плиты'!C:Q,10,0),1,2)),
'Шаг1.Выбор плиты'!N:N,1),IF(SUMIFS('Шаг1.Выбор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плиты'!C:Q,12,0)),1))=0,
IF(SUMIFS('Шаг1.Выбор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плиты'!C:Q,12,0)),2))=0,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плиты'!C:Q,12,0)),3)),
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плиты'!C:Q,12,0)),2))),
(SUMIFS('Шаг1.Выбор плиты'!$G:$G,'Шаг1.Выбор плиты'!J:J,"*"&amp;RIGHT(VLOOKUP(C335,'Шаг1.Выбор плиты'!C:Q,8,0),4),'Шаг1.Выбор плиты'!L:L,VLOOKUP(C335,'Шаг1.Выбор плиты'!C:Q,10,0),'Шаг1.Выбор плиты'!N:N,U335,'Шаг1.Выбор плиты'!M:M,SMALL(INDIRECT("мм"&amp;VLOOKUP(C335,'Шаг1.Выбор плиты'!C:Q,12,0)),1)))))))</f>
        <v/>
      </c>
      <c r="L335" s="147" t="str">
        <f ca="1">IFERROR(IFERROR(IF(VLOOKUP($A335,'Шаг2.Бланк заказа NEW'!$B$17:$N$201,9,0)="","",VLOOKUP($A335,'Шаг2.Бланк заказа NEW'!$B$17:$N$201,9,0)),
IF(VLOOKUP($A335-COUNT('Шаг2.Бланк заказа NEW'!$B$19:$B$201),'Бланк OLD 0.8 04'!$B$12:$K$200,9,0)="","",VLOOKUP($A335-COUNT('Шаг2.Бланк заказа NEW'!$B$19:$B$201),'Бланк OLD 0.8 04'!$B$12:$K$200,9,0))),
IF(VLOOKUP($A335-COUNT('Шаг2.Бланк заказа NEW'!$B$19:$B$201)-COUNT('Бланк OLD 0.8 04'!$B$18:$B$200),'Бланк OLD 2.0 04 '!$B$16:$K$200,9,0)="","",VLOOKUP($A335-COUNT('Шаг2.Бланк заказа NEW'!$B$19:$B$201)-COUNT('Бланк OLD 0.8 04'!$B$18:$B$200),'Бланк OLD 2.0 04 '!$B$16:$K$200,9,0)))</f>
        <v/>
      </c>
      <c r="M335" s="154" t="str">
        <f t="shared" ca="1" si="25"/>
        <v/>
      </c>
      <c r="N335" s="153" t="str">
        <f ca="1">IFERROR(IF(VLOOKUP($A335,'Шаг2.Бланк заказа NEW'!$B$17:$N$201,11,0)="","",VLOOKUP($A335,'Шаг2.Бланк заказа NEW'!$B$17:$N$201,11,0)),
"Нет")</f>
        <v/>
      </c>
      <c r="O335" s="147" t="str">
        <f ca="1">IFERROR(IF(VLOOKUP($A335,'Шаг2.Бланк заказа NEW'!$B$17:$N$201,11,0)="","",VLOOKUP($A335,'Шаг2.Бланк заказа NEW'!$B$17:$N$201,12,0)),
"Нет")</f>
        <v/>
      </c>
      <c r="P335" s="153" t="str">
        <f ca="1">IFERROR(IF(VLOOKUP($A335,'Шаг2.Бланк заказа NEW'!$B$17:$N$201,13,0)="","",VLOOKUP($A335,'Шаг2.Бланк заказа NEW'!$B$17:$N$201,13,0)),
"Нет")</f>
        <v/>
      </c>
      <c r="Q335" s="147" t="str">
        <f ca="1">IFERROR(IF(VLOOKUP($A335,'Шаг2.Бланк заказа NEW'!$B$17:$O$201,14,0)="","",VLOOKUP($A335,'Шаг2.Бланк заказа NEW'!$B$17:$O$201,14,0)),"")</f>
        <v/>
      </c>
      <c r="R335" s="147" t="str">
        <f ca="1">IFERROR(IFERROR(IF(VLOOKUP($A335,'Шаг2.Бланк заказа NEW'!$B$17:$N$201,4,0)="","",VLOOKUP($A335,'Шаг2.Бланк заказа NEW'!$B$17:$N$201,4,0)),
IF(VLOOKUP($A335-COUNT('Шаг2.Бланк заказа NEW'!$B$19:$B$201),'Бланк OLD 0.8 04'!$B$12:$K$200,4,0)&gt;0,0.8,
IF(VLOOKUP($A335-COUNT('Шаг2.Бланк заказа NEW'!$B$19:$B$201),'Бланк OLD 0.8 04'!$B$12:$K$200,5,0)&gt;0,0.4,""))),
IF(VLOOKUP($A335-COUNT('Шаг2.Бланк заказа NEW'!$B$19:$B$201)-COUNT('Бланк OLD 0.8 04'!$B$18:$B$200),'Бланк OLD 2.0 04 '!$B$16:$K$200,4,0)&gt;0,2,IF(VLOOKUP($A335-COUNT('Шаг2.Бланк заказа NEW'!$B$19:$B$201)-COUNT('Бланк OLD 0.8 04'!$B$18:$B$200),'Бланк OLD 2.0 04 '!$B$16:$K$200,5,0)&gt;0,0.4,"")))</f>
        <v/>
      </c>
      <c r="S335" s="147" t="str">
        <f ca="1">IFERROR(IFERROR(IF(VLOOKUP($A335,'Шаг2.Бланк заказа NEW'!$B$17:$N$201,5,0)="","",VLOOKUP($A335,'Шаг2.Бланк заказа NEW'!$B$17:$N$201,5,0)),
IF(VLOOKUP($A335-COUNT('Шаг2.Бланк заказа NEW'!$B$19:$B$201),'Бланк OLD 0.8 04'!$B$12:$K$200,4,0)&gt;1,0.8,
IF(VLOOKUP($A335-COUNT('Шаг2.Бланк заказа NEW'!$B$19:$B$201),'Бланк OLD 0.8 04'!$B$12:$K$200,5,0)&gt;1,0.4,
IF(AND(VLOOKUP($A335-COUNT('Шаг2.Бланк заказа NEW'!$B$19:$B$201),'Бланк OLD 0.8 04'!$B$12:$K$200,4,0)&gt;0,VLOOKUP($A335-COUNT('Шаг2.Бланк заказа NEW'!$B$19:$B$201),'Бланк OLD 0.8 04'!$B$12:$K$200,5,0)&gt;0),0.4,"")))),
IF(VLOOKUP($A335-COUNT('Шаг2.Бланк заказа NEW'!$B$19:$B$201)-COUNT('Бланк OLD 0.8 04'!$B$18:$B$200),'Бланк OLD 2.0 04 '!$B$16:$K$200,4,0)&gt;1,2,
IF(VLOOKUP($A335-COUNT('Шаг2.Бланк заказа NEW'!$B$19:$B$201)-COUNT('Бланк OLD 0.8 04'!$B$18:$B$200),'Бланк OLD 2.0 04 '!$B$16:$K$200,5,0)&gt;1,0.4,IF(AND(VLOOKUP($A335-COUNT('Шаг2.Бланк заказа NEW'!$B$19:$B$201)-COUNT('Бланк OLD 0.8 04'!$B$18:$B$200),'Бланк OLD 2.0 04 '!$B$16:$K$200,4,0)&gt;0,VLOOKUP($A335-COUNT('Шаг2.Бланк заказа NEW'!$B$19:$B$201)-COUNT('Бланк OLD 0.8 04'!$B$18:$B$200),'Бланк OLD 2.0 04 '!$B$16:$K$200,5,0)&gt;0),0.4,""))))</f>
        <v/>
      </c>
      <c r="T335" s="147" t="str">
        <f ca="1">IFERROR(IFERROR(IF(VLOOKUP($A335,'Шаг2.Бланк заказа NEW'!$B$17:$N$201,7,0)="","",VLOOKUP($A335,'Шаг2.Бланк заказа NEW'!$B$17:$N$201,7,0)),
IF(VLOOKUP($A335-COUNT('Шаг2.Бланк заказа NEW'!$B$19:$B$201),'Бланк OLD 0.8 04'!$B$12:$K$200,7,0)&gt;0,0.8,
IF(VLOOKUP($A335-COUNT('Шаг2.Бланк заказа NEW'!$B$19:$B$201),'Бланк OLD 0.8 04'!$B$12:$K$200,8,0)&gt;0,0.4,""))),
IF(VLOOKUP($A335-COUNT('Шаг2.Бланк заказа NEW'!$B$19:$B$201)-COUNT('Бланк OLD 0.8 04'!$B$18:$B$200),'Бланк OLD 2.0 04 '!$B$16:$K$200,7,0)&gt;0,2,IF(VLOOKUP($A335-COUNT('Шаг2.Бланк заказа NEW'!$B$19:$B$201)-COUNT('Бланк OLD 0.8 04'!$B$18:$B$200),'Бланк OLD 2.0 04 '!$B$16:$K$200,8,0)&gt;0,0.4,"")))</f>
        <v/>
      </c>
      <c r="U335" s="147" t="str">
        <f ca="1">IFERROR(IFERROR(IF(VLOOKUP($A335,'Шаг2.Бланк заказа NEW'!$B$17:$N$201,8,0)="","",VLOOKUP($A335,'Шаг2.Бланк заказа NEW'!$B$17:$N$201,8,0)),
IF(VLOOKUP($A335-COUNT('Шаг2.Бланк заказа NEW'!$B$19:$B$201),'Бланк OLD 0.8 04'!$B$12:$K$200,7,0)&gt;1,0.8,
IF(VLOOKUP($A335-COUNT('Шаг2.Бланк заказа NEW'!$B$19:$B$201),'Бланк OLD 0.8 04'!$B$12:$K$200,8,0)&gt;1,0.4,
IF(AND(VLOOKUP($A335-COUNT('Шаг2.Бланк заказа NEW'!$B$19:$B$201),'Бланк OLD 0.8 04'!$B$12:$K$200,7,0)&gt;0,VLOOKUP($A335-COUNT('Шаг2.Бланк заказа NEW'!$B$19:$B$201),'Бланк OLD 0.8 04'!$B$12:$K$200,8,0)&gt;0),0.4,"")))),
IF(VLOOKUP($A335-COUNT('Шаг2.Бланк заказа NEW'!$B$19:$B$201)-COUNT('Бланк OLD 0.8 04'!$B$18:$B$200),'Бланк OLD 2.0 04 '!$B$16:$K$200,7,0)&gt;1,2,
IF(VLOOKUP($A335-COUNT('Шаг2.Бланк заказа NEW'!$B$19:$B$201)-COUNT('Бланк OLD 0.8 04'!$B$18:$B$200),'Бланк OLD 2.0 04 '!$B$16:$K$200,8,0)&gt;1,0.4,
IF(AND(VLOOKUP($A335-COUNT('Шаг2.Бланк заказа NEW'!$B$19:$B$201)-COUNT('Бланк OLD 0.8 04'!$B$18:$B$200),'Бланк OLD 2.0 04 '!$B$16:$K$200,7,0)&gt;0,VLOOKUP($A335-COUNT('Шаг2.Бланк заказа NEW'!$B$19:$B$201)-COUNT('Бланк OLD 0.8 04'!$B$18:$B$200),'Бланк OLD 2.0 04 '!$B$16:$K$200,8,0)&gt;0),0.4,""))))</f>
        <v/>
      </c>
      <c r="V335" s="146" t="str">
        <f ca="1">IFERROR(VLOOKUP(C335,'Шаг1.Выбор плиты'!C:S,12,0),"")</f>
        <v/>
      </c>
      <c r="W335" s="146" t="str">
        <f ca="1">IFERROR(VLOOKUP(C335,'Шаг1.Выбор плиты'!C:S,8,0),"")</f>
        <v/>
      </c>
      <c r="X335" s="146" t="str">
        <f ca="1">IFERROR(VLOOKUP(C335,'Шаг1.Выбор плиты'!C:S,10,0),"")</f>
        <v/>
      </c>
      <c r="Y335" s="147" t="str">
        <f t="shared" ca="1" si="28"/>
        <v/>
      </c>
      <c r="AD335" s="147" t="str">
        <f t="shared" ca="1" si="26"/>
        <v/>
      </c>
      <c r="AE335" s="147" t="str">
        <f t="shared" ca="1" si="29"/>
        <v/>
      </c>
      <c r="AF335" s="25"/>
      <c r="AH335" s="147" t="str">
        <f ca="1">IF(C335="","",VLOOKUP(C335,'Шаг1.Выбор плиты'!C:Q,7,0))</f>
        <v/>
      </c>
      <c r="AI335" s="147" t="str">
        <f t="shared" ca="1" si="27"/>
        <v/>
      </c>
    </row>
    <row r="336" spans="1:35" x14ac:dyDescent="0.2">
      <c r="A336" s="151" t="str">
        <f ca="1">IF(C336="","",MAX($A$1:OFFSET(C336,-1,0))+1)</f>
        <v/>
      </c>
      <c r="B336" s="151" t="str">
        <f ca="1">IFERROR(IFERROR(IFERROR("Шаг2.Бланк заказа NEW №"&amp;VLOOKUP(A335+1,CHOOSE({1,2},'Шаг2.Бланк заказа NEW'!$B$19:$B$201,'Шаг2.Бланк заказа NEW'!$A$19:$A$201),1,0),
"Бланк OLD 0.8 04 №"&amp;VLOOKUP(A335+1-COUNT('Шаг2.Бланк заказа NEW'!$B$19:$B$201),CHOOSE({1,2},'Бланк OLD 0.8 04'!$B$18:$B$200,'Бланк OLD 0.8 04'!$A$18:$A$200),1,0)),
"Бланк OLD 2.0 04 №"&amp;VLOOKUP(A335+1-COUNT('Шаг2.Бланк заказа NEW'!$B$19:$B$201)-COUNT('Бланк OLD 0.8 04'!$B$18:$B$200),CHOOSE({1,2},'Бланк OLD 2.0 04 '!$B$18:$B$200,'Бланк OLD 2.0 04 '!$A$18:$A$200),1,0)),"")</f>
        <v/>
      </c>
      <c r="C336" s="152" t="str">
        <f ca="1">IFERROR(IFERROR(IFERROR(VLOOKUP(A335+1,CHOOSE({1,2},'Шаг2.Бланк заказа NEW'!$B$19:$B$201,'Шаг2.Бланк заказа NEW'!$A$19:$A$201),2,0),
VLOOKUP(A335+1-COUNT('Шаг2.Бланк заказа NEW'!$B$19:$B$201),CHOOSE({1,2},'Бланк OLD 0.8 04'!$B$18:$B$200,'Бланк OLD 0.8 04'!$A$18:$A$200),2,0)),
VLOOKUP(A335+1-COUNT('Шаг2.Бланк заказа NEW'!$B$19:$B$201)-COUNT('Бланк OLD 0.8 04'!$B$18:$B$200),CHOOSE({1,2},'Бланк OLD 2.0 04 '!$B$18:$B$200,'Бланк OLD 2.0 04 '!$A$18:$A$200),2,0)),"")</f>
        <v/>
      </c>
      <c r="D336" s="150" t="str">
        <f ca="1">IFERROR(VLOOKUP(C336,'Шаг1.Выбор плиты'!C:G,5,0),"")</f>
        <v/>
      </c>
      <c r="E336" s="147" t="str">
        <f ca="1">IFERROR(IFERROR(IF(VLOOKUP($A336,'Шаг2.Бланк заказа NEW'!$B$17:$N$201,2,0)="","",VLOOKUP($A336,'Шаг2.Бланк заказа NEW'!$B$17:$N$201,2,0)),
IF(VLOOKUP($A336-COUNT('Шаг2.Бланк заказа NEW'!$B$19:$B$201),'Бланк OLD 0.8 04'!$B$12:$K$200,2,0)="","",VLOOKUP($A336-COUNT('Шаг2.Бланк заказа NEW'!$B$19:$B$201),'Бланк OLD 0.8 04'!$B$12:$K$200,2,0))),
IF(VLOOKUP($A336-COUNT('Шаг2.Бланк заказа NEW'!$B$19:$B$201)-COUNT('Бланк OLD 0.8 04'!$B$18:$B$200),'Бланк OLD 2.0 04 '!$B$16:$K$200,2,0)="","",VLOOKUP($A336-COUNT('Шаг2.Бланк заказа NEW'!$B$19:$B$201)-COUNT('Бланк OLD 0.8 04'!$B$18:$B$200),'Бланк OLD 2.0 04 '!$B$16:$K$200,2,0)))</f>
        <v/>
      </c>
      <c r="F336" s="147" t="str">
        <f ca="1">IFERROR(IFERROR(IF(VLOOKUP($A336,'Шаг2.Бланк заказа NEW'!$B$17:$N$201,3,0)="","",VLOOKUP($A336,'Шаг2.Бланк заказа NEW'!$B$17:$N$201,3,0)),
IF(VLOOKUP($A336-COUNT('Шаг2.Бланк заказа NEW'!$B$19:$B$201),'Бланк OLD 0.8 04'!$B$12:$K$200,3,0)="","",VLOOKUP($A336-COUNT('Шаг2.Бланк заказа NEW'!$B$19:$B$201),'Бланк OLD 0.8 04'!$B$12:$K$200,3,0))),
IF(VLOOKUP($A336-COUNT('Шаг2.Бланк заказа NEW'!$B$19:$B$201)-COUNT('Бланк OLD 0.8 04'!$B$18:$B$200),'Бланк OLD 2.0 04 '!$B$16:$K$200,3,0)="","",VLOOKUP($A336-COUNT('Шаг2.Бланк заказа NEW'!$B$19:$B$201)-COUNT('Бланк OLD 0.8 04'!$B$18:$B$200),'Бланк OLD 2.0 04 '!$B$16:$K$200,3,0)))</f>
        <v/>
      </c>
      <c r="G336" s="176" t="str">
        <f ca="1">IF(IF(R336="","",IF(R336=1,SUMIFS('Шаг1.Выбор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плиты'!C:Q,12,0)),1))))))=0,
R336,
IF(R336="","",IF(R336=1,SUMIFS('Шаг1.Выбор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плиты'!N:N,R336,'Шаг1.Выбор плиты'!M:M,SMALL(INDIRECT("мм"&amp;VLOOKUP(C336,'Шаг1.Выбор плиты'!C:Q,12,0)),1)))))))</f>
        <v/>
      </c>
      <c r="H336" s="177" t="str">
        <f ca="1">IF(IF(S336="","",IF(S336=1,SUMIFS('Шаг1.Выбор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плиты'!C:Q,12,0)),1))))))=0,
S336,
IF(S336="","",IF(S336=1,SUMIFS('Шаг1.Выбор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плиты'!N:N,S336,'Шаг1.Выбор плиты'!M:M,SMALL(INDIRECT("мм"&amp;VLOOKUP(C336,'Шаг1.Выбор плиты'!C:Q,12,0)),1)))))))</f>
        <v/>
      </c>
      <c r="I336" s="147" t="str">
        <f ca="1">IFERROR(IFERROR(IF(VLOOKUP($A336,'Шаг2.Бланк заказа NEW'!$B$17:$N$201,6,0)="","",VLOOKUP($A336,'Шаг2.Бланк заказа NEW'!$B$17:$N$201,6,0)),
IF(VLOOKUP($A336-COUNT('Шаг2.Бланк заказа NEW'!$B$19:$B$201),'Бланк OLD 0.8 04'!$B$12:$K$200,6,0)="","",VLOOKUP($A336-COUNT('Шаг2.Бланк заказа NEW'!$B$19:$B$201),'Бланк OLD 0.8 04'!$B$12:$K$200,6,0))),
IF(VLOOKUP($A336-COUNT('Шаг2.Бланк заказа NEW'!$B$19:$B$201)-COUNT('Бланк OLD 0.8 04'!$B$18:$B$200),'Бланк OLD 2.0 04 '!$B$16:$K$200,6,0)="","",VLOOKUP($A336-COUNT('Шаг2.Бланк заказа NEW'!$B$19:$B$201)-COUNT('Бланк OLD 0.8 04'!$B$18:$B$200),'Бланк OLD 2.0 04 '!$B$16:$K$200,6,0)))</f>
        <v/>
      </c>
      <c r="J336" s="177" t="str">
        <f ca="1">IF(IF(T336="","",IF(T336=1,SUMIFS('Шаг1.Выбор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плиты'!C:Q,12,0)),1))))))=0,
T336,
IF(T336="","",IF(T336=1,SUMIFS('Шаг1.Выбор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плиты'!N:N,T336,'Шаг1.Выбор плиты'!M:M,SMALL(INDIRECT("мм"&amp;VLOOKUP(C336,'Шаг1.Выбор плиты'!C:Q,12,0)),1)))))))</f>
        <v/>
      </c>
      <c r="K336" s="177" t="str">
        <f ca="1">IF(IF(U336="","",IF(U336=1,SUMIFS('Шаг1.Выбор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плиты'!C:Q,12,0)),1))))))=0,
U336,
IF(U336="","",IF(U336=1,SUMIFS('Шаг1.Выбор плиты'!$G:$G,'Шаг1.Выбор плиты'!J:J,"*"&amp;RIGHT(VLOOKUP(C336,'Шаг1.Выбор плиты'!C:Q,8,0),4),'Шаг1.Выбор плиты'!L:L,IF(MID(C336,1,6)="ЛДСП P","TM"&amp;MID(VLOOKUP(C336,'Шаг1.Выбор плиты'!C:Q,10,0),3,2),MID(VLOOKUP(C336,'Шаг1.Выбор плиты'!C:Q,10,0),1,2)),
'Шаг1.Выбор плиты'!N:N,1),IF(SUMIFS('Шаг1.Выбор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плиты'!C:Q,12,0)),1))=0,
IF(SUMIFS('Шаг1.Выбор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плиты'!C:Q,12,0)),2))=0,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плиты'!C:Q,12,0)),3)),
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плиты'!C:Q,12,0)),2))),
(SUMIFS('Шаг1.Выбор плиты'!$G:$G,'Шаг1.Выбор плиты'!J:J,"*"&amp;RIGHT(VLOOKUP(C336,'Шаг1.Выбор плиты'!C:Q,8,0),4),'Шаг1.Выбор плиты'!L:L,VLOOKUP(C336,'Шаг1.Выбор плиты'!C:Q,10,0),'Шаг1.Выбор плиты'!N:N,U336,'Шаг1.Выбор плиты'!M:M,SMALL(INDIRECT("мм"&amp;VLOOKUP(C336,'Шаг1.Выбор плиты'!C:Q,12,0)),1)))))))</f>
        <v/>
      </c>
      <c r="L336" s="147" t="str">
        <f ca="1">IFERROR(IFERROR(IF(VLOOKUP($A336,'Шаг2.Бланк заказа NEW'!$B$17:$N$201,9,0)="","",VLOOKUP($A336,'Шаг2.Бланк заказа NEW'!$B$17:$N$201,9,0)),
IF(VLOOKUP($A336-COUNT('Шаг2.Бланк заказа NEW'!$B$19:$B$201),'Бланк OLD 0.8 04'!$B$12:$K$200,9,0)="","",VLOOKUP($A336-COUNT('Шаг2.Бланк заказа NEW'!$B$19:$B$201),'Бланк OLD 0.8 04'!$B$12:$K$200,9,0))),
IF(VLOOKUP($A336-COUNT('Шаг2.Бланк заказа NEW'!$B$19:$B$201)-COUNT('Бланк OLD 0.8 04'!$B$18:$B$200),'Бланк OLD 2.0 04 '!$B$16:$K$200,9,0)="","",VLOOKUP($A336-COUNT('Шаг2.Бланк заказа NEW'!$B$19:$B$201)-COUNT('Бланк OLD 0.8 04'!$B$18:$B$200),'Бланк OLD 2.0 04 '!$B$16:$K$200,9,0)))</f>
        <v/>
      </c>
      <c r="M336" s="154" t="str">
        <f t="shared" ca="1" si="25"/>
        <v/>
      </c>
      <c r="N336" s="153" t="str">
        <f ca="1">IFERROR(IF(VLOOKUP($A336,'Шаг2.Бланк заказа NEW'!$B$17:$N$201,11,0)="","",VLOOKUP($A336,'Шаг2.Бланк заказа NEW'!$B$17:$N$201,11,0)),
"Нет")</f>
        <v/>
      </c>
      <c r="O336" s="147" t="str">
        <f ca="1">IFERROR(IF(VLOOKUP($A336,'Шаг2.Бланк заказа NEW'!$B$17:$N$201,11,0)="","",VLOOKUP($A336,'Шаг2.Бланк заказа NEW'!$B$17:$N$201,12,0)),
"Нет")</f>
        <v/>
      </c>
      <c r="P336" s="153" t="str">
        <f ca="1">IFERROR(IF(VLOOKUP($A336,'Шаг2.Бланк заказа NEW'!$B$17:$N$201,13,0)="","",VLOOKUP($A336,'Шаг2.Бланк заказа NEW'!$B$17:$N$201,13,0)),
"Нет")</f>
        <v/>
      </c>
      <c r="Q336" s="147" t="str">
        <f ca="1">IFERROR(IF(VLOOKUP($A336,'Шаг2.Бланк заказа NEW'!$B$17:$O$201,14,0)="","",VLOOKUP($A336,'Шаг2.Бланк заказа NEW'!$B$17:$O$201,14,0)),"")</f>
        <v/>
      </c>
      <c r="R336" s="147" t="str">
        <f ca="1">IFERROR(IFERROR(IF(VLOOKUP($A336,'Шаг2.Бланк заказа NEW'!$B$17:$N$201,4,0)="","",VLOOKUP($A336,'Шаг2.Бланк заказа NEW'!$B$17:$N$201,4,0)),
IF(VLOOKUP($A336-COUNT('Шаг2.Бланк заказа NEW'!$B$19:$B$201),'Бланк OLD 0.8 04'!$B$12:$K$200,4,0)&gt;0,0.8,
IF(VLOOKUP($A336-COUNT('Шаг2.Бланк заказа NEW'!$B$19:$B$201),'Бланк OLD 0.8 04'!$B$12:$K$200,5,0)&gt;0,0.4,""))),
IF(VLOOKUP($A336-COUNT('Шаг2.Бланк заказа NEW'!$B$19:$B$201)-COUNT('Бланк OLD 0.8 04'!$B$18:$B$200),'Бланк OLD 2.0 04 '!$B$16:$K$200,4,0)&gt;0,2,IF(VLOOKUP($A336-COUNT('Шаг2.Бланк заказа NEW'!$B$19:$B$201)-COUNT('Бланк OLD 0.8 04'!$B$18:$B$200),'Бланк OLD 2.0 04 '!$B$16:$K$200,5,0)&gt;0,0.4,"")))</f>
        <v/>
      </c>
      <c r="S336" s="147" t="str">
        <f ca="1">IFERROR(IFERROR(IF(VLOOKUP($A336,'Шаг2.Бланк заказа NEW'!$B$17:$N$201,5,0)="","",VLOOKUP($A336,'Шаг2.Бланк заказа NEW'!$B$17:$N$201,5,0)),
IF(VLOOKUP($A336-COUNT('Шаг2.Бланк заказа NEW'!$B$19:$B$201),'Бланк OLD 0.8 04'!$B$12:$K$200,4,0)&gt;1,0.8,
IF(VLOOKUP($A336-COUNT('Шаг2.Бланк заказа NEW'!$B$19:$B$201),'Бланк OLD 0.8 04'!$B$12:$K$200,5,0)&gt;1,0.4,
IF(AND(VLOOKUP($A336-COUNT('Шаг2.Бланк заказа NEW'!$B$19:$B$201),'Бланк OLD 0.8 04'!$B$12:$K$200,4,0)&gt;0,VLOOKUP($A336-COUNT('Шаг2.Бланк заказа NEW'!$B$19:$B$201),'Бланк OLD 0.8 04'!$B$12:$K$200,5,0)&gt;0),0.4,"")))),
IF(VLOOKUP($A336-COUNT('Шаг2.Бланк заказа NEW'!$B$19:$B$201)-COUNT('Бланк OLD 0.8 04'!$B$18:$B$200),'Бланк OLD 2.0 04 '!$B$16:$K$200,4,0)&gt;1,2,
IF(VLOOKUP($A336-COUNT('Шаг2.Бланк заказа NEW'!$B$19:$B$201)-COUNT('Бланк OLD 0.8 04'!$B$18:$B$200),'Бланк OLD 2.0 04 '!$B$16:$K$200,5,0)&gt;1,0.4,IF(AND(VLOOKUP($A336-COUNT('Шаг2.Бланк заказа NEW'!$B$19:$B$201)-COUNT('Бланк OLD 0.8 04'!$B$18:$B$200),'Бланк OLD 2.0 04 '!$B$16:$K$200,4,0)&gt;0,VLOOKUP($A336-COUNT('Шаг2.Бланк заказа NEW'!$B$19:$B$201)-COUNT('Бланк OLD 0.8 04'!$B$18:$B$200),'Бланк OLD 2.0 04 '!$B$16:$K$200,5,0)&gt;0),0.4,""))))</f>
        <v/>
      </c>
      <c r="T336" s="147" t="str">
        <f ca="1">IFERROR(IFERROR(IF(VLOOKUP($A336,'Шаг2.Бланк заказа NEW'!$B$17:$N$201,7,0)="","",VLOOKUP($A336,'Шаг2.Бланк заказа NEW'!$B$17:$N$201,7,0)),
IF(VLOOKUP($A336-COUNT('Шаг2.Бланк заказа NEW'!$B$19:$B$201),'Бланк OLD 0.8 04'!$B$12:$K$200,7,0)&gt;0,0.8,
IF(VLOOKUP($A336-COUNT('Шаг2.Бланк заказа NEW'!$B$19:$B$201),'Бланк OLD 0.8 04'!$B$12:$K$200,8,0)&gt;0,0.4,""))),
IF(VLOOKUP($A336-COUNT('Шаг2.Бланк заказа NEW'!$B$19:$B$201)-COUNT('Бланк OLD 0.8 04'!$B$18:$B$200),'Бланк OLD 2.0 04 '!$B$16:$K$200,7,0)&gt;0,2,IF(VLOOKUP($A336-COUNT('Шаг2.Бланк заказа NEW'!$B$19:$B$201)-COUNT('Бланк OLD 0.8 04'!$B$18:$B$200),'Бланк OLD 2.0 04 '!$B$16:$K$200,8,0)&gt;0,0.4,"")))</f>
        <v/>
      </c>
      <c r="U336" s="147" t="str">
        <f ca="1">IFERROR(IFERROR(IF(VLOOKUP($A336,'Шаг2.Бланк заказа NEW'!$B$17:$N$201,8,0)="","",VLOOKUP($A336,'Шаг2.Бланк заказа NEW'!$B$17:$N$201,8,0)),
IF(VLOOKUP($A336-COUNT('Шаг2.Бланк заказа NEW'!$B$19:$B$201),'Бланк OLD 0.8 04'!$B$12:$K$200,7,0)&gt;1,0.8,
IF(VLOOKUP($A336-COUNT('Шаг2.Бланк заказа NEW'!$B$19:$B$201),'Бланк OLD 0.8 04'!$B$12:$K$200,8,0)&gt;1,0.4,
IF(AND(VLOOKUP($A336-COUNT('Шаг2.Бланк заказа NEW'!$B$19:$B$201),'Бланк OLD 0.8 04'!$B$12:$K$200,7,0)&gt;0,VLOOKUP($A336-COUNT('Шаг2.Бланк заказа NEW'!$B$19:$B$201),'Бланк OLD 0.8 04'!$B$12:$K$200,8,0)&gt;0),0.4,"")))),
IF(VLOOKUP($A336-COUNT('Шаг2.Бланк заказа NEW'!$B$19:$B$201)-COUNT('Бланк OLD 0.8 04'!$B$18:$B$200),'Бланк OLD 2.0 04 '!$B$16:$K$200,7,0)&gt;1,2,
IF(VLOOKUP($A336-COUNT('Шаг2.Бланк заказа NEW'!$B$19:$B$201)-COUNT('Бланк OLD 0.8 04'!$B$18:$B$200),'Бланк OLD 2.0 04 '!$B$16:$K$200,8,0)&gt;1,0.4,
IF(AND(VLOOKUP($A336-COUNT('Шаг2.Бланк заказа NEW'!$B$19:$B$201)-COUNT('Бланк OLD 0.8 04'!$B$18:$B$200),'Бланк OLD 2.0 04 '!$B$16:$K$200,7,0)&gt;0,VLOOKUP($A336-COUNT('Шаг2.Бланк заказа NEW'!$B$19:$B$201)-COUNT('Бланк OLD 0.8 04'!$B$18:$B$200),'Бланк OLD 2.0 04 '!$B$16:$K$200,8,0)&gt;0),0.4,""))))</f>
        <v/>
      </c>
      <c r="V336" s="146" t="str">
        <f ca="1">IFERROR(VLOOKUP(C336,'Шаг1.Выбор плиты'!C:S,12,0),"")</f>
        <v/>
      </c>
      <c r="W336" s="146" t="str">
        <f ca="1">IFERROR(VLOOKUP(C336,'Шаг1.Выбор плиты'!C:S,8,0),"")</f>
        <v/>
      </c>
      <c r="X336" s="146" t="str">
        <f ca="1">IFERROR(VLOOKUP(C336,'Шаг1.Выбор плиты'!C:S,10,0),"")</f>
        <v/>
      </c>
      <c r="Y336" s="147" t="str">
        <f t="shared" ca="1" si="28"/>
        <v/>
      </c>
      <c r="AD336" s="147" t="str">
        <f t="shared" ca="1" si="26"/>
        <v/>
      </c>
      <c r="AE336" s="147" t="str">
        <f t="shared" ca="1" si="29"/>
        <v/>
      </c>
      <c r="AF336" s="25"/>
      <c r="AH336" s="147" t="str">
        <f ca="1">IF(C336="","",VLOOKUP(C336,'Шаг1.Выбор плиты'!C:Q,7,0))</f>
        <v/>
      </c>
      <c r="AI336" s="147" t="str">
        <f t="shared" ca="1" si="27"/>
        <v/>
      </c>
    </row>
    <row r="337" spans="1:35" x14ac:dyDescent="0.2">
      <c r="A337" s="151" t="str">
        <f ca="1">IF(C337="","",MAX($A$1:OFFSET(C337,-1,0))+1)</f>
        <v/>
      </c>
      <c r="B337" s="151" t="str">
        <f ca="1">IFERROR(IFERROR(IFERROR("Шаг2.Бланк заказа NEW №"&amp;VLOOKUP(A336+1,CHOOSE({1,2},'Шаг2.Бланк заказа NEW'!$B$19:$B$201,'Шаг2.Бланк заказа NEW'!$A$19:$A$201),1,0),
"Бланк OLD 0.8 04 №"&amp;VLOOKUP(A336+1-COUNT('Шаг2.Бланк заказа NEW'!$B$19:$B$201),CHOOSE({1,2},'Бланк OLD 0.8 04'!$B$18:$B$200,'Бланк OLD 0.8 04'!$A$18:$A$200),1,0)),
"Бланк OLD 2.0 04 №"&amp;VLOOKUP(A336+1-COUNT('Шаг2.Бланк заказа NEW'!$B$19:$B$201)-COUNT('Бланк OLD 0.8 04'!$B$18:$B$200),CHOOSE({1,2},'Бланк OLD 2.0 04 '!$B$18:$B$200,'Бланк OLD 2.0 04 '!$A$18:$A$200),1,0)),"")</f>
        <v/>
      </c>
      <c r="C337" s="152" t="str">
        <f ca="1">IFERROR(IFERROR(IFERROR(VLOOKUP(A336+1,CHOOSE({1,2},'Шаг2.Бланк заказа NEW'!$B$19:$B$201,'Шаг2.Бланк заказа NEW'!$A$19:$A$201),2,0),
VLOOKUP(A336+1-COUNT('Шаг2.Бланк заказа NEW'!$B$19:$B$201),CHOOSE({1,2},'Бланк OLD 0.8 04'!$B$18:$B$200,'Бланк OLD 0.8 04'!$A$18:$A$200),2,0)),
VLOOKUP(A336+1-COUNT('Шаг2.Бланк заказа NEW'!$B$19:$B$201)-COUNT('Бланк OLD 0.8 04'!$B$18:$B$200),CHOOSE({1,2},'Бланк OLD 2.0 04 '!$B$18:$B$200,'Бланк OLD 2.0 04 '!$A$18:$A$200),2,0)),"")</f>
        <v/>
      </c>
      <c r="D337" s="150" t="str">
        <f ca="1">IFERROR(VLOOKUP(C337,'Шаг1.Выбор плиты'!C:G,5,0),"")</f>
        <v/>
      </c>
      <c r="E337" s="147" t="str">
        <f ca="1">IFERROR(IFERROR(IF(VLOOKUP($A337,'Шаг2.Бланк заказа NEW'!$B$17:$N$201,2,0)="","",VLOOKUP($A337,'Шаг2.Бланк заказа NEW'!$B$17:$N$201,2,0)),
IF(VLOOKUP($A337-COUNT('Шаг2.Бланк заказа NEW'!$B$19:$B$201),'Бланк OLD 0.8 04'!$B$12:$K$200,2,0)="","",VLOOKUP($A337-COUNT('Шаг2.Бланк заказа NEW'!$B$19:$B$201),'Бланк OLD 0.8 04'!$B$12:$K$200,2,0))),
IF(VLOOKUP($A337-COUNT('Шаг2.Бланк заказа NEW'!$B$19:$B$201)-COUNT('Бланк OLD 0.8 04'!$B$18:$B$200),'Бланк OLD 2.0 04 '!$B$16:$K$200,2,0)="","",VLOOKUP($A337-COUNT('Шаг2.Бланк заказа NEW'!$B$19:$B$201)-COUNT('Бланк OLD 0.8 04'!$B$18:$B$200),'Бланк OLD 2.0 04 '!$B$16:$K$200,2,0)))</f>
        <v/>
      </c>
      <c r="F337" s="147" t="str">
        <f ca="1">IFERROR(IFERROR(IF(VLOOKUP($A337,'Шаг2.Бланк заказа NEW'!$B$17:$N$201,3,0)="","",VLOOKUP($A337,'Шаг2.Бланк заказа NEW'!$B$17:$N$201,3,0)),
IF(VLOOKUP($A337-COUNT('Шаг2.Бланк заказа NEW'!$B$19:$B$201),'Бланк OLD 0.8 04'!$B$12:$K$200,3,0)="","",VLOOKUP($A337-COUNT('Шаг2.Бланк заказа NEW'!$B$19:$B$201),'Бланк OLD 0.8 04'!$B$12:$K$200,3,0))),
IF(VLOOKUP($A337-COUNT('Шаг2.Бланк заказа NEW'!$B$19:$B$201)-COUNT('Бланк OLD 0.8 04'!$B$18:$B$200),'Бланк OLD 2.0 04 '!$B$16:$K$200,3,0)="","",VLOOKUP($A337-COUNT('Шаг2.Бланк заказа NEW'!$B$19:$B$201)-COUNT('Бланк OLD 0.8 04'!$B$18:$B$200),'Бланк OLD 2.0 04 '!$B$16:$K$200,3,0)))</f>
        <v/>
      </c>
      <c r="G337" s="176" t="str">
        <f ca="1">IF(IF(R337="","",IF(R337=1,SUMIFS('Шаг1.Выбор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плиты'!C:Q,12,0)),1))))))=0,
R337,
IF(R337="","",IF(R337=1,SUMIFS('Шаг1.Выбор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плиты'!N:N,R337,'Шаг1.Выбор плиты'!M:M,SMALL(INDIRECT("мм"&amp;VLOOKUP(C337,'Шаг1.Выбор плиты'!C:Q,12,0)),1)))))))</f>
        <v/>
      </c>
      <c r="H337" s="177" t="str">
        <f ca="1">IF(IF(S337="","",IF(S337=1,SUMIFS('Шаг1.Выбор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плиты'!C:Q,12,0)),1))))))=0,
S337,
IF(S337="","",IF(S337=1,SUMIFS('Шаг1.Выбор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плиты'!N:N,S337,'Шаг1.Выбор плиты'!M:M,SMALL(INDIRECT("мм"&amp;VLOOKUP(C337,'Шаг1.Выбор плиты'!C:Q,12,0)),1)))))))</f>
        <v/>
      </c>
      <c r="I337" s="147" t="str">
        <f ca="1">IFERROR(IFERROR(IF(VLOOKUP($A337,'Шаг2.Бланк заказа NEW'!$B$17:$N$201,6,0)="","",VLOOKUP($A337,'Шаг2.Бланк заказа NEW'!$B$17:$N$201,6,0)),
IF(VLOOKUP($A337-COUNT('Шаг2.Бланк заказа NEW'!$B$19:$B$201),'Бланк OLD 0.8 04'!$B$12:$K$200,6,0)="","",VLOOKUP($A337-COUNT('Шаг2.Бланк заказа NEW'!$B$19:$B$201),'Бланк OLD 0.8 04'!$B$12:$K$200,6,0))),
IF(VLOOKUP($A337-COUNT('Шаг2.Бланк заказа NEW'!$B$19:$B$201)-COUNT('Бланк OLD 0.8 04'!$B$18:$B$200),'Бланк OLD 2.0 04 '!$B$16:$K$200,6,0)="","",VLOOKUP($A337-COUNT('Шаг2.Бланк заказа NEW'!$B$19:$B$201)-COUNT('Бланк OLD 0.8 04'!$B$18:$B$200),'Бланк OLD 2.0 04 '!$B$16:$K$200,6,0)))</f>
        <v/>
      </c>
      <c r="J337" s="177" t="str">
        <f ca="1">IF(IF(T337="","",IF(T337=1,SUMIFS('Шаг1.Выбор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плиты'!C:Q,12,0)),1))))))=0,
T337,
IF(T337="","",IF(T337=1,SUMIFS('Шаг1.Выбор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плиты'!N:N,T337,'Шаг1.Выбор плиты'!M:M,SMALL(INDIRECT("мм"&amp;VLOOKUP(C337,'Шаг1.Выбор плиты'!C:Q,12,0)),1)))))))</f>
        <v/>
      </c>
      <c r="K337" s="177" t="str">
        <f ca="1">IF(IF(U337="","",IF(U337=1,SUMIFS('Шаг1.Выбор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плиты'!C:Q,12,0)),1))))))=0,
U337,
IF(U337="","",IF(U337=1,SUMIFS('Шаг1.Выбор плиты'!$G:$G,'Шаг1.Выбор плиты'!J:J,"*"&amp;RIGHT(VLOOKUP(C337,'Шаг1.Выбор плиты'!C:Q,8,0),4),'Шаг1.Выбор плиты'!L:L,IF(MID(C337,1,6)="ЛДСП P","TM"&amp;MID(VLOOKUP(C337,'Шаг1.Выбор плиты'!C:Q,10,0),3,2),MID(VLOOKUP(C337,'Шаг1.Выбор плиты'!C:Q,10,0),1,2)),
'Шаг1.Выбор плиты'!N:N,1),IF(SUMIFS('Шаг1.Выбор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плиты'!C:Q,12,0)),1))=0,
IF(SUMIFS('Шаг1.Выбор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плиты'!C:Q,12,0)),2))=0,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плиты'!C:Q,12,0)),3)),
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плиты'!C:Q,12,0)),2))),
(SUMIFS('Шаг1.Выбор плиты'!$G:$G,'Шаг1.Выбор плиты'!J:J,"*"&amp;RIGHT(VLOOKUP(C337,'Шаг1.Выбор плиты'!C:Q,8,0),4),'Шаг1.Выбор плиты'!L:L,VLOOKUP(C337,'Шаг1.Выбор плиты'!C:Q,10,0),'Шаг1.Выбор плиты'!N:N,U337,'Шаг1.Выбор плиты'!M:M,SMALL(INDIRECT("мм"&amp;VLOOKUP(C337,'Шаг1.Выбор плиты'!C:Q,12,0)),1)))))))</f>
        <v/>
      </c>
      <c r="L337" s="147" t="str">
        <f ca="1">IFERROR(IFERROR(IF(VLOOKUP($A337,'Шаг2.Бланк заказа NEW'!$B$17:$N$201,9,0)="","",VLOOKUP($A337,'Шаг2.Бланк заказа NEW'!$B$17:$N$201,9,0)),
IF(VLOOKUP($A337-COUNT('Шаг2.Бланк заказа NEW'!$B$19:$B$201),'Бланк OLD 0.8 04'!$B$12:$K$200,9,0)="","",VLOOKUP($A337-COUNT('Шаг2.Бланк заказа NEW'!$B$19:$B$201),'Бланк OLD 0.8 04'!$B$12:$K$200,9,0))),
IF(VLOOKUP($A337-COUNT('Шаг2.Бланк заказа NEW'!$B$19:$B$201)-COUNT('Бланк OLD 0.8 04'!$B$18:$B$200),'Бланк OLD 2.0 04 '!$B$16:$K$200,9,0)="","",VLOOKUP($A337-COUNT('Шаг2.Бланк заказа NEW'!$B$19:$B$201)-COUNT('Бланк OLD 0.8 04'!$B$18:$B$200),'Бланк OLD 2.0 04 '!$B$16:$K$200,9,0)))</f>
        <v/>
      </c>
      <c r="M337" s="154" t="str">
        <f t="shared" ca="1" si="25"/>
        <v/>
      </c>
      <c r="N337" s="153" t="str">
        <f ca="1">IFERROR(IF(VLOOKUP($A337,'Шаг2.Бланк заказа NEW'!$B$17:$N$201,11,0)="","",VLOOKUP($A337,'Шаг2.Бланк заказа NEW'!$B$17:$N$201,11,0)),
"Нет")</f>
        <v/>
      </c>
      <c r="O337" s="147" t="str">
        <f ca="1">IFERROR(IF(VLOOKUP($A337,'Шаг2.Бланк заказа NEW'!$B$17:$N$201,11,0)="","",VLOOKUP($A337,'Шаг2.Бланк заказа NEW'!$B$17:$N$201,12,0)),
"Нет")</f>
        <v/>
      </c>
      <c r="P337" s="153" t="str">
        <f ca="1">IFERROR(IF(VLOOKUP($A337,'Шаг2.Бланк заказа NEW'!$B$17:$N$201,13,0)="","",VLOOKUP($A337,'Шаг2.Бланк заказа NEW'!$B$17:$N$201,13,0)),
"Нет")</f>
        <v/>
      </c>
      <c r="Q337" s="147" t="str">
        <f ca="1">IFERROR(IF(VLOOKUP($A337,'Шаг2.Бланк заказа NEW'!$B$17:$O$201,14,0)="","",VLOOKUP($A337,'Шаг2.Бланк заказа NEW'!$B$17:$O$201,14,0)),"")</f>
        <v/>
      </c>
      <c r="R337" s="147" t="str">
        <f ca="1">IFERROR(IFERROR(IF(VLOOKUP($A337,'Шаг2.Бланк заказа NEW'!$B$17:$N$201,4,0)="","",VLOOKUP($A337,'Шаг2.Бланк заказа NEW'!$B$17:$N$201,4,0)),
IF(VLOOKUP($A337-COUNT('Шаг2.Бланк заказа NEW'!$B$19:$B$201),'Бланк OLD 0.8 04'!$B$12:$K$200,4,0)&gt;0,0.8,
IF(VLOOKUP($A337-COUNT('Шаг2.Бланк заказа NEW'!$B$19:$B$201),'Бланк OLD 0.8 04'!$B$12:$K$200,5,0)&gt;0,0.4,""))),
IF(VLOOKUP($A337-COUNT('Шаг2.Бланк заказа NEW'!$B$19:$B$201)-COUNT('Бланк OLD 0.8 04'!$B$18:$B$200),'Бланк OLD 2.0 04 '!$B$16:$K$200,4,0)&gt;0,2,IF(VLOOKUP($A337-COUNT('Шаг2.Бланк заказа NEW'!$B$19:$B$201)-COUNT('Бланк OLD 0.8 04'!$B$18:$B$200),'Бланк OLD 2.0 04 '!$B$16:$K$200,5,0)&gt;0,0.4,"")))</f>
        <v/>
      </c>
      <c r="S337" s="147" t="str">
        <f ca="1">IFERROR(IFERROR(IF(VLOOKUP($A337,'Шаг2.Бланк заказа NEW'!$B$17:$N$201,5,0)="","",VLOOKUP($A337,'Шаг2.Бланк заказа NEW'!$B$17:$N$201,5,0)),
IF(VLOOKUP($A337-COUNT('Шаг2.Бланк заказа NEW'!$B$19:$B$201),'Бланк OLD 0.8 04'!$B$12:$K$200,4,0)&gt;1,0.8,
IF(VLOOKUP($A337-COUNT('Шаг2.Бланк заказа NEW'!$B$19:$B$201),'Бланк OLD 0.8 04'!$B$12:$K$200,5,0)&gt;1,0.4,
IF(AND(VLOOKUP($A337-COUNT('Шаг2.Бланк заказа NEW'!$B$19:$B$201),'Бланк OLD 0.8 04'!$B$12:$K$200,4,0)&gt;0,VLOOKUP($A337-COUNT('Шаг2.Бланк заказа NEW'!$B$19:$B$201),'Бланк OLD 0.8 04'!$B$12:$K$200,5,0)&gt;0),0.4,"")))),
IF(VLOOKUP($A337-COUNT('Шаг2.Бланк заказа NEW'!$B$19:$B$201)-COUNT('Бланк OLD 0.8 04'!$B$18:$B$200),'Бланк OLD 2.0 04 '!$B$16:$K$200,4,0)&gt;1,2,
IF(VLOOKUP($A337-COUNT('Шаг2.Бланк заказа NEW'!$B$19:$B$201)-COUNT('Бланк OLD 0.8 04'!$B$18:$B$200),'Бланк OLD 2.0 04 '!$B$16:$K$200,5,0)&gt;1,0.4,IF(AND(VLOOKUP($A337-COUNT('Шаг2.Бланк заказа NEW'!$B$19:$B$201)-COUNT('Бланк OLD 0.8 04'!$B$18:$B$200),'Бланк OLD 2.0 04 '!$B$16:$K$200,4,0)&gt;0,VLOOKUP($A337-COUNT('Шаг2.Бланк заказа NEW'!$B$19:$B$201)-COUNT('Бланк OLD 0.8 04'!$B$18:$B$200),'Бланк OLD 2.0 04 '!$B$16:$K$200,5,0)&gt;0),0.4,""))))</f>
        <v/>
      </c>
      <c r="T337" s="147" t="str">
        <f ca="1">IFERROR(IFERROR(IF(VLOOKUP($A337,'Шаг2.Бланк заказа NEW'!$B$17:$N$201,7,0)="","",VLOOKUP($A337,'Шаг2.Бланк заказа NEW'!$B$17:$N$201,7,0)),
IF(VLOOKUP($A337-COUNT('Шаг2.Бланк заказа NEW'!$B$19:$B$201),'Бланк OLD 0.8 04'!$B$12:$K$200,7,0)&gt;0,0.8,
IF(VLOOKUP($A337-COUNT('Шаг2.Бланк заказа NEW'!$B$19:$B$201),'Бланк OLD 0.8 04'!$B$12:$K$200,8,0)&gt;0,0.4,""))),
IF(VLOOKUP($A337-COUNT('Шаг2.Бланк заказа NEW'!$B$19:$B$201)-COUNT('Бланк OLD 0.8 04'!$B$18:$B$200),'Бланк OLD 2.0 04 '!$B$16:$K$200,7,0)&gt;0,2,IF(VLOOKUP($A337-COUNT('Шаг2.Бланк заказа NEW'!$B$19:$B$201)-COUNT('Бланк OLD 0.8 04'!$B$18:$B$200),'Бланк OLD 2.0 04 '!$B$16:$K$200,8,0)&gt;0,0.4,"")))</f>
        <v/>
      </c>
      <c r="U337" s="147" t="str">
        <f ca="1">IFERROR(IFERROR(IF(VLOOKUP($A337,'Шаг2.Бланк заказа NEW'!$B$17:$N$201,8,0)="","",VLOOKUP($A337,'Шаг2.Бланк заказа NEW'!$B$17:$N$201,8,0)),
IF(VLOOKUP($A337-COUNT('Шаг2.Бланк заказа NEW'!$B$19:$B$201),'Бланк OLD 0.8 04'!$B$12:$K$200,7,0)&gt;1,0.8,
IF(VLOOKUP($A337-COUNT('Шаг2.Бланк заказа NEW'!$B$19:$B$201),'Бланк OLD 0.8 04'!$B$12:$K$200,8,0)&gt;1,0.4,
IF(AND(VLOOKUP($A337-COUNT('Шаг2.Бланк заказа NEW'!$B$19:$B$201),'Бланк OLD 0.8 04'!$B$12:$K$200,7,0)&gt;0,VLOOKUP($A337-COUNT('Шаг2.Бланк заказа NEW'!$B$19:$B$201),'Бланк OLD 0.8 04'!$B$12:$K$200,8,0)&gt;0),0.4,"")))),
IF(VLOOKUP($A337-COUNT('Шаг2.Бланк заказа NEW'!$B$19:$B$201)-COUNT('Бланк OLD 0.8 04'!$B$18:$B$200),'Бланк OLD 2.0 04 '!$B$16:$K$200,7,0)&gt;1,2,
IF(VLOOKUP($A337-COUNT('Шаг2.Бланк заказа NEW'!$B$19:$B$201)-COUNT('Бланк OLD 0.8 04'!$B$18:$B$200),'Бланк OLD 2.0 04 '!$B$16:$K$200,8,0)&gt;1,0.4,
IF(AND(VLOOKUP($A337-COUNT('Шаг2.Бланк заказа NEW'!$B$19:$B$201)-COUNT('Бланк OLD 0.8 04'!$B$18:$B$200),'Бланк OLD 2.0 04 '!$B$16:$K$200,7,0)&gt;0,VLOOKUP($A337-COUNT('Шаг2.Бланк заказа NEW'!$B$19:$B$201)-COUNT('Бланк OLD 0.8 04'!$B$18:$B$200),'Бланк OLD 2.0 04 '!$B$16:$K$200,8,0)&gt;0),0.4,""))))</f>
        <v/>
      </c>
      <c r="V337" s="146" t="str">
        <f ca="1">IFERROR(VLOOKUP(C337,'Шаг1.Выбор плиты'!C:S,12,0),"")</f>
        <v/>
      </c>
      <c r="W337" s="146" t="str">
        <f ca="1">IFERROR(VLOOKUP(C337,'Шаг1.Выбор плиты'!C:S,8,0),"")</f>
        <v/>
      </c>
      <c r="X337" s="146" t="str">
        <f ca="1">IFERROR(VLOOKUP(C337,'Шаг1.Выбор плиты'!C:S,10,0),"")</f>
        <v/>
      </c>
      <c r="Y337" s="147" t="str">
        <f t="shared" ca="1" si="28"/>
        <v/>
      </c>
      <c r="AD337" s="147" t="str">
        <f t="shared" ca="1" si="26"/>
        <v/>
      </c>
      <c r="AE337" s="147" t="str">
        <f t="shared" ca="1" si="29"/>
        <v/>
      </c>
      <c r="AF337" s="25"/>
      <c r="AH337" s="147" t="str">
        <f ca="1">IF(C337="","",VLOOKUP(C337,'Шаг1.Выбор плиты'!C:Q,7,0))</f>
        <v/>
      </c>
      <c r="AI337" s="147" t="str">
        <f t="shared" ca="1" si="27"/>
        <v/>
      </c>
    </row>
    <row r="338" spans="1:35" x14ac:dyDescent="0.2">
      <c r="A338" s="151" t="str">
        <f ca="1">IF(C338="","",MAX($A$1:OFFSET(C338,-1,0))+1)</f>
        <v/>
      </c>
      <c r="B338" s="151" t="str">
        <f ca="1">IFERROR(IFERROR(IFERROR("Шаг2.Бланк заказа NEW №"&amp;VLOOKUP(A337+1,CHOOSE({1,2},'Шаг2.Бланк заказа NEW'!$B$19:$B$201,'Шаг2.Бланк заказа NEW'!$A$19:$A$201),1,0),
"Бланк OLD 0.8 04 №"&amp;VLOOKUP(A337+1-COUNT('Шаг2.Бланк заказа NEW'!$B$19:$B$201),CHOOSE({1,2},'Бланк OLD 0.8 04'!$B$18:$B$200,'Бланк OLD 0.8 04'!$A$18:$A$200),1,0)),
"Бланк OLD 2.0 04 №"&amp;VLOOKUP(A337+1-COUNT('Шаг2.Бланк заказа NEW'!$B$19:$B$201)-COUNT('Бланк OLD 0.8 04'!$B$18:$B$200),CHOOSE({1,2},'Бланк OLD 2.0 04 '!$B$18:$B$200,'Бланк OLD 2.0 04 '!$A$18:$A$200),1,0)),"")</f>
        <v/>
      </c>
      <c r="C338" s="152" t="str">
        <f ca="1">IFERROR(IFERROR(IFERROR(VLOOKUP(A337+1,CHOOSE({1,2},'Шаг2.Бланк заказа NEW'!$B$19:$B$201,'Шаг2.Бланк заказа NEW'!$A$19:$A$201),2,0),
VLOOKUP(A337+1-COUNT('Шаг2.Бланк заказа NEW'!$B$19:$B$201),CHOOSE({1,2},'Бланк OLD 0.8 04'!$B$18:$B$200,'Бланк OLD 0.8 04'!$A$18:$A$200),2,0)),
VLOOKUP(A337+1-COUNT('Шаг2.Бланк заказа NEW'!$B$19:$B$201)-COUNT('Бланк OLD 0.8 04'!$B$18:$B$200),CHOOSE({1,2},'Бланк OLD 2.0 04 '!$B$18:$B$200,'Бланк OLD 2.0 04 '!$A$18:$A$200),2,0)),"")</f>
        <v/>
      </c>
      <c r="D338" s="150" t="str">
        <f ca="1">IFERROR(VLOOKUP(C338,'Шаг1.Выбор плиты'!C:G,5,0),"")</f>
        <v/>
      </c>
      <c r="E338" s="147" t="str">
        <f ca="1">IFERROR(IFERROR(IF(VLOOKUP($A338,'Шаг2.Бланк заказа NEW'!$B$17:$N$201,2,0)="","",VLOOKUP($A338,'Шаг2.Бланк заказа NEW'!$B$17:$N$201,2,0)),
IF(VLOOKUP($A338-COUNT('Шаг2.Бланк заказа NEW'!$B$19:$B$201),'Бланк OLD 0.8 04'!$B$12:$K$200,2,0)="","",VLOOKUP($A338-COUNT('Шаг2.Бланк заказа NEW'!$B$19:$B$201),'Бланк OLD 0.8 04'!$B$12:$K$200,2,0))),
IF(VLOOKUP($A338-COUNT('Шаг2.Бланк заказа NEW'!$B$19:$B$201)-COUNT('Бланк OLD 0.8 04'!$B$18:$B$200),'Бланк OLD 2.0 04 '!$B$16:$K$200,2,0)="","",VLOOKUP($A338-COUNT('Шаг2.Бланк заказа NEW'!$B$19:$B$201)-COUNT('Бланк OLD 0.8 04'!$B$18:$B$200),'Бланк OLD 2.0 04 '!$B$16:$K$200,2,0)))</f>
        <v/>
      </c>
      <c r="F338" s="147" t="str">
        <f ca="1">IFERROR(IFERROR(IF(VLOOKUP($A338,'Шаг2.Бланк заказа NEW'!$B$17:$N$201,3,0)="","",VLOOKUP($A338,'Шаг2.Бланк заказа NEW'!$B$17:$N$201,3,0)),
IF(VLOOKUP($A338-COUNT('Шаг2.Бланк заказа NEW'!$B$19:$B$201),'Бланк OLD 0.8 04'!$B$12:$K$200,3,0)="","",VLOOKUP($A338-COUNT('Шаг2.Бланк заказа NEW'!$B$19:$B$201),'Бланк OLD 0.8 04'!$B$12:$K$200,3,0))),
IF(VLOOKUP($A338-COUNT('Шаг2.Бланк заказа NEW'!$B$19:$B$201)-COUNT('Бланк OLD 0.8 04'!$B$18:$B$200),'Бланк OLD 2.0 04 '!$B$16:$K$200,3,0)="","",VLOOKUP($A338-COUNT('Шаг2.Бланк заказа NEW'!$B$19:$B$201)-COUNT('Бланк OLD 0.8 04'!$B$18:$B$200),'Бланк OLD 2.0 04 '!$B$16:$K$200,3,0)))</f>
        <v/>
      </c>
      <c r="G338" s="176" t="str">
        <f ca="1">IF(IF(R338="","",IF(R338=1,SUMIFS('Шаг1.Выбор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плиты'!C:Q,12,0)),1))))))=0,
R338,
IF(R338="","",IF(R338=1,SUMIFS('Шаг1.Выбор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плиты'!N:N,R338,'Шаг1.Выбор плиты'!M:M,SMALL(INDIRECT("мм"&amp;VLOOKUP(C338,'Шаг1.Выбор плиты'!C:Q,12,0)),1)))))))</f>
        <v/>
      </c>
      <c r="H338" s="177" t="str">
        <f ca="1">IF(IF(S338="","",IF(S338=1,SUMIFS('Шаг1.Выбор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плиты'!C:Q,12,0)),1))))))=0,
S338,
IF(S338="","",IF(S338=1,SUMIFS('Шаг1.Выбор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плиты'!N:N,S338,'Шаг1.Выбор плиты'!M:M,SMALL(INDIRECT("мм"&amp;VLOOKUP(C338,'Шаг1.Выбор плиты'!C:Q,12,0)),1)))))))</f>
        <v/>
      </c>
      <c r="I338" s="147" t="str">
        <f ca="1">IFERROR(IFERROR(IF(VLOOKUP($A338,'Шаг2.Бланк заказа NEW'!$B$17:$N$201,6,0)="","",VLOOKUP($A338,'Шаг2.Бланк заказа NEW'!$B$17:$N$201,6,0)),
IF(VLOOKUP($A338-COUNT('Шаг2.Бланк заказа NEW'!$B$19:$B$201),'Бланк OLD 0.8 04'!$B$12:$K$200,6,0)="","",VLOOKUP($A338-COUNT('Шаг2.Бланк заказа NEW'!$B$19:$B$201),'Бланк OLD 0.8 04'!$B$12:$K$200,6,0))),
IF(VLOOKUP($A338-COUNT('Шаг2.Бланк заказа NEW'!$B$19:$B$201)-COUNT('Бланк OLD 0.8 04'!$B$18:$B$200),'Бланк OLD 2.0 04 '!$B$16:$K$200,6,0)="","",VLOOKUP($A338-COUNT('Шаг2.Бланк заказа NEW'!$B$19:$B$201)-COUNT('Бланк OLD 0.8 04'!$B$18:$B$200),'Бланк OLD 2.0 04 '!$B$16:$K$200,6,0)))</f>
        <v/>
      </c>
      <c r="J338" s="177" t="str">
        <f ca="1">IF(IF(T338="","",IF(T338=1,SUMIFS('Шаг1.Выбор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плиты'!C:Q,12,0)),1))))))=0,
T338,
IF(T338="","",IF(T338=1,SUMIFS('Шаг1.Выбор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плиты'!N:N,T338,'Шаг1.Выбор плиты'!M:M,SMALL(INDIRECT("мм"&amp;VLOOKUP(C338,'Шаг1.Выбор плиты'!C:Q,12,0)),1)))))))</f>
        <v/>
      </c>
      <c r="K338" s="177" t="str">
        <f ca="1">IF(IF(U338="","",IF(U338=1,SUMIFS('Шаг1.Выбор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плиты'!C:Q,12,0)),1))))))=0,
U338,
IF(U338="","",IF(U338=1,SUMIFS('Шаг1.Выбор плиты'!$G:$G,'Шаг1.Выбор плиты'!J:J,"*"&amp;RIGHT(VLOOKUP(C338,'Шаг1.Выбор плиты'!C:Q,8,0),4),'Шаг1.Выбор плиты'!L:L,IF(MID(C338,1,6)="ЛДСП P","TM"&amp;MID(VLOOKUP(C338,'Шаг1.Выбор плиты'!C:Q,10,0),3,2),MID(VLOOKUP(C338,'Шаг1.Выбор плиты'!C:Q,10,0),1,2)),
'Шаг1.Выбор плиты'!N:N,1),IF(SUMIFS('Шаг1.Выбор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плиты'!C:Q,12,0)),1))=0,
IF(SUMIFS('Шаг1.Выбор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плиты'!C:Q,12,0)),2))=0,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плиты'!C:Q,12,0)),3)),
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плиты'!C:Q,12,0)),2))),
(SUMIFS('Шаг1.Выбор плиты'!$G:$G,'Шаг1.Выбор плиты'!J:J,"*"&amp;RIGHT(VLOOKUP(C338,'Шаг1.Выбор плиты'!C:Q,8,0),4),'Шаг1.Выбор плиты'!L:L,VLOOKUP(C338,'Шаг1.Выбор плиты'!C:Q,10,0),'Шаг1.Выбор плиты'!N:N,U338,'Шаг1.Выбор плиты'!M:M,SMALL(INDIRECT("мм"&amp;VLOOKUP(C338,'Шаг1.Выбор плиты'!C:Q,12,0)),1)))))))</f>
        <v/>
      </c>
      <c r="L338" s="147" t="str">
        <f ca="1">IFERROR(IFERROR(IF(VLOOKUP($A338,'Шаг2.Бланк заказа NEW'!$B$17:$N$201,9,0)="","",VLOOKUP($A338,'Шаг2.Бланк заказа NEW'!$B$17:$N$201,9,0)),
IF(VLOOKUP($A338-COUNT('Шаг2.Бланк заказа NEW'!$B$19:$B$201),'Бланк OLD 0.8 04'!$B$12:$K$200,9,0)="","",VLOOKUP($A338-COUNT('Шаг2.Бланк заказа NEW'!$B$19:$B$201),'Бланк OLD 0.8 04'!$B$12:$K$200,9,0))),
IF(VLOOKUP($A338-COUNT('Шаг2.Бланк заказа NEW'!$B$19:$B$201)-COUNT('Бланк OLD 0.8 04'!$B$18:$B$200),'Бланк OLD 2.0 04 '!$B$16:$K$200,9,0)="","",VLOOKUP($A338-COUNT('Шаг2.Бланк заказа NEW'!$B$19:$B$201)-COUNT('Бланк OLD 0.8 04'!$B$18:$B$200),'Бланк OLD 2.0 04 '!$B$16:$K$200,9,0)))</f>
        <v/>
      </c>
      <c r="M338" s="154" t="str">
        <f t="shared" ca="1" si="25"/>
        <v/>
      </c>
      <c r="N338" s="153" t="str">
        <f ca="1">IFERROR(IF(VLOOKUP($A338,'Шаг2.Бланк заказа NEW'!$B$17:$N$201,11,0)="","",VLOOKUP($A338,'Шаг2.Бланк заказа NEW'!$B$17:$N$201,11,0)),
"Нет")</f>
        <v/>
      </c>
      <c r="O338" s="147" t="str">
        <f ca="1">IFERROR(IF(VLOOKUP($A338,'Шаг2.Бланк заказа NEW'!$B$17:$N$201,11,0)="","",VLOOKUP($A338,'Шаг2.Бланк заказа NEW'!$B$17:$N$201,12,0)),
"Нет")</f>
        <v/>
      </c>
      <c r="P338" s="153" t="str">
        <f ca="1">IFERROR(IF(VLOOKUP($A338,'Шаг2.Бланк заказа NEW'!$B$17:$N$201,13,0)="","",VLOOKUP($A338,'Шаг2.Бланк заказа NEW'!$B$17:$N$201,13,0)),
"Нет")</f>
        <v/>
      </c>
      <c r="Q338" s="147" t="str">
        <f ca="1">IFERROR(IF(VLOOKUP($A338,'Шаг2.Бланк заказа NEW'!$B$17:$O$201,14,0)="","",VLOOKUP($A338,'Шаг2.Бланк заказа NEW'!$B$17:$O$201,14,0)),"")</f>
        <v/>
      </c>
      <c r="R338" s="147" t="str">
        <f ca="1">IFERROR(IFERROR(IF(VLOOKUP($A338,'Шаг2.Бланк заказа NEW'!$B$17:$N$201,4,0)="","",VLOOKUP($A338,'Шаг2.Бланк заказа NEW'!$B$17:$N$201,4,0)),
IF(VLOOKUP($A338-COUNT('Шаг2.Бланк заказа NEW'!$B$19:$B$201),'Бланк OLD 0.8 04'!$B$12:$K$200,4,0)&gt;0,0.8,
IF(VLOOKUP($A338-COUNT('Шаг2.Бланк заказа NEW'!$B$19:$B$201),'Бланк OLD 0.8 04'!$B$12:$K$200,5,0)&gt;0,0.4,""))),
IF(VLOOKUP($A338-COUNT('Шаг2.Бланк заказа NEW'!$B$19:$B$201)-COUNT('Бланк OLD 0.8 04'!$B$18:$B$200),'Бланк OLD 2.0 04 '!$B$16:$K$200,4,0)&gt;0,2,IF(VLOOKUP($A338-COUNT('Шаг2.Бланк заказа NEW'!$B$19:$B$201)-COUNT('Бланк OLD 0.8 04'!$B$18:$B$200),'Бланк OLD 2.0 04 '!$B$16:$K$200,5,0)&gt;0,0.4,"")))</f>
        <v/>
      </c>
      <c r="S338" s="147" t="str">
        <f ca="1">IFERROR(IFERROR(IF(VLOOKUP($A338,'Шаг2.Бланк заказа NEW'!$B$17:$N$201,5,0)="","",VLOOKUP($A338,'Шаг2.Бланк заказа NEW'!$B$17:$N$201,5,0)),
IF(VLOOKUP($A338-COUNT('Шаг2.Бланк заказа NEW'!$B$19:$B$201),'Бланк OLD 0.8 04'!$B$12:$K$200,4,0)&gt;1,0.8,
IF(VLOOKUP($A338-COUNT('Шаг2.Бланк заказа NEW'!$B$19:$B$201),'Бланк OLD 0.8 04'!$B$12:$K$200,5,0)&gt;1,0.4,
IF(AND(VLOOKUP($A338-COUNT('Шаг2.Бланк заказа NEW'!$B$19:$B$201),'Бланк OLD 0.8 04'!$B$12:$K$200,4,0)&gt;0,VLOOKUP($A338-COUNT('Шаг2.Бланк заказа NEW'!$B$19:$B$201),'Бланк OLD 0.8 04'!$B$12:$K$200,5,0)&gt;0),0.4,"")))),
IF(VLOOKUP($A338-COUNT('Шаг2.Бланк заказа NEW'!$B$19:$B$201)-COUNT('Бланк OLD 0.8 04'!$B$18:$B$200),'Бланк OLD 2.0 04 '!$B$16:$K$200,4,0)&gt;1,2,
IF(VLOOKUP($A338-COUNT('Шаг2.Бланк заказа NEW'!$B$19:$B$201)-COUNT('Бланк OLD 0.8 04'!$B$18:$B$200),'Бланк OLD 2.0 04 '!$B$16:$K$200,5,0)&gt;1,0.4,IF(AND(VLOOKUP($A338-COUNT('Шаг2.Бланк заказа NEW'!$B$19:$B$201)-COUNT('Бланк OLD 0.8 04'!$B$18:$B$200),'Бланк OLD 2.0 04 '!$B$16:$K$200,4,0)&gt;0,VLOOKUP($A338-COUNT('Шаг2.Бланк заказа NEW'!$B$19:$B$201)-COUNT('Бланк OLD 0.8 04'!$B$18:$B$200),'Бланк OLD 2.0 04 '!$B$16:$K$200,5,0)&gt;0),0.4,""))))</f>
        <v/>
      </c>
      <c r="T338" s="147" t="str">
        <f ca="1">IFERROR(IFERROR(IF(VLOOKUP($A338,'Шаг2.Бланк заказа NEW'!$B$17:$N$201,7,0)="","",VLOOKUP($A338,'Шаг2.Бланк заказа NEW'!$B$17:$N$201,7,0)),
IF(VLOOKUP($A338-COUNT('Шаг2.Бланк заказа NEW'!$B$19:$B$201),'Бланк OLD 0.8 04'!$B$12:$K$200,7,0)&gt;0,0.8,
IF(VLOOKUP($A338-COUNT('Шаг2.Бланк заказа NEW'!$B$19:$B$201),'Бланк OLD 0.8 04'!$B$12:$K$200,8,0)&gt;0,0.4,""))),
IF(VLOOKUP($A338-COUNT('Шаг2.Бланк заказа NEW'!$B$19:$B$201)-COUNT('Бланк OLD 0.8 04'!$B$18:$B$200),'Бланк OLD 2.0 04 '!$B$16:$K$200,7,0)&gt;0,2,IF(VLOOKUP($A338-COUNT('Шаг2.Бланк заказа NEW'!$B$19:$B$201)-COUNT('Бланк OLD 0.8 04'!$B$18:$B$200),'Бланк OLD 2.0 04 '!$B$16:$K$200,8,0)&gt;0,0.4,"")))</f>
        <v/>
      </c>
      <c r="U338" s="147" t="str">
        <f ca="1">IFERROR(IFERROR(IF(VLOOKUP($A338,'Шаг2.Бланк заказа NEW'!$B$17:$N$201,8,0)="","",VLOOKUP($A338,'Шаг2.Бланк заказа NEW'!$B$17:$N$201,8,0)),
IF(VLOOKUP($A338-COUNT('Шаг2.Бланк заказа NEW'!$B$19:$B$201),'Бланк OLD 0.8 04'!$B$12:$K$200,7,0)&gt;1,0.8,
IF(VLOOKUP($A338-COUNT('Шаг2.Бланк заказа NEW'!$B$19:$B$201),'Бланк OLD 0.8 04'!$B$12:$K$200,8,0)&gt;1,0.4,
IF(AND(VLOOKUP($A338-COUNT('Шаг2.Бланк заказа NEW'!$B$19:$B$201),'Бланк OLD 0.8 04'!$B$12:$K$200,7,0)&gt;0,VLOOKUP($A338-COUNT('Шаг2.Бланк заказа NEW'!$B$19:$B$201),'Бланк OLD 0.8 04'!$B$12:$K$200,8,0)&gt;0),0.4,"")))),
IF(VLOOKUP($A338-COUNT('Шаг2.Бланк заказа NEW'!$B$19:$B$201)-COUNT('Бланк OLD 0.8 04'!$B$18:$B$200),'Бланк OLD 2.0 04 '!$B$16:$K$200,7,0)&gt;1,2,
IF(VLOOKUP($A338-COUNT('Шаг2.Бланк заказа NEW'!$B$19:$B$201)-COUNT('Бланк OLD 0.8 04'!$B$18:$B$200),'Бланк OLD 2.0 04 '!$B$16:$K$200,8,0)&gt;1,0.4,
IF(AND(VLOOKUP($A338-COUNT('Шаг2.Бланк заказа NEW'!$B$19:$B$201)-COUNT('Бланк OLD 0.8 04'!$B$18:$B$200),'Бланк OLD 2.0 04 '!$B$16:$K$200,7,0)&gt;0,VLOOKUP($A338-COUNT('Шаг2.Бланк заказа NEW'!$B$19:$B$201)-COUNT('Бланк OLD 0.8 04'!$B$18:$B$200),'Бланк OLD 2.0 04 '!$B$16:$K$200,8,0)&gt;0),0.4,""))))</f>
        <v/>
      </c>
      <c r="V338" s="146" t="str">
        <f ca="1">IFERROR(VLOOKUP(C338,'Шаг1.Выбор плиты'!C:S,12,0),"")</f>
        <v/>
      </c>
      <c r="W338" s="146" t="str">
        <f ca="1">IFERROR(VLOOKUP(C338,'Шаг1.Выбор плиты'!C:S,8,0),"")</f>
        <v/>
      </c>
      <c r="X338" s="146" t="str">
        <f ca="1">IFERROR(VLOOKUP(C338,'Шаг1.Выбор плиты'!C:S,10,0),"")</f>
        <v/>
      </c>
      <c r="Y338" s="147" t="str">
        <f t="shared" ca="1" si="28"/>
        <v/>
      </c>
      <c r="AD338" s="147" t="str">
        <f t="shared" ca="1" si="26"/>
        <v/>
      </c>
      <c r="AE338" s="147" t="str">
        <f t="shared" ca="1" si="29"/>
        <v/>
      </c>
      <c r="AF338" s="25"/>
      <c r="AH338" s="147" t="str">
        <f ca="1">IF(C338="","",VLOOKUP(C338,'Шаг1.Выбор плиты'!C:Q,7,0))</f>
        <v/>
      </c>
      <c r="AI338" s="147" t="str">
        <f t="shared" ca="1" si="27"/>
        <v/>
      </c>
    </row>
    <row r="339" spans="1:35" x14ac:dyDescent="0.2">
      <c r="A339" s="151" t="str">
        <f ca="1">IF(C339="","",MAX($A$1:OFFSET(C339,-1,0))+1)</f>
        <v/>
      </c>
      <c r="B339" s="151" t="str">
        <f ca="1">IFERROR(IFERROR(IFERROR("Шаг2.Бланк заказа NEW №"&amp;VLOOKUP(A338+1,CHOOSE({1,2},'Шаг2.Бланк заказа NEW'!$B$19:$B$201,'Шаг2.Бланк заказа NEW'!$A$19:$A$201),1,0),
"Бланк OLD 0.8 04 №"&amp;VLOOKUP(A338+1-COUNT('Шаг2.Бланк заказа NEW'!$B$19:$B$201),CHOOSE({1,2},'Бланк OLD 0.8 04'!$B$18:$B$200,'Бланк OLD 0.8 04'!$A$18:$A$200),1,0)),
"Бланк OLD 2.0 04 №"&amp;VLOOKUP(A338+1-COUNT('Шаг2.Бланк заказа NEW'!$B$19:$B$201)-COUNT('Бланк OLD 0.8 04'!$B$18:$B$200),CHOOSE({1,2},'Бланк OLD 2.0 04 '!$B$18:$B$200,'Бланк OLD 2.0 04 '!$A$18:$A$200),1,0)),"")</f>
        <v/>
      </c>
      <c r="C339" s="152" t="str">
        <f ca="1">IFERROR(IFERROR(IFERROR(VLOOKUP(A338+1,CHOOSE({1,2},'Шаг2.Бланк заказа NEW'!$B$19:$B$201,'Шаг2.Бланк заказа NEW'!$A$19:$A$201),2,0),
VLOOKUP(A338+1-COUNT('Шаг2.Бланк заказа NEW'!$B$19:$B$201),CHOOSE({1,2},'Бланк OLD 0.8 04'!$B$18:$B$200,'Бланк OLD 0.8 04'!$A$18:$A$200),2,0)),
VLOOKUP(A338+1-COUNT('Шаг2.Бланк заказа NEW'!$B$19:$B$201)-COUNT('Бланк OLD 0.8 04'!$B$18:$B$200),CHOOSE({1,2},'Бланк OLD 2.0 04 '!$B$18:$B$200,'Бланк OLD 2.0 04 '!$A$18:$A$200),2,0)),"")</f>
        <v/>
      </c>
      <c r="D339" s="150" t="str">
        <f ca="1">IFERROR(VLOOKUP(C339,'Шаг1.Выбор плиты'!C:G,5,0),"")</f>
        <v/>
      </c>
      <c r="E339" s="147" t="str">
        <f ca="1">IFERROR(IFERROR(IF(VLOOKUP($A339,'Шаг2.Бланк заказа NEW'!$B$17:$N$201,2,0)="","",VLOOKUP($A339,'Шаг2.Бланк заказа NEW'!$B$17:$N$201,2,0)),
IF(VLOOKUP($A339-COUNT('Шаг2.Бланк заказа NEW'!$B$19:$B$201),'Бланк OLD 0.8 04'!$B$12:$K$200,2,0)="","",VLOOKUP($A339-COUNT('Шаг2.Бланк заказа NEW'!$B$19:$B$201),'Бланк OLD 0.8 04'!$B$12:$K$200,2,0))),
IF(VLOOKUP($A339-COUNT('Шаг2.Бланк заказа NEW'!$B$19:$B$201)-COUNT('Бланк OLD 0.8 04'!$B$18:$B$200),'Бланк OLD 2.0 04 '!$B$16:$K$200,2,0)="","",VLOOKUP($A339-COUNT('Шаг2.Бланк заказа NEW'!$B$19:$B$201)-COUNT('Бланк OLD 0.8 04'!$B$18:$B$200),'Бланк OLD 2.0 04 '!$B$16:$K$200,2,0)))</f>
        <v/>
      </c>
      <c r="F339" s="147" t="str">
        <f ca="1">IFERROR(IFERROR(IF(VLOOKUP($A339,'Шаг2.Бланк заказа NEW'!$B$17:$N$201,3,0)="","",VLOOKUP($A339,'Шаг2.Бланк заказа NEW'!$B$17:$N$201,3,0)),
IF(VLOOKUP($A339-COUNT('Шаг2.Бланк заказа NEW'!$B$19:$B$201),'Бланк OLD 0.8 04'!$B$12:$K$200,3,0)="","",VLOOKUP($A339-COUNT('Шаг2.Бланк заказа NEW'!$B$19:$B$201),'Бланк OLD 0.8 04'!$B$12:$K$200,3,0))),
IF(VLOOKUP($A339-COUNT('Шаг2.Бланк заказа NEW'!$B$19:$B$201)-COUNT('Бланк OLD 0.8 04'!$B$18:$B$200),'Бланк OLD 2.0 04 '!$B$16:$K$200,3,0)="","",VLOOKUP($A339-COUNT('Шаг2.Бланк заказа NEW'!$B$19:$B$201)-COUNT('Бланк OLD 0.8 04'!$B$18:$B$200),'Бланк OLD 2.0 04 '!$B$16:$K$200,3,0)))</f>
        <v/>
      </c>
      <c r="G339" s="176" t="str">
        <f ca="1">IF(IF(R339="","",IF(R339=1,SUMIFS('Шаг1.Выбор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плиты'!C:Q,12,0)),1))))))=0,
R339,
IF(R339="","",IF(R339=1,SUMIFS('Шаг1.Выбор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плиты'!N:N,R339,'Шаг1.Выбор плиты'!M:M,SMALL(INDIRECT("мм"&amp;VLOOKUP(C339,'Шаг1.Выбор плиты'!C:Q,12,0)),1)))))))</f>
        <v/>
      </c>
      <c r="H339" s="177" t="str">
        <f ca="1">IF(IF(S339="","",IF(S339=1,SUMIFS('Шаг1.Выбор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плиты'!C:Q,12,0)),1))))))=0,
S339,
IF(S339="","",IF(S339=1,SUMIFS('Шаг1.Выбор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плиты'!N:N,S339,'Шаг1.Выбор плиты'!M:M,SMALL(INDIRECT("мм"&amp;VLOOKUP(C339,'Шаг1.Выбор плиты'!C:Q,12,0)),1)))))))</f>
        <v/>
      </c>
      <c r="I339" s="147" t="str">
        <f ca="1">IFERROR(IFERROR(IF(VLOOKUP($A339,'Шаг2.Бланк заказа NEW'!$B$17:$N$201,6,0)="","",VLOOKUP($A339,'Шаг2.Бланк заказа NEW'!$B$17:$N$201,6,0)),
IF(VLOOKUP($A339-COUNT('Шаг2.Бланк заказа NEW'!$B$19:$B$201),'Бланк OLD 0.8 04'!$B$12:$K$200,6,0)="","",VLOOKUP($A339-COUNT('Шаг2.Бланк заказа NEW'!$B$19:$B$201),'Бланк OLD 0.8 04'!$B$12:$K$200,6,0))),
IF(VLOOKUP($A339-COUNT('Шаг2.Бланк заказа NEW'!$B$19:$B$201)-COUNT('Бланк OLD 0.8 04'!$B$18:$B$200),'Бланк OLD 2.0 04 '!$B$16:$K$200,6,0)="","",VLOOKUP($A339-COUNT('Шаг2.Бланк заказа NEW'!$B$19:$B$201)-COUNT('Бланк OLD 0.8 04'!$B$18:$B$200),'Бланк OLD 2.0 04 '!$B$16:$K$200,6,0)))</f>
        <v/>
      </c>
      <c r="J339" s="177" t="str">
        <f ca="1">IF(IF(T339="","",IF(T339=1,SUMIFS('Шаг1.Выбор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плиты'!C:Q,12,0)),1))))))=0,
T339,
IF(T339="","",IF(T339=1,SUMIFS('Шаг1.Выбор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плиты'!N:N,T339,'Шаг1.Выбор плиты'!M:M,SMALL(INDIRECT("мм"&amp;VLOOKUP(C339,'Шаг1.Выбор плиты'!C:Q,12,0)),1)))))))</f>
        <v/>
      </c>
      <c r="K339" s="177" t="str">
        <f ca="1">IF(IF(U339="","",IF(U339=1,SUMIFS('Шаг1.Выбор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плиты'!C:Q,12,0)),1))))))=0,
U339,
IF(U339="","",IF(U339=1,SUMIFS('Шаг1.Выбор плиты'!$G:$G,'Шаг1.Выбор плиты'!J:J,"*"&amp;RIGHT(VLOOKUP(C339,'Шаг1.Выбор плиты'!C:Q,8,0),4),'Шаг1.Выбор плиты'!L:L,IF(MID(C339,1,6)="ЛДСП P","TM"&amp;MID(VLOOKUP(C339,'Шаг1.Выбор плиты'!C:Q,10,0),3,2),MID(VLOOKUP(C339,'Шаг1.Выбор плиты'!C:Q,10,0),1,2)),
'Шаг1.Выбор плиты'!N:N,1),IF(SUMIFS('Шаг1.Выбор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плиты'!C:Q,12,0)),1))=0,
IF(SUMIFS('Шаг1.Выбор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плиты'!C:Q,12,0)),2))=0,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плиты'!C:Q,12,0)),3)),
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плиты'!C:Q,12,0)),2))),
(SUMIFS('Шаг1.Выбор плиты'!$G:$G,'Шаг1.Выбор плиты'!J:J,"*"&amp;RIGHT(VLOOKUP(C339,'Шаг1.Выбор плиты'!C:Q,8,0),4),'Шаг1.Выбор плиты'!L:L,VLOOKUP(C339,'Шаг1.Выбор плиты'!C:Q,10,0),'Шаг1.Выбор плиты'!N:N,U339,'Шаг1.Выбор плиты'!M:M,SMALL(INDIRECT("мм"&amp;VLOOKUP(C339,'Шаг1.Выбор плиты'!C:Q,12,0)),1)))))))</f>
        <v/>
      </c>
      <c r="L339" s="147" t="str">
        <f ca="1">IFERROR(IFERROR(IF(VLOOKUP($A339,'Шаг2.Бланк заказа NEW'!$B$17:$N$201,9,0)="","",VLOOKUP($A339,'Шаг2.Бланк заказа NEW'!$B$17:$N$201,9,0)),
IF(VLOOKUP($A339-COUNT('Шаг2.Бланк заказа NEW'!$B$19:$B$201),'Бланк OLD 0.8 04'!$B$12:$K$200,9,0)="","",VLOOKUP($A339-COUNT('Шаг2.Бланк заказа NEW'!$B$19:$B$201),'Бланк OLD 0.8 04'!$B$12:$K$200,9,0))),
IF(VLOOKUP($A339-COUNT('Шаг2.Бланк заказа NEW'!$B$19:$B$201)-COUNT('Бланк OLD 0.8 04'!$B$18:$B$200),'Бланк OLD 2.0 04 '!$B$16:$K$200,9,0)="","",VLOOKUP($A339-COUNT('Шаг2.Бланк заказа NEW'!$B$19:$B$201)-COUNT('Бланк OLD 0.8 04'!$B$18:$B$200),'Бланк OLD 2.0 04 '!$B$16:$K$200,9,0)))</f>
        <v/>
      </c>
      <c r="M339" s="154" t="str">
        <f t="shared" ca="1" si="25"/>
        <v/>
      </c>
      <c r="N339" s="153" t="str">
        <f ca="1">IFERROR(IF(VLOOKUP($A339,'Шаг2.Бланк заказа NEW'!$B$17:$N$201,11,0)="","",VLOOKUP($A339,'Шаг2.Бланк заказа NEW'!$B$17:$N$201,11,0)),
"Нет")</f>
        <v/>
      </c>
      <c r="O339" s="147" t="str">
        <f ca="1">IFERROR(IF(VLOOKUP($A339,'Шаг2.Бланк заказа NEW'!$B$17:$N$201,11,0)="","",VLOOKUP($A339,'Шаг2.Бланк заказа NEW'!$B$17:$N$201,12,0)),
"Нет")</f>
        <v/>
      </c>
      <c r="P339" s="153" t="str">
        <f ca="1">IFERROR(IF(VLOOKUP($A339,'Шаг2.Бланк заказа NEW'!$B$17:$N$201,13,0)="","",VLOOKUP($A339,'Шаг2.Бланк заказа NEW'!$B$17:$N$201,13,0)),
"Нет")</f>
        <v/>
      </c>
      <c r="Q339" s="147" t="str">
        <f ca="1">IFERROR(IF(VLOOKUP($A339,'Шаг2.Бланк заказа NEW'!$B$17:$O$201,14,0)="","",VLOOKUP($A339,'Шаг2.Бланк заказа NEW'!$B$17:$O$201,14,0)),"")</f>
        <v/>
      </c>
      <c r="R339" s="147" t="str">
        <f ca="1">IFERROR(IFERROR(IF(VLOOKUP($A339,'Шаг2.Бланк заказа NEW'!$B$17:$N$201,4,0)="","",VLOOKUP($A339,'Шаг2.Бланк заказа NEW'!$B$17:$N$201,4,0)),
IF(VLOOKUP($A339-COUNT('Шаг2.Бланк заказа NEW'!$B$19:$B$201),'Бланк OLD 0.8 04'!$B$12:$K$200,4,0)&gt;0,0.8,
IF(VLOOKUP($A339-COUNT('Шаг2.Бланк заказа NEW'!$B$19:$B$201),'Бланк OLD 0.8 04'!$B$12:$K$200,5,0)&gt;0,0.4,""))),
IF(VLOOKUP($A339-COUNT('Шаг2.Бланк заказа NEW'!$B$19:$B$201)-COUNT('Бланк OLD 0.8 04'!$B$18:$B$200),'Бланк OLD 2.0 04 '!$B$16:$K$200,4,0)&gt;0,2,IF(VLOOKUP($A339-COUNT('Шаг2.Бланк заказа NEW'!$B$19:$B$201)-COUNT('Бланк OLD 0.8 04'!$B$18:$B$200),'Бланк OLD 2.0 04 '!$B$16:$K$200,5,0)&gt;0,0.4,"")))</f>
        <v/>
      </c>
      <c r="S339" s="147" t="str">
        <f ca="1">IFERROR(IFERROR(IF(VLOOKUP($A339,'Шаг2.Бланк заказа NEW'!$B$17:$N$201,5,0)="","",VLOOKUP($A339,'Шаг2.Бланк заказа NEW'!$B$17:$N$201,5,0)),
IF(VLOOKUP($A339-COUNT('Шаг2.Бланк заказа NEW'!$B$19:$B$201),'Бланк OLD 0.8 04'!$B$12:$K$200,4,0)&gt;1,0.8,
IF(VLOOKUP($A339-COUNT('Шаг2.Бланк заказа NEW'!$B$19:$B$201),'Бланк OLD 0.8 04'!$B$12:$K$200,5,0)&gt;1,0.4,
IF(AND(VLOOKUP($A339-COUNT('Шаг2.Бланк заказа NEW'!$B$19:$B$201),'Бланк OLD 0.8 04'!$B$12:$K$200,4,0)&gt;0,VLOOKUP($A339-COUNT('Шаг2.Бланк заказа NEW'!$B$19:$B$201),'Бланк OLD 0.8 04'!$B$12:$K$200,5,0)&gt;0),0.4,"")))),
IF(VLOOKUP($A339-COUNT('Шаг2.Бланк заказа NEW'!$B$19:$B$201)-COUNT('Бланк OLD 0.8 04'!$B$18:$B$200),'Бланк OLD 2.0 04 '!$B$16:$K$200,4,0)&gt;1,2,
IF(VLOOKUP($A339-COUNT('Шаг2.Бланк заказа NEW'!$B$19:$B$201)-COUNT('Бланк OLD 0.8 04'!$B$18:$B$200),'Бланк OLD 2.0 04 '!$B$16:$K$200,5,0)&gt;1,0.4,IF(AND(VLOOKUP($A339-COUNT('Шаг2.Бланк заказа NEW'!$B$19:$B$201)-COUNT('Бланк OLD 0.8 04'!$B$18:$B$200),'Бланк OLD 2.0 04 '!$B$16:$K$200,4,0)&gt;0,VLOOKUP($A339-COUNT('Шаг2.Бланк заказа NEW'!$B$19:$B$201)-COUNT('Бланк OLD 0.8 04'!$B$18:$B$200),'Бланк OLD 2.0 04 '!$B$16:$K$200,5,0)&gt;0),0.4,""))))</f>
        <v/>
      </c>
      <c r="T339" s="147" t="str">
        <f ca="1">IFERROR(IFERROR(IF(VLOOKUP($A339,'Шаг2.Бланк заказа NEW'!$B$17:$N$201,7,0)="","",VLOOKUP($A339,'Шаг2.Бланк заказа NEW'!$B$17:$N$201,7,0)),
IF(VLOOKUP($A339-COUNT('Шаг2.Бланк заказа NEW'!$B$19:$B$201),'Бланк OLD 0.8 04'!$B$12:$K$200,7,0)&gt;0,0.8,
IF(VLOOKUP($A339-COUNT('Шаг2.Бланк заказа NEW'!$B$19:$B$201),'Бланк OLD 0.8 04'!$B$12:$K$200,8,0)&gt;0,0.4,""))),
IF(VLOOKUP($A339-COUNT('Шаг2.Бланк заказа NEW'!$B$19:$B$201)-COUNT('Бланк OLD 0.8 04'!$B$18:$B$200),'Бланк OLD 2.0 04 '!$B$16:$K$200,7,0)&gt;0,2,IF(VLOOKUP($A339-COUNT('Шаг2.Бланк заказа NEW'!$B$19:$B$201)-COUNT('Бланк OLD 0.8 04'!$B$18:$B$200),'Бланк OLD 2.0 04 '!$B$16:$K$200,8,0)&gt;0,0.4,"")))</f>
        <v/>
      </c>
      <c r="U339" s="147" t="str">
        <f ca="1">IFERROR(IFERROR(IF(VLOOKUP($A339,'Шаг2.Бланк заказа NEW'!$B$17:$N$201,8,0)="","",VLOOKUP($A339,'Шаг2.Бланк заказа NEW'!$B$17:$N$201,8,0)),
IF(VLOOKUP($A339-COUNT('Шаг2.Бланк заказа NEW'!$B$19:$B$201),'Бланк OLD 0.8 04'!$B$12:$K$200,7,0)&gt;1,0.8,
IF(VLOOKUP($A339-COUNT('Шаг2.Бланк заказа NEW'!$B$19:$B$201),'Бланк OLD 0.8 04'!$B$12:$K$200,8,0)&gt;1,0.4,
IF(AND(VLOOKUP($A339-COUNT('Шаг2.Бланк заказа NEW'!$B$19:$B$201),'Бланк OLD 0.8 04'!$B$12:$K$200,7,0)&gt;0,VLOOKUP($A339-COUNT('Шаг2.Бланк заказа NEW'!$B$19:$B$201),'Бланк OLD 0.8 04'!$B$12:$K$200,8,0)&gt;0),0.4,"")))),
IF(VLOOKUP($A339-COUNT('Шаг2.Бланк заказа NEW'!$B$19:$B$201)-COUNT('Бланк OLD 0.8 04'!$B$18:$B$200),'Бланк OLD 2.0 04 '!$B$16:$K$200,7,0)&gt;1,2,
IF(VLOOKUP($A339-COUNT('Шаг2.Бланк заказа NEW'!$B$19:$B$201)-COUNT('Бланк OLD 0.8 04'!$B$18:$B$200),'Бланк OLD 2.0 04 '!$B$16:$K$200,8,0)&gt;1,0.4,
IF(AND(VLOOKUP($A339-COUNT('Шаг2.Бланк заказа NEW'!$B$19:$B$201)-COUNT('Бланк OLD 0.8 04'!$B$18:$B$200),'Бланк OLD 2.0 04 '!$B$16:$K$200,7,0)&gt;0,VLOOKUP($A339-COUNT('Шаг2.Бланк заказа NEW'!$B$19:$B$201)-COUNT('Бланк OLD 0.8 04'!$B$18:$B$200),'Бланк OLD 2.0 04 '!$B$16:$K$200,8,0)&gt;0),0.4,""))))</f>
        <v/>
      </c>
      <c r="V339" s="146" t="str">
        <f ca="1">IFERROR(VLOOKUP(C339,'Шаг1.Выбор плиты'!C:S,12,0),"")</f>
        <v/>
      </c>
      <c r="W339" s="146" t="str">
        <f ca="1">IFERROR(VLOOKUP(C339,'Шаг1.Выбор плиты'!C:S,8,0),"")</f>
        <v/>
      </c>
      <c r="X339" s="146" t="str">
        <f ca="1">IFERROR(VLOOKUP(C339,'Шаг1.Выбор плиты'!C:S,10,0),"")</f>
        <v/>
      </c>
      <c r="Y339" s="147" t="str">
        <f t="shared" ca="1" si="28"/>
        <v/>
      </c>
      <c r="AD339" s="147" t="str">
        <f t="shared" ca="1" si="26"/>
        <v/>
      </c>
      <c r="AE339" s="147" t="str">
        <f t="shared" ca="1" si="29"/>
        <v/>
      </c>
      <c r="AF339" s="25"/>
      <c r="AH339" s="147" t="str">
        <f ca="1">IF(C339="","",VLOOKUP(C339,'Шаг1.Выбор плиты'!C:Q,7,0))</f>
        <v/>
      </c>
      <c r="AI339" s="147" t="str">
        <f t="shared" ca="1" si="27"/>
        <v/>
      </c>
    </row>
    <row r="340" spans="1:35" x14ac:dyDescent="0.2">
      <c r="A340" s="151" t="str">
        <f ca="1">IF(C340="","",MAX($A$1:OFFSET(C340,-1,0))+1)</f>
        <v/>
      </c>
      <c r="B340" s="151" t="str">
        <f ca="1">IFERROR(IFERROR(IFERROR("Шаг2.Бланк заказа NEW №"&amp;VLOOKUP(A339+1,CHOOSE({1,2},'Шаг2.Бланк заказа NEW'!$B$19:$B$201,'Шаг2.Бланк заказа NEW'!$A$19:$A$201),1,0),
"Бланк OLD 0.8 04 №"&amp;VLOOKUP(A339+1-COUNT('Шаг2.Бланк заказа NEW'!$B$19:$B$201),CHOOSE({1,2},'Бланк OLD 0.8 04'!$B$18:$B$200,'Бланк OLD 0.8 04'!$A$18:$A$200),1,0)),
"Бланк OLD 2.0 04 №"&amp;VLOOKUP(A339+1-COUNT('Шаг2.Бланк заказа NEW'!$B$19:$B$201)-COUNT('Бланк OLD 0.8 04'!$B$18:$B$200),CHOOSE({1,2},'Бланк OLD 2.0 04 '!$B$18:$B$200,'Бланк OLD 2.0 04 '!$A$18:$A$200),1,0)),"")</f>
        <v/>
      </c>
      <c r="C340" s="152" t="str">
        <f ca="1">IFERROR(IFERROR(IFERROR(VLOOKUP(A339+1,CHOOSE({1,2},'Шаг2.Бланк заказа NEW'!$B$19:$B$201,'Шаг2.Бланк заказа NEW'!$A$19:$A$201),2,0),
VLOOKUP(A339+1-COUNT('Шаг2.Бланк заказа NEW'!$B$19:$B$201),CHOOSE({1,2},'Бланк OLD 0.8 04'!$B$18:$B$200,'Бланк OLD 0.8 04'!$A$18:$A$200),2,0)),
VLOOKUP(A339+1-COUNT('Шаг2.Бланк заказа NEW'!$B$19:$B$201)-COUNT('Бланк OLD 0.8 04'!$B$18:$B$200),CHOOSE({1,2},'Бланк OLD 2.0 04 '!$B$18:$B$200,'Бланк OLD 2.0 04 '!$A$18:$A$200),2,0)),"")</f>
        <v/>
      </c>
      <c r="D340" s="150" t="str">
        <f ca="1">IFERROR(VLOOKUP(C340,'Шаг1.Выбор плиты'!C:G,5,0),"")</f>
        <v/>
      </c>
      <c r="E340" s="147" t="str">
        <f ca="1">IFERROR(IFERROR(IF(VLOOKUP($A340,'Шаг2.Бланк заказа NEW'!$B$17:$N$201,2,0)="","",VLOOKUP($A340,'Шаг2.Бланк заказа NEW'!$B$17:$N$201,2,0)),
IF(VLOOKUP($A340-COUNT('Шаг2.Бланк заказа NEW'!$B$19:$B$201),'Бланк OLD 0.8 04'!$B$12:$K$200,2,0)="","",VLOOKUP($A340-COUNT('Шаг2.Бланк заказа NEW'!$B$19:$B$201),'Бланк OLD 0.8 04'!$B$12:$K$200,2,0))),
IF(VLOOKUP($A340-COUNT('Шаг2.Бланк заказа NEW'!$B$19:$B$201)-COUNT('Бланк OLD 0.8 04'!$B$18:$B$200),'Бланк OLD 2.0 04 '!$B$16:$K$200,2,0)="","",VLOOKUP($A340-COUNT('Шаг2.Бланк заказа NEW'!$B$19:$B$201)-COUNT('Бланк OLD 0.8 04'!$B$18:$B$200),'Бланк OLD 2.0 04 '!$B$16:$K$200,2,0)))</f>
        <v/>
      </c>
      <c r="F340" s="147" t="str">
        <f ca="1">IFERROR(IFERROR(IF(VLOOKUP($A340,'Шаг2.Бланк заказа NEW'!$B$17:$N$201,3,0)="","",VLOOKUP($A340,'Шаг2.Бланк заказа NEW'!$B$17:$N$201,3,0)),
IF(VLOOKUP($A340-COUNT('Шаг2.Бланк заказа NEW'!$B$19:$B$201),'Бланк OLD 0.8 04'!$B$12:$K$200,3,0)="","",VLOOKUP($A340-COUNT('Шаг2.Бланк заказа NEW'!$B$19:$B$201),'Бланк OLD 0.8 04'!$B$12:$K$200,3,0))),
IF(VLOOKUP($A340-COUNT('Шаг2.Бланк заказа NEW'!$B$19:$B$201)-COUNT('Бланк OLD 0.8 04'!$B$18:$B$200),'Бланк OLD 2.0 04 '!$B$16:$K$200,3,0)="","",VLOOKUP($A340-COUNT('Шаг2.Бланк заказа NEW'!$B$19:$B$201)-COUNT('Бланк OLD 0.8 04'!$B$18:$B$200),'Бланк OLD 2.0 04 '!$B$16:$K$200,3,0)))</f>
        <v/>
      </c>
      <c r="G340" s="176" t="str">
        <f ca="1">IF(IF(R340="","",IF(R340=1,SUMIFS('Шаг1.Выбор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плиты'!C:Q,12,0)),1))))))=0,
R340,
IF(R340="","",IF(R340=1,SUMIFS('Шаг1.Выбор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плиты'!N:N,R340,'Шаг1.Выбор плиты'!M:M,SMALL(INDIRECT("мм"&amp;VLOOKUP(C340,'Шаг1.Выбор плиты'!C:Q,12,0)),1)))))))</f>
        <v/>
      </c>
      <c r="H340" s="177" t="str">
        <f ca="1">IF(IF(S340="","",IF(S340=1,SUMIFS('Шаг1.Выбор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плиты'!C:Q,12,0)),1))))))=0,
S340,
IF(S340="","",IF(S340=1,SUMIFS('Шаг1.Выбор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плиты'!N:N,S340,'Шаг1.Выбор плиты'!M:M,SMALL(INDIRECT("мм"&amp;VLOOKUP(C340,'Шаг1.Выбор плиты'!C:Q,12,0)),1)))))))</f>
        <v/>
      </c>
      <c r="I340" s="147" t="str">
        <f ca="1">IFERROR(IFERROR(IF(VLOOKUP($A340,'Шаг2.Бланк заказа NEW'!$B$17:$N$201,6,0)="","",VLOOKUP($A340,'Шаг2.Бланк заказа NEW'!$B$17:$N$201,6,0)),
IF(VLOOKUP($A340-COUNT('Шаг2.Бланк заказа NEW'!$B$19:$B$201),'Бланк OLD 0.8 04'!$B$12:$K$200,6,0)="","",VLOOKUP($A340-COUNT('Шаг2.Бланк заказа NEW'!$B$19:$B$201),'Бланк OLD 0.8 04'!$B$12:$K$200,6,0))),
IF(VLOOKUP($A340-COUNT('Шаг2.Бланк заказа NEW'!$B$19:$B$201)-COUNT('Бланк OLD 0.8 04'!$B$18:$B$200),'Бланк OLD 2.0 04 '!$B$16:$K$200,6,0)="","",VLOOKUP($A340-COUNT('Шаг2.Бланк заказа NEW'!$B$19:$B$201)-COUNT('Бланк OLD 0.8 04'!$B$18:$B$200),'Бланк OLD 2.0 04 '!$B$16:$K$200,6,0)))</f>
        <v/>
      </c>
      <c r="J340" s="177" t="str">
        <f ca="1">IF(IF(T340="","",IF(T340=1,SUMIFS('Шаг1.Выбор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плиты'!C:Q,12,0)),1))))))=0,
T340,
IF(T340="","",IF(T340=1,SUMIFS('Шаг1.Выбор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плиты'!N:N,T340,'Шаг1.Выбор плиты'!M:M,SMALL(INDIRECT("мм"&amp;VLOOKUP(C340,'Шаг1.Выбор плиты'!C:Q,12,0)),1)))))))</f>
        <v/>
      </c>
      <c r="K340" s="177" t="str">
        <f ca="1">IF(IF(U340="","",IF(U340=1,SUMIFS('Шаг1.Выбор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плиты'!C:Q,12,0)),1))))))=0,
U340,
IF(U340="","",IF(U340=1,SUMIFS('Шаг1.Выбор плиты'!$G:$G,'Шаг1.Выбор плиты'!J:J,"*"&amp;RIGHT(VLOOKUP(C340,'Шаг1.Выбор плиты'!C:Q,8,0),4),'Шаг1.Выбор плиты'!L:L,IF(MID(C340,1,6)="ЛДСП P","TM"&amp;MID(VLOOKUP(C340,'Шаг1.Выбор плиты'!C:Q,10,0),3,2),MID(VLOOKUP(C340,'Шаг1.Выбор плиты'!C:Q,10,0),1,2)),
'Шаг1.Выбор плиты'!N:N,1),IF(SUMIFS('Шаг1.Выбор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плиты'!C:Q,12,0)),1))=0,
IF(SUMIFS('Шаг1.Выбор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плиты'!C:Q,12,0)),2))=0,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плиты'!C:Q,12,0)),3)),
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плиты'!C:Q,12,0)),2))),
(SUMIFS('Шаг1.Выбор плиты'!$G:$G,'Шаг1.Выбор плиты'!J:J,"*"&amp;RIGHT(VLOOKUP(C340,'Шаг1.Выбор плиты'!C:Q,8,0),4),'Шаг1.Выбор плиты'!L:L,VLOOKUP(C340,'Шаг1.Выбор плиты'!C:Q,10,0),'Шаг1.Выбор плиты'!N:N,U340,'Шаг1.Выбор плиты'!M:M,SMALL(INDIRECT("мм"&amp;VLOOKUP(C340,'Шаг1.Выбор плиты'!C:Q,12,0)),1)))))))</f>
        <v/>
      </c>
      <c r="L340" s="147" t="str">
        <f ca="1">IFERROR(IFERROR(IF(VLOOKUP($A340,'Шаг2.Бланк заказа NEW'!$B$17:$N$201,9,0)="","",VLOOKUP($A340,'Шаг2.Бланк заказа NEW'!$B$17:$N$201,9,0)),
IF(VLOOKUP($A340-COUNT('Шаг2.Бланк заказа NEW'!$B$19:$B$201),'Бланк OLD 0.8 04'!$B$12:$K$200,9,0)="","",VLOOKUP($A340-COUNT('Шаг2.Бланк заказа NEW'!$B$19:$B$201),'Бланк OLD 0.8 04'!$B$12:$K$200,9,0))),
IF(VLOOKUP($A340-COUNT('Шаг2.Бланк заказа NEW'!$B$19:$B$201)-COUNT('Бланк OLD 0.8 04'!$B$18:$B$200),'Бланк OLD 2.0 04 '!$B$16:$K$200,9,0)="","",VLOOKUP($A340-COUNT('Шаг2.Бланк заказа NEW'!$B$19:$B$201)-COUNT('Бланк OLD 0.8 04'!$B$18:$B$200),'Бланк OLD 2.0 04 '!$B$16:$K$200,9,0)))</f>
        <v/>
      </c>
      <c r="M340" s="154" t="str">
        <f t="shared" ref="M340:M354" ca="1" si="30">IFERROR((F340/1000)*(I340/1000)*L340,"")</f>
        <v/>
      </c>
      <c r="N340" s="153" t="str">
        <f ca="1">IFERROR(IF(VLOOKUP($A340,'Шаг2.Бланк заказа NEW'!$B$17:$N$201,11,0)="","",VLOOKUP($A340,'Шаг2.Бланк заказа NEW'!$B$17:$N$201,11,0)),
"Нет")</f>
        <v/>
      </c>
      <c r="O340" s="147" t="str">
        <f ca="1">IFERROR(IF(VLOOKUP($A340,'Шаг2.Бланк заказа NEW'!$B$17:$N$201,11,0)="","",VLOOKUP($A340,'Шаг2.Бланк заказа NEW'!$B$17:$N$201,12,0)),
"Нет")</f>
        <v/>
      </c>
      <c r="P340" s="153" t="str">
        <f ca="1">IFERROR(IF(VLOOKUP($A340,'Шаг2.Бланк заказа NEW'!$B$17:$N$201,13,0)="","",VLOOKUP($A340,'Шаг2.Бланк заказа NEW'!$B$17:$N$201,13,0)),
"Нет")</f>
        <v/>
      </c>
      <c r="Q340" s="147" t="str">
        <f ca="1">IFERROR(IF(VLOOKUP($A340,'Шаг2.Бланк заказа NEW'!$B$17:$O$201,14,0)="","",VLOOKUP($A340,'Шаг2.Бланк заказа NEW'!$B$17:$O$201,14,0)),"")</f>
        <v/>
      </c>
      <c r="R340" s="147" t="str">
        <f ca="1">IFERROR(IFERROR(IF(VLOOKUP($A340,'Шаг2.Бланк заказа NEW'!$B$17:$N$201,4,0)="","",VLOOKUP($A340,'Шаг2.Бланк заказа NEW'!$B$17:$N$201,4,0)),
IF(VLOOKUP($A340-COUNT('Шаг2.Бланк заказа NEW'!$B$19:$B$201),'Бланк OLD 0.8 04'!$B$12:$K$200,4,0)&gt;0,0.8,
IF(VLOOKUP($A340-COUNT('Шаг2.Бланк заказа NEW'!$B$19:$B$201),'Бланк OLD 0.8 04'!$B$12:$K$200,5,0)&gt;0,0.4,""))),
IF(VLOOKUP($A340-COUNT('Шаг2.Бланк заказа NEW'!$B$19:$B$201)-COUNT('Бланк OLD 0.8 04'!$B$18:$B$200),'Бланк OLD 2.0 04 '!$B$16:$K$200,4,0)&gt;0,2,IF(VLOOKUP($A340-COUNT('Шаг2.Бланк заказа NEW'!$B$19:$B$201)-COUNT('Бланк OLD 0.8 04'!$B$18:$B$200),'Бланк OLD 2.0 04 '!$B$16:$K$200,5,0)&gt;0,0.4,"")))</f>
        <v/>
      </c>
      <c r="S340" s="147" t="str">
        <f ca="1">IFERROR(IFERROR(IF(VLOOKUP($A340,'Шаг2.Бланк заказа NEW'!$B$17:$N$201,5,0)="","",VLOOKUP($A340,'Шаг2.Бланк заказа NEW'!$B$17:$N$201,5,0)),
IF(VLOOKUP($A340-COUNT('Шаг2.Бланк заказа NEW'!$B$19:$B$201),'Бланк OLD 0.8 04'!$B$12:$K$200,4,0)&gt;1,0.8,
IF(VLOOKUP($A340-COUNT('Шаг2.Бланк заказа NEW'!$B$19:$B$201),'Бланк OLD 0.8 04'!$B$12:$K$200,5,0)&gt;1,0.4,
IF(AND(VLOOKUP($A340-COUNT('Шаг2.Бланк заказа NEW'!$B$19:$B$201),'Бланк OLD 0.8 04'!$B$12:$K$200,4,0)&gt;0,VLOOKUP($A340-COUNT('Шаг2.Бланк заказа NEW'!$B$19:$B$201),'Бланк OLD 0.8 04'!$B$12:$K$200,5,0)&gt;0),0.4,"")))),
IF(VLOOKUP($A340-COUNT('Шаг2.Бланк заказа NEW'!$B$19:$B$201)-COUNT('Бланк OLD 0.8 04'!$B$18:$B$200),'Бланк OLD 2.0 04 '!$B$16:$K$200,4,0)&gt;1,2,
IF(VLOOKUP($A340-COUNT('Шаг2.Бланк заказа NEW'!$B$19:$B$201)-COUNT('Бланк OLD 0.8 04'!$B$18:$B$200),'Бланк OLD 2.0 04 '!$B$16:$K$200,5,0)&gt;1,0.4,IF(AND(VLOOKUP($A340-COUNT('Шаг2.Бланк заказа NEW'!$B$19:$B$201)-COUNT('Бланк OLD 0.8 04'!$B$18:$B$200),'Бланк OLD 2.0 04 '!$B$16:$K$200,4,0)&gt;0,VLOOKUP($A340-COUNT('Шаг2.Бланк заказа NEW'!$B$19:$B$201)-COUNT('Бланк OLD 0.8 04'!$B$18:$B$200),'Бланк OLD 2.0 04 '!$B$16:$K$200,5,0)&gt;0),0.4,""))))</f>
        <v/>
      </c>
      <c r="T340" s="147" t="str">
        <f ca="1">IFERROR(IFERROR(IF(VLOOKUP($A340,'Шаг2.Бланк заказа NEW'!$B$17:$N$201,7,0)="","",VLOOKUP($A340,'Шаг2.Бланк заказа NEW'!$B$17:$N$201,7,0)),
IF(VLOOKUP($A340-COUNT('Шаг2.Бланк заказа NEW'!$B$19:$B$201),'Бланк OLD 0.8 04'!$B$12:$K$200,7,0)&gt;0,0.8,
IF(VLOOKUP($A340-COUNT('Шаг2.Бланк заказа NEW'!$B$19:$B$201),'Бланк OLD 0.8 04'!$B$12:$K$200,8,0)&gt;0,0.4,""))),
IF(VLOOKUP($A340-COUNT('Шаг2.Бланк заказа NEW'!$B$19:$B$201)-COUNT('Бланк OLD 0.8 04'!$B$18:$B$200),'Бланк OLD 2.0 04 '!$B$16:$K$200,7,0)&gt;0,2,IF(VLOOKUP($A340-COUNT('Шаг2.Бланк заказа NEW'!$B$19:$B$201)-COUNT('Бланк OLD 0.8 04'!$B$18:$B$200),'Бланк OLD 2.0 04 '!$B$16:$K$200,8,0)&gt;0,0.4,"")))</f>
        <v/>
      </c>
      <c r="U340" s="147" t="str">
        <f ca="1">IFERROR(IFERROR(IF(VLOOKUP($A340,'Шаг2.Бланк заказа NEW'!$B$17:$N$201,8,0)="","",VLOOKUP($A340,'Шаг2.Бланк заказа NEW'!$B$17:$N$201,8,0)),
IF(VLOOKUP($A340-COUNT('Шаг2.Бланк заказа NEW'!$B$19:$B$201),'Бланк OLD 0.8 04'!$B$12:$K$200,7,0)&gt;1,0.8,
IF(VLOOKUP($A340-COUNT('Шаг2.Бланк заказа NEW'!$B$19:$B$201),'Бланк OLD 0.8 04'!$B$12:$K$200,8,0)&gt;1,0.4,
IF(AND(VLOOKUP($A340-COUNT('Шаг2.Бланк заказа NEW'!$B$19:$B$201),'Бланк OLD 0.8 04'!$B$12:$K$200,7,0)&gt;0,VLOOKUP($A340-COUNT('Шаг2.Бланк заказа NEW'!$B$19:$B$201),'Бланк OLD 0.8 04'!$B$12:$K$200,8,0)&gt;0),0.4,"")))),
IF(VLOOKUP($A340-COUNT('Шаг2.Бланк заказа NEW'!$B$19:$B$201)-COUNT('Бланк OLD 0.8 04'!$B$18:$B$200),'Бланк OLD 2.0 04 '!$B$16:$K$200,7,0)&gt;1,2,
IF(VLOOKUP($A340-COUNT('Шаг2.Бланк заказа NEW'!$B$19:$B$201)-COUNT('Бланк OLD 0.8 04'!$B$18:$B$200),'Бланк OLD 2.0 04 '!$B$16:$K$200,8,0)&gt;1,0.4,
IF(AND(VLOOKUP($A340-COUNT('Шаг2.Бланк заказа NEW'!$B$19:$B$201)-COUNT('Бланк OLD 0.8 04'!$B$18:$B$200),'Бланк OLD 2.0 04 '!$B$16:$K$200,7,0)&gt;0,VLOOKUP($A340-COUNT('Шаг2.Бланк заказа NEW'!$B$19:$B$201)-COUNT('Бланк OLD 0.8 04'!$B$18:$B$200),'Бланк OLD 2.0 04 '!$B$16:$K$200,8,0)&gt;0),0.4,""))))</f>
        <v/>
      </c>
      <c r="V340" s="146" t="str">
        <f ca="1">IFERROR(VLOOKUP(C340,'Шаг1.Выбор плиты'!C:S,12,0),"")</f>
        <v/>
      </c>
      <c r="W340" s="146" t="str">
        <f ca="1">IFERROR(VLOOKUP(C340,'Шаг1.Выбор плиты'!C:S,8,0),"")</f>
        <v/>
      </c>
      <c r="X340" s="146" t="str">
        <f ca="1">IFERROR(VLOOKUP(C340,'Шаг1.Выбор плиты'!C:S,10,0),"")</f>
        <v/>
      </c>
      <c r="Y340" s="147" t="str">
        <f t="shared" ca="1" si="28"/>
        <v/>
      </c>
      <c r="AD340" s="147" t="str">
        <f t="shared" ref="AD340:AD354" ca="1" si="31">IF(C340="","",0)</f>
        <v/>
      </c>
      <c r="AE340" s="147" t="str">
        <f t="shared" ca="1" si="29"/>
        <v/>
      </c>
      <c r="AF340" s="25"/>
      <c r="AH340" s="147" t="str">
        <f ca="1">IF(C340="","",VLOOKUP(C340,'Шаг1.Выбор плиты'!C:Q,7,0))</f>
        <v/>
      </c>
      <c r="AI340" s="147" t="str">
        <f t="shared" ref="AI340:AI354" ca="1" si="32">IF(N340="","",IF(N340="да",1,0))</f>
        <v/>
      </c>
    </row>
    <row r="341" spans="1:35" x14ac:dyDescent="0.2">
      <c r="A341" s="151" t="str">
        <f ca="1">IF(C341="","",MAX($A$1:OFFSET(C341,-1,0))+1)</f>
        <v/>
      </c>
      <c r="B341" s="151" t="str">
        <f ca="1">IFERROR(IFERROR(IFERROR("Шаг2.Бланк заказа NEW №"&amp;VLOOKUP(A340+1,CHOOSE({1,2},'Шаг2.Бланк заказа NEW'!$B$19:$B$201,'Шаг2.Бланк заказа NEW'!$A$19:$A$201),1,0),
"Бланк OLD 0.8 04 №"&amp;VLOOKUP(A340+1-COUNT('Шаг2.Бланк заказа NEW'!$B$19:$B$201),CHOOSE({1,2},'Бланк OLD 0.8 04'!$B$18:$B$200,'Бланк OLD 0.8 04'!$A$18:$A$200),1,0)),
"Бланк OLD 2.0 04 №"&amp;VLOOKUP(A340+1-COUNT('Шаг2.Бланк заказа NEW'!$B$19:$B$201)-COUNT('Бланк OLD 0.8 04'!$B$18:$B$200),CHOOSE({1,2},'Бланк OLD 2.0 04 '!$B$18:$B$200,'Бланк OLD 2.0 04 '!$A$18:$A$200),1,0)),"")</f>
        <v/>
      </c>
      <c r="C341" s="152" t="str">
        <f ca="1">IFERROR(IFERROR(IFERROR(VLOOKUP(A340+1,CHOOSE({1,2},'Шаг2.Бланк заказа NEW'!$B$19:$B$201,'Шаг2.Бланк заказа NEW'!$A$19:$A$201),2,0),
VLOOKUP(A340+1-COUNT('Шаг2.Бланк заказа NEW'!$B$19:$B$201),CHOOSE({1,2},'Бланк OLD 0.8 04'!$B$18:$B$200,'Бланк OLD 0.8 04'!$A$18:$A$200),2,0)),
VLOOKUP(A340+1-COUNT('Шаг2.Бланк заказа NEW'!$B$19:$B$201)-COUNT('Бланк OLD 0.8 04'!$B$18:$B$200),CHOOSE({1,2},'Бланк OLD 2.0 04 '!$B$18:$B$200,'Бланк OLD 2.0 04 '!$A$18:$A$200),2,0)),"")</f>
        <v/>
      </c>
      <c r="D341" s="150" t="str">
        <f ca="1">IFERROR(VLOOKUP(C341,'Шаг1.Выбор плиты'!C:G,5,0),"")</f>
        <v/>
      </c>
      <c r="E341" s="147" t="str">
        <f ca="1">IFERROR(IFERROR(IF(VLOOKUP($A341,'Шаг2.Бланк заказа NEW'!$B$17:$N$201,2,0)="","",VLOOKUP($A341,'Шаг2.Бланк заказа NEW'!$B$17:$N$201,2,0)),
IF(VLOOKUP($A341-COUNT('Шаг2.Бланк заказа NEW'!$B$19:$B$201),'Бланк OLD 0.8 04'!$B$12:$K$200,2,0)="","",VLOOKUP($A341-COUNT('Шаг2.Бланк заказа NEW'!$B$19:$B$201),'Бланк OLD 0.8 04'!$B$12:$K$200,2,0))),
IF(VLOOKUP($A341-COUNT('Шаг2.Бланк заказа NEW'!$B$19:$B$201)-COUNT('Бланк OLD 0.8 04'!$B$18:$B$200),'Бланк OLD 2.0 04 '!$B$16:$K$200,2,0)="","",VLOOKUP($A341-COUNT('Шаг2.Бланк заказа NEW'!$B$19:$B$201)-COUNT('Бланк OLD 0.8 04'!$B$18:$B$200),'Бланк OLD 2.0 04 '!$B$16:$K$200,2,0)))</f>
        <v/>
      </c>
      <c r="F341" s="147" t="str">
        <f ca="1">IFERROR(IFERROR(IF(VLOOKUP($A341,'Шаг2.Бланк заказа NEW'!$B$17:$N$201,3,0)="","",VLOOKUP($A341,'Шаг2.Бланк заказа NEW'!$B$17:$N$201,3,0)),
IF(VLOOKUP($A341-COUNT('Шаг2.Бланк заказа NEW'!$B$19:$B$201),'Бланк OLD 0.8 04'!$B$12:$K$200,3,0)="","",VLOOKUP($A341-COUNT('Шаг2.Бланк заказа NEW'!$B$19:$B$201),'Бланк OLD 0.8 04'!$B$12:$K$200,3,0))),
IF(VLOOKUP($A341-COUNT('Шаг2.Бланк заказа NEW'!$B$19:$B$201)-COUNT('Бланк OLD 0.8 04'!$B$18:$B$200),'Бланк OLD 2.0 04 '!$B$16:$K$200,3,0)="","",VLOOKUP($A341-COUNT('Шаг2.Бланк заказа NEW'!$B$19:$B$201)-COUNT('Бланк OLD 0.8 04'!$B$18:$B$200),'Бланк OLD 2.0 04 '!$B$16:$K$200,3,0)))</f>
        <v/>
      </c>
      <c r="G341" s="176" t="str">
        <f ca="1">IF(IF(R341="","",IF(R341=1,SUMIFS('Шаг1.Выбор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плиты'!C:Q,12,0)),1))))))=0,
R341,
IF(R341="","",IF(R341=1,SUMIFS('Шаг1.Выбор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плиты'!N:N,R341,'Шаг1.Выбор плиты'!M:M,SMALL(INDIRECT("мм"&amp;VLOOKUP(C341,'Шаг1.Выбор плиты'!C:Q,12,0)),1)))))))</f>
        <v/>
      </c>
      <c r="H341" s="177" t="str">
        <f ca="1">IF(IF(S341="","",IF(S341=1,SUMIFS('Шаг1.Выбор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плиты'!C:Q,12,0)),1))))))=0,
S341,
IF(S341="","",IF(S341=1,SUMIFS('Шаг1.Выбор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плиты'!N:N,S341,'Шаг1.Выбор плиты'!M:M,SMALL(INDIRECT("мм"&amp;VLOOKUP(C341,'Шаг1.Выбор плиты'!C:Q,12,0)),1)))))))</f>
        <v/>
      </c>
      <c r="I341" s="147" t="str">
        <f ca="1">IFERROR(IFERROR(IF(VLOOKUP($A341,'Шаг2.Бланк заказа NEW'!$B$17:$N$201,6,0)="","",VLOOKUP($A341,'Шаг2.Бланк заказа NEW'!$B$17:$N$201,6,0)),
IF(VLOOKUP($A341-COUNT('Шаг2.Бланк заказа NEW'!$B$19:$B$201),'Бланк OLD 0.8 04'!$B$12:$K$200,6,0)="","",VLOOKUP($A341-COUNT('Шаг2.Бланк заказа NEW'!$B$19:$B$201),'Бланк OLD 0.8 04'!$B$12:$K$200,6,0))),
IF(VLOOKUP($A341-COUNT('Шаг2.Бланк заказа NEW'!$B$19:$B$201)-COUNT('Бланк OLD 0.8 04'!$B$18:$B$200),'Бланк OLD 2.0 04 '!$B$16:$K$200,6,0)="","",VLOOKUP($A341-COUNT('Шаг2.Бланк заказа NEW'!$B$19:$B$201)-COUNT('Бланк OLD 0.8 04'!$B$18:$B$200),'Бланк OLD 2.0 04 '!$B$16:$K$200,6,0)))</f>
        <v/>
      </c>
      <c r="J341" s="177" t="str">
        <f ca="1">IF(IF(T341="","",IF(T341=1,SUMIFS('Шаг1.Выбор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плиты'!C:Q,12,0)),1))))))=0,
T341,
IF(T341="","",IF(T341=1,SUMIFS('Шаг1.Выбор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плиты'!N:N,T341,'Шаг1.Выбор плиты'!M:M,SMALL(INDIRECT("мм"&amp;VLOOKUP(C341,'Шаг1.Выбор плиты'!C:Q,12,0)),1)))))))</f>
        <v/>
      </c>
      <c r="K341" s="177" t="str">
        <f ca="1">IF(IF(U341="","",IF(U341=1,SUMIFS('Шаг1.Выбор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плиты'!C:Q,12,0)),1))))))=0,
U341,
IF(U341="","",IF(U341=1,SUMIFS('Шаг1.Выбор плиты'!$G:$G,'Шаг1.Выбор плиты'!J:J,"*"&amp;RIGHT(VLOOKUP(C341,'Шаг1.Выбор плиты'!C:Q,8,0),4),'Шаг1.Выбор плиты'!L:L,IF(MID(C341,1,6)="ЛДСП P","TM"&amp;MID(VLOOKUP(C341,'Шаг1.Выбор плиты'!C:Q,10,0),3,2),MID(VLOOKUP(C341,'Шаг1.Выбор плиты'!C:Q,10,0),1,2)),
'Шаг1.Выбор плиты'!N:N,1),IF(SUMIFS('Шаг1.Выбор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плиты'!C:Q,12,0)),1))=0,
IF(SUMIFS('Шаг1.Выбор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плиты'!C:Q,12,0)),2))=0,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плиты'!C:Q,12,0)),3)),
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плиты'!C:Q,12,0)),2))),
(SUMIFS('Шаг1.Выбор плиты'!$G:$G,'Шаг1.Выбор плиты'!J:J,"*"&amp;RIGHT(VLOOKUP(C341,'Шаг1.Выбор плиты'!C:Q,8,0),4),'Шаг1.Выбор плиты'!L:L,VLOOKUP(C341,'Шаг1.Выбор плиты'!C:Q,10,0),'Шаг1.Выбор плиты'!N:N,U341,'Шаг1.Выбор плиты'!M:M,SMALL(INDIRECT("мм"&amp;VLOOKUP(C341,'Шаг1.Выбор плиты'!C:Q,12,0)),1)))))))</f>
        <v/>
      </c>
      <c r="L341" s="147" t="str">
        <f ca="1">IFERROR(IFERROR(IF(VLOOKUP($A341,'Шаг2.Бланк заказа NEW'!$B$17:$N$201,9,0)="","",VLOOKUP($A341,'Шаг2.Бланк заказа NEW'!$B$17:$N$201,9,0)),
IF(VLOOKUP($A341-COUNT('Шаг2.Бланк заказа NEW'!$B$19:$B$201),'Бланк OLD 0.8 04'!$B$12:$K$200,9,0)="","",VLOOKUP($A341-COUNT('Шаг2.Бланк заказа NEW'!$B$19:$B$201),'Бланк OLD 0.8 04'!$B$12:$K$200,9,0))),
IF(VLOOKUP($A341-COUNT('Шаг2.Бланк заказа NEW'!$B$19:$B$201)-COUNT('Бланк OLD 0.8 04'!$B$18:$B$200),'Бланк OLD 2.0 04 '!$B$16:$K$200,9,0)="","",VLOOKUP($A341-COUNT('Шаг2.Бланк заказа NEW'!$B$19:$B$201)-COUNT('Бланк OLD 0.8 04'!$B$18:$B$200),'Бланк OLD 2.0 04 '!$B$16:$K$200,9,0)))</f>
        <v/>
      </c>
      <c r="M341" s="154" t="str">
        <f t="shared" ca="1" si="30"/>
        <v/>
      </c>
      <c r="N341" s="153" t="str">
        <f ca="1">IFERROR(IF(VLOOKUP($A341,'Шаг2.Бланк заказа NEW'!$B$17:$N$201,11,0)="","",VLOOKUP($A341,'Шаг2.Бланк заказа NEW'!$B$17:$N$201,11,0)),
"Нет")</f>
        <v/>
      </c>
      <c r="O341" s="147" t="str">
        <f ca="1">IFERROR(IF(VLOOKUP($A341,'Шаг2.Бланк заказа NEW'!$B$17:$N$201,11,0)="","",VLOOKUP($A341,'Шаг2.Бланк заказа NEW'!$B$17:$N$201,12,0)),
"Нет")</f>
        <v/>
      </c>
      <c r="P341" s="153" t="str">
        <f ca="1">IFERROR(IF(VLOOKUP($A341,'Шаг2.Бланк заказа NEW'!$B$17:$N$201,13,0)="","",VLOOKUP($A341,'Шаг2.Бланк заказа NEW'!$B$17:$N$201,13,0)),
"Нет")</f>
        <v/>
      </c>
      <c r="Q341" s="147" t="str">
        <f ca="1">IFERROR(IF(VLOOKUP($A341,'Шаг2.Бланк заказа NEW'!$B$17:$O$201,14,0)="","",VLOOKUP($A341,'Шаг2.Бланк заказа NEW'!$B$17:$O$201,14,0)),"")</f>
        <v/>
      </c>
      <c r="R341" s="147" t="str">
        <f ca="1">IFERROR(IFERROR(IF(VLOOKUP($A341,'Шаг2.Бланк заказа NEW'!$B$17:$N$201,4,0)="","",VLOOKUP($A341,'Шаг2.Бланк заказа NEW'!$B$17:$N$201,4,0)),
IF(VLOOKUP($A341-COUNT('Шаг2.Бланк заказа NEW'!$B$19:$B$201),'Бланк OLD 0.8 04'!$B$12:$K$200,4,0)&gt;0,0.8,
IF(VLOOKUP($A341-COUNT('Шаг2.Бланк заказа NEW'!$B$19:$B$201),'Бланк OLD 0.8 04'!$B$12:$K$200,5,0)&gt;0,0.4,""))),
IF(VLOOKUP($A341-COUNT('Шаг2.Бланк заказа NEW'!$B$19:$B$201)-COUNT('Бланк OLD 0.8 04'!$B$18:$B$200),'Бланк OLD 2.0 04 '!$B$16:$K$200,4,0)&gt;0,2,IF(VLOOKUP($A341-COUNT('Шаг2.Бланк заказа NEW'!$B$19:$B$201)-COUNT('Бланк OLD 0.8 04'!$B$18:$B$200),'Бланк OLD 2.0 04 '!$B$16:$K$200,5,0)&gt;0,0.4,"")))</f>
        <v/>
      </c>
      <c r="S341" s="147" t="str">
        <f ca="1">IFERROR(IFERROR(IF(VLOOKUP($A341,'Шаг2.Бланк заказа NEW'!$B$17:$N$201,5,0)="","",VLOOKUP($A341,'Шаг2.Бланк заказа NEW'!$B$17:$N$201,5,0)),
IF(VLOOKUP($A341-COUNT('Шаг2.Бланк заказа NEW'!$B$19:$B$201),'Бланк OLD 0.8 04'!$B$12:$K$200,4,0)&gt;1,0.8,
IF(VLOOKUP($A341-COUNT('Шаг2.Бланк заказа NEW'!$B$19:$B$201),'Бланк OLD 0.8 04'!$B$12:$K$200,5,0)&gt;1,0.4,
IF(AND(VLOOKUP($A341-COUNT('Шаг2.Бланк заказа NEW'!$B$19:$B$201),'Бланк OLD 0.8 04'!$B$12:$K$200,4,0)&gt;0,VLOOKUP($A341-COUNT('Шаг2.Бланк заказа NEW'!$B$19:$B$201),'Бланк OLD 0.8 04'!$B$12:$K$200,5,0)&gt;0),0.4,"")))),
IF(VLOOKUP($A341-COUNT('Шаг2.Бланк заказа NEW'!$B$19:$B$201)-COUNT('Бланк OLD 0.8 04'!$B$18:$B$200),'Бланк OLD 2.0 04 '!$B$16:$K$200,4,0)&gt;1,2,
IF(VLOOKUP($A341-COUNT('Шаг2.Бланк заказа NEW'!$B$19:$B$201)-COUNT('Бланк OLD 0.8 04'!$B$18:$B$200),'Бланк OLD 2.0 04 '!$B$16:$K$200,5,0)&gt;1,0.4,IF(AND(VLOOKUP($A341-COUNT('Шаг2.Бланк заказа NEW'!$B$19:$B$201)-COUNT('Бланк OLD 0.8 04'!$B$18:$B$200),'Бланк OLD 2.0 04 '!$B$16:$K$200,4,0)&gt;0,VLOOKUP($A341-COUNT('Шаг2.Бланк заказа NEW'!$B$19:$B$201)-COUNT('Бланк OLD 0.8 04'!$B$18:$B$200),'Бланк OLD 2.0 04 '!$B$16:$K$200,5,0)&gt;0),0.4,""))))</f>
        <v/>
      </c>
      <c r="T341" s="147" t="str">
        <f ca="1">IFERROR(IFERROR(IF(VLOOKUP($A341,'Шаг2.Бланк заказа NEW'!$B$17:$N$201,7,0)="","",VLOOKUP($A341,'Шаг2.Бланк заказа NEW'!$B$17:$N$201,7,0)),
IF(VLOOKUP($A341-COUNT('Шаг2.Бланк заказа NEW'!$B$19:$B$201),'Бланк OLD 0.8 04'!$B$12:$K$200,7,0)&gt;0,0.8,
IF(VLOOKUP($A341-COUNT('Шаг2.Бланк заказа NEW'!$B$19:$B$201),'Бланк OLD 0.8 04'!$B$12:$K$200,8,0)&gt;0,0.4,""))),
IF(VLOOKUP($A341-COUNT('Шаг2.Бланк заказа NEW'!$B$19:$B$201)-COUNT('Бланк OLD 0.8 04'!$B$18:$B$200),'Бланк OLD 2.0 04 '!$B$16:$K$200,7,0)&gt;0,2,IF(VLOOKUP($A341-COUNT('Шаг2.Бланк заказа NEW'!$B$19:$B$201)-COUNT('Бланк OLD 0.8 04'!$B$18:$B$200),'Бланк OLD 2.0 04 '!$B$16:$K$200,8,0)&gt;0,0.4,"")))</f>
        <v/>
      </c>
      <c r="U341" s="147" t="str">
        <f ca="1">IFERROR(IFERROR(IF(VLOOKUP($A341,'Шаг2.Бланк заказа NEW'!$B$17:$N$201,8,0)="","",VLOOKUP($A341,'Шаг2.Бланк заказа NEW'!$B$17:$N$201,8,0)),
IF(VLOOKUP($A341-COUNT('Шаг2.Бланк заказа NEW'!$B$19:$B$201),'Бланк OLD 0.8 04'!$B$12:$K$200,7,0)&gt;1,0.8,
IF(VLOOKUP($A341-COUNT('Шаг2.Бланк заказа NEW'!$B$19:$B$201),'Бланк OLD 0.8 04'!$B$12:$K$200,8,0)&gt;1,0.4,
IF(AND(VLOOKUP($A341-COUNT('Шаг2.Бланк заказа NEW'!$B$19:$B$201),'Бланк OLD 0.8 04'!$B$12:$K$200,7,0)&gt;0,VLOOKUP($A341-COUNT('Шаг2.Бланк заказа NEW'!$B$19:$B$201),'Бланк OLD 0.8 04'!$B$12:$K$200,8,0)&gt;0),0.4,"")))),
IF(VLOOKUP($A341-COUNT('Шаг2.Бланк заказа NEW'!$B$19:$B$201)-COUNT('Бланк OLD 0.8 04'!$B$18:$B$200),'Бланк OLD 2.0 04 '!$B$16:$K$200,7,0)&gt;1,2,
IF(VLOOKUP($A341-COUNT('Шаг2.Бланк заказа NEW'!$B$19:$B$201)-COUNT('Бланк OLD 0.8 04'!$B$18:$B$200),'Бланк OLD 2.0 04 '!$B$16:$K$200,8,0)&gt;1,0.4,
IF(AND(VLOOKUP($A341-COUNT('Шаг2.Бланк заказа NEW'!$B$19:$B$201)-COUNT('Бланк OLD 0.8 04'!$B$18:$B$200),'Бланк OLD 2.0 04 '!$B$16:$K$200,7,0)&gt;0,VLOOKUP($A341-COUNT('Шаг2.Бланк заказа NEW'!$B$19:$B$201)-COUNT('Бланк OLD 0.8 04'!$B$18:$B$200),'Бланк OLD 2.0 04 '!$B$16:$K$200,8,0)&gt;0),0.4,""))))</f>
        <v/>
      </c>
      <c r="V341" s="146" t="str">
        <f ca="1">IFERROR(VLOOKUP(C341,'Шаг1.Выбор плиты'!C:S,12,0),"")</f>
        <v/>
      </c>
      <c r="W341" s="146" t="str">
        <f ca="1">IFERROR(VLOOKUP(C341,'Шаг1.Выбор плиты'!C:S,8,0),"")</f>
        <v/>
      </c>
      <c r="X341" s="146" t="str">
        <f ca="1">IFERROR(VLOOKUP(C341,'Шаг1.Выбор плиты'!C:S,10,0),"")</f>
        <v/>
      </c>
      <c r="Y341" s="147" t="str">
        <f t="shared" ca="1" si="28"/>
        <v/>
      </c>
      <c r="AD341" s="147" t="str">
        <f t="shared" ca="1" si="31"/>
        <v/>
      </c>
      <c r="AE341" s="147" t="str">
        <f t="shared" ca="1" si="29"/>
        <v/>
      </c>
      <c r="AF341" s="25"/>
      <c r="AH341" s="147" t="str">
        <f ca="1">IF(C341="","",VLOOKUP(C341,'Шаг1.Выбор плиты'!C:Q,7,0))</f>
        <v/>
      </c>
      <c r="AI341" s="147" t="str">
        <f t="shared" ca="1" si="32"/>
        <v/>
      </c>
    </row>
    <row r="342" spans="1:35" x14ac:dyDescent="0.2">
      <c r="A342" s="151" t="str">
        <f ca="1">IF(C342="","",MAX($A$1:OFFSET(C342,-1,0))+1)</f>
        <v/>
      </c>
      <c r="B342" s="151" t="str">
        <f ca="1">IFERROR(IFERROR(IFERROR("Шаг2.Бланк заказа NEW №"&amp;VLOOKUP(A341+1,CHOOSE({1,2},'Шаг2.Бланк заказа NEW'!$B$19:$B$201,'Шаг2.Бланк заказа NEW'!$A$19:$A$201),1,0),
"Бланк OLD 0.8 04 №"&amp;VLOOKUP(A341+1-COUNT('Шаг2.Бланк заказа NEW'!$B$19:$B$201),CHOOSE({1,2},'Бланк OLD 0.8 04'!$B$18:$B$200,'Бланк OLD 0.8 04'!$A$18:$A$200),1,0)),
"Бланк OLD 2.0 04 №"&amp;VLOOKUP(A341+1-COUNT('Шаг2.Бланк заказа NEW'!$B$19:$B$201)-COUNT('Бланк OLD 0.8 04'!$B$18:$B$200),CHOOSE({1,2},'Бланк OLD 2.0 04 '!$B$18:$B$200,'Бланк OLD 2.0 04 '!$A$18:$A$200),1,0)),"")</f>
        <v/>
      </c>
      <c r="C342" s="152" t="str">
        <f ca="1">IFERROR(IFERROR(IFERROR(VLOOKUP(A341+1,CHOOSE({1,2},'Шаг2.Бланк заказа NEW'!$B$19:$B$201,'Шаг2.Бланк заказа NEW'!$A$19:$A$201),2,0),
VLOOKUP(A341+1-COUNT('Шаг2.Бланк заказа NEW'!$B$19:$B$201),CHOOSE({1,2},'Бланк OLD 0.8 04'!$B$18:$B$200,'Бланк OLD 0.8 04'!$A$18:$A$200),2,0)),
VLOOKUP(A341+1-COUNT('Шаг2.Бланк заказа NEW'!$B$19:$B$201)-COUNT('Бланк OLD 0.8 04'!$B$18:$B$200),CHOOSE({1,2},'Бланк OLD 2.0 04 '!$B$18:$B$200,'Бланк OLD 2.0 04 '!$A$18:$A$200),2,0)),"")</f>
        <v/>
      </c>
      <c r="D342" s="150" t="str">
        <f ca="1">IFERROR(VLOOKUP(C342,'Шаг1.Выбор плиты'!C:G,5,0),"")</f>
        <v/>
      </c>
      <c r="E342" s="147" t="str">
        <f ca="1">IFERROR(IFERROR(IF(VLOOKUP($A342,'Шаг2.Бланк заказа NEW'!$B$17:$N$201,2,0)="","",VLOOKUP($A342,'Шаг2.Бланк заказа NEW'!$B$17:$N$201,2,0)),
IF(VLOOKUP($A342-COUNT('Шаг2.Бланк заказа NEW'!$B$19:$B$201),'Бланк OLD 0.8 04'!$B$12:$K$200,2,0)="","",VLOOKUP($A342-COUNT('Шаг2.Бланк заказа NEW'!$B$19:$B$201),'Бланк OLD 0.8 04'!$B$12:$K$200,2,0))),
IF(VLOOKUP($A342-COUNT('Шаг2.Бланк заказа NEW'!$B$19:$B$201)-COUNT('Бланк OLD 0.8 04'!$B$18:$B$200),'Бланк OLD 2.0 04 '!$B$16:$K$200,2,0)="","",VLOOKUP($A342-COUNT('Шаг2.Бланк заказа NEW'!$B$19:$B$201)-COUNT('Бланк OLD 0.8 04'!$B$18:$B$200),'Бланк OLD 2.0 04 '!$B$16:$K$200,2,0)))</f>
        <v/>
      </c>
      <c r="F342" s="147" t="str">
        <f ca="1">IFERROR(IFERROR(IF(VLOOKUP($A342,'Шаг2.Бланк заказа NEW'!$B$17:$N$201,3,0)="","",VLOOKUP($A342,'Шаг2.Бланк заказа NEW'!$B$17:$N$201,3,0)),
IF(VLOOKUP($A342-COUNT('Шаг2.Бланк заказа NEW'!$B$19:$B$201),'Бланк OLD 0.8 04'!$B$12:$K$200,3,0)="","",VLOOKUP($A342-COUNT('Шаг2.Бланк заказа NEW'!$B$19:$B$201),'Бланк OLD 0.8 04'!$B$12:$K$200,3,0))),
IF(VLOOKUP($A342-COUNT('Шаг2.Бланк заказа NEW'!$B$19:$B$201)-COUNT('Бланк OLD 0.8 04'!$B$18:$B$200),'Бланк OLD 2.0 04 '!$B$16:$K$200,3,0)="","",VLOOKUP($A342-COUNT('Шаг2.Бланк заказа NEW'!$B$19:$B$201)-COUNT('Бланк OLD 0.8 04'!$B$18:$B$200),'Бланк OLD 2.0 04 '!$B$16:$K$200,3,0)))</f>
        <v/>
      </c>
      <c r="G342" s="176" t="str">
        <f ca="1">IF(IF(R342="","",IF(R342=1,SUMIFS('Шаг1.Выбор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плиты'!C:Q,12,0)),1))))))=0,
R342,
IF(R342="","",IF(R342=1,SUMIFS('Шаг1.Выбор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плиты'!N:N,R342,'Шаг1.Выбор плиты'!M:M,SMALL(INDIRECT("мм"&amp;VLOOKUP(C342,'Шаг1.Выбор плиты'!C:Q,12,0)),1)))))))</f>
        <v/>
      </c>
      <c r="H342" s="177" t="str">
        <f ca="1">IF(IF(S342="","",IF(S342=1,SUMIFS('Шаг1.Выбор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плиты'!C:Q,12,0)),1))))))=0,
S342,
IF(S342="","",IF(S342=1,SUMIFS('Шаг1.Выбор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плиты'!N:N,S342,'Шаг1.Выбор плиты'!M:M,SMALL(INDIRECT("мм"&amp;VLOOKUP(C342,'Шаг1.Выбор плиты'!C:Q,12,0)),1)))))))</f>
        <v/>
      </c>
      <c r="I342" s="147" t="str">
        <f ca="1">IFERROR(IFERROR(IF(VLOOKUP($A342,'Шаг2.Бланк заказа NEW'!$B$17:$N$201,6,0)="","",VLOOKUP($A342,'Шаг2.Бланк заказа NEW'!$B$17:$N$201,6,0)),
IF(VLOOKUP($A342-COUNT('Шаг2.Бланк заказа NEW'!$B$19:$B$201),'Бланк OLD 0.8 04'!$B$12:$K$200,6,0)="","",VLOOKUP($A342-COUNT('Шаг2.Бланк заказа NEW'!$B$19:$B$201),'Бланк OLD 0.8 04'!$B$12:$K$200,6,0))),
IF(VLOOKUP($A342-COUNT('Шаг2.Бланк заказа NEW'!$B$19:$B$201)-COUNT('Бланк OLD 0.8 04'!$B$18:$B$200),'Бланк OLD 2.0 04 '!$B$16:$K$200,6,0)="","",VLOOKUP($A342-COUNT('Шаг2.Бланк заказа NEW'!$B$19:$B$201)-COUNT('Бланк OLD 0.8 04'!$B$18:$B$200),'Бланк OLD 2.0 04 '!$B$16:$K$200,6,0)))</f>
        <v/>
      </c>
      <c r="J342" s="177" t="str">
        <f ca="1">IF(IF(T342="","",IF(T342=1,SUMIFS('Шаг1.Выбор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плиты'!C:Q,12,0)),1))))))=0,
T342,
IF(T342="","",IF(T342=1,SUMIFS('Шаг1.Выбор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плиты'!N:N,T342,'Шаг1.Выбор плиты'!M:M,SMALL(INDIRECT("мм"&amp;VLOOKUP(C342,'Шаг1.Выбор плиты'!C:Q,12,0)),1)))))))</f>
        <v/>
      </c>
      <c r="K342" s="177" t="str">
        <f ca="1">IF(IF(U342="","",IF(U342=1,SUMIFS('Шаг1.Выбор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плиты'!C:Q,12,0)),1))))))=0,
U342,
IF(U342="","",IF(U342=1,SUMIFS('Шаг1.Выбор плиты'!$G:$G,'Шаг1.Выбор плиты'!J:J,"*"&amp;RIGHT(VLOOKUP(C342,'Шаг1.Выбор плиты'!C:Q,8,0),4),'Шаг1.Выбор плиты'!L:L,IF(MID(C342,1,6)="ЛДСП P","TM"&amp;MID(VLOOKUP(C342,'Шаг1.Выбор плиты'!C:Q,10,0),3,2),MID(VLOOKUP(C342,'Шаг1.Выбор плиты'!C:Q,10,0),1,2)),
'Шаг1.Выбор плиты'!N:N,1),IF(SUMIFS('Шаг1.Выбор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плиты'!C:Q,12,0)),1))=0,
IF(SUMIFS('Шаг1.Выбор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плиты'!C:Q,12,0)),2))=0,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плиты'!C:Q,12,0)),3)),
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плиты'!C:Q,12,0)),2))),
(SUMIFS('Шаг1.Выбор плиты'!$G:$G,'Шаг1.Выбор плиты'!J:J,"*"&amp;RIGHT(VLOOKUP(C342,'Шаг1.Выбор плиты'!C:Q,8,0),4),'Шаг1.Выбор плиты'!L:L,VLOOKUP(C342,'Шаг1.Выбор плиты'!C:Q,10,0),'Шаг1.Выбор плиты'!N:N,U342,'Шаг1.Выбор плиты'!M:M,SMALL(INDIRECT("мм"&amp;VLOOKUP(C342,'Шаг1.Выбор плиты'!C:Q,12,0)),1)))))))</f>
        <v/>
      </c>
      <c r="L342" s="147" t="str">
        <f ca="1">IFERROR(IFERROR(IF(VLOOKUP($A342,'Шаг2.Бланк заказа NEW'!$B$17:$N$201,9,0)="","",VLOOKUP($A342,'Шаг2.Бланк заказа NEW'!$B$17:$N$201,9,0)),
IF(VLOOKUP($A342-COUNT('Шаг2.Бланк заказа NEW'!$B$19:$B$201),'Бланк OLD 0.8 04'!$B$12:$K$200,9,0)="","",VLOOKUP($A342-COUNT('Шаг2.Бланк заказа NEW'!$B$19:$B$201),'Бланк OLD 0.8 04'!$B$12:$K$200,9,0))),
IF(VLOOKUP($A342-COUNT('Шаг2.Бланк заказа NEW'!$B$19:$B$201)-COUNT('Бланк OLD 0.8 04'!$B$18:$B$200),'Бланк OLD 2.0 04 '!$B$16:$K$200,9,0)="","",VLOOKUP($A342-COUNT('Шаг2.Бланк заказа NEW'!$B$19:$B$201)-COUNT('Бланк OLD 0.8 04'!$B$18:$B$200),'Бланк OLD 2.0 04 '!$B$16:$K$200,9,0)))</f>
        <v/>
      </c>
      <c r="M342" s="154" t="str">
        <f t="shared" ca="1" si="30"/>
        <v/>
      </c>
      <c r="N342" s="153" t="str">
        <f ca="1">IFERROR(IF(VLOOKUP($A342,'Шаг2.Бланк заказа NEW'!$B$17:$N$201,11,0)="","",VLOOKUP($A342,'Шаг2.Бланк заказа NEW'!$B$17:$N$201,11,0)),
"Нет")</f>
        <v/>
      </c>
      <c r="O342" s="147" t="str">
        <f ca="1">IFERROR(IF(VLOOKUP($A342,'Шаг2.Бланк заказа NEW'!$B$17:$N$201,11,0)="","",VLOOKUP($A342,'Шаг2.Бланк заказа NEW'!$B$17:$N$201,12,0)),
"Нет")</f>
        <v/>
      </c>
      <c r="P342" s="153" t="str">
        <f ca="1">IFERROR(IF(VLOOKUP($A342,'Шаг2.Бланк заказа NEW'!$B$17:$N$201,13,0)="","",VLOOKUP($A342,'Шаг2.Бланк заказа NEW'!$B$17:$N$201,13,0)),
"Нет")</f>
        <v/>
      </c>
      <c r="Q342" s="147" t="str">
        <f ca="1">IFERROR(IF(VLOOKUP($A342,'Шаг2.Бланк заказа NEW'!$B$17:$O$201,14,0)="","",VLOOKUP($A342,'Шаг2.Бланк заказа NEW'!$B$17:$O$201,14,0)),"")</f>
        <v/>
      </c>
      <c r="R342" s="147" t="str">
        <f ca="1">IFERROR(IFERROR(IF(VLOOKUP($A342,'Шаг2.Бланк заказа NEW'!$B$17:$N$201,4,0)="","",VLOOKUP($A342,'Шаг2.Бланк заказа NEW'!$B$17:$N$201,4,0)),
IF(VLOOKUP($A342-COUNT('Шаг2.Бланк заказа NEW'!$B$19:$B$201),'Бланк OLD 0.8 04'!$B$12:$K$200,4,0)&gt;0,0.8,
IF(VLOOKUP($A342-COUNT('Шаг2.Бланк заказа NEW'!$B$19:$B$201),'Бланк OLD 0.8 04'!$B$12:$K$200,5,0)&gt;0,0.4,""))),
IF(VLOOKUP($A342-COUNT('Шаг2.Бланк заказа NEW'!$B$19:$B$201)-COUNT('Бланк OLD 0.8 04'!$B$18:$B$200),'Бланк OLD 2.0 04 '!$B$16:$K$200,4,0)&gt;0,2,IF(VLOOKUP($A342-COUNT('Шаг2.Бланк заказа NEW'!$B$19:$B$201)-COUNT('Бланк OLD 0.8 04'!$B$18:$B$200),'Бланк OLD 2.0 04 '!$B$16:$K$200,5,0)&gt;0,0.4,"")))</f>
        <v/>
      </c>
      <c r="S342" s="147" t="str">
        <f ca="1">IFERROR(IFERROR(IF(VLOOKUP($A342,'Шаг2.Бланк заказа NEW'!$B$17:$N$201,5,0)="","",VLOOKUP($A342,'Шаг2.Бланк заказа NEW'!$B$17:$N$201,5,0)),
IF(VLOOKUP($A342-COUNT('Шаг2.Бланк заказа NEW'!$B$19:$B$201),'Бланк OLD 0.8 04'!$B$12:$K$200,4,0)&gt;1,0.8,
IF(VLOOKUP($A342-COUNT('Шаг2.Бланк заказа NEW'!$B$19:$B$201),'Бланк OLD 0.8 04'!$B$12:$K$200,5,0)&gt;1,0.4,
IF(AND(VLOOKUP($A342-COUNT('Шаг2.Бланк заказа NEW'!$B$19:$B$201),'Бланк OLD 0.8 04'!$B$12:$K$200,4,0)&gt;0,VLOOKUP($A342-COUNT('Шаг2.Бланк заказа NEW'!$B$19:$B$201),'Бланк OLD 0.8 04'!$B$12:$K$200,5,0)&gt;0),0.4,"")))),
IF(VLOOKUP($A342-COUNT('Шаг2.Бланк заказа NEW'!$B$19:$B$201)-COUNT('Бланк OLD 0.8 04'!$B$18:$B$200),'Бланк OLD 2.0 04 '!$B$16:$K$200,4,0)&gt;1,2,
IF(VLOOKUP($A342-COUNT('Шаг2.Бланк заказа NEW'!$B$19:$B$201)-COUNT('Бланк OLD 0.8 04'!$B$18:$B$200),'Бланк OLD 2.0 04 '!$B$16:$K$200,5,0)&gt;1,0.4,IF(AND(VLOOKUP($A342-COUNT('Шаг2.Бланк заказа NEW'!$B$19:$B$201)-COUNT('Бланк OLD 0.8 04'!$B$18:$B$200),'Бланк OLD 2.0 04 '!$B$16:$K$200,4,0)&gt;0,VLOOKUP($A342-COUNT('Шаг2.Бланк заказа NEW'!$B$19:$B$201)-COUNT('Бланк OLD 0.8 04'!$B$18:$B$200),'Бланк OLD 2.0 04 '!$B$16:$K$200,5,0)&gt;0),0.4,""))))</f>
        <v/>
      </c>
      <c r="T342" s="147" t="str">
        <f ca="1">IFERROR(IFERROR(IF(VLOOKUP($A342,'Шаг2.Бланк заказа NEW'!$B$17:$N$201,7,0)="","",VLOOKUP($A342,'Шаг2.Бланк заказа NEW'!$B$17:$N$201,7,0)),
IF(VLOOKUP($A342-COUNT('Шаг2.Бланк заказа NEW'!$B$19:$B$201),'Бланк OLD 0.8 04'!$B$12:$K$200,7,0)&gt;0,0.8,
IF(VLOOKUP($A342-COUNT('Шаг2.Бланк заказа NEW'!$B$19:$B$201),'Бланк OLD 0.8 04'!$B$12:$K$200,8,0)&gt;0,0.4,""))),
IF(VLOOKUP($A342-COUNT('Шаг2.Бланк заказа NEW'!$B$19:$B$201)-COUNT('Бланк OLD 0.8 04'!$B$18:$B$200),'Бланк OLD 2.0 04 '!$B$16:$K$200,7,0)&gt;0,2,IF(VLOOKUP($A342-COUNT('Шаг2.Бланк заказа NEW'!$B$19:$B$201)-COUNT('Бланк OLD 0.8 04'!$B$18:$B$200),'Бланк OLD 2.0 04 '!$B$16:$K$200,8,0)&gt;0,0.4,"")))</f>
        <v/>
      </c>
      <c r="U342" s="147" t="str">
        <f ca="1">IFERROR(IFERROR(IF(VLOOKUP($A342,'Шаг2.Бланк заказа NEW'!$B$17:$N$201,8,0)="","",VLOOKUP($A342,'Шаг2.Бланк заказа NEW'!$B$17:$N$201,8,0)),
IF(VLOOKUP($A342-COUNT('Шаг2.Бланк заказа NEW'!$B$19:$B$201),'Бланк OLD 0.8 04'!$B$12:$K$200,7,0)&gt;1,0.8,
IF(VLOOKUP($A342-COUNT('Шаг2.Бланк заказа NEW'!$B$19:$B$201),'Бланк OLD 0.8 04'!$B$12:$K$200,8,0)&gt;1,0.4,
IF(AND(VLOOKUP($A342-COUNT('Шаг2.Бланк заказа NEW'!$B$19:$B$201),'Бланк OLD 0.8 04'!$B$12:$K$200,7,0)&gt;0,VLOOKUP($A342-COUNT('Шаг2.Бланк заказа NEW'!$B$19:$B$201),'Бланк OLD 0.8 04'!$B$12:$K$200,8,0)&gt;0),0.4,"")))),
IF(VLOOKUP($A342-COUNT('Шаг2.Бланк заказа NEW'!$B$19:$B$201)-COUNT('Бланк OLD 0.8 04'!$B$18:$B$200),'Бланк OLD 2.0 04 '!$B$16:$K$200,7,0)&gt;1,2,
IF(VLOOKUP($A342-COUNT('Шаг2.Бланк заказа NEW'!$B$19:$B$201)-COUNT('Бланк OLD 0.8 04'!$B$18:$B$200),'Бланк OLD 2.0 04 '!$B$16:$K$200,8,0)&gt;1,0.4,
IF(AND(VLOOKUP($A342-COUNT('Шаг2.Бланк заказа NEW'!$B$19:$B$201)-COUNT('Бланк OLD 0.8 04'!$B$18:$B$200),'Бланк OLD 2.0 04 '!$B$16:$K$200,7,0)&gt;0,VLOOKUP($A342-COUNT('Шаг2.Бланк заказа NEW'!$B$19:$B$201)-COUNT('Бланк OLD 0.8 04'!$B$18:$B$200),'Бланк OLD 2.0 04 '!$B$16:$K$200,8,0)&gt;0),0.4,""))))</f>
        <v/>
      </c>
      <c r="V342" s="146" t="str">
        <f ca="1">IFERROR(VLOOKUP(C342,'Шаг1.Выбор плиты'!C:S,12,0),"")</f>
        <v/>
      </c>
      <c r="W342" s="146" t="str">
        <f ca="1">IFERROR(VLOOKUP(C342,'Шаг1.Выбор плиты'!C:S,8,0),"")</f>
        <v/>
      </c>
      <c r="X342" s="146" t="str">
        <f ca="1">IFERROR(VLOOKUP(C342,'Шаг1.Выбор плиты'!C:S,10,0),"")</f>
        <v/>
      </c>
      <c r="Y342" s="147" t="str">
        <f t="shared" ca="1" si="28"/>
        <v/>
      </c>
      <c r="AD342" s="147" t="str">
        <f t="shared" ca="1" si="31"/>
        <v/>
      </c>
      <c r="AE342" s="147" t="str">
        <f t="shared" ca="1" si="29"/>
        <v/>
      </c>
      <c r="AF342" s="25"/>
      <c r="AH342" s="147" t="str">
        <f ca="1">IF(C342="","",VLOOKUP(C342,'Шаг1.Выбор плиты'!C:Q,7,0))</f>
        <v/>
      </c>
      <c r="AI342" s="147" t="str">
        <f t="shared" ca="1" si="32"/>
        <v/>
      </c>
    </row>
    <row r="343" spans="1:35" x14ac:dyDescent="0.2">
      <c r="A343" s="151" t="str">
        <f ca="1">IF(C343="","",MAX($A$1:OFFSET(C343,-1,0))+1)</f>
        <v/>
      </c>
      <c r="B343" s="151" t="str">
        <f ca="1">IFERROR(IFERROR(IFERROR("Шаг2.Бланк заказа NEW №"&amp;VLOOKUP(A342+1,CHOOSE({1,2},'Шаг2.Бланк заказа NEW'!$B$19:$B$201,'Шаг2.Бланк заказа NEW'!$A$19:$A$201),1,0),
"Бланк OLD 0.8 04 №"&amp;VLOOKUP(A342+1-COUNT('Шаг2.Бланк заказа NEW'!$B$19:$B$201),CHOOSE({1,2},'Бланк OLD 0.8 04'!$B$18:$B$200,'Бланк OLD 0.8 04'!$A$18:$A$200),1,0)),
"Бланк OLD 2.0 04 №"&amp;VLOOKUP(A342+1-COUNT('Шаг2.Бланк заказа NEW'!$B$19:$B$201)-COUNT('Бланк OLD 0.8 04'!$B$18:$B$200),CHOOSE({1,2},'Бланк OLD 2.0 04 '!$B$18:$B$200,'Бланк OLD 2.0 04 '!$A$18:$A$200),1,0)),"")</f>
        <v/>
      </c>
      <c r="C343" s="152" t="str">
        <f ca="1">IFERROR(IFERROR(IFERROR(VLOOKUP(A342+1,CHOOSE({1,2},'Шаг2.Бланк заказа NEW'!$B$19:$B$201,'Шаг2.Бланк заказа NEW'!$A$19:$A$201),2,0),
VLOOKUP(A342+1-COUNT('Шаг2.Бланк заказа NEW'!$B$19:$B$201),CHOOSE({1,2},'Бланк OLD 0.8 04'!$B$18:$B$200,'Бланк OLD 0.8 04'!$A$18:$A$200),2,0)),
VLOOKUP(A342+1-COUNT('Шаг2.Бланк заказа NEW'!$B$19:$B$201)-COUNT('Бланк OLD 0.8 04'!$B$18:$B$200),CHOOSE({1,2},'Бланк OLD 2.0 04 '!$B$18:$B$200,'Бланк OLD 2.0 04 '!$A$18:$A$200),2,0)),"")</f>
        <v/>
      </c>
      <c r="D343" s="150" t="str">
        <f ca="1">IFERROR(VLOOKUP(C343,'Шаг1.Выбор плиты'!C:G,5,0),"")</f>
        <v/>
      </c>
      <c r="E343" s="147" t="str">
        <f ca="1">IFERROR(IFERROR(IF(VLOOKUP($A343,'Шаг2.Бланк заказа NEW'!$B$17:$N$201,2,0)="","",VLOOKUP($A343,'Шаг2.Бланк заказа NEW'!$B$17:$N$201,2,0)),
IF(VLOOKUP($A343-COUNT('Шаг2.Бланк заказа NEW'!$B$19:$B$201),'Бланк OLD 0.8 04'!$B$12:$K$200,2,0)="","",VLOOKUP($A343-COUNT('Шаг2.Бланк заказа NEW'!$B$19:$B$201),'Бланк OLD 0.8 04'!$B$12:$K$200,2,0))),
IF(VLOOKUP($A343-COUNT('Шаг2.Бланк заказа NEW'!$B$19:$B$201)-COUNT('Бланк OLD 0.8 04'!$B$18:$B$200),'Бланк OLD 2.0 04 '!$B$16:$K$200,2,0)="","",VLOOKUP($A343-COUNT('Шаг2.Бланк заказа NEW'!$B$19:$B$201)-COUNT('Бланк OLD 0.8 04'!$B$18:$B$200),'Бланк OLD 2.0 04 '!$B$16:$K$200,2,0)))</f>
        <v/>
      </c>
      <c r="F343" s="147" t="str">
        <f ca="1">IFERROR(IFERROR(IF(VLOOKUP($A343,'Шаг2.Бланк заказа NEW'!$B$17:$N$201,3,0)="","",VLOOKUP($A343,'Шаг2.Бланк заказа NEW'!$B$17:$N$201,3,0)),
IF(VLOOKUP($A343-COUNT('Шаг2.Бланк заказа NEW'!$B$19:$B$201),'Бланк OLD 0.8 04'!$B$12:$K$200,3,0)="","",VLOOKUP($A343-COUNT('Шаг2.Бланк заказа NEW'!$B$19:$B$201),'Бланк OLD 0.8 04'!$B$12:$K$200,3,0))),
IF(VLOOKUP($A343-COUNT('Шаг2.Бланк заказа NEW'!$B$19:$B$201)-COUNT('Бланк OLD 0.8 04'!$B$18:$B$200),'Бланк OLD 2.0 04 '!$B$16:$K$200,3,0)="","",VLOOKUP($A343-COUNT('Шаг2.Бланк заказа NEW'!$B$19:$B$201)-COUNT('Бланк OLD 0.8 04'!$B$18:$B$200),'Бланк OLD 2.0 04 '!$B$16:$K$200,3,0)))</f>
        <v/>
      </c>
      <c r="G343" s="176" t="str">
        <f ca="1">IF(IF(R343="","",IF(R343=1,SUMIFS('Шаг1.Выбор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плиты'!C:Q,12,0)),1))))))=0,
R343,
IF(R343="","",IF(R343=1,SUMIFS('Шаг1.Выбор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плиты'!N:N,R343,'Шаг1.Выбор плиты'!M:M,SMALL(INDIRECT("мм"&amp;VLOOKUP(C343,'Шаг1.Выбор плиты'!C:Q,12,0)),1)))))))</f>
        <v/>
      </c>
      <c r="H343" s="177" t="str">
        <f ca="1">IF(IF(S343="","",IF(S343=1,SUMIFS('Шаг1.Выбор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плиты'!C:Q,12,0)),1))))))=0,
S343,
IF(S343="","",IF(S343=1,SUMIFS('Шаг1.Выбор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плиты'!N:N,S343,'Шаг1.Выбор плиты'!M:M,SMALL(INDIRECT("мм"&amp;VLOOKUP(C343,'Шаг1.Выбор плиты'!C:Q,12,0)),1)))))))</f>
        <v/>
      </c>
      <c r="I343" s="147" t="str">
        <f ca="1">IFERROR(IFERROR(IF(VLOOKUP($A343,'Шаг2.Бланк заказа NEW'!$B$17:$N$201,6,0)="","",VLOOKUP($A343,'Шаг2.Бланк заказа NEW'!$B$17:$N$201,6,0)),
IF(VLOOKUP($A343-COUNT('Шаг2.Бланк заказа NEW'!$B$19:$B$201),'Бланк OLD 0.8 04'!$B$12:$K$200,6,0)="","",VLOOKUP($A343-COUNT('Шаг2.Бланк заказа NEW'!$B$19:$B$201),'Бланк OLD 0.8 04'!$B$12:$K$200,6,0))),
IF(VLOOKUP($A343-COUNT('Шаг2.Бланк заказа NEW'!$B$19:$B$201)-COUNT('Бланк OLD 0.8 04'!$B$18:$B$200),'Бланк OLD 2.0 04 '!$B$16:$K$200,6,0)="","",VLOOKUP($A343-COUNT('Шаг2.Бланк заказа NEW'!$B$19:$B$201)-COUNT('Бланк OLD 0.8 04'!$B$18:$B$200),'Бланк OLD 2.0 04 '!$B$16:$K$200,6,0)))</f>
        <v/>
      </c>
      <c r="J343" s="177" t="str">
        <f ca="1">IF(IF(T343="","",IF(T343=1,SUMIFS('Шаг1.Выбор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плиты'!C:Q,12,0)),1))))))=0,
T343,
IF(T343="","",IF(T343=1,SUMIFS('Шаг1.Выбор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плиты'!N:N,T343,'Шаг1.Выбор плиты'!M:M,SMALL(INDIRECT("мм"&amp;VLOOKUP(C343,'Шаг1.Выбор плиты'!C:Q,12,0)),1)))))))</f>
        <v/>
      </c>
      <c r="K343" s="177" t="str">
        <f ca="1">IF(IF(U343="","",IF(U343=1,SUMIFS('Шаг1.Выбор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плиты'!C:Q,12,0)),1))))))=0,
U343,
IF(U343="","",IF(U343=1,SUMIFS('Шаг1.Выбор плиты'!$G:$G,'Шаг1.Выбор плиты'!J:J,"*"&amp;RIGHT(VLOOKUP(C343,'Шаг1.Выбор плиты'!C:Q,8,0),4),'Шаг1.Выбор плиты'!L:L,IF(MID(C343,1,6)="ЛДСП P","TM"&amp;MID(VLOOKUP(C343,'Шаг1.Выбор плиты'!C:Q,10,0),3,2),MID(VLOOKUP(C343,'Шаг1.Выбор плиты'!C:Q,10,0),1,2)),
'Шаг1.Выбор плиты'!N:N,1),IF(SUMIFS('Шаг1.Выбор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плиты'!C:Q,12,0)),1))=0,
IF(SUMIFS('Шаг1.Выбор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плиты'!C:Q,12,0)),2))=0,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плиты'!C:Q,12,0)),3)),
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плиты'!C:Q,12,0)),2))),
(SUMIFS('Шаг1.Выбор плиты'!$G:$G,'Шаг1.Выбор плиты'!J:J,"*"&amp;RIGHT(VLOOKUP(C343,'Шаг1.Выбор плиты'!C:Q,8,0),4),'Шаг1.Выбор плиты'!L:L,VLOOKUP(C343,'Шаг1.Выбор плиты'!C:Q,10,0),'Шаг1.Выбор плиты'!N:N,U343,'Шаг1.Выбор плиты'!M:M,SMALL(INDIRECT("мм"&amp;VLOOKUP(C343,'Шаг1.Выбор плиты'!C:Q,12,0)),1)))))))</f>
        <v/>
      </c>
      <c r="L343" s="147" t="str">
        <f ca="1">IFERROR(IFERROR(IF(VLOOKUP($A343,'Шаг2.Бланк заказа NEW'!$B$17:$N$201,9,0)="","",VLOOKUP($A343,'Шаг2.Бланк заказа NEW'!$B$17:$N$201,9,0)),
IF(VLOOKUP($A343-COUNT('Шаг2.Бланк заказа NEW'!$B$19:$B$201),'Бланк OLD 0.8 04'!$B$12:$K$200,9,0)="","",VLOOKUP($A343-COUNT('Шаг2.Бланк заказа NEW'!$B$19:$B$201),'Бланк OLD 0.8 04'!$B$12:$K$200,9,0))),
IF(VLOOKUP($A343-COUNT('Шаг2.Бланк заказа NEW'!$B$19:$B$201)-COUNT('Бланк OLD 0.8 04'!$B$18:$B$200),'Бланк OLD 2.0 04 '!$B$16:$K$200,9,0)="","",VLOOKUP($A343-COUNT('Шаг2.Бланк заказа NEW'!$B$19:$B$201)-COUNT('Бланк OLD 0.8 04'!$B$18:$B$200),'Бланк OLD 2.0 04 '!$B$16:$K$200,9,0)))</f>
        <v/>
      </c>
      <c r="M343" s="154" t="str">
        <f t="shared" ca="1" si="30"/>
        <v/>
      </c>
      <c r="N343" s="153" t="str">
        <f ca="1">IFERROR(IF(VLOOKUP($A343,'Шаг2.Бланк заказа NEW'!$B$17:$N$201,11,0)="","",VLOOKUP($A343,'Шаг2.Бланк заказа NEW'!$B$17:$N$201,11,0)),
"Нет")</f>
        <v/>
      </c>
      <c r="O343" s="147" t="str">
        <f ca="1">IFERROR(IF(VLOOKUP($A343,'Шаг2.Бланк заказа NEW'!$B$17:$N$201,11,0)="","",VLOOKUP($A343,'Шаг2.Бланк заказа NEW'!$B$17:$N$201,12,0)),
"Нет")</f>
        <v/>
      </c>
      <c r="P343" s="153" t="str">
        <f ca="1">IFERROR(IF(VLOOKUP($A343,'Шаг2.Бланк заказа NEW'!$B$17:$N$201,13,0)="","",VLOOKUP($A343,'Шаг2.Бланк заказа NEW'!$B$17:$N$201,13,0)),
"Нет")</f>
        <v/>
      </c>
      <c r="Q343" s="147" t="str">
        <f ca="1">IFERROR(IF(VLOOKUP($A343,'Шаг2.Бланк заказа NEW'!$B$17:$O$201,14,0)="","",VLOOKUP($A343,'Шаг2.Бланк заказа NEW'!$B$17:$O$201,14,0)),"")</f>
        <v/>
      </c>
      <c r="R343" s="147" t="str">
        <f ca="1">IFERROR(IFERROR(IF(VLOOKUP($A343,'Шаг2.Бланк заказа NEW'!$B$17:$N$201,4,0)="","",VLOOKUP($A343,'Шаг2.Бланк заказа NEW'!$B$17:$N$201,4,0)),
IF(VLOOKUP($A343-COUNT('Шаг2.Бланк заказа NEW'!$B$19:$B$201),'Бланк OLD 0.8 04'!$B$12:$K$200,4,0)&gt;0,0.8,
IF(VLOOKUP($A343-COUNT('Шаг2.Бланк заказа NEW'!$B$19:$B$201),'Бланк OLD 0.8 04'!$B$12:$K$200,5,0)&gt;0,0.4,""))),
IF(VLOOKUP($A343-COUNT('Шаг2.Бланк заказа NEW'!$B$19:$B$201)-COUNT('Бланк OLD 0.8 04'!$B$18:$B$200),'Бланк OLD 2.0 04 '!$B$16:$K$200,4,0)&gt;0,2,IF(VLOOKUP($A343-COUNT('Шаг2.Бланк заказа NEW'!$B$19:$B$201)-COUNT('Бланк OLD 0.8 04'!$B$18:$B$200),'Бланк OLD 2.0 04 '!$B$16:$K$200,5,0)&gt;0,0.4,"")))</f>
        <v/>
      </c>
      <c r="S343" s="147" t="str">
        <f ca="1">IFERROR(IFERROR(IF(VLOOKUP($A343,'Шаг2.Бланк заказа NEW'!$B$17:$N$201,5,0)="","",VLOOKUP($A343,'Шаг2.Бланк заказа NEW'!$B$17:$N$201,5,0)),
IF(VLOOKUP($A343-COUNT('Шаг2.Бланк заказа NEW'!$B$19:$B$201),'Бланк OLD 0.8 04'!$B$12:$K$200,4,0)&gt;1,0.8,
IF(VLOOKUP($A343-COUNT('Шаг2.Бланк заказа NEW'!$B$19:$B$201),'Бланк OLD 0.8 04'!$B$12:$K$200,5,0)&gt;1,0.4,
IF(AND(VLOOKUP($A343-COUNT('Шаг2.Бланк заказа NEW'!$B$19:$B$201),'Бланк OLD 0.8 04'!$B$12:$K$200,4,0)&gt;0,VLOOKUP($A343-COUNT('Шаг2.Бланк заказа NEW'!$B$19:$B$201),'Бланк OLD 0.8 04'!$B$12:$K$200,5,0)&gt;0),0.4,"")))),
IF(VLOOKUP($A343-COUNT('Шаг2.Бланк заказа NEW'!$B$19:$B$201)-COUNT('Бланк OLD 0.8 04'!$B$18:$B$200),'Бланк OLD 2.0 04 '!$B$16:$K$200,4,0)&gt;1,2,
IF(VLOOKUP($A343-COUNT('Шаг2.Бланк заказа NEW'!$B$19:$B$201)-COUNT('Бланк OLD 0.8 04'!$B$18:$B$200),'Бланк OLD 2.0 04 '!$B$16:$K$200,5,0)&gt;1,0.4,IF(AND(VLOOKUP($A343-COUNT('Шаг2.Бланк заказа NEW'!$B$19:$B$201)-COUNT('Бланк OLD 0.8 04'!$B$18:$B$200),'Бланк OLD 2.0 04 '!$B$16:$K$200,4,0)&gt;0,VLOOKUP($A343-COUNT('Шаг2.Бланк заказа NEW'!$B$19:$B$201)-COUNT('Бланк OLD 0.8 04'!$B$18:$B$200),'Бланк OLD 2.0 04 '!$B$16:$K$200,5,0)&gt;0),0.4,""))))</f>
        <v/>
      </c>
      <c r="T343" s="147" t="str">
        <f ca="1">IFERROR(IFERROR(IF(VLOOKUP($A343,'Шаг2.Бланк заказа NEW'!$B$17:$N$201,7,0)="","",VLOOKUP($A343,'Шаг2.Бланк заказа NEW'!$B$17:$N$201,7,0)),
IF(VLOOKUP($A343-COUNT('Шаг2.Бланк заказа NEW'!$B$19:$B$201),'Бланк OLD 0.8 04'!$B$12:$K$200,7,0)&gt;0,0.8,
IF(VLOOKUP($A343-COUNT('Шаг2.Бланк заказа NEW'!$B$19:$B$201),'Бланк OLD 0.8 04'!$B$12:$K$200,8,0)&gt;0,0.4,""))),
IF(VLOOKUP($A343-COUNT('Шаг2.Бланк заказа NEW'!$B$19:$B$201)-COUNT('Бланк OLD 0.8 04'!$B$18:$B$200),'Бланк OLD 2.0 04 '!$B$16:$K$200,7,0)&gt;0,2,IF(VLOOKUP($A343-COUNT('Шаг2.Бланк заказа NEW'!$B$19:$B$201)-COUNT('Бланк OLD 0.8 04'!$B$18:$B$200),'Бланк OLD 2.0 04 '!$B$16:$K$200,8,0)&gt;0,0.4,"")))</f>
        <v/>
      </c>
      <c r="U343" s="147" t="str">
        <f ca="1">IFERROR(IFERROR(IF(VLOOKUP($A343,'Шаг2.Бланк заказа NEW'!$B$17:$N$201,8,0)="","",VLOOKUP($A343,'Шаг2.Бланк заказа NEW'!$B$17:$N$201,8,0)),
IF(VLOOKUP($A343-COUNT('Шаг2.Бланк заказа NEW'!$B$19:$B$201),'Бланк OLD 0.8 04'!$B$12:$K$200,7,0)&gt;1,0.8,
IF(VLOOKUP($A343-COUNT('Шаг2.Бланк заказа NEW'!$B$19:$B$201),'Бланк OLD 0.8 04'!$B$12:$K$200,8,0)&gt;1,0.4,
IF(AND(VLOOKUP($A343-COUNT('Шаг2.Бланк заказа NEW'!$B$19:$B$201),'Бланк OLD 0.8 04'!$B$12:$K$200,7,0)&gt;0,VLOOKUP($A343-COUNT('Шаг2.Бланк заказа NEW'!$B$19:$B$201),'Бланк OLD 0.8 04'!$B$12:$K$200,8,0)&gt;0),0.4,"")))),
IF(VLOOKUP($A343-COUNT('Шаг2.Бланк заказа NEW'!$B$19:$B$201)-COUNT('Бланк OLD 0.8 04'!$B$18:$B$200),'Бланк OLD 2.0 04 '!$B$16:$K$200,7,0)&gt;1,2,
IF(VLOOKUP($A343-COUNT('Шаг2.Бланк заказа NEW'!$B$19:$B$201)-COUNT('Бланк OLD 0.8 04'!$B$18:$B$200),'Бланк OLD 2.0 04 '!$B$16:$K$200,8,0)&gt;1,0.4,
IF(AND(VLOOKUP($A343-COUNT('Шаг2.Бланк заказа NEW'!$B$19:$B$201)-COUNT('Бланк OLD 0.8 04'!$B$18:$B$200),'Бланк OLD 2.0 04 '!$B$16:$K$200,7,0)&gt;0,VLOOKUP($A343-COUNT('Шаг2.Бланк заказа NEW'!$B$19:$B$201)-COUNT('Бланк OLD 0.8 04'!$B$18:$B$200),'Бланк OLD 2.0 04 '!$B$16:$K$200,8,0)&gt;0),0.4,""))))</f>
        <v/>
      </c>
      <c r="V343" s="146" t="str">
        <f ca="1">IFERROR(VLOOKUP(C343,'Шаг1.Выбор плиты'!C:S,12,0),"")</f>
        <v/>
      </c>
      <c r="W343" s="146" t="str">
        <f ca="1">IFERROR(VLOOKUP(C343,'Шаг1.Выбор плиты'!C:S,8,0),"")</f>
        <v/>
      </c>
      <c r="X343" s="146" t="str">
        <f ca="1">IFERROR(VLOOKUP(C343,'Шаг1.Выбор плиты'!C:S,10,0),"")</f>
        <v/>
      </c>
      <c r="Y343" s="147" t="str">
        <f t="shared" ca="1" si="28"/>
        <v/>
      </c>
      <c r="AD343" s="147" t="str">
        <f t="shared" ca="1" si="31"/>
        <v/>
      </c>
      <c r="AE343" s="147" t="str">
        <f t="shared" ca="1" si="29"/>
        <v/>
      </c>
      <c r="AF343" s="25"/>
      <c r="AH343" s="147" t="str">
        <f ca="1">IF(C343="","",VLOOKUP(C343,'Шаг1.Выбор плиты'!C:Q,7,0))</f>
        <v/>
      </c>
      <c r="AI343" s="147" t="str">
        <f t="shared" ca="1" si="32"/>
        <v/>
      </c>
    </row>
    <row r="344" spans="1:35" x14ac:dyDescent="0.2">
      <c r="A344" s="151" t="str">
        <f ca="1">IF(C344="","",MAX($A$1:OFFSET(C344,-1,0))+1)</f>
        <v/>
      </c>
      <c r="B344" s="151" t="str">
        <f ca="1">IFERROR(IFERROR(IFERROR("Шаг2.Бланк заказа NEW №"&amp;VLOOKUP(A343+1,CHOOSE({1,2},'Шаг2.Бланк заказа NEW'!$B$19:$B$201,'Шаг2.Бланк заказа NEW'!$A$19:$A$201),1,0),
"Бланк OLD 0.8 04 №"&amp;VLOOKUP(A343+1-COUNT('Шаг2.Бланк заказа NEW'!$B$19:$B$201),CHOOSE({1,2},'Бланк OLD 0.8 04'!$B$18:$B$200,'Бланк OLD 0.8 04'!$A$18:$A$200),1,0)),
"Бланк OLD 2.0 04 №"&amp;VLOOKUP(A343+1-COUNT('Шаг2.Бланк заказа NEW'!$B$19:$B$201)-COUNT('Бланк OLD 0.8 04'!$B$18:$B$200),CHOOSE({1,2},'Бланк OLD 2.0 04 '!$B$18:$B$200,'Бланк OLD 2.0 04 '!$A$18:$A$200),1,0)),"")</f>
        <v/>
      </c>
      <c r="C344" s="152" t="str">
        <f ca="1">IFERROR(IFERROR(IFERROR(VLOOKUP(A343+1,CHOOSE({1,2},'Шаг2.Бланк заказа NEW'!$B$19:$B$201,'Шаг2.Бланк заказа NEW'!$A$19:$A$201),2,0),
VLOOKUP(A343+1-COUNT('Шаг2.Бланк заказа NEW'!$B$19:$B$201),CHOOSE({1,2},'Бланк OLD 0.8 04'!$B$18:$B$200,'Бланк OLD 0.8 04'!$A$18:$A$200),2,0)),
VLOOKUP(A343+1-COUNT('Шаг2.Бланк заказа NEW'!$B$19:$B$201)-COUNT('Бланк OLD 0.8 04'!$B$18:$B$200),CHOOSE({1,2},'Бланк OLD 2.0 04 '!$B$18:$B$200,'Бланк OLD 2.0 04 '!$A$18:$A$200),2,0)),"")</f>
        <v/>
      </c>
      <c r="D344" s="150" t="str">
        <f ca="1">IFERROR(VLOOKUP(C344,'Шаг1.Выбор плиты'!C:G,5,0),"")</f>
        <v/>
      </c>
      <c r="E344" s="147" t="str">
        <f ca="1">IFERROR(IFERROR(IF(VLOOKUP($A344,'Шаг2.Бланк заказа NEW'!$B$17:$N$201,2,0)="","",VLOOKUP($A344,'Шаг2.Бланк заказа NEW'!$B$17:$N$201,2,0)),
IF(VLOOKUP($A344-COUNT('Шаг2.Бланк заказа NEW'!$B$19:$B$201),'Бланк OLD 0.8 04'!$B$12:$K$200,2,0)="","",VLOOKUP($A344-COUNT('Шаг2.Бланк заказа NEW'!$B$19:$B$201),'Бланк OLD 0.8 04'!$B$12:$K$200,2,0))),
IF(VLOOKUP($A344-COUNT('Шаг2.Бланк заказа NEW'!$B$19:$B$201)-COUNT('Бланк OLD 0.8 04'!$B$18:$B$200),'Бланк OLD 2.0 04 '!$B$16:$K$200,2,0)="","",VLOOKUP($A344-COUNT('Шаг2.Бланк заказа NEW'!$B$19:$B$201)-COUNT('Бланк OLD 0.8 04'!$B$18:$B$200),'Бланк OLD 2.0 04 '!$B$16:$K$200,2,0)))</f>
        <v/>
      </c>
      <c r="F344" s="147" t="str">
        <f ca="1">IFERROR(IFERROR(IF(VLOOKUP($A344,'Шаг2.Бланк заказа NEW'!$B$17:$N$201,3,0)="","",VLOOKUP($A344,'Шаг2.Бланк заказа NEW'!$B$17:$N$201,3,0)),
IF(VLOOKUP($A344-COUNT('Шаг2.Бланк заказа NEW'!$B$19:$B$201),'Бланк OLD 0.8 04'!$B$12:$K$200,3,0)="","",VLOOKUP($A344-COUNT('Шаг2.Бланк заказа NEW'!$B$19:$B$201),'Бланк OLD 0.8 04'!$B$12:$K$200,3,0))),
IF(VLOOKUP($A344-COUNT('Шаг2.Бланк заказа NEW'!$B$19:$B$201)-COUNT('Бланк OLD 0.8 04'!$B$18:$B$200),'Бланк OLD 2.0 04 '!$B$16:$K$200,3,0)="","",VLOOKUP($A344-COUNT('Шаг2.Бланк заказа NEW'!$B$19:$B$201)-COUNT('Бланк OLD 0.8 04'!$B$18:$B$200),'Бланк OLD 2.0 04 '!$B$16:$K$200,3,0)))</f>
        <v/>
      </c>
      <c r="G344" s="176" t="str">
        <f ca="1">IF(IF(R344="","",IF(R344=1,SUMIFS('Шаг1.Выбор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плиты'!C:Q,12,0)),1))))))=0,
R344,
IF(R344="","",IF(R344=1,SUMIFS('Шаг1.Выбор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плиты'!N:N,R344,'Шаг1.Выбор плиты'!M:M,SMALL(INDIRECT("мм"&amp;VLOOKUP(C344,'Шаг1.Выбор плиты'!C:Q,12,0)),1)))))))</f>
        <v/>
      </c>
      <c r="H344" s="177" t="str">
        <f ca="1">IF(IF(S344="","",IF(S344=1,SUMIFS('Шаг1.Выбор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плиты'!C:Q,12,0)),1))))))=0,
S344,
IF(S344="","",IF(S344=1,SUMIFS('Шаг1.Выбор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плиты'!N:N,S344,'Шаг1.Выбор плиты'!M:M,SMALL(INDIRECT("мм"&amp;VLOOKUP(C344,'Шаг1.Выбор плиты'!C:Q,12,0)),1)))))))</f>
        <v/>
      </c>
      <c r="I344" s="147" t="str">
        <f ca="1">IFERROR(IFERROR(IF(VLOOKUP($A344,'Шаг2.Бланк заказа NEW'!$B$17:$N$201,6,0)="","",VLOOKUP($A344,'Шаг2.Бланк заказа NEW'!$B$17:$N$201,6,0)),
IF(VLOOKUP($A344-COUNT('Шаг2.Бланк заказа NEW'!$B$19:$B$201),'Бланк OLD 0.8 04'!$B$12:$K$200,6,0)="","",VLOOKUP($A344-COUNT('Шаг2.Бланк заказа NEW'!$B$19:$B$201),'Бланк OLD 0.8 04'!$B$12:$K$200,6,0))),
IF(VLOOKUP($A344-COUNT('Шаг2.Бланк заказа NEW'!$B$19:$B$201)-COUNT('Бланк OLD 0.8 04'!$B$18:$B$200),'Бланк OLD 2.0 04 '!$B$16:$K$200,6,0)="","",VLOOKUP($A344-COUNT('Шаг2.Бланк заказа NEW'!$B$19:$B$201)-COUNT('Бланк OLD 0.8 04'!$B$18:$B$200),'Бланк OLD 2.0 04 '!$B$16:$K$200,6,0)))</f>
        <v/>
      </c>
      <c r="J344" s="177" t="str">
        <f ca="1">IF(IF(T344="","",IF(T344=1,SUMIFS('Шаг1.Выбор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плиты'!C:Q,12,0)),1))))))=0,
T344,
IF(T344="","",IF(T344=1,SUMIFS('Шаг1.Выбор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плиты'!N:N,T344,'Шаг1.Выбор плиты'!M:M,SMALL(INDIRECT("мм"&amp;VLOOKUP(C344,'Шаг1.Выбор плиты'!C:Q,12,0)),1)))))))</f>
        <v/>
      </c>
      <c r="K344" s="177" t="str">
        <f ca="1">IF(IF(U344="","",IF(U344=1,SUMIFS('Шаг1.Выбор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плиты'!C:Q,12,0)),1))))))=0,
U344,
IF(U344="","",IF(U344=1,SUMIFS('Шаг1.Выбор плиты'!$G:$G,'Шаг1.Выбор плиты'!J:J,"*"&amp;RIGHT(VLOOKUP(C344,'Шаг1.Выбор плиты'!C:Q,8,0),4),'Шаг1.Выбор плиты'!L:L,IF(MID(C344,1,6)="ЛДСП P","TM"&amp;MID(VLOOKUP(C344,'Шаг1.Выбор плиты'!C:Q,10,0),3,2),MID(VLOOKUP(C344,'Шаг1.Выбор плиты'!C:Q,10,0),1,2)),
'Шаг1.Выбор плиты'!N:N,1),IF(SUMIFS('Шаг1.Выбор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плиты'!C:Q,12,0)),1))=0,
IF(SUMIFS('Шаг1.Выбор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плиты'!C:Q,12,0)),2))=0,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плиты'!C:Q,12,0)),3)),
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плиты'!C:Q,12,0)),2))),
(SUMIFS('Шаг1.Выбор плиты'!$G:$G,'Шаг1.Выбор плиты'!J:J,"*"&amp;RIGHT(VLOOKUP(C344,'Шаг1.Выбор плиты'!C:Q,8,0),4),'Шаг1.Выбор плиты'!L:L,VLOOKUP(C344,'Шаг1.Выбор плиты'!C:Q,10,0),'Шаг1.Выбор плиты'!N:N,U344,'Шаг1.Выбор плиты'!M:M,SMALL(INDIRECT("мм"&amp;VLOOKUP(C344,'Шаг1.Выбор плиты'!C:Q,12,0)),1)))))))</f>
        <v/>
      </c>
      <c r="L344" s="147" t="str">
        <f ca="1">IFERROR(IFERROR(IF(VLOOKUP($A344,'Шаг2.Бланк заказа NEW'!$B$17:$N$201,9,0)="","",VLOOKUP($A344,'Шаг2.Бланк заказа NEW'!$B$17:$N$201,9,0)),
IF(VLOOKUP($A344-COUNT('Шаг2.Бланк заказа NEW'!$B$19:$B$201),'Бланк OLD 0.8 04'!$B$12:$K$200,9,0)="","",VLOOKUP($A344-COUNT('Шаг2.Бланк заказа NEW'!$B$19:$B$201),'Бланк OLD 0.8 04'!$B$12:$K$200,9,0))),
IF(VLOOKUP($A344-COUNT('Шаг2.Бланк заказа NEW'!$B$19:$B$201)-COUNT('Бланк OLD 0.8 04'!$B$18:$B$200),'Бланк OLD 2.0 04 '!$B$16:$K$200,9,0)="","",VLOOKUP($A344-COUNT('Шаг2.Бланк заказа NEW'!$B$19:$B$201)-COUNT('Бланк OLD 0.8 04'!$B$18:$B$200),'Бланк OLD 2.0 04 '!$B$16:$K$200,9,0)))</f>
        <v/>
      </c>
      <c r="M344" s="154" t="str">
        <f t="shared" ca="1" si="30"/>
        <v/>
      </c>
      <c r="N344" s="153" t="str">
        <f ca="1">IFERROR(IF(VLOOKUP($A344,'Шаг2.Бланк заказа NEW'!$B$17:$N$201,11,0)="","",VLOOKUP($A344,'Шаг2.Бланк заказа NEW'!$B$17:$N$201,11,0)),
"Нет")</f>
        <v/>
      </c>
      <c r="O344" s="147" t="str">
        <f ca="1">IFERROR(IF(VLOOKUP($A344,'Шаг2.Бланк заказа NEW'!$B$17:$N$201,11,0)="","",VLOOKUP($A344,'Шаг2.Бланк заказа NEW'!$B$17:$N$201,12,0)),
"Нет")</f>
        <v/>
      </c>
      <c r="P344" s="153" t="str">
        <f ca="1">IFERROR(IF(VLOOKUP($A344,'Шаг2.Бланк заказа NEW'!$B$17:$N$201,13,0)="","",VLOOKUP($A344,'Шаг2.Бланк заказа NEW'!$B$17:$N$201,13,0)),
"Нет")</f>
        <v/>
      </c>
      <c r="Q344" s="147" t="str">
        <f ca="1">IFERROR(IF(VLOOKUP($A344,'Шаг2.Бланк заказа NEW'!$B$17:$O$201,14,0)="","",VLOOKUP($A344,'Шаг2.Бланк заказа NEW'!$B$17:$O$201,14,0)),"")</f>
        <v/>
      </c>
      <c r="R344" s="147" t="str">
        <f ca="1">IFERROR(IFERROR(IF(VLOOKUP($A344,'Шаг2.Бланк заказа NEW'!$B$17:$N$201,4,0)="","",VLOOKUP($A344,'Шаг2.Бланк заказа NEW'!$B$17:$N$201,4,0)),
IF(VLOOKUP($A344-COUNT('Шаг2.Бланк заказа NEW'!$B$19:$B$201),'Бланк OLD 0.8 04'!$B$12:$K$200,4,0)&gt;0,0.8,
IF(VLOOKUP($A344-COUNT('Шаг2.Бланк заказа NEW'!$B$19:$B$201),'Бланк OLD 0.8 04'!$B$12:$K$200,5,0)&gt;0,0.4,""))),
IF(VLOOKUP($A344-COUNT('Шаг2.Бланк заказа NEW'!$B$19:$B$201)-COUNT('Бланк OLD 0.8 04'!$B$18:$B$200),'Бланк OLD 2.0 04 '!$B$16:$K$200,4,0)&gt;0,2,IF(VLOOKUP($A344-COUNT('Шаг2.Бланк заказа NEW'!$B$19:$B$201)-COUNT('Бланк OLD 0.8 04'!$B$18:$B$200),'Бланк OLD 2.0 04 '!$B$16:$K$200,5,0)&gt;0,0.4,"")))</f>
        <v/>
      </c>
      <c r="S344" s="147" t="str">
        <f ca="1">IFERROR(IFERROR(IF(VLOOKUP($A344,'Шаг2.Бланк заказа NEW'!$B$17:$N$201,5,0)="","",VLOOKUP($A344,'Шаг2.Бланк заказа NEW'!$B$17:$N$201,5,0)),
IF(VLOOKUP($A344-COUNT('Шаг2.Бланк заказа NEW'!$B$19:$B$201),'Бланк OLD 0.8 04'!$B$12:$K$200,4,0)&gt;1,0.8,
IF(VLOOKUP($A344-COUNT('Шаг2.Бланк заказа NEW'!$B$19:$B$201),'Бланк OLD 0.8 04'!$B$12:$K$200,5,0)&gt;1,0.4,
IF(AND(VLOOKUP($A344-COUNT('Шаг2.Бланк заказа NEW'!$B$19:$B$201),'Бланк OLD 0.8 04'!$B$12:$K$200,4,0)&gt;0,VLOOKUP($A344-COUNT('Шаг2.Бланк заказа NEW'!$B$19:$B$201),'Бланк OLD 0.8 04'!$B$12:$K$200,5,0)&gt;0),0.4,"")))),
IF(VLOOKUP($A344-COUNT('Шаг2.Бланк заказа NEW'!$B$19:$B$201)-COUNT('Бланк OLD 0.8 04'!$B$18:$B$200),'Бланк OLD 2.0 04 '!$B$16:$K$200,4,0)&gt;1,2,
IF(VLOOKUP($A344-COUNT('Шаг2.Бланк заказа NEW'!$B$19:$B$201)-COUNT('Бланк OLD 0.8 04'!$B$18:$B$200),'Бланк OLD 2.0 04 '!$B$16:$K$200,5,0)&gt;1,0.4,IF(AND(VLOOKUP($A344-COUNT('Шаг2.Бланк заказа NEW'!$B$19:$B$201)-COUNT('Бланк OLD 0.8 04'!$B$18:$B$200),'Бланк OLD 2.0 04 '!$B$16:$K$200,4,0)&gt;0,VLOOKUP($A344-COUNT('Шаг2.Бланк заказа NEW'!$B$19:$B$201)-COUNT('Бланк OLD 0.8 04'!$B$18:$B$200),'Бланк OLD 2.0 04 '!$B$16:$K$200,5,0)&gt;0),0.4,""))))</f>
        <v/>
      </c>
      <c r="T344" s="147" t="str">
        <f ca="1">IFERROR(IFERROR(IF(VLOOKUP($A344,'Шаг2.Бланк заказа NEW'!$B$17:$N$201,7,0)="","",VLOOKUP($A344,'Шаг2.Бланк заказа NEW'!$B$17:$N$201,7,0)),
IF(VLOOKUP($A344-COUNT('Шаг2.Бланк заказа NEW'!$B$19:$B$201),'Бланк OLD 0.8 04'!$B$12:$K$200,7,0)&gt;0,0.8,
IF(VLOOKUP($A344-COUNT('Шаг2.Бланк заказа NEW'!$B$19:$B$201),'Бланк OLD 0.8 04'!$B$12:$K$200,8,0)&gt;0,0.4,""))),
IF(VLOOKUP($A344-COUNT('Шаг2.Бланк заказа NEW'!$B$19:$B$201)-COUNT('Бланк OLD 0.8 04'!$B$18:$B$200),'Бланк OLD 2.0 04 '!$B$16:$K$200,7,0)&gt;0,2,IF(VLOOKUP($A344-COUNT('Шаг2.Бланк заказа NEW'!$B$19:$B$201)-COUNT('Бланк OLD 0.8 04'!$B$18:$B$200),'Бланк OLD 2.0 04 '!$B$16:$K$200,8,0)&gt;0,0.4,"")))</f>
        <v/>
      </c>
      <c r="U344" s="147" t="str">
        <f ca="1">IFERROR(IFERROR(IF(VLOOKUP($A344,'Шаг2.Бланк заказа NEW'!$B$17:$N$201,8,0)="","",VLOOKUP($A344,'Шаг2.Бланк заказа NEW'!$B$17:$N$201,8,0)),
IF(VLOOKUP($A344-COUNT('Шаг2.Бланк заказа NEW'!$B$19:$B$201),'Бланк OLD 0.8 04'!$B$12:$K$200,7,0)&gt;1,0.8,
IF(VLOOKUP($A344-COUNT('Шаг2.Бланк заказа NEW'!$B$19:$B$201),'Бланк OLD 0.8 04'!$B$12:$K$200,8,0)&gt;1,0.4,
IF(AND(VLOOKUP($A344-COUNT('Шаг2.Бланк заказа NEW'!$B$19:$B$201),'Бланк OLD 0.8 04'!$B$12:$K$200,7,0)&gt;0,VLOOKUP($A344-COUNT('Шаг2.Бланк заказа NEW'!$B$19:$B$201),'Бланк OLD 0.8 04'!$B$12:$K$200,8,0)&gt;0),0.4,"")))),
IF(VLOOKUP($A344-COUNT('Шаг2.Бланк заказа NEW'!$B$19:$B$201)-COUNT('Бланк OLD 0.8 04'!$B$18:$B$200),'Бланк OLD 2.0 04 '!$B$16:$K$200,7,0)&gt;1,2,
IF(VLOOKUP($A344-COUNT('Шаг2.Бланк заказа NEW'!$B$19:$B$201)-COUNT('Бланк OLD 0.8 04'!$B$18:$B$200),'Бланк OLD 2.0 04 '!$B$16:$K$200,8,0)&gt;1,0.4,
IF(AND(VLOOKUP($A344-COUNT('Шаг2.Бланк заказа NEW'!$B$19:$B$201)-COUNT('Бланк OLD 0.8 04'!$B$18:$B$200),'Бланк OLD 2.0 04 '!$B$16:$K$200,7,0)&gt;0,VLOOKUP($A344-COUNT('Шаг2.Бланк заказа NEW'!$B$19:$B$201)-COUNT('Бланк OLD 0.8 04'!$B$18:$B$200),'Бланк OLD 2.0 04 '!$B$16:$K$200,8,0)&gt;0),0.4,""))))</f>
        <v/>
      </c>
      <c r="V344" s="146" t="str">
        <f ca="1">IFERROR(VLOOKUP(C344,'Шаг1.Выбор плиты'!C:S,12,0),"")</f>
        <v/>
      </c>
      <c r="W344" s="146" t="str">
        <f ca="1">IFERROR(VLOOKUP(C344,'Шаг1.Выбор плиты'!C:S,8,0),"")</f>
        <v/>
      </c>
      <c r="X344" s="146" t="str">
        <f ca="1">IFERROR(VLOOKUP(C344,'Шаг1.Выбор плиты'!C:S,10,0),"")</f>
        <v/>
      </c>
      <c r="Y344" s="147" t="str">
        <f t="shared" ca="1" si="28"/>
        <v/>
      </c>
      <c r="AD344" s="147" t="str">
        <f t="shared" ca="1" si="31"/>
        <v/>
      </c>
      <c r="AE344" s="147" t="str">
        <f t="shared" ca="1" si="29"/>
        <v/>
      </c>
      <c r="AF344" s="25"/>
      <c r="AH344" s="147" t="str">
        <f ca="1">IF(C344="","",VLOOKUP(C344,'Шаг1.Выбор плиты'!C:Q,7,0))</f>
        <v/>
      </c>
      <c r="AI344" s="147" t="str">
        <f t="shared" ca="1" si="32"/>
        <v/>
      </c>
    </row>
    <row r="345" spans="1:35" x14ac:dyDescent="0.2">
      <c r="A345" s="151" t="str">
        <f ca="1">IF(C345="","",MAX($A$1:OFFSET(C345,-1,0))+1)</f>
        <v/>
      </c>
      <c r="B345" s="151" t="str">
        <f ca="1">IFERROR(IFERROR(IFERROR("Шаг2.Бланк заказа NEW №"&amp;VLOOKUP(A344+1,CHOOSE({1,2},'Шаг2.Бланк заказа NEW'!$B$19:$B$201,'Шаг2.Бланк заказа NEW'!$A$19:$A$201),1,0),
"Бланк OLD 0.8 04 №"&amp;VLOOKUP(A344+1-COUNT('Шаг2.Бланк заказа NEW'!$B$19:$B$201),CHOOSE({1,2},'Бланк OLD 0.8 04'!$B$18:$B$200,'Бланк OLD 0.8 04'!$A$18:$A$200),1,0)),
"Бланк OLD 2.0 04 №"&amp;VLOOKUP(A344+1-COUNT('Шаг2.Бланк заказа NEW'!$B$19:$B$201)-COUNT('Бланк OLD 0.8 04'!$B$18:$B$200),CHOOSE({1,2},'Бланк OLD 2.0 04 '!$B$18:$B$200,'Бланк OLD 2.0 04 '!$A$18:$A$200),1,0)),"")</f>
        <v/>
      </c>
      <c r="C345" s="152" t="str">
        <f ca="1">IFERROR(IFERROR(IFERROR(VLOOKUP(A344+1,CHOOSE({1,2},'Шаг2.Бланк заказа NEW'!$B$19:$B$201,'Шаг2.Бланк заказа NEW'!$A$19:$A$201),2,0),
VLOOKUP(A344+1-COUNT('Шаг2.Бланк заказа NEW'!$B$19:$B$201),CHOOSE({1,2},'Бланк OLD 0.8 04'!$B$18:$B$200,'Бланк OLD 0.8 04'!$A$18:$A$200),2,0)),
VLOOKUP(A344+1-COUNT('Шаг2.Бланк заказа NEW'!$B$19:$B$201)-COUNT('Бланк OLD 0.8 04'!$B$18:$B$200),CHOOSE({1,2},'Бланк OLD 2.0 04 '!$B$18:$B$200,'Бланк OLD 2.0 04 '!$A$18:$A$200),2,0)),"")</f>
        <v/>
      </c>
      <c r="D345" s="150" t="str">
        <f ca="1">IFERROR(VLOOKUP(C345,'Шаг1.Выбор плиты'!C:G,5,0),"")</f>
        <v/>
      </c>
      <c r="E345" s="147" t="str">
        <f ca="1">IFERROR(IFERROR(IF(VLOOKUP($A345,'Шаг2.Бланк заказа NEW'!$B$17:$N$201,2,0)="","",VLOOKUP($A345,'Шаг2.Бланк заказа NEW'!$B$17:$N$201,2,0)),
IF(VLOOKUP($A345-COUNT('Шаг2.Бланк заказа NEW'!$B$19:$B$201),'Бланк OLD 0.8 04'!$B$12:$K$200,2,0)="","",VLOOKUP($A345-COUNT('Шаг2.Бланк заказа NEW'!$B$19:$B$201),'Бланк OLD 0.8 04'!$B$12:$K$200,2,0))),
IF(VLOOKUP($A345-COUNT('Шаг2.Бланк заказа NEW'!$B$19:$B$201)-COUNT('Бланк OLD 0.8 04'!$B$18:$B$200),'Бланк OLD 2.0 04 '!$B$16:$K$200,2,0)="","",VLOOKUP($A345-COUNT('Шаг2.Бланк заказа NEW'!$B$19:$B$201)-COUNT('Бланк OLD 0.8 04'!$B$18:$B$200),'Бланк OLD 2.0 04 '!$B$16:$K$200,2,0)))</f>
        <v/>
      </c>
      <c r="F345" s="147" t="str">
        <f ca="1">IFERROR(IFERROR(IF(VLOOKUP($A345,'Шаг2.Бланк заказа NEW'!$B$17:$N$201,3,0)="","",VLOOKUP($A345,'Шаг2.Бланк заказа NEW'!$B$17:$N$201,3,0)),
IF(VLOOKUP($A345-COUNT('Шаг2.Бланк заказа NEW'!$B$19:$B$201),'Бланк OLD 0.8 04'!$B$12:$K$200,3,0)="","",VLOOKUP($A345-COUNT('Шаг2.Бланк заказа NEW'!$B$19:$B$201),'Бланк OLD 0.8 04'!$B$12:$K$200,3,0))),
IF(VLOOKUP($A345-COUNT('Шаг2.Бланк заказа NEW'!$B$19:$B$201)-COUNT('Бланк OLD 0.8 04'!$B$18:$B$200),'Бланк OLD 2.0 04 '!$B$16:$K$200,3,0)="","",VLOOKUP($A345-COUNT('Шаг2.Бланк заказа NEW'!$B$19:$B$201)-COUNT('Бланк OLD 0.8 04'!$B$18:$B$200),'Бланк OLD 2.0 04 '!$B$16:$K$200,3,0)))</f>
        <v/>
      </c>
      <c r="G345" s="176" t="str">
        <f ca="1">IF(IF(R345="","",IF(R345=1,SUMIFS('Шаг1.Выбор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плиты'!C:Q,12,0)),1))))))=0,
R345,
IF(R345="","",IF(R345=1,SUMIFS('Шаг1.Выбор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плиты'!N:N,R345,'Шаг1.Выбор плиты'!M:M,SMALL(INDIRECT("мм"&amp;VLOOKUP(C345,'Шаг1.Выбор плиты'!C:Q,12,0)),1)))))))</f>
        <v/>
      </c>
      <c r="H345" s="177" t="str">
        <f ca="1">IF(IF(S345="","",IF(S345=1,SUMIFS('Шаг1.Выбор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плиты'!C:Q,12,0)),1))))))=0,
S345,
IF(S345="","",IF(S345=1,SUMIFS('Шаг1.Выбор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плиты'!N:N,S345,'Шаг1.Выбор плиты'!M:M,SMALL(INDIRECT("мм"&amp;VLOOKUP(C345,'Шаг1.Выбор плиты'!C:Q,12,0)),1)))))))</f>
        <v/>
      </c>
      <c r="I345" s="147" t="str">
        <f ca="1">IFERROR(IFERROR(IF(VLOOKUP($A345,'Шаг2.Бланк заказа NEW'!$B$17:$N$201,6,0)="","",VLOOKUP($A345,'Шаг2.Бланк заказа NEW'!$B$17:$N$201,6,0)),
IF(VLOOKUP($A345-COUNT('Шаг2.Бланк заказа NEW'!$B$19:$B$201),'Бланк OLD 0.8 04'!$B$12:$K$200,6,0)="","",VLOOKUP($A345-COUNT('Шаг2.Бланк заказа NEW'!$B$19:$B$201),'Бланк OLD 0.8 04'!$B$12:$K$200,6,0))),
IF(VLOOKUP($A345-COUNT('Шаг2.Бланк заказа NEW'!$B$19:$B$201)-COUNT('Бланк OLD 0.8 04'!$B$18:$B$200),'Бланк OLD 2.0 04 '!$B$16:$K$200,6,0)="","",VLOOKUP($A345-COUNT('Шаг2.Бланк заказа NEW'!$B$19:$B$201)-COUNT('Бланк OLD 0.8 04'!$B$18:$B$200),'Бланк OLD 2.0 04 '!$B$16:$K$200,6,0)))</f>
        <v/>
      </c>
      <c r="J345" s="177" t="str">
        <f ca="1">IF(IF(T345="","",IF(T345=1,SUMIFS('Шаг1.Выбор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плиты'!C:Q,12,0)),1))))))=0,
T345,
IF(T345="","",IF(T345=1,SUMIFS('Шаг1.Выбор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плиты'!N:N,T345,'Шаг1.Выбор плиты'!M:M,SMALL(INDIRECT("мм"&amp;VLOOKUP(C345,'Шаг1.Выбор плиты'!C:Q,12,0)),1)))))))</f>
        <v/>
      </c>
      <c r="K345" s="177" t="str">
        <f ca="1">IF(IF(U345="","",IF(U345=1,SUMIFS('Шаг1.Выбор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плиты'!C:Q,12,0)),1))))))=0,
U345,
IF(U345="","",IF(U345=1,SUMIFS('Шаг1.Выбор плиты'!$G:$G,'Шаг1.Выбор плиты'!J:J,"*"&amp;RIGHT(VLOOKUP(C345,'Шаг1.Выбор плиты'!C:Q,8,0),4),'Шаг1.Выбор плиты'!L:L,IF(MID(C345,1,6)="ЛДСП P","TM"&amp;MID(VLOOKUP(C345,'Шаг1.Выбор плиты'!C:Q,10,0),3,2),MID(VLOOKUP(C345,'Шаг1.Выбор плиты'!C:Q,10,0),1,2)),
'Шаг1.Выбор плиты'!N:N,1),IF(SUMIFS('Шаг1.Выбор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плиты'!C:Q,12,0)),1))=0,
IF(SUMIFS('Шаг1.Выбор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плиты'!C:Q,12,0)),2))=0,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плиты'!C:Q,12,0)),3)),
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плиты'!C:Q,12,0)),2))),
(SUMIFS('Шаг1.Выбор плиты'!$G:$G,'Шаг1.Выбор плиты'!J:J,"*"&amp;RIGHT(VLOOKUP(C345,'Шаг1.Выбор плиты'!C:Q,8,0),4),'Шаг1.Выбор плиты'!L:L,VLOOKUP(C345,'Шаг1.Выбор плиты'!C:Q,10,0),'Шаг1.Выбор плиты'!N:N,U345,'Шаг1.Выбор плиты'!M:M,SMALL(INDIRECT("мм"&amp;VLOOKUP(C345,'Шаг1.Выбор плиты'!C:Q,12,0)),1)))))))</f>
        <v/>
      </c>
      <c r="L345" s="147" t="str">
        <f ca="1">IFERROR(IFERROR(IF(VLOOKUP($A345,'Шаг2.Бланк заказа NEW'!$B$17:$N$201,9,0)="","",VLOOKUP($A345,'Шаг2.Бланк заказа NEW'!$B$17:$N$201,9,0)),
IF(VLOOKUP($A345-COUNT('Шаг2.Бланк заказа NEW'!$B$19:$B$201),'Бланк OLD 0.8 04'!$B$12:$K$200,9,0)="","",VLOOKUP($A345-COUNT('Шаг2.Бланк заказа NEW'!$B$19:$B$201),'Бланк OLD 0.8 04'!$B$12:$K$200,9,0))),
IF(VLOOKUP($A345-COUNT('Шаг2.Бланк заказа NEW'!$B$19:$B$201)-COUNT('Бланк OLD 0.8 04'!$B$18:$B$200),'Бланк OLD 2.0 04 '!$B$16:$K$200,9,0)="","",VLOOKUP($A345-COUNT('Шаг2.Бланк заказа NEW'!$B$19:$B$201)-COUNT('Бланк OLD 0.8 04'!$B$18:$B$200),'Бланк OLD 2.0 04 '!$B$16:$K$200,9,0)))</f>
        <v/>
      </c>
      <c r="M345" s="154" t="str">
        <f t="shared" ca="1" si="30"/>
        <v/>
      </c>
      <c r="N345" s="153" t="str">
        <f ca="1">IFERROR(IF(VLOOKUP($A345,'Шаг2.Бланк заказа NEW'!$B$17:$N$201,11,0)="","",VLOOKUP($A345,'Шаг2.Бланк заказа NEW'!$B$17:$N$201,11,0)),
"Нет")</f>
        <v/>
      </c>
      <c r="O345" s="147" t="str">
        <f ca="1">IFERROR(IF(VLOOKUP($A345,'Шаг2.Бланк заказа NEW'!$B$17:$N$201,11,0)="","",VLOOKUP($A345,'Шаг2.Бланк заказа NEW'!$B$17:$N$201,12,0)),
"Нет")</f>
        <v/>
      </c>
      <c r="P345" s="153" t="str">
        <f ca="1">IFERROR(IF(VLOOKUP($A345,'Шаг2.Бланк заказа NEW'!$B$17:$N$201,13,0)="","",VLOOKUP($A345,'Шаг2.Бланк заказа NEW'!$B$17:$N$201,13,0)),
"Нет")</f>
        <v/>
      </c>
      <c r="Q345" s="147" t="str">
        <f ca="1">IFERROR(IF(VLOOKUP($A345,'Шаг2.Бланк заказа NEW'!$B$17:$O$201,14,0)="","",VLOOKUP($A345,'Шаг2.Бланк заказа NEW'!$B$17:$O$201,14,0)),"")</f>
        <v/>
      </c>
      <c r="R345" s="147" t="str">
        <f ca="1">IFERROR(IFERROR(IF(VLOOKUP($A345,'Шаг2.Бланк заказа NEW'!$B$17:$N$201,4,0)="","",VLOOKUP($A345,'Шаг2.Бланк заказа NEW'!$B$17:$N$201,4,0)),
IF(VLOOKUP($A345-COUNT('Шаг2.Бланк заказа NEW'!$B$19:$B$201),'Бланк OLD 0.8 04'!$B$12:$K$200,4,0)&gt;0,0.8,
IF(VLOOKUP($A345-COUNT('Шаг2.Бланк заказа NEW'!$B$19:$B$201),'Бланк OLD 0.8 04'!$B$12:$K$200,5,0)&gt;0,0.4,""))),
IF(VLOOKUP($A345-COUNT('Шаг2.Бланк заказа NEW'!$B$19:$B$201)-COUNT('Бланк OLD 0.8 04'!$B$18:$B$200),'Бланк OLD 2.0 04 '!$B$16:$K$200,4,0)&gt;0,2,IF(VLOOKUP($A345-COUNT('Шаг2.Бланк заказа NEW'!$B$19:$B$201)-COUNT('Бланк OLD 0.8 04'!$B$18:$B$200),'Бланк OLD 2.0 04 '!$B$16:$K$200,5,0)&gt;0,0.4,"")))</f>
        <v/>
      </c>
      <c r="S345" s="147" t="str">
        <f ca="1">IFERROR(IFERROR(IF(VLOOKUP($A345,'Шаг2.Бланк заказа NEW'!$B$17:$N$201,5,0)="","",VLOOKUP($A345,'Шаг2.Бланк заказа NEW'!$B$17:$N$201,5,0)),
IF(VLOOKUP($A345-COUNT('Шаг2.Бланк заказа NEW'!$B$19:$B$201),'Бланк OLD 0.8 04'!$B$12:$K$200,4,0)&gt;1,0.8,
IF(VLOOKUP($A345-COUNT('Шаг2.Бланк заказа NEW'!$B$19:$B$201),'Бланк OLD 0.8 04'!$B$12:$K$200,5,0)&gt;1,0.4,
IF(AND(VLOOKUP($A345-COUNT('Шаг2.Бланк заказа NEW'!$B$19:$B$201),'Бланк OLD 0.8 04'!$B$12:$K$200,4,0)&gt;0,VLOOKUP($A345-COUNT('Шаг2.Бланк заказа NEW'!$B$19:$B$201),'Бланк OLD 0.8 04'!$B$12:$K$200,5,0)&gt;0),0.4,"")))),
IF(VLOOKUP($A345-COUNT('Шаг2.Бланк заказа NEW'!$B$19:$B$201)-COUNT('Бланк OLD 0.8 04'!$B$18:$B$200),'Бланк OLD 2.0 04 '!$B$16:$K$200,4,0)&gt;1,2,
IF(VLOOKUP($A345-COUNT('Шаг2.Бланк заказа NEW'!$B$19:$B$201)-COUNT('Бланк OLD 0.8 04'!$B$18:$B$200),'Бланк OLD 2.0 04 '!$B$16:$K$200,5,0)&gt;1,0.4,IF(AND(VLOOKUP($A345-COUNT('Шаг2.Бланк заказа NEW'!$B$19:$B$201)-COUNT('Бланк OLD 0.8 04'!$B$18:$B$200),'Бланк OLD 2.0 04 '!$B$16:$K$200,4,0)&gt;0,VLOOKUP($A345-COUNT('Шаг2.Бланк заказа NEW'!$B$19:$B$201)-COUNT('Бланк OLD 0.8 04'!$B$18:$B$200),'Бланк OLD 2.0 04 '!$B$16:$K$200,5,0)&gt;0),0.4,""))))</f>
        <v/>
      </c>
      <c r="T345" s="147" t="str">
        <f ca="1">IFERROR(IFERROR(IF(VLOOKUP($A345,'Шаг2.Бланк заказа NEW'!$B$17:$N$201,7,0)="","",VLOOKUP($A345,'Шаг2.Бланк заказа NEW'!$B$17:$N$201,7,0)),
IF(VLOOKUP($A345-COUNT('Шаг2.Бланк заказа NEW'!$B$19:$B$201),'Бланк OLD 0.8 04'!$B$12:$K$200,7,0)&gt;0,0.8,
IF(VLOOKUP($A345-COUNT('Шаг2.Бланк заказа NEW'!$B$19:$B$201),'Бланк OLD 0.8 04'!$B$12:$K$200,8,0)&gt;0,0.4,""))),
IF(VLOOKUP($A345-COUNT('Шаг2.Бланк заказа NEW'!$B$19:$B$201)-COUNT('Бланк OLD 0.8 04'!$B$18:$B$200),'Бланк OLD 2.0 04 '!$B$16:$K$200,7,0)&gt;0,2,IF(VLOOKUP($A345-COUNT('Шаг2.Бланк заказа NEW'!$B$19:$B$201)-COUNT('Бланк OLD 0.8 04'!$B$18:$B$200),'Бланк OLD 2.0 04 '!$B$16:$K$200,8,0)&gt;0,0.4,"")))</f>
        <v/>
      </c>
      <c r="U345" s="147" t="str">
        <f ca="1">IFERROR(IFERROR(IF(VLOOKUP($A345,'Шаг2.Бланк заказа NEW'!$B$17:$N$201,8,0)="","",VLOOKUP($A345,'Шаг2.Бланк заказа NEW'!$B$17:$N$201,8,0)),
IF(VLOOKUP($A345-COUNT('Шаг2.Бланк заказа NEW'!$B$19:$B$201),'Бланк OLD 0.8 04'!$B$12:$K$200,7,0)&gt;1,0.8,
IF(VLOOKUP($A345-COUNT('Шаг2.Бланк заказа NEW'!$B$19:$B$201),'Бланк OLD 0.8 04'!$B$12:$K$200,8,0)&gt;1,0.4,
IF(AND(VLOOKUP($A345-COUNT('Шаг2.Бланк заказа NEW'!$B$19:$B$201),'Бланк OLD 0.8 04'!$B$12:$K$200,7,0)&gt;0,VLOOKUP($A345-COUNT('Шаг2.Бланк заказа NEW'!$B$19:$B$201),'Бланк OLD 0.8 04'!$B$12:$K$200,8,0)&gt;0),0.4,"")))),
IF(VLOOKUP($A345-COUNT('Шаг2.Бланк заказа NEW'!$B$19:$B$201)-COUNT('Бланк OLD 0.8 04'!$B$18:$B$200),'Бланк OLD 2.0 04 '!$B$16:$K$200,7,0)&gt;1,2,
IF(VLOOKUP($A345-COUNT('Шаг2.Бланк заказа NEW'!$B$19:$B$201)-COUNT('Бланк OLD 0.8 04'!$B$18:$B$200),'Бланк OLD 2.0 04 '!$B$16:$K$200,8,0)&gt;1,0.4,
IF(AND(VLOOKUP($A345-COUNT('Шаг2.Бланк заказа NEW'!$B$19:$B$201)-COUNT('Бланк OLD 0.8 04'!$B$18:$B$200),'Бланк OLD 2.0 04 '!$B$16:$K$200,7,0)&gt;0,VLOOKUP($A345-COUNT('Шаг2.Бланк заказа NEW'!$B$19:$B$201)-COUNT('Бланк OLD 0.8 04'!$B$18:$B$200),'Бланк OLD 2.0 04 '!$B$16:$K$200,8,0)&gt;0),0.4,""))))</f>
        <v/>
      </c>
      <c r="V345" s="146" t="str">
        <f ca="1">IFERROR(VLOOKUP(C345,'Шаг1.Выбор плиты'!C:S,12,0),"")</f>
        <v/>
      </c>
      <c r="W345" s="146" t="str">
        <f ca="1">IFERROR(VLOOKUP(C345,'Шаг1.Выбор плиты'!C:S,8,0),"")</f>
        <v/>
      </c>
      <c r="X345" s="146" t="str">
        <f ca="1">IFERROR(VLOOKUP(C345,'Шаг1.Выбор плиты'!C:S,10,0),"")</f>
        <v/>
      </c>
      <c r="Y345" s="147" t="str">
        <f t="shared" ca="1" si="28"/>
        <v/>
      </c>
      <c r="AD345" s="147" t="str">
        <f t="shared" ca="1" si="31"/>
        <v/>
      </c>
      <c r="AE345" s="147" t="str">
        <f t="shared" ca="1" si="29"/>
        <v/>
      </c>
      <c r="AF345" s="25"/>
      <c r="AH345" s="147" t="str">
        <f ca="1">IF(C345="","",VLOOKUP(C345,'Шаг1.Выбор плиты'!C:Q,7,0))</f>
        <v/>
      </c>
      <c r="AI345" s="147" t="str">
        <f t="shared" ca="1" si="32"/>
        <v/>
      </c>
    </row>
    <row r="346" spans="1:35" x14ac:dyDescent="0.2">
      <c r="A346" s="151" t="str">
        <f ca="1">IF(C346="","",MAX($A$1:OFFSET(C346,-1,0))+1)</f>
        <v/>
      </c>
      <c r="B346" s="151" t="str">
        <f ca="1">IFERROR(IFERROR(IFERROR("Шаг2.Бланк заказа NEW №"&amp;VLOOKUP(A345+1,CHOOSE({1,2},'Шаг2.Бланк заказа NEW'!$B$19:$B$201,'Шаг2.Бланк заказа NEW'!$A$19:$A$201),1,0),
"Бланк OLD 0.8 04 №"&amp;VLOOKUP(A345+1-COUNT('Шаг2.Бланк заказа NEW'!$B$19:$B$201),CHOOSE({1,2},'Бланк OLD 0.8 04'!$B$18:$B$200,'Бланк OLD 0.8 04'!$A$18:$A$200),1,0)),
"Бланк OLD 2.0 04 №"&amp;VLOOKUP(A345+1-COUNT('Шаг2.Бланк заказа NEW'!$B$19:$B$201)-COUNT('Бланк OLD 0.8 04'!$B$18:$B$200),CHOOSE({1,2},'Бланк OLD 2.0 04 '!$B$18:$B$200,'Бланк OLD 2.0 04 '!$A$18:$A$200),1,0)),"")</f>
        <v/>
      </c>
      <c r="C346" s="152" t="str">
        <f ca="1">IFERROR(IFERROR(IFERROR(VLOOKUP(A345+1,CHOOSE({1,2},'Шаг2.Бланк заказа NEW'!$B$19:$B$201,'Шаг2.Бланк заказа NEW'!$A$19:$A$201),2,0),
VLOOKUP(A345+1-COUNT('Шаг2.Бланк заказа NEW'!$B$19:$B$201),CHOOSE({1,2},'Бланк OLD 0.8 04'!$B$18:$B$200,'Бланк OLD 0.8 04'!$A$18:$A$200),2,0)),
VLOOKUP(A345+1-COUNT('Шаг2.Бланк заказа NEW'!$B$19:$B$201)-COUNT('Бланк OLD 0.8 04'!$B$18:$B$200),CHOOSE({1,2},'Бланк OLD 2.0 04 '!$B$18:$B$200,'Бланк OLD 2.0 04 '!$A$18:$A$200),2,0)),"")</f>
        <v/>
      </c>
      <c r="D346" s="150" t="str">
        <f ca="1">IFERROR(VLOOKUP(C346,'Шаг1.Выбор плиты'!C:G,5,0),"")</f>
        <v/>
      </c>
      <c r="E346" s="147" t="str">
        <f ca="1">IFERROR(IFERROR(IF(VLOOKUP($A346,'Шаг2.Бланк заказа NEW'!$B$17:$N$201,2,0)="","",VLOOKUP($A346,'Шаг2.Бланк заказа NEW'!$B$17:$N$201,2,0)),
IF(VLOOKUP($A346-COUNT('Шаг2.Бланк заказа NEW'!$B$19:$B$201),'Бланк OLD 0.8 04'!$B$12:$K$200,2,0)="","",VLOOKUP($A346-COUNT('Шаг2.Бланк заказа NEW'!$B$19:$B$201),'Бланк OLD 0.8 04'!$B$12:$K$200,2,0))),
IF(VLOOKUP($A346-COUNT('Шаг2.Бланк заказа NEW'!$B$19:$B$201)-COUNT('Бланк OLD 0.8 04'!$B$18:$B$200),'Бланк OLD 2.0 04 '!$B$16:$K$200,2,0)="","",VLOOKUP($A346-COUNT('Шаг2.Бланк заказа NEW'!$B$19:$B$201)-COUNT('Бланк OLD 0.8 04'!$B$18:$B$200),'Бланк OLD 2.0 04 '!$B$16:$K$200,2,0)))</f>
        <v/>
      </c>
      <c r="F346" s="147" t="str">
        <f ca="1">IFERROR(IFERROR(IF(VLOOKUP($A346,'Шаг2.Бланк заказа NEW'!$B$17:$N$201,3,0)="","",VLOOKUP($A346,'Шаг2.Бланк заказа NEW'!$B$17:$N$201,3,0)),
IF(VLOOKUP($A346-COUNT('Шаг2.Бланк заказа NEW'!$B$19:$B$201),'Бланк OLD 0.8 04'!$B$12:$K$200,3,0)="","",VLOOKUP($A346-COUNT('Шаг2.Бланк заказа NEW'!$B$19:$B$201),'Бланк OLD 0.8 04'!$B$12:$K$200,3,0))),
IF(VLOOKUP($A346-COUNT('Шаг2.Бланк заказа NEW'!$B$19:$B$201)-COUNT('Бланк OLD 0.8 04'!$B$18:$B$200),'Бланк OLD 2.0 04 '!$B$16:$K$200,3,0)="","",VLOOKUP($A346-COUNT('Шаг2.Бланк заказа NEW'!$B$19:$B$201)-COUNT('Бланк OLD 0.8 04'!$B$18:$B$200),'Бланк OLD 2.0 04 '!$B$16:$K$200,3,0)))</f>
        <v/>
      </c>
      <c r="G346" s="176" t="str">
        <f ca="1">IF(IF(R346="","",IF(R346=1,SUMIFS('Шаг1.Выбор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плиты'!C:Q,12,0)),1))))))=0,
R346,
IF(R346="","",IF(R346=1,SUMIFS('Шаг1.Выбор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плиты'!N:N,R346,'Шаг1.Выбор плиты'!M:M,SMALL(INDIRECT("мм"&amp;VLOOKUP(C346,'Шаг1.Выбор плиты'!C:Q,12,0)),1)))))))</f>
        <v/>
      </c>
      <c r="H346" s="177" t="str">
        <f ca="1">IF(IF(S346="","",IF(S346=1,SUMIFS('Шаг1.Выбор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плиты'!C:Q,12,0)),1))))))=0,
S346,
IF(S346="","",IF(S346=1,SUMIFS('Шаг1.Выбор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плиты'!N:N,S346,'Шаг1.Выбор плиты'!M:M,SMALL(INDIRECT("мм"&amp;VLOOKUP(C346,'Шаг1.Выбор плиты'!C:Q,12,0)),1)))))))</f>
        <v/>
      </c>
      <c r="I346" s="147" t="str">
        <f ca="1">IFERROR(IFERROR(IF(VLOOKUP($A346,'Шаг2.Бланк заказа NEW'!$B$17:$N$201,6,0)="","",VLOOKUP($A346,'Шаг2.Бланк заказа NEW'!$B$17:$N$201,6,0)),
IF(VLOOKUP($A346-COUNT('Шаг2.Бланк заказа NEW'!$B$19:$B$201),'Бланк OLD 0.8 04'!$B$12:$K$200,6,0)="","",VLOOKUP($A346-COUNT('Шаг2.Бланк заказа NEW'!$B$19:$B$201),'Бланк OLD 0.8 04'!$B$12:$K$200,6,0))),
IF(VLOOKUP($A346-COUNT('Шаг2.Бланк заказа NEW'!$B$19:$B$201)-COUNT('Бланк OLD 0.8 04'!$B$18:$B$200),'Бланк OLD 2.0 04 '!$B$16:$K$200,6,0)="","",VLOOKUP($A346-COUNT('Шаг2.Бланк заказа NEW'!$B$19:$B$201)-COUNT('Бланк OLD 0.8 04'!$B$18:$B$200),'Бланк OLD 2.0 04 '!$B$16:$K$200,6,0)))</f>
        <v/>
      </c>
      <c r="J346" s="177" t="str">
        <f ca="1">IF(IF(T346="","",IF(T346=1,SUMIFS('Шаг1.Выбор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плиты'!C:Q,12,0)),1))))))=0,
T346,
IF(T346="","",IF(T346=1,SUMIFS('Шаг1.Выбор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плиты'!N:N,T346,'Шаг1.Выбор плиты'!M:M,SMALL(INDIRECT("мм"&amp;VLOOKUP(C346,'Шаг1.Выбор плиты'!C:Q,12,0)),1)))))))</f>
        <v/>
      </c>
      <c r="K346" s="177" t="str">
        <f ca="1">IF(IF(U346="","",IF(U346=1,SUMIFS('Шаг1.Выбор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плиты'!C:Q,12,0)),1))))))=0,
U346,
IF(U346="","",IF(U346=1,SUMIFS('Шаг1.Выбор плиты'!$G:$G,'Шаг1.Выбор плиты'!J:J,"*"&amp;RIGHT(VLOOKUP(C346,'Шаг1.Выбор плиты'!C:Q,8,0),4),'Шаг1.Выбор плиты'!L:L,IF(MID(C346,1,6)="ЛДСП P","TM"&amp;MID(VLOOKUP(C346,'Шаг1.Выбор плиты'!C:Q,10,0),3,2),MID(VLOOKUP(C346,'Шаг1.Выбор плиты'!C:Q,10,0),1,2)),
'Шаг1.Выбор плиты'!N:N,1),IF(SUMIFS('Шаг1.Выбор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плиты'!C:Q,12,0)),1))=0,
IF(SUMIFS('Шаг1.Выбор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плиты'!C:Q,12,0)),2))=0,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плиты'!C:Q,12,0)),3)),
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плиты'!C:Q,12,0)),2))),
(SUMIFS('Шаг1.Выбор плиты'!$G:$G,'Шаг1.Выбор плиты'!J:J,"*"&amp;RIGHT(VLOOKUP(C346,'Шаг1.Выбор плиты'!C:Q,8,0),4),'Шаг1.Выбор плиты'!L:L,VLOOKUP(C346,'Шаг1.Выбор плиты'!C:Q,10,0),'Шаг1.Выбор плиты'!N:N,U346,'Шаг1.Выбор плиты'!M:M,SMALL(INDIRECT("мм"&amp;VLOOKUP(C346,'Шаг1.Выбор плиты'!C:Q,12,0)),1)))))))</f>
        <v/>
      </c>
      <c r="L346" s="147" t="str">
        <f ca="1">IFERROR(IFERROR(IF(VLOOKUP($A346,'Шаг2.Бланк заказа NEW'!$B$17:$N$201,9,0)="","",VLOOKUP($A346,'Шаг2.Бланк заказа NEW'!$B$17:$N$201,9,0)),
IF(VLOOKUP($A346-COUNT('Шаг2.Бланк заказа NEW'!$B$19:$B$201),'Бланк OLD 0.8 04'!$B$12:$K$200,9,0)="","",VLOOKUP($A346-COUNT('Шаг2.Бланк заказа NEW'!$B$19:$B$201),'Бланк OLD 0.8 04'!$B$12:$K$200,9,0))),
IF(VLOOKUP($A346-COUNT('Шаг2.Бланк заказа NEW'!$B$19:$B$201)-COUNT('Бланк OLD 0.8 04'!$B$18:$B$200),'Бланк OLD 2.0 04 '!$B$16:$K$200,9,0)="","",VLOOKUP($A346-COUNT('Шаг2.Бланк заказа NEW'!$B$19:$B$201)-COUNT('Бланк OLD 0.8 04'!$B$18:$B$200),'Бланк OLD 2.0 04 '!$B$16:$K$200,9,0)))</f>
        <v/>
      </c>
      <c r="M346" s="154" t="str">
        <f t="shared" ca="1" si="30"/>
        <v/>
      </c>
      <c r="N346" s="153" t="str">
        <f ca="1">IFERROR(IF(VLOOKUP($A346,'Шаг2.Бланк заказа NEW'!$B$17:$N$201,11,0)="","",VLOOKUP($A346,'Шаг2.Бланк заказа NEW'!$B$17:$N$201,11,0)),
"Нет")</f>
        <v/>
      </c>
      <c r="O346" s="147" t="str">
        <f ca="1">IFERROR(IF(VLOOKUP($A346,'Шаг2.Бланк заказа NEW'!$B$17:$N$201,11,0)="","",VLOOKUP($A346,'Шаг2.Бланк заказа NEW'!$B$17:$N$201,12,0)),
"Нет")</f>
        <v/>
      </c>
      <c r="P346" s="153" t="str">
        <f ca="1">IFERROR(IF(VLOOKUP($A346,'Шаг2.Бланк заказа NEW'!$B$17:$N$201,13,0)="","",VLOOKUP($A346,'Шаг2.Бланк заказа NEW'!$B$17:$N$201,13,0)),
"Нет")</f>
        <v/>
      </c>
      <c r="Q346" s="147" t="str">
        <f ca="1">IFERROR(IF(VLOOKUP($A346,'Шаг2.Бланк заказа NEW'!$B$17:$O$201,14,0)="","",VLOOKUP($A346,'Шаг2.Бланк заказа NEW'!$B$17:$O$201,14,0)),"")</f>
        <v/>
      </c>
      <c r="R346" s="147" t="str">
        <f ca="1">IFERROR(IFERROR(IF(VLOOKUP($A346,'Шаг2.Бланк заказа NEW'!$B$17:$N$201,4,0)="","",VLOOKUP($A346,'Шаг2.Бланк заказа NEW'!$B$17:$N$201,4,0)),
IF(VLOOKUP($A346-COUNT('Шаг2.Бланк заказа NEW'!$B$19:$B$201),'Бланк OLD 0.8 04'!$B$12:$K$200,4,0)&gt;0,0.8,
IF(VLOOKUP($A346-COUNT('Шаг2.Бланк заказа NEW'!$B$19:$B$201),'Бланк OLD 0.8 04'!$B$12:$K$200,5,0)&gt;0,0.4,""))),
IF(VLOOKUP($A346-COUNT('Шаг2.Бланк заказа NEW'!$B$19:$B$201)-COUNT('Бланк OLD 0.8 04'!$B$18:$B$200),'Бланк OLD 2.0 04 '!$B$16:$K$200,4,0)&gt;0,2,IF(VLOOKUP($A346-COUNT('Шаг2.Бланк заказа NEW'!$B$19:$B$201)-COUNT('Бланк OLD 0.8 04'!$B$18:$B$200),'Бланк OLD 2.0 04 '!$B$16:$K$200,5,0)&gt;0,0.4,"")))</f>
        <v/>
      </c>
      <c r="S346" s="147" t="str">
        <f ca="1">IFERROR(IFERROR(IF(VLOOKUP($A346,'Шаг2.Бланк заказа NEW'!$B$17:$N$201,5,0)="","",VLOOKUP($A346,'Шаг2.Бланк заказа NEW'!$B$17:$N$201,5,0)),
IF(VLOOKUP($A346-COUNT('Шаг2.Бланк заказа NEW'!$B$19:$B$201),'Бланк OLD 0.8 04'!$B$12:$K$200,4,0)&gt;1,0.8,
IF(VLOOKUP($A346-COUNT('Шаг2.Бланк заказа NEW'!$B$19:$B$201),'Бланк OLD 0.8 04'!$B$12:$K$200,5,0)&gt;1,0.4,
IF(AND(VLOOKUP($A346-COUNT('Шаг2.Бланк заказа NEW'!$B$19:$B$201),'Бланк OLD 0.8 04'!$B$12:$K$200,4,0)&gt;0,VLOOKUP($A346-COUNT('Шаг2.Бланк заказа NEW'!$B$19:$B$201),'Бланк OLD 0.8 04'!$B$12:$K$200,5,0)&gt;0),0.4,"")))),
IF(VLOOKUP($A346-COUNT('Шаг2.Бланк заказа NEW'!$B$19:$B$201)-COUNT('Бланк OLD 0.8 04'!$B$18:$B$200),'Бланк OLD 2.0 04 '!$B$16:$K$200,4,0)&gt;1,2,
IF(VLOOKUP($A346-COUNT('Шаг2.Бланк заказа NEW'!$B$19:$B$201)-COUNT('Бланк OLD 0.8 04'!$B$18:$B$200),'Бланк OLD 2.0 04 '!$B$16:$K$200,5,0)&gt;1,0.4,IF(AND(VLOOKUP($A346-COUNT('Шаг2.Бланк заказа NEW'!$B$19:$B$201)-COUNT('Бланк OLD 0.8 04'!$B$18:$B$200),'Бланк OLD 2.0 04 '!$B$16:$K$200,4,0)&gt;0,VLOOKUP($A346-COUNT('Шаг2.Бланк заказа NEW'!$B$19:$B$201)-COUNT('Бланк OLD 0.8 04'!$B$18:$B$200),'Бланк OLD 2.0 04 '!$B$16:$K$200,5,0)&gt;0),0.4,""))))</f>
        <v/>
      </c>
      <c r="T346" s="147" t="str">
        <f ca="1">IFERROR(IFERROR(IF(VLOOKUP($A346,'Шаг2.Бланк заказа NEW'!$B$17:$N$201,7,0)="","",VLOOKUP($A346,'Шаг2.Бланк заказа NEW'!$B$17:$N$201,7,0)),
IF(VLOOKUP($A346-COUNT('Шаг2.Бланк заказа NEW'!$B$19:$B$201),'Бланк OLD 0.8 04'!$B$12:$K$200,7,0)&gt;0,0.8,
IF(VLOOKUP($A346-COUNT('Шаг2.Бланк заказа NEW'!$B$19:$B$201),'Бланк OLD 0.8 04'!$B$12:$K$200,8,0)&gt;0,0.4,""))),
IF(VLOOKUP($A346-COUNT('Шаг2.Бланк заказа NEW'!$B$19:$B$201)-COUNT('Бланк OLD 0.8 04'!$B$18:$B$200),'Бланк OLD 2.0 04 '!$B$16:$K$200,7,0)&gt;0,2,IF(VLOOKUP($A346-COUNT('Шаг2.Бланк заказа NEW'!$B$19:$B$201)-COUNT('Бланк OLD 0.8 04'!$B$18:$B$200),'Бланк OLD 2.0 04 '!$B$16:$K$200,8,0)&gt;0,0.4,"")))</f>
        <v/>
      </c>
      <c r="U346" s="147" t="str">
        <f ca="1">IFERROR(IFERROR(IF(VLOOKUP($A346,'Шаг2.Бланк заказа NEW'!$B$17:$N$201,8,0)="","",VLOOKUP($A346,'Шаг2.Бланк заказа NEW'!$B$17:$N$201,8,0)),
IF(VLOOKUP($A346-COUNT('Шаг2.Бланк заказа NEW'!$B$19:$B$201),'Бланк OLD 0.8 04'!$B$12:$K$200,7,0)&gt;1,0.8,
IF(VLOOKUP($A346-COUNT('Шаг2.Бланк заказа NEW'!$B$19:$B$201),'Бланк OLD 0.8 04'!$B$12:$K$200,8,0)&gt;1,0.4,
IF(AND(VLOOKUP($A346-COUNT('Шаг2.Бланк заказа NEW'!$B$19:$B$201),'Бланк OLD 0.8 04'!$B$12:$K$200,7,0)&gt;0,VLOOKUP($A346-COUNT('Шаг2.Бланк заказа NEW'!$B$19:$B$201),'Бланк OLD 0.8 04'!$B$12:$K$200,8,0)&gt;0),0.4,"")))),
IF(VLOOKUP($A346-COUNT('Шаг2.Бланк заказа NEW'!$B$19:$B$201)-COUNT('Бланк OLD 0.8 04'!$B$18:$B$200),'Бланк OLD 2.0 04 '!$B$16:$K$200,7,0)&gt;1,2,
IF(VLOOKUP($A346-COUNT('Шаг2.Бланк заказа NEW'!$B$19:$B$201)-COUNT('Бланк OLD 0.8 04'!$B$18:$B$200),'Бланк OLD 2.0 04 '!$B$16:$K$200,8,0)&gt;1,0.4,
IF(AND(VLOOKUP($A346-COUNT('Шаг2.Бланк заказа NEW'!$B$19:$B$201)-COUNT('Бланк OLD 0.8 04'!$B$18:$B$200),'Бланк OLD 2.0 04 '!$B$16:$K$200,7,0)&gt;0,VLOOKUP($A346-COUNT('Шаг2.Бланк заказа NEW'!$B$19:$B$201)-COUNT('Бланк OLD 0.8 04'!$B$18:$B$200),'Бланк OLD 2.0 04 '!$B$16:$K$200,8,0)&gt;0),0.4,""))))</f>
        <v/>
      </c>
      <c r="V346" s="146" t="str">
        <f ca="1">IFERROR(VLOOKUP(C346,'Шаг1.Выбор плиты'!C:S,12,0),"")</f>
        <v/>
      </c>
      <c r="W346" s="146" t="str">
        <f ca="1">IFERROR(VLOOKUP(C346,'Шаг1.Выбор плиты'!C:S,8,0),"")</f>
        <v/>
      </c>
      <c r="X346" s="146" t="str">
        <f ca="1">IFERROR(VLOOKUP(C346,'Шаг1.Выбор плиты'!C:S,10,0),"")</f>
        <v/>
      </c>
      <c r="Y346" s="147" t="str">
        <f t="shared" ca="1" si="28"/>
        <v/>
      </c>
      <c r="AD346" s="147" t="str">
        <f t="shared" ca="1" si="31"/>
        <v/>
      </c>
      <c r="AE346" s="147" t="str">
        <f t="shared" ca="1" si="29"/>
        <v/>
      </c>
      <c r="AF346" s="25"/>
      <c r="AH346" s="147" t="str">
        <f ca="1">IF(C346="","",VLOOKUP(C346,'Шаг1.Выбор плиты'!C:Q,7,0))</f>
        <v/>
      </c>
      <c r="AI346" s="147" t="str">
        <f t="shared" ca="1" si="32"/>
        <v/>
      </c>
    </row>
    <row r="347" spans="1:35" x14ac:dyDescent="0.2">
      <c r="A347" s="151" t="str">
        <f ca="1">IF(C347="","",MAX($A$1:OFFSET(C347,-1,0))+1)</f>
        <v/>
      </c>
      <c r="B347" s="151" t="str">
        <f ca="1">IFERROR(IFERROR(IFERROR("Шаг2.Бланк заказа NEW №"&amp;VLOOKUP(A346+1,CHOOSE({1,2},'Шаг2.Бланк заказа NEW'!$B$19:$B$201,'Шаг2.Бланк заказа NEW'!$A$19:$A$201),1,0),
"Бланк OLD 0.8 04 №"&amp;VLOOKUP(A346+1-COUNT('Шаг2.Бланк заказа NEW'!$B$19:$B$201),CHOOSE({1,2},'Бланк OLD 0.8 04'!$B$18:$B$200,'Бланк OLD 0.8 04'!$A$18:$A$200),1,0)),
"Бланк OLD 2.0 04 №"&amp;VLOOKUP(A346+1-COUNT('Шаг2.Бланк заказа NEW'!$B$19:$B$201)-COUNT('Бланк OLD 0.8 04'!$B$18:$B$200),CHOOSE({1,2},'Бланк OLD 2.0 04 '!$B$18:$B$200,'Бланк OLD 2.0 04 '!$A$18:$A$200),1,0)),"")</f>
        <v/>
      </c>
      <c r="C347" s="152" t="str">
        <f ca="1">IFERROR(IFERROR(IFERROR(VLOOKUP(A346+1,CHOOSE({1,2},'Шаг2.Бланк заказа NEW'!$B$19:$B$201,'Шаг2.Бланк заказа NEW'!$A$19:$A$201),2,0),
VLOOKUP(A346+1-COUNT('Шаг2.Бланк заказа NEW'!$B$19:$B$201),CHOOSE({1,2},'Бланк OLD 0.8 04'!$B$18:$B$200,'Бланк OLD 0.8 04'!$A$18:$A$200),2,0)),
VLOOKUP(A346+1-COUNT('Шаг2.Бланк заказа NEW'!$B$19:$B$201)-COUNT('Бланк OLD 0.8 04'!$B$18:$B$200),CHOOSE({1,2},'Бланк OLD 2.0 04 '!$B$18:$B$200,'Бланк OLD 2.0 04 '!$A$18:$A$200),2,0)),"")</f>
        <v/>
      </c>
      <c r="D347" s="150" t="str">
        <f ca="1">IFERROR(VLOOKUP(C347,'Шаг1.Выбор плиты'!C:G,5,0),"")</f>
        <v/>
      </c>
      <c r="E347" s="147" t="str">
        <f ca="1">IFERROR(IFERROR(IF(VLOOKUP($A347,'Шаг2.Бланк заказа NEW'!$B$17:$N$201,2,0)="","",VLOOKUP($A347,'Шаг2.Бланк заказа NEW'!$B$17:$N$201,2,0)),
IF(VLOOKUP($A347-COUNT('Шаг2.Бланк заказа NEW'!$B$19:$B$201),'Бланк OLD 0.8 04'!$B$12:$K$200,2,0)="","",VLOOKUP($A347-COUNT('Шаг2.Бланк заказа NEW'!$B$19:$B$201),'Бланк OLD 0.8 04'!$B$12:$K$200,2,0))),
IF(VLOOKUP($A347-COUNT('Шаг2.Бланк заказа NEW'!$B$19:$B$201)-COUNT('Бланк OLD 0.8 04'!$B$18:$B$200),'Бланк OLD 2.0 04 '!$B$16:$K$200,2,0)="","",VLOOKUP($A347-COUNT('Шаг2.Бланк заказа NEW'!$B$19:$B$201)-COUNT('Бланк OLD 0.8 04'!$B$18:$B$200),'Бланк OLD 2.0 04 '!$B$16:$K$200,2,0)))</f>
        <v/>
      </c>
      <c r="F347" s="147" t="str">
        <f ca="1">IFERROR(IFERROR(IF(VLOOKUP($A347,'Шаг2.Бланк заказа NEW'!$B$17:$N$201,3,0)="","",VLOOKUP($A347,'Шаг2.Бланк заказа NEW'!$B$17:$N$201,3,0)),
IF(VLOOKUP($A347-COUNT('Шаг2.Бланк заказа NEW'!$B$19:$B$201),'Бланк OLD 0.8 04'!$B$12:$K$200,3,0)="","",VLOOKUP($A347-COUNT('Шаг2.Бланк заказа NEW'!$B$19:$B$201),'Бланк OLD 0.8 04'!$B$12:$K$200,3,0))),
IF(VLOOKUP($A347-COUNT('Шаг2.Бланк заказа NEW'!$B$19:$B$201)-COUNT('Бланк OLD 0.8 04'!$B$18:$B$200),'Бланк OLD 2.0 04 '!$B$16:$K$200,3,0)="","",VLOOKUP($A347-COUNT('Шаг2.Бланк заказа NEW'!$B$19:$B$201)-COUNT('Бланк OLD 0.8 04'!$B$18:$B$200),'Бланк OLD 2.0 04 '!$B$16:$K$200,3,0)))</f>
        <v/>
      </c>
      <c r="G347" s="176" t="str">
        <f ca="1">IF(IF(R347="","",IF(R347=1,SUMIFS('Шаг1.Выбор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плиты'!C:Q,12,0)),1))))))=0,
R347,
IF(R347="","",IF(R347=1,SUMIFS('Шаг1.Выбор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плиты'!N:N,R347,'Шаг1.Выбор плиты'!M:M,SMALL(INDIRECT("мм"&amp;VLOOKUP(C347,'Шаг1.Выбор плиты'!C:Q,12,0)),1)))))))</f>
        <v/>
      </c>
      <c r="H347" s="177" t="str">
        <f ca="1">IF(IF(S347="","",IF(S347=1,SUMIFS('Шаг1.Выбор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плиты'!C:Q,12,0)),1))))))=0,
S347,
IF(S347="","",IF(S347=1,SUMIFS('Шаг1.Выбор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плиты'!N:N,S347,'Шаг1.Выбор плиты'!M:M,SMALL(INDIRECT("мм"&amp;VLOOKUP(C347,'Шаг1.Выбор плиты'!C:Q,12,0)),1)))))))</f>
        <v/>
      </c>
      <c r="I347" s="147" t="str">
        <f ca="1">IFERROR(IFERROR(IF(VLOOKUP($A347,'Шаг2.Бланк заказа NEW'!$B$17:$N$201,6,0)="","",VLOOKUP($A347,'Шаг2.Бланк заказа NEW'!$B$17:$N$201,6,0)),
IF(VLOOKUP($A347-COUNT('Шаг2.Бланк заказа NEW'!$B$19:$B$201),'Бланк OLD 0.8 04'!$B$12:$K$200,6,0)="","",VLOOKUP($A347-COUNT('Шаг2.Бланк заказа NEW'!$B$19:$B$201),'Бланк OLD 0.8 04'!$B$12:$K$200,6,0))),
IF(VLOOKUP($A347-COUNT('Шаг2.Бланк заказа NEW'!$B$19:$B$201)-COUNT('Бланк OLD 0.8 04'!$B$18:$B$200),'Бланк OLD 2.0 04 '!$B$16:$K$200,6,0)="","",VLOOKUP($A347-COUNT('Шаг2.Бланк заказа NEW'!$B$19:$B$201)-COUNT('Бланк OLD 0.8 04'!$B$18:$B$200),'Бланк OLD 2.0 04 '!$B$16:$K$200,6,0)))</f>
        <v/>
      </c>
      <c r="J347" s="177" t="str">
        <f ca="1">IF(IF(T347="","",IF(T347=1,SUMIFS('Шаг1.Выбор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плиты'!C:Q,12,0)),1))))))=0,
T347,
IF(T347="","",IF(T347=1,SUMIFS('Шаг1.Выбор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плиты'!N:N,T347,'Шаг1.Выбор плиты'!M:M,SMALL(INDIRECT("мм"&amp;VLOOKUP(C347,'Шаг1.Выбор плиты'!C:Q,12,0)),1)))))))</f>
        <v/>
      </c>
      <c r="K347" s="177" t="str">
        <f ca="1">IF(IF(U347="","",IF(U347=1,SUMIFS('Шаг1.Выбор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плиты'!C:Q,12,0)),1))))))=0,
U347,
IF(U347="","",IF(U347=1,SUMIFS('Шаг1.Выбор плиты'!$G:$G,'Шаг1.Выбор плиты'!J:J,"*"&amp;RIGHT(VLOOKUP(C347,'Шаг1.Выбор плиты'!C:Q,8,0),4),'Шаг1.Выбор плиты'!L:L,IF(MID(C347,1,6)="ЛДСП P","TM"&amp;MID(VLOOKUP(C347,'Шаг1.Выбор плиты'!C:Q,10,0),3,2),MID(VLOOKUP(C347,'Шаг1.Выбор плиты'!C:Q,10,0),1,2)),
'Шаг1.Выбор плиты'!N:N,1),IF(SUMIFS('Шаг1.Выбор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плиты'!C:Q,12,0)),1))=0,
IF(SUMIFS('Шаг1.Выбор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плиты'!C:Q,12,0)),2))=0,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плиты'!C:Q,12,0)),3)),
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плиты'!C:Q,12,0)),2))),
(SUMIFS('Шаг1.Выбор плиты'!$G:$G,'Шаг1.Выбор плиты'!J:J,"*"&amp;RIGHT(VLOOKUP(C347,'Шаг1.Выбор плиты'!C:Q,8,0),4),'Шаг1.Выбор плиты'!L:L,VLOOKUP(C347,'Шаг1.Выбор плиты'!C:Q,10,0),'Шаг1.Выбор плиты'!N:N,U347,'Шаг1.Выбор плиты'!M:M,SMALL(INDIRECT("мм"&amp;VLOOKUP(C347,'Шаг1.Выбор плиты'!C:Q,12,0)),1)))))))</f>
        <v/>
      </c>
      <c r="L347" s="147" t="str">
        <f ca="1">IFERROR(IFERROR(IF(VLOOKUP($A347,'Шаг2.Бланк заказа NEW'!$B$17:$N$201,9,0)="","",VLOOKUP($A347,'Шаг2.Бланк заказа NEW'!$B$17:$N$201,9,0)),
IF(VLOOKUP($A347-COUNT('Шаг2.Бланк заказа NEW'!$B$19:$B$201),'Бланк OLD 0.8 04'!$B$12:$K$200,9,0)="","",VLOOKUP($A347-COUNT('Шаг2.Бланк заказа NEW'!$B$19:$B$201),'Бланк OLD 0.8 04'!$B$12:$K$200,9,0))),
IF(VLOOKUP($A347-COUNT('Шаг2.Бланк заказа NEW'!$B$19:$B$201)-COUNT('Бланк OLD 0.8 04'!$B$18:$B$200),'Бланк OLD 2.0 04 '!$B$16:$K$200,9,0)="","",VLOOKUP($A347-COUNT('Шаг2.Бланк заказа NEW'!$B$19:$B$201)-COUNT('Бланк OLD 0.8 04'!$B$18:$B$200),'Бланк OLD 2.0 04 '!$B$16:$K$200,9,0)))</f>
        <v/>
      </c>
      <c r="M347" s="154" t="str">
        <f t="shared" ca="1" si="30"/>
        <v/>
      </c>
      <c r="N347" s="153" t="str">
        <f ca="1">IFERROR(IF(VLOOKUP($A347,'Шаг2.Бланк заказа NEW'!$B$17:$N$201,11,0)="","",VLOOKUP($A347,'Шаг2.Бланк заказа NEW'!$B$17:$N$201,11,0)),
"Нет")</f>
        <v/>
      </c>
      <c r="O347" s="147" t="str">
        <f ca="1">IFERROR(IF(VLOOKUP($A347,'Шаг2.Бланк заказа NEW'!$B$17:$N$201,11,0)="","",VLOOKUP($A347,'Шаг2.Бланк заказа NEW'!$B$17:$N$201,12,0)),
"Нет")</f>
        <v/>
      </c>
      <c r="P347" s="153" t="str">
        <f ca="1">IFERROR(IF(VLOOKUP($A347,'Шаг2.Бланк заказа NEW'!$B$17:$N$201,13,0)="","",VLOOKUP($A347,'Шаг2.Бланк заказа NEW'!$B$17:$N$201,13,0)),
"Нет")</f>
        <v/>
      </c>
      <c r="Q347" s="147" t="str">
        <f ca="1">IFERROR(IF(VLOOKUP($A347,'Шаг2.Бланк заказа NEW'!$B$17:$O$201,14,0)="","",VLOOKUP($A347,'Шаг2.Бланк заказа NEW'!$B$17:$O$201,14,0)),"")</f>
        <v/>
      </c>
      <c r="R347" s="147" t="str">
        <f ca="1">IFERROR(IFERROR(IF(VLOOKUP($A347,'Шаг2.Бланк заказа NEW'!$B$17:$N$201,4,0)="","",VLOOKUP($A347,'Шаг2.Бланк заказа NEW'!$B$17:$N$201,4,0)),
IF(VLOOKUP($A347-COUNT('Шаг2.Бланк заказа NEW'!$B$19:$B$201),'Бланк OLD 0.8 04'!$B$12:$K$200,4,0)&gt;0,0.8,
IF(VLOOKUP($A347-COUNT('Шаг2.Бланк заказа NEW'!$B$19:$B$201),'Бланк OLD 0.8 04'!$B$12:$K$200,5,0)&gt;0,0.4,""))),
IF(VLOOKUP($A347-COUNT('Шаг2.Бланк заказа NEW'!$B$19:$B$201)-COUNT('Бланк OLD 0.8 04'!$B$18:$B$200),'Бланк OLD 2.0 04 '!$B$16:$K$200,4,0)&gt;0,2,IF(VLOOKUP($A347-COUNT('Шаг2.Бланк заказа NEW'!$B$19:$B$201)-COUNT('Бланк OLD 0.8 04'!$B$18:$B$200),'Бланк OLD 2.0 04 '!$B$16:$K$200,5,0)&gt;0,0.4,"")))</f>
        <v/>
      </c>
      <c r="S347" s="147" t="str">
        <f ca="1">IFERROR(IFERROR(IF(VLOOKUP($A347,'Шаг2.Бланк заказа NEW'!$B$17:$N$201,5,0)="","",VLOOKUP($A347,'Шаг2.Бланк заказа NEW'!$B$17:$N$201,5,0)),
IF(VLOOKUP($A347-COUNT('Шаг2.Бланк заказа NEW'!$B$19:$B$201),'Бланк OLD 0.8 04'!$B$12:$K$200,4,0)&gt;1,0.8,
IF(VLOOKUP($A347-COUNT('Шаг2.Бланк заказа NEW'!$B$19:$B$201),'Бланк OLD 0.8 04'!$B$12:$K$200,5,0)&gt;1,0.4,
IF(AND(VLOOKUP($A347-COUNT('Шаг2.Бланк заказа NEW'!$B$19:$B$201),'Бланк OLD 0.8 04'!$B$12:$K$200,4,0)&gt;0,VLOOKUP($A347-COUNT('Шаг2.Бланк заказа NEW'!$B$19:$B$201),'Бланк OLD 0.8 04'!$B$12:$K$200,5,0)&gt;0),0.4,"")))),
IF(VLOOKUP($A347-COUNT('Шаг2.Бланк заказа NEW'!$B$19:$B$201)-COUNT('Бланк OLD 0.8 04'!$B$18:$B$200),'Бланк OLD 2.0 04 '!$B$16:$K$200,4,0)&gt;1,2,
IF(VLOOKUP($A347-COUNT('Шаг2.Бланк заказа NEW'!$B$19:$B$201)-COUNT('Бланк OLD 0.8 04'!$B$18:$B$200),'Бланк OLD 2.0 04 '!$B$16:$K$200,5,0)&gt;1,0.4,IF(AND(VLOOKUP($A347-COUNT('Шаг2.Бланк заказа NEW'!$B$19:$B$201)-COUNT('Бланк OLD 0.8 04'!$B$18:$B$200),'Бланк OLD 2.0 04 '!$B$16:$K$200,4,0)&gt;0,VLOOKUP($A347-COUNT('Шаг2.Бланк заказа NEW'!$B$19:$B$201)-COUNT('Бланк OLD 0.8 04'!$B$18:$B$200),'Бланк OLD 2.0 04 '!$B$16:$K$200,5,0)&gt;0),0.4,""))))</f>
        <v/>
      </c>
      <c r="T347" s="147" t="str">
        <f ca="1">IFERROR(IFERROR(IF(VLOOKUP($A347,'Шаг2.Бланк заказа NEW'!$B$17:$N$201,7,0)="","",VLOOKUP($A347,'Шаг2.Бланк заказа NEW'!$B$17:$N$201,7,0)),
IF(VLOOKUP($A347-COUNT('Шаг2.Бланк заказа NEW'!$B$19:$B$201),'Бланк OLD 0.8 04'!$B$12:$K$200,7,0)&gt;0,0.8,
IF(VLOOKUP($A347-COUNT('Шаг2.Бланк заказа NEW'!$B$19:$B$201),'Бланк OLD 0.8 04'!$B$12:$K$200,8,0)&gt;0,0.4,""))),
IF(VLOOKUP($A347-COUNT('Шаг2.Бланк заказа NEW'!$B$19:$B$201)-COUNT('Бланк OLD 0.8 04'!$B$18:$B$200),'Бланк OLD 2.0 04 '!$B$16:$K$200,7,0)&gt;0,2,IF(VLOOKUP($A347-COUNT('Шаг2.Бланк заказа NEW'!$B$19:$B$201)-COUNT('Бланк OLD 0.8 04'!$B$18:$B$200),'Бланк OLD 2.0 04 '!$B$16:$K$200,8,0)&gt;0,0.4,"")))</f>
        <v/>
      </c>
      <c r="U347" s="147" t="str">
        <f ca="1">IFERROR(IFERROR(IF(VLOOKUP($A347,'Шаг2.Бланк заказа NEW'!$B$17:$N$201,8,0)="","",VLOOKUP($A347,'Шаг2.Бланк заказа NEW'!$B$17:$N$201,8,0)),
IF(VLOOKUP($A347-COUNT('Шаг2.Бланк заказа NEW'!$B$19:$B$201),'Бланк OLD 0.8 04'!$B$12:$K$200,7,0)&gt;1,0.8,
IF(VLOOKUP($A347-COUNT('Шаг2.Бланк заказа NEW'!$B$19:$B$201),'Бланк OLD 0.8 04'!$B$12:$K$200,8,0)&gt;1,0.4,
IF(AND(VLOOKUP($A347-COUNT('Шаг2.Бланк заказа NEW'!$B$19:$B$201),'Бланк OLD 0.8 04'!$B$12:$K$200,7,0)&gt;0,VLOOKUP($A347-COUNT('Шаг2.Бланк заказа NEW'!$B$19:$B$201),'Бланк OLD 0.8 04'!$B$12:$K$200,8,0)&gt;0),0.4,"")))),
IF(VLOOKUP($A347-COUNT('Шаг2.Бланк заказа NEW'!$B$19:$B$201)-COUNT('Бланк OLD 0.8 04'!$B$18:$B$200),'Бланк OLD 2.0 04 '!$B$16:$K$200,7,0)&gt;1,2,
IF(VLOOKUP($A347-COUNT('Шаг2.Бланк заказа NEW'!$B$19:$B$201)-COUNT('Бланк OLD 0.8 04'!$B$18:$B$200),'Бланк OLD 2.0 04 '!$B$16:$K$200,8,0)&gt;1,0.4,
IF(AND(VLOOKUP($A347-COUNT('Шаг2.Бланк заказа NEW'!$B$19:$B$201)-COUNT('Бланк OLD 0.8 04'!$B$18:$B$200),'Бланк OLD 2.0 04 '!$B$16:$K$200,7,0)&gt;0,VLOOKUP($A347-COUNT('Шаг2.Бланк заказа NEW'!$B$19:$B$201)-COUNT('Бланк OLD 0.8 04'!$B$18:$B$200),'Бланк OLD 2.0 04 '!$B$16:$K$200,8,0)&gt;0),0.4,""))))</f>
        <v/>
      </c>
      <c r="V347" s="146" t="str">
        <f ca="1">IFERROR(VLOOKUP(C347,'Шаг1.Выбор плиты'!C:S,12,0),"")</f>
        <v/>
      </c>
      <c r="W347" s="146" t="str">
        <f ca="1">IFERROR(VLOOKUP(C347,'Шаг1.Выбор плиты'!C:S,8,0),"")</f>
        <v/>
      </c>
      <c r="X347" s="146" t="str">
        <f ca="1">IFERROR(VLOOKUP(C347,'Шаг1.Выбор плиты'!C:S,10,0),"")</f>
        <v/>
      </c>
      <c r="Y347" s="147" t="str">
        <f t="shared" ca="1" si="28"/>
        <v/>
      </c>
      <c r="AD347" s="147" t="str">
        <f t="shared" ca="1" si="31"/>
        <v/>
      </c>
      <c r="AE347" s="147" t="str">
        <f t="shared" ca="1" si="29"/>
        <v/>
      </c>
      <c r="AF347" s="25"/>
      <c r="AH347" s="147" t="str">
        <f ca="1">IF(C347="","",VLOOKUP(C347,'Шаг1.Выбор плиты'!C:Q,7,0))</f>
        <v/>
      </c>
      <c r="AI347" s="147" t="str">
        <f t="shared" ca="1" si="32"/>
        <v/>
      </c>
    </row>
    <row r="348" spans="1:35" x14ac:dyDescent="0.2">
      <c r="A348" s="151" t="str">
        <f ca="1">IF(C348="","",MAX($A$1:OFFSET(C348,-1,0))+1)</f>
        <v/>
      </c>
      <c r="B348" s="151" t="str">
        <f ca="1">IFERROR(IFERROR(IFERROR("Шаг2.Бланк заказа NEW №"&amp;VLOOKUP(A347+1,CHOOSE({1,2},'Шаг2.Бланк заказа NEW'!$B$19:$B$201,'Шаг2.Бланк заказа NEW'!$A$19:$A$201),1,0),
"Бланк OLD 0.8 04 №"&amp;VLOOKUP(A347+1-COUNT('Шаг2.Бланк заказа NEW'!$B$19:$B$201),CHOOSE({1,2},'Бланк OLD 0.8 04'!$B$18:$B$200,'Бланк OLD 0.8 04'!$A$18:$A$200),1,0)),
"Бланк OLD 2.0 04 №"&amp;VLOOKUP(A347+1-COUNT('Шаг2.Бланк заказа NEW'!$B$19:$B$201)-COUNT('Бланк OLD 0.8 04'!$B$18:$B$200),CHOOSE({1,2},'Бланк OLD 2.0 04 '!$B$18:$B$200,'Бланк OLD 2.0 04 '!$A$18:$A$200),1,0)),"")</f>
        <v/>
      </c>
      <c r="C348" s="152" t="str">
        <f ca="1">IFERROR(IFERROR(IFERROR(VLOOKUP(A347+1,CHOOSE({1,2},'Шаг2.Бланк заказа NEW'!$B$19:$B$201,'Шаг2.Бланк заказа NEW'!$A$19:$A$201),2,0),
VLOOKUP(A347+1-COUNT('Шаг2.Бланк заказа NEW'!$B$19:$B$201),CHOOSE({1,2},'Бланк OLD 0.8 04'!$B$18:$B$200,'Бланк OLD 0.8 04'!$A$18:$A$200),2,0)),
VLOOKUP(A347+1-COUNT('Шаг2.Бланк заказа NEW'!$B$19:$B$201)-COUNT('Бланк OLD 0.8 04'!$B$18:$B$200),CHOOSE({1,2},'Бланк OLD 2.0 04 '!$B$18:$B$200,'Бланк OLD 2.0 04 '!$A$18:$A$200),2,0)),"")</f>
        <v/>
      </c>
      <c r="D348" s="150" t="str">
        <f ca="1">IFERROR(VLOOKUP(C348,'Шаг1.Выбор плиты'!C:G,5,0),"")</f>
        <v/>
      </c>
      <c r="E348" s="147" t="str">
        <f ca="1">IFERROR(IFERROR(IF(VLOOKUP($A348,'Шаг2.Бланк заказа NEW'!$B$17:$N$201,2,0)="","",VLOOKUP($A348,'Шаг2.Бланк заказа NEW'!$B$17:$N$201,2,0)),
IF(VLOOKUP($A348-COUNT('Шаг2.Бланк заказа NEW'!$B$19:$B$201),'Бланк OLD 0.8 04'!$B$12:$K$200,2,0)="","",VLOOKUP($A348-COUNT('Шаг2.Бланк заказа NEW'!$B$19:$B$201),'Бланк OLD 0.8 04'!$B$12:$K$200,2,0))),
IF(VLOOKUP($A348-COUNT('Шаг2.Бланк заказа NEW'!$B$19:$B$201)-COUNT('Бланк OLD 0.8 04'!$B$18:$B$200),'Бланк OLD 2.0 04 '!$B$16:$K$200,2,0)="","",VLOOKUP($A348-COUNT('Шаг2.Бланк заказа NEW'!$B$19:$B$201)-COUNT('Бланк OLD 0.8 04'!$B$18:$B$200),'Бланк OLD 2.0 04 '!$B$16:$K$200,2,0)))</f>
        <v/>
      </c>
      <c r="F348" s="147" t="str">
        <f ca="1">IFERROR(IFERROR(IF(VLOOKUP($A348,'Шаг2.Бланк заказа NEW'!$B$17:$N$201,3,0)="","",VLOOKUP($A348,'Шаг2.Бланк заказа NEW'!$B$17:$N$201,3,0)),
IF(VLOOKUP($A348-COUNT('Шаг2.Бланк заказа NEW'!$B$19:$B$201),'Бланк OLD 0.8 04'!$B$12:$K$200,3,0)="","",VLOOKUP($A348-COUNT('Шаг2.Бланк заказа NEW'!$B$19:$B$201),'Бланк OLD 0.8 04'!$B$12:$K$200,3,0))),
IF(VLOOKUP($A348-COUNT('Шаг2.Бланк заказа NEW'!$B$19:$B$201)-COUNT('Бланк OLD 0.8 04'!$B$18:$B$200),'Бланк OLD 2.0 04 '!$B$16:$K$200,3,0)="","",VLOOKUP($A348-COUNT('Шаг2.Бланк заказа NEW'!$B$19:$B$201)-COUNT('Бланк OLD 0.8 04'!$B$18:$B$200),'Бланк OLD 2.0 04 '!$B$16:$K$200,3,0)))</f>
        <v/>
      </c>
      <c r="G348" s="176" t="str">
        <f ca="1">IF(IF(R348="","",IF(R348=1,SUMIFS('Шаг1.Выбор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плиты'!C:Q,12,0)),1))))))=0,
R348,
IF(R348="","",IF(R348=1,SUMIFS('Шаг1.Выбор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плиты'!N:N,R348,'Шаг1.Выбор плиты'!M:M,SMALL(INDIRECT("мм"&amp;VLOOKUP(C348,'Шаг1.Выбор плиты'!C:Q,12,0)),1)))))))</f>
        <v/>
      </c>
      <c r="H348" s="177" t="str">
        <f ca="1">IF(IF(S348="","",IF(S348=1,SUMIFS('Шаг1.Выбор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плиты'!C:Q,12,0)),1))))))=0,
S348,
IF(S348="","",IF(S348=1,SUMIFS('Шаг1.Выбор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плиты'!N:N,S348,'Шаг1.Выбор плиты'!M:M,SMALL(INDIRECT("мм"&amp;VLOOKUP(C348,'Шаг1.Выбор плиты'!C:Q,12,0)),1)))))))</f>
        <v/>
      </c>
      <c r="I348" s="147" t="str">
        <f ca="1">IFERROR(IFERROR(IF(VLOOKUP($A348,'Шаг2.Бланк заказа NEW'!$B$17:$N$201,6,0)="","",VLOOKUP($A348,'Шаг2.Бланк заказа NEW'!$B$17:$N$201,6,0)),
IF(VLOOKUP($A348-COUNT('Шаг2.Бланк заказа NEW'!$B$19:$B$201),'Бланк OLD 0.8 04'!$B$12:$K$200,6,0)="","",VLOOKUP($A348-COUNT('Шаг2.Бланк заказа NEW'!$B$19:$B$201),'Бланк OLD 0.8 04'!$B$12:$K$200,6,0))),
IF(VLOOKUP($A348-COUNT('Шаг2.Бланк заказа NEW'!$B$19:$B$201)-COUNT('Бланк OLD 0.8 04'!$B$18:$B$200),'Бланк OLD 2.0 04 '!$B$16:$K$200,6,0)="","",VLOOKUP($A348-COUNT('Шаг2.Бланк заказа NEW'!$B$19:$B$201)-COUNT('Бланк OLD 0.8 04'!$B$18:$B$200),'Бланк OLD 2.0 04 '!$B$16:$K$200,6,0)))</f>
        <v/>
      </c>
      <c r="J348" s="177" t="str">
        <f ca="1">IF(IF(T348="","",IF(T348=1,SUMIFS('Шаг1.Выбор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плиты'!C:Q,12,0)),1))))))=0,
T348,
IF(T348="","",IF(T348=1,SUMIFS('Шаг1.Выбор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плиты'!N:N,T348,'Шаг1.Выбор плиты'!M:M,SMALL(INDIRECT("мм"&amp;VLOOKUP(C348,'Шаг1.Выбор плиты'!C:Q,12,0)),1)))))))</f>
        <v/>
      </c>
      <c r="K348" s="177" t="str">
        <f ca="1">IF(IF(U348="","",IF(U348=1,SUMIFS('Шаг1.Выбор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плиты'!C:Q,12,0)),1))))))=0,
U348,
IF(U348="","",IF(U348=1,SUMIFS('Шаг1.Выбор плиты'!$G:$G,'Шаг1.Выбор плиты'!J:J,"*"&amp;RIGHT(VLOOKUP(C348,'Шаг1.Выбор плиты'!C:Q,8,0),4),'Шаг1.Выбор плиты'!L:L,IF(MID(C348,1,6)="ЛДСП P","TM"&amp;MID(VLOOKUP(C348,'Шаг1.Выбор плиты'!C:Q,10,0),3,2),MID(VLOOKUP(C348,'Шаг1.Выбор плиты'!C:Q,10,0),1,2)),
'Шаг1.Выбор плиты'!N:N,1),IF(SUMIFS('Шаг1.Выбор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плиты'!C:Q,12,0)),1))=0,
IF(SUMIFS('Шаг1.Выбор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плиты'!C:Q,12,0)),2))=0,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плиты'!C:Q,12,0)),3)),
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плиты'!C:Q,12,0)),2))),
(SUMIFS('Шаг1.Выбор плиты'!$G:$G,'Шаг1.Выбор плиты'!J:J,"*"&amp;RIGHT(VLOOKUP(C348,'Шаг1.Выбор плиты'!C:Q,8,0),4),'Шаг1.Выбор плиты'!L:L,VLOOKUP(C348,'Шаг1.Выбор плиты'!C:Q,10,0),'Шаг1.Выбор плиты'!N:N,U348,'Шаг1.Выбор плиты'!M:M,SMALL(INDIRECT("мм"&amp;VLOOKUP(C348,'Шаг1.Выбор плиты'!C:Q,12,0)),1)))))))</f>
        <v/>
      </c>
      <c r="L348" s="147" t="str">
        <f ca="1">IFERROR(IFERROR(IF(VLOOKUP($A348,'Шаг2.Бланк заказа NEW'!$B$17:$N$201,9,0)="","",VLOOKUP($A348,'Шаг2.Бланк заказа NEW'!$B$17:$N$201,9,0)),
IF(VLOOKUP($A348-COUNT('Шаг2.Бланк заказа NEW'!$B$19:$B$201),'Бланк OLD 0.8 04'!$B$12:$K$200,9,0)="","",VLOOKUP($A348-COUNT('Шаг2.Бланк заказа NEW'!$B$19:$B$201),'Бланк OLD 0.8 04'!$B$12:$K$200,9,0))),
IF(VLOOKUP($A348-COUNT('Шаг2.Бланк заказа NEW'!$B$19:$B$201)-COUNT('Бланк OLD 0.8 04'!$B$18:$B$200),'Бланк OLD 2.0 04 '!$B$16:$K$200,9,0)="","",VLOOKUP($A348-COUNT('Шаг2.Бланк заказа NEW'!$B$19:$B$201)-COUNT('Бланк OLD 0.8 04'!$B$18:$B$200),'Бланк OLD 2.0 04 '!$B$16:$K$200,9,0)))</f>
        <v/>
      </c>
      <c r="M348" s="154" t="str">
        <f t="shared" ca="1" si="30"/>
        <v/>
      </c>
      <c r="N348" s="153" t="str">
        <f ca="1">IFERROR(IF(VLOOKUP($A348,'Шаг2.Бланк заказа NEW'!$B$17:$N$201,11,0)="","",VLOOKUP($A348,'Шаг2.Бланк заказа NEW'!$B$17:$N$201,11,0)),
"Нет")</f>
        <v/>
      </c>
      <c r="O348" s="147" t="str">
        <f ca="1">IFERROR(IF(VLOOKUP($A348,'Шаг2.Бланк заказа NEW'!$B$17:$N$201,11,0)="","",VLOOKUP($A348,'Шаг2.Бланк заказа NEW'!$B$17:$N$201,12,0)),
"Нет")</f>
        <v/>
      </c>
      <c r="P348" s="153" t="str">
        <f ca="1">IFERROR(IF(VLOOKUP($A348,'Шаг2.Бланк заказа NEW'!$B$17:$N$201,13,0)="","",VLOOKUP($A348,'Шаг2.Бланк заказа NEW'!$B$17:$N$201,13,0)),
"Нет")</f>
        <v/>
      </c>
      <c r="Q348" s="147" t="str">
        <f ca="1">IFERROR(IF(VLOOKUP($A348,'Шаг2.Бланк заказа NEW'!$B$17:$O$201,14,0)="","",VLOOKUP($A348,'Шаг2.Бланк заказа NEW'!$B$17:$O$201,14,0)),"")</f>
        <v/>
      </c>
      <c r="R348" s="147" t="str">
        <f ca="1">IFERROR(IFERROR(IF(VLOOKUP($A348,'Шаг2.Бланк заказа NEW'!$B$17:$N$201,4,0)="","",VLOOKUP($A348,'Шаг2.Бланк заказа NEW'!$B$17:$N$201,4,0)),
IF(VLOOKUP($A348-COUNT('Шаг2.Бланк заказа NEW'!$B$19:$B$201),'Бланк OLD 0.8 04'!$B$12:$K$200,4,0)&gt;0,0.8,
IF(VLOOKUP($A348-COUNT('Шаг2.Бланк заказа NEW'!$B$19:$B$201),'Бланк OLD 0.8 04'!$B$12:$K$200,5,0)&gt;0,0.4,""))),
IF(VLOOKUP($A348-COUNT('Шаг2.Бланк заказа NEW'!$B$19:$B$201)-COUNT('Бланк OLD 0.8 04'!$B$18:$B$200),'Бланк OLD 2.0 04 '!$B$16:$K$200,4,0)&gt;0,2,IF(VLOOKUP($A348-COUNT('Шаг2.Бланк заказа NEW'!$B$19:$B$201)-COUNT('Бланк OLD 0.8 04'!$B$18:$B$200),'Бланк OLD 2.0 04 '!$B$16:$K$200,5,0)&gt;0,0.4,"")))</f>
        <v/>
      </c>
      <c r="S348" s="147" t="str">
        <f ca="1">IFERROR(IFERROR(IF(VLOOKUP($A348,'Шаг2.Бланк заказа NEW'!$B$17:$N$201,5,0)="","",VLOOKUP($A348,'Шаг2.Бланк заказа NEW'!$B$17:$N$201,5,0)),
IF(VLOOKUP($A348-COUNT('Шаг2.Бланк заказа NEW'!$B$19:$B$201),'Бланк OLD 0.8 04'!$B$12:$K$200,4,0)&gt;1,0.8,
IF(VLOOKUP($A348-COUNT('Шаг2.Бланк заказа NEW'!$B$19:$B$201),'Бланк OLD 0.8 04'!$B$12:$K$200,5,0)&gt;1,0.4,
IF(AND(VLOOKUP($A348-COUNT('Шаг2.Бланк заказа NEW'!$B$19:$B$201),'Бланк OLD 0.8 04'!$B$12:$K$200,4,0)&gt;0,VLOOKUP($A348-COUNT('Шаг2.Бланк заказа NEW'!$B$19:$B$201),'Бланк OLD 0.8 04'!$B$12:$K$200,5,0)&gt;0),0.4,"")))),
IF(VLOOKUP($A348-COUNT('Шаг2.Бланк заказа NEW'!$B$19:$B$201)-COUNT('Бланк OLD 0.8 04'!$B$18:$B$200),'Бланк OLD 2.0 04 '!$B$16:$K$200,4,0)&gt;1,2,
IF(VLOOKUP($A348-COUNT('Шаг2.Бланк заказа NEW'!$B$19:$B$201)-COUNT('Бланк OLD 0.8 04'!$B$18:$B$200),'Бланк OLD 2.0 04 '!$B$16:$K$200,5,0)&gt;1,0.4,IF(AND(VLOOKUP($A348-COUNT('Шаг2.Бланк заказа NEW'!$B$19:$B$201)-COUNT('Бланк OLD 0.8 04'!$B$18:$B$200),'Бланк OLD 2.0 04 '!$B$16:$K$200,4,0)&gt;0,VLOOKUP($A348-COUNT('Шаг2.Бланк заказа NEW'!$B$19:$B$201)-COUNT('Бланк OLD 0.8 04'!$B$18:$B$200),'Бланк OLD 2.0 04 '!$B$16:$K$200,5,0)&gt;0),0.4,""))))</f>
        <v/>
      </c>
      <c r="T348" s="147" t="str">
        <f ca="1">IFERROR(IFERROR(IF(VLOOKUP($A348,'Шаг2.Бланк заказа NEW'!$B$17:$N$201,7,0)="","",VLOOKUP($A348,'Шаг2.Бланк заказа NEW'!$B$17:$N$201,7,0)),
IF(VLOOKUP($A348-COUNT('Шаг2.Бланк заказа NEW'!$B$19:$B$201),'Бланк OLD 0.8 04'!$B$12:$K$200,7,0)&gt;0,0.8,
IF(VLOOKUP($A348-COUNT('Шаг2.Бланк заказа NEW'!$B$19:$B$201),'Бланк OLD 0.8 04'!$B$12:$K$200,8,0)&gt;0,0.4,""))),
IF(VLOOKUP($A348-COUNT('Шаг2.Бланк заказа NEW'!$B$19:$B$201)-COUNT('Бланк OLD 0.8 04'!$B$18:$B$200),'Бланк OLD 2.0 04 '!$B$16:$K$200,7,0)&gt;0,2,IF(VLOOKUP($A348-COUNT('Шаг2.Бланк заказа NEW'!$B$19:$B$201)-COUNT('Бланк OLD 0.8 04'!$B$18:$B$200),'Бланк OLD 2.0 04 '!$B$16:$K$200,8,0)&gt;0,0.4,"")))</f>
        <v/>
      </c>
      <c r="U348" s="147" t="str">
        <f ca="1">IFERROR(IFERROR(IF(VLOOKUP($A348,'Шаг2.Бланк заказа NEW'!$B$17:$N$201,8,0)="","",VLOOKUP($A348,'Шаг2.Бланк заказа NEW'!$B$17:$N$201,8,0)),
IF(VLOOKUP($A348-COUNT('Шаг2.Бланк заказа NEW'!$B$19:$B$201),'Бланк OLD 0.8 04'!$B$12:$K$200,7,0)&gt;1,0.8,
IF(VLOOKUP($A348-COUNT('Шаг2.Бланк заказа NEW'!$B$19:$B$201),'Бланк OLD 0.8 04'!$B$12:$K$200,8,0)&gt;1,0.4,
IF(AND(VLOOKUP($A348-COUNT('Шаг2.Бланк заказа NEW'!$B$19:$B$201),'Бланк OLD 0.8 04'!$B$12:$K$200,7,0)&gt;0,VLOOKUP($A348-COUNT('Шаг2.Бланк заказа NEW'!$B$19:$B$201),'Бланк OLD 0.8 04'!$B$12:$K$200,8,0)&gt;0),0.4,"")))),
IF(VLOOKUP($A348-COUNT('Шаг2.Бланк заказа NEW'!$B$19:$B$201)-COUNT('Бланк OLD 0.8 04'!$B$18:$B$200),'Бланк OLD 2.0 04 '!$B$16:$K$200,7,0)&gt;1,2,
IF(VLOOKUP($A348-COUNT('Шаг2.Бланк заказа NEW'!$B$19:$B$201)-COUNT('Бланк OLD 0.8 04'!$B$18:$B$200),'Бланк OLD 2.0 04 '!$B$16:$K$200,8,0)&gt;1,0.4,
IF(AND(VLOOKUP($A348-COUNT('Шаг2.Бланк заказа NEW'!$B$19:$B$201)-COUNT('Бланк OLD 0.8 04'!$B$18:$B$200),'Бланк OLD 2.0 04 '!$B$16:$K$200,7,0)&gt;0,VLOOKUP($A348-COUNT('Шаг2.Бланк заказа NEW'!$B$19:$B$201)-COUNT('Бланк OLD 0.8 04'!$B$18:$B$200),'Бланк OLD 2.0 04 '!$B$16:$K$200,8,0)&gt;0),0.4,""))))</f>
        <v/>
      </c>
      <c r="V348" s="146" t="str">
        <f ca="1">IFERROR(VLOOKUP(C348,'Шаг1.Выбор плиты'!C:S,12,0),"")</f>
        <v/>
      </c>
      <c r="W348" s="146" t="str">
        <f ca="1">IFERROR(VLOOKUP(C348,'Шаг1.Выбор плиты'!C:S,8,0),"")</f>
        <v/>
      </c>
      <c r="X348" s="146" t="str">
        <f ca="1">IFERROR(VLOOKUP(C348,'Шаг1.Выбор плиты'!C:S,10,0),"")</f>
        <v/>
      </c>
      <c r="Y348" s="147" t="str">
        <f t="shared" ca="1" si="28"/>
        <v/>
      </c>
      <c r="AD348" s="147" t="str">
        <f t="shared" ca="1" si="31"/>
        <v/>
      </c>
      <c r="AE348" s="147" t="str">
        <f t="shared" ca="1" si="29"/>
        <v/>
      </c>
      <c r="AF348" s="25"/>
      <c r="AH348" s="147" t="str">
        <f ca="1">IF(C348="","",VLOOKUP(C348,'Шаг1.Выбор плиты'!C:Q,7,0))</f>
        <v/>
      </c>
      <c r="AI348" s="147" t="str">
        <f t="shared" ca="1" si="32"/>
        <v/>
      </c>
    </row>
    <row r="349" spans="1:35" x14ac:dyDescent="0.2">
      <c r="A349" s="151" t="str">
        <f ca="1">IF(C349="","",MAX($A$1:OFFSET(C349,-1,0))+1)</f>
        <v/>
      </c>
      <c r="B349" s="151" t="str">
        <f ca="1">IFERROR(IFERROR(IFERROR("Шаг2.Бланк заказа NEW №"&amp;VLOOKUP(A348+1,CHOOSE({1,2},'Шаг2.Бланк заказа NEW'!$B$19:$B$201,'Шаг2.Бланк заказа NEW'!$A$19:$A$201),1,0),
"Бланк OLD 0.8 04 №"&amp;VLOOKUP(A348+1-COUNT('Шаг2.Бланк заказа NEW'!$B$19:$B$201),CHOOSE({1,2},'Бланк OLD 0.8 04'!$B$18:$B$200,'Бланк OLD 0.8 04'!$A$18:$A$200),1,0)),
"Бланк OLD 2.0 04 №"&amp;VLOOKUP(A348+1-COUNT('Шаг2.Бланк заказа NEW'!$B$19:$B$201)-COUNT('Бланк OLD 0.8 04'!$B$18:$B$200),CHOOSE({1,2},'Бланк OLD 2.0 04 '!$B$18:$B$200,'Бланк OLD 2.0 04 '!$A$18:$A$200),1,0)),"")</f>
        <v/>
      </c>
      <c r="C349" s="152" t="str">
        <f ca="1">IFERROR(IFERROR(IFERROR(VLOOKUP(A348+1,CHOOSE({1,2},'Шаг2.Бланк заказа NEW'!$B$19:$B$201,'Шаг2.Бланк заказа NEW'!$A$19:$A$201),2,0),
VLOOKUP(A348+1-COUNT('Шаг2.Бланк заказа NEW'!$B$19:$B$201),CHOOSE({1,2},'Бланк OLD 0.8 04'!$B$18:$B$200,'Бланк OLD 0.8 04'!$A$18:$A$200),2,0)),
VLOOKUP(A348+1-COUNT('Шаг2.Бланк заказа NEW'!$B$19:$B$201)-COUNT('Бланк OLD 0.8 04'!$B$18:$B$200),CHOOSE({1,2},'Бланк OLD 2.0 04 '!$B$18:$B$200,'Бланк OLD 2.0 04 '!$A$18:$A$200),2,0)),"")</f>
        <v/>
      </c>
      <c r="D349" s="150" t="str">
        <f ca="1">IFERROR(VLOOKUP(C349,'Шаг1.Выбор плиты'!C:G,5,0),"")</f>
        <v/>
      </c>
      <c r="E349" s="147" t="str">
        <f ca="1">IFERROR(IFERROR(IF(VLOOKUP($A349,'Шаг2.Бланк заказа NEW'!$B$17:$N$201,2,0)="","",VLOOKUP($A349,'Шаг2.Бланк заказа NEW'!$B$17:$N$201,2,0)),
IF(VLOOKUP($A349-COUNT('Шаг2.Бланк заказа NEW'!$B$19:$B$201),'Бланк OLD 0.8 04'!$B$12:$K$200,2,0)="","",VLOOKUP($A349-COUNT('Шаг2.Бланк заказа NEW'!$B$19:$B$201),'Бланк OLD 0.8 04'!$B$12:$K$200,2,0))),
IF(VLOOKUP($A349-COUNT('Шаг2.Бланк заказа NEW'!$B$19:$B$201)-COUNT('Бланк OLD 0.8 04'!$B$18:$B$200),'Бланк OLD 2.0 04 '!$B$16:$K$200,2,0)="","",VLOOKUP($A349-COUNT('Шаг2.Бланк заказа NEW'!$B$19:$B$201)-COUNT('Бланк OLD 0.8 04'!$B$18:$B$200),'Бланк OLD 2.0 04 '!$B$16:$K$200,2,0)))</f>
        <v/>
      </c>
      <c r="F349" s="147" t="str">
        <f ca="1">IFERROR(IFERROR(IF(VLOOKUP($A349,'Шаг2.Бланк заказа NEW'!$B$17:$N$201,3,0)="","",VLOOKUP($A349,'Шаг2.Бланк заказа NEW'!$B$17:$N$201,3,0)),
IF(VLOOKUP($A349-COUNT('Шаг2.Бланк заказа NEW'!$B$19:$B$201),'Бланк OLD 0.8 04'!$B$12:$K$200,3,0)="","",VLOOKUP($A349-COUNT('Шаг2.Бланк заказа NEW'!$B$19:$B$201),'Бланк OLD 0.8 04'!$B$12:$K$200,3,0))),
IF(VLOOKUP($A349-COUNT('Шаг2.Бланк заказа NEW'!$B$19:$B$201)-COUNT('Бланк OLD 0.8 04'!$B$18:$B$200),'Бланк OLD 2.0 04 '!$B$16:$K$200,3,0)="","",VLOOKUP($A349-COUNT('Шаг2.Бланк заказа NEW'!$B$19:$B$201)-COUNT('Бланк OLD 0.8 04'!$B$18:$B$200),'Бланк OLD 2.0 04 '!$B$16:$K$200,3,0)))</f>
        <v/>
      </c>
      <c r="G349" s="176" t="str">
        <f ca="1">IF(IF(R349="","",IF(R349=1,SUMIFS('Шаг1.Выбор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плиты'!C:Q,12,0)),1))))))=0,
R349,
IF(R349="","",IF(R349=1,SUMIFS('Шаг1.Выбор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плиты'!N:N,R349,'Шаг1.Выбор плиты'!M:M,SMALL(INDIRECT("мм"&amp;VLOOKUP(C349,'Шаг1.Выбор плиты'!C:Q,12,0)),1)))))))</f>
        <v/>
      </c>
      <c r="H349" s="177" t="str">
        <f ca="1">IF(IF(S349="","",IF(S349=1,SUMIFS('Шаг1.Выбор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плиты'!C:Q,12,0)),1))))))=0,
S349,
IF(S349="","",IF(S349=1,SUMIFS('Шаг1.Выбор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плиты'!N:N,S349,'Шаг1.Выбор плиты'!M:M,SMALL(INDIRECT("мм"&amp;VLOOKUP(C349,'Шаг1.Выбор плиты'!C:Q,12,0)),1)))))))</f>
        <v/>
      </c>
      <c r="I349" s="147" t="str">
        <f ca="1">IFERROR(IFERROR(IF(VLOOKUP($A349,'Шаг2.Бланк заказа NEW'!$B$17:$N$201,6,0)="","",VLOOKUP($A349,'Шаг2.Бланк заказа NEW'!$B$17:$N$201,6,0)),
IF(VLOOKUP($A349-COUNT('Шаг2.Бланк заказа NEW'!$B$19:$B$201),'Бланк OLD 0.8 04'!$B$12:$K$200,6,0)="","",VLOOKUP($A349-COUNT('Шаг2.Бланк заказа NEW'!$B$19:$B$201),'Бланк OLD 0.8 04'!$B$12:$K$200,6,0))),
IF(VLOOKUP($A349-COUNT('Шаг2.Бланк заказа NEW'!$B$19:$B$201)-COUNT('Бланк OLD 0.8 04'!$B$18:$B$200),'Бланк OLD 2.0 04 '!$B$16:$K$200,6,0)="","",VLOOKUP($A349-COUNT('Шаг2.Бланк заказа NEW'!$B$19:$B$201)-COUNT('Бланк OLD 0.8 04'!$B$18:$B$200),'Бланк OLD 2.0 04 '!$B$16:$K$200,6,0)))</f>
        <v/>
      </c>
      <c r="J349" s="177" t="str">
        <f ca="1">IF(IF(T349="","",IF(T349=1,SUMIFS('Шаг1.Выбор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плиты'!C:Q,12,0)),1))))))=0,
T349,
IF(T349="","",IF(T349=1,SUMIFS('Шаг1.Выбор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плиты'!N:N,T349,'Шаг1.Выбор плиты'!M:M,SMALL(INDIRECT("мм"&amp;VLOOKUP(C349,'Шаг1.Выбор плиты'!C:Q,12,0)),1)))))))</f>
        <v/>
      </c>
      <c r="K349" s="177" t="str">
        <f ca="1">IF(IF(U349="","",IF(U349=1,SUMIFS('Шаг1.Выбор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плиты'!C:Q,12,0)),1))))))=0,
U349,
IF(U349="","",IF(U349=1,SUMIFS('Шаг1.Выбор плиты'!$G:$G,'Шаг1.Выбор плиты'!J:J,"*"&amp;RIGHT(VLOOKUP(C349,'Шаг1.Выбор плиты'!C:Q,8,0),4),'Шаг1.Выбор плиты'!L:L,IF(MID(C349,1,6)="ЛДСП P","TM"&amp;MID(VLOOKUP(C349,'Шаг1.Выбор плиты'!C:Q,10,0),3,2),MID(VLOOKUP(C349,'Шаг1.Выбор плиты'!C:Q,10,0),1,2)),
'Шаг1.Выбор плиты'!N:N,1),IF(SUMIFS('Шаг1.Выбор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плиты'!C:Q,12,0)),1))=0,
IF(SUMIFS('Шаг1.Выбор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плиты'!C:Q,12,0)),2))=0,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плиты'!C:Q,12,0)),3)),
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плиты'!C:Q,12,0)),2))),
(SUMIFS('Шаг1.Выбор плиты'!$G:$G,'Шаг1.Выбор плиты'!J:J,"*"&amp;RIGHT(VLOOKUP(C349,'Шаг1.Выбор плиты'!C:Q,8,0),4),'Шаг1.Выбор плиты'!L:L,VLOOKUP(C349,'Шаг1.Выбор плиты'!C:Q,10,0),'Шаг1.Выбор плиты'!N:N,U349,'Шаг1.Выбор плиты'!M:M,SMALL(INDIRECT("мм"&amp;VLOOKUP(C349,'Шаг1.Выбор плиты'!C:Q,12,0)),1)))))))</f>
        <v/>
      </c>
      <c r="L349" s="147" t="str">
        <f ca="1">IFERROR(IFERROR(IF(VLOOKUP($A349,'Шаг2.Бланк заказа NEW'!$B$17:$N$201,9,0)="","",VLOOKUP($A349,'Шаг2.Бланк заказа NEW'!$B$17:$N$201,9,0)),
IF(VLOOKUP($A349-COUNT('Шаг2.Бланк заказа NEW'!$B$19:$B$201),'Бланк OLD 0.8 04'!$B$12:$K$200,9,0)="","",VLOOKUP($A349-COUNT('Шаг2.Бланк заказа NEW'!$B$19:$B$201),'Бланк OLD 0.8 04'!$B$12:$K$200,9,0))),
IF(VLOOKUP($A349-COUNT('Шаг2.Бланк заказа NEW'!$B$19:$B$201)-COUNT('Бланк OLD 0.8 04'!$B$18:$B$200),'Бланк OLD 2.0 04 '!$B$16:$K$200,9,0)="","",VLOOKUP($A349-COUNT('Шаг2.Бланк заказа NEW'!$B$19:$B$201)-COUNT('Бланк OLD 0.8 04'!$B$18:$B$200),'Бланк OLD 2.0 04 '!$B$16:$K$200,9,0)))</f>
        <v/>
      </c>
      <c r="M349" s="154" t="str">
        <f t="shared" ca="1" si="30"/>
        <v/>
      </c>
      <c r="N349" s="153" t="str">
        <f ca="1">IFERROR(IF(VLOOKUP($A349,'Шаг2.Бланк заказа NEW'!$B$17:$N$201,11,0)="","",VLOOKUP($A349,'Шаг2.Бланк заказа NEW'!$B$17:$N$201,11,0)),
"Нет")</f>
        <v/>
      </c>
      <c r="O349" s="147" t="str">
        <f ca="1">IFERROR(IF(VLOOKUP($A349,'Шаг2.Бланк заказа NEW'!$B$17:$N$201,11,0)="","",VLOOKUP($A349,'Шаг2.Бланк заказа NEW'!$B$17:$N$201,12,0)),
"Нет")</f>
        <v/>
      </c>
      <c r="P349" s="153" t="str">
        <f ca="1">IFERROR(IF(VLOOKUP($A349,'Шаг2.Бланк заказа NEW'!$B$17:$N$201,13,0)="","",VLOOKUP($A349,'Шаг2.Бланк заказа NEW'!$B$17:$N$201,13,0)),
"Нет")</f>
        <v/>
      </c>
      <c r="Q349" s="147" t="str">
        <f ca="1">IFERROR(IF(VLOOKUP($A349,'Шаг2.Бланк заказа NEW'!$B$17:$O$201,14,0)="","",VLOOKUP($A349,'Шаг2.Бланк заказа NEW'!$B$17:$O$201,14,0)),"")</f>
        <v/>
      </c>
      <c r="R349" s="147" t="str">
        <f ca="1">IFERROR(IFERROR(IF(VLOOKUP($A349,'Шаг2.Бланк заказа NEW'!$B$17:$N$201,4,0)="","",VLOOKUP($A349,'Шаг2.Бланк заказа NEW'!$B$17:$N$201,4,0)),
IF(VLOOKUP($A349-COUNT('Шаг2.Бланк заказа NEW'!$B$19:$B$201),'Бланк OLD 0.8 04'!$B$12:$K$200,4,0)&gt;0,0.8,
IF(VLOOKUP($A349-COUNT('Шаг2.Бланк заказа NEW'!$B$19:$B$201),'Бланк OLD 0.8 04'!$B$12:$K$200,5,0)&gt;0,0.4,""))),
IF(VLOOKUP($A349-COUNT('Шаг2.Бланк заказа NEW'!$B$19:$B$201)-COUNT('Бланк OLD 0.8 04'!$B$18:$B$200),'Бланк OLD 2.0 04 '!$B$16:$K$200,4,0)&gt;0,2,IF(VLOOKUP($A349-COUNT('Шаг2.Бланк заказа NEW'!$B$19:$B$201)-COUNT('Бланк OLD 0.8 04'!$B$18:$B$200),'Бланк OLD 2.0 04 '!$B$16:$K$200,5,0)&gt;0,0.4,"")))</f>
        <v/>
      </c>
      <c r="S349" s="147" t="str">
        <f ca="1">IFERROR(IFERROR(IF(VLOOKUP($A349,'Шаг2.Бланк заказа NEW'!$B$17:$N$201,5,0)="","",VLOOKUP($A349,'Шаг2.Бланк заказа NEW'!$B$17:$N$201,5,0)),
IF(VLOOKUP($A349-COUNT('Шаг2.Бланк заказа NEW'!$B$19:$B$201),'Бланк OLD 0.8 04'!$B$12:$K$200,4,0)&gt;1,0.8,
IF(VLOOKUP($A349-COUNT('Шаг2.Бланк заказа NEW'!$B$19:$B$201),'Бланк OLD 0.8 04'!$B$12:$K$200,5,0)&gt;1,0.4,
IF(AND(VLOOKUP($A349-COUNT('Шаг2.Бланк заказа NEW'!$B$19:$B$201),'Бланк OLD 0.8 04'!$B$12:$K$200,4,0)&gt;0,VLOOKUP($A349-COUNT('Шаг2.Бланк заказа NEW'!$B$19:$B$201),'Бланк OLD 0.8 04'!$B$12:$K$200,5,0)&gt;0),0.4,"")))),
IF(VLOOKUP($A349-COUNT('Шаг2.Бланк заказа NEW'!$B$19:$B$201)-COUNT('Бланк OLD 0.8 04'!$B$18:$B$200),'Бланк OLD 2.0 04 '!$B$16:$K$200,4,0)&gt;1,2,
IF(VLOOKUP($A349-COUNT('Шаг2.Бланк заказа NEW'!$B$19:$B$201)-COUNT('Бланк OLD 0.8 04'!$B$18:$B$200),'Бланк OLD 2.0 04 '!$B$16:$K$200,5,0)&gt;1,0.4,IF(AND(VLOOKUP($A349-COUNT('Шаг2.Бланк заказа NEW'!$B$19:$B$201)-COUNT('Бланк OLD 0.8 04'!$B$18:$B$200),'Бланк OLD 2.0 04 '!$B$16:$K$200,4,0)&gt;0,VLOOKUP($A349-COUNT('Шаг2.Бланк заказа NEW'!$B$19:$B$201)-COUNT('Бланк OLD 0.8 04'!$B$18:$B$200),'Бланк OLD 2.0 04 '!$B$16:$K$200,5,0)&gt;0),0.4,""))))</f>
        <v/>
      </c>
      <c r="T349" s="147" t="str">
        <f ca="1">IFERROR(IFERROR(IF(VLOOKUP($A349,'Шаг2.Бланк заказа NEW'!$B$17:$N$201,7,0)="","",VLOOKUP($A349,'Шаг2.Бланк заказа NEW'!$B$17:$N$201,7,0)),
IF(VLOOKUP($A349-COUNT('Шаг2.Бланк заказа NEW'!$B$19:$B$201),'Бланк OLD 0.8 04'!$B$12:$K$200,7,0)&gt;0,0.8,
IF(VLOOKUP($A349-COUNT('Шаг2.Бланк заказа NEW'!$B$19:$B$201),'Бланк OLD 0.8 04'!$B$12:$K$200,8,0)&gt;0,0.4,""))),
IF(VLOOKUP($A349-COUNT('Шаг2.Бланк заказа NEW'!$B$19:$B$201)-COUNT('Бланк OLD 0.8 04'!$B$18:$B$200),'Бланк OLD 2.0 04 '!$B$16:$K$200,7,0)&gt;0,2,IF(VLOOKUP($A349-COUNT('Шаг2.Бланк заказа NEW'!$B$19:$B$201)-COUNT('Бланк OLD 0.8 04'!$B$18:$B$200),'Бланк OLD 2.0 04 '!$B$16:$K$200,8,0)&gt;0,0.4,"")))</f>
        <v/>
      </c>
      <c r="U349" s="147" t="str">
        <f ca="1">IFERROR(IFERROR(IF(VLOOKUP($A349,'Шаг2.Бланк заказа NEW'!$B$17:$N$201,8,0)="","",VLOOKUP($A349,'Шаг2.Бланк заказа NEW'!$B$17:$N$201,8,0)),
IF(VLOOKUP($A349-COUNT('Шаг2.Бланк заказа NEW'!$B$19:$B$201),'Бланк OLD 0.8 04'!$B$12:$K$200,7,0)&gt;1,0.8,
IF(VLOOKUP($A349-COUNT('Шаг2.Бланк заказа NEW'!$B$19:$B$201),'Бланк OLD 0.8 04'!$B$12:$K$200,8,0)&gt;1,0.4,
IF(AND(VLOOKUP($A349-COUNT('Шаг2.Бланк заказа NEW'!$B$19:$B$201),'Бланк OLD 0.8 04'!$B$12:$K$200,7,0)&gt;0,VLOOKUP($A349-COUNT('Шаг2.Бланк заказа NEW'!$B$19:$B$201),'Бланк OLD 0.8 04'!$B$12:$K$200,8,0)&gt;0),0.4,"")))),
IF(VLOOKUP($A349-COUNT('Шаг2.Бланк заказа NEW'!$B$19:$B$201)-COUNT('Бланк OLD 0.8 04'!$B$18:$B$200),'Бланк OLD 2.0 04 '!$B$16:$K$200,7,0)&gt;1,2,
IF(VLOOKUP($A349-COUNT('Шаг2.Бланк заказа NEW'!$B$19:$B$201)-COUNT('Бланк OLD 0.8 04'!$B$18:$B$200),'Бланк OLD 2.0 04 '!$B$16:$K$200,8,0)&gt;1,0.4,
IF(AND(VLOOKUP($A349-COUNT('Шаг2.Бланк заказа NEW'!$B$19:$B$201)-COUNT('Бланк OLD 0.8 04'!$B$18:$B$200),'Бланк OLD 2.0 04 '!$B$16:$K$200,7,0)&gt;0,VLOOKUP($A349-COUNT('Шаг2.Бланк заказа NEW'!$B$19:$B$201)-COUNT('Бланк OLD 0.8 04'!$B$18:$B$200),'Бланк OLD 2.0 04 '!$B$16:$K$200,8,0)&gt;0),0.4,""))))</f>
        <v/>
      </c>
      <c r="V349" s="146" t="str">
        <f ca="1">IFERROR(VLOOKUP(C349,'Шаг1.Выбор плиты'!C:S,12,0),"")</f>
        <v/>
      </c>
      <c r="W349" s="146" t="str">
        <f ca="1">IFERROR(VLOOKUP(C349,'Шаг1.Выбор плиты'!C:S,8,0),"")</f>
        <v/>
      </c>
      <c r="X349" s="146" t="str">
        <f ca="1">IFERROR(VLOOKUP(C349,'Шаг1.Выбор плиты'!C:S,10,0),"")</f>
        <v/>
      </c>
      <c r="Y349" s="147" t="str">
        <f t="shared" ca="1" si="28"/>
        <v/>
      </c>
      <c r="AD349" s="147" t="str">
        <f t="shared" ca="1" si="31"/>
        <v/>
      </c>
      <c r="AE349" s="147" t="str">
        <f t="shared" ca="1" si="29"/>
        <v/>
      </c>
      <c r="AF349" s="25"/>
      <c r="AH349" s="147" t="str">
        <f ca="1">IF(C349="","",VLOOKUP(C349,'Шаг1.Выбор плиты'!C:Q,7,0))</f>
        <v/>
      </c>
      <c r="AI349" s="147" t="str">
        <f t="shared" ca="1" si="32"/>
        <v/>
      </c>
    </row>
    <row r="350" spans="1:35" x14ac:dyDescent="0.2">
      <c r="A350" s="151" t="str">
        <f ca="1">IF(C350="","",MAX($A$1:OFFSET(C350,-1,0))+1)</f>
        <v/>
      </c>
      <c r="B350" s="151" t="str">
        <f ca="1">IFERROR(IFERROR(IFERROR("Шаг2.Бланк заказа NEW №"&amp;VLOOKUP(A349+1,CHOOSE({1,2},'Шаг2.Бланк заказа NEW'!$B$19:$B$201,'Шаг2.Бланк заказа NEW'!$A$19:$A$201),1,0),
"Бланк OLD 0.8 04 №"&amp;VLOOKUP(A349+1-COUNT('Шаг2.Бланк заказа NEW'!$B$19:$B$201),CHOOSE({1,2},'Бланк OLD 0.8 04'!$B$18:$B$200,'Бланк OLD 0.8 04'!$A$18:$A$200),1,0)),
"Бланк OLD 2.0 04 №"&amp;VLOOKUP(A349+1-COUNT('Шаг2.Бланк заказа NEW'!$B$19:$B$201)-COUNT('Бланк OLD 0.8 04'!$B$18:$B$200),CHOOSE({1,2},'Бланк OLD 2.0 04 '!$B$18:$B$200,'Бланк OLD 2.0 04 '!$A$18:$A$200),1,0)),"")</f>
        <v/>
      </c>
      <c r="C350" s="152" t="str">
        <f ca="1">IFERROR(IFERROR(IFERROR(VLOOKUP(A349+1,CHOOSE({1,2},'Шаг2.Бланк заказа NEW'!$B$19:$B$201,'Шаг2.Бланк заказа NEW'!$A$19:$A$201),2,0),
VLOOKUP(A349+1-COUNT('Шаг2.Бланк заказа NEW'!$B$19:$B$201),CHOOSE({1,2},'Бланк OLD 0.8 04'!$B$18:$B$200,'Бланк OLD 0.8 04'!$A$18:$A$200),2,0)),
VLOOKUP(A349+1-COUNT('Шаг2.Бланк заказа NEW'!$B$19:$B$201)-COUNT('Бланк OLD 0.8 04'!$B$18:$B$200),CHOOSE({1,2},'Бланк OLD 2.0 04 '!$B$18:$B$200,'Бланк OLD 2.0 04 '!$A$18:$A$200),2,0)),"")</f>
        <v/>
      </c>
      <c r="D350" s="150" t="str">
        <f ca="1">IFERROR(VLOOKUP(C350,'Шаг1.Выбор плиты'!C:G,5,0),"")</f>
        <v/>
      </c>
      <c r="E350" s="147" t="str">
        <f ca="1">IFERROR(IFERROR(IF(VLOOKUP($A350,'Шаг2.Бланк заказа NEW'!$B$17:$N$201,2,0)="","",VLOOKUP($A350,'Шаг2.Бланк заказа NEW'!$B$17:$N$201,2,0)),
IF(VLOOKUP($A350-COUNT('Шаг2.Бланк заказа NEW'!$B$19:$B$201),'Бланк OLD 0.8 04'!$B$12:$K$200,2,0)="","",VLOOKUP($A350-COUNT('Шаг2.Бланк заказа NEW'!$B$19:$B$201),'Бланк OLD 0.8 04'!$B$12:$K$200,2,0))),
IF(VLOOKUP($A350-COUNT('Шаг2.Бланк заказа NEW'!$B$19:$B$201)-COUNT('Бланк OLD 0.8 04'!$B$18:$B$200),'Бланк OLD 2.0 04 '!$B$16:$K$200,2,0)="","",VLOOKUP($A350-COUNT('Шаг2.Бланк заказа NEW'!$B$19:$B$201)-COUNT('Бланк OLD 0.8 04'!$B$18:$B$200),'Бланк OLD 2.0 04 '!$B$16:$K$200,2,0)))</f>
        <v/>
      </c>
      <c r="F350" s="147" t="str">
        <f ca="1">IFERROR(IFERROR(IF(VLOOKUP($A350,'Шаг2.Бланк заказа NEW'!$B$17:$N$201,3,0)="","",VLOOKUP($A350,'Шаг2.Бланк заказа NEW'!$B$17:$N$201,3,0)),
IF(VLOOKUP($A350-COUNT('Шаг2.Бланк заказа NEW'!$B$19:$B$201),'Бланк OLD 0.8 04'!$B$12:$K$200,3,0)="","",VLOOKUP($A350-COUNT('Шаг2.Бланк заказа NEW'!$B$19:$B$201),'Бланк OLD 0.8 04'!$B$12:$K$200,3,0))),
IF(VLOOKUP($A350-COUNT('Шаг2.Бланк заказа NEW'!$B$19:$B$201)-COUNT('Бланк OLD 0.8 04'!$B$18:$B$200),'Бланк OLD 2.0 04 '!$B$16:$K$200,3,0)="","",VLOOKUP($A350-COUNT('Шаг2.Бланк заказа NEW'!$B$19:$B$201)-COUNT('Бланк OLD 0.8 04'!$B$18:$B$200),'Бланк OLD 2.0 04 '!$B$16:$K$200,3,0)))</f>
        <v/>
      </c>
      <c r="G350" s="176" t="str">
        <f ca="1">IF(IF(R350="","",IF(R350=1,SUMIFS('Шаг1.Выбор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плиты'!C:Q,12,0)),1))))))=0,
R350,
IF(R350="","",IF(R350=1,SUMIFS('Шаг1.Выбор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плиты'!N:N,R350,'Шаг1.Выбор плиты'!M:M,SMALL(INDIRECT("мм"&amp;VLOOKUP(C350,'Шаг1.Выбор плиты'!C:Q,12,0)),1)))))))</f>
        <v/>
      </c>
      <c r="H350" s="177" t="str">
        <f ca="1">IF(IF(S350="","",IF(S350=1,SUMIFS('Шаг1.Выбор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плиты'!C:Q,12,0)),1))))))=0,
S350,
IF(S350="","",IF(S350=1,SUMIFS('Шаг1.Выбор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плиты'!N:N,S350,'Шаг1.Выбор плиты'!M:M,SMALL(INDIRECT("мм"&amp;VLOOKUP(C350,'Шаг1.Выбор плиты'!C:Q,12,0)),1)))))))</f>
        <v/>
      </c>
      <c r="I350" s="147" t="str">
        <f ca="1">IFERROR(IFERROR(IF(VLOOKUP($A350,'Шаг2.Бланк заказа NEW'!$B$17:$N$201,6,0)="","",VLOOKUP($A350,'Шаг2.Бланк заказа NEW'!$B$17:$N$201,6,0)),
IF(VLOOKUP($A350-COUNT('Шаг2.Бланк заказа NEW'!$B$19:$B$201),'Бланк OLD 0.8 04'!$B$12:$K$200,6,0)="","",VLOOKUP($A350-COUNT('Шаг2.Бланк заказа NEW'!$B$19:$B$201),'Бланк OLD 0.8 04'!$B$12:$K$200,6,0))),
IF(VLOOKUP($A350-COUNT('Шаг2.Бланк заказа NEW'!$B$19:$B$201)-COUNT('Бланк OLD 0.8 04'!$B$18:$B$200),'Бланк OLD 2.0 04 '!$B$16:$K$200,6,0)="","",VLOOKUP($A350-COUNT('Шаг2.Бланк заказа NEW'!$B$19:$B$201)-COUNT('Бланк OLD 0.8 04'!$B$18:$B$200),'Бланк OLD 2.0 04 '!$B$16:$K$200,6,0)))</f>
        <v/>
      </c>
      <c r="J350" s="177" t="str">
        <f ca="1">IF(IF(T350="","",IF(T350=1,SUMIFS('Шаг1.Выбор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плиты'!C:Q,12,0)),1))))))=0,
T350,
IF(T350="","",IF(T350=1,SUMIFS('Шаг1.Выбор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плиты'!N:N,T350,'Шаг1.Выбор плиты'!M:M,SMALL(INDIRECT("мм"&amp;VLOOKUP(C350,'Шаг1.Выбор плиты'!C:Q,12,0)),1)))))))</f>
        <v/>
      </c>
      <c r="K350" s="177" t="str">
        <f ca="1">IF(IF(U350="","",IF(U350=1,SUMIFS('Шаг1.Выбор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плиты'!C:Q,12,0)),1))))))=0,
U350,
IF(U350="","",IF(U350=1,SUMIFS('Шаг1.Выбор плиты'!$G:$G,'Шаг1.Выбор плиты'!J:J,"*"&amp;RIGHT(VLOOKUP(C350,'Шаг1.Выбор плиты'!C:Q,8,0),4),'Шаг1.Выбор плиты'!L:L,IF(MID(C350,1,6)="ЛДСП P","TM"&amp;MID(VLOOKUP(C350,'Шаг1.Выбор плиты'!C:Q,10,0),3,2),MID(VLOOKUP(C350,'Шаг1.Выбор плиты'!C:Q,10,0),1,2)),
'Шаг1.Выбор плиты'!N:N,1),IF(SUMIFS('Шаг1.Выбор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плиты'!C:Q,12,0)),1))=0,
IF(SUMIFS('Шаг1.Выбор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плиты'!C:Q,12,0)),2))=0,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плиты'!C:Q,12,0)),3)),
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плиты'!C:Q,12,0)),2))),
(SUMIFS('Шаг1.Выбор плиты'!$G:$G,'Шаг1.Выбор плиты'!J:J,"*"&amp;RIGHT(VLOOKUP(C350,'Шаг1.Выбор плиты'!C:Q,8,0),4),'Шаг1.Выбор плиты'!L:L,VLOOKUP(C350,'Шаг1.Выбор плиты'!C:Q,10,0),'Шаг1.Выбор плиты'!N:N,U350,'Шаг1.Выбор плиты'!M:M,SMALL(INDIRECT("мм"&amp;VLOOKUP(C350,'Шаг1.Выбор плиты'!C:Q,12,0)),1)))))))</f>
        <v/>
      </c>
      <c r="L350" s="147" t="str">
        <f ca="1">IFERROR(IFERROR(IF(VLOOKUP($A350,'Шаг2.Бланк заказа NEW'!$B$17:$N$201,9,0)="","",VLOOKUP($A350,'Шаг2.Бланк заказа NEW'!$B$17:$N$201,9,0)),
IF(VLOOKUP($A350-COUNT('Шаг2.Бланк заказа NEW'!$B$19:$B$201),'Бланк OLD 0.8 04'!$B$12:$K$200,9,0)="","",VLOOKUP($A350-COUNT('Шаг2.Бланк заказа NEW'!$B$19:$B$201),'Бланк OLD 0.8 04'!$B$12:$K$200,9,0))),
IF(VLOOKUP($A350-COUNT('Шаг2.Бланк заказа NEW'!$B$19:$B$201)-COUNT('Бланк OLD 0.8 04'!$B$18:$B$200),'Бланк OLD 2.0 04 '!$B$16:$K$200,9,0)="","",VLOOKUP($A350-COUNT('Шаг2.Бланк заказа NEW'!$B$19:$B$201)-COUNT('Бланк OLD 0.8 04'!$B$18:$B$200),'Бланк OLD 2.0 04 '!$B$16:$K$200,9,0)))</f>
        <v/>
      </c>
      <c r="M350" s="154" t="str">
        <f t="shared" ca="1" si="30"/>
        <v/>
      </c>
      <c r="N350" s="153" t="str">
        <f ca="1">IFERROR(IF(VLOOKUP($A350,'Шаг2.Бланк заказа NEW'!$B$17:$N$201,11,0)="","",VLOOKUP($A350,'Шаг2.Бланк заказа NEW'!$B$17:$N$201,11,0)),
"Нет")</f>
        <v/>
      </c>
      <c r="O350" s="147" t="str">
        <f ca="1">IFERROR(IF(VLOOKUP($A350,'Шаг2.Бланк заказа NEW'!$B$17:$N$201,11,0)="","",VLOOKUP($A350,'Шаг2.Бланк заказа NEW'!$B$17:$N$201,12,0)),
"Нет")</f>
        <v/>
      </c>
      <c r="P350" s="153" t="str">
        <f ca="1">IFERROR(IF(VLOOKUP($A350,'Шаг2.Бланк заказа NEW'!$B$17:$N$201,13,0)="","",VLOOKUP($A350,'Шаг2.Бланк заказа NEW'!$B$17:$N$201,13,0)),
"Нет")</f>
        <v/>
      </c>
      <c r="Q350" s="147" t="str">
        <f ca="1">IFERROR(IF(VLOOKUP($A350,'Шаг2.Бланк заказа NEW'!$B$17:$O$201,14,0)="","",VLOOKUP($A350,'Шаг2.Бланк заказа NEW'!$B$17:$O$201,14,0)),"")</f>
        <v/>
      </c>
      <c r="R350" s="147" t="str">
        <f ca="1">IFERROR(IFERROR(IF(VLOOKUP($A350,'Шаг2.Бланк заказа NEW'!$B$17:$N$201,4,0)="","",VLOOKUP($A350,'Шаг2.Бланк заказа NEW'!$B$17:$N$201,4,0)),
IF(VLOOKUP($A350-COUNT('Шаг2.Бланк заказа NEW'!$B$19:$B$201),'Бланк OLD 0.8 04'!$B$12:$K$200,4,0)&gt;0,0.8,
IF(VLOOKUP($A350-COUNT('Шаг2.Бланк заказа NEW'!$B$19:$B$201),'Бланк OLD 0.8 04'!$B$12:$K$200,5,0)&gt;0,0.4,""))),
IF(VLOOKUP($A350-COUNT('Шаг2.Бланк заказа NEW'!$B$19:$B$201)-COUNT('Бланк OLD 0.8 04'!$B$18:$B$200),'Бланк OLD 2.0 04 '!$B$16:$K$200,4,0)&gt;0,2,IF(VLOOKUP($A350-COUNT('Шаг2.Бланк заказа NEW'!$B$19:$B$201)-COUNT('Бланк OLD 0.8 04'!$B$18:$B$200),'Бланк OLD 2.0 04 '!$B$16:$K$200,5,0)&gt;0,0.4,"")))</f>
        <v/>
      </c>
      <c r="S350" s="147" t="str">
        <f ca="1">IFERROR(IFERROR(IF(VLOOKUP($A350,'Шаг2.Бланк заказа NEW'!$B$17:$N$201,5,0)="","",VLOOKUP($A350,'Шаг2.Бланк заказа NEW'!$B$17:$N$201,5,0)),
IF(VLOOKUP($A350-COUNT('Шаг2.Бланк заказа NEW'!$B$19:$B$201),'Бланк OLD 0.8 04'!$B$12:$K$200,4,0)&gt;1,0.8,
IF(VLOOKUP($A350-COUNT('Шаг2.Бланк заказа NEW'!$B$19:$B$201),'Бланк OLD 0.8 04'!$B$12:$K$200,5,0)&gt;1,0.4,
IF(AND(VLOOKUP($A350-COUNT('Шаг2.Бланк заказа NEW'!$B$19:$B$201),'Бланк OLD 0.8 04'!$B$12:$K$200,4,0)&gt;0,VLOOKUP($A350-COUNT('Шаг2.Бланк заказа NEW'!$B$19:$B$201),'Бланк OLD 0.8 04'!$B$12:$K$200,5,0)&gt;0),0.4,"")))),
IF(VLOOKUP($A350-COUNT('Шаг2.Бланк заказа NEW'!$B$19:$B$201)-COUNT('Бланк OLD 0.8 04'!$B$18:$B$200),'Бланк OLD 2.0 04 '!$B$16:$K$200,4,0)&gt;1,2,
IF(VLOOKUP($A350-COUNT('Шаг2.Бланк заказа NEW'!$B$19:$B$201)-COUNT('Бланк OLD 0.8 04'!$B$18:$B$200),'Бланк OLD 2.0 04 '!$B$16:$K$200,5,0)&gt;1,0.4,IF(AND(VLOOKUP($A350-COUNT('Шаг2.Бланк заказа NEW'!$B$19:$B$201)-COUNT('Бланк OLD 0.8 04'!$B$18:$B$200),'Бланк OLD 2.0 04 '!$B$16:$K$200,4,0)&gt;0,VLOOKUP($A350-COUNT('Шаг2.Бланк заказа NEW'!$B$19:$B$201)-COUNT('Бланк OLD 0.8 04'!$B$18:$B$200),'Бланк OLD 2.0 04 '!$B$16:$K$200,5,0)&gt;0),0.4,""))))</f>
        <v/>
      </c>
      <c r="T350" s="147" t="str">
        <f ca="1">IFERROR(IFERROR(IF(VLOOKUP($A350,'Шаг2.Бланк заказа NEW'!$B$17:$N$201,7,0)="","",VLOOKUP($A350,'Шаг2.Бланк заказа NEW'!$B$17:$N$201,7,0)),
IF(VLOOKUP($A350-COUNT('Шаг2.Бланк заказа NEW'!$B$19:$B$201),'Бланк OLD 0.8 04'!$B$12:$K$200,7,0)&gt;0,0.8,
IF(VLOOKUP($A350-COUNT('Шаг2.Бланк заказа NEW'!$B$19:$B$201),'Бланк OLD 0.8 04'!$B$12:$K$200,8,0)&gt;0,0.4,""))),
IF(VLOOKUP($A350-COUNT('Шаг2.Бланк заказа NEW'!$B$19:$B$201)-COUNT('Бланк OLD 0.8 04'!$B$18:$B$200),'Бланк OLD 2.0 04 '!$B$16:$K$200,7,0)&gt;0,2,IF(VLOOKUP($A350-COUNT('Шаг2.Бланк заказа NEW'!$B$19:$B$201)-COUNT('Бланк OLD 0.8 04'!$B$18:$B$200),'Бланк OLD 2.0 04 '!$B$16:$K$200,8,0)&gt;0,0.4,"")))</f>
        <v/>
      </c>
      <c r="U350" s="147" t="str">
        <f ca="1">IFERROR(IFERROR(IF(VLOOKUP($A350,'Шаг2.Бланк заказа NEW'!$B$17:$N$201,8,0)="","",VLOOKUP($A350,'Шаг2.Бланк заказа NEW'!$B$17:$N$201,8,0)),
IF(VLOOKUP($A350-COUNT('Шаг2.Бланк заказа NEW'!$B$19:$B$201),'Бланк OLD 0.8 04'!$B$12:$K$200,7,0)&gt;1,0.8,
IF(VLOOKUP($A350-COUNT('Шаг2.Бланк заказа NEW'!$B$19:$B$201),'Бланк OLD 0.8 04'!$B$12:$K$200,8,0)&gt;1,0.4,
IF(AND(VLOOKUP($A350-COUNT('Шаг2.Бланк заказа NEW'!$B$19:$B$201),'Бланк OLD 0.8 04'!$B$12:$K$200,7,0)&gt;0,VLOOKUP($A350-COUNT('Шаг2.Бланк заказа NEW'!$B$19:$B$201),'Бланк OLD 0.8 04'!$B$12:$K$200,8,0)&gt;0),0.4,"")))),
IF(VLOOKUP($A350-COUNT('Шаг2.Бланк заказа NEW'!$B$19:$B$201)-COUNT('Бланк OLD 0.8 04'!$B$18:$B$200),'Бланк OLD 2.0 04 '!$B$16:$K$200,7,0)&gt;1,2,
IF(VLOOKUP($A350-COUNT('Шаг2.Бланк заказа NEW'!$B$19:$B$201)-COUNT('Бланк OLD 0.8 04'!$B$18:$B$200),'Бланк OLD 2.0 04 '!$B$16:$K$200,8,0)&gt;1,0.4,
IF(AND(VLOOKUP($A350-COUNT('Шаг2.Бланк заказа NEW'!$B$19:$B$201)-COUNT('Бланк OLD 0.8 04'!$B$18:$B$200),'Бланк OLD 2.0 04 '!$B$16:$K$200,7,0)&gt;0,VLOOKUP($A350-COUNT('Шаг2.Бланк заказа NEW'!$B$19:$B$201)-COUNT('Бланк OLD 0.8 04'!$B$18:$B$200),'Бланк OLD 2.0 04 '!$B$16:$K$200,8,0)&gt;0),0.4,""))))</f>
        <v/>
      </c>
      <c r="V350" s="146" t="str">
        <f ca="1">IFERROR(VLOOKUP(C350,'Шаг1.Выбор плиты'!C:S,12,0),"")</f>
        <v/>
      </c>
      <c r="W350" s="146" t="str">
        <f ca="1">IFERROR(VLOOKUP(C350,'Шаг1.Выбор плиты'!C:S,8,0),"")</f>
        <v/>
      </c>
      <c r="X350" s="146" t="str">
        <f ca="1">IFERROR(VLOOKUP(C350,'Шаг1.Выбор плиты'!C:S,10,0),"")</f>
        <v/>
      </c>
      <c r="Y350" s="147" t="str">
        <f t="shared" ca="1" si="28"/>
        <v/>
      </c>
      <c r="AD350" s="147" t="str">
        <f t="shared" ca="1" si="31"/>
        <v/>
      </c>
      <c r="AE350" s="147" t="str">
        <f t="shared" ca="1" si="29"/>
        <v/>
      </c>
      <c r="AF350" s="25"/>
      <c r="AH350" s="147" t="str">
        <f ca="1">IF(C350="","",VLOOKUP(C350,'Шаг1.Выбор плиты'!C:Q,7,0))</f>
        <v/>
      </c>
      <c r="AI350" s="147" t="str">
        <f t="shared" ca="1" si="32"/>
        <v/>
      </c>
    </row>
    <row r="351" spans="1:35" x14ac:dyDescent="0.2">
      <c r="A351" s="151" t="str">
        <f ca="1">IF(C351="","",MAX($A$1:OFFSET(C351,-1,0))+1)</f>
        <v/>
      </c>
      <c r="B351" s="151" t="str">
        <f ca="1">IFERROR(IFERROR(IFERROR("Шаг2.Бланк заказа NEW №"&amp;VLOOKUP(A350+1,CHOOSE({1,2},'Шаг2.Бланк заказа NEW'!$B$19:$B$201,'Шаг2.Бланк заказа NEW'!$A$19:$A$201),1,0),
"Бланк OLD 0.8 04 №"&amp;VLOOKUP(A350+1-COUNT('Шаг2.Бланк заказа NEW'!$B$19:$B$201),CHOOSE({1,2},'Бланк OLD 0.8 04'!$B$18:$B$200,'Бланк OLD 0.8 04'!$A$18:$A$200),1,0)),
"Бланк OLD 2.0 04 №"&amp;VLOOKUP(A350+1-COUNT('Шаг2.Бланк заказа NEW'!$B$19:$B$201)-COUNT('Бланк OLD 0.8 04'!$B$18:$B$200),CHOOSE({1,2},'Бланк OLD 2.0 04 '!$B$18:$B$200,'Бланк OLD 2.0 04 '!$A$18:$A$200),1,0)),"")</f>
        <v/>
      </c>
      <c r="C351" s="152" t="str">
        <f ca="1">IFERROR(IFERROR(IFERROR(VLOOKUP(A350+1,CHOOSE({1,2},'Шаг2.Бланк заказа NEW'!$B$19:$B$201,'Шаг2.Бланк заказа NEW'!$A$19:$A$201),2,0),
VLOOKUP(A350+1-COUNT('Шаг2.Бланк заказа NEW'!$B$19:$B$201),CHOOSE({1,2},'Бланк OLD 0.8 04'!$B$18:$B$200,'Бланк OLD 0.8 04'!$A$18:$A$200),2,0)),
VLOOKUP(A350+1-COUNT('Шаг2.Бланк заказа NEW'!$B$19:$B$201)-COUNT('Бланк OLD 0.8 04'!$B$18:$B$200),CHOOSE({1,2},'Бланк OLD 2.0 04 '!$B$18:$B$200,'Бланк OLD 2.0 04 '!$A$18:$A$200),2,0)),"")</f>
        <v/>
      </c>
      <c r="D351" s="150" t="str">
        <f ca="1">IFERROR(VLOOKUP(C351,'Шаг1.Выбор плиты'!C:G,5,0),"")</f>
        <v/>
      </c>
      <c r="E351" s="147" t="str">
        <f ca="1">IFERROR(IFERROR(IF(VLOOKUP($A351,'Шаг2.Бланк заказа NEW'!$B$17:$N$201,2,0)="","",VLOOKUP($A351,'Шаг2.Бланк заказа NEW'!$B$17:$N$201,2,0)),
IF(VLOOKUP($A351-COUNT('Шаг2.Бланк заказа NEW'!$B$19:$B$201),'Бланк OLD 0.8 04'!$B$12:$K$200,2,0)="","",VLOOKUP($A351-COUNT('Шаг2.Бланк заказа NEW'!$B$19:$B$201),'Бланк OLD 0.8 04'!$B$12:$K$200,2,0))),
IF(VLOOKUP($A351-COUNT('Шаг2.Бланк заказа NEW'!$B$19:$B$201)-COUNT('Бланк OLD 0.8 04'!$B$18:$B$200),'Бланк OLD 2.0 04 '!$B$16:$K$200,2,0)="","",VLOOKUP($A351-COUNT('Шаг2.Бланк заказа NEW'!$B$19:$B$201)-COUNT('Бланк OLD 0.8 04'!$B$18:$B$200),'Бланк OLD 2.0 04 '!$B$16:$K$200,2,0)))</f>
        <v/>
      </c>
      <c r="F351" s="147" t="str">
        <f ca="1">IFERROR(IFERROR(IF(VLOOKUP($A351,'Шаг2.Бланк заказа NEW'!$B$17:$N$201,3,0)="","",VLOOKUP($A351,'Шаг2.Бланк заказа NEW'!$B$17:$N$201,3,0)),
IF(VLOOKUP($A351-COUNT('Шаг2.Бланк заказа NEW'!$B$19:$B$201),'Бланк OLD 0.8 04'!$B$12:$K$200,3,0)="","",VLOOKUP($A351-COUNT('Шаг2.Бланк заказа NEW'!$B$19:$B$201),'Бланк OLD 0.8 04'!$B$12:$K$200,3,0))),
IF(VLOOKUP($A351-COUNT('Шаг2.Бланк заказа NEW'!$B$19:$B$201)-COUNT('Бланк OLD 0.8 04'!$B$18:$B$200),'Бланк OLD 2.0 04 '!$B$16:$K$200,3,0)="","",VLOOKUP($A351-COUNT('Шаг2.Бланк заказа NEW'!$B$19:$B$201)-COUNT('Бланк OLD 0.8 04'!$B$18:$B$200),'Бланк OLD 2.0 04 '!$B$16:$K$200,3,0)))</f>
        <v/>
      </c>
      <c r="G351" s="176" t="str">
        <f ca="1">IF(IF(R351="","",IF(R351=1,SUMIFS('Шаг1.Выбор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плиты'!C:Q,12,0)),1))))))=0,
R351,
IF(R351="","",IF(R351=1,SUMIFS('Шаг1.Выбор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плиты'!N:N,R351,'Шаг1.Выбор плиты'!M:M,SMALL(INDIRECT("мм"&amp;VLOOKUP(C351,'Шаг1.Выбор плиты'!C:Q,12,0)),1)))))))</f>
        <v/>
      </c>
      <c r="H351" s="177" t="str">
        <f ca="1">IF(IF(S351="","",IF(S351=1,SUMIFS('Шаг1.Выбор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плиты'!C:Q,12,0)),1))))))=0,
S351,
IF(S351="","",IF(S351=1,SUMIFS('Шаг1.Выбор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плиты'!N:N,S351,'Шаг1.Выбор плиты'!M:M,SMALL(INDIRECT("мм"&amp;VLOOKUP(C351,'Шаг1.Выбор плиты'!C:Q,12,0)),1)))))))</f>
        <v/>
      </c>
      <c r="I351" s="147" t="str">
        <f ca="1">IFERROR(IFERROR(IF(VLOOKUP($A351,'Шаг2.Бланк заказа NEW'!$B$17:$N$201,6,0)="","",VLOOKUP($A351,'Шаг2.Бланк заказа NEW'!$B$17:$N$201,6,0)),
IF(VLOOKUP($A351-COUNT('Шаг2.Бланк заказа NEW'!$B$19:$B$201),'Бланк OLD 0.8 04'!$B$12:$K$200,6,0)="","",VLOOKUP($A351-COUNT('Шаг2.Бланк заказа NEW'!$B$19:$B$201),'Бланк OLD 0.8 04'!$B$12:$K$200,6,0))),
IF(VLOOKUP($A351-COUNT('Шаг2.Бланк заказа NEW'!$B$19:$B$201)-COUNT('Бланк OLD 0.8 04'!$B$18:$B$200),'Бланк OLD 2.0 04 '!$B$16:$K$200,6,0)="","",VLOOKUP($A351-COUNT('Шаг2.Бланк заказа NEW'!$B$19:$B$201)-COUNT('Бланк OLD 0.8 04'!$B$18:$B$200),'Бланк OLD 2.0 04 '!$B$16:$K$200,6,0)))</f>
        <v/>
      </c>
      <c r="J351" s="177" t="str">
        <f ca="1">IF(IF(T351="","",IF(T351=1,SUMIFS('Шаг1.Выбор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плиты'!C:Q,12,0)),1))))))=0,
T351,
IF(T351="","",IF(T351=1,SUMIFS('Шаг1.Выбор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плиты'!N:N,T351,'Шаг1.Выбор плиты'!M:M,SMALL(INDIRECT("мм"&amp;VLOOKUP(C351,'Шаг1.Выбор плиты'!C:Q,12,0)),1)))))))</f>
        <v/>
      </c>
      <c r="K351" s="177" t="str">
        <f ca="1">IF(IF(U351="","",IF(U351=1,SUMIFS('Шаг1.Выбор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плиты'!C:Q,12,0)),1))))))=0,
U351,
IF(U351="","",IF(U351=1,SUMIFS('Шаг1.Выбор плиты'!$G:$G,'Шаг1.Выбор плиты'!J:J,"*"&amp;RIGHT(VLOOKUP(C351,'Шаг1.Выбор плиты'!C:Q,8,0),4),'Шаг1.Выбор плиты'!L:L,IF(MID(C351,1,6)="ЛДСП P","TM"&amp;MID(VLOOKUP(C351,'Шаг1.Выбор плиты'!C:Q,10,0),3,2),MID(VLOOKUP(C351,'Шаг1.Выбор плиты'!C:Q,10,0),1,2)),
'Шаг1.Выбор плиты'!N:N,1),IF(SUMIFS('Шаг1.Выбор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плиты'!C:Q,12,0)),1))=0,
IF(SUMIFS('Шаг1.Выбор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плиты'!C:Q,12,0)),2))=0,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плиты'!C:Q,12,0)),3)),
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плиты'!C:Q,12,0)),2))),
(SUMIFS('Шаг1.Выбор плиты'!$G:$G,'Шаг1.Выбор плиты'!J:J,"*"&amp;RIGHT(VLOOKUP(C351,'Шаг1.Выбор плиты'!C:Q,8,0),4),'Шаг1.Выбор плиты'!L:L,VLOOKUP(C351,'Шаг1.Выбор плиты'!C:Q,10,0),'Шаг1.Выбор плиты'!N:N,U351,'Шаг1.Выбор плиты'!M:M,SMALL(INDIRECT("мм"&amp;VLOOKUP(C351,'Шаг1.Выбор плиты'!C:Q,12,0)),1)))))))</f>
        <v/>
      </c>
      <c r="L351" s="147" t="str">
        <f ca="1">IFERROR(IFERROR(IF(VLOOKUP($A351,'Шаг2.Бланк заказа NEW'!$B$17:$N$201,9,0)="","",VLOOKUP($A351,'Шаг2.Бланк заказа NEW'!$B$17:$N$201,9,0)),
IF(VLOOKUP($A351-COUNT('Шаг2.Бланк заказа NEW'!$B$19:$B$201),'Бланк OLD 0.8 04'!$B$12:$K$200,9,0)="","",VLOOKUP($A351-COUNT('Шаг2.Бланк заказа NEW'!$B$19:$B$201),'Бланк OLD 0.8 04'!$B$12:$K$200,9,0))),
IF(VLOOKUP($A351-COUNT('Шаг2.Бланк заказа NEW'!$B$19:$B$201)-COUNT('Бланк OLD 0.8 04'!$B$18:$B$200),'Бланк OLD 2.0 04 '!$B$16:$K$200,9,0)="","",VLOOKUP($A351-COUNT('Шаг2.Бланк заказа NEW'!$B$19:$B$201)-COUNT('Бланк OLD 0.8 04'!$B$18:$B$200),'Бланк OLD 2.0 04 '!$B$16:$K$200,9,0)))</f>
        <v/>
      </c>
      <c r="M351" s="154" t="str">
        <f t="shared" ca="1" si="30"/>
        <v/>
      </c>
      <c r="N351" s="153" t="str">
        <f ca="1">IFERROR(IF(VLOOKUP($A351,'Шаг2.Бланк заказа NEW'!$B$17:$N$201,11,0)="","",VLOOKUP($A351,'Шаг2.Бланк заказа NEW'!$B$17:$N$201,11,0)),
"Нет")</f>
        <v/>
      </c>
      <c r="O351" s="147" t="str">
        <f ca="1">IFERROR(IF(VLOOKUP($A351,'Шаг2.Бланк заказа NEW'!$B$17:$N$201,11,0)="","",VLOOKUP($A351,'Шаг2.Бланк заказа NEW'!$B$17:$N$201,12,0)),
"Нет")</f>
        <v/>
      </c>
      <c r="P351" s="153" t="str">
        <f ca="1">IFERROR(IF(VLOOKUP($A351,'Шаг2.Бланк заказа NEW'!$B$17:$N$201,13,0)="","",VLOOKUP($A351,'Шаг2.Бланк заказа NEW'!$B$17:$N$201,13,0)),
"Нет")</f>
        <v/>
      </c>
      <c r="Q351" s="147" t="str">
        <f ca="1">IFERROR(IF(VLOOKUP($A351,'Шаг2.Бланк заказа NEW'!$B$17:$O$201,14,0)="","",VLOOKUP($A351,'Шаг2.Бланк заказа NEW'!$B$17:$O$201,14,0)),"")</f>
        <v/>
      </c>
      <c r="R351" s="147" t="str">
        <f ca="1">IFERROR(IFERROR(IF(VLOOKUP($A351,'Шаг2.Бланк заказа NEW'!$B$17:$N$201,4,0)="","",VLOOKUP($A351,'Шаг2.Бланк заказа NEW'!$B$17:$N$201,4,0)),
IF(VLOOKUP($A351-COUNT('Шаг2.Бланк заказа NEW'!$B$19:$B$201),'Бланк OLD 0.8 04'!$B$12:$K$200,4,0)&gt;0,0.8,
IF(VLOOKUP($A351-COUNT('Шаг2.Бланк заказа NEW'!$B$19:$B$201),'Бланк OLD 0.8 04'!$B$12:$K$200,5,0)&gt;0,0.4,""))),
IF(VLOOKUP($A351-COUNT('Шаг2.Бланк заказа NEW'!$B$19:$B$201)-COUNT('Бланк OLD 0.8 04'!$B$18:$B$200),'Бланк OLD 2.0 04 '!$B$16:$K$200,4,0)&gt;0,2,IF(VLOOKUP($A351-COUNT('Шаг2.Бланк заказа NEW'!$B$19:$B$201)-COUNT('Бланк OLD 0.8 04'!$B$18:$B$200),'Бланк OLD 2.0 04 '!$B$16:$K$200,5,0)&gt;0,0.4,"")))</f>
        <v/>
      </c>
      <c r="S351" s="147" t="str">
        <f ca="1">IFERROR(IFERROR(IF(VLOOKUP($A351,'Шаг2.Бланк заказа NEW'!$B$17:$N$201,5,0)="","",VLOOKUP($A351,'Шаг2.Бланк заказа NEW'!$B$17:$N$201,5,0)),
IF(VLOOKUP($A351-COUNT('Шаг2.Бланк заказа NEW'!$B$19:$B$201),'Бланк OLD 0.8 04'!$B$12:$K$200,4,0)&gt;1,0.8,
IF(VLOOKUP($A351-COUNT('Шаг2.Бланк заказа NEW'!$B$19:$B$201),'Бланк OLD 0.8 04'!$B$12:$K$200,5,0)&gt;1,0.4,
IF(AND(VLOOKUP($A351-COUNT('Шаг2.Бланк заказа NEW'!$B$19:$B$201),'Бланк OLD 0.8 04'!$B$12:$K$200,4,0)&gt;0,VLOOKUP($A351-COUNT('Шаг2.Бланк заказа NEW'!$B$19:$B$201),'Бланк OLD 0.8 04'!$B$12:$K$200,5,0)&gt;0),0.4,"")))),
IF(VLOOKUP($A351-COUNT('Шаг2.Бланк заказа NEW'!$B$19:$B$201)-COUNT('Бланк OLD 0.8 04'!$B$18:$B$200),'Бланк OLD 2.0 04 '!$B$16:$K$200,4,0)&gt;1,2,
IF(VLOOKUP($A351-COUNT('Шаг2.Бланк заказа NEW'!$B$19:$B$201)-COUNT('Бланк OLD 0.8 04'!$B$18:$B$200),'Бланк OLD 2.0 04 '!$B$16:$K$200,5,0)&gt;1,0.4,IF(AND(VLOOKUP($A351-COUNT('Шаг2.Бланк заказа NEW'!$B$19:$B$201)-COUNT('Бланк OLD 0.8 04'!$B$18:$B$200),'Бланк OLD 2.0 04 '!$B$16:$K$200,4,0)&gt;0,VLOOKUP($A351-COUNT('Шаг2.Бланк заказа NEW'!$B$19:$B$201)-COUNT('Бланк OLD 0.8 04'!$B$18:$B$200),'Бланк OLD 2.0 04 '!$B$16:$K$200,5,0)&gt;0),0.4,""))))</f>
        <v/>
      </c>
      <c r="T351" s="147" t="str">
        <f ca="1">IFERROR(IFERROR(IF(VLOOKUP($A351,'Шаг2.Бланк заказа NEW'!$B$17:$N$201,7,0)="","",VLOOKUP($A351,'Шаг2.Бланк заказа NEW'!$B$17:$N$201,7,0)),
IF(VLOOKUP($A351-COUNT('Шаг2.Бланк заказа NEW'!$B$19:$B$201),'Бланк OLD 0.8 04'!$B$12:$K$200,7,0)&gt;0,0.8,
IF(VLOOKUP($A351-COUNT('Шаг2.Бланк заказа NEW'!$B$19:$B$201),'Бланк OLD 0.8 04'!$B$12:$K$200,8,0)&gt;0,0.4,""))),
IF(VLOOKUP($A351-COUNT('Шаг2.Бланк заказа NEW'!$B$19:$B$201)-COUNT('Бланк OLD 0.8 04'!$B$18:$B$200),'Бланк OLD 2.0 04 '!$B$16:$K$200,7,0)&gt;0,2,IF(VLOOKUP($A351-COUNT('Шаг2.Бланк заказа NEW'!$B$19:$B$201)-COUNT('Бланк OLD 0.8 04'!$B$18:$B$200),'Бланк OLD 2.0 04 '!$B$16:$K$200,8,0)&gt;0,0.4,"")))</f>
        <v/>
      </c>
      <c r="U351" s="147" t="str">
        <f ca="1">IFERROR(IFERROR(IF(VLOOKUP($A351,'Шаг2.Бланк заказа NEW'!$B$17:$N$201,8,0)="","",VLOOKUP($A351,'Шаг2.Бланк заказа NEW'!$B$17:$N$201,8,0)),
IF(VLOOKUP($A351-COUNT('Шаг2.Бланк заказа NEW'!$B$19:$B$201),'Бланк OLD 0.8 04'!$B$12:$K$200,7,0)&gt;1,0.8,
IF(VLOOKUP($A351-COUNT('Шаг2.Бланк заказа NEW'!$B$19:$B$201),'Бланк OLD 0.8 04'!$B$12:$K$200,8,0)&gt;1,0.4,
IF(AND(VLOOKUP($A351-COUNT('Шаг2.Бланк заказа NEW'!$B$19:$B$201),'Бланк OLD 0.8 04'!$B$12:$K$200,7,0)&gt;0,VLOOKUP($A351-COUNT('Шаг2.Бланк заказа NEW'!$B$19:$B$201),'Бланк OLD 0.8 04'!$B$12:$K$200,8,0)&gt;0),0.4,"")))),
IF(VLOOKUP($A351-COUNT('Шаг2.Бланк заказа NEW'!$B$19:$B$201)-COUNT('Бланк OLD 0.8 04'!$B$18:$B$200),'Бланк OLD 2.0 04 '!$B$16:$K$200,7,0)&gt;1,2,
IF(VLOOKUP($A351-COUNT('Шаг2.Бланк заказа NEW'!$B$19:$B$201)-COUNT('Бланк OLD 0.8 04'!$B$18:$B$200),'Бланк OLD 2.0 04 '!$B$16:$K$200,8,0)&gt;1,0.4,
IF(AND(VLOOKUP($A351-COUNT('Шаг2.Бланк заказа NEW'!$B$19:$B$201)-COUNT('Бланк OLD 0.8 04'!$B$18:$B$200),'Бланк OLD 2.0 04 '!$B$16:$K$200,7,0)&gt;0,VLOOKUP($A351-COUNT('Шаг2.Бланк заказа NEW'!$B$19:$B$201)-COUNT('Бланк OLD 0.8 04'!$B$18:$B$200),'Бланк OLD 2.0 04 '!$B$16:$K$200,8,0)&gt;0),0.4,""))))</f>
        <v/>
      </c>
      <c r="V351" s="146" t="str">
        <f ca="1">IFERROR(VLOOKUP(C351,'Шаг1.Выбор плиты'!C:S,12,0),"")</f>
        <v/>
      </c>
      <c r="W351" s="146" t="str">
        <f ca="1">IFERROR(VLOOKUP(C351,'Шаг1.Выбор плиты'!C:S,8,0),"")</f>
        <v/>
      </c>
      <c r="X351" s="146" t="str">
        <f ca="1">IFERROR(VLOOKUP(C351,'Шаг1.Выбор плиты'!C:S,10,0),"")</f>
        <v/>
      </c>
      <c r="Y351" s="147" t="str">
        <f t="shared" ca="1" si="28"/>
        <v/>
      </c>
      <c r="AD351" s="147" t="str">
        <f t="shared" ca="1" si="31"/>
        <v/>
      </c>
      <c r="AE351" s="147" t="str">
        <f t="shared" ca="1" si="29"/>
        <v/>
      </c>
      <c r="AF351" s="25"/>
      <c r="AH351" s="147" t="str">
        <f ca="1">IF(C351="","",VLOOKUP(C351,'Шаг1.Выбор плиты'!C:Q,7,0))</f>
        <v/>
      </c>
      <c r="AI351" s="147" t="str">
        <f t="shared" ca="1" si="32"/>
        <v/>
      </c>
    </row>
    <row r="352" spans="1:35" x14ac:dyDescent="0.2">
      <c r="A352" s="151" t="str">
        <f ca="1">IF(C352="","",MAX($A$1:OFFSET(C352,-1,0))+1)</f>
        <v/>
      </c>
      <c r="B352" s="151" t="str">
        <f ca="1">IFERROR(IFERROR(IFERROR("Шаг2.Бланк заказа NEW №"&amp;VLOOKUP(A351+1,CHOOSE({1,2},'Шаг2.Бланк заказа NEW'!$B$19:$B$201,'Шаг2.Бланк заказа NEW'!$A$19:$A$201),1,0),
"Бланк OLD 0.8 04 №"&amp;VLOOKUP(A351+1-COUNT('Шаг2.Бланк заказа NEW'!$B$19:$B$201),CHOOSE({1,2},'Бланк OLD 0.8 04'!$B$18:$B$200,'Бланк OLD 0.8 04'!$A$18:$A$200),1,0)),
"Бланк OLD 2.0 04 №"&amp;VLOOKUP(A351+1-COUNT('Шаг2.Бланк заказа NEW'!$B$19:$B$201)-COUNT('Бланк OLD 0.8 04'!$B$18:$B$200),CHOOSE({1,2},'Бланк OLD 2.0 04 '!$B$18:$B$200,'Бланк OLD 2.0 04 '!$A$18:$A$200),1,0)),"")</f>
        <v/>
      </c>
      <c r="C352" s="152" t="str">
        <f ca="1">IFERROR(IFERROR(IFERROR(VLOOKUP(A351+1,CHOOSE({1,2},'Шаг2.Бланк заказа NEW'!$B$19:$B$201,'Шаг2.Бланк заказа NEW'!$A$19:$A$201),2,0),
VLOOKUP(A351+1-COUNT('Шаг2.Бланк заказа NEW'!$B$19:$B$201),CHOOSE({1,2},'Бланк OLD 0.8 04'!$B$18:$B$200,'Бланк OLD 0.8 04'!$A$18:$A$200),2,0)),
VLOOKUP(A351+1-COUNT('Шаг2.Бланк заказа NEW'!$B$19:$B$201)-COUNT('Бланк OLD 0.8 04'!$B$18:$B$200),CHOOSE({1,2},'Бланк OLD 2.0 04 '!$B$18:$B$200,'Бланк OLD 2.0 04 '!$A$18:$A$200),2,0)),"")</f>
        <v/>
      </c>
      <c r="D352" s="150" t="str">
        <f ca="1">IFERROR(VLOOKUP(C352,'Шаг1.Выбор плиты'!C:G,5,0),"")</f>
        <v/>
      </c>
      <c r="E352" s="147" t="str">
        <f ca="1">IFERROR(IFERROR(IF(VLOOKUP($A352,'Шаг2.Бланк заказа NEW'!$B$17:$N$201,2,0)="","",VLOOKUP($A352,'Шаг2.Бланк заказа NEW'!$B$17:$N$201,2,0)),
IF(VLOOKUP($A352-COUNT('Шаг2.Бланк заказа NEW'!$B$19:$B$201),'Бланк OLD 0.8 04'!$B$12:$K$200,2,0)="","",VLOOKUP($A352-COUNT('Шаг2.Бланк заказа NEW'!$B$19:$B$201),'Бланк OLD 0.8 04'!$B$12:$K$200,2,0))),
IF(VLOOKUP($A352-COUNT('Шаг2.Бланк заказа NEW'!$B$19:$B$201)-COUNT('Бланк OLD 0.8 04'!$B$18:$B$200),'Бланк OLD 2.0 04 '!$B$16:$K$200,2,0)="","",VLOOKUP($A352-COUNT('Шаг2.Бланк заказа NEW'!$B$19:$B$201)-COUNT('Бланк OLD 0.8 04'!$B$18:$B$200),'Бланк OLD 2.0 04 '!$B$16:$K$200,2,0)))</f>
        <v/>
      </c>
      <c r="F352" s="147" t="str">
        <f ca="1">IFERROR(IFERROR(IF(VLOOKUP($A352,'Шаг2.Бланк заказа NEW'!$B$17:$N$201,3,0)="","",VLOOKUP($A352,'Шаг2.Бланк заказа NEW'!$B$17:$N$201,3,0)),
IF(VLOOKUP($A352-COUNT('Шаг2.Бланк заказа NEW'!$B$19:$B$201),'Бланк OLD 0.8 04'!$B$12:$K$200,3,0)="","",VLOOKUP($A352-COUNT('Шаг2.Бланк заказа NEW'!$B$19:$B$201),'Бланк OLD 0.8 04'!$B$12:$K$200,3,0))),
IF(VLOOKUP($A352-COUNT('Шаг2.Бланк заказа NEW'!$B$19:$B$201)-COUNT('Бланк OLD 0.8 04'!$B$18:$B$200),'Бланк OLD 2.0 04 '!$B$16:$K$200,3,0)="","",VLOOKUP($A352-COUNT('Шаг2.Бланк заказа NEW'!$B$19:$B$201)-COUNT('Бланк OLD 0.8 04'!$B$18:$B$200),'Бланк OLD 2.0 04 '!$B$16:$K$200,3,0)))</f>
        <v/>
      </c>
      <c r="G352" s="176" t="str">
        <f ca="1">IF(IF(R352="","",IF(R352=1,SUMIFS('Шаг1.Выбор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плиты'!C:Q,12,0)),1))))))=0,
R352,
IF(R352="","",IF(R352=1,SUMIFS('Шаг1.Выбор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плиты'!N:N,R352,'Шаг1.Выбор плиты'!M:M,SMALL(INDIRECT("мм"&amp;VLOOKUP(C352,'Шаг1.Выбор плиты'!C:Q,12,0)),1)))))))</f>
        <v/>
      </c>
      <c r="H352" s="177" t="str">
        <f ca="1">IF(IF(S352="","",IF(S352=1,SUMIFS('Шаг1.Выбор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плиты'!C:Q,12,0)),1))))))=0,
S352,
IF(S352="","",IF(S352=1,SUMIFS('Шаг1.Выбор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плиты'!N:N,S352,'Шаг1.Выбор плиты'!M:M,SMALL(INDIRECT("мм"&amp;VLOOKUP(C352,'Шаг1.Выбор плиты'!C:Q,12,0)),1)))))))</f>
        <v/>
      </c>
      <c r="I352" s="147" t="str">
        <f ca="1">IFERROR(IFERROR(IF(VLOOKUP($A352,'Шаг2.Бланк заказа NEW'!$B$17:$N$201,6,0)="","",VLOOKUP($A352,'Шаг2.Бланк заказа NEW'!$B$17:$N$201,6,0)),
IF(VLOOKUP($A352-COUNT('Шаг2.Бланк заказа NEW'!$B$19:$B$201),'Бланк OLD 0.8 04'!$B$12:$K$200,6,0)="","",VLOOKUP($A352-COUNT('Шаг2.Бланк заказа NEW'!$B$19:$B$201),'Бланк OLD 0.8 04'!$B$12:$K$200,6,0))),
IF(VLOOKUP($A352-COUNT('Шаг2.Бланк заказа NEW'!$B$19:$B$201)-COUNT('Бланк OLD 0.8 04'!$B$18:$B$200),'Бланк OLD 2.0 04 '!$B$16:$K$200,6,0)="","",VLOOKUP($A352-COUNT('Шаг2.Бланк заказа NEW'!$B$19:$B$201)-COUNT('Бланк OLD 0.8 04'!$B$18:$B$200),'Бланк OLD 2.0 04 '!$B$16:$K$200,6,0)))</f>
        <v/>
      </c>
      <c r="J352" s="177" t="str">
        <f ca="1">IF(IF(T352="","",IF(T352=1,SUMIFS('Шаг1.Выбор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плиты'!C:Q,12,0)),1))))))=0,
T352,
IF(T352="","",IF(T352=1,SUMIFS('Шаг1.Выбор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плиты'!N:N,T352,'Шаг1.Выбор плиты'!M:M,SMALL(INDIRECT("мм"&amp;VLOOKUP(C352,'Шаг1.Выбор плиты'!C:Q,12,0)),1)))))))</f>
        <v/>
      </c>
      <c r="K352" s="177" t="str">
        <f ca="1">IF(IF(U352="","",IF(U352=1,SUMIFS('Шаг1.Выбор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плиты'!C:Q,12,0)),1))))))=0,
U352,
IF(U352="","",IF(U352=1,SUMIFS('Шаг1.Выбор плиты'!$G:$G,'Шаг1.Выбор плиты'!J:J,"*"&amp;RIGHT(VLOOKUP(C352,'Шаг1.Выбор плиты'!C:Q,8,0),4),'Шаг1.Выбор плиты'!L:L,IF(MID(C352,1,6)="ЛДСП P","TM"&amp;MID(VLOOKUP(C352,'Шаг1.Выбор плиты'!C:Q,10,0),3,2),MID(VLOOKUP(C352,'Шаг1.Выбор плиты'!C:Q,10,0),1,2)),
'Шаг1.Выбор плиты'!N:N,1),IF(SUMIFS('Шаг1.Выбор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плиты'!C:Q,12,0)),1))=0,
IF(SUMIFS('Шаг1.Выбор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плиты'!C:Q,12,0)),2))=0,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плиты'!C:Q,12,0)),3)),
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плиты'!C:Q,12,0)),2))),
(SUMIFS('Шаг1.Выбор плиты'!$G:$G,'Шаг1.Выбор плиты'!J:J,"*"&amp;RIGHT(VLOOKUP(C352,'Шаг1.Выбор плиты'!C:Q,8,0),4),'Шаг1.Выбор плиты'!L:L,VLOOKUP(C352,'Шаг1.Выбор плиты'!C:Q,10,0),'Шаг1.Выбор плиты'!N:N,U352,'Шаг1.Выбор плиты'!M:M,SMALL(INDIRECT("мм"&amp;VLOOKUP(C352,'Шаг1.Выбор плиты'!C:Q,12,0)),1)))))))</f>
        <v/>
      </c>
      <c r="L352" s="147" t="str">
        <f ca="1">IFERROR(IFERROR(IF(VLOOKUP($A352,'Шаг2.Бланк заказа NEW'!$B$17:$N$201,9,0)="","",VLOOKUP($A352,'Шаг2.Бланк заказа NEW'!$B$17:$N$201,9,0)),
IF(VLOOKUP($A352-COUNT('Шаг2.Бланк заказа NEW'!$B$19:$B$201),'Бланк OLD 0.8 04'!$B$12:$K$200,9,0)="","",VLOOKUP($A352-COUNT('Шаг2.Бланк заказа NEW'!$B$19:$B$201),'Бланк OLD 0.8 04'!$B$12:$K$200,9,0))),
IF(VLOOKUP($A352-COUNT('Шаг2.Бланк заказа NEW'!$B$19:$B$201)-COUNT('Бланк OLD 0.8 04'!$B$18:$B$200),'Бланк OLD 2.0 04 '!$B$16:$K$200,9,0)="","",VLOOKUP($A352-COUNT('Шаг2.Бланк заказа NEW'!$B$19:$B$201)-COUNT('Бланк OLD 0.8 04'!$B$18:$B$200),'Бланк OLD 2.0 04 '!$B$16:$K$200,9,0)))</f>
        <v/>
      </c>
      <c r="M352" s="154" t="str">
        <f t="shared" ca="1" si="30"/>
        <v/>
      </c>
      <c r="N352" s="153" t="str">
        <f ca="1">IFERROR(IF(VLOOKUP($A352,'Шаг2.Бланк заказа NEW'!$B$17:$N$201,11,0)="","",VLOOKUP($A352,'Шаг2.Бланк заказа NEW'!$B$17:$N$201,11,0)),
"Нет")</f>
        <v/>
      </c>
      <c r="O352" s="147" t="str">
        <f ca="1">IFERROR(IF(VLOOKUP($A352,'Шаг2.Бланк заказа NEW'!$B$17:$N$201,11,0)="","",VLOOKUP($A352,'Шаг2.Бланк заказа NEW'!$B$17:$N$201,12,0)),
"Нет")</f>
        <v/>
      </c>
      <c r="P352" s="153" t="str">
        <f ca="1">IFERROR(IF(VLOOKUP($A352,'Шаг2.Бланк заказа NEW'!$B$17:$N$201,13,0)="","",VLOOKUP($A352,'Шаг2.Бланк заказа NEW'!$B$17:$N$201,13,0)),
"Нет")</f>
        <v/>
      </c>
      <c r="Q352" s="147" t="str">
        <f ca="1">IFERROR(IF(VLOOKUP($A352,'Шаг2.Бланк заказа NEW'!$B$17:$O$201,14,0)="","",VLOOKUP($A352,'Шаг2.Бланк заказа NEW'!$B$17:$O$201,14,0)),"")</f>
        <v/>
      </c>
      <c r="R352" s="147" t="str">
        <f ca="1">IFERROR(IFERROR(IF(VLOOKUP($A352,'Шаг2.Бланк заказа NEW'!$B$17:$N$201,4,0)="","",VLOOKUP($A352,'Шаг2.Бланк заказа NEW'!$B$17:$N$201,4,0)),
IF(VLOOKUP($A352-COUNT('Шаг2.Бланк заказа NEW'!$B$19:$B$201),'Бланк OLD 0.8 04'!$B$12:$K$200,4,0)&gt;0,0.8,
IF(VLOOKUP($A352-COUNT('Шаг2.Бланк заказа NEW'!$B$19:$B$201),'Бланк OLD 0.8 04'!$B$12:$K$200,5,0)&gt;0,0.4,""))),
IF(VLOOKUP($A352-COUNT('Шаг2.Бланк заказа NEW'!$B$19:$B$201)-COUNT('Бланк OLD 0.8 04'!$B$18:$B$200),'Бланк OLD 2.0 04 '!$B$16:$K$200,4,0)&gt;0,2,IF(VLOOKUP($A352-COUNT('Шаг2.Бланк заказа NEW'!$B$19:$B$201)-COUNT('Бланк OLD 0.8 04'!$B$18:$B$200),'Бланк OLD 2.0 04 '!$B$16:$K$200,5,0)&gt;0,0.4,"")))</f>
        <v/>
      </c>
      <c r="S352" s="147" t="str">
        <f ca="1">IFERROR(IFERROR(IF(VLOOKUP($A352,'Шаг2.Бланк заказа NEW'!$B$17:$N$201,5,0)="","",VLOOKUP($A352,'Шаг2.Бланк заказа NEW'!$B$17:$N$201,5,0)),
IF(VLOOKUP($A352-COUNT('Шаг2.Бланк заказа NEW'!$B$19:$B$201),'Бланк OLD 0.8 04'!$B$12:$K$200,4,0)&gt;1,0.8,
IF(VLOOKUP($A352-COUNT('Шаг2.Бланк заказа NEW'!$B$19:$B$201),'Бланк OLD 0.8 04'!$B$12:$K$200,5,0)&gt;1,0.4,
IF(AND(VLOOKUP($A352-COUNT('Шаг2.Бланк заказа NEW'!$B$19:$B$201),'Бланк OLD 0.8 04'!$B$12:$K$200,4,0)&gt;0,VLOOKUP($A352-COUNT('Шаг2.Бланк заказа NEW'!$B$19:$B$201),'Бланк OLD 0.8 04'!$B$12:$K$200,5,0)&gt;0),0.4,"")))),
IF(VLOOKUP($A352-COUNT('Шаг2.Бланк заказа NEW'!$B$19:$B$201)-COUNT('Бланк OLD 0.8 04'!$B$18:$B$200),'Бланк OLD 2.0 04 '!$B$16:$K$200,4,0)&gt;1,2,
IF(VLOOKUP($A352-COUNT('Шаг2.Бланк заказа NEW'!$B$19:$B$201)-COUNT('Бланк OLD 0.8 04'!$B$18:$B$200),'Бланк OLD 2.0 04 '!$B$16:$K$200,5,0)&gt;1,0.4,IF(AND(VLOOKUP($A352-COUNT('Шаг2.Бланк заказа NEW'!$B$19:$B$201)-COUNT('Бланк OLD 0.8 04'!$B$18:$B$200),'Бланк OLD 2.0 04 '!$B$16:$K$200,4,0)&gt;0,VLOOKUP($A352-COUNT('Шаг2.Бланк заказа NEW'!$B$19:$B$201)-COUNT('Бланк OLD 0.8 04'!$B$18:$B$200),'Бланк OLD 2.0 04 '!$B$16:$K$200,5,0)&gt;0),0.4,""))))</f>
        <v/>
      </c>
      <c r="T352" s="147" t="str">
        <f ca="1">IFERROR(IFERROR(IF(VLOOKUP($A352,'Шаг2.Бланк заказа NEW'!$B$17:$N$201,7,0)="","",VLOOKUP($A352,'Шаг2.Бланк заказа NEW'!$B$17:$N$201,7,0)),
IF(VLOOKUP($A352-COUNT('Шаг2.Бланк заказа NEW'!$B$19:$B$201),'Бланк OLD 0.8 04'!$B$12:$K$200,7,0)&gt;0,0.8,
IF(VLOOKUP($A352-COUNT('Шаг2.Бланк заказа NEW'!$B$19:$B$201),'Бланк OLD 0.8 04'!$B$12:$K$200,8,0)&gt;0,0.4,""))),
IF(VLOOKUP($A352-COUNT('Шаг2.Бланк заказа NEW'!$B$19:$B$201)-COUNT('Бланк OLD 0.8 04'!$B$18:$B$200),'Бланк OLD 2.0 04 '!$B$16:$K$200,7,0)&gt;0,2,IF(VLOOKUP($A352-COUNT('Шаг2.Бланк заказа NEW'!$B$19:$B$201)-COUNT('Бланк OLD 0.8 04'!$B$18:$B$200),'Бланк OLD 2.0 04 '!$B$16:$K$200,8,0)&gt;0,0.4,"")))</f>
        <v/>
      </c>
      <c r="U352" s="147" t="str">
        <f ca="1">IFERROR(IFERROR(IF(VLOOKUP($A352,'Шаг2.Бланк заказа NEW'!$B$17:$N$201,8,0)="","",VLOOKUP($A352,'Шаг2.Бланк заказа NEW'!$B$17:$N$201,8,0)),
IF(VLOOKUP($A352-COUNT('Шаг2.Бланк заказа NEW'!$B$19:$B$201),'Бланк OLD 0.8 04'!$B$12:$K$200,7,0)&gt;1,0.8,
IF(VLOOKUP($A352-COUNT('Шаг2.Бланк заказа NEW'!$B$19:$B$201),'Бланк OLD 0.8 04'!$B$12:$K$200,8,0)&gt;1,0.4,
IF(AND(VLOOKUP($A352-COUNT('Шаг2.Бланк заказа NEW'!$B$19:$B$201),'Бланк OLD 0.8 04'!$B$12:$K$200,7,0)&gt;0,VLOOKUP($A352-COUNT('Шаг2.Бланк заказа NEW'!$B$19:$B$201),'Бланк OLD 0.8 04'!$B$12:$K$200,8,0)&gt;0),0.4,"")))),
IF(VLOOKUP($A352-COUNT('Шаг2.Бланк заказа NEW'!$B$19:$B$201)-COUNT('Бланк OLD 0.8 04'!$B$18:$B$200),'Бланк OLD 2.0 04 '!$B$16:$K$200,7,0)&gt;1,2,
IF(VLOOKUP($A352-COUNT('Шаг2.Бланк заказа NEW'!$B$19:$B$201)-COUNT('Бланк OLD 0.8 04'!$B$18:$B$200),'Бланк OLD 2.0 04 '!$B$16:$K$200,8,0)&gt;1,0.4,
IF(AND(VLOOKUP($A352-COUNT('Шаг2.Бланк заказа NEW'!$B$19:$B$201)-COUNT('Бланк OLD 0.8 04'!$B$18:$B$200),'Бланк OLD 2.0 04 '!$B$16:$K$200,7,0)&gt;0,VLOOKUP($A352-COUNT('Шаг2.Бланк заказа NEW'!$B$19:$B$201)-COUNT('Бланк OLD 0.8 04'!$B$18:$B$200),'Бланк OLD 2.0 04 '!$B$16:$K$200,8,0)&gt;0),0.4,""))))</f>
        <v/>
      </c>
      <c r="V352" s="146" t="str">
        <f ca="1">IFERROR(VLOOKUP(C352,'Шаг1.Выбор плиты'!C:S,12,0),"")</f>
        <v/>
      </c>
      <c r="W352" s="146" t="str">
        <f ca="1">IFERROR(VLOOKUP(C352,'Шаг1.Выбор плиты'!C:S,8,0),"")</f>
        <v/>
      </c>
      <c r="X352" s="146" t="str">
        <f ca="1">IFERROR(VLOOKUP(C352,'Шаг1.Выбор плиты'!C:S,10,0),"")</f>
        <v/>
      </c>
      <c r="Y352" s="147" t="str">
        <f t="shared" ca="1" si="28"/>
        <v/>
      </c>
      <c r="AD352" s="147" t="str">
        <f t="shared" ca="1" si="31"/>
        <v/>
      </c>
      <c r="AE352" s="147" t="str">
        <f t="shared" ca="1" si="29"/>
        <v/>
      </c>
      <c r="AF352" s="25"/>
      <c r="AH352" s="147" t="str">
        <f ca="1">IF(C352="","",VLOOKUP(C352,'Шаг1.Выбор плиты'!C:Q,7,0))</f>
        <v/>
      </c>
      <c r="AI352" s="147" t="str">
        <f t="shared" ca="1" si="32"/>
        <v/>
      </c>
    </row>
    <row r="353" spans="1:35" x14ac:dyDescent="0.2">
      <c r="A353" s="151" t="str">
        <f ca="1">IF(C353="","",MAX($A$1:OFFSET(C353,-1,0))+1)</f>
        <v/>
      </c>
      <c r="B353" s="151" t="str">
        <f ca="1">IFERROR(IFERROR(IFERROR("Шаг2.Бланк заказа NEW №"&amp;VLOOKUP(A352+1,CHOOSE({1,2},'Шаг2.Бланк заказа NEW'!$B$19:$B$201,'Шаг2.Бланк заказа NEW'!$A$19:$A$201),1,0),
"Бланк OLD 0.8 04 №"&amp;VLOOKUP(A352+1-COUNT('Шаг2.Бланк заказа NEW'!$B$19:$B$201),CHOOSE({1,2},'Бланк OLD 0.8 04'!$B$18:$B$200,'Бланк OLD 0.8 04'!$A$18:$A$200),1,0)),
"Бланк OLD 2.0 04 №"&amp;VLOOKUP(A352+1-COUNT('Шаг2.Бланк заказа NEW'!$B$19:$B$201)-COUNT('Бланк OLD 0.8 04'!$B$18:$B$200),CHOOSE({1,2},'Бланк OLD 2.0 04 '!$B$18:$B$200,'Бланк OLD 2.0 04 '!$A$18:$A$200),1,0)),"")</f>
        <v/>
      </c>
      <c r="C353" s="152" t="str">
        <f ca="1">IFERROR(IFERROR(IFERROR(VLOOKUP(A352+1,CHOOSE({1,2},'Шаг2.Бланк заказа NEW'!$B$19:$B$201,'Шаг2.Бланк заказа NEW'!$A$19:$A$201),2,0),
VLOOKUP(A352+1-COUNT('Шаг2.Бланк заказа NEW'!$B$19:$B$201),CHOOSE({1,2},'Бланк OLD 0.8 04'!$B$18:$B$200,'Бланк OLD 0.8 04'!$A$18:$A$200),2,0)),
VLOOKUP(A352+1-COUNT('Шаг2.Бланк заказа NEW'!$B$19:$B$201)-COUNT('Бланк OLD 0.8 04'!$B$18:$B$200),CHOOSE({1,2},'Бланк OLD 2.0 04 '!$B$18:$B$200,'Бланк OLD 2.0 04 '!$A$18:$A$200),2,0)),"")</f>
        <v/>
      </c>
      <c r="D353" s="150" t="str">
        <f ca="1">IFERROR(VLOOKUP(C353,'Шаг1.Выбор плиты'!C:G,5,0),"")</f>
        <v/>
      </c>
      <c r="E353" s="147" t="str">
        <f ca="1">IFERROR(IFERROR(IF(VLOOKUP($A353,'Шаг2.Бланк заказа NEW'!$B$17:$N$201,2,0)="","",VLOOKUP($A353,'Шаг2.Бланк заказа NEW'!$B$17:$N$201,2,0)),
IF(VLOOKUP($A353-COUNT('Шаг2.Бланк заказа NEW'!$B$19:$B$201),'Бланк OLD 0.8 04'!$B$12:$K$200,2,0)="","",VLOOKUP($A353-COUNT('Шаг2.Бланк заказа NEW'!$B$19:$B$201),'Бланк OLD 0.8 04'!$B$12:$K$200,2,0))),
IF(VLOOKUP($A353-COUNT('Шаг2.Бланк заказа NEW'!$B$19:$B$201)-COUNT('Бланк OLD 0.8 04'!$B$18:$B$200),'Бланк OLD 2.0 04 '!$B$16:$K$200,2,0)="","",VLOOKUP($A353-COUNT('Шаг2.Бланк заказа NEW'!$B$19:$B$201)-COUNT('Бланк OLD 0.8 04'!$B$18:$B$200),'Бланк OLD 2.0 04 '!$B$16:$K$200,2,0)))</f>
        <v/>
      </c>
      <c r="F353" s="147" t="str">
        <f ca="1">IFERROR(IFERROR(IF(VLOOKUP($A353,'Шаг2.Бланк заказа NEW'!$B$17:$N$201,3,0)="","",VLOOKUP($A353,'Шаг2.Бланк заказа NEW'!$B$17:$N$201,3,0)),
IF(VLOOKUP($A353-COUNT('Шаг2.Бланк заказа NEW'!$B$19:$B$201),'Бланк OLD 0.8 04'!$B$12:$K$200,3,0)="","",VLOOKUP($A353-COUNT('Шаг2.Бланк заказа NEW'!$B$19:$B$201),'Бланк OLD 0.8 04'!$B$12:$K$200,3,0))),
IF(VLOOKUP($A353-COUNT('Шаг2.Бланк заказа NEW'!$B$19:$B$201)-COUNT('Бланк OLD 0.8 04'!$B$18:$B$200),'Бланк OLD 2.0 04 '!$B$16:$K$200,3,0)="","",VLOOKUP($A353-COUNT('Шаг2.Бланк заказа NEW'!$B$19:$B$201)-COUNT('Бланк OLD 0.8 04'!$B$18:$B$200),'Бланк OLD 2.0 04 '!$B$16:$K$200,3,0)))</f>
        <v/>
      </c>
      <c r="G353" s="176" t="str">
        <f ca="1">IF(IF(R353="","",IF(R353=1,SUMIFS('Шаг1.Выбор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плиты'!C:Q,12,0)),1))))))=0,
R353,
IF(R353="","",IF(R353=1,SUMIFS('Шаг1.Выбор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плиты'!N:N,R353,'Шаг1.Выбор плиты'!M:M,SMALL(INDIRECT("мм"&amp;VLOOKUP(C353,'Шаг1.Выбор плиты'!C:Q,12,0)),1)))))))</f>
        <v/>
      </c>
      <c r="H353" s="177" t="str">
        <f ca="1">IF(IF(S353="","",IF(S353=1,SUMIFS('Шаг1.Выбор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плиты'!C:Q,12,0)),1))))))=0,
S353,
IF(S353="","",IF(S353=1,SUMIFS('Шаг1.Выбор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плиты'!N:N,S353,'Шаг1.Выбор плиты'!M:M,SMALL(INDIRECT("мм"&amp;VLOOKUP(C353,'Шаг1.Выбор плиты'!C:Q,12,0)),1)))))))</f>
        <v/>
      </c>
      <c r="I353" s="147" t="str">
        <f ca="1">IFERROR(IFERROR(IF(VLOOKUP($A353,'Шаг2.Бланк заказа NEW'!$B$17:$N$201,6,0)="","",VLOOKUP($A353,'Шаг2.Бланк заказа NEW'!$B$17:$N$201,6,0)),
IF(VLOOKUP($A353-COUNT('Шаг2.Бланк заказа NEW'!$B$19:$B$201),'Бланк OLD 0.8 04'!$B$12:$K$200,6,0)="","",VLOOKUP($A353-COUNT('Шаг2.Бланк заказа NEW'!$B$19:$B$201),'Бланк OLD 0.8 04'!$B$12:$K$200,6,0))),
IF(VLOOKUP($A353-COUNT('Шаг2.Бланк заказа NEW'!$B$19:$B$201)-COUNT('Бланк OLD 0.8 04'!$B$18:$B$200),'Бланк OLD 2.0 04 '!$B$16:$K$200,6,0)="","",VLOOKUP($A353-COUNT('Шаг2.Бланк заказа NEW'!$B$19:$B$201)-COUNT('Бланк OLD 0.8 04'!$B$18:$B$200),'Бланк OLD 2.0 04 '!$B$16:$K$200,6,0)))</f>
        <v/>
      </c>
      <c r="J353" s="177" t="str">
        <f ca="1">IF(IF(T353="","",IF(T353=1,SUMIFS('Шаг1.Выбор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плиты'!C:Q,12,0)),1))))))=0,
T353,
IF(T353="","",IF(T353=1,SUMIFS('Шаг1.Выбор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плиты'!N:N,T353,'Шаг1.Выбор плиты'!M:M,SMALL(INDIRECT("мм"&amp;VLOOKUP(C353,'Шаг1.Выбор плиты'!C:Q,12,0)),1)))))))</f>
        <v/>
      </c>
      <c r="K353" s="177" t="str">
        <f ca="1">IF(IF(U353="","",IF(U353=1,SUMIFS('Шаг1.Выбор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плиты'!C:Q,12,0)),1))))))=0,
U353,
IF(U353="","",IF(U353=1,SUMIFS('Шаг1.Выбор плиты'!$G:$G,'Шаг1.Выбор плиты'!J:J,"*"&amp;RIGHT(VLOOKUP(C353,'Шаг1.Выбор плиты'!C:Q,8,0),4),'Шаг1.Выбор плиты'!L:L,IF(MID(C353,1,6)="ЛДСП P","TM"&amp;MID(VLOOKUP(C353,'Шаг1.Выбор плиты'!C:Q,10,0),3,2),MID(VLOOKUP(C353,'Шаг1.Выбор плиты'!C:Q,10,0),1,2)),
'Шаг1.Выбор плиты'!N:N,1),IF(SUMIFS('Шаг1.Выбор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плиты'!C:Q,12,0)),1))=0,
IF(SUMIFS('Шаг1.Выбор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плиты'!C:Q,12,0)),2))=0,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плиты'!C:Q,12,0)),3)),
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плиты'!C:Q,12,0)),2))),
(SUMIFS('Шаг1.Выбор плиты'!$G:$G,'Шаг1.Выбор плиты'!J:J,"*"&amp;RIGHT(VLOOKUP(C353,'Шаг1.Выбор плиты'!C:Q,8,0),4),'Шаг1.Выбор плиты'!L:L,VLOOKUP(C353,'Шаг1.Выбор плиты'!C:Q,10,0),'Шаг1.Выбор плиты'!N:N,U353,'Шаг1.Выбор плиты'!M:M,SMALL(INDIRECT("мм"&amp;VLOOKUP(C353,'Шаг1.Выбор плиты'!C:Q,12,0)),1)))))))</f>
        <v/>
      </c>
      <c r="L353" s="147" t="str">
        <f ca="1">IFERROR(IFERROR(IF(VLOOKUP($A353,'Шаг2.Бланк заказа NEW'!$B$17:$N$201,9,0)="","",VLOOKUP($A353,'Шаг2.Бланк заказа NEW'!$B$17:$N$201,9,0)),
IF(VLOOKUP($A353-COUNT('Шаг2.Бланк заказа NEW'!$B$19:$B$201),'Бланк OLD 0.8 04'!$B$12:$K$200,9,0)="","",VLOOKUP($A353-COUNT('Шаг2.Бланк заказа NEW'!$B$19:$B$201),'Бланк OLD 0.8 04'!$B$12:$K$200,9,0))),
IF(VLOOKUP($A353-COUNT('Шаг2.Бланк заказа NEW'!$B$19:$B$201)-COUNT('Бланк OLD 0.8 04'!$B$18:$B$200),'Бланк OLD 2.0 04 '!$B$16:$K$200,9,0)="","",VLOOKUP($A353-COUNT('Шаг2.Бланк заказа NEW'!$B$19:$B$201)-COUNT('Бланк OLD 0.8 04'!$B$18:$B$200),'Бланк OLD 2.0 04 '!$B$16:$K$200,9,0)))</f>
        <v/>
      </c>
      <c r="M353" s="154" t="str">
        <f t="shared" ca="1" si="30"/>
        <v/>
      </c>
      <c r="N353" s="153" t="str">
        <f ca="1">IFERROR(IF(VLOOKUP($A353,'Шаг2.Бланк заказа NEW'!$B$17:$N$201,11,0)="","",VLOOKUP($A353,'Шаг2.Бланк заказа NEW'!$B$17:$N$201,11,0)),
"Нет")</f>
        <v/>
      </c>
      <c r="O353" s="147" t="str">
        <f ca="1">IFERROR(IF(VLOOKUP($A353,'Шаг2.Бланк заказа NEW'!$B$17:$N$201,11,0)="","",VLOOKUP($A353,'Шаг2.Бланк заказа NEW'!$B$17:$N$201,12,0)),
"Нет")</f>
        <v/>
      </c>
      <c r="P353" s="153" t="str">
        <f ca="1">IFERROR(IF(VLOOKUP($A353,'Шаг2.Бланк заказа NEW'!$B$17:$N$201,13,0)="","",VLOOKUP($A353,'Шаг2.Бланк заказа NEW'!$B$17:$N$201,13,0)),
"Нет")</f>
        <v/>
      </c>
      <c r="Q353" s="147" t="str">
        <f ca="1">IFERROR(IF(VLOOKUP($A353,'Шаг2.Бланк заказа NEW'!$B$17:$O$201,14,0)="","",VLOOKUP($A353,'Шаг2.Бланк заказа NEW'!$B$17:$O$201,14,0)),"")</f>
        <v/>
      </c>
      <c r="R353" s="147" t="str">
        <f ca="1">IFERROR(IFERROR(IF(VLOOKUP($A353,'Шаг2.Бланк заказа NEW'!$B$17:$N$201,4,0)="","",VLOOKUP($A353,'Шаг2.Бланк заказа NEW'!$B$17:$N$201,4,0)),
IF(VLOOKUP($A353-COUNT('Шаг2.Бланк заказа NEW'!$B$19:$B$201),'Бланк OLD 0.8 04'!$B$12:$K$200,4,0)&gt;0,0.8,
IF(VLOOKUP($A353-COUNT('Шаг2.Бланк заказа NEW'!$B$19:$B$201),'Бланк OLD 0.8 04'!$B$12:$K$200,5,0)&gt;0,0.4,""))),
IF(VLOOKUP($A353-COUNT('Шаг2.Бланк заказа NEW'!$B$19:$B$201)-COUNT('Бланк OLD 0.8 04'!$B$18:$B$200),'Бланк OLD 2.0 04 '!$B$16:$K$200,4,0)&gt;0,2,IF(VLOOKUP($A353-COUNT('Шаг2.Бланк заказа NEW'!$B$19:$B$201)-COUNT('Бланк OLD 0.8 04'!$B$18:$B$200),'Бланк OLD 2.0 04 '!$B$16:$K$200,5,0)&gt;0,0.4,"")))</f>
        <v/>
      </c>
      <c r="S353" s="147" t="str">
        <f ca="1">IFERROR(IFERROR(IF(VLOOKUP($A353,'Шаг2.Бланк заказа NEW'!$B$17:$N$201,5,0)="","",VLOOKUP($A353,'Шаг2.Бланк заказа NEW'!$B$17:$N$201,5,0)),
IF(VLOOKUP($A353-COUNT('Шаг2.Бланк заказа NEW'!$B$19:$B$201),'Бланк OLD 0.8 04'!$B$12:$K$200,4,0)&gt;1,0.8,
IF(VLOOKUP($A353-COUNT('Шаг2.Бланк заказа NEW'!$B$19:$B$201),'Бланк OLD 0.8 04'!$B$12:$K$200,5,0)&gt;1,0.4,
IF(AND(VLOOKUP($A353-COUNT('Шаг2.Бланк заказа NEW'!$B$19:$B$201),'Бланк OLD 0.8 04'!$B$12:$K$200,4,0)&gt;0,VLOOKUP($A353-COUNT('Шаг2.Бланк заказа NEW'!$B$19:$B$201),'Бланк OLD 0.8 04'!$B$12:$K$200,5,0)&gt;0),0.4,"")))),
IF(VLOOKUP($A353-COUNT('Шаг2.Бланк заказа NEW'!$B$19:$B$201)-COUNT('Бланк OLD 0.8 04'!$B$18:$B$200),'Бланк OLD 2.0 04 '!$B$16:$K$200,4,0)&gt;1,2,
IF(VLOOKUP($A353-COUNT('Шаг2.Бланк заказа NEW'!$B$19:$B$201)-COUNT('Бланк OLD 0.8 04'!$B$18:$B$200),'Бланк OLD 2.0 04 '!$B$16:$K$200,5,0)&gt;1,0.4,IF(AND(VLOOKUP($A353-COUNT('Шаг2.Бланк заказа NEW'!$B$19:$B$201)-COUNT('Бланк OLD 0.8 04'!$B$18:$B$200),'Бланк OLD 2.0 04 '!$B$16:$K$200,4,0)&gt;0,VLOOKUP($A353-COUNT('Шаг2.Бланк заказа NEW'!$B$19:$B$201)-COUNT('Бланк OLD 0.8 04'!$B$18:$B$200),'Бланк OLD 2.0 04 '!$B$16:$K$200,5,0)&gt;0),0.4,""))))</f>
        <v/>
      </c>
      <c r="T353" s="147" t="str">
        <f ca="1">IFERROR(IFERROR(IF(VLOOKUP($A353,'Шаг2.Бланк заказа NEW'!$B$17:$N$201,7,0)="","",VLOOKUP($A353,'Шаг2.Бланк заказа NEW'!$B$17:$N$201,7,0)),
IF(VLOOKUP($A353-COUNT('Шаг2.Бланк заказа NEW'!$B$19:$B$201),'Бланк OLD 0.8 04'!$B$12:$K$200,7,0)&gt;0,0.8,
IF(VLOOKUP($A353-COUNT('Шаг2.Бланк заказа NEW'!$B$19:$B$201),'Бланк OLD 0.8 04'!$B$12:$K$200,8,0)&gt;0,0.4,""))),
IF(VLOOKUP($A353-COUNT('Шаг2.Бланк заказа NEW'!$B$19:$B$201)-COUNT('Бланк OLD 0.8 04'!$B$18:$B$200),'Бланк OLD 2.0 04 '!$B$16:$K$200,7,0)&gt;0,2,IF(VLOOKUP($A353-COUNT('Шаг2.Бланк заказа NEW'!$B$19:$B$201)-COUNT('Бланк OLD 0.8 04'!$B$18:$B$200),'Бланк OLD 2.0 04 '!$B$16:$K$200,8,0)&gt;0,0.4,"")))</f>
        <v/>
      </c>
      <c r="U353" s="147" t="str">
        <f ca="1">IFERROR(IFERROR(IF(VLOOKUP($A353,'Шаг2.Бланк заказа NEW'!$B$17:$N$201,8,0)="","",VLOOKUP($A353,'Шаг2.Бланк заказа NEW'!$B$17:$N$201,8,0)),
IF(VLOOKUP($A353-COUNT('Шаг2.Бланк заказа NEW'!$B$19:$B$201),'Бланк OLD 0.8 04'!$B$12:$K$200,7,0)&gt;1,0.8,
IF(VLOOKUP($A353-COUNT('Шаг2.Бланк заказа NEW'!$B$19:$B$201),'Бланк OLD 0.8 04'!$B$12:$K$200,8,0)&gt;1,0.4,
IF(AND(VLOOKUP($A353-COUNT('Шаг2.Бланк заказа NEW'!$B$19:$B$201),'Бланк OLD 0.8 04'!$B$12:$K$200,7,0)&gt;0,VLOOKUP($A353-COUNT('Шаг2.Бланк заказа NEW'!$B$19:$B$201),'Бланк OLD 0.8 04'!$B$12:$K$200,8,0)&gt;0),0.4,"")))),
IF(VLOOKUP($A353-COUNT('Шаг2.Бланк заказа NEW'!$B$19:$B$201)-COUNT('Бланк OLD 0.8 04'!$B$18:$B$200),'Бланк OLD 2.0 04 '!$B$16:$K$200,7,0)&gt;1,2,
IF(VLOOKUP($A353-COUNT('Шаг2.Бланк заказа NEW'!$B$19:$B$201)-COUNT('Бланк OLD 0.8 04'!$B$18:$B$200),'Бланк OLD 2.0 04 '!$B$16:$K$200,8,0)&gt;1,0.4,
IF(AND(VLOOKUP($A353-COUNT('Шаг2.Бланк заказа NEW'!$B$19:$B$201)-COUNT('Бланк OLD 0.8 04'!$B$18:$B$200),'Бланк OLD 2.0 04 '!$B$16:$K$200,7,0)&gt;0,VLOOKUP($A353-COUNT('Шаг2.Бланк заказа NEW'!$B$19:$B$201)-COUNT('Бланк OLD 0.8 04'!$B$18:$B$200),'Бланк OLD 2.0 04 '!$B$16:$K$200,8,0)&gt;0),0.4,""))))</f>
        <v/>
      </c>
      <c r="V353" s="146" t="str">
        <f ca="1">IFERROR(VLOOKUP(C353,'Шаг1.Выбор плиты'!C:S,12,0),"")</f>
        <v/>
      </c>
      <c r="W353" s="146" t="str">
        <f ca="1">IFERROR(VLOOKUP(C353,'Шаг1.Выбор плиты'!C:S,8,0),"")</f>
        <v/>
      </c>
      <c r="X353" s="146" t="str">
        <f ca="1">IFERROR(VLOOKUP(C353,'Шаг1.Выбор плиты'!C:S,10,0),"")</f>
        <v/>
      </c>
      <c r="Y353" s="147" t="str">
        <f t="shared" ca="1" si="28"/>
        <v/>
      </c>
      <c r="AD353" s="147" t="str">
        <f t="shared" ca="1" si="31"/>
        <v/>
      </c>
      <c r="AE353" s="147" t="str">
        <f t="shared" ca="1" si="29"/>
        <v/>
      </c>
      <c r="AF353" s="25"/>
      <c r="AH353" s="147" t="str">
        <f ca="1">IF(C353="","",VLOOKUP(C353,'Шаг1.Выбор плиты'!C:Q,7,0))</f>
        <v/>
      </c>
      <c r="AI353" s="147" t="str">
        <f t="shared" ca="1" si="32"/>
        <v/>
      </c>
    </row>
    <row r="354" spans="1:35" x14ac:dyDescent="0.2">
      <c r="A354" s="151" t="str">
        <f ca="1">IF(C354="","",MAX($A$1:OFFSET(C354,-1,0))+1)</f>
        <v/>
      </c>
      <c r="B354" s="151" t="str">
        <f ca="1">IFERROR(IFERROR(IFERROR("Шаг2.Бланк заказа NEW №"&amp;VLOOKUP(A353+1,CHOOSE({1,2},'Шаг2.Бланк заказа NEW'!$B$19:$B$201,'Шаг2.Бланк заказа NEW'!$A$19:$A$201),1,0),
"Бланк OLD 0.8 04 №"&amp;VLOOKUP(A353+1-COUNT('Шаг2.Бланк заказа NEW'!$B$19:$B$201),CHOOSE({1,2},'Бланк OLD 0.8 04'!$B$18:$B$200,'Бланк OLD 0.8 04'!$A$18:$A$200),1,0)),
"Бланк OLD 2.0 04 №"&amp;VLOOKUP(A353+1-COUNT('Шаг2.Бланк заказа NEW'!$B$19:$B$201)-COUNT('Бланк OLD 0.8 04'!$B$18:$B$200),CHOOSE({1,2},'Бланк OLD 2.0 04 '!$B$18:$B$200,'Бланк OLD 2.0 04 '!$A$18:$A$200),1,0)),"")</f>
        <v/>
      </c>
      <c r="C354" s="152" t="str">
        <f ca="1">IFERROR(IFERROR(IFERROR(VLOOKUP(A353+1,CHOOSE({1,2},'Шаг2.Бланк заказа NEW'!$B$19:$B$201,'Шаг2.Бланк заказа NEW'!$A$19:$A$201),2,0),
VLOOKUP(A353+1-COUNT('Шаг2.Бланк заказа NEW'!$B$19:$B$201),CHOOSE({1,2},'Бланк OLD 0.8 04'!$B$18:$B$200,'Бланк OLD 0.8 04'!$A$18:$A$200),2,0)),
VLOOKUP(A353+1-COUNT('Шаг2.Бланк заказа NEW'!$B$19:$B$201)-COUNT('Бланк OLD 0.8 04'!$B$18:$B$200),CHOOSE({1,2},'Бланк OLD 2.0 04 '!$B$18:$B$200,'Бланк OLD 2.0 04 '!$A$18:$A$200),2,0)),"")</f>
        <v/>
      </c>
      <c r="D354" s="150" t="str">
        <f ca="1">IFERROR(VLOOKUP(C354,'Шаг1.Выбор плиты'!C:G,5,0),"")</f>
        <v/>
      </c>
      <c r="E354" s="147" t="str">
        <f ca="1">IFERROR(IFERROR(IF(VLOOKUP($A354,'Шаг2.Бланк заказа NEW'!$B$17:$N$201,2,0)="","",VLOOKUP($A354,'Шаг2.Бланк заказа NEW'!$B$17:$N$201,2,0)),
IF(VLOOKUP($A354-COUNT('Шаг2.Бланк заказа NEW'!$B$19:$B$201),'Бланк OLD 0.8 04'!$B$12:$K$200,2,0)="","",VLOOKUP($A354-COUNT('Шаг2.Бланк заказа NEW'!$B$19:$B$201),'Бланк OLD 0.8 04'!$B$12:$K$200,2,0))),
IF(VLOOKUP($A354-COUNT('Шаг2.Бланк заказа NEW'!$B$19:$B$201)-COUNT('Бланк OLD 0.8 04'!$B$18:$B$200),'Бланк OLD 2.0 04 '!$B$16:$K$200,2,0)="","",VLOOKUP($A354-COUNT('Шаг2.Бланк заказа NEW'!$B$19:$B$201)-COUNT('Бланк OLD 0.8 04'!$B$18:$B$200),'Бланк OLD 2.0 04 '!$B$16:$K$200,2,0)))</f>
        <v/>
      </c>
      <c r="F354" s="147" t="str">
        <f ca="1">IFERROR(IFERROR(IF(VLOOKUP($A354,'Шаг2.Бланк заказа NEW'!$B$17:$N$201,3,0)="","",VLOOKUP($A354,'Шаг2.Бланк заказа NEW'!$B$17:$N$201,3,0)),
IF(VLOOKUP($A354-COUNT('Шаг2.Бланк заказа NEW'!$B$19:$B$201),'Бланк OLD 0.8 04'!$B$12:$K$200,3,0)="","",VLOOKUP($A354-COUNT('Шаг2.Бланк заказа NEW'!$B$19:$B$201),'Бланк OLD 0.8 04'!$B$12:$K$200,3,0))),
IF(VLOOKUP($A354-COUNT('Шаг2.Бланк заказа NEW'!$B$19:$B$201)-COUNT('Бланк OLD 0.8 04'!$B$18:$B$200),'Бланк OLD 2.0 04 '!$B$16:$K$200,3,0)="","",VLOOKUP($A354-COUNT('Шаг2.Бланк заказа NEW'!$B$19:$B$201)-COUNT('Бланк OLD 0.8 04'!$B$18:$B$200),'Бланк OLD 2.0 04 '!$B$16:$K$200,3,0)))</f>
        <v/>
      </c>
      <c r="G354" s="176" t="str">
        <f ca="1">IF(IF(R354="","",IF(R354=1,SUMIFS('Шаг1.Выбор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плиты'!C:Q,12,0)),1))))))=0,
R354,
IF(R354="","",IF(R354=1,SUMIFS('Шаг1.Выбор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плиты'!N:N,R354,'Шаг1.Выбор плиты'!M:M,SMALL(INDIRECT("мм"&amp;VLOOKUP(C354,'Шаг1.Выбор плиты'!C:Q,12,0)),1)))))))</f>
        <v/>
      </c>
      <c r="H354" s="177" t="str">
        <f ca="1">IF(IF(S354="","",IF(S354=1,SUMIFS('Шаг1.Выбор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плиты'!C:Q,12,0)),1))))))=0,
S354,
IF(S354="","",IF(S354=1,SUMIFS('Шаг1.Выбор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плиты'!N:N,S354,'Шаг1.Выбор плиты'!M:M,SMALL(INDIRECT("мм"&amp;VLOOKUP(C354,'Шаг1.Выбор плиты'!C:Q,12,0)),1)))))))</f>
        <v/>
      </c>
      <c r="I354" s="147" t="str">
        <f ca="1">IFERROR(IFERROR(IF(VLOOKUP($A354,'Шаг2.Бланк заказа NEW'!$B$17:$N$201,6,0)="","",VLOOKUP($A354,'Шаг2.Бланк заказа NEW'!$B$17:$N$201,6,0)),
IF(VLOOKUP($A354-COUNT('Шаг2.Бланк заказа NEW'!$B$19:$B$201),'Бланк OLD 0.8 04'!$B$12:$K$200,6,0)="","",VLOOKUP($A354-COUNT('Шаг2.Бланк заказа NEW'!$B$19:$B$201),'Бланк OLD 0.8 04'!$B$12:$K$200,6,0))),
IF(VLOOKUP($A354-COUNT('Шаг2.Бланк заказа NEW'!$B$19:$B$201)-COUNT('Бланк OLD 0.8 04'!$B$18:$B$200),'Бланк OLD 2.0 04 '!$B$16:$K$200,6,0)="","",VLOOKUP($A354-COUNT('Шаг2.Бланк заказа NEW'!$B$19:$B$201)-COUNT('Бланк OLD 0.8 04'!$B$18:$B$200),'Бланк OLD 2.0 04 '!$B$16:$K$200,6,0)))</f>
        <v/>
      </c>
      <c r="J354" s="177" t="str">
        <f ca="1">IF(IF(T354="","",IF(T354=1,SUMIFS('Шаг1.Выбор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плиты'!C:Q,12,0)),1))))))=0,
T354,
IF(T354="","",IF(T354=1,SUMIFS('Шаг1.Выбор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плиты'!N:N,T354,'Шаг1.Выбор плиты'!M:M,SMALL(INDIRECT("мм"&amp;VLOOKUP(C354,'Шаг1.Выбор плиты'!C:Q,12,0)),1)))))))</f>
        <v/>
      </c>
      <c r="K354" s="177" t="str">
        <f ca="1">IF(IF(U354="","",IF(U354=1,SUMIFS('Шаг1.Выбор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плиты'!C:Q,12,0)),1))))))=0,
U354,
IF(U354="","",IF(U354=1,SUMIFS('Шаг1.Выбор плиты'!$G:$G,'Шаг1.Выбор плиты'!J:J,"*"&amp;RIGHT(VLOOKUP(C354,'Шаг1.Выбор плиты'!C:Q,8,0),4),'Шаг1.Выбор плиты'!L:L,IF(MID(C354,1,6)="ЛДСП P","TM"&amp;MID(VLOOKUP(C354,'Шаг1.Выбор плиты'!C:Q,10,0),3,2),MID(VLOOKUP(C354,'Шаг1.Выбор плиты'!C:Q,10,0),1,2)),
'Шаг1.Выбор плиты'!N:N,1),IF(SUMIFS('Шаг1.Выбор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плиты'!C:Q,12,0)),1))=0,
IF(SUMIFS('Шаг1.Выбор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плиты'!C:Q,12,0)),2))=0,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плиты'!C:Q,12,0)),3)),
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плиты'!C:Q,12,0)),2))),
(SUMIFS('Шаг1.Выбор плиты'!$G:$G,'Шаг1.Выбор плиты'!J:J,"*"&amp;RIGHT(VLOOKUP(C354,'Шаг1.Выбор плиты'!C:Q,8,0),4),'Шаг1.Выбор плиты'!L:L,VLOOKUP(C354,'Шаг1.Выбор плиты'!C:Q,10,0),'Шаг1.Выбор плиты'!N:N,U354,'Шаг1.Выбор плиты'!M:M,SMALL(INDIRECT("мм"&amp;VLOOKUP(C354,'Шаг1.Выбор плиты'!C:Q,12,0)),1)))))))</f>
        <v/>
      </c>
      <c r="L354" s="147" t="str">
        <f ca="1">IFERROR(IFERROR(IF(VLOOKUP($A354,'Шаг2.Бланк заказа NEW'!$B$17:$N$201,9,0)="","",VLOOKUP($A354,'Шаг2.Бланк заказа NEW'!$B$17:$N$201,9,0)),
IF(VLOOKUP($A354-COUNT('Шаг2.Бланк заказа NEW'!$B$19:$B$201),'Бланк OLD 0.8 04'!$B$12:$K$200,9,0)="","",VLOOKUP($A354-COUNT('Шаг2.Бланк заказа NEW'!$B$19:$B$201),'Бланк OLD 0.8 04'!$B$12:$K$200,9,0))),
IF(VLOOKUP($A354-COUNT('Шаг2.Бланк заказа NEW'!$B$19:$B$201)-COUNT('Бланк OLD 0.8 04'!$B$18:$B$200),'Бланк OLD 2.0 04 '!$B$16:$K$200,9,0)="","",VLOOKUP($A354-COUNT('Шаг2.Бланк заказа NEW'!$B$19:$B$201)-COUNT('Бланк OLD 0.8 04'!$B$18:$B$200),'Бланк OLD 2.0 04 '!$B$16:$K$200,9,0)))</f>
        <v/>
      </c>
      <c r="M354" s="154" t="str">
        <f t="shared" ca="1" si="30"/>
        <v/>
      </c>
      <c r="N354" s="153" t="str">
        <f ca="1">IFERROR(IF(VLOOKUP($A354,'Шаг2.Бланк заказа NEW'!$B$17:$N$201,11,0)="","",VLOOKUP($A354,'Шаг2.Бланк заказа NEW'!$B$17:$N$201,11,0)),
"Нет")</f>
        <v/>
      </c>
      <c r="O354" s="147" t="str">
        <f ca="1">IFERROR(IF(VLOOKUP($A354,'Шаг2.Бланк заказа NEW'!$B$17:$N$201,11,0)="","",VLOOKUP($A354,'Шаг2.Бланк заказа NEW'!$B$17:$N$201,12,0)),
"Нет")</f>
        <v/>
      </c>
      <c r="P354" s="153" t="str">
        <f ca="1">IFERROR(IF(VLOOKUP($A354,'Шаг2.Бланк заказа NEW'!$B$17:$N$201,13,0)="","",VLOOKUP($A354,'Шаг2.Бланк заказа NEW'!$B$17:$N$201,13,0)),
"Нет")</f>
        <v/>
      </c>
      <c r="Q354" s="147" t="str">
        <f ca="1">IFERROR(IF(VLOOKUP($A354,'Шаг2.Бланк заказа NEW'!$B$17:$O$201,14,0)="","",VLOOKUP($A354,'Шаг2.Бланк заказа NEW'!$B$17:$O$201,14,0)),"")</f>
        <v/>
      </c>
      <c r="R354" s="147" t="str">
        <f ca="1">IFERROR(IFERROR(IF(VLOOKUP($A354,'Шаг2.Бланк заказа NEW'!$B$17:$N$201,4,0)="","",VLOOKUP($A354,'Шаг2.Бланк заказа NEW'!$B$17:$N$201,4,0)),
IF(VLOOKUP($A354-COUNT('Шаг2.Бланк заказа NEW'!$B$19:$B$201),'Бланк OLD 0.8 04'!$B$12:$K$200,4,0)&gt;0,0.8,
IF(VLOOKUP($A354-COUNT('Шаг2.Бланк заказа NEW'!$B$19:$B$201),'Бланк OLD 0.8 04'!$B$12:$K$200,5,0)&gt;0,0.4,""))),
IF(VLOOKUP($A354-COUNT('Шаг2.Бланк заказа NEW'!$B$19:$B$201)-COUNT('Бланк OLD 0.8 04'!$B$18:$B$200),'Бланк OLD 2.0 04 '!$B$16:$K$200,4,0)&gt;0,2,IF(VLOOKUP($A354-COUNT('Шаг2.Бланк заказа NEW'!$B$19:$B$201)-COUNT('Бланк OLD 0.8 04'!$B$18:$B$200),'Бланк OLD 2.0 04 '!$B$16:$K$200,5,0)&gt;0,0.4,"")))</f>
        <v/>
      </c>
      <c r="S354" s="147" t="str">
        <f ca="1">IFERROR(IFERROR(IF(VLOOKUP($A354,'Шаг2.Бланк заказа NEW'!$B$17:$N$201,5,0)="","",VLOOKUP($A354,'Шаг2.Бланк заказа NEW'!$B$17:$N$201,5,0)),
IF(VLOOKUP($A354-COUNT('Шаг2.Бланк заказа NEW'!$B$19:$B$201),'Бланк OLD 0.8 04'!$B$12:$K$200,4,0)&gt;1,0.8,
IF(VLOOKUP($A354-COUNT('Шаг2.Бланк заказа NEW'!$B$19:$B$201),'Бланк OLD 0.8 04'!$B$12:$K$200,5,0)&gt;1,0.4,
IF(AND(VLOOKUP($A354-COUNT('Шаг2.Бланк заказа NEW'!$B$19:$B$201),'Бланк OLD 0.8 04'!$B$12:$K$200,4,0)&gt;0,VLOOKUP($A354-COUNT('Шаг2.Бланк заказа NEW'!$B$19:$B$201),'Бланк OLD 0.8 04'!$B$12:$K$200,5,0)&gt;0),0.4,"")))),
IF(VLOOKUP($A354-COUNT('Шаг2.Бланк заказа NEW'!$B$19:$B$201)-COUNT('Бланк OLD 0.8 04'!$B$18:$B$200),'Бланк OLD 2.0 04 '!$B$16:$K$200,4,0)&gt;1,2,
IF(VLOOKUP($A354-COUNT('Шаг2.Бланк заказа NEW'!$B$19:$B$201)-COUNT('Бланк OLD 0.8 04'!$B$18:$B$200),'Бланк OLD 2.0 04 '!$B$16:$K$200,5,0)&gt;1,0.4,IF(AND(VLOOKUP($A354-COUNT('Шаг2.Бланк заказа NEW'!$B$19:$B$201)-COUNT('Бланк OLD 0.8 04'!$B$18:$B$200),'Бланк OLD 2.0 04 '!$B$16:$K$200,4,0)&gt;0,VLOOKUP($A354-COUNT('Шаг2.Бланк заказа NEW'!$B$19:$B$201)-COUNT('Бланк OLD 0.8 04'!$B$18:$B$200),'Бланк OLD 2.0 04 '!$B$16:$K$200,5,0)&gt;0),0.4,""))))</f>
        <v/>
      </c>
      <c r="T354" s="147" t="str">
        <f ca="1">IFERROR(IFERROR(IF(VLOOKUP($A354,'Шаг2.Бланк заказа NEW'!$B$17:$N$201,7,0)="","",VLOOKUP($A354,'Шаг2.Бланк заказа NEW'!$B$17:$N$201,7,0)),
IF(VLOOKUP($A354-COUNT('Шаг2.Бланк заказа NEW'!$B$19:$B$201),'Бланк OLD 0.8 04'!$B$12:$K$200,7,0)&gt;0,0.8,
IF(VLOOKUP($A354-COUNT('Шаг2.Бланк заказа NEW'!$B$19:$B$201),'Бланк OLD 0.8 04'!$B$12:$K$200,8,0)&gt;0,0.4,""))),
IF(VLOOKUP($A354-COUNT('Шаг2.Бланк заказа NEW'!$B$19:$B$201)-COUNT('Бланк OLD 0.8 04'!$B$18:$B$200),'Бланк OLD 2.0 04 '!$B$16:$K$200,7,0)&gt;0,2,IF(VLOOKUP($A354-COUNT('Шаг2.Бланк заказа NEW'!$B$19:$B$201)-COUNT('Бланк OLD 0.8 04'!$B$18:$B$200),'Бланк OLD 2.0 04 '!$B$16:$K$200,8,0)&gt;0,0.4,"")))</f>
        <v/>
      </c>
      <c r="U354" s="147" t="str">
        <f ca="1">IFERROR(IFERROR(IF(VLOOKUP($A354,'Шаг2.Бланк заказа NEW'!$B$17:$N$201,8,0)="","",VLOOKUP($A354,'Шаг2.Бланк заказа NEW'!$B$17:$N$201,8,0)),
IF(VLOOKUP($A354-COUNT('Шаг2.Бланк заказа NEW'!$B$19:$B$201),'Бланк OLD 0.8 04'!$B$12:$K$200,7,0)&gt;1,0.8,
IF(VLOOKUP($A354-COUNT('Шаг2.Бланк заказа NEW'!$B$19:$B$201),'Бланк OLD 0.8 04'!$B$12:$K$200,8,0)&gt;1,0.4,
IF(AND(VLOOKUP($A354-COUNT('Шаг2.Бланк заказа NEW'!$B$19:$B$201),'Бланк OLD 0.8 04'!$B$12:$K$200,7,0)&gt;0,VLOOKUP($A354-COUNT('Шаг2.Бланк заказа NEW'!$B$19:$B$201),'Бланк OLD 0.8 04'!$B$12:$K$200,8,0)&gt;0),0.4,"")))),
IF(VLOOKUP($A354-COUNT('Шаг2.Бланк заказа NEW'!$B$19:$B$201)-COUNT('Бланк OLD 0.8 04'!$B$18:$B$200),'Бланк OLD 2.0 04 '!$B$16:$K$200,7,0)&gt;1,2,
IF(VLOOKUP($A354-COUNT('Шаг2.Бланк заказа NEW'!$B$19:$B$201)-COUNT('Бланк OLD 0.8 04'!$B$18:$B$200),'Бланк OLD 2.0 04 '!$B$16:$K$200,8,0)&gt;1,0.4,
IF(AND(VLOOKUP($A354-COUNT('Шаг2.Бланк заказа NEW'!$B$19:$B$201)-COUNT('Бланк OLD 0.8 04'!$B$18:$B$200),'Бланк OLD 2.0 04 '!$B$16:$K$200,7,0)&gt;0,VLOOKUP($A354-COUNT('Шаг2.Бланк заказа NEW'!$B$19:$B$201)-COUNT('Бланк OLD 0.8 04'!$B$18:$B$200),'Бланк OLD 2.0 04 '!$B$16:$K$200,8,0)&gt;0),0.4,""))))</f>
        <v/>
      </c>
      <c r="V354" s="146" t="str">
        <f ca="1">IFERROR(VLOOKUP(C354,'Шаг1.Выбор плиты'!C:S,12,0),"")</f>
        <v/>
      </c>
      <c r="W354" s="146" t="str">
        <f ca="1">IFERROR(VLOOKUP(C354,'Шаг1.Выбор плиты'!C:S,8,0),"")</f>
        <v/>
      </c>
      <c r="X354" s="146" t="str">
        <f ca="1">IFERROR(VLOOKUP(C354,'Шаг1.Выбор плиты'!C:S,10,0),"")</f>
        <v/>
      </c>
      <c r="Y354" s="147" t="str">
        <f t="shared" ca="1" si="28"/>
        <v/>
      </c>
      <c r="AD354" s="147" t="str">
        <f t="shared" ca="1" si="31"/>
        <v/>
      </c>
      <c r="AE354" s="147" t="str">
        <f t="shared" ca="1" si="29"/>
        <v/>
      </c>
      <c r="AF354" s="25"/>
      <c r="AH354" s="147" t="str">
        <f ca="1">IF(C354="","",VLOOKUP(C354,'Шаг1.Выбор плиты'!C:Q,7,0))</f>
        <v/>
      </c>
      <c r="AI354" s="147" t="str">
        <f t="shared" ca="1" si="32"/>
        <v/>
      </c>
    </row>
    <row r="355" spans="1:35" x14ac:dyDescent="0.2">
      <c r="A355" s="151" t="str">
        <f ca="1">IF(C355="","",MAX($A$1:OFFSET(C355,-1,0))+1)</f>
        <v/>
      </c>
      <c r="B355" s="151" t="str">
        <f ca="1">IFERROR(IFERROR(IFERROR("Шаг2.Бланк заказа NEW №"&amp;VLOOKUP(A354+1,CHOOSE({1,2},'Шаг2.Бланк заказа NEW'!$B$19:$B$201,'Шаг2.Бланк заказа NEW'!$A$19:$A$201),1,0),
"Бланк OLD 0.8 04 №"&amp;VLOOKUP(A354+1-COUNT('Шаг2.Бланк заказа NEW'!$B$19:$B$201),CHOOSE({1,2},'Бланк OLD 0.8 04'!$B$18:$B$200,'Бланк OLD 0.8 04'!$A$18:$A$200),1,0)),
"Бланк OLD 2.0 04 №"&amp;VLOOKUP(A354+1-COUNT('Шаг2.Бланк заказа NEW'!$B$19:$B$201)-COUNT('Бланк OLD 0.8 04'!$B$18:$B$200),CHOOSE({1,2},'Бланк OLD 2.0 04 '!$B$18:$B$200,'Бланк OLD 2.0 04 '!$A$18:$A$200),1,0)),"")</f>
        <v/>
      </c>
      <c r="C355" s="152" t="str">
        <f ca="1">IFERROR(IFERROR(IFERROR(VLOOKUP(A354+1,CHOOSE({1,2},'Шаг2.Бланк заказа NEW'!$B$19:$B$201,'Шаг2.Бланк заказа NEW'!$A$19:$A$201),2,0),
VLOOKUP(A354+1-COUNT('Шаг2.Бланк заказа NEW'!$B$19:$B$201),CHOOSE({1,2},'Бланк OLD 0.8 04'!$B$18:$B$200,'Бланк OLD 0.8 04'!$A$18:$A$200),2,0)),
VLOOKUP(A354+1-COUNT('Шаг2.Бланк заказа NEW'!$B$19:$B$201)-COUNT('Бланк OLD 0.8 04'!$B$18:$B$200),CHOOSE({1,2},'Бланк OLD 2.0 04 '!$B$18:$B$200,'Бланк OLD 2.0 04 '!$A$18:$A$200),2,0)),"")</f>
        <v/>
      </c>
      <c r="D355" s="150" t="str">
        <f ca="1">IFERROR(VLOOKUP(C355,'Шаг1.Выбор плиты'!C:G,5,0),"")</f>
        <v/>
      </c>
      <c r="E355" s="147" t="str">
        <f ca="1">IFERROR(IFERROR(IF(VLOOKUP($A355,'Шаг2.Бланк заказа NEW'!$B$17:$N$201,2,0)="","",VLOOKUP($A355,'Шаг2.Бланк заказа NEW'!$B$17:$N$201,2,0)),
IF(VLOOKUP($A355-COUNT('Шаг2.Бланк заказа NEW'!$B$19:$B$201),'Бланк OLD 0.8 04'!$B$12:$K$200,2,0)="","",VLOOKUP($A355-COUNT('Шаг2.Бланк заказа NEW'!$B$19:$B$201),'Бланк OLD 0.8 04'!$B$12:$K$200,2,0))),
IF(VLOOKUP($A355-COUNT('Шаг2.Бланк заказа NEW'!$B$19:$B$201)-COUNT('Бланк OLD 0.8 04'!$B$18:$B$200),'Бланк OLD 2.0 04 '!$B$16:$K$200,2,0)="","",VLOOKUP($A355-COUNT('Шаг2.Бланк заказа NEW'!$B$19:$B$201)-COUNT('Бланк OLD 0.8 04'!$B$18:$B$200),'Бланк OLD 2.0 04 '!$B$16:$K$200,2,0)))</f>
        <v/>
      </c>
      <c r="F355" s="147" t="str">
        <f ca="1">IFERROR(IFERROR(IF(VLOOKUP($A355,'Шаг2.Бланк заказа NEW'!$B$17:$N$201,3,0)="","",VLOOKUP($A355,'Шаг2.Бланк заказа NEW'!$B$17:$N$201,3,0)),
IF(VLOOKUP($A355-COUNT('Шаг2.Бланк заказа NEW'!$B$19:$B$201),'Бланк OLD 0.8 04'!$B$12:$K$200,3,0)="","",VLOOKUP($A355-COUNT('Шаг2.Бланк заказа NEW'!$B$19:$B$201),'Бланк OLD 0.8 04'!$B$12:$K$200,3,0))),
IF(VLOOKUP($A355-COUNT('Шаг2.Бланк заказа NEW'!$B$19:$B$201)-COUNT('Бланк OLD 0.8 04'!$B$18:$B$200),'Бланк OLD 2.0 04 '!$B$16:$K$200,3,0)="","",VLOOKUP($A355-COUNT('Шаг2.Бланк заказа NEW'!$B$19:$B$201)-COUNT('Бланк OLD 0.8 04'!$B$18:$B$200),'Бланк OLD 2.0 04 '!$B$16:$K$200,3,0)))</f>
        <v/>
      </c>
      <c r="G355" s="176" t="str">
        <f ca="1">IF(IF(R355="","",IF(R355=1,SUMIFS('Шаг1.Выбор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плиты'!C:Q,12,0)),1))))))=0,
R355,
IF(R355="","",IF(R355=1,SUMIFS('Шаг1.Выбор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плиты'!N:N,R355,'Шаг1.Выбор плиты'!M:M,SMALL(INDIRECT("мм"&amp;VLOOKUP(C355,'Шаг1.Выбор плиты'!C:Q,12,0)),1)))))))</f>
        <v/>
      </c>
      <c r="H355" s="177" t="str">
        <f ca="1">IF(IF(S355="","",IF(S355=1,SUMIFS('Шаг1.Выбор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плиты'!C:Q,12,0)),1))))))=0,
S355,
IF(S355="","",IF(S355=1,SUMIFS('Шаг1.Выбор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плиты'!N:N,S355,'Шаг1.Выбор плиты'!M:M,SMALL(INDIRECT("мм"&amp;VLOOKUP(C355,'Шаг1.Выбор плиты'!C:Q,12,0)),1)))))))</f>
        <v/>
      </c>
      <c r="I355" s="147" t="str">
        <f ca="1">IFERROR(IFERROR(IF(VLOOKUP($A355,'Шаг2.Бланк заказа NEW'!$B$17:$N$201,6,0)="","",VLOOKUP($A355,'Шаг2.Бланк заказа NEW'!$B$17:$N$201,6,0)),
IF(VLOOKUP($A355-COUNT('Шаг2.Бланк заказа NEW'!$B$19:$B$201),'Бланк OLD 0.8 04'!$B$12:$K$200,6,0)="","",VLOOKUP($A355-COUNT('Шаг2.Бланк заказа NEW'!$B$19:$B$201),'Бланк OLD 0.8 04'!$B$12:$K$200,6,0))),
IF(VLOOKUP($A355-COUNT('Шаг2.Бланк заказа NEW'!$B$19:$B$201)-COUNT('Бланк OLD 0.8 04'!$B$18:$B$200),'Бланк OLD 2.0 04 '!$B$16:$K$200,6,0)="","",VLOOKUP($A355-COUNT('Шаг2.Бланк заказа NEW'!$B$19:$B$201)-COUNT('Бланк OLD 0.8 04'!$B$18:$B$200),'Бланк OLD 2.0 04 '!$B$16:$K$200,6,0)))</f>
        <v/>
      </c>
      <c r="J355" s="177" t="str">
        <f ca="1">IF(IF(T355="","",IF(T355=1,SUMIFS('Шаг1.Выбор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плиты'!C:Q,12,0)),1))))))=0,
T355,
IF(T355="","",IF(T355=1,SUMIFS('Шаг1.Выбор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плиты'!N:N,T355,'Шаг1.Выбор плиты'!M:M,SMALL(INDIRECT("мм"&amp;VLOOKUP(C355,'Шаг1.Выбор плиты'!C:Q,12,0)),1)))))))</f>
        <v/>
      </c>
      <c r="K355" s="177" t="str">
        <f ca="1">IF(IF(U355="","",IF(U355=1,SUMIFS('Шаг1.Выбор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плиты'!C:Q,12,0)),1))))))=0,
U355,
IF(U355="","",IF(U355=1,SUMIFS('Шаг1.Выбор плиты'!$G:$G,'Шаг1.Выбор плиты'!J:J,"*"&amp;RIGHT(VLOOKUP(C355,'Шаг1.Выбор плиты'!C:Q,8,0),4),'Шаг1.Выбор плиты'!L:L,IF(MID(C355,1,6)="ЛДСП P","TM"&amp;MID(VLOOKUP(C355,'Шаг1.Выбор плиты'!C:Q,10,0),3,2),MID(VLOOKUP(C355,'Шаг1.Выбор плиты'!C:Q,10,0),1,2)),
'Шаг1.Выбор плиты'!N:N,1),IF(SUMIFS('Шаг1.Выбор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плиты'!C:Q,12,0)),1))=0,
IF(SUMIFS('Шаг1.Выбор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плиты'!C:Q,12,0)),2))=0,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плиты'!C:Q,12,0)),3)),
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плиты'!C:Q,12,0)),2))),
(SUMIFS('Шаг1.Выбор плиты'!$G:$G,'Шаг1.Выбор плиты'!J:J,"*"&amp;RIGHT(VLOOKUP(C355,'Шаг1.Выбор плиты'!C:Q,8,0),4),'Шаг1.Выбор плиты'!L:L,VLOOKUP(C355,'Шаг1.Выбор плиты'!C:Q,10,0),'Шаг1.Выбор плиты'!N:N,U355,'Шаг1.Выбор плиты'!M:M,SMALL(INDIRECT("мм"&amp;VLOOKUP(C355,'Шаг1.Выбор плиты'!C:Q,12,0)),1)))))))</f>
        <v/>
      </c>
      <c r="L355" s="147" t="str">
        <f ca="1">IFERROR(IFERROR(IF(VLOOKUP($A355,'Шаг2.Бланк заказа NEW'!$B$17:$N$201,9,0)="","",VLOOKUP($A355,'Шаг2.Бланк заказа NEW'!$B$17:$N$201,9,0)),
IF(VLOOKUP($A355-COUNT('Шаг2.Бланк заказа NEW'!$B$19:$B$201),'Бланк OLD 0.8 04'!$B$12:$K$200,9,0)="","",VLOOKUP($A355-COUNT('Шаг2.Бланк заказа NEW'!$B$19:$B$201),'Бланк OLD 0.8 04'!$B$12:$K$200,9,0))),
IF(VLOOKUP($A355-COUNT('Шаг2.Бланк заказа NEW'!$B$19:$B$201)-COUNT('Бланк OLD 0.8 04'!$B$18:$B$200),'Бланк OLD 2.0 04 '!$B$16:$K$200,9,0)="","",VLOOKUP($A355-COUNT('Шаг2.Бланк заказа NEW'!$B$19:$B$201)-COUNT('Бланк OLD 0.8 04'!$B$18:$B$200),'Бланк OLD 2.0 04 '!$B$16:$K$200,9,0)))</f>
        <v/>
      </c>
      <c r="M355" s="154" t="str">
        <f t="shared" ref="M355:M379" ca="1" si="33">IFERROR((F355/1000)*(I355/1000)*L355,"")</f>
        <v/>
      </c>
      <c r="N355" s="153" t="str">
        <f ca="1">IFERROR(IF(VLOOKUP($A355,'Шаг2.Бланк заказа NEW'!$B$17:$N$201,11,0)="","",VLOOKUP($A355,'Шаг2.Бланк заказа NEW'!$B$17:$N$201,11,0)),
"Нет")</f>
        <v/>
      </c>
      <c r="O355" s="147" t="str">
        <f ca="1">IFERROR(IF(VLOOKUP($A355,'Шаг2.Бланк заказа NEW'!$B$17:$N$201,11,0)="","",VLOOKUP($A355,'Шаг2.Бланк заказа NEW'!$B$17:$N$201,12,0)),
"Нет")</f>
        <v/>
      </c>
      <c r="P355" s="153" t="str">
        <f ca="1">IFERROR(IF(VLOOKUP($A355,'Шаг2.Бланк заказа NEW'!$B$17:$N$201,13,0)="","",VLOOKUP($A355,'Шаг2.Бланк заказа NEW'!$B$17:$N$201,13,0)),
"Нет")</f>
        <v/>
      </c>
      <c r="Q355" s="147" t="str">
        <f ca="1">IFERROR(IF(VLOOKUP($A355,'Шаг2.Бланк заказа NEW'!$B$17:$O$201,14,0)="","",VLOOKUP($A355,'Шаг2.Бланк заказа NEW'!$B$17:$O$201,14,0)),"")</f>
        <v/>
      </c>
      <c r="R355" s="147" t="str">
        <f ca="1">IFERROR(IFERROR(IF(VLOOKUP($A355,'Шаг2.Бланк заказа NEW'!$B$17:$N$201,4,0)="","",VLOOKUP($A355,'Шаг2.Бланк заказа NEW'!$B$17:$N$201,4,0)),
IF(VLOOKUP($A355-COUNT('Шаг2.Бланк заказа NEW'!$B$19:$B$201),'Бланк OLD 0.8 04'!$B$12:$K$200,4,0)&gt;0,0.8,
IF(VLOOKUP($A355-COUNT('Шаг2.Бланк заказа NEW'!$B$19:$B$201),'Бланк OLD 0.8 04'!$B$12:$K$200,5,0)&gt;0,0.4,""))),
IF(VLOOKUP($A355-COUNT('Шаг2.Бланк заказа NEW'!$B$19:$B$201)-COUNT('Бланк OLD 0.8 04'!$B$18:$B$200),'Бланк OLD 2.0 04 '!$B$16:$K$200,4,0)&gt;0,2,IF(VLOOKUP($A355-COUNT('Шаг2.Бланк заказа NEW'!$B$19:$B$201)-COUNT('Бланк OLD 0.8 04'!$B$18:$B$200),'Бланк OLD 2.0 04 '!$B$16:$K$200,5,0)&gt;0,0.4,"")))</f>
        <v/>
      </c>
      <c r="S355" s="147" t="str">
        <f ca="1">IFERROR(IFERROR(IF(VLOOKUP($A355,'Шаг2.Бланк заказа NEW'!$B$17:$N$201,5,0)="","",VLOOKUP($A355,'Шаг2.Бланк заказа NEW'!$B$17:$N$201,5,0)),
IF(VLOOKUP($A355-COUNT('Шаг2.Бланк заказа NEW'!$B$19:$B$201),'Бланк OLD 0.8 04'!$B$12:$K$200,4,0)&gt;1,0.8,
IF(VLOOKUP($A355-COUNT('Шаг2.Бланк заказа NEW'!$B$19:$B$201),'Бланк OLD 0.8 04'!$B$12:$K$200,5,0)&gt;1,0.4,
IF(AND(VLOOKUP($A355-COUNT('Шаг2.Бланк заказа NEW'!$B$19:$B$201),'Бланк OLD 0.8 04'!$B$12:$K$200,4,0)&gt;0,VLOOKUP($A355-COUNT('Шаг2.Бланк заказа NEW'!$B$19:$B$201),'Бланк OLD 0.8 04'!$B$12:$K$200,5,0)&gt;0),0.4,"")))),
IF(VLOOKUP($A355-COUNT('Шаг2.Бланк заказа NEW'!$B$19:$B$201)-COUNT('Бланк OLD 0.8 04'!$B$18:$B$200),'Бланк OLD 2.0 04 '!$B$16:$K$200,4,0)&gt;1,2,
IF(VLOOKUP($A355-COUNT('Шаг2.Бланк заказа NEW'!$B$19:$B$201)-COUNT('Бланк OLD 0.8 04'!$B$18:$B$200),'Бланк OLD 2.0 04 '!$B$16:$K$200,5,0)&gt;1,0.4,IF(AND(VLOOKUP($A355-COUNT('Шаг2.Бланк заказа NEW'!$B$19:$B$201)-COUNT('Бланк OLD 0.8 04'!$B$18:$B$200),'Бланк OLD 2.0 04 '!$B$16:$K$200,4,0)&gt;0,VLOOKUP($A355-COUNT('Шаг2.Бланк заказа NEW'!$B$19:$B$201)-COUNT('Бланк OLD 0.8 04'!$B$18:$B$200),'Бланк OLD 2.0 04 '!$B$16:$K$200,5,0)&gt;0),0.4,""))))</f>
        <v/>
      </c>
      <c r="T355" s="147" t="str">
        <f ca="1">IFERROR(IFERROR(IF(VLOOKUP($A355,'Шаг2.Бланк заказа NEW'!$B$17:$N$201,7,0)="","",VLOOKUP($A355,'Шаг2.Бланк заказа NEW'!$B$17:$N$201,7,0)),
IF(VLOOKUP($A355-COUNT('Шаг2.Бланк заказа NEW'!$B$19:$B$201),'Бланк OLD 0.8 04'!$B$12:$K$200,7,0)&gt;0,0.8,
IF(VLOOKUP($A355-COUNT('Шаг2.Бланк заказа NEW'!$B$19:$B$201),'Бланк OLD 0.8 04'!$B$12:$K$200,8,0)&gt;0,0.4,""))),
IF(VLOOKUP($A355-COUNT('Шаг2.Бланк заказа NEW'!$B$19:$B$201)-COUNT('Бланк OLD 0.8 04'!$B$18:$B$200),'Бланк OLD 2.0 04 '!$B$16:$K$200,7,0)&gt;0,2,IF(VLOOKUP($A355-COUNT('Шаг2.Бланк заказа NEW'!$B$19:$B$201)-COUNT('Бланк OLD 0.8 04'!$B$18:$B$200),'Бланк OLD 2.0 04 '!$B$16:$K$200,8,0)&gt;0,0.4,"")))</f>
        <v/>
      </c>
      <c r="U355" s="147" t="str">
        <f ca="1">IFERROR(IFERROR(IF(VLOOKUP($A355,'Шаг2.Бланк заказа NEW'!$B$17:$N$201,8,0)="","",VLOOKUP($A355,'Шаг2.Бланк заказа NEW'!$B$17:$N$201,8,0)),
IF(VLOOKUP($A355-COUNT('Шаг2.Бланк заказа NEW'!$B$19:$B$201),'Бланк OLD 0.8 04'!$B$12:$K$200,7,0)&gt;1,0.8,
IF(VLOOKUP($A355-COUNT('Шаг2.Бланк заказа NEW'!$B$19:$B$201),'Бланк OLD 0.8 04'!$B$12:$K$200,8,0)&gt;1,0.4,
IF(AND(VLOOKUP($A355-COUNT('Шаг2.Бланк заказа NEW'!$B$19:$B$201),'Бланк OLD 0.8 04'!$B$12:$K$200,7,0)&gt;0,VLOOKUP($A355-COUNT('Шаг2.Бланк заказа NEW'!$B$19:$B$201),'Бланк OLD 0.8 04'!$B$12:$K$200,8,0)&gt;0),0.4,"")))),
IF(VLOOKUP($A355-COUNT('Шаг2.Бланк заказа NEW'!$B$19:$B$201)-COUNT('Бланк OLD 0.8 04'!$B$18:$B$200),'Бланк OLD 2.0 04 '!$B$16:$K$200,7,0)&gt;1,2,
IF(VLOOKUP($A355-COUNT('Шаг2.Бланк заказа NEW'!$B$19:$B$201)-COUNT('Бланк OLD 0.8 04'!$B$18:$B$200),'Бланк OLD 2.0 04 '!$B$16:$K$200,8,0)&gt;1,0.4,
IF(AND(VLOOKUP($A355-COUNT('Шаг2.Бланк заказа NEW'!$B$19:$B$201)-COUNT('Бланк OLD 0.8 04'!$B$18:$B$200),'Бланк OLD 2.0 04 '!$B$16:$K$200,7,0)&gt;0,VLOOKUP($A355-COUNT('Шаг2.Бланк заказа NEW'!$B$19:$B$201)-COUNT('Бланк OLD 0.8 04'!$B$18:$B$200),'Бланк OLD 2.0 04 '!$B$16:$K$200,8,0)&gt;0),0.4,""))))</f>
        <v/>
      </c>
      <c r="V355" s="146" t="str">
        <f ca="1">IFERROR(VLOOKUP(C355,'Шаг1.Выбор плиты'!C:S,12,0),"")</f>
        <v/>
      </c>
      <c r="W355" s="146" t="str">
        <f ca="1">IFERROR(VLOOKUP(C355,'Шаг1.Выбор плиты'!C:S,8,0),"")</f>
        <v/>
      </c>
      <c r="X355" s="146" t="str">
        <f ca="1">IFERROR(VLOOKUP(C355,'Шаг1.Выбор плиты'!C:S,10,0),"")</f>
        <v/>
      </c>
      <c r="Y355" s="147" t="str">
        <f t="shared" ca="1" si="28"/>
        <v/>
      </c>
      <c r="AD355" s="147" t="str">
        <f t="shared" ref="AD355:AD380" ca="1" si="34">IF(C355="","",0)</f>
        <v/>
      </c>
      <c r="AE355" s="147" t="str">
        <f t="shared" ca="1" si="29"/>
        <v/>
      </c>
      <c r="AF355" s="25"/>
      <c r="AH355" s="147" t="str">
        <f ca="1">IF(C355="","",VLOOKUP(C355,'Шаг1.Выбор плиты'!C:Q,7,0))</f>
        <v/>
      </c>
      <c r="AI355" s="147" t="str">
        <f t="shared" ref="AI355:AI380" ca="1" si="35">IF(N355="","",IF(N355="да",1,0))</f>
        <v/>
      </c>
    </row>
    <row r="356" spans="1:35" x14ac:dyDescent="0.2">
      <c r="A356" s="151" t="str">
        <f ca="1">IF(C356="","",MAX($A$1:OFFSET(C356,-1,0))+1)</f>
        <v/>
      </c>
      <c r="B356" s="151" t="str">
        <f ca="1">IFERROR(IFERROR(IFERROR("Шаг2.Бланк заказа NEW №"&amp;VLOOKUP(A355+1,CHOOSE({1,2},'Шаг2.Бланк заказа NEW'!$B$19:$B$201,'Шаг2.Бланк заказа NEW'!$A$19:$A$201),1,0),
"Бланк OLD 0.8 04 №"&amp;VLOOKUP(A355+1-COUNT('Шаг2.Бланк заказа NEW'!$B$19:$B$201),CHOOSE({1,2},'Бланк OLD 0.8 04'!$B$18:$B$200,'Бланк OLD 0.8 04'!$A$18:$A$200),1,0)),
"Бланк OLD 2.0 04 №"&amp;VLOOKUP(A355+1-COUNT('Шаг2.Бланк заказа NEW'!$B$19:$B$201)-COUNT('Бланк OLD 0.8 04'!$B$18:$B$200),CHOOSE({1,2},'Бланк OLD 2.0 04 '!$B$18:$B$200,'Бланк OLD 2.0 04 '!$A$18:$A$200),1,0)),"")</f>
        <v/>
      </c>
      <c r="C356" s="152" t="str">
        <f ca="1">IFERROR(IFERROR(IFERROR(VLOOKUP(A355+1,CHOOSE({1,2},'Шаг2.Бланк заказа NEW'!$B$19:$B$201,'Шаг2.Бланк заказа NEW'!$A$19:$A$201),2,0),
VLOOKUP(A355+1-COUNT('Шаг2.Бланк заказа NEW'!$B$19:$B$201),CHOOSE({1,2},'Бланк OLD 0.8 04'!$B$18:$B$200,'Бланк OLD 0.8 04'!$A$18:$A$200),2,0)),
VLOOKUP(A355+1-COUNT('Шаг2.Бланк заказа NEW'!$B$19:$B$201)-COUNT('Бланк OLD 0.8 04'!$B$18:$B$200),CHOOSE({1,2},'Бланк OLD 2.0 04 '!$B$18:$B$200,'Бланк OLD 2.0 04 '!$A$18:$A$200),2,0)),"")</f>
        <v/>
      </c>
      <c r="D356" s="150" t="str">
        <f ca="1">IFERROR(VLOOKUP(C356,'Шаг1.Выбор плиты'!C:G,5,0),"")</f>
        <v/>
      </c>
      <c r="E356" s="147" t="str">
        <f ca="1">IFERROR(IFERROR(IF(VLOOKUP($A356,'Шаг2.Бланк заказа NEW'!$B$17:$N$201,2,0)="","",VLOOKUP($A356,'Шаг2.Бланк заказа NEW'!$B$17:$N$201,2,0)),
IF(VLOOKUP($A356-COUNT('Шаг2.Бланк заказа NEW'!$B$19:$B$201),'Бланк OLD 0.8 04'!$B$12:$K$200,2,0)="","",VLOOKUP($A356-COUNT('Шаг2.Бланк заказа NEW'!$B$19:$B$201),'Бланк OLD 0.8 04'!$B$12:$K$200,2,0))),
IF(VLOOKUP($A356-COUNT('Шаг2.Бланк заказа NEW'!$B$19:$B$201)-COUNT('Бланк OLD 0.8 04'!$B$18:$B$200),'Бланк OLD 2.0 04 '!$B$16:$K$200,2,0)="","",VLOOKUP($A356-COUNT('Шаг2.Бланк заказа NEW'!$B$19:$B$201)-COUNT('Бланк OLD 0.8 04'!$B$18:$B$200),'Бланк OLD 2.0 04 '!$B$16:$K$200,2,0)))</f>
        <v/>
      </c>
      <c r="F356" s="147" t="str">
        <f ca="1">IFERROR(IFERROR(IF(VLOOKUP($A356,'Шаг2.Бланк заказа NEW'!$B$17:$N$201,3,0)="","",VLOOKUP($A356,'Шаг2.Бланк заказа NEW'!$B$17:$N$201,3,0)),
IF(VLOOKUP($A356-COUNT('Шаг2.Бланк заказа NEW'!$B$19:$B$201),'Бланк OLD 0.8 04'!$B$12:$K$200,3,0)="","",VLOOKUP($A356-COUNT('Шаг2.Бланк заказа NEW'!$B$19:$B$201),'Бланк OLD 0.8 04'!$B$12:$K$200,3,0))),
IF(VLOOKUP($A356-COUNT('Шаг2.Бланк заказа NEW'!$B$19:$B$201)-COUNT('Бланк OLD 0.8 04'!$B$18:$B$200),'Бланк OLD 2.0 04 '!$B$16:$K$200,3,0)="","",VLOOKUP($A356-COUNT('Шаг2.Бланк заказа NEW'!$B$19:$B$201)-COUNT('Бланк OLD 0.8 04'!$B$18:$B$200),'Бланк OLD 2.0 04 '!$B$16:$K$200,3,0)))</f>
        <v/>
      </c>
      <c r="G356" s="176" t="str">
        <f ca="1">IF(IF(R356="","",IF(R356=1,SUMIFS('Шаг1.Выбор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плиты'!C:Q,12,0)),1))))))=0,
R356,
IF(R356="","",IF(R356=1,SUMIFS('Шаг1.Выбор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плиты'!N:N,R356,'Шаг1.Выбор плиты'!M:M,SMALL(INDIRECT("мм"&amp;VLOOKUP(C356,'Шаг1.Выбор плиты'!C:Q,12,0)),1)))))))</f>
        <v/>
      </c>
      <c r="H356" s="177" t="str">
        <f ca="1">IF(IF(S356="","",IF(S356=1,SUMIFS('Шаг1.Выбор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плиты'!C:Q,12,0)),1))))))=0,
S356,
IF(S356="","",IF(S356=1,SUMIFS('Шаг1.Выбор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плиты'!N:N,S356,'Шаг1.Выбор плиты'!M:M,SMALL(INDIRECT("мм"&amp;VLOOKUP(C356,'Шаг1.Выбор плиты'!C:Q,12,0)),1)))))))</f>
        <v/>
      </c>
      <c r="I356" s="147" t="str">
        <f ca="1">IFERROR(IFERROR(IF(VLOOKUP($A356,'Шаг2.Бланк заказа NEW'!$B$17:$N$201,6,0)="","",VLOOKUP($A356,'Шаг2.Бланк заказа NEW'!$B$17:$N$201,6,0)),
IF(VLOOKUP($A356-COUNT('Шаг2.Бланк заказа NEW'!$B$19:$B$201),'Бланк OLD 0.8 04'!$B$12:$K$200,6,0)="","",VLOOKUP($A356-COUNT('Шаг2.Бланк заказа NEW'!$B$19:$B$201),'Бланк OLD 0.8 04'!$B$12:$K$200,6,0))),
IF(VLOOKUP($A356-COUNT('Шаг2.Бланк заказа NEW'!$B$19:$B$201)-COUNT('Бланк OLD 0.8 04'!$B$18:$B$200),'Бланк OLD 2.0 04 '!$B$16:$K$200,6,0)="","",VLOOKUP($A356-COUNT('Шаг2.Бланк заказа NEW'!$B$19:$B$201)-COUNT('Бланк OLD 0.8 04'!$B$18:$B$200),'Бланк OLD 2.0 04 '!$B$16:$K$200,6,0)))</f>
        <v/>
      </c>
      <c r="J356" s="177" t="str">
        <f ca="1">IF(IF(T356="","",IF(T356=1,SUMIFS('Шаг1.Выбор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плиты'!C:Q,12,0)),1))))))=0,
T356,
IF(T356="","",IF(T356=1,SUMIFS('Шаг1.Выбор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плиты'!N:N,T356,'Шаг1.Выбор плиты'!M:M,SMALL(INDIRECT("мм"&amp;VLOOKUP(C356,'Шаг1.Выбор плиты'!C:Q,12,0)),1)))))))</f>
        <v/>
      </c>
      <c r="K356" s="177" t="str">
        <f ca="1">IF(IF(U356="","",IF(U356=1,SUMIFS('Шаг1.Выбор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плиты'!C:Q,12,0)),1))))))=0,
U356,
IF(U356="","",IF(U356=1,SUMIFS('Шаг1.Выбор плиты'!$G:$G,'Шаг1.Выбор плиты'!J:J,"*"&amp;RIGHT(VLOOKUP(C356,'Шаг1.Выбор плиты'!C:Q,8,0),4),'Шаг1.Выбор плиты'!L:L,IF(MID(C356,1,6)="ЛДСП P","TM"&amp;MID(VLOOKUP(C356,'Шаг1.Выбор плиты'!C:Q,10,0),3,2),MID(VLOOKUP(C356,'Шаг1.Выбор плиты'!C:Q,10,0),1,2)),
'Шаг1.Выбор плиты'!N:N,1),IF(SUMIFS('Шаг1.Выбор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плиты'!C:Q,12,0)),1))=0,
IF(SUMIFS('Шаг1.Выбор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плиты'!C:Q,12,0)),2))=0,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плиты'!C:Q,12,0)),3)),
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плиты'!C:Q,12,0)),2))),
(SUMIFS('Шаг1.Выбор плиты'!$G:$G,'Шаг1.Выбор плиты'!J:J,"*"&amp;RIGHT(VLOOKUP(C356,'Шаг1.Выбор плиты'!C:Q,8,0),4),'Шаг1.Выбор плиты'!L:L,VLOOKUP(C356,'Шаг1.Выбор плиты'!C:Q,10,0),'Шаг1.Выбор плиты'!N:N,U356,'Шаг1.Выбор плиты'!M:M,SMALL(INDIRECT("мм"&amp;VLOOKUP(C356,'Шаг1.Выбор плиты'!C:Q,12,0)),1)))))))</f>
        <v/>
      </c>
      <c r="L356" s="147" t="str">
        <f ca="1">IFERROR(IFERROR(IF(VLOOKUP($A356,'Шаг2.Бланк заказа NEW'!$B$17:$N$201,9,0)="","",VLOOKUP($A356,'Шаг2.Бланк заказа NEW'!$B$17:$N$201,9,0)),
IF(VLOOKUP($A356-COUNT('Шаг2.Бланк заказа NEW'!$B$19:$B$201),'Бланк OLD 0.8 04'!$B$12:$K$200,9,0)="","",VLOOKUP($A356-COUNT('Шаг2.Бланк заказа NEW'!$B$19:$B$201),'Бланк OLD 0.8 04'!$B$12:$K$200,9,0))),
IF(VLOOKUP($A356-COUNT('Шаг2.Бланк заказа NEW'!$B$19:$B$201)-COUNT('Бланк OLD 0.8 04'!$B$18:$B$200),'Бланк OLD 2.0 04 '!$B$16:$K$200,9,0)="","",VLOOKUP($A356-COUNT('Шаг2.Бланк заказа NEW'!$B$19:$B$201)-COUNT('Бланк OLD 0.8 04'!$B$18:$B$200),'Бланк OLD 2.0 04 '!$B$16:$K$200,9,0)))</f>
        <v/>
      </c>
      <c r="M356" s="154" t="str">
        <f t="shared" ca="1" si="33"/>
        <v/>
      </c>
      <c r="N356" s="153" t="str">
        <f ca="1">IFERROR(IF(VLOOKUP($A356,'Шаг2.Бланк заказа NEW'!$B$17:$N$201,11,0)="","",VLOOKUP($A356,'Шаг2.Бланк заказа NEW'!$B$17:$N$201,11,0)),
"Нет")</f>
        <v/>
      </c>
      <c r="O356" s="147" t="str">
        <f ca="1">IFERROR(IF(VLOOKUP($A356,'Шаг2.Бланк заказа NEW'!$B$17:$N$201,11,0)="","",VLOOKUP($A356,'Шаг2.Бланк заказа NEW'!$B$17:$N$201,12,0)),
"Нет")</f>
        <v/>
      </c>
      <c r="P356" s="153" t="str">
        <f ca="1">IFERROR(IF(VLOOKUP($A356,'Шаг2.Бланк заказа NEW'!$B$17:$N$201,13,0)="","",VLOOKUP($A356,'Шаг2.Бланк заказа NEW'!$B$17:$N$201,13,0)),
"Нет")</f>
        <v/>
      </c>
      <c r="Q356" s="147" t="str">
        <f ca="1">IFERROR(IF(VLOOKUP($A356,'Шаг2.Бланк заказа NEW'!$B$17:$O$201,14,0)="","",VLOOKUP($A356,'Шаг2.Бланк заказа NEW'!$B$17:$O$201,14,0)),"")</f>
        <v/>
      </c>
      <c r="R356" s="147" t="str">
        <f ca="1">IFERROR(IFERROR(IF(VLOOKUP($A356,'Шаг2.Бланк заказа NEW'!$B$17:$N$201,4,0)="","",VLOOKUP($A356,'Шаг2.Бланк заказа NEW'!$B$17:$N$201,4,0)),
IF(VLOOKUP($A356-COUNT('Шаг2.Бланк заказа NEW'!$B$19:$B$201),'Бланк OLD 0.8 04'!$B$12:$K$200,4,0)&gt;0,0.8,
IF(VLOOKUP($A356-COUNT('Шаг2.Бланк заказа NEW'!$B$19:$B$201),'Бланк OLD 0.8 04'!$B$12:$K$200,5,0)&gt;0,0.4,""))),
IF(VLOOKUP($A356-COUNT('Шаг2.Бланк заказа NEW'!$B$19:$B$201)-COUNT('Бланк OLD 0.8 04'!$B$18:$B$200),'Бланк OLD 2.0 04 '!$B$16:$K$200,4,0)&gt;0,2,IF(VLOOKUP($A356-COUNT('Шаг2.Бланк заказа NEW'!$B$19:$B$201)-COUNT('Бланк OLD 0.8 04'!$B$18:$B$200),'Бланк OLD 2.0 04 '!$B$16:$K$200,5,0)&gt;0,0.4,"")))</f>
        <v/>
      </c>
      <c r="S356" s="147" t="str">
        <f ca="1">IFERROR(IFERROR(IF(VLOOKUP($A356,'Шаг2.Бланк заказа NEW'!$B$17:$N$201,5,0)="","",VLOOKUP($A356,'Шаг2.Бланк заказа NEW'!$B$17:$N$201,5,0)),
IF(VLOOKUP($A356-COUNT('Шаг2.Бланк заказа NEW'!$B$19:$B$201),'Бланк OLD 0.8 04'!$B$12:$K$200,4,0)&gt;1,0.8,
IF(VLOOKUP($A356-COUNT('Шаг2.Бланк заказа NEW'!$B$19:$B$201),'Бланк OLD 0.8 04'!$B$12:$K$200,5,0)&gt;1,0.4,
IF(AND(VLOOKUP($A356-COUNT('Шаг2.Бланк заказа NEW'!$B$19:$B$201),'Бланк OLD 0.8 04'!$B$12:$K$200,4,0)&gt;0,VLOOKUP($A356-COUNT('Шаг2.Бланк заказа NEW'!$B$19:$B$201),'Бланк OLD 0.8 04'!$B$12:$K$200,5,0)&gt;0),0.4,"")))),
IF(VLOOKUP($A356-COUNT('Шаг2.Бланк заказа NEW'!$B$19:$B$201)-COUNT('Бланк OLD 0.8 04'!$B$18:$B$200),'Бланк OLD 2.0 04 '!$B$16:$K$200,4,0)&gt;1,2,
IF(VLOOKUP($A356-COUNT('Шаг2.Бланк заказа NEW'!$B$19:$B$201)-COUNT('Бланк OLD 0.8 04'!$B$18:$B$200),'Бланк OLD 2.0 04 '!$B$16:$K$200,5,0)&gt;1,0.4,IF(AND(VLOOKUP($A356-COUNT('Шаг2.Бланк заказа NEW'!$B$19:$B$201)-COUNT('Бланк OLD 0.8 04'!$B$18:$B$200),'Бланк OLD 2.0 04 '!$B$16:$K$200,4,0)&gt;0,VLOOKUP($A356-COUNT('Шаг2.Бланк заказа NEW'!$B$19:$B$201)-COUNT('Бланк OLD 0.8 04'!$B$18:$B$200),'Бланк OLD 2.0 04 '!$B$16:$K$200,5,0)&gt;0),0.4,""))))</f>
        <v/>
      </c>
      <c r="T356" s="147" t="str">
        <f ca="1">IFERROR(IFERROR(IF(VLOOKUP($A356,'Шаг2.Бланк заказа NEW'!$B$17:$N$201,7,0)="","",VLOOKUP($A356,'Шаг2.Бланк заказа NEW'!$B$17:$N$201,7,0)),
IF(VLOOKUP($A356-COUNT('Шаг2.Бланк заказа NEW'!$B$19:$B$201),'Бланк OLD 0.8 04'!$B$12:$K$200,7,0)&gt;0,0.8,
IF(VLOOKUP($A356-COUNT('Шаг2.Бланк заказа NEW'!$B$19:$B$201),'Бланк OLD 0.8 04'!$B$12:$K$200,8,0)&gt;0,0.4,""))),
IF(VLOOKUP($A356-COUNT('Шаг2.Бланк заказа NEW'!$B$19:$B$201)-COUNT('Бланк OLD 0.8 04'!$B$18:$B$200),'Бланк OLD 2.0 04 '!$B$16:$K$200,7,0)&gt;0,2,IF(VLOOKUP($A356-COUNT('Шаг2.Бланк заказа NEW'!$B$19:$B$201)-COUNT('Бланк OLD 0.8 04'!$B$18:$B$200),'Бланк OLD 2.0 04 '!$B$16:$K$200,8,0)&gt;0,0.4,"")))</f>
        <v/>
      </c>
      <c r="U356" s="147" t="str">
        <f ca="1">IFERROR(IFERROR(IF(VLOOKUP($A356,'Шаг2.Бланк заказа NEW'!$B$17:$N$201,8,0)="","",VLOOKUP($A356,'Шаг2.Бланк заказа NEW'!$B$17:$N$201,8,0)),
IF(VLOOKUP($A356-COUNT('Шаг2.Бланк заказа NEW'!$B$19:$B$201),'Бланк OLD 0.8 04'!$B$12:$K$200,7,0)&gt;1,0.8,
IF(VLOOKUP($A356-COUNT('Шаг2.Бланк заказа NEW'!$B$19:$B$201),'Бланк OLD 0.8 04'!$B$12:$K$200,8,0)&gt;1,0.4,
IF(AND(VLOOKUP($A356-COUNT('Шаг2.Бланк заказа NEW'!$B$19:$B$201),'Бланк OLD 0.8 04'!$B$12:$K$200,7,0)&gt;0,VLOOKUP($A356-COUNT('Шаг2.Бланк заказа NEW'!$B$19:$B$201),'Бланк OLD 0.8 04'!$B$12:$K$200,8,0)&gt;0),0.4,"")))),
IF(VLOOKUP($A356-COUNT('Шаг2.Бланк заказа NEW'!$B$19:$B$201)-COUNT('Бланк OLD 0.8 04'!$B$18:$B$200),'Бланк OLD 2.0 04 '!$B$16:$K$200,7,0)&gt;1,2,
IF(VLOOKUP($A356-COUNT('Шаг2.Бланк заказа NEW'!$B$19:$B$201)-COUNT('Бланк OLD 0.8 04'!$B$18:$B$200),'Бланк OLD 2.0 04 '!$B$16:$K$200,8,0)&gt;1,0.4,
IF(AND(VLOOKUP($A356-COUNT('Шаг2.Бланк заказа NEW'!$B$19:$B$201)-COUNT('Бланк OLD 0.8 04'!$B$18:$B$200),'Бланк OLD 2.0 04 '!$B$16:$K$200,7,0)&gt;0,VLOOKUP($A356-COUNT('Шаг2.Бланк заказа NEW'!$B$19:$B$201)-COUNT('Бланк OLD 0.8 04'!$B$18:$B$200),'Бланк OLD 2.0 04 '!$B$16:$K$200,8,0)&gt;0),0.4,""))))</f>
        <v/>
      </c>
      <c r="V356" s="146" t="str">
        <f ca="1">IFERROR(VLOOKUP(C356,'Шаг1.Выбор плиты'!C:S,12,0),"")</f>
        <v/>
      </c>
      <c r="W356" s="146" t="str">
        <f ca="1">IFERROR(VLOOKUP(C356,'Шаг1.Выбор плиты'!C:S,8,0),"")</f>
        <v/>
      </c>
      <c r="X356" s="146" t="str">
        <f ca="1">IFERROR(VLOOKUP(C356,'Шаг1.Выбор плиты'!C:S,10,0),"")</f>
        <v/>
      </c>
      <c r="Y356" s="147" t="str">
        <f t="shared" ca="1" si="28"/>
        <v/>
      </c>
      <c r="AD356" s="147" t="str">
        <f t="shared" ca="1" si="34"/>
        <v/>
      </c>
      <c r="AE356" s="147" t="str">
        <f t="shared" ca="1" si="29"/>
        <v/>
      </c>
      <c r="AF356" s="25"/>
      <c r="AH356" s="147" t="str">
        <f ca="1">IF(C356="","",VLOOKUP(C356,'Шаг1.Выбор плиты'!C:Q,7,0))</f>
        <v/>
      </c>
      <c r="AI356" s="147" t="str">
        <f t="shared" ca="1" si="35"/>
        <v/>
      </c>
    </row>
    <row r="357" spans="1:35" x14ac:dyDescent="0.2">
      <c r="A357" s="151" t="str">
        <f ca="1">IF(C357="","",MAX($A$1:OFFSET(C357,-1,0))+1)</f>
        <v/>
      </c>
      <c r="B357" s="151" t="str">
        <f ca="1">IFERROR(IFERROR(IFERROR("Шаг2.Бланк заказа NEW №"&amp;VLOOKUP(A356+1,CHOOSE({1,2},'Шаг2.Бланк заказа NEW'!$B$19:$B$201,'Шаг2.Бланк заказа NEW'!$A$19:$A$201),1,0),
"Бланк OLD 0.8 04 №"&amp;VLOOKUP(A356+1-COUNT('Шаг2.Бланк заказа NEW'!$B$19:$B$201),CHOOSE({1,2},'Бланк OLD 0.8 04'!$B$18:$B$200,'Бланк OLD 0.8 04'!$A$18:$A$200),1,0)),
"Бланк OLD 2.0 04 №"&amp;VLOOKUP(A356+1-COUNT('Шаг2.Бланк заказа NEW'!$B$19:$B$201)-COUNT('Бланк OLD 0.8 04'!$B$18:$B$200),CHOOSE({1,2},'Бланк OLD 2.0 04 '!$B$18:$B$200,'Бланк OLD 2.0 04 '!$A$18:$A$200),1,0)),"")</f>
        <v/>
      </c>
      <c r="C357" s="152" t="str">
        <f ca="1">IFERROR(IFERROR(IFERROR(VLOOKUP(A356+1,CHOOSE({1,2},'Шаг2.Бланк заказа NEW'!$B$19:$B$201,'Шаг2.Бланк заказа NEW'!$A$19:$A$201),2,0),
VLOOKUP(A356+1-COUNT('Шаг2.Бланк заказа NEW'!$B$19:$B$201),CHOOSE({1,2},'Бланк OLD 0.8 04'!$B$18:$B$200,'Бланк OLD 0.8 04'!$A$18:$A$200),2,0)),
VLOOKUP(A356+1-COUNT('Шаг2.Бланк заказа NEW'!$B$19:$B$201)-COUNT('Бланк OLD 0.8 04'!$B$18:$B$200),CHOOSE({1,2},'Бланк OLD 2.0 04 '!$B$18:$B$200,'Бланк OLD 2.0 04 '!$A$18:$A$200),2,0)),"")</f>
        <v/>
      </c>
      <c r="D357" s="150" t="str">
        <f ca="1">IFERROR(VLOOKUP(C357,'Шаг1.Выбор плиты'!C:G,5,0),"")</f>
        <v/>
      </c>
      <c r="E357" s="147" t="str">
        <f ca="1">IFERROR(IFERROR(IF(VLOOKUP($A357,'Шаг2.Бланк заказа NEW'!$B$17:$N$201,2,0)="","",VLOOKUP($A357,'Шаг2.Бланк заказа NEW'!$B$17:$N$201,2,0)),
IF(VLOOKUP($A357-COUNT('Шаг2.Бланк заказа NEW'!$B$19:$B$201),'Бланк OLD 0.8 04'!$B$12:$K$200,2,0)="","",VLOOKUP($A357-COUNT('Шаг2.Бланк заказа NEW'!$B$19:$B$201),'Бланк OLD 0.8 04'!$B$12:$K$200,2,0))),
IF(VLOOKUP($A357-COUNT('Шаг2.Бланк заказа NEW'!$B$19:$B$201)-COUNT('Бланк OLD 0.8 04'!$B$18:$B$200),'Бланк OLD 2.0 04 '!$B$16:$K$200,2,0)="","",VLOOKUP($A357-COUNT('Шаг2.Бланк заказа NEW'!$B$19:$B$201)-COUNT('Бланк OLD 0.8 04'!$B$18:$B$200),'Бланк OLD 2.0 04 '!$B$16:$K$200,2,0)))</f>
        <v/>
      </c>
      <c r="F357" s="147" t="str">
        <f ca="1">IFERROR(IFERROR(IF(VLOOKUP($A357,'Шаг2.Бланк заказа NEW'!$B$17:$N$201,3,0)="","",VLOOKUP($A357,'Шаг2.Бланк заказа NEW'!$B$17:$N$201,3,0)),
IF(VLOOKUP($A357-COUNT('Шаг2.Бланк заказа NEW'!$B$19:$B$201),'Бланк OLD 0.8 04'!$B$12:$K$200,3,0)="","",VLOOKUP($A357-COUNT('Шаг2.Бланк заказа NEW'!$B$19:$B$201),'Бланк OLD 0.8 04'!$B$12:$K$200,3,0))),
IF(VLOOKUP($A357-COUNT('Шаг2.Бланк заказа NEW'!$B$19:$B$201)-COUNT('Бланк OLD 0.8 04'!$B$18:$B$200),'Бланк OLD 2.0 04 '!$B$16:$K$200,3,0)="","",VLOOKUP($A357-COUNT('Шаг2.Бланк заказа NEW'!$B$19:$B$201)-COUNT('Бланк OLD 0.8 04'!$B$18:$B$200),'Бланк OLD 2.0 04 '!$B$16:$K$200,3,0)))</f>
        <v/>
      </c>
      <c r="G357" s="176" t="str">
        <f ca="1">IF(IF(R357="","",IF(R357=1,SUMIFS('Шаг1.Выбор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плиты'!C:Q,12,0)),1))))))=0,
R357,
IF(R357="","",IF(R357=1,SUMIFS('Шаг1.Выбор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плиты'!N:N,R357,'Шаг1.Выбор плиты'!M:M,SMALL(INDIRECT("мм"&amp;VLOOKUP(C357,'Шаг1.Выбор плиты'!C:Q,12,0)),1)))))))</f>
        <v/>
      </c>
      <c r="H357" s="177" t="str">
        <f ca="1">IF(IF(S357="","",IF(S357=1,SUMIFS('Шаг1.Выбор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плиты'!C:Q,12,0)),1))))))=0,
S357,
IF(S357="","",IF(S357=1,SUMIFS('Шаг1.Выбор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плиты'!N:N,S357,'Шаг1.Выбор плиты'!M:M,SMALL(INDIRECT("мм"&amp;VLOOKUP(C357,'Шаг1.Выбор плиты'!C:Q,12,0)),1)))))))</f>
        <v/>
      </c>
      <c r="I357" s="147" t="str">
        <f ca="1">IFERROR(IFERROR(IF(VLOOKUP($A357,'Шаг2.Бланк заказа NEW'!$B$17:$N$201,6,0)="","",VLOOKUP($A357,'Шаг2.Бланк заказа NEW'!$B$17:$N$201,6,0)),
IF(VLOOKUP($A357-COUNT('Шаг2.Бланк заказа NEW'!$B$19:$B$201),'Бланк OLD 0.8 04'!$B$12:$K$200,6,0)="","",VLOOKUP($A357-COUNT('Шаг2.Бланк заказа NEW'!$B$19:$B$201),'Бланк OLD 0.8 04'!$B$12:$K$200,6,0))),
IF(VLOOKUP($A357-COUNT('Шаг2.Бланк заказа NEW'!$B$19:$B$201)-COUNT('Бланк OLD 0.8 04'!$B$18:$B$200),'Бланк OLD 2.0 04 '!$B$16:$K$200,6,0)="","",VLOOKUP($A357-COUNT('Шаг2.Бланк заказа NEW'!$B$19:$B$201)-COUNT('Бланк OLD 0.8 04'!$B$18:$B$200),'Бланк OLD 2.0 04 '!$B$16:$K$200,6,0)))</f>
        <v/>
      </c>
      <c r="J357" s="177" t="str">
        <f ca="1">IF(IF(T357="","",IF(T357=1,SUMIFS('Шаг1.Выбор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плиты'!C:Q,12,0)),1))))))=0,
T357,
IF(T357="","",IF(T357=1,SUMIFS('Шаг1.Выбор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плиты'!N:N,T357,'Шаг1.Выбор плиты'!M:M,SMALL(INDIRECT("мм"&amp;VLOOKUP(C357,'Шаг1.Выбор плиты'!C:Q,12,0)),1)))))))</f>
        <v/>
      </c>
      <c r="K357" s="177" t="str">
        <f ca="1">IF(IF(U357="","",IF(U357=1,SUMIFS('Шаг1.Выбор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плиты'!C:Q,12,0)),1))))))=0,
U357,
IF(U357="","",IF(U357=1,SUMIFS('Шаг1.Выбор плиты'!$G:$G,'Шаг1.Выбор плиты'!J:J,"*"&amp;RIGHT(VLOOKUP(C357,'Шаг1.Выбор плиты'!C:Q,8,0),4),'Шаг1.Выбор плиты'!L:L,IF(MID(C357,1,6)="ЛДСП P","TM"&amp;MID(VLOOKUP(C357,'Шаг1.Выбор плиты'!C:Q,10,0),3,2),MID(VLOOKUP(C357,'Шаг1.Выбор плиты'!C:Q,10,0),1,2)),
'Шаг1.Выбор плиты'!N:N,1),IF(SUMIFS('Шаг1.Выбор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плиты'!C:Q,12,0)),1))=0,
IF(SUMIFS('Шаг1.Выбор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плиты'!C:Q,12,0)),2))=0,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плиты'!C:Q,12,0)),3)),
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плиты'!C:Q,12,0)),2))),
(SUMIFS('Шаг1.Выбор плиты'!$G:$G,'Шаг1.Выбор плиты'!J:J,"*"&amp;RIGHT(VLOOKUP(C357,'Шаг1.Выбор плиты'!C:Q,8,0),4),'Шаг1.Выбор плиты'!L:L,VLOOKUP(C357,'Шаг1.Выбор плиты'!C:Q,10,0),'Шаг1.Выбор плиты'!N:N,U357,'Шаг1.Выбор плиты'!M:M,SMALL(INDIRECT("мм"&amp;VLOOKUP(C357,'Шаг1.Выбор плиты'!C:Q,12,0)),1)))))))</f>
        <v/>
      </c>
      <c r="L357" s="147" t="str">
        <f ca="1">IFERROR(IFERROR(IF(VLOOKUP($A357,'Шаг2.Бланк заказа NEW'!$B$17:$N$201,9,0)="","",VLOOKUP($A357,'Шаг2.Бланк заказа NEW'!$B$17:$N$201,9,0)),
IF(VLOOKUP($A357-COUNT('Шаг2.Бланк заказа NEW'!$B$19:$B$201),'Бланк OLD 0.8 04'!$B$12:$K$200,9,0)="","",VLOOKUP($A357-COUNT('Шаг2.Бланк заказа NEW'!$B$19:$B$201),'Бланк OLD 0.8 04'!$B$12:$K$200,9,0))),
IF(VLOOKUP($A357-COUNT('Шаг2.Бланк заказа NEW'!$B$19:$B$201)-COUNT('Бланк OLD 0.8 04'!$B$18:$B$200),'Бланк OLD 2.0 04 '!$B$16:$K$200,9,0)="","",VLOOKUP($A357-COUNT('Шаг2.Бланк заказа NEW'!$B$19:$B$201)-COUNT('Бланк OLD 0.8 04'!$B$18:$B$200),'Бланк OLD 2.0 04 '!$B$16:$K$200,9,0)))</f>
        <v/>
      </c>
      <c r="M357" s="154" t="str">
        <f t="shared" ca="1" si="33"/>
        <v/>
      </c>
      <c r="N357" s="153" t="str">
        <f ca="1">IFERROR(IF(VLOOKUP($A357,'Шаг2.Бланк заказа NEW'!$B$17:$N$201,11,0)="","",VLOOKUP($A357,'Шаг2.Бланк заказа NEW'!$B$17:$N$201,11,0)),
"Нет")</f>
        <v/>
      </c>
      <c r="O357" s="147" t="str">
        <f ca="1">IFERROR(IF(VLOOKUP($A357,'Шаг2.Бланк заказа NEW'!$B$17:$N$201,11,0)="","",VLOOKUP($A357,'Шаг2.Бланк заказа NEW'!$B$17:$N$201,12,0)),
"Нет")</f>
        <v/>
      </c>
      <c r="P357" s="153" t="str">
        <f ca="1">IFERROR(IF(VLOOKUP($A357,'Шаг2.Бланк заказа NEW'!$B$17:$N$201,13,0)="","",VLOOKUP($A357,'Шаг2.Бланк заказа NEW'!$B$17:$N$201,13,0)),
"Нет")</f>
        <v/>
      </c>
      <c r="Q357" s="147" t="str">
        <f ca="1">IFERROR(IF(VLOOKUP($A357,'Шаг2.Бланк заказа NEW'!$B$17:$O$201,14,0)="","",VLOOKUP($A357,'Шаг2.Бланк заказа NEW'!$B$17:$O$201,14,0)),"")</f>
        <v/>
      </c>
      <c r="R357" s="147" t="str">
        <f ca="1">IFERROR(IFERROR(IF(VLOOKUP($A357,'Шаг2.Бланк заказа NEW'!$B$17:$N$201,4,0)="","",VLOOKUP($A357,'Шаг2.Бланк заказа NEW'!$B$17:$N$201,4,0)),
IF(VLOOKUP($A357-COUNT('Шаг2.Бланк заказа NEW'!$B$19:$B$201),'Бланк OLD 0.8 04'!$B$12:$K$200,4,0)&gt;0,0.8,
IF(VLOOKUP($A357-COUNT('Шаг2.Бланк заказа NEW'!$B$19:$B$201),'Бланк OLD 0.8 04'!$B$12:$K$200,5,0)&gt;0,0.4,""))),
IF(VLOOKUP($A357-COUNT('Шаг2.Бланк заказа NEW'!$B$19:$B$201)-COUNT('Бланк OLD 0.8 04'!$B$18:$B$200),'Бланк OLD 2.0 04 '!$B$16:$K$200,4,0)&gt;0,2,IF(VLOOKUP($A357-COUNT('Шаг2.Бланк заказа NEW'!$B$19:$B$201)-COUNT('Бланк OLD 0.8 04'!$B$18:$B$200),'Бланк OLD 2.0 04 '!$B$16:$K$200,5,0)&gt;0,0.4,"")))</f>
        <v/>
      </c>
      <c r="S357" s="147" t="str">
        <f ca="1">IFERROR(IFERROR(IF(VLOOKUP($A357,'Шаг2.Бланк заказа NEW'!$B$17:$N$201,5,0)="","",VLOOKUP($A357,'Шаг2.Бланк заказа NEW'!$B$17:$N$201,5,0)),
IF(VLOOKUP($A357-COUNT('Шаг2.Бланк заказа NEW'!$B$19:$B$201),'Бланк OLD 0.8 04'!$B$12:$K$200,4,0)&gt;1,0.8,
IF(VLOOKUP($A357-COUNT('Шаг2.Бланк заказа NEW'!$B$19:$B$201),'Бланк OLD 0.8 04'!$B$12:$K$200,5,0)&gt;1,0.4,
IF(AND(VLOOKUP($A357-COUNT('Шаг2.Бланк заказа NEW'!$B$19:$B$201),'Бланк OLD 0.8 04'!$B$12:$K$200,4,0)&gt;0,VLOOKUP($A357-COUNT('Шаг2.Бланк заказа NEW'!$B$19:$B$201),'Бланк OLD 0.8 04'!$B$12:$K$200,5,0)&gt;0),0.4,"")))),
IF(VLOOKUP($A357-COUNT('Шаг2.Бланк заказа NEW'!$B$19:$B$201)-COUNT('Бланк OLD 0.8 04'!$B$18:$B$200),'Бланк OLD 2.0 04 '!$B$16:$K$200,4,0)&gt;1,2,
IF(VLOOKUP($A357-COUNT('Шаг2.Бланк заказа NEW'!$B$19:$B$201)-COUNT('Бланк OLD 0.8 04'!$B$18:$B$200),'Бланк OLD 2.0 04 '!$B$16:$K$200,5,0)&gt;1,0.4,IF(AND(VLOOKUP($A357-COUNT('Шаг2.Бланк заказа NEW'!$B$19:$B$201)-COUNT('Бланк OLD 0.8 04'!$B$18:$B$200),'Бланк OLD 2.0 04 '!$B$16:$K$200,4,0)&gt;0,VLOOKUP($A357-COUNT('Шаг2.Бланк заказа NEW'!$B$19:$B$201)-COUNT('Бланк OLD 0.8 04'!$B$18:$B$200),'Бланк OLD 2.0 04 '!$B$16:$K$200,5,0)&gt;0),0.4,""))))</f>
        <v/>
      </c>
      <c r="T357" s="147" t="str">
        <f ca="1">IFERROR(IFERROR(IF(VLOOKUP($A357,'Шаг2.Бланк заказа NEW'!$B$17:$N$201,7,0)="","",VLOOKUP($A357,'Шаг2.Бланк заказа NEW'!$B$17:$N$201,7,0)),
IF(VLOOKUP($A357-COUNT('Шаг2.Бланк заказа NEW'!$B$19:$B$201),'Бланк OLD 0.8 04'!$B$12:$K$200,7,0)&gt;0,0.8,
IF(VLOOKUP($A357-COUNT('Шаг2.Бланк заказа NEW'!$B$19:$B$201),'Бланк OLD 0.8 04'!$B$12:$K$200,8,0)&gt;0,0.4,""))),
IF(VLOOKUP($A357-COUNT('Шаг2.Бланк заказа NEW'!$B$19:$B$201)-COUNT('Бланк OLD 0.8 04'!$B$18:$B$200),'Бланк OLD 2.0 04 '!$B$16:$K$200,7,0)&gt;0,2,IF(VLOOKUP($A357-COUNT('Шаг2.Бланк заказа NEW'!$B$19:$B$201)-COUNT('Бланк OLD 0.8 04'!$B$18:$B$200),'Бланк OLD 2.0 04 '!$B$16:$K$200,8,0)&gt;0,0.4,"")))</f>
        <v/>
      </c>
      <c r="U357" s="147" t="str">
        <f ca="1">IFERROR(IFERROR(IF(VLOOKUP($A357,'Шаг2.Бланк заказа NEW'!$B$17:$N$201,8,0)="","",VLOOKUP($A357,'Шаг2.Бланк заказа NEW'!$B$17:$N$201,8,0)),
IF(VLOOKUP($A357-COUNT('Шаг2.Бланк заказа NEW'!$B$19:$B$201),'Бланк OLD 0.8 04'!$B$12:$K$200,7,0)&gt;1,0.8,
IF(VLOOKUP($A357-COUNT('Шаг2.Бланк заказа NEW'!$B$19:$B$201),'Бланк OLD 0.8 04'!$B$12:$K$200,8,0)&gt;1,0.4,
IF(AND(VLOOKUP($A357-COUNT('Шаг2.Бланк заказа NEW'!$B$19:$B$201),'Бланк OLD 0.8 04'!$B$12:$K$200,7,0)&gt;0,VLOOKUP($A357-COUNT('Шаг2.Бланк заказа NEW'!$B$19:$B$201),'Бланк OLD 0.8 04'!$B$12:$K$200,8,0)&gt;0),0.4,"")))),
IF(VLOOKUP($A357-COUNT('Шаг2.Бланк заказа NEW'!$B$19:$B$201)-COUNT('Бланк OLD 0.8 04'!$B$18:$B$200),'Бланк OLD 2.0 04 '!$B$16:$K$200,7,0)&gt;1,2,
IF(VLOOKUP($A357-COUNT('Шаг2.Бланк заказа NEW'!$B$19:$B$201)-COUNT('Бланк OLD 0.8 04'!$B$18:$B$200),'Бланк OLD 2.0 04 '!$B$16:$K$200,8,0)&gt;1,0.4,
IF(AND(VLOOKUP($A357-COUNT('Шаг2.Бланк заказа NEW'!$B$19:$B$201)-COUNT('Бланк OLD 0.8 04'!$B$18:$B$200),'Бланк OLD 2.0 04 '!$B$16:$K$200,7,0)&gt;0,VLOOKUP($A357-COUNT('Шаг2.Бланк заказа NEW'!$B$19:$B$201)-COUNT('Бланк OLD 0.8 04'!$B$18:$B$200),'Бланк OLD 2.0 04 '!$B$16:$K$200,8,0)&gt;0),0.4,""))))</f>
        <v/>
      </c>
      <c r="V357" s="146" t="str">
        <f ca="1">IFERROR(VLOOKUP(C357,'Шаг1.Выбор плиты'!C:S,12,0),"")</f>
        <v/>
      </c>
      <c r="W357" s="146" t="str">
        <f ca="1">IFERROR(VLOOKUP(C357,'Шаг1.Выбор плиты'!C:S,8,0),"")</f>
        <v/>
      </c>
      <c r="X357" s="146" t="str">
        <f ca="1">IFERROR(VLOOKUP(C357,'Шаг1.Выбор плиты'!C:S,10,0),"")</f>
        <v/>
      </c>
      <c r="Y357" s="147" t="str">
        <f t="shared" ca="1" si="28"/>
        <v/>
      </c>
      <c r="AD357" s="147" t="str">
        <f t="shared" ca="1" si="34"/>
        <v/>
      </c>
      <c r="AE357" s="147" t="str">
        <f t="shared" ca="1" si="29"/>
        <v/>
      </c>
      <c r="AF357" s="25"/>
      <c r="AH357" s="147" t="str">
        <f ca="1">IF(C357="","",VLOOKUP(C357,'Шаг1.Выбор плиты'!C:Q,7,0))</f>
        <v/>
      </c>
      <c r="AI357" s="147" t="str">
        <f t="shared" ca="1" si="35"/>
        <v/>
      </c>
    </row>
    <row r="358" spans="1:35" x14ac:dyDescent="0.2">
      <c r="A358" s="151" t="str">
        <f ca="1">IF(C358="","",MAX($A$1:OFFSET(C358,-1,0))+1)</f>
        <v/>
      </c>
      <c r="B358" s="151" t="str">
        <f ca="1">IFERROR(IFERROR(IFERROR("Шаг2.Бланк заказа NEW №"&amp;VLOOKUP(A357+1,CHOOSE({1,2},'Шаг2.Бланк заказа NEW'!$B$19:$B$201,'Шаг2.Бланк заказа NEW'!$A$19:$A$201),1,0),
"Бланк OLD 0.8 04 №"&amp;VLOOKUP(A357+1-COUNT('Шаг2.Бланк заказа NEW'!$B$19:$B$201),CHOOSE({1,2},'Бланк OLD 0.8 04'!$B$18:$B$200,'Бланк OLD 0.8 04'!$A$18:$A$200),1,0)),
"Бланк OLD 2.0 04 №"&amp;VLOOKUP(A357+1-COUNT('Шаг2.Бланк заказа NEW'!$B$19:$B$201)-COUNT('Бланк OLD 0.8 04'!$B$18:$B$200),CHOOSE({1,2},'Бланк OLD 2.0 04 '!$B$18:$B$200,'Бланк OLD 2.0 04 '!$A$18:$A$200),1,0)),"")</f>
        <v/>
      </c>
      <c r="C358" s="152" t="str">
        <f ca="1">IFERROR(IFERROR(IFERROR(VLOOKUP(A357+1,CHOOSE({1,2},'Шаг2.Бланк заказа NEW'!$B$19:$B$201,'Шаг2.Бланк заказа NEW'!$A$19:$A$201),2,0),
VLOOKUP(A357+1-COUNT('Шаг2.Бланк заказа NEW'!$B$19:$B$201),CHOOSE({1,2},'Бланк OLD 0.8 04'!$B$18:$B$200,'Бланк OLD 0.8 04'!$A$18:$A$200),2,0)),
VLOOKUP(A357+1-COUNT('Шаг2.Бланк заказа NEW'!$B$19:$B$201)-COUNT('Бланк OLD 0.8 04'!$B$18:$B$200),CHOOSE({1,2},'Бланк OLD 2.0 04 '!$B$18:$B$200,'Бланк OLD 2.0 04 '!$A$18:$A$200),2,0)),"")</f>
        <v/>
      </c>
      <c r="D358" s="150" t="str">
        <f ca="1">IFERROR(VLOOKUP(C358,'Шаг1.Выбор плиты'!C:G,5,0),"")</f>
        <v/>
      </c>
      <c r="E358" s="147" t="str">
        <f ca="1">IFERROR(IFERROR(IF(VLOOKUP($A358,'Шаг2.Бланк заказа NEW'!$B$17:$N$201,2,0)="","",VLOOKUP($A358,'Шаг2.Бланк заказа NEW'!$B$17:$N$201,2,0)),
IF(VLOOKUP($A358-COUNT('Шаг2.Бланк заказа NEW'!$B$19:$B$201),'Бланк OLD 0.8 04'!$B$12:$K$200,2,0)="","",VLOOKUP($A358-COUNT('Шаг2.Бланк заказа NEW'!$B$19:$B$201),'Бланк OLD 0.8 04'!$B$12:$K$200,2,0))),
IF(VLOOKUP($A358-COUNT('Шаг2.Бланк заказа NEW'!$B$19:$B$201)-COUNT('Бланк OLD 0.8 04'!$B$18:$B$200),'Бланк OLD 2.0 04 '!$B$16:$K$200,2,0)="","",VLOOKUP($A358-COUNT('Шаг2.Бланк заказа NEW'!$B$19:$B$201)-COUNT('Бланк OLD 0.8 04'!$B$18:$B$200),'Бланк OLD 2.0 04 '!$B$16:$K$200,2,0)))</f>
        <v/>
      </c>
      <c r="F358" s="147" t="str">
        <f ca="1">IFERROR(IFERROR(IF(VLOOKUP($A358,'Шаг2.Бланк заказа NEW'!$B$17:$N$201,3,0)="","",VLOOKUP($A358,'Шаг2.Бланк заказа NEW'!$B$17:$N$201,3,0)),
IF(VLOOKUP($A358-COUNT('Шаг2.Бланк заказа NEW'!$B$19:$B$201),'Бланк OLD 0.8 04'!$B$12:$K$200,3,0)="","",VLOOKUP($A358-COUNT('Шаг2.Бланк заказа NEW'!$B$19:$B$201),'Бланк OLD 0.8 04'!$B$12:$K$200,3,0))),
IF(VLOOKUP($A358-COUNT('Шаг2.Бланк заказа NEW'!$B$19:$B$201)-COUNT('Бланк OLD 0.8 04'!$B$18:$B$200),'Бланк OLD 2.0 04 '!$B$16:$K$200,3,0)="","",VLOOKUP($A358-COUNT('Шаг2.Бланк заказа NEW'!$B$19:$B$201)-COUNT('Бланк OLD 0.8 04'!$B$18:$B$200),'Бланк OLD 2.0 04 '!$B$16:$K$200,3,0)))</f>
        <v/>
      </c>
      <c r="G358" s="176" t="str">
        <f ca="1">IF(IF(R358="","",IF(R358=1,SUMIFS('Шаг1.Выбор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плиты'!C:Q,12,0)),1))))))=0,
R358,
IF(R358="","",IF(R358=1,SUMIFS('Шаг1.Выбор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плиты'!N:N,R358,'Шаг1.Выбор плиты'!M:M,SMALL(INDIRECT("мм"&amp;VLOOKUP(C358,'Шаг1.Выбор плиты'!C:Q,12,0)),1)))))))</f>
        <v/>
      </c>
      <c r="H358" s="177" t="str">
        <f ca="1">IF(IF(S358="","",IF(S358=1,SUMIFS('Шаг1.Выбор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плиты'!C:Q,12,0)),1))))))=0,
S358,
IF(S358="","",IF(S358=1,SUMIFS('Шаг1.Выбор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плиты'!N:N,S358,'Шаг1.Выбор плиты'!M:M,SMALL(INDIRECT("мм"&amp;VLOOKUP(C358,'Шаг1.Выбор плиты'!C:Q,12,0)),1)))))))</f>
        <v/>
      </c>
      <c r="I358" s="147" t="str">
        <f ca="1">IFERROR(IFERROR(IF(VLOOKUP($A358,'Шаг2.Бланк заказа NEW'!$B$17:$N$201,6,0)="","",VLOOKUP($A358,'Шаг2.Бланк заказа NEW'!$B$17:$N$201,6,0)),
IF(VLOOKUP($A358-COUNT('Шаг2.Бланк заказа NEW'!$B$19:$B$201),'Бланк OLD 0.8 04'!$B$12:$K$200,6,0)="","",VLOOKUP($A358-COUNT('Шаг2.Бланк заказа NEW'!$B$19:$B$201),'Бланк OLD 0.8 04'!$B$12:$K$200,6,0))),
IF(VLOOKUP($A358-COUNT('Шаг2.Бланк заказа NEW'!$B$19:$B$201)-COUNT('Бланк OLD 0.8 04'!$B$18:$B$200),'Бланк OLD 2.0 04 '!$B$16:$K$200,6,0)="","",VLOOKUP($A358-COUNT('Шаг2.Бланк заказа NEW'!$B$19:$B$201)-COUNT('Бланк OLD 0.8 04'!$B$18:$B$200),'Бланк OLD 2.0 04 '!$B$16:$K$200,6,0)))</f>
        <v/>
      </c>
      <c r="J358" s="177" t="str">
        <f ca="1">IF(IF(T358="","",IF(T358=1,SUMIFS('Шаг1.Выбор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плиты'!C:Q,12,0)),1))))))=0,
T358,
IF(T358="","",IF(T358=1,SUMIFS('Шаг1.Выбор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плиты'!N:N,T358,'Шаг1.Выбор плиты'!M:M,SMALL(INDIRECT("мм"&amp;VLOOKUP(C358,'Шаг1.Выбор плиты'!C:Q,12,0)),1)))))))</f>
        <v/>
      </c>
      <c r="K358" s="177" t="str">
        <f ca="1">IF(IF(U358="","",IF(U358=1,SUMIFS('Шаг1.Выбор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плиты'!C:Q,12,0)),1))))))=0,
U358,
IF(U358="","",IF(U358=1,SUMIFS('Шаг1.Выбор плиты'!$G:$G,'Шаг1.Выбор плиты'!J:J,"*"&amp;RIGHT(VLOOKUP(C358,'Шаг1.Выбор плиты'!C:Q,8,0),4),'Шаг1.Выбор плиты'!L:L,IF(MID(C358,1,6)="ЛДСП P","TM"&amp;MID(VLOOKUP(C358,'Шаг1.Выбор плиты'!C:Q,10,0),3,2),MID(VLOOKUP(C358,'Шаг1.Выбор плиты'!C:Q,10,0),1,2)),
'Шаг1.Выбор плиты'!N:N,1),IF(SUMIFS('Шаг1.Выбор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плиты'!C:Q,12,0)),1))=0,
IF(SUMIFS('Шаг1.Выбор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плиты'!C:Q,12,0)),2))=0,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плиты'!C:Q,12,0)),3)),
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плиты'!C:Q,12,0)),2))),
(SUMIFS('Шаг1.Выбор плиты'!$G:$G,'Шаг1.Выбор плиты'!J:J,"*"&amp;RIGHT(VLOOKUP(C358,'Шаг1.Выбор плиты'!C:Q,8,0),4),'Шаг1.Выбор плиты'!L:L,VLOOKUP(C358,'Шаг1.Выбор плиты'!C:Q,10,0),'Шаг1.Выбор плиты'!N:N,U358,'Шаг1.Выбор плиты'!M:M,SMALL(INDIRECT("мм"&amp;VLOOKUP(C358,'Шаг1.Выбор плиты'!C:Q,12,0)),1)))))))</f>
        <v/>
      </c>
      <c r="L358" s="147" t="str">
        <f ca="1">IFERROR(IFERROR(IF(VLOOKUP($A358,'Шаг2.Бланк заказа NEW'!$B$17:$N$201,9,0)="","",VLOOKUP($A358,'Шаг2.Бланк заказа NEW'!$B$17:$N$201,9,0)),
IF(VLOOKUP($A358-COUNT('Шаг2.Бланк заказа NEW'!$B$19:$B$201),'Бланк OLD 0.8 04'!$B$12:$K$200,9,0)="","",VLOOKUP($A358-COUNT('Шаг2.Бланк заказа NEW'!$B$19:$B$201),'Бланк OLD 0.8 04'!$B$12:$K$200,9,0))),
IF(VLOOKUP($A358-COUNT('Шаг2.Бланк заказа NEW'!$B$19:$B$201)-COUNT('Бланк OLD 0.8 04'!$B$18:$B$200),'Бланк OLD 2.0 04 '!$B$16:$K$200,9,0)="","",VLOOKUP($A358-COUNT('Шаг2.Бланк заказа NEW'!$B$19:$B$201)-COUNT('Бланк OLD 0.8 04'!$B$18:$B$200),'Бланк OLD 2.0 04 '!$B$16:$K$200,9,0)))</f>
        <v/>
      </c>
      <c r="M358" s="154" t="str">
        <f t="shared" ca="1" si="33"/>
        <v/>
      </c>
      <c r="N358" s="153" t="str">
        <f ca="1">IFERROR(IF(VLOOKUP($A358,'Шаг2.Бланк заказа NEW'!$B$17:$N$201,11,0)="","",VLOOKUP($A358,'Шаг2.Бланк заказа NEW'!$B$17:$N$201,11,0)),
"Нет")</f>
        <v/>
      </c>
      <c r="O358" s="147" t="str">
        <f ca="1">IFERROR(IF(VLOOKUP($A358,'Шаг2.Бланк заказа NEW'!$B$17:$N$201,11,0)="","",VLOOKUP($A358,'Шаг2.Бланк заказа NEW'!$B$17:$N$201,12,0)),
"Нет")</f>
        <v/>
      </c>
      <c r="P358" s="153" t="str">
        <f ca="1">IFERROR(IF(VLOOKUP($A358,'Шаг2.Бланк заказа NEW'!$B$17:$N$201,13,0)="","",VLOOKUP($A358,'Шаг2.Бланк заказа NEW'!$B$17:$N$201,13,0)),
"Нет")</f>
        <v/>
      </c>
      <c r="Q358" s="147" t="str">
        <f ca="1">IFERROR(IF(VLOOKUP($A358,'Шаг2.Бланк заказа NEW'!$B$17:$O$201,14,0)="","",VLOOKUP($A358,'Шаг2.Бланк заказа NEW'!$B$17:$O$201,14,0)),"")</f>
        <v/>
      </c>
      <c r="R358" s="147" t="str">
        <f ca="1">IFERROR(IFERROR(IF(VLOOKUP($A358,'Шаг2.Бланк заказа NEW'!$B$17:$N$201,4,0)="","",VLOOKUP($A358,'Шаг2.Бланк заказа NEW'!$B$17:$N$201,4,0)),
IF(VLOOKUP($A358-COUNT('Шаг2.Бланк заказа NEW'!$B$19:$B$201),'Бланк OLD 0.8 04'!$B$12:$K$200,4,0)&gt;0,0.8,
IF(VLOOKUP($A358-COUNT('Шаг2.Бланк заказа NEW'!$B$19:$B$201),'Бланк OLD 0.8 04'!$B$12:$K$200,5,0)&gt;0,0.4,""))),
IF(VLOOKUP($A358-COUNT('Шаг2.Бланк заказа NEW'!$B$19:$B$201)-COUNT('Бланк OLD 0.8 04'!$B$18:$B$200),'Бланк OLD 2.0 04 '!$B$16:$K$200,4,0)&gt;0,2,IF(VLOOKUP($A358-COUNT('Шаг2.Бланк заказа NEW'!$B$19:$B$201)-COUNT('Бланк OLD 0.8 04'!$B$18:$B$200),'Бланк OLD 2.0 04 '!$B$16:$K$200,5,0)&gt;0,0.4,"")))</f>
        <v/>
      </c>
      <c r="S358" s="147" t="str">
        <f ca="1">IFERROR(IFERROR(IF(VLOOKUP($A358,'Шаг2.Бланк заказа NEW'!$B$17:$N$201,5,0)="","",VLOOKUP($A358,'Шаг2.Бланк заказа NEW'!$B$17:$N$201,5,0)),
IF(VLOOKUP($A358-COUNT('Шаг2.Бланк заказа NEW'!$B$19:$B$201),'Бланк OLD 0.8 04'!$B$12:$K$200,4,0)&gt;1,0.8,
IF(VLOOKUP($A358-COUNT('Шаг2.Бланк заказа NEW'!$B$19:$B$201),'Бланк OLD 0.8 04'!$B$12:$K$200,5,0)&gt;1,0.4,
IF(AND(VLOOKUP($A358-COUNT('Шаг2.Бланк заказа NEW'!$B$19:$B$201),'Бланк OLD 0.8 04'!$B$12:$K$200,4,0)&gt;0,VLOOKUP($A358-COUNT('Шаг2.Бланк заказа NEW'!$B$19:$B$201),'Бланк OLD 0.8 04'!$B$12:$K$200,5,0)&gt;0),0.4,"")))),
IF(VLOOKUP($A358-COUNT('Шаг2.Бланк заказа NEW'!$B$19:$B$201)-COUNT('Бланк OLD 0.8 04'!$B$18:$B$200),'Бланк OLD 2.0 04 '!$B$16:$K$200,4,0)&gt;1,2,
IF(VLOOKUP($A358-COUNT('Шаг2.Бланк заказа NEW'!$B$19:$B$201)-COUNT('Бланк OLD 0.8 04'!$B$18:$B$200),'Бланк OLD 2.0 04 '!$B$16:$K$200,5,0)&gt;1,0.4,IF(AND(VLOOKUP($A358-COUNT('Шаг2.Бланк заказа NEW'!$B$19:$B$201)-COUNT('Бланк OLD 0.8 04'!$B$18:$B$200),'Бланк OLD 2.0 04 '!$B$16:$K$200,4,0)&gt;0,VLOOKUP($A358-COUNT('Шаг2.Бланк заказа NEW'!$B$19:$B$201)-COUNT('Бланк OLD 0.8 04'!$B$18:$B$200),'Бланк OLD 2.0 04 '!$B$16:$K$200,5,0)&gt;0),0.4,""))))</f>
        <v/>
      </c>
      <c r="T358" s="147" t="str">
        <f ca="1">IFERROR(IFERROR(IF(VLOOKUP($A358,'Шаг2.Бланк заказа NEW'!$B$17:$N$201,7,0)="","",VLOOKUP($A358,'Шаг2.Бланк заказа NEW'!$B$17:$N$201,7,0)),
IF(VLOOKUP($A358-COUNT('Шаг2.Бланк заказа NEW'!$B$19:$B$201),'Бланк OLD 0.8 04'!$B$12:$K$200,7,0)&gt;0,0.8,
IF(VLOOKUP($A358-COUNT('Шаг2.Бланк заказа NEW'!$B$19:$B$201),'Бланк OLD 0.8 04'!$B$12:$K$200,8,0)&gt;0,0.4,""))),
IF(VLOOKUP($A358-COUNT('Шаг2.Бланк заказа NEW'!$B$19:$B$201)-COUNT('Бланк OLD 0.8 04'!$B$18:$B$200),'Бланк OLD 2.0 04 '!$B$16:$K$200,7,0)&gt;0,2,IF(VLOOKUP($A358-COUNT('Шаг2.Бланк заказа NEW'!$B$19:$B$201)-COUNT('Бланк OLD 0.8 04'!$B$18:$B$200),'Бланк OLD 2.0 04 '!$B$16:$K$200,8,0)&gt;0,0.4,"")))</f>
        <v/>
      </c>
      <c r="U358" s="147" t="str">
        <f ca="1">IFERROR(IFERROR(IF(VLOOKUP($A358,'Шаг2.Бланк заказа NEW'!$B$17:$N$201,8,0)="","",VLOOKUP($A358,'Шаг2.Бланк заказа NEW'!$B$17:$N$201,8,0)),
IF(VLOOKUP($A358-COUNT('Шаг2.Бланк заказа NEW'!$B$19:$B$201),'Бланк OLD 0.8 04'!$B$12:$K$200,7,0)&gt;1,0.8,
IF(VLOOKUP($A358-COUNT('Шаг2.Бланк заказа NEW'!$B$19:$B$201),'Бланк OLD 0.8 04'!$B$12:$K$200,8,0)&gt;1,0.4,
IF(AND(VLOOKUP($A358-COUNT('Шаг2.Бланк заказа NEW'!$B$19:$B$201),'Бланк OLD 0.8 04'!$B$12:$K$200,7,0)&gt;0,VLOOKUP($A358-COUNT('Шаг2.Бланк заказа NEW'!$B$19:$B$201),'Бланк OLD 0.8 04'!$B$12:$K$200,8,0)&gt;0),0.4,"")))),
IF(VLOOKUP($A358-COUNT('Шаг2.Бланк заказа NEW'!$B$19:$B$201)-COUNT('Бланк OLD 0.8 04'!$B$18:$B$200),'Бланк OLD 2.0 04 '!$B$16:$K$200,7,0)&gt;1,2,
IF(VLOOKUP($A358-COUNT('Шаг2.Бланк заказа NEW'!$B$19:$B$201)-COUNT('Бланк OLD 0.8 04'!$B$18:$B$200),'Бланк OLD 2.0 04 '!$B$16:$K$200,8,0)&gt;1,0.4,
IF(AND(VLOOKUP($A358-COUNT('Шаг2.Бланк заказа NEW'!$B$19:$B$201)-COUNT('Бланк OLD 0.8 04'!$B$18:$B$200),'Бланк OLD 2.0 04 '!$B$16:$K$200,7,0)&gt;0,VLOOKUP($A358-COUNT('Шаг2.Бланк заказа NEW'!$B$19:$B$201)-COUNT('Бланк OLD 0.8 04'!$B$18:$B$200),'Бланк OLD 2.0 04 '!$B$16:$K$200,8,0)&gt;0),0.4,""))))</f>
        <v/>
      </c>
      <c r="V358" s="146" t="str">
        <f ca="1">IFERROR(VLOOKUP(C358,'Шаг1.Выбор плиты'!C:S,12,0),"")</f>
        <v/>
      </c>
      <c r="W358" s="146" t="str">
        <f ca="1">IFERROR(VLOOKUP(C358,'Шаг1.Выбор плиты'!C:S,8,0),"")</f>
        <v/>
      </c>
      <c r="X358" s="146" t="str">
        <f ca="1">IFERROR(VLOOKUP(C358,'Шаг1.Выбор плиты'!C:S,10,0),"")</f>
        <v/>
      </c>
      <c r="Y358" s="147" t="str">
        <f t="shared" ca="1" si="28"/>
        <v/>
      </c>
      <c r="AD358" s="147" t="str">
        <f t="shared" ca="1" si="34"/>
        <v/>
      </c>
      <c r="AE358" s="147" t="str">
        <f t="shared" ca="1" si="29"/>
        <v/>
      </c>
      <c r="AF358" s="25"/>
      <c r="AH358" s="147" t="str">
        <f ca="1">IF(C358="","",VLOOKUP(C358,'Шаг1.Выбор плиты'!C:Q,7,0))</f>
        <v/>
      </c>
      <c r="AI358" s="147" t="str">
        <f t="shared" ca="1" si="35"/>
        <v/>
      </c>
    </row>
    <row r="359" spans="1:35" x14ac:dyDescent="0.2">
      <c r="A359" s="151" t="str">
        <f ca="1">IF(C359="","",MAX($A$1:OFFSET(C359,-1,0))+1)</f>
        <v/>
      </c>
      <c r="B359" s="151" t="str">
        <f ca="1">IFERROR(IFERROR(IFERROR("Шаг2.Бланк заказа NEW №"&amp;VLOOKUP(A358+1,CHOOSE({1,2},'Шаг2.Бланк заказа NEW'!$B$19:$B$201,'Шаг2.Бланк заказа NEW'!$A$19:$A$201),1,0),
"Бланк OLD 0.8 04 №"&amp;VLOOKUP(A358+1-COUNT('Шаг2.Бланк заказа NEW'!$B$19:$B$201),CHOOSE({1,2},'Бланк OLD 0.8 04'!$B$18:$B$200,'Бланк OLD 0.8 04'!$A$18:$A$200),1,0)),
"Бланк OLD 2.0 04 №"&amp;VLOOKUP(A358+1-COUNT('Шаг2.Бланк заказа NEW'!$B$19:$B$201)-COUNT('Бланк OLD 0.8 04'!$B$18:$B$200),CHOOSE({1,2},'Бланк OLD 2.0 04 '!$B$18:$B$200,'Бланк OLD 2.0 04 '!$A$18:$A$200),1,0)),"")</f>
        <v/>
      </c>
      <c r="C359" s="152" t="str">
        <f ca="1">IFERROR(IFERROR(IFERROR(VLOOKUP(A358+1,CHOOSE({1,2},'Шаг2.Бланк заказа NEW'!$B$19:$B$201,'Шаг2.Бланк заказа NEW'!$A$19:$A$201),2,0),
VLOOKUP(A358+1-COUNT('Шаг2.Бланк заказа NEW'!$B$19:$B$201),CHOOSE({1,2},'Бланк OLD 0.8 04'!$B$18:$B$200,'Бланк OLD 0.8 04'!$A$18:$A$200),2,0)),
VLOOKUP(A358+1-COUNT('Шаг2.Бланк заказа NEW'!$B$19:$B$201)-COUNT('Бланк OLD 0.8 04'!$B$18:$B$200),CHOOSE({1,2},'Бланк OLD 2.0 04 '!$B$18:$B$200,'Бланк OLD 2.0 04 '!$A$18:$A$200),2,0)),"")</f>
        <v/>
      </c>
      <c r="D359" s="150" t="str">
        <f ca="1">IFERROR(VLOOKUP(C359,'Шаг1.Выбор плиты'!C:G,5,0),"")</f>
        <v/>
      </c>
      <c r="E359" s="147" t="str">
        <f ca="1">IFERROR(IFERROR(IF(VLOOKUP($A359,'Шаг2.Бланк заказа NEW'!$B$17:$N$201,2,0)="","",VLOOKUP($A359,'Шаг2.Бланк заказа NEW'!$B$17:$N$201,2,0)),
IF(VLOOKUP($A359-COUNT('Шаг2.Бланк заказа NEW'!$B$19:$B$201),'Бланк OLD 0.8 04'!$B$12:$K$200,2,0)="","",VLOOKUP($A359-COUNT('Шаг2.Бланк заказа NEW'!$B$19:$B$201),'Бланк OLD 0.8 04'!$B$12:$K$200,2,0))),
IF(VLOOKUP($A359-COUNT('Шаг2.Бланк заказа NEW'!$B$19:$B$201)-COUNT('Бланк OLD 0.8 04'!$B$18:$B$200),'Бланк OLD 2.0 04 '!$B$16:$K$200,2,0)="","",VLOOKUP($A359-COUNT('Шаг2.Бланк заказа NEW'!$B$19:$B$201)-COUNT('Бланк OLD 0.8 04'!$B$18:$B$200),'Бланк OLD 2.0 04 '!$B$16:$K$200,2,0)))</f>
        <v/>
      </c>
      <c r="F359" s="147" t="str">
        <f ca="1">IFERROR(IFERROR(IF(VLOOKUP($A359,'Шаг2.Бланк заказа NEW'!$B$17:$N$201,3,0)="","",VLOOKUP($A359,'Шаг2.Бланк заказа NEW'!$B$17:$N$201,3,0)),
IF(VLOOKUP($A359-COUNT('Шаг2.Бланк заказа NEW'!$B$19:$B$201),'Бланк OLD 0.8 04'!$B$12:$K$200,3,0)="","",VLOOKUP($A359-COUNT('Шаг2.Бланк заказа NEW'!$B$19:$B$201),'Бланк OLD 0.8 04'!$B$12:$K$200,3,0))),
IF(VLOOKUP($A359-COUNT('Шаг2.Бланк заказа NEW'!$B$19:$B$201)-COUNT('Бланк OLD 0.8 04'!$B$18:$B$200),'Бланк OLD 2.0 04 '!$B$16:$K$200,3,0)="","",VLOOKUP($A359-COUNT('Шаг2.Бланк заказа NEW'!$B$19:$B$201)-COUNT('Бланк OLD 0.8 04'!$B$18:$B$200),'Бланк OLD 2.0 04 '!$B$16:$K$200,3,0)))</f>
        <v/>
      </c>
      <c r="G359" s="176" t="str">
        <f ca="1">IF(IF(R359="","",IF(R359=1,SUMIFS('Шаг1.Выбор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плиты'!C:Q,12,0)),1))))))=0,
R359,
IF(R359="","",IF(R359=1,SUMIFS('Шаг1.Выбор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плиты'!N:N,R359,'Шаг1.Выбор плиты'!M:M,SMALL(INDIRECT("мм"&amp;VLOOKUP(C359,'Шаг1.Выбор плиты'!C:Q,12,0)),1)))))))</f>
        <v/>
      </c>
      <c r="H359" s="177" t="str">
        <f ca="1">IF(IF(S359="","",IF(S359=1,SUMIFS('Шаг1.Выбор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плиты'!C:Q,12,0)),1))))))=0,
S359,
IF(S359="","",IF(S359=1,SUMIFS('Шаг1.Выбор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плиты'!N:N,S359,'Шаг1.Выбор плиты'!M:M,SMALL(INDIRECT("мм"&amp;VLOOKUP(C359,'Шаг1.Выбор плиты'!C:Q,12,0)),1)))))))</f>
        <v/>
      </c>
      <c r="I359" s="147" t="str">
        <f ca="1">IFERROR(IFERROR(IF(VLOOKUP($A359,'Шаг2.Бланк заказа NEW'!$B$17:$N$201,6,0)="","",VLOOKUP($A359,'Шаг2.Бланк заказа NEW'!$B$17:$N$201,6,0)),
IF(VLOOKUP($A359-COUNT('Шаг2.Бланк заказа NEW'!$B$19:$B$201),'Бланк OLD 0.8 04'!$B$12:$K$200,6,0)="","",VLOOKUP($A359-COUNT('Шаг2.Бланк заказа NEW'!$B$19:$B$201),'Бланк OLD 0.8 04'!$B$12:$K$200,6,0))),
IF(VLOOKUP($A359-COUNT('Шаг2.Бланк заказа NEW'!$B$19:$B$201)-COUNT('Бланк OLD 0.8 04'!$B$18:$B$200),'Бланк OLD 2.0 04 '!$B$16:$K$200,6,0)="","",VLOOKUP($A359-COUNT('Шаг2.Бланк заказа NEW'!$B$19:$B$201)-COUNT('Бланк OLD 0.8 04'!$B$18:$B$200),'Бланк OLD 2.0 04 '!$B$16:$K$200,6,0)))</f>
        <v/>
      </c>
      <c r="J359" s="177" t="str">
        <f ca="1">IF(IF(T359="","",IF(T359=1,SUMIFS('Шаг1.Выбор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плиты'!C:Q,12,0)),1))))))=0,
T359,
IF(T359="","",IF(T359=1,SUMIFS('Шаг1.Выбор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плиты'!N:N,T359,'Шаг1.Выбор плиты'!M:M,SMALL(INDIRECT("мм"&amp;VLOOKUP(C359,'Шаг1.Выбор плиты'!C:Q,12,0)),1)))))))</f>
        <v/>
      </c>
      <c r="K359" s="177" t="str">
        <f ca="1">IF(IF(U359="","",IF(U359=1,SUMIFS('Шаг1.Выбор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плиты'!C:Q,12,0)),1))))))=0,
U359,
IF(U359="","",IF(U359=1,SUMIFS('Шаг1.Выбор плиты'!$G:$G,'Шаг1.Выбор плиты'!J:J,"*"&amp;RIGHT(VLOOKUP(C359,'Шаг1.Выбор плиты'!C:Q,8,0),4),'Шаг1.Выбор плиты'!L:L,IF(MID(C359,1,6)="ЛДСП P","TM"&amp;MID(VLOOKUP(C359,'Шаг1.Выбор плиты'!C:Q,10,0),3,2),MID(VLOOKUP(C359,'Шаг1.Выбор плиты'!C:Q,10,0),1,2)),
'Шаг1.Выбор плиты'!N:N,1),IF(SUMIFS('Шаг1.Выбор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плиты'!C:Q,12,0)),1))=0,
IF(SUMIFS('Шаг1.Выбор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плиты'!C:Q,12,0)),2))=0,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плиты'!C:Q,12,0)),3)),
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плиты'!C:Q,12,0)),2))),
(SUMIFS('Шаг1.Выбор плиты'!$G:$G,'Шаг1.Выбор плиты'!J:J,"*"&amp;RIGHT(VLOOKUP(C359,'Шаг1.Выбор плиты'!C:Q,8,0),4),'Шаг1.Выбор плиты'!L:L,VLOOKUP(C359,'Шаг1.Выбор плиты'!C:Q,10,0),'Шаг1.Выбор плиты'!N:N,U359,'Шаг1.Выбор плиты'!M:M,SMALL(INDIRECT("мм"&amp;VLOOKUP(C359,'Шаг1.Выбор плиты'!C:Q,12,0)),1)))))))</f>
        <v/>
      </c>
      <c r="L359" s="147" t="str">
        <f ca="1">IFERROR(IFERROR(IF(VLOOKUP($A359,'Шаг2.Бланк заказа NEW'!$B$17:$N$201,9,0)="","",VLOOKUP($A359,'Шаг2.Бланк заказа NEW'!$B$17:$N$201,9,0)),
IF(VLOOKUP($A359-COUNT('Шаг2.Бланк заказа NEW'!$B$19:$B$201),'Бланк OLD 0.8 04'!$B$12:$K$200,9,0)="","",VLOOKUP($A359-COUNT('Шаг2.Бланк заказа NEW'!$B$19:$B$201),'Бланк OLD 0.8 04'!$B$12:$K$200,9,0))),
IF(VLOOKUP($A359-COUNT('Шаг2.Бланк заказа NEW'!$B$19:$B$201)-COUNT('Бланк OLD 0.8 04'!$B$18:$B$200),'Бланк OLD 2.0 04 '!$B$16:$K$200,9,0)="","",VLOOKUP($A359-COUNT('Шаг2.Бланк заказа NEW'!$B$19:$B$201)-COUNT('Бланк OLD 0.8 04'!$B$18:$B$200),'Бланк OLD 2.0 04 '!$B$16:$K$200,9,0)))</f>
        <v/>
      </c>
      <c r="M359" s="154" t="str">
        <f t="shared" ca="1" si="33"/>
        <v/>
      </c>
      <c r="N359" s="153" t="str">
        <f ca="1">IFERROR(IF(VLOOKUP($A359,'Шаг2.Бланк заказа NEW'!$B$17:$N$201,11,0)="","",VLOOKUP($A359,'Шаг2.Бланк заказа NEW'!$B$17:$N$201,11,0)),
"Нет")</f>
        <v/>
      </c>
      <c r="O359" s="147" t="str">
        <f ca="1">IFERROR(IF(VLOOKUP($A359,'Шаг2.Бланк заказа NEW'!$B$17:$N$201,11,0)="","",VLOOKUP($A359,'Шаг2.Бланк заказа NEW'!$B$17:$N$201,12,0)),
"Нет")</f>
        <v/>
      </c>
      <c r="P359" s="153" t="str">
        <f ca="1">IFERROR(IF(VLOOKUP($A359,'Шаг2.Бланк заказа NEW'!$B$17:$N$201,13,0)="","",VLOOKUP($A359,'Шаг2.Бланк заказа NEW'!$B$17:$N$201,13,0)),
"Нет")</f>
        <v/>
      </c>
      <c r="Q359" s="147" t="str">
        <f ca="1">IFERROR(IF(VLOOKUP($A359,'Шаг2.Бланк заказа NEW'!$B$17:$O$201,14,0)="","",VLOOKUP($A359,'Шаг2.Бланк заказа NEW'!$B$17:$O$201,14,0)),"")</f>
        <v/>
      </c>
      <c r="R359" s="147" t="str">
        <f ca="1">IFERROR(IFERROR(IF(VLOOKUP($A359,'Шаг2.Бланк заказа NEW'!$B$17:$N$201,4,0)="","",VLOOKUP($A359,'Шаг2.Бланк заказа NEW'!$B$17:$N$201,4,0)),
IF(VLOOKUP($A359-COUNT('Шаг2.Бланк заказа NEW'!$B$19:$B$201),'Бланк OLD 0.8 04'!$B$12:$K$200,4,0)&gt;0,0.8,
IF(VLOOKUP($A359-COUNT('Шаг2.Бланк заказа NEW'!$B$19:$B$201),'Бланк OLD 0.8 04'!$B$12:$K$200,5,0)&gt;0,0.4,""))),
IF(VLOOKUP($A359-COUNT('Шаг2.Бланк заказа NEW'!$B$19:$B$201)-COUNT('Бланк OLD 0.8 04'!$B$18:$B$200),'Бланк OLD 2.0 04 '!$B$16:$K$200,4,0)&gt;0,2,IF(VLOOKUP($A359-COUNT('Шаг2.Бланк заказа NEW'!$B$19:$B$201)-COUNT('Бланк OLD 0.8 04'!$B$18:$B$200),'Бланк OLD 2.0 04 '!$B$16:$K$200,5,0)&gt;0,0.4,"")))</f>
        <v/>
      </c>
      <c r="S359" s="147" t="str">
        <f ca="1">IFERROR(IFERROR(IF(VLOOKUP($A359,'Шаг2.Бланк заказа NEW'!$B$17:$N$201,5,0)="","",VLOOKUP($A359,'Шаг2.Бланк заказа NEW'!$B$17:$N$201,5,0)),
IF(VLOOKUP($A359-COUNT('Шаг2.Бланк заказа NEW'!$B$19:$B$201),'Бланк OLD 0.8 04'!$B$12:$K$200,4,0)&gt;1,0.8,
IF(VLOOKUP($A359-COUNT('Шаг2.Бланк заказа NEW'!$B$19:$B$201),'Бланк OLD 0.8 04'!$B$12:$K$200,5,0)&gt;1,0.4,
IF(AND(VLOOKUP($A359-COUNT('Шаг2.Бланк заказа NEW'!$B$19:$B$201),'Бланк OLD 0.8 04'!$B$12:$K$200,4,0)&gt;0,VLOOKUP($A359-COUNT('Шаг2.Бланк заказа NEW'!$B$19:$B$201),'Бланк OLD 0.8 04'!$B$12:$K$200,5,0)&gt;0),0.4,"")))),
IF(VLOOKUP($A359-COUNT('Шаг2.Бланк заказа NEW'!$B$19:$B$201)-COUNT('Бланк OLD 0.8 04'!$B$18:$B$200),'Бланк OLD 2.0 04 '!$B$16:$K$200,4,0)&gt;1,2,
IF(VLOOKUP($A359-COUNT('Шаг2.Бланк заказа NEW'!$B$19:$B$201)-COUNT('Бланк OLD 0.8 04'!$B$18:$B$200),'Бланк OLD 2.0 04 '!$B$16:$K$200,5,0)&gt;1,0.4,IF(AND(VLOOKUP($A359-COUNT('Шаг2.Бланк заказа NEW'!$B$19:$B$201)-COUNT('Бланк OLD 0.8 04'!$B$18:$B$200),'Бланк OLD 2.0 04 '!$B$16:$K$200,4,0)&gt;0,VLOOKUP($A359-COUNT('Шаг2.Бланк заказа NEW'!$B$19:$B$201)-COUNT('Бланк OLD 0.8 04'!$B$18:$B$200),'Бланк OLD 2.0 04 '!$B$16:$K$200,5,0)&gt;0),0.4,""))))</f>
        <v/>
      </c>
      <c r="T359" s="147" t="str">
        <f ca="1">IFERROR(IFERROR(IF(VLOOKUP($A359,'Шаг2.Бланк заказа NEW'!$B$17:$N$201,7,0)="","",VLOOKUP($A359,'Шаг2.Бланк заказа NEW'!$B$17:$N$201,7,0)),
IF(VLOOKUP($A359-COUNT('Шаг2.Бланк заказа NEW'!$B$19:$B$201),'Бланк OLD 0.8 04'!$B$12:$K$200,7,0)&gt;0,0.8,
IF(VLOOKUP($A359-COUNT('Шаг2.Бланк заказа NEW'!$B$19:$B$201),'Бланк OLD 0.8 04'!$B$12:$K$200,8,0)&gt;0,0.4,""))),
IF(VLOOKUP($A359-COUNT('Шаг2.Бланк заказа NEW'!$B$19:$B$201)-COUNT('Бланк OLD 0.8 04'!$B$18:$B$200),'Бланк OLD 2.0 04 '!$B$16:$K$200,7,0)&gt;0,2,IF(VLOOKUP($A359-COUNT('Шаг2.Бланк заказа NEW'!$B$19:$B$201)-COUNT('Бланк OLD 0.8 04'!$B$18:$B$200),'Бланк OLD 2.0 04 '!$B$16:$K$200,8,0)&gt;0,0.4,"")))</f>
        <v/>
      </c>
      <c r="U359" s="147" t="str">
        <f ca="1">IFERROR(IFERROR(IF(VLOOKUP($A359,'Шаг2.Бланк заказа NEW'!$B$17:$N$201,8,0)="","",VLOOKUP($A359,'Шаг2.Бланк заказа NEW'!$B$17:$N$201,8,0)),
IF(VLOOKUP($A359-COUNT('Шаг2.Бланк заказа NEW'!$B$19:$B$201),'Бланк OLD 0.8 04'!$B$12:$K$200,7,0)&gt;1,0.8,
IF(VLOOKUP($A359-COUNT('Шаг2.Бланк заказа NEW'!$B$19:$B$201),'Бланк OLD 0.8 04'!$B$12:$K$200,8,0)&gt;1,0.4,
IF(AND(VLOOKUP($A359-COUNT('Шаг2.Бланк заказа NEW'!$B$19:$B$201),'Бланк OLD 0.8 04'!$B$12:$K$200,7,0)&gt;0,VLOOKUP($A359-COUNT('Шаг2.Бланк заказа NEW'!$B$19:$B$201),'Бланк OLD 0.8 04'!$B$12:$K$200,8,0)&gt;0),0.4,"")))),
IF(VLOOKUP($A359-COUNT('Шаг2.Бланк заказа NEW'!$B$19:$B$201)-COUNT('Бланк OLD 0.8 04'!$B$18:$B$200),'Бланк OLD 2.0 04 '!$B$16:$K$200,7,0)&gt;1,2,
IF(VLOOKUP($A359-COUNT('Шаг2.Бланк заказа NEW'!$B$19:$B$201)-COUNT('Бланк OLD 0.8 04'!$B$18:$B$200),'Бланк OLD 2.0 04 '!$B$16:$K$200,8,0)&gt;1,0.4,
IF(AND(VLOOKUP($A359-COUNT('Шаг2.Бланк заказа NEW'!$B$19:$B$201)-COUNT('Бланк OLD 0.8 04'!$B$18:$B$200),'Бланк OLD 2.0 04 '!$B$16:$K$200,7,0)&gt;0,VLOOKUP($A359-COUNT('Шаг2.Бланк заказа NEW'!$B$19:$B$201)-COUNT('Бланк OLD 0.8 04'!$B$18:$B$200),'Бланк OLD 2.0 04 '!$B$16:$K$200,8,0)&gt;0),0.4,""))))</f>
        <v/>
      </c>
      <c r="V359" s="146" t="str">
        <f ca="1">IFERROR(VLOOKUP(C359,'Шаг1.Выбор плиты'!C:S,12,0),"")</f>
        <v/>
      </c>
      <c r="W359" s="146" t="str">
        <f ca="1">IFERROR(VLOOKUP(C359,'Шаг1.Выбор плиты'!C:S,8,0),"")</f>
        <v/>
      </c>
      <c r="X359" s="146" t="str">
        <f ca="1">IFERROR(VLOOKUP(C359,'Шаг1.Выбор плиты'!C:S,10,0),"")</f>
        <v/>
      </c>
      <c r="Y359" s="147" t="str">
        <f t="shared" ca="1" si="28"/>
        <v/>
      </c>
      <c r="AD359" s="147" t="str">
        <f t="shared" ca="1" si="34"/>
        <v/>
      </c>
      <c r="AE359" s="147" t="str">
        <f t="shared" ca="1" si="29"/>
        <v/>
      </c>
      <c r="AF359" s="25"/>
      <c r="AH359" s="147" t="str">
        <f ca="1">IF(C359="","",VLOOKUP(C359,'Шаг1.Выбор плиты'!C:Q,7,0))</f>
        <v/>
      </c>
      <c r="AI359" s="147" t="str">
        <f t="shared" ca="1" si="35"/>
        <v/>
      </c>
    </row>
    <row r="360" spans="1:35" x14ac:dyDescent="0.2">
      <c r="A360" s="151" t="str">
        <f ca="1">IF(C360="","",MAX($A$1:OFFSET(C360,-1,0))+1)</f>
        <v/>
      </c>
      <c r="B360" s="151" t="str">
        <f ca="1">IFERROR(IFERROR(IFERROR("Шаг2.Бланк заказа NEW №"&amp;VLOOKUP(A359+1,CHOOSE({1,2},'Шаг2.Бланк заказа NEW'!$B$19:$B$201,'Шаг2.Бланк заказа NEW'!$A$19:$A$201),1,0),
"Бланк OLD 0.8 04 №"&amp;VLOOKUP(A359+1-COUNT('Шаг2.Бланк заказа NEW'!$B$19:$B$201),CHOOSE({1,2},'Бланк OLD 0.8 04'!$B$18:$B$200,'Бланк OLD 0.8 04'!$A$18:$A$200),1,0)),
"Бланк OLD 2.0 04 №"&amp;VLOOKUP(A359+1-COUNT('Шаг2.Бланк заказа NEW'!$B$19:$B$201)-COUNT('Бланк OLD 0.8 04'!$B$18:$B$200),CHOOSE({1,2},'Бланк OLD 2.0 04 '!$B$18:$B$200,'Бланк OLD 2.0 04 '!$A$18:$A$200),1,0)),"")</f>
        <v/>
      </c>
      <c r="C360" s="152" t="str">
        <f ca="1">IFERROR(IFERROR(IFERROR(VLOOKUP(A359+1,CHOOSE({1,2},'Шаг2.Бланк заказа NEW'!$B$19:$B$201,'Шаг2.Бланк заказа NEW'!$A$19:$A$201),2,0),
VLOOKUP(A359+1-COUNT('Шаг2.Бланк заказа NEW'!$B$19:$B$201),CHOOSE({1,2},'Бланк OLD 0.8 04'!$B$18:$B$200,'Бланк OLD 0.8 04'!$A$18:$A$200),2,0)),
VLOOKUP(A359+1-COUNT('Шаг2.Бланк заказа NEW'!$B$19:$B$201)-COUNT('Бланк OLD 0.8 04'!$B$18:$B$200),CHOOSE({1,2},'Бланк OLD 2.0 04 '!$B$18:$B$200,'Бланк OLD 2.0 04 '!$A$18:$A$200),2,0)),"")</f>
        <v/>
      </c>
      <c r="D360" s="150" t="str">
        <f ca="1">IFERROR(VLOOKUP(C360,'Шаг1.Выбор плиты'!C:G,5,0),"")</f>
        <v/>
      </c>
      <c r="E360" s="147" t="str">
        <f ca="1">IFERROR(IFERROR(IF(VLOOKUP($A360,'Шаг2.Бланк заказа NEW'!$B$17:$N$201,2,0)="","",VLOOKUP($A360,'Шаг2.Бланк заказа NEW'!$B$17:$N$201,2,0)),
IF(VLOOKUP($A360-COUNT('Шаг2.Бланк заказа NEW'!$B$19:$B$201),'Бланк OLD 0.8 04'!$B$12:$K$200,2,0)="","",VLOOKUP($A360-COUNT('Шаг2.Бланк заказа NEW'!$B$19:$B$201),'Бланк OLD 0.8 04'!$B$12:$K$200,2,0))),
IF(VLOOKUP($A360-COUNT('Шаг2.Бланк заказа NEW'!$B$19:$B$201)-COUNT('Бланк OLD 0.8 04'!$B$18:$B$200),'Бланк OLD 2.0 04 '!$B$16:$K$200,2,0)="","",VLOOKUP($A360-COUNT('Шаг2.Бланк заказа NEW'!$B$19:$B$201)-COUNT('Бланк OLD 0.8 04'!$B$18:$B$200),'Бланк OLD 2.0 04 '!$B$16:$K$200,2,0)))</f>
        <v/>
      </c>
      <c r="F360" s="147" t="str">
        <f ca="1">IFERROR(IFERROR(IF(VLOOKUP($A360,'Шаг2.Бланк заказа NEW'!$B$17:$N$201,3,0)="","",VLOOKUP($A360,'Шаг2.Бланк заказа NEW'!$B$17:$N$201,3,0)),
IF(VLOOKUP($A360-COUNT('Шаг2.Бланк заказа NEW'!$B$19:$B$201),'Бланк OLD 0.8 04'!$B$12:$K$200,3,0)="","",VLOOKUP($A360-COUNT('Шаг2.Бланк заказа NEW'!$B$19:$B$201),'Бланк OLD 0.8 04'!$B$12:$K$200,3,0))),
IF(VLOOKUP($A360-COUNT('Шаг2.Бланк заказа NEW'!$B$19:$B$201)-COUNT('Бланк OLD 0.8 04'!$B$18:$B$200),'Бланк OLD 2.0 04 '!$B$16:$K$200,3,0)="","",VLOOKUP($A360-COUNT('Шаг2.Бланк заказа NEW'!$B$19:$B$201)-COUNT('Бланк OLD 0.8 04'!$B$18:$B$200),'Бланк OLD 2.0 04 '!$B$16:$K$200,3,0)))</f>
        <v/>
      </c>
      <c r="G360" s="176" t="str">
        <f ca="1">IF(IF(R360="","",IF(R360=1,SUMIFS('Шаг1.Выбор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плиты'!C:Q,12,0)),1))))))=0,
R360,
IF(R360="","",IF(R360=1,SUMIFS('Шаг1.Выбор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плиты'!N:N,R360,'Шаг1.Выбор плиты'!M:M,SMALL(INDIRECT("мм"&amp;VLOOKUP(C360,'Шаг1.Выбор плиты'!C:Q,12,0)),1)))))))</f>
        <v/>
      </c>
      <c r="H360" s="177" t="str">
        <f ca="1">IF(IF(S360="","",IF(S360=1,SUMIFS('Шаг1.Выбор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плиты'!C:Q,12,0)),1))))))=0,
S360,
IF(S360="","",IF(S360=1,SUMIFS('Шаг1.Выбор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плиты'!N:N,S360,'Шаг1.Выбор плиты'!M:M,SMALL(INDIRECT("мм"&amp;VLOOKUP(C360,'Шаг1.Выбор плиты'!C:Q,12,0)),1)))))))</f>
        <v/>
      </c>
      <c r="I360" s="147" t="str">
        <f ca="1">IFERROR(IFERROR(IF(VLOOKUP($A360,'Шаг2.Бланк заказа NEW'!$B$17:$N$201,6,0)="","",VLOOKUP($A360,'Шаг2.Бланк заказа NEW'!$B$17:$N$201,6,0)),
IF(VLOOKUP($A360-COUNT('Шаг2.Бланк заказа NEW'!$B$19:$B$201),'Бланк OLD 0.8 04'!$B$12:$K$200,6,0)="","",VLOOKUP($A360-COUNT('Шаг2.Бланк заказа NEW'!$B$19:$B$201),'Бланк OLD 0.8 04'!$B$12:$K$200,6,0))),
IF(VLOOKUP($A360-COUNT('Шаг2.Бланк заказа NEW'!$B$19:$B$201)-COUNT('Бланк OLD 0.8 04'!$B$18:$B$200),'Бланк OLD 2.0 04 '!$B$16:$K$200,6,0)="","",VLOOKUP($A360-COUNT('Шаг2.Бланк заказа NEW'!$B$19:$B$201)-COUNT('Бланк OLD 0.8 04'!$B$18:$B$200),'Бланк OLD 2.0 04 '!$B$16:$K$200,6,0)))</f>
        <v/>
      </c>
      <c r="J360" s="177" t="str">
        <f ca="1">IF(IF(T360="","",IF(T360=1,SUMIFS('Шаг1.Выбор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плиты'!C:Q,12,0)),1))))))=0,
T360,
IF(T360="","",IF(T360=1,SUMIFS('Шаг1.Выбор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плиты'!N:N,T360,'Шаг1.Выбор плиты'!M:M,SMALL(INDIRECT("мм"&amp;VLOOKUP(C360,'Шаг1.Выбор плиты'!C:Q,12,0)),1)))))))</f>
        <v/>
      </c>
      <c r="K360" s="177" t="str">
        <f ca="1">IF(IF(U360="","",IF(U360=1,SUMIFS('Шаг1.Выбор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плиты'!C:Q,12,0)),1))))))=0,
U360,
IF(U360="","",IF(U360=1,SUMIFS('Шаг1.Выбор плиты'!$G:$G,'Шаг1.Выбор плиты'!J:J,"*"&amp;RIGHT(VLOOKUP(C360,'Шаг1.Выбор плиты'!C:Q,8,0),4),'Шаг1.Выбор плиты'!L:L,IF(MID(C360,1,6)="ЛДСП P","TM"&amp;MID(VLOOKUP(C360,'Шаг1.Выбор плиты'!C:Q,10,0),3,2),MID(VLOOKUP(C360,'Шаг1.Выбор плиты'!C:Q,10,0),1,2)),
'Шаг1.Выбор плиты'!N:N,1),IF(SUMIFS('Шаг1.Выбор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плиты'!C:Q,12,0)),1))=0,
IF(SUMIFS('Шаг1.Выбор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плиты'!C:Q,12,0)),2))=0,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плиты'!C:Q,12,0)),3)),
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плиты'!C:Q,12,0)),2))),
(SUMIFS('Шаг1.Выбор плиты'!$G:$G,'Шаг1.Выбор плиты'!J:J,"*"&amp;RIGHT(VLOOKUP(C360,'Шаг1.Выбор плиты'!C:Q,8,0),4),'Шаг1.Выбор плиты'!L:L,VLOOKUP(C360,'Шаг1.Выбор плиты'!C:Q,10,0),'Шаг1.Выбор плиты'!N:N,U360,'Шаг1.Выбор плиты'!M:M,SMALL(INDIRECT("мм"&amp;VLOOKUP(C360,'Шаг1.Выбор плиты'!C:Q,12,0)),1)))))))</f>
        <v/>
      </c>
      <c r="L360" s="147" t="str">
        <f ca="1">IFERROR(IFERROR(IF(VLOOKUP($A360,'Шаг2.Бланк заказа NEW'!$B$17:$N$201,9,0)="","",VLOOKUP($A360,'Шаг2.Бланк заказа NEW'!$B$17:$N$201,9,0)),
IF(VLOOKUP($A360-COUNT('Шаг2.Бланк заказа NEW'!$B$19:$B$201),'Бланк OLD 0.8 04'!$B$12:$K$200,9,0)="","",VLOOKUP($A360-COUNT('Шаг2.Бланк заказа NEW'!$B$19:$B$201),'Бланк OLD 0.8 04'!$B$12:$K$200,9,0))),
IF(VLOOKUP($A360-COUNT('Шаг2.Бланк заказа NEW'!$B$19:$B$201)-COUNT('Бланк OLD 0.8 04'!$B$18:$B$200),'Бланк OLD 2.0 04 '!$B$16:$K$200,9,0)="","",VLOOKUP($A360-COUNT('Шаг2.Бланк заказа NEW'!$B$19:$B$201)-COUNT('Бланк OLD 0.8 04'!$B$18:$B$200),'Бланк OLD 2.0 04 '!$B$16:$K$200,9,0)))</f>
        <v/>
      </c>
      <c r="M360" s="154" t="str">
        <f t="shared" ca="1" si="33"/>
        <v/>
      </c>
      <c r="N360" s="153" t="str">
        <f ca="1">IFERROR(IF(VLOOKUP($A360,'Шаг2.Бланк заказа NEW'!$B$17:$N$201,11,0)="","",VLOOKUP($A360,'Шаг2.Бланк заказа NEW'!$B$17:$N$201,11,0)),
"Нет")</f>
        <v/>
      </c>
      <c r="O360" s="147" t="str">
        <f ca="1">IFERROR(IF(VLOOKUP($A360,'Шаг2.Бланк заказа NEW'!$B$17:$N$201,11,0)="","",VLOOKUP($A360,'Шаг2.Бланк заказа NEW'!$B$17:$N$201,12,0)),
"Нет")</f>
        <v/>
      </c>
      <c r="P360" s="153" t="str">
        <f ca="1">IFERROR(IF(VLOOKUP($A360,'Шаг2.Бланк заказа NEW'!$B$17:$N$201,13,0)="","",VLOOKUP($A360,'Шаг2.Бланк заказа NEW'!$B$17:$N$201,13,0)),
"Нет")</f>
        <v/>
      </c>
      <c r="Q360" s="147" t="str">
        <f ca="1">IFERROR(IF(VLOOKUP($A360,'Шаг2.Бланк заказа NEW'!$B$17:$O$201,14,0)="","",VLOOKUP($A360,'Шаг2.Бланк заказа NEW'!$B$17:$O$201,14,0)),"")</f>
        <v/>
      </c>
      <c r="R360" s="147" t="str">
        <f ca="1">IFERROR(IFERROR(IF(VLOOKUP($A360,'Шаг2.Бланк заказа NEW'!$B$17:$N$201,4,0)="","",VLOOKUP($A360,'Шаг2.Бланк заказа NEW'!$B$17:$N$201,4,0)),
IF(VLOOKUP($A360-COUNT('Шаг2.Бланк заказа NEW'!$B$19:$B$201),'Бланк OLD 0.8 04'!$B$12:$K$200,4,0)&gt;0,0.8,
IF(VLOOKUP($A360-COUNT('Шаг2.Бланк заказа NEW'!$B$19:$B$201),'Бланк OLD 0.8 04'!$B$12:$K$200,5,0)&gt;0,0.4,""))),
IF(VLOOKUP($A360-COUNT('Шаг2.Бланк заказа NEW'!$B$19:$B$201)-COUNT('Бланк OLD 0.8 04'!$B$18:$B$200),'Бланк OLD 2.0 04 '!$B$16:$K$200,4,0)&gt;0,2,IF(VLOOKUP($A360-COUNT('Шаг2.Бланк заказа NEW'!$B$19:$B$201)-COUNT('Бланк OLD 0.8 04'!$B$18:$B$200),'Бланк OLD 2.0 04 '!$B$16:$K$200,5,0)&gt;0,0.4,"")))</f>
        <v/>
      </c>
      <c r="S360" s="147" t="str">
        <f ca="1">IFERROR(IFERROR(IF(VLOOKUP($A360,'Шаг2.Бланк заказа NEW'!$B$17:$N$201,5,0)="","",VLOOKUP($A360,'Шаг2.Бланк заказа NEW'!$B$17:$N$201,5,0)),
IF(VLOOKUP($A360-COUNT('Шаг2.Бланк заказа NEW'!$B$19:$B$201),'Бланк OLD 0.8 04'!$B$12:$K$200,4,0)&gt;1,0.8,
IF(VLOOKUP($A360-COUNT('Шаг2.Бланк заказа NEW'!$B$19:$B$201),'Бланк OLD 0.8 04'!$B$12:$K$200,5,0)&gt;1,0.4,
IF(AND(VLOOKUP($A360-COUNT('Шаг2.Бланк заказа NEW'!$B$19:$B$201),'Бланк OLD 0.8 04'!$B$12:$K$200,4,0)&gt;0,VLOOKUP($A360-COUNT('Шаг2.Бланк заказа NEW'!$B$19:$B$201),'Бланк OLD 0.8 04'!$B$12:$K$200,5,0)&gt;0),0.4,"")))),
IF(VLOOKUP($A360-COUNT('Шаг2.Бланк заказа NEW'!$B$19:$B$201)-COUNT('Бланк OLD 0.8 04'!$B$18:$B$200),'Бланк OLD 2.0 04 '!$B$16:$K$200,4,0)&gt;1,2,
IF(VLOOKUP($A360-COUNT('Шаг2.Бланк заказа NEW'!$B$19:$B$201)-COUNT('Бланк OLD 0.8 04'!$B$18:$B$200),'Бланк OLD 2.0 04 '!$B$16:$K$200,5,0)&gt;1,0.4,IF(AND(VLOOKUP($A360-COUNT('Шаг2.Бланк заказа NEW'!$B$19:$B$201)-COUNT('Бланк OLD 0.8 04'!$B$18:$B$200),'Бланк OLD 2.0 04 '!$B$16:$K$200,4,0)&gt;0,VLOOKUP($A360-COUNT('Шаг2.Бланк заказа NEW'!$B$19:$B$201)-COUNT('Бланк OLD 0.8 04'!$B$18:$B$200),'Бланк OLD 2.0 04 '!$B$16:$K$200,5,0)&gt;0),0.4,""))))</f>
        <v/>
      </c>
      <c r="T360" s="147" t="str">
        <f ca="1">IFERROR(IFERROR(IF(VLOOKUP($A360,'Шаг2.Бланк заказа NEW'!$B$17:$N$201,7,0)="","",VLOOKUP($A360,'Шаг2.Бланк заказа NEW'!$B$17:$N$201,7,0)),
IF(VLOOKUP($A360-COUNT('Шаг2.Бланк заказа NEW'!$B$19:$B$201),'Бланк OLD 0.8 04'!$B$12:$K$200,7,0)&gt;0,0.8,
IF(VLOOKUP($A360-COUNT('Шаг2.Бланк заказа NEW'!$B$19:$B$201),'Бланк OLD 0.8 04'!$B$12:$K$200,8,0)&gt;0,0.4,""))),
IF(VLOOKUP($A360-COUNT('Шаг2.Бланк заказа NEW'!$B$19:$B$201)-COUNT('Бланк OLD 0.8 04'!$B$18:$B$200),'Бланк OLD 2.0 04 '!$B$16:$K$200,7,0)&gt;0,2,IF(VLOOKUP($A360-COUNT('Шаг2.Бланк заказа NEW'!$B$19:$B$201)-COUNT('Бланк OLD 0.8 04'!$B$18:$B$200),'Бланк OLD 2.0 04 '!$B$16:$K$200,8,0)&gt;0,0.4,"")))</f>
        <v/>
      </c>
      <c r="U360" s="147" t="str">
        <f ca="1">IFERROR(IFERROR(IF(VLOOKUP($A360,'Шаг2.Бланк заказа NEW'!$B$17:$N$201,8,0)="","",VLOOKUP($A360,'Шаг2.Бланк заказа NEW'!$B$17:$N$201,8,0)),
IF(VLOOKUP($A360-COUNT('Шаг2.Бланк заказа NEW'!$B$19:$B$201),'Бланк OLD 0.8 04'!$B$12:$K$200,7,0)&gt;1,0.8,
IF(VLOOKUP($A360-COUNT('Шаг2.Бланк заказа NEW'!$B$19:$B$201),'Бланк OLD 0.8 04'!$B$12:$K$200,8,0)&gt;1,0.4,
IF(AND(VLOOKUP($A360-COUNT('Шаг2.Бланк заказа NEW'!$B$19:$B$201),'Бланк OLD 0.8 04'!$B$12:$K$200,7,0)&gt;0,VLOOKUP($A360-COUNT('Шаг2.Бланк заказа NEW'!$B$19:$B$201),'Бланк OLD 0.8 04'!$B$12:$K$200,8,0)&gt;0),0.4,"")))),
IF(VLOOKUP($A360-COUNT('Шаг2.Бланк заказа NEW'!$B$19:$B$201)-COUNT('Бланк OLD 0.8 04'!$B$18:$B$200),'Бланк OLD 2.0 04 '!$B$16:$K$200,7,0)&gt;1,2,
IF(VLOOKUP($A360-COUNT('Шаг2.Бланк заказа NEW'!$B$19:$B$201)-COUNT('Бланк OLD 0.8 04'!$B$18:$B$200),'Бланк OLD 2.0 04 '!$B$16:$K$200,8,0)&gt;1,0.4,
IF(AND(VLOOKUP($A360-COUNT('Шаг2.Бланк заказа NEW'!$B$19:$B$201)-COUNT('Бланк OLD 0.8 04'!$B$18:$B$200),'Бланк OLD 2.0 04 '!$B$16:$K$200,7,0)&gt;0,VLOOKUP($A360-COUNT('Шаг2.Бланк заказа NEW'!$B$19:$B$201)-COUNT('Бланк OLD 0.8 04'!$B$18:$B$200),'Бланк OLD 2.0 04 '!$B$16:$K$200,8,0)&gt;0),0.4,""))))</f>
        <v/>
      </c>
      <c r="V360" s="146" t="str">
        <f ca="1">IFERROR(VLOOKUP(C360,'Шаг1.Выбор плиты'!C:S,12,0),"")</f>
        <v/>
      </c>
      <c r="W360" s="146" t="str">
        <f ca="1">IFERROR(VLOOKUP(C360,'Шаг1.Выбор плиты'!C:S,8,0),"")</f>
        <v/>
      </c>
      <c r="X360" s="146" t="str">
        <f ca="1">IFERROR(VLOOKUP(C360,'Шаг1.Выбор плиты'!C:S,10,0),"")</f>
        <v/>
      </c>
      <c r="Y360" s="147" t="str">
        <f t="shared" ca="1" si="28"/>
        <v/>
      </c>
      <c r="AD360" s="147" t="str">
        <f t="shared" ca="1" si="34"/>
        <v/>
      </c>
      <c r="AE360" s="147" t="str">
        <f t="shared" ca="1" si="29"/>
        <v/>
      </c>
      <c r="AF360" s="25"/>
      <c r="AH360" s="147" t="str">
        <f ca="1">IF(C360="","",VLOOKUP(C360,'Шаг1.Выбор плиты'!C:Q,7,0))</f>
        <v/>
      </c>
      <c r="AI360" s="147" t="str">
        <f t="shared" ca="1" si="35"/>
        <v/>
      </c>
    </row>
    <row r="361" spans="1:35" x14ac:dyDescent="0.2">
      <c r="A361" s="151" t="str">
        <f ca="1">IF(C361="","",MAX($A$1:OFFSET(C361,-1,0))+1)</f>
        <v/>
      </c>
      <c r="B361" s="151" t="str">
        <f ca="1">IFERROR(IFERROR(IFERROR("Шаг2.Бланк заказа NEW №"&amp;VLOOKUP(A360+1,CHOOSE({1,2},'Шаг2.Бланк заказа NEW'!$B$19:$B$201,'Шаг2.Бланк заказа NEW'!$A$19:$A$201),1,0),
"Бланк OLD 0.8 04 №"&amp;VLOOKUP(A360+1-COUNT('Шаг2.Бланк заказа NEW'!$B$19:$B$201),CHOOSE({1,2},'Бланк OLD 0.8 04'!$B$18:$B$200,'Бланк OLD 0.8 04'!$A$18:$A$200),1,0)),
"Бланк OLD 2.0 04 №"&amp;VLOOKUP(A360+1-COUNT('Шаг2.Бланк заказа NEW'!$B$19:$B$201)-COUNT('Бланк OLD 0.8 04'!$B$18:$B$200),CHOOSE({1,2},'Бланк OLD 2.0 04 '!$B$18:$B$200,'Бланк OLD 2.0 04 '!$A$18:$A$200),1,0)),"")</f>
        <v/>
      </c>
      <c r="C361" s="152" t="str">
        <f ca="1">IFERROR(IFERROR(IFERROR(VLOOKUP(A360+1,CHOOSE({1,2},'Шаг2.Бланк заказа NEW'!$B$19:$B$201,'Шаг2.Бланк заказа NEW'!$A$19:$A$201),2,0),
VLOOKUP(A360+1-COUNT('Шаг2.Бланк заказа NEW'!$B$19:$B$201),CHOOSE({1,2},'Бланк OLD 0.8 04'!$B$18:$B$200,'Бланк OLD 0.8 04'!$A$18:$A$200),2,0)),
VLOOKUP(A360+1-COUNT('Шаг2.Бланк заказа NEW'!$B$19:$B$201)-COUNT('Бланк OLD 0.8 04'!$B$18:$B$200),CHOOSE({1,2},'Бланк OLD 2.0 04 '!$B$18:$B$200,'Бланк OLD 2.0 04 '!$A$18:$A$200),2,0)),"")</f>
        <v/>
      </c>
      <c r="D361" s="150" t="str">
        <f ca="1">IFERROR(VLOOKUP(C361,'Шаг1.Выбор плиты'!C:G,5,0),"")</f>
        <v/>
      </c>
      <c r="E361" s="147" t="str">
        <f ca="1">IFERROR(IFERROR(IF(VLOOKUP($A361,'Шаг2.Бланк заказа NEW'!$B$17:$N$201,2,0)="","",VLOOKUP($A361,'Шаг2.Бланк заказа NEW'!$B$17:$N$201,2,0)),
IF(VLOOKUP($A361-COUNT('Шаг2.Бланк заказа NEW'!$B$19:$B$201),'Бланк OLD 0.8 04'!$B$12:$K$200,2,0)="","",VLOOKUP($A361-COUNT('Шаг2.Бланк заказа NEW'!$B$19:$B$201),'Бланк OLD 0.8 04'!$B$12:$K$200,2,0))),
IF(VLOOKUP($A361-COUNT('Шаг2.Бланк заказа NEW'!$B$19:$B$201)-COUNT('Бланк OLD 0.8 04'!$B$18:$B$200),'Бланк OLD 2.0 04 '!$B$16:$K$200,2,0)="","",VLOOKUP($A361-COUNT('Шаг2.Бланк заказа NEW'!$B$19:$B$201)-COUNT('Бланк OLD 0.8 04'!$B$18:$B$200),'Бланк OLD 2.0 04 '!$B$16:$K$200,2,0)))</f>
        <v/>
      </c>
      <c r="F361" s="147" t="str">
        <f ca="1">IFERROR(IFERROR(IF(VLOOKUP($A361,'Шаг2.Бланк заказа NEW'!$B$17:$N$201,3,0)="","",VLOOKUP($A361,'Шаг2.Бланк заказа NEW'!$B$17:$N$201,3,0)),
IF(VLOOKUP($A361-COUNT('Шаг2.Бланк заказа NEW'!$B$19:$B$201),'Бланк OLD 0.8 04'!$B$12:$K$200,3,0)="","",VLOOKUP($A361-COUNT('Шаг2.Бланк заказа NEW'!$B$19:$B$201),'Бланк OLD 0.8 04'!$B$12:$K$200,3,0))),
IF(VLOOKUP($A361-COUNT('Шаг2.Бланк заказа NEW'!$B$19:$B$201)-COUNT('Бланк OLD 0.8 04'!$B$18:$B$200),'Бланк OLD 2.0 04 '!$B$16:$K$200,3,0)="","",VLOOKUP($A361-COUNT('Шаг2.Бланк заказа NEW'!$B$19:$B$201)-COUNT('Бланк OLD 0.8 04'!$B$18:$B$200),'Бланк OLD 2.0 04 '!$B$16:$K$200,3,0)))</f>
        <v/>
      </c>
      <c r="G361" s="176" t="str">
        <f ca="1">IF(IF(R361="","",IF(R361=1,SUMIFS('Шаг1.Выбор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плиты'!C:Q,12,0)),1))))))=0,
R361,
IF(R361="","",IF(R361=1,SUMIFS('Шаг1.Выбор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плиты'!N:N,R361,'Шаг1.Выбор плиты'!M:M,SMALL(INDIRECT("мм"&amp;VLOOKUP(C361,'Шаг1.Выбор плиты'!C:Q,12,0)),1)))))))</f>
        <v/>
      </c>
      <c r="H361" s="177" t="str">
        <f ca="1">IF(IF(S361="","",IF(S361=1,SUMIFS('Шаг1.Выбор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плиты'!C:Q,12,0)),1))))))=0,
S361,
IF(S361="","",IF(S361=1,SUMIFS('Шаг1.Выбор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плиты'!N:N,S361,'Шаг1.Выбор плиты'!M:M,SMALL(INDIRECT("мм"&amp;VLOOKUP(C361,'Шаг1.Выбор плиты'!C:Q,12,0)),1)))))))</f>
        <v/>
      </c>
      <c r="I361" s="147" t="str">
        <f ca="1">IFERROR(IFERROR(IF(VLOOKUP($A361,'Шаг2.Бланк заказа NEW'!$B$17:$N$201,6,0)="","",VLOOKUP($A361,'Шаг2.Бланк заказа NEW'!$B$17:$N$201,6,0)),
IF(VLOOKUP($A361-COUNT('Шаг2.Бланк заказа NEW'!$B$19:$B$201),'Бланк OLD 0.8 04'!$B$12:$K$200,6,0)="","",VLOOKUP($A361-COUNT('Шаг2.Бланк заказа NEW'!$B$19:$B$201),'Бланк OLD 0.8 04'!$B$12:$K$200,6,0))),
IF(VLOOKUP($A361-COUNT('Шаг2.Бланк заказа NEW'!$B$19:$B$201)-COUNT('Бланк OLD 0.8 04'!$B$18:$B$200),'Бланк OLD 2.0 04 '!$B$16:$K$200,6,0)="","",VLOOKUP($A361-COUNT('Шаг2.Бланк заказа NEW'!$B$19:$B$201)-COUNT('Бланк OLD 0.8 04'!$B$18:$B$200),'Бланк OLD 2.0 04 '!$B$16:$K$200,6,0)))</f>
        <v/>
      </c>
      <c r="J361" s="177" t="str">
        <f ca="1">IF(IF(T361="","",IF(T361=1,SUMIFS('Шаг1.Выбор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плиты'!C:Q,12,0)),1))))))=0,
T361,
IF(T361="","",IF(T361=1,SUMIFS('Шаг1.Выбор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плиты'!N:N,T361,'Шаг1.Выбор плиты'!M:M,SMALL(INDIRECT("мм"&amp;VLOOKUP(C361,'Шаг1.Выбор плиты'!C:Q,12,0)),1)))))))</f>
        <v/>
      </c>
      <c r="K361" s="177" t="str">
        <f ca="1">IF(IF(U361="","",IF(U361=1,SUMIFS('Шаг1.Выбор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плиты'!C:Q,12,0)),1))))))=0,
U361,
IF(U361="","",IF(U361=1,SUMIFS('Шаг1.Выбор плиты'!$G:$G,'Шаг1.Выбор плиты'!J:J,"*"&amp;RIGHT(VLOOKUP(C361,'Шаг1.Выбор плиты'!C:Q,8,0),4),'Шаг1.Выбор плиты'!L:L,IF(MID(C361,1,6)="ЛДСП P","TM"&amp;MID(VLOOKUP(C361,'Шаг1.Выбор плиты'!C:Q,10,0),3,2),MID(VLOOKUP(C361,'Шаг1.Выбор плиты'!C:Q,10,0),1,2)),
'Шаг1.Выбор плиты'!N:N,1),IF(SUMIFS('Шаг1.Выбор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плиты'!C:Q,12,0)),1))=0,
IF(SUMIFS('Шаг1.Выбор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плиты'!C:Q,12,0)),2))=0,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плиты'!C:Q,12,0)),3)),
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плиты'!C:Q,12,0)),2))),
(SUMIFS('Шаг1.Выбор плиты'!$G:$G,'Шаг1.Выбор плиты'!J:J,"*"&amp;RIGHT(VLOOKUP(C361,'Шаг1.Выбор плиты'!C:Q,8,0),4),'Шаг1.Выбор плиты'!L:L,VLOOKUP(C361,'Шаг1.Выбор плиты'!C:Q,10,0),'Шаг1.Выбор плиты'!N:N,U361,'Шаг1.Выбор плиты'!M:M,SMALL(INDIRECT("мм"&amp;VLOOKUP(C361,'Шаг1.Выбор плиты'!C:Q,12,0)),1)))))))</f>
        <v/>
      </c>
      <c r="L361" s="147" t="str">
        <f ca="1">IFERROR(IFERROR(IF(VLOOKUP($A361,'Шаг2.Бланк заказа NEW'!$B$17:$N$201,9,0)="","",VLOOKUP($A361,'Шаг2.Бланк заказа NEW'!$B$17:$N$201,9,0)),
IF(VLOOKUP($A361-COUNT('Шаг2.Бланк заказа NEW'!$B$19:$B$201),'Бланк OLD 0.8 04'!$B$12:$K$200,9,0)="","",VLOOKUP($A361-COUNT('Шаг2.Бланк заказа NEW'!$B$19:$B$201),'Бланк OLD 0.8 04'!$B$12:$K$200,9,0))),
IF(VLOOKUP($A361-COUNT('Шаг2.Бланк заказа NEW'!$B$19:$B$201)-COUNT('Бланк OLD 0.8 04'!$B$18:$B$200),'Бланк OLD 2.0 04 '!$B$16:$K$200,9,0)="","",VLOOKUP($A361-COUNT('Шаг2.Бланк заказа NEW'!$B$19:$B$201)-COUNT('Бланк OLD 0.8 04'!$B$18:$B$200),'Бланк OLD 2.0 04 '!$B$16:$K$200,9,0)))</f>
        <v/>
      </c>
      <c r="M361" s="154" t="str">
        <f t="shared" ca="1" si="33"/>
        <v/>
      </c>
      <c r="N361" s="153" t="str">
        <f ca="1">IFERROR(IF(VLOOKUP($A361,'Шаг2.Бланк заказа NEW'!$B$17:$N$201,11,0)="","",VLOOKUP($A361,'Шаг2.Бланк заказа NEW'!$B$17:$N$201,11,0)),
"Нет")</f>
        <v/>
      </c>
      <c r="O361" s="147" t="str">
        <f ca="1">IFERROR(IF(VLOOKUP($A361,'Шаг2.Бланк заказа NEW'!$B$17:$N$201,11,0)="","",VLOOKUP($A361,'Шаг2.Бланк заказа NEW'!$B$17:$N$201,12,0)),
"Нет")</f>
        <v/>
      </c>
      <c r="P361" s="153" t="str">
        <f ca="1">IFERROR(IF(VLOOKUP($A361,'Шаг2.Бланк заказа NEW'!$B$17:$N$201,13,0)="","",VLOOKUP($A361,'Шаг2.Бланк заказа NEW'!$B$17:$N$201,13,0)),
"Нет")</f>
        <v/>
      </c>
      <c r="Q361" s="147" t="str">
        <f ca="1">IFERROR(IF(VLOOKUP($A361,'Шаг2.Бланк заказа NEW'!$B$17:$O$201,14,0)="","",VLOOKUP($A361,'Шаг2.Бланк заказа NEW'!$B$17:$O$201,14,0)),"")</f>
        <v/>
      </c>
      <c r="R361" s="147" t="str">
        <f ca="1">IFERROR(IFERROR(IF(VLOOKUP($A361,'Шаг2.Бланк заказа NEW'!$B$17:$N$201,4,0)="","",VLOOKUP($A361,'Шаг2.Бланк заказа NEW'!$B$17:$N$201,4,0)),
IF(VLOOKUP($A361-COUNT('Шаг2.Бланк заказа NEW'!$B$19:$B$201),'Бланк OLD 0.8 04'!$B$12:$K$200,4,0)&gt;0,0.8,
IF(VLOOKUP($A361-COUNT('Шаг2.Бланк заказа NEW'!$B$19:$B$201),'Бланк OLD 0.8 04'!$B$12:$K$200,5,0)&gt;0,0.4,""))),
IF(VLOOKUP($A361-COUNT('Шаг2.Бланк заказа NEW'!$B$19:$B$201)-COUNT('Бланк OLD 0.8 04'!$B$18:$B$200),'Бланк OLD 2.0 04 '!$B$16:$K$200,4,0)&gt;0,2,IF(VLOOKUP($A361-COUNT('Шаг2.Бланк заказа NEW'!$B$19:$B$201)-COUNT('Бланк OLD 0.8 04'!$B$18:$B$200),'Бланк OLD 2.0 04 '!$B$16:$K$200,5,0)&gt;0,0.4,"")))</f>
        <v/>
      </c>
      <c r="S361" s="147" t="str">
        <f ca="1">IFERROR(IFERROR(IF(VLOOKUP($A361,'Шаг2.Бланк заказа NEW'!$B$17:$N$201,5,0)="","",VLOOKUP($A361,'Шаг2.Бланк заказа NEW'!$B$17:$N$201,5,0)),
IF(VLOOKUP($A361-COUNT('Шаг2.Бланк заказа NEW'!$B$19:$B$201),'Бланк OLD 0.8 04'!$B$12:$K$200,4,0)&gt;1,0.8,
IF(VLOOKUP($A361-COUNT('Шаг2.Бланк заказа NEW'!$B$19:$B$201),'Бланк OLD 0.8 04'!$B$12:$K$200,5,0)&gt;1,0.4,
IF(AND(VLOOKUP($A361-COUNT('Шаг2.Бланк заказа NEW'!$B$19:$B$201),'Бланк OLD 0.8 04'!$B$12:$K$200,4,0)&gt;0,VLOOKUP($A361-COUNT('Шаг2.Бланк заказа NEW'!$B$19:$B$201),'Бланк OLD 0.8 04'!$B$12:$K$200,5,0)&gt;0),0.4,"")))),
IF(VLOOKUP($A361-COUNT('Шаг2.Бланк заказа NEW'!$B$19:$B$201)-COUNT('Бланк OLD 0.8 04'!$B$18:$B$200),'Бланк OLD 2.0 04 '!$B$16:$K$200,4,0)&gt;1,2,
IF(VLOOKUP($A361-COUNT('Шаг2.Бланк заказа NEW'!$B$19:$B$201)-COUNT('Бланк OLD 0.8 04'!$B$18:$B$200),'Бланк OLD 2.0 04 '!$B$16:$K$200,5,0)&gt;1,0.4,IF(AND(VLOOKUP($A361-COUNT('Шаг2.Бланк заказа NEW'!$B$19:$B$201)-COUNT('Бланк OLD 0.8 04'!$B$18:$B$200),'Бланк OLD 2.0 04 '!$B$16:$K$200,4,0)&gt;0,VLOOKUP($A361-COUNT('Шаг2.Бланк заказа NEW'!$B$19:$B$201)-COUNT('Бланк OLD 0.8 04'!$B$18:$B$200),'Бланк OLD 2.0 04 '!$B$16:$K$200,5,0)&gt;0),0.4,""))))</f>
        <v/>
      </c>
      <c r="T361" s="147" t="str">
        <f ca="1">IFERROR(IFERROR(IF(VLOOKUP($A361,'Шаг2.Бланк заказа NEW'!$B$17:$N$201,7,0)="","",VLOOKUP($A361,'Шаг2.Бланк заказа NEW'!$B$17:$N$201,7,0)),
IF(VLOOKUP($A361-COUNT('Шаг2.Бланк заказа NEW'!$B$19:$B$201),'Бланк OLD 0.8 04'!$B$12:$K$200,7,0)&gt;0,0.8,
IF(VLOOKUP($A361-COUNT('Шаг2.Бланк заказа NEW'!$B$19:$B$201),'Бланк OLD 0.8 04'!$B$12:$K$200,8,0)&gt;0,0.4,""))),
IF(VLOOKUP($A361-COUNT('Шаг2.Бланк заказа NEW'!$B$19:$B$201)-COUNT('Бланк OLD 0.8 04'!$B$18:$B$200),'Бланк OLD 2.0 04 '!$B$16:$K$200,7,0)&gt;0,2,IF(VLOOKUP($A361-COUNT('Шаг2.Бланк заказа NEW'!$B$19:$B$201)-COUNT('Бланк OLD 0.8 04'!$B$18:$B$200),'Бланк OLD 2.0 04 '!$B$16:$K$200,8,0)&gt;0,0.4,"")))</f>
        <v/>
      </c>
      <c r="U361" s="147" t="str">
        <f ca="1">IFERROR(IFERROR(IF(VLOOKUP($A361,'Шаг2.Бланк заказа NEW'!$B$17:$N$201,8,0)="","",VLOOKUP($A361,'Шаг2.Бланк заказа NEW'!$B$17:$N$201,8,0)),
IF(VLOOKUP($A361-COUNT('Шаг2.Бланк заказа NEW'!$B$19:$B$201),'Бланк OLD 0.8 04'!$B$12:$K$200,7,0)&gt;1,0.8,
IF(VLOOKUP($A361-COUNT('Шаг2.Бланк заказа NEW'!$B$19:$B$201),'Бланк OLD 0.8 04'!$B$12:$K$200,8,0)&gt;1,0.4,
IF(AND(VLOOKUP($A361-COUNT('Шаг2.Бланк заказа NEW'!$B$19:$B$201),'Бланк OLD 0.8 04'!$B$12:$K$200,7,0)&gt;0,VLOOKUP($A361-COUNT('Шаг2.Бланк заказа NEW'!$B$19:$B$201),'Бланк OLD 0.8 04'!$B$12:$K$200,8,0)&gt;0),0.4,"")))),
IF(VLOOKUP($A361-COUNT('Шаг2.Бланк заказа NEW'!$B$19:$B$201)-COUNT('Бланк OLD 0.8 04'!$B$18:$B$200),'Бланк OLD 2.0 04 '!$B$16:$K$200,7,0)&gt;1,2,
IF(VLOOKUP($A361-COUNT('Шаг2.Бланк заказа NEW'!$B$19:$B$201)-COUNT('Бланк OLD 0.8 04'!$B$18:$B$200),'Бланк OLD 2.0 04 '!$B$16:$K$200,8,0)&gt;1,0.4,
IF(AND(VLOOKUP($A361-COUNT('Шаг2.Бланк заказа NEW'!$B$19:$B$201)-COUNT('Бланк OLD 0.8 04'!$B$18:$B$200),'Бланк OLD 2.0 04 '!$B$16:$K$200,7,0)&gt;0,VLOOKUP($A361-COUNT('Шаг2.Бланк заказа NEW'!$B$19:$B$201)-COUNT('Бланк OLD 0.8 04'!$B$18:$B$200),'Бланк OLD 2.0 04 '!$B$16:$K$200,8,0)&gt;0),0.4,""))))</f>
        <v/>
      </c>
      <c r="V361" s="146" t="str">
        <f ca="1">IFERROR(VLOOKUP(C361,'Шаг1.Выбор плиты'!C:S,12,0),"")</f>
        <v/>
      </c>
      <c r="W361" s="146" t="str">
        <f ca="1">IFERROR(VLOOKUP(C361,'Шаг1.Выбор плиты'!C:S,8,0),"")</f>
        <v/>
      </c>
      <c r="X361" s="146" t="str">
        <f ca="1">IFERROR(VLOOKUP(C361,'Шаг1.Выбор плиты'!C:S,10,0),"")</f>
        <v/>
      </c>
      <c r="Y361" s="147" t="str">
        <f t="shared" ca="1" si="28"/>
        <v/>
      </c>
      <c r="AD361" s="147" t="str">
        <f t="shared" ca="1" si="34"/>
        <v/>
      </c>
      <c r="AE361" s="147" t="str">
        <f t="shared" ca="1" si="29"/>
        <v/>
      </c>
      <c r="AF361" s="25"/>
      <c r="AH361" s="147" t="str">
        <f ca="1">IF(C361="","",VLOOKUP(C361,'Шаг1.Выбор плиты'!C:Q,7,0))</f>
        <v/>
      </c>
      <c r="AI361" s="147" t="str">
        <f t="shared" ca="1" si="35"/>
        <v/>
      </c>
    </row>
    <row r="362" spans="1:35" x14ac:dyDescent="0.2">
      <c r="A362" s="151" t="str">
        <f ca="1">IF(C362="","",MAX($A$1:OFFSET(C362,-1,0))+1)</f>
        <v/>
      </c>
      <c r="B362" s="151" t="str">
        <f ca="1">IFERROR(IFERROR(IFERROR("Шаг2.Бланк заказа NEW №"&amp;VLOOKUP(A361+1,CHOOSE({1,2},'Шаг2.Бланк заказа NEW'!$B$19:$B$201,'Шаг2.Бланк заказа NEW'!$A$19:$A$201),1,0),
"Бланк OLD 0.8 04 №"&amp;VLOOKUP(A361+1-COUNT('Шаг2.Бланк заказа NEW'!$B$19:$B$201),CHOOSE({1,2},'Бланк OLD 0.8 04'!$B$18:$B$200,'Бланк OLD 0.8 04'!$A$18:$A$200),1,0)),
"Бланк OLD 2.0 04 №"&amp;VLOOKUP(A361+1-COUNT('Шаг2.Бланк заказа NEW'!$B$19:$B$201)-COUNT('Бланк OLD 0.8 04'!$B$18:$B$200),CHOOSE({1,2},'Бланк OLD 2.0 04 '!$B$18:$B$200,'Бланк OLD 2.0 04 '!$A$18:$A$200),1,0)),"")</f>
        <v/>
      </c>
      <c r="C362" s="152" t="str">
        <f ca="1">IFERROR(IFERROR(IFERROR(VLOOKUP(A361+1,CHOOSE({1,2},'Шаг2.Бланк заказа NEW'!$B$19:$B$201,'Шаг2.Бланк заказа NEW'!$A$19:$A$201),2,0),
VLOOKUP(A361+1-COUNT('Шаг2.Бланк заказа NEW'!$B$19:$B$201),CHOOSE({1,2},'Бланк OLD 0.8 04'!$B$18:$B$200,'Бланк OLD 0.8 04'!$A$18:$A$200),2,0)),
VLOOKUP(A361+1-COUNT('Шаг2.Бланк заказа NEW'!$B$19:$B$201)-COUNT('Бланк OLD 0.8 04'!$B$18:$B$200),CHOOSE({1,2},'Бланк OLD 2.0 04 '!$B$18:$B$200,'Бланк OLD 2.0 04 '!$A$18:$A$200),2,0)),"")</f>
        <v/>
      </c>
      <c r="D362" s="150" t="str">
        <f ca="1">IFERROR(VLOOKUP(C362,'Шаг1.Выбор плиты'!C:G,5,0),"")</f>
        <v/>
      </c>
      <c r="E362" s="147" t="str">
        <f ca="1">IFERROR(IFERROR(IF(VLOOKUP($A362,'Шаг2.Бланк заказа NEW'!$B$17:$N$201,2,0)="","",VLOOKUP($A362,'Шаг2.Бланк заказа NEW'!$B$17:$N$201,2,0)),
IF(VLOOKUP($A362-COUNT('Шаг2.Бланк заказа NEW'!$B$19:$B$201),'Бланк OLD 0.8 04'!$B$12:$K$200,2,0)="","",VLOOKUP($A362-COUNT('Шаг2.Бланк заказа NEW'!$B$19:$B$201),'Бланк OLD 0.8 04'!$B$12:$K$200,2,0))),
IF(VLOOKUP($A362-COUNT('Шаг2.Бланк заказа NEW'!$B$19:$B$201)-COUNT('Бланк OLD 0.8 04'!$B$18:$B$200),'Бланк OLD 2.0 04 '!$B$16:$K$200,2,0)="","",VLOOKUP($A362-COUNT('Шаг2.Бланк заказа NEW'!$B$19:$B$201)-COUNT('Бланк OLD 0.8 04'!$B$18:$B$200),'Бланк OLD 2.0 04 '!$B$16:$K$200,2,0)))</f>
        <v/>
      </c>
      <c r="F362" s="147" t="str">
        <f ca="1">IFERROR(IFERROR(IF(VLOOKUP($A362,'Шаг2.Бланк заказа NEW'!$B$17:$N$201,3,0)="","",VLOOKUP($A362,'Шаг2.Бланк заказа NEW'!$B$17:$N$201,3,0)),
IF(VLOOKUP($A362-COUNT('Шаг2.Бланк заказа NEW'!$B$19:$B$201),'Бланк OLD 0.8 04'!$B$12:$K$200,3,0)="","",VLOOKUP($A362-COUNT('Шаг2.Бланк заказа NEW'!$B$19:$B$201),'Бланк OLD 0.8 04'!$B$12:$K$200,3,0))),
IF(VLOOKUP($A362-COUNT('Шаг2.Бланк заказа NEW'!$B$19:$B$201)-COUNT('Бланк OLD 0.8 04'!$B$18:$B$200),'Бланк OLD 2.0 04 '!$B$16:$K$200,3,0)="","",VLOOKUP($A362-COUNT('Шаг2.Бланк заказа NEW'!$B$19:$B$201)-COUNT('Бланк OLD 0.8 04'!$B$18:$B$200),'Бланк OLD 2.0 04 '!$B$16:$K$200,3,0)))</f>
        <v/>
      </c>
      <c r="G362" s="176" t="str">
        <f ca="1">IF(IF(R362="","",IF(R362=1,SUMIFS('Шаг1.Выбор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плиты'!C:Q,12,0)),1))))))=0,
R362,
IF(R362="","",IF(R362=1,SUMIFS('Шаг1.Выбор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плиты'!N:N,R362,'Шаг1.Выбор плиты'!M:M,SMALL(INDIRECT("мм"&amp;VLOOKUP(C362,'Шаг1.Выбор плиты'!C:Q,12,0)),1)))))))</f>
        <v/>
      </c>
      <c r="H362" s="177" t="str">
        <f ca="1">IF(IF(S362="","",IF(S362=1,SUMIFS('Шаг1.Выбор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плиты'!C:Q,12,0)),1))))))=0,
S362,
IF(S362="","",IF(S362=1,SUMIFS('Шаг1.Выбор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плиты'!N:N,S362,'Шаг1.Выбор плиты'!M:M,SMALL(INDIRECT("мм"&amp;VLOOKUP(C362,'Шаг1.Выбор плиты'!C:Q,12,0)),1)))))))</f>
        <v/>
      </c>
      <c r="I362" s="147" t="str">
        <f ca="1">IFERROR(IFERROR(IF(VLOOKUP($A362,'Шаг2.Бланк заказа NEW'!$B$17:$N$201,6,0)="","",VLOOKUP($A362,'Шаг2.Бланк заказа NEW'!$B$17:$N$201,6,0)),
IF(VLOOKUP($A362-COUNT('Шаг2.Бланк заказа NEW'!$B$19:$B$201),'Бланк OLD 0.8 04'!$B$12:$K$200,6,0)="","",VLOOKUP($A362-COUNT('Шаг2.Бланк заказа NEW'!$B$19:$B$201),'Бланк OLD 0.8 04'!$B$12:$K$200,6,0))),
IF(VLOOKUP($A362-COUNT('Шаг2.Бланк заказа NEW'!$B$19:$B$201)-COUNT('Бланк OLD 0.8 04'!$B$18:$B$200),'Бланк OLD 2.0 04 '!$B$16:$K$200,6,0)="","",VLOOKUP($A362-COUNT('Шаг2.Бланк заказа NEW'!$B$19:$B$201)-COUNT('Бланк OLD 0.8 04'!$B$18:$B$200),'Бланк OLD 2.0 04 '!$B$16:$K$200,6,0)))</f>
        <v/>
      </c>
      <c r="J362" s="177" t="str">
        <f ca="1">IF(IF(T362="","",IF(T362=1,SUMIFS('Шаг1.Выбор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плиты'!C:Q,12,0)),1))))))=0,
T362,
IF(T362="","",IF(T362=1,SUMIFS('Шаг1.Выбор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плиты'!N:N,T362,'Шаг1.Выбор плиты'!M:M,SMALL(INDIRECT("мм"&amp;VLOOKUP(C362,'Шаг1.Выбор плиты'!C:Q,12,0)),1)))))))</f>
        <v/>
      </c>
      <c r="K362" s="177" t="str">
        <f ca="1">IF(IF(U362="","",IF(U362=1,SUMIFS('Шаг1.Выбор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плиты'!C:Q,12,0)),1))))))=0,
U362,
IF(U362="","",IF(U362=1,SUMIFS('Шаг1.Выбор плиты'!$G:$G,'Шаг1.Выбор плиты'!J:J,"*"&amp;RIGHT(VLOOKUP(C362,'Шаг1.Выбор плиты'!C:Q,8,0),4),'Шаг1.Выбор плиты'!L:L,IF(MID(C362,1,6)="ЛДСП P","TM"&amp;MID(VLOOKUP(C362,'Шаг1.Выбор плиты'!C:Q,10,0),3,2),MID(VLOOKUP(C362,'Шаг1.Выбор плиты'!C:Q,10,0),1,2)),
'Шаг1.Выбор плиты'!N:N,1),IF(SUMIFS('Шаг1.Выбор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плиты'!C:Q,12,0)),1))=0,
IF(SUMIFS('Шаг1.Выбор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плиты'!C:Q,12,0)),2))=0,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плиты'!C:Q,12,0)),3)),
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плиты'!C:Q,12,0)),2))),
(SUMIFS('Шаг1.Выбор плиты'!$G:$G,'Шаг1.Выбор плиты'!J:J,"*"&amp;RIGHT(VLOOKUP(C362,'Шаг1.Выбор плиты'!C:Q,8,0),4),'Шаг1.Выбор плиты'!L:L,VLOOKUP(C362,'Шаг1.Выбор плиты'!C:Q,10,0),'Шаг1.Выбор плиты'!N:N,U362,'Шаг1.Выбор плиты'!M:M,SMALL(INDIRECT("мм"&amp;VLOOKUP(C362,'Шаг1.Выбор плиты'!C:Q,12,0)),1)))))))</f>
        <v/>
      </c>
      <c r="L362" s="147" t="str">
        <f ca="1">IFERROR(IFERROR(IF(VLOOKUP($A362,'Шаг2.Бланк заказа NEW'!$B$17:$N$201,9,0)="","",VLOOKUP($A362,'Шаг2.Бланк заказа NEW'!$B$17:$N$201,9,0)),
IF(VLOOKUP($A362-COUNT('Шаг2.Бланк заказа NEW'!$B$19:$B$201),'Бланк OLD 0.8 04'!$B$12:$K$200,9,0)="","",VLOOKUP($A362-COUNT('Шаг2.Бланк заказа NEW'!$B$19:$B$201),'Бланк OLD 0.8 04'!$B$12:$K$200,9,0))),
IF(VLOOKUP($A362-COUNT('Шаг2.Бланк заказа NEW'!$B$19:$B$201)-COUNT('Бланк OLD 0.8 04'!$B$18:$B$200),'Бланк OLD 2.0 04 '!$B$16:$K$200,9,0)="","",VLOOKUP($A362-COUNT('Шаг2.Бланк заказа NEW'!$B$19:$B$201)-COUNT('Бланк OLD 0.8 04'!$B$18:$B$200),'Бланк OLD 2.0 04 '!$B$16:$K$200,9,0)))</f>
        <v/>
      </c>
      <c r="M362" s="154" t="str">
        <f t="shared" ca="1" si="33"/>
        <v/>
      </c>
      <c r="N362" s="153" t="str">
        <f ca="1">IFERROR(IF(VLOOKUP($A362,'Шаг2.Бланк заказа NEW'!$B$17:$N$201,11,0)="","",VLOOKUP($A362,'Шаг2.Бланк заказа NEW'!$B$17:$N$201,11,0)),
"Нет")</f>
        <v/>
      </c>
      <c r="O362" s="147" t="str">
        <f ca="1">IFERROR(IF(VLOOKUP($A362,'Шаг2.Бланк заказа NEW'!$B$17:$N$201,11,0)="","",VLOOKUP($A362,'Шаг2.Бланк заказа NEW'!$B$17:$N$201,12,0)),
"Нет")</f>
        <v/>
      </c>
      <c r="P362" s="153" t="str">
        <f ca="1">IFERROR(IF(VLOOKUP($A362,'Шаг2.Бланк заказа NEW'!$B$17:$N$201,13,0)="","",VLOOKUP($A362,'Шаг2.Бланк заказа NEW'!$B$17:$N$201,13,0)),
"Нет")</f>
        <v/>
      </c>
      <c r="Q362" s="147" t="str">
        <f ca="1">IFERROR(IF(VLOOKUP($A362,'Шаг2.Бланк заказа NEW'!$B$17:$O$201,14,0)="","",VLOOKUP($A362,'Шаг2.Бланк заказа NEW'!$B$17:$O$201,14,0)),"")</f>
        <v/>
      </c>
      <c r="R362" s="147" t="str">
        <f ca="1">IFERROR(IFERROR(IF(VLOOKUP($A362,'Шаг2.Бланк заказа NEW'!$B$17:$N$201,4,0)="","",VLOOKUP($A362,'Шаг2.Бланк заказа NEW'!$B$17:$N$201,4,0)),
IF(VLOOKUP($A362-COUNT('Шаг2.Бланк заказа NEW'!$B$19:$B$201),'Бланк OLD 0.8 04'!$B$12:$K$200,4,0)&gt;0,0.8,
IF(VLOOKUP($A362-COUNT('Шаг2.Бланк заказа NEW'!$B$19:$B$201),'Бланк OLD 0.8 04'!$B$12:$K$200,5,0)&gt;0,0.4,""))),
IF(VLOOKUP($A362-COUNT('Шаг2.Бланк заказа NEW'!$B$19:$B$201)-COUNT('Бланк OLD 0.8 04'!$B$18:$B$200),'Бланк OLD 2.0 04 '!$B$16:$K$200,4,0)&gt;0,2,IF(VLOOKUP($A362-COUNT('Шаг2.Бланк заказа NEW'!$B$19:$B$201)-COUNT('Бланк OLD 0.8 04'!$B$18:$B$200),'Бланк OLD 2.0 04 '!$B$16:$K$200,5,0)&gt;0,0.4,"")))</f>
        <v/>
      </c>
      <c r="S362" s="147" t="str">
        <f ca="1">IFERROR(IFERROR(IF(VLOOKUP($A362,'Шаг2.Бланк заказа NEW'!$B$17:$N$201,5,0)="","",VLOOKUP($A362,'Шаг2.Бланк заказа NEW'!$B$17:$N$201,5,0)),
IF(VLOOKUP($A362-COUNT('Шаг2.Бланк заказа NEW'!$B$19:$B$201),'Бланк OLD 0.8 04'!$B$12:$K$200,4,0)&gt;1,0.8,
IF(VLOOKUP($A362-COUNT('Шаг2.Бланк заказа NEW'!$B$19:$B$201),'Бланк OLD 0.8 04'!$B$12:$K$200,5,0)&gt;1,0.4,
IF(AND(VLOOKUP($A362-COUNT('Шаг2.Бланк заказа NEW'!$B$19:$B$201),'Бланк OLD 0.8 04'!$B$12:$K$200,4,0)&gt;0,VLOOKUP($A362-COUNT('Шаг2.Бланк заказа NEW'!$B$19:$B$201),'Бланк OLD 0.8 04'!$B$12:$K$200,5,0)&gt;0),0.4,"")))),
IF(VLOOKUP($A362-COUNT('Шаг2.Бланк заказа NEW'!$B$19:$B$201)-COUNT('Бланк OLD 0.8 04'!$B$18:$B$200),'Бланк OLD 2.0 04 '!$B$16:$K$200,4,0)&gt;1,2,
IF(VLOOKUP($A362-COUNT('Шаг2.Бланк заказа NEW'!$B$19:$B$201)-COUNT('Бланк OLD 0.8 04'!$B$18:$B$200),'Бланк OLD 2.0 04 '!$B$16:$K$200,5,0)&gt;1,0.4,IF(AND(VLOOKUP($A362-COUNT('Шаг2.Бланк заказа NEW'!$B$19:$B$201)-COUNT('Бланк OLD 0.8 04'!$B$18:$B$200),'Бланк OLD 2.0 04 '!$B$16:$K$200,4,0)&gt;0,VLOOKUP($A362-COUNT('Шаг2.Бланк заказа NEW'!$B$19:$B$201)-COUNT('Бланк OLD 0.8 04'!$B$18:$B$200),'Бланк OLD 2.0 04 '!$B$16:$K$200,5,0)&gt;0),0.4,""))))</f>
        <v/>
      </c>
      <c r="T362" s="147" t="str">
        <f ca="1">IFERROR(IFERROR(IF(VLOOKUP($A362,'Шаг2.Бланк заказа NEW'!$B$17:$N$201,7,0)="","",VLOOKUP($A362,'Шаг2.Бланк заказа NEW'!$B$17:$N$201,7,0)),
IF(VLOOKUP($A362-COUNT('Шаг2.Бланк заказа NEW'!$B$19:$B$201),'Бланк OLD 0.8 04'!$B$12:$K$200,7,0)&gt;0,0.8,
IF(VLOOKUP($A362-COUNT('Шаг2.Бланк заказа NEW'!$B$19:$B$201),'Бланк OLD 0.8 04'!$B$12:$K$200,8,0)&gt;0,0.4,""))),
IF(VLOOKUP($A362-COUNT('Шаг2.Бланк заказа NEW'!$B$19:$B$201)-COUNT('Бланк OLD 0.8 04'!$B$18:$B$200),'Бланк OLD 2.0 04 '!$B$16:$K$200,7,0)&gt;0,2,IF(VLOOKUP($A362-COUNT('Шаг2.Бланк заказа NEW'!$B$19:$B$201)-COUNT('Бланк OLD 0.8 04'!$B$18:$B$200),'Бланк OLD 2.0 04 '!$B$16:$K$200,8,0)&gt;0,0.4,"")))</f>
        <v/>
      </c>
      <c r="U362" s="147" t="str">
        <f ca="1">IFERROR(IFERROR(IF(VLOOKUP($A362,'Шаг2.Бланк заказа NEW'!$B$17:$N$201,8,0)="","",VLOOKUP($A362,'Шаг2.Бланк заказа NEW'!$B$17:$N$201,8,0)),
IF(VLOOKUP($A362-COUNT('Шаг2.Бланк заказа NEW'!$B$19:$B$201),'Бланк OLD 0.8 04'!$B$12:$K$200,7,0)&gt;1,0.8,
IF(VLOOKUP($A362-COUNT('Шаг2.Бланк заказа NEW'!$B$19:$B$201),'Бланк OLD 0.8 04'!$B$12:$K$200,8,0)&gt;1,0.4,
IF(AND(VLOOKUP($A362-COUNT('Шаг2.Бланк заказа NEW'!$B$19:$B$201),'Бланк OLD 0.8 04'!$B$12:$K$200,7,0)&gt;0,VLOOKUP($A362-COUNT('Шаг2.Бланк заказа NEW'!$B$19:$B$201),'Бланк OLD 0.8 04'!$B$12:$K$200,8,0)&gt;0),0.4,"")))),
IF(VLOOKUP($A362-COUNT('Шаг2.Бланк заказа NEW'!$B$19:$B$201)-COUNT('Бланк OLD 0.8 04'!$B$18:$B$200),'Бланк OLD 2.0 04 '!$B$16:$K$200,7,0)&gt;1,2,
IF(VLOOKUP($A362-COUNT('Шаг2.Бланк заказа NEW'!$B$19:$B$201)-COUNT('Бланк OLD 0.8 04'!$B$18:$B$200),'Бланк OLD 2.0 04 '!$B$16:$K$200,8,0)&gt;1,0.4,
IF(AND(VLOOKUP($A362-COUNT('Шаг2.Бланк заказа NEW'!$B$19:$B$201)-COUNT('Бланк OLD 0.8 04'!$B$18:$B$200),'Бланк OLD 2.0 04 '!$B$16:$K$200,7,0)&gt;0,VLOOKUP($A362-COUNT('Шаг2.Бланк заказа NEW'!$B$19:$B$201)-COUNT('Бланк OLD 0.8 04'!$B$18:$B$200),'Бланк OLD 2.0 04 '!$B$16:$K$200,8,0)&gt;0),0.4,""))))</f>
        <v/>
      </c>
      <c r="V362" s="146" t="str">
        <f ca="1">IFERROR(VLOOKUP(C362,'Шаг1.Выбор плиты'!C:S,12,0),"")</f>
        <v/>
      </c>
      <c r="W362" s="146" t="str">
        <f ca="1">IFERROR(VLOOKUP(C362,'Шаг1.Выбор плиты'!C:S,8,0),"")</f>
        <v/>
      </c>
      <c r="X362" s="146" t="str">
        <f ca="1">IFERROR(VLOOKUP(C362,'Шаг1.Выбор плиты'!C:S,10,0),"")</f>
        <v/>
      </c>
      <c r="Y362" s="147" t="str">
        <f t="shared" ca="1" si="28"/>
        <v/>
      </c>
      <c r="AD362" s="147" t="str">
        <f t="shared" ca="1" si="34"/>
        <v/>
      </c>
      <c r="AE362" s="147" t="str">
        <f t="shared" ca="1" si="29"/>
        <v/>
      </c>
      <c r="AF362" s="25"/>
      <c r="AH362" s="147" t="str">
        <f ca="1">IF(C362="","",VLOOKUP(C362,'Шаг1.Выбор плиты'!C:Q,7,0))</f>
        <v/>
      </c>
      <c r="AI362" s="147" t="str">
        <f t="shared" ca="1" si="35"/>
        <v/>
      </c>
    </row>
    <row r="363" spans="1:35" x14ac:dyDescent="0.2">
      <c r="A363" s="151" t="str">
        <f ca="1">IF(C363="","",MAX($A$1:OFFSET(C363,-1,0))+1)</f>
        <v/>
      </c>
      <c r="B363" s="151" t="str">
        <f ca="1">IFERROR(IFERROR(IFERROR("Шаг2.Бланк заказа NEW №"&amp;VLOOKUP(A362+1,CHOOSE({1,2},'Шаг2.Бланк заказа NEW'!$B$19:$B$201,'Шаг2.Бланк заказа NEW'!$A$19:$A$201),1,0),
"Бланк OLD 0.8 04 №"&amp;VLOOKUP(A362+1-COUNT('Шаг2.Бланк заказа NEW'!$B$19:$B$201),CHOOSE({1,2},'Бланк OLD 0.8 04'!$B$18:$B$200,'Бланк OLD 0.8 04'!$A$18:$A$200),1,0)),
"Бланк OLD 2.0 04 №"&amp;VLOOKUP(A362+1-COUNT('Шаг2.Бланк заказа NEW'!$B$19:$B$201)-COUNT('Бланк OLD 0.8 04'!$B$18:$B$200),CHOOSE({1,2},'Бланк OLD 2.0 04 '!$B$18:$B$200,'Бланк OLD 2.0 04 '!$A$18:$A$200),1,0)),"")</f>
        <v/>
      </c>
      <c r="C363" s="152" t="str">
        <f ca="1">IFERROR(IFERROR(IFERROR(VLOOKUP(A362+1,CHOOSE({1,2},'Шаг2.Бланк заказа NEW'!$B$19:$B$201,'Шаг2.Бланк заказа NEW'!$A$19:$A$201),2,0),
VLOOKUP(A362+1-COUNT('Шаг2.Бланк заказа NEW'!$B$19:$B$201),CHOOSE({1,2},'Бланк OLD 0.8 04'!$B$18:$B$200,'Бланк OLD 0.8 04'!$A$18:$A$200),2,0)),
VLOOKUP(A362+1-COUNT('Шаг2.Бланк заказа NEW'!$B$19:$B$201)-COUNT('Бланк OLD 0.8 04'!$B$18:$B$200),CHOOSE({1,2},'Бланк OLD 2.0 04 '!$B$18:$B$200,'Бланк OLD 2.0 04 '!$A$18:$A$200),2,0)),"")</f>
        <v/>
      </c>
      <c r="D363" s="150" t="str">
        <f ca="1">IFERROR(VLOOKUP(C363,'Шаг1.Выбор плиты'!C:G,5,0),"")</f>
        <v/>
      </c>
      <c r="E363" s="147" t="str">
        <f ca="1">IFERROR(IFERROR(IF(VLOOKUP($A363,'Шаг2.Бланк заказа NEW'!$B$17:$N$201,2,0)="","",VLOOKUP($A363,'Шаг2.Бланк заказа NEW'!$B$17:$N$201,2,0)),
IF(VLOOKUP($A363-COUNT('Шаг2.Бланк заказа NEW'!$B$19:$B$201),'Бланк OLD 0.8 04'!$B$12:$K$200,2,0)="","",VLOOKUP($A363-COUNT('Шаг2.Бланк заказа NEW'!$B$19:$B$201),'Бланк OLD 0.8 04'!$B$12:$K$200,2,0))),
IF(VLOOKUP($A363-COUNT('Шаг2.Бланк заказа NEW'!$B$19:$B$201)-COUNT('Бланк OLD 0.8 04'!$B$18:$B$200),'Бланк OLD 2.0 04 '!$B$16:$K$200,2,0)="","",VLOOKUP($A363-COUNT('Шаг2.Бланк заказа NEW'!$B$19:$B$201)-COUNT('Бланк OLD 0.8 04'!$B$18:$B$200),'Бланк OLD 2.0 04 '!$B$16:$K$200,2,0)))</f>
        <v/>
      </c>
      <c r="F363" s="147" t="str">
        <f ca="1">IFERROR(IFERROR(IF(VLOOKUP($A363,'Шаг2.Бланк заказа NEW'!$B$17:$N$201,3,0)="","",VLOOKUP($A363,'Шаг2.Бланк заказа NEW'!$B$17:$N$201,3,0)),
IF(VLOOKUP($A363-COUNT('Шаг2.Бланк заказа NEW'!$B$19:$B$201),'Бланк OLD 0.8 04'!$B$12:$K$200,3,0)="","",VLOOKUP($A363-COUNT('Шаг2.Бланк заказа NEW'!$B$19:$B$201),'Бланк OLD 0.8 04'!$B$12:$K$200,3,0))),
IF(VLOOKUP($A363-COUNT('Шаг2.Бланк заказа NEW'!$B$19:$B$201)-COUNT('Бланк OLD 0.8 04'!$B$18:$B$200),'Бланк OLD 2.0 04 '!$B$16:$K$200,3,0)="","",VLOOKUP($A363-COUNT('Шаг2.Бланк заказа NEW'!$B$19:$B$201)-COUNT('Бланк OLD 0.8 04'!$B$18:$B$200),'Бланк OLD 2.0 04 '!$B$16:$K$200,3,0)))</f>
        <v/>
      </c>
      <c r="G363" s="176" t="str">
        <f ca="1">IF(IF(R363="","",IF(R363=1,SUMIFS('Шаг1.Выбор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плиты'!C:Q,12,0)),1))))))=0,
R363,
IF(R363="","",IF(R363=1,SUMIFS('Шаг1.Выбор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плиты'!N:N,R363,'Шаг1.Выбор плиты'!M:M,SMALL(INDIRECT("мм"&amp;VLOOKUP(C363,'Шаг1.Выбор плиты'!C:Q,12,0)),1)))))))</f>
        <v/>
      </c>
      <c r="H363" s="177" t="str">
        <f ca="1">IF(IF(S363="","",IF(S363=1,SUMIFS('Шаг1.Выбор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плиты'!C:Q,12,0)),1))))))=0,
S363,
IF(S363="","",IF(S363=1,SUMIFS('Шаг1.Выбор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плиты'!N:N,S363,'Шаг1.Выбор плиты'!M:M,SMALL(INDIRECT("мм"&amp;VLOOKUP(C363,'Шаг1.Выбор плиты'!C:Q,12,0)),1)))))))</f>
        <v/>
      </c>
      <c r="I363" s="147" t="str">
        <f ca="1">IFERROR(IFERROR(IF(VLOOKUP($A363,'Шаг2.Бланк заказа NEW'!$B$17:$N$201,6,0)="","",VLOOKUP($A363,'Шаг2.Бланк заказа NEW'!$B$17:$N$201,6,0)),
IF(VLOOKUP($A363-COUNT('Шаг2.Бланк заказа NEW'!$B$19:$B$201),'Бланк OLD 0.8 04'!$B$12:$K$200,6,0)="","",VLOOKUP($A363-COUNT('Шаг2.Бланк заказа NEW'!$B$19:$B$201),'Бланк OLD 0.8 04'!$B$12:$K$200,6,0))),
IF(VLOOKUP($A363-COUNT('Шаг2.Бланк заказа NEW'!$B$19:$B$201)-COUNT('Бланк OLD 0.8 04'!$B$18:$B$200),'Бланк OLD 2.0 04 '!$B$16:$K$200,6,0)="","",VLOOKUP($A363-COUNT('Шаг2.Бланк заказа NEW'!$B$19:$B$201)-COUNT('Бланк OLD 0.8 04'!$B$18:$B$200),'Бланк OLD 2.0 04 '!$B$16:$K$200,6,0)))</f>
        <v/>
      </c>
      <c r="J363" s="177" t="str">
        <f ca="1">IF(IF(T363="","",IF(T363=1,SUMIFS('Шаг1.Выбор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плиты'!C:Q,12,0)),1))))))=0,
T363,
IF(T363="","",IF(T363=1,SUMIFS('Шаг1.Выбор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плиты'!N:N,T363,'Шаг1.Выбор плиты'!M:M,SMALL(INDIRECT("мм"&amp;VLOOKUP(C363,'Шаг1.Выбор плиты'!C:Q,12,0)),1)))))))</f>
        <v/>
      </c>
      <c r="K363" s="177" t="str">
        <f ca="1">IF(IF(U363="","",IF(U363=1,SUMIFS('Шаг1.Выбор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плиты'!C:Q,12,0)),1))))))=0,
U363,
IF(U363="","",IF(U363=1,SUMIFS('Шаг1.Выбор плиты'!$G:$G,'Шаг1.Выбор плиты'!J:J,"*"&amp;RIGHT(VLOOKUP(C363,'Шаг1.Выбор плиты'!C:Q,8,0),4),'Шаг1.Выбор плиты'!L:L,IF(MID(C363,1,6)="ЛДСП P","TM"&amp;MID(VLOOKUP(C363,'Шаг1.Выбор плиты'!C:Q,10,0),3,2),MID(VLOOKUP(C363,'Шаг1.Выбор плиты'!C:Q,10,0),1,2)),
'Шаг1.Выбор плиты'!N:N,1),IF(SUMIFS('Шаг1.Выбор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плиты'!C:Q,12,0)),1))=0,
IF(SUMIFS('Шаг1.Выбор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плиты'!C:Q,12,0)),2))=0,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плиты'!C:Q,12,0)),3)),
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плиты'!C:Q,12,0)),2))),
(SUMIFS('Шаг1.Выбор плиты'!$G:$G,'Шаг1.Выбор плиты'!J:J,"*"&amp;RIGHT(VLOOKUP(C363,'Шаг1.Выбор плиты'!C:Q,8,0),4),'Шаг1.Выбор плиты'!L:L,VLOOKUP(C363,'Шаг1.Выбор плиты'!C:Q,10,0),'Шаг1.Выбор плиты'!N:N,U363,'Шаг1.Выбор плиты'!M:M,SMALL(INDIRECT("мм"&amp;VLOOKUP(C363,'Шаг1.Выбор плиты'!C:Q,12,0)),1)))))))</f>
        <v/>
      </c>
      <c r="L363" s="147" t="str">
        <f ca="1">IFERROR(IFERROR(IF(VLOOKUP($A363,'Шаг2.Бланк заказа NEW'!$B$17:$N$201,9,0)="","",VLOOKUP($A363,'Шаг2.Бланк заказа NEW'!$B$17:$N$201,9,0)),
IF(VLOOKUP($A363-COUNT('Шаг2.Бланк заказа NEW'!$B$19:$B$201),'Бланк OLD 0.8 04'!$B$12:$K$200,9,0)="","",VLOOKUP($A363-COUNT('Шаг2.Бланк заказа NEW'!$B$19:$B$201),'Бланк OLD 0.8 04'!$B$12:$K$200,9,0))),
IF(VLOOKUP($A363-COUNT('Шаг2.Бланк заказа NEW'!$B$19:$B$201)-COUNT('Бланк OLD 0.8 04'!$B$18:$B$200),'Бланк OLD 2.0 04 '!$B$16:$K$200,9,0)="","",VLOOKUP($A363-COUNT('Шаг2.Бланк заказа NEW'!$B$19:$B$201)-COUNT('Бланк OLD 0.8 04'!$B$18:$B$200),'Бланк OLD 2.0 04 '!$B$16:$K$200,9,0)))</f>
        <v/>
      </c>
      <c r="M363" s="154" t="str">
        <f t="shared" ca="1" si="33"/>
        <v/>
      </c>
      <c r="N363" s="153" t="str">
        <f ca="1">IFERROR(IF(VLOOKUP($A363,'Шаг2.Бланк заказа NEW'!$B$17:$N$201,11,0)="","",VLOOKUP($A363,'Шаг2.Бланк заказа NEW'!$B$17:$N$201,11,0)),
"Нет")</f>
        <v/>
      </c>
      <c r="O363" s="147" t="str">
        <f ca="1">IFERROR(IF(VLOOKUP($A363,'Шаг2.Бланк заказа NEW'!$B$17:$N$201,11,0)="","",VLOOKUP($A363,'Шаг2.Бланк заказа NEW'!$B$17:$N$201,12,0)),
"Нет")</f>
        <v/>
      </c>
      <c r="P363" s="153" t="str">
        <f ca="1">IFERROR(IF(VLOOKUP($A363,'Шаг2.Бланк заказа NEW'!$B$17:$N$201,13,0)="","",VLOOKUP($A363,'Шаг2.Бланк заказа NEW'!$B$17:$N$201,13,0)),
"Нет")</f>
        <v/>
      </c>
      <c r="Q363" s="147" t="str">
        <f ca="1">IFERROR(IF(VLOOKUP($A363,'Шаг2.Бланк заказа NEW'!$B$17:$O$201,14,0)="","",VLOOKUP($A363,'Шаг2.Бланк заказа NEW'!$B$17:$O$201,14,0)),"")</f>
        <v/>
      </c>
      <c r="R363" s="147" t="str">
        <f ca="1">IFERROR(IFERROR(IF(VLOOKUP($A363,'Шаг2.Бланк заказа NEW'!$B$17:$N$201,4,0)="","",VLOOKUP($A363,'Шаг2.Бланк заказа NEW'!$B$17:$N$201,4,0)),
IF(VLOOKUP($A363-COUNT('Шаг2.Бланк заказа NEW'!$B$19:$B$201),'Бланк OLD 0.8 04'!$B$12:$K$200,4,0)&gt;0,0.8,
IF(VLOOKUP($A363-COUNT('Шаг2.Бланк заказа NEW'!$B$19:$B$201),'Бланк OLD 0.8 04'!$B$12:$K$200,5,0)&gt;0,0.4,""))),
IF(VLOOKUP($A363-COUNT('Шаг2.Бланк заказа NEW'!$B$19:$B$201)-COUNT('Бланк OLD 0.8 04'!$B$18:$B$200),'Бланк OLD 2.0 04 '!$B$16:$K$200,4,0)&gt;0,2,IF(VLOOKUP($A363-COUNT('Шаг2.Бланк заказа NEW'!$B$19:$B$201)-COUNT('Бланк OLD 0.8 04'!$B$18:$B$200),'Бланк OLD 2.0 04 '!$B$16:$K$200,5,0)&gt;0,0.4,"")))</f>
        <v/>
      </c>
      <c r="S363" s="147" t="str">
        <f ca="1">IFERROR(IFERROR(IF(VLOOKUP($A363,'Шаг2.Бланк заказа NEW'!$B$17:$N$201,5,0)="","",VLOOKUP($A363,'Шаг2.Бланк заказа NEW'!$B$17:$N$201,5,0)),
IF(VLOOKUP($A363-COUNT('Шаг2.Бланк заказа NEW'!$B$19:$B$201),'Бланк OLD 0.8 04'!$B$12:$K$200,4,0)&gt;1,0.8,
IF(VLOOKUP($A363-COUNT('Шаг2.Бланк заказа NEW'!$B$19:$B$201),'Бланк OLD 0.8 04'!$B$12:$K$200,5,0)&gt;1,0.4,
IF(AND(VLOOKUP($A363-COUNT('Шаг2.Бланк заказа NEW'!$B$19:$B$201),'Бланк OLD 0.8 04'!$B$12:$K$200,4,0)&gt;0,VLOOKUP($A363-COUNT('Шаг2.Бланк заказа NEW'!$B$19:$B$201),'Бланк OLD 0.8 04'!$B$12:$K$200,5,0)&gt;0),0.4,"")))),
IF(VLOOKUP($A363-COUNT('Шаг2.Бланк заказа NEW'!$B$19:$B$201)-COUNT('Бланк OLD 0.8 04'!$B$18:$B$200),'Бланк OLD 2.0 04 '!$B$16:$K$200,4,0)&gt;1,2,
IF(VLOOKUP($A363-COUNT('Шаг2.Бланк заказа NEW'!$B$19:$B$201)-COUNT('Бланк OLD 0.8 04'!$B$18:$B$200),'Бланк OLD 2.0 04 '!$B$16:$K$200,5,0)&gt;1,0.4,IF(AND(VLOOKUP($A363-COUNT('Шаг2.Бланк заказа NEW'!$B$19:$B$201)-COUNT('Бланк OLD 0.8 04'!$B$18:$B$200),'Бланк OLD 2.0 04 '!$B$16:$K$200,4,0)&gt;0,VLOOKUP($A363-COUNT('Шаг2.Бланк заказа NEW'!$B$19:$B$201)-COUNT('Бланк OLD 0.8 04'!$B$18:$B$200),'Бланк OLD 2.0 04 '!$B$16:$K$200,5,0)&gt;0),0.4,""))))</f>
        <v/>
      </c>
      <c r="T363" s="147" t="str">
        <f ca="1">IFERROR(IFERROR(IF(VLOOKUP($A363,'Шаг2.Бланк заказа NEW'!$B$17:$N$201,7,0)="","",VLOOKUP($A363,'Шаг2.Бланк заказа NEW'!$B$17:$N$201,7,0)),
IF(VLOOKUP($A363-COUNT('Шаг2.Бланк заказа NEW'!$B$19:$B$201),'Бланк OLD 0.8 04'!$B$12:$K$200,7,0)&gt;0,0.8,
IF(VLOOKUP($A363-COUNT('Шаг2.Бланк заказа NEW'!$B$19:$B$201),'Бланк OLD 0.8 04'!$B$12:$K$200,8,0)&gt;0,0.4,""))),
IF(VLOOKUP($A363-COUNT('Шаг2.Бланк заказа NEW'!$B$19:$B$201)-COUNT('Бланк OLD 0.8 04'!$B$18:$B$200),'Бланк OLD 2.0 04 '!$B$16:$K$200,7,0)&gt;0,2,IF(VLOOKUP($A363-COUNT('Шаг2.Бланк заказа NEW'!$B$19:$B$201)-COUNT('Бланк OLD 0.8 04'!$B$18:$B$200),'Бланк OLD 2.0 04 '!$B$16:$K$200,8,0)&gt;0,0.4,"")))</f>
        <v/>
      </c>
      <c r="U363" s="147" t="str">
        <f ca="1">IFERROR(IFERROR(IF(VLOOKUP($A363,'Шаг2.Бланк заказа NEW'!$B$17:$N$201,8,0)="","",VLOOKUP($A363,'Шаг2.Бланк заказа NEW'!$B$17:$N$201,8,0)),
IF(VLOOKUP($A363-COUNT('Шаг2.Бланк заказа NEW'!$B$19:$B$201),'Бланк OLD 0.8 04'!$B$12:$K$200,7,0)&gt;1,0.8,
IF(VLOOKUP($A363-COUNT('Шаг2.Бланк заказа NEW'!$B$19:$B$201),'Бланк OLD 0.8 04'!$B$12:$K$200,8,0)&gt;1,0.4,
IF(AND(VLOOKUP($A363-COUNT('Шаг2.Бланк заказа NEW'!$B$19:$B$201),'Бланк OLD 0.8 04'!$B$12:$K$200,7,0)&gt;0,VLOOKUP($A363-COUNT('Шаг2.Бланк заказа NEW'!$B$19:$B$201),'Бланк OLD 0.8 04'!$B$12:$K$200,8,0)&gt;0),0.4,"")))),
IF(VLOOKUP($A363-COUNT('Шаг2.Бланк заказа NEW'!$B$19:$B$201)-COUNT('Бланк OLD 0.8 04'!$B$18:$B$200),'Бланк OLD 2.0 04 '!$B$16:$K$200,7,0)&gt;1,2,
IF(VLOOKUP($A363-COUNT('Шаг2.Бланк заказа NEW'!$B$19:$B$201)-COUNT('Бланк OLD 0.8 04'!$B$18:$B$200),'Бланк OLD 2.0 04 '!$B$16:$K$200,8,0)&gt;1,0.4,
IF(AND(VLOOKUP($A363-COUNT('Шаг2.Бланк заказа NEW'!$B$19:$B$201)-COUNT('Бланк OLD 0.8 04'!$B$18:$B$200),'Бланк OLD 2.0 04 '!$B$16:$K$200,7,0)&gt;0,VLOOKUP($A363-COUNT('Шаг2.Бланк заказа NEW'!$B$19:$B$201)-COUNT('Бланк OLD 0.8 04'!$B$18:$B$200),'Бланк OLD 2.0 04 '!$B$16:$K$200,8,0)&gt;0),0.4,""))))</f>
        <v/>
      </c>
      <c r="V363" s="146" t="str">
        <f ca="1">IFERROR(VLOOKUP(C363,'Шаг1.Выбор плиты'!C:S,12,0),"")</f>
        <v/>
      </c>
      <c r="W363" s="146" t="str">
        <f ca="1">IFERROR(VLOOKUP(C363,'Шаг1.Выбор плиты'!C:S,8,0),"")</f>
        <v/>
      </c>
      <c r="X363" s="146" t="str">
        <f ca="1">IFERROR(VLOOKUP(C363,'Шаг1.Выбор плиты'!C:S,10,0),"")</f>
        <v/>
      </c>
      <c r="Y363" s="147" t="str">
        <f t="shared" ca="1" si="28"/>
        <v/>
      </c>
      <c r="AD363" s="147" t="str">
        <f t="shared" ca="1" si="34"/>
        <v/>
      </c>
      <c r="AE363" s="147" t="str">
        <f t="shared" ca="1" si="29"/>
        <v/>
      </c>
      <c r="AF363" s="25"/>
      <c r="AH363" s="147" t="str">
        <f ca="1">IF(C363="","",VLOOKUP(C363,'Шаг1.Выбор плиты'!C:Q,7,0))</f>
        <v/>
      </c>
      <c r="AI363" s="147" t="str">
        <f t="shared" ca="1" si="35"/>
        <v/>
      </c>
    </row>
    <row r="364" spans="1:35" x14ac:dyDescent="0.2">
      <c r="A364" s="151" t="str">
        <f ca="1">IF(C364="","",MAX($A$1:OFFSET(C364,-1,0))+1)</f>
        <v/>
      </c>
      <c r="B364" s="151" t="str">
        <f ca="1">IFERROR(IFERROR(IFERROR("Шаг2.Бланк заказа NEW №"&amp;VLOOKUP(A363+1,CHOOSE({1,2},'Шаг2.Бланк заказа NEW'!$B$19:$B$201,'Шаг2.Бланк заказа NEW'!$A$19:$A$201),1,0),
"Бланк OLD 0.8 04 №"&amp;VLOOKUP(A363+1-COUNT('Шаг2.Бланк заказа NEW'!$B$19:$B$201),CHOOSE({1,2},'Бланк OLD 0.8 04'!$B$18:$B$200,'Бланк OLD 0.8 04'!$A$18:$A$200),1,0)),
"Бланк OLD 2.0 04 №"&amp;VLOOKUP(A363+1-COUNT('Шаг2.Бланк заказа NEW'!$B$19:$B$201)-COUNT('Бланк OLD 0.8 04'!$B$18:$B$200),CHOOSE({1,2},'Бланк OLD 2.0 04 '!$B$18:$B$200,'Бланк OLD 2.0 04 '!$A$18:$A$200),1,0)),"")</f>
        <v/>
      </c>
      <c r="C364" s="152" t="str">
        <f ca="1">IFERROR(IFERROR(IFERROR(VLOOKUP(A363+1,CHOOSE({1,2},'Шаг2.Бланк заказа NEW'!$B$19:$B$201,'Шаг2.Бланк заказа NEW'!$A$19:$A$201),2,0),
VLOOKUP(A363+1-COUNT('Шаг2.Бланк заказа NEW'!$B$19:$B$201),CHOOSE({1,2},'Бланк OLD 0.8 04'!$B$18:$B$200,'Бланк OLD 0.8 04'!$A$18:$A$200),2,0)),
VLOOKUP(A363+1-COUNT('Шаг2.Бланк заказа NEW'!$B$19:$B$201)-COUNT('Бланк OLD 0.8 04'!$B$18:$B$200),CHOOSE({1,2},'Бланк OLD 2.0 04 '!$B$18:$B$200,'Бланк OLD 2.0 04 '!$A$18:$A$200),2,0)),"")</f>
        <v/>
      </c>
      <c r="D364" s="150" t="str">
        <f ca="1">IFERROR(VLOOKUP(C364,'Шаг1.Выбор плиты'!C:G,5,0),"")</f>
        <v/>
      </c>
      <c r="E364" s="147" t="str">
        <f ca="1">IFERROR(IFERROR(IF(VLOOKUP($A364,'Шаг2.Бланк заказа NEW'!$B$17:$N$201,2,0)="","",VLOOKUP($A364,'Шаг2.Бланк заказа NEW'!$B$17:$N$201,2,0)),
IF(VLOOKUP($A364-COUNT('Шаг2.Бланк заказа NEW'!$B$19:$B$201),'Бланк OLD 0.8 04'!$B$12:$K$200,2,0)="","",VLOOKUP($A364-COUNT('Шаг2.Бланк заказа NEW'!$B$19:$B$201),'Бланк OLD 0.8 04'!$B$12:$K$200,2,0))),
IF(VLOOKUP($A364-COUNT('Шаг2.Бланк заказа NEW'!$B$19:$B$201)-COUNT('Бланк OLD 0.8 04'!$B$18:$B$200),'Бланк OLD 2.0 04 '!$B$16:$K$200,2,0)="","",VLOOKUP($A364-COUNT('Шаг2.Бланк заказа NEW'!$B$19:$B$201)-COUNT('Бланк OLD 0.8 04'!$B$18:$B$200),'Бланк OLD 2.0 04 '!$B$16:$K$200,2,0)))</f>
        <v/>
      </c>
      <c r="F364" s="147" t="str">
        <f ca="1">IFERROR(IFERROR(IF(VLOOKUP($A364,'Шаг2.Бланк заказа NEW'!$B$17:$N$201,3,0)="","",VLOOKUP($A364,'Шаг2.Бланк заказа NEW'!$B$17:$N$201,3,0)),
IF(VLOOKUP($A364-COUNT('Шаг2.Бланк заказа NEW'!$B$19:$B$201),'Бланк OLD 0.8 04'!$B$12:$K$200,3,0)="","",VLOOKUP($A364-COUNT('Шаг2.Бланк заказа NEW'!$B$19:$B$201),'Бланк OLD 0.8 04'!$B$12:$K$200,3,0))),
IF(VLOOKUP($A364-COUNT('Шаг2.Бланк заказа NEW'!$B$19:$B$201)-COUNT('Бланк OLD 0.8 04'!$B$18:$B$200),'Бланк OLD 2.0 04 '!$B$16:$K$200,3,0)="","",VLOOKUP($A364-COUNT('Шаг2.Бланк заказа NEW'!$B$19:$B$201)-COUNT('Бланк OLD 0.8 04'!$B$18:$B$200),'Бланк OLD 2.0 04 '!$B$16:$K$200,3,0)))</f>
        <v/>
      </c>
      <c r="G364" s="176" t="str">
        <f ca="1">IF(IF(R364="","",IF(R364=1,SUMIFS('Шаг1.Выбор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плиты'!C:Q,12,0)),1))))))=0,
R364,
IF(R364="","",IF(R364=1,SUMIFS('Шаг1.Выбор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плиты'!N:N,R364,'Шаг1.Выбор плиты'!M:M,SMALL(INDIRECT("мм"&amp;VLOOKUP(C364,'Шаг1.Выбор плиты'!C:Q,12,0)),1)))))))</f>
        <v/>
      </c>
      <c r="H364" s="177" t="str">
        <f ca="1">IF(IF(S364="","",IF(S364=1,SUMIFS('Шаг1.Выбор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плиты'!C:Q,12,0)),1))))))=0,
S364,
IF(S364="","",IF(S364=1,SUMIFS('Шаг1.Выбор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плиты'!N:N,S364,'Шаг1.Выбор плиты'!M:M,SMALL(INDIRECT("мм"&amp;VLOOKUP(C364,'Шаг1.Выбор плиты'!C:Q,12,0)),1)))))))</f>
        <v/>
      </c>
      <c r="I364" s="147" t="str">
        <f ca="1">IFERROR(IFERROR(IF(VLOOKUP($A364,'Шаг2.Бланк заказа NEW'!$B$17:$N$201,6,0)="","",VLOOKUP($A364,'Шаг2.Бланк заказа NEW'!$B$17:$N$201,6,0)),
IF(VLOOKUP($A364-COUNT('Шаг2.Бланк заказа NEW'!$B$19:$B$201),'Бланк OLD 0.8 04'!$B$12:$K$200,6,0)="","",VLOOKUP($A364-COUNT('Шаг2.Бланк заказа NEW'!$B$19:$B$201),'Бланк OLD 0.8 04'!$B$12:$K$200,6,0))),
IF(VLOOKUP($A364-COUNT('Шаг2.Бланк заказа NEW'!$B$19:$B$201)-COUNT('Бланк OLD 0.8 04'!$B$18:$B$200),'Бланк OLD 2.0 04 '!$B$16:$K$200,6,0)="","",VLOOKUP($A364-COUNT('Шаг2.Бланк заказа NEW'!$B$19:$B$201)-COUNT('Бланк OLD 0.8 04'!$B$18:$B$200),'Бланк OLD 2.0 04 '!$B$16:$K$200,6,0)))</f>
        <v/>
      </c>
      <c r="J364" s="177" t="str">
        <f ca="1">IF(IF(T364="","",IF(T364=1,SUMIFS('Шаг1.Выбор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плиты'!C:Q,12,0)),1))))))=0,
T364,
IF(T364="","",IF(T364=1,SUMIFS('Шаг1.Выбор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плиты'!N:N,T364,'Шаг1.Выбор плиты'!M:M,SMALL(INDIRECT("мм"&amp;VLOOKUP(C364,'Шаг1.Выбор плиты'!C:Q,12,0)),1)))))))</f>
        <v/>
      </c>
      <c r="K364" s="177" t="str">
        <f ca="1">IF(IF(U364="","",IF(U364=1,SUMIFS('Шаг1.Выбор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плиты'!C:Q,12,0)),1))))))=0,
U364,
IF(U364="","",IF(U364=1,SUMIFS('Шаг1.Выбор плиты'!$G:$G,'Шаг1.Выбор плиты'!J:J,"*"&amp;RIGHT(VLOOKUP(C364,'Шаг1.Выбор плиты'!C:Q,8,0),4),'Шаг1.Выбор плиты'!L:L,IF(MID(C364,1,6)="ЛДСП P","TM"&amp;MID(VLOOKUP(C364,'Шаг1.Выбор плиты'!C:Q,10,0),3,2),MID(VLOOKUP(C364,'Шаг1.Выбор плиты'!C:Q,10,0),1,2)),
'Шаг1.Выбор плиты'!N:N,1),IF(SUMIFS('Шаг1.Выбор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плиты'!C:Q,12,0)),1))=0,
IF(SUMIFS('Шаг1.Выбор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плиты'!C:Q,12,0)),2))=0,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плиты'!C:Q,12,0)),3)),
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плиты'!C:Q,12,0)),2))),
(SUMIFS('Шаг1.Выбор плиты'!$G:$G,'Шаг1.Выбор плиты'!J:J,"*"&amp;RIGHT(VLOOKUP(C364,'Шаг1.Выбор плиты'!C:Q,8,0),4),'Шаг1.Выбор плиты'!L:L,VLOOKUP(C364,'Шаг1.Выбор плиты'!C:Q,10,0),'Шаг1.Выбор плиты'!N:N,U364,'Шаг1.Выбор плиты'!M:M,SMALL(INDIRECT("мм"&amp;VLOOKUP(C364,'Шаг1.Выбор плиты'!C:Q,12,0)),1)))))))</f>
        <v/>
      </c>
      <c r="L364" s="147" t="str">
        <f ca="1">IFERROR(IFERROR(IF(VLOOKUP($A364,'Шаг2.Бланк заказа NEW'!$B$17:$N$201,9,0)="","",VLOOKUP($A364,'Шаг2.Бланк заказа NEW'!$B$17:$N$201,9,0)),
IF(VLOOKUP($A364-COUNT('Шаг2.Бланк заказа NEW'!$B$19:$B$201),'Бланк OLD 0.8 04'!$B$12:$K$200,9,0)="","",VLOOKUP($A364-COUNT('Шаг2.Бланк заказа NEW'!$B$19:$B$201),'Бланк OLD 0.8 04'!$B$12:$K$200,9,0))),
IF(VLOOKUP($A364-COUNT('Шаг2.Бланк заказа NEW'!$B$19:$B$201)-COUNT('Бланк OLD 0.8 04'!$B$18:$B$200),'Бланк OLD 2.0 04 '!$B$16:$K$200,9,0)="","",VLOOKUP($A364-COUNT('Шаг2.Бланк заказа NEW'!$B$19:$B$201)-COUNT('Бланк OLD 0.8 04'!$B$18:$B$200),'Бланк OLD 2.0 04 '!$B$16:$K$200,9,0)))</f>
        <v/>
      </c>
      <c r="M364" s="154" t="str">
        <f t="shared" ca="1" si="33"/>
        <v/>
      </c>
      <c r="N364" s="153" t="str">
        <f ca="1">IFERROR(IF(VLOOKUP($A364,'Шаг2.Бланк заказа NEW'!$B$17:$N$201,11,0)="","",VLOOKUP($A364,'Шаг2.Бланк заказа NEW'!$B$17:$N$201,11,0)),
"Нет")</f>
        <v/>
      </c>
      <c r="O364" s="147" t="str">
        <f ca="1">IFERROR(IF(VLOOKUP($A364,'Шаг2.Бланк заказа NEW'!$B$17:$N$201,11,0)="","",VLOOKUP($A364,'Шаг2.Бланк заказа NEW'!$B$17:$N$201,12,0)),
"Нет")</f>
        <v/>
      </c>
      <c r="P364" s="153" t="str">
        <f ca="1">IFERROR(IF(VLOOKUP($A364,'Шаг2.Бланк заказа NEW'!$B$17:$N$201,13,0)="","",VLOOKUP($A364,'Шаг2.Бланк заказа NEW'!$B$17:$N$201,13,0)),
"Нет")</f>
        <v/>
      </c>
      <c r="Q364" s="147" t="str">
        <f ca="1">IFERROR(IF(VLOOKUP($A364,'Шаг2.Бланк заказа NEW'!$B$17:$O$201,14,0)="","",VLOOKUP($A364,'Шаг2.Бланк заказа NEW'!$B$17:$O$201,14,0)),"")</f>
        <v/>
      </c>
      <c r="R364" s="147" t="str">
        <f ca="1">IFERROR(IFERROR(IF(VLOOKUP($A364,'Шаг2.Бланк заказа NEW'!$B$17:$N$201,4,0)="","",VLOOKUP($A364,'Шаг2.Бланк заказа NEW'!$B$17:$N$201,4,0)),
IF(VLOOKUP($A364-COUNT('Шаг2.Бланк заказа NEW'!$B$19:$B$201),'Бланк OLD 0.8 04'!$B$12:$K$200,4,0)&gt;0,0.8,
IF(VLOOKUP($A364-COUNT('Шаг2.Бланк заказа NEW'!$B$19:$B$201),'Бланк OLD 0.8 04'!$B$12:$K$200,5,0)&gt;0,0.4,""))),
IF(VLOOKUP($A364-COUNT('Шаг2.Бланк заказа NEW'!$B$19:$B$201)-COUNT('Бланк OLD 0.8 04'!$B$18:$B$200),'Бланк OLD 2.0 04 '!$B$16:$K$200,4,0)&gt;0,2,IF(VLOOKUP($A364-COUNT('Шаг2.Бланк заказа NEW'!$B$19:$B$201)-COUNT('Бланк OLD 0.8 04'!$B$18:$B$200),'Бланк OLD 2.0 04 '!$B$16:$K$200,5,0)&gt;0,0.4,"")))</f>
        <v/>
      </c>
      <c r="S364" s="147" t="str">
        <f ca="1">IFERROR(IFERROR(IF(VLOOKUP($A364,'Шаг2.Бланк заказа NEW'!$B$17:$N$201,5,0)="","",VLOOKUP($A364,'Шаг2.Бланк заказа NEW'!$B$17:$N$201,5,0)),
IF(VLOOKUP($A364-COUNT('Шаг2.Бланк заказа NEW'!$B$19:$B$201),'Бланк OLD 0.8 04'!$B$12:$K$200,4,0)&gt;1,0.8,
IF(VLOOKUP($A364-COUNT('Шаг2.Бланк заказа NEW'!$B$19:$B$201),'Бланк OLD 0.8 04'!$B$12:$K$200,5,0)&gt;1,0.4,
IF(AND(VLOOKUP($A364-COUNT('Шаг2.Бланк заказа NEW'!$B$19:$B$201),'Бланк OLD 0.8 04'!$B$12:$K$200,4,0)&gt;0,VLOOKUP($A364-COUNT('Шаг2.Бланк заказа NEW'!$B$19:$B$201),'Бланк OLD 0.8 04'!$B$12:$K$200,5,0)&gt;0),0.4,"")))),
IF(VLOOKUP($A364-COUNT('Шаг2.Бланк заказа NEW'!$B$19:$B$201)-COUNT('Бланк OLD 0.8 04'!$B$18:$B$200),'Бланк OLD 2.0 04 '!$B$16:$K$200,4,0)&gt;1,2,
IF(VLOOKUP($A364-COUNT('Шаг2.Бланк заказа NEW'!$B$19:$B$201)-COUNT('Бланк OLD 0.8 04'!$B$18:$B$200),'Бланк OLD 2.0 04 '!$B$16:$K$200,5,0)&gt;1,0.4,IF(AND(VLOOKUP($A364-COUNT('Шаг2.Бланк заказа NEW'!$B$19:$B$201)-COUNT('Бланк OLD 0.8 04'!$B$18:$B$200),'Бланк OLD 2.0 04 '!$B$16:$K$200,4,0)&gt;0,VLOOKUP($A364-COUNT('Шаг2.Бланк заказа NEW'!$B$19:$B$201)-COUNT('Бланк OLD 0.8 04'!$B$18:$B$200),'Бланк OLD 2.0 04 '!$B$16:$K$200,5,0)&gt;0),0.4,""))))</f>
        <v/>
      </c>
      <c r="T364" s="147" t="str">
        <f ca="1">IFERROR(IFERROR(IF(VLOOKUP($A364,'Шаг2.Бланк заказа NEW'!$B$17:$N$201,7,0)="","",VLOOKUP($A364,'Шаг2.Бланк заказа NEW'!$B$17:$N$201,7,0)),
IF(VLOOKUP($A364-COUNT('Шаг2.Бланк заказа NEW'!$B$19:$B$201),'Бланк OLD 0.8 04'!$B$12:$K$200,7,0)&gt;0,0.8,
IF(VLOOKUP($A364-COUNT('Шаг2.Бланк заказа NEW'!$B$19:$B$201),'Бланк OLD 0.8 04'!$B$12:$K$200,8,0)&gt;0,0.4,""))),
IF(VLOOKUP($A364-COUNT('Шаг2.Бланк заказа NEW'!$B$19:$B$201)-COUNT('Бланк OLD 0.8 04'!$B$18:$B$200),'Бланк OLD 2.0 04 '!$B$16:$K$200,7,0)&gt;0,2,IF(VLOOKUP($A364-COUNT('Шаг2.Бланк заказа NEW'!$B$19:$B$201)-COUNT('Бланк OLD 0.8 04'!$B$18:$B$200),'Бланк OLD 2.0 04 '!$B$16:$K$200,8,0)&gt;0,0.4,"")))</f>
        <v/>
      </c>
      <c r="U364" s="147" t="str">
        <f ca="1">IFERROR(IFERROR(IF(VLOOKUP($A364,'Шаг2.Бланк заказа NEW'!$B$17:$N$201,8,0)="","",VLOOKUP($A364,'Шаг2.Бланк заказа NEW'!$B$17:$N$201,8,0)),
IF(VLOOKUP($A364-COUNT('Шаг2.Бланк заказа NEW'!$B$19:$B$201),'Бланк OLD 0.8 04'!$B$12:$K$200,7,0)&gt;1,0.8,
IF(VLOOKUP($A364-COUNT('Шаг2.Бланк заказа NEW'!$B$19:$B$201),'Бланк OLD 0.8 04'!$B$12:$K$200,8,0)&gt;1,0.4,
IF(AND(VLOOKUP($A364-COUNT('Шаг2.Бланк заказа NEW'!$B$19:$B$201),'Бланк OLD 0.8 04'!$B$12:$K$200,7,0)&gt;0,VLOOKUP($A364-COUNT('Шаг2.Бланк заказа NEW'!$B$19:$B$201),'Бланк OLD 0.8 04'!$B$12:$K$200,8,0)&gt;0),0.4,"")))),
IF(VLOOKUP($A364-COUNT('Шаг2.Бланк заказа NEW'!$B$19:$B$201)-COUNT('Бланк OLD 0.8 04'!$B$18:$B$200),'Бланк OLD 2.0 04 '!$B$16:$K$200,7,0)&gt;1,2,
IF(VLOOKUP($A364-COUNT('Шаг2.Бланк заказа NEW'!$B$19:$B$201)-COUNT('Бланк OLD 0.8 04'!$B$18:$B$200),'Бланк OLD 2.0 04 '!$B$16:$K$200,8,0)&gt;1,0.4,
IF(AND(VLOOKUP($A364-COUNT('Шаг2.Бланк заказа NEW'!$B$19:$B$201)-COUNT('Бланк OLD 0.8 04'!$B$18:$B$200),'Бланк OLD 2.0 04 '!$B$16:$K$200,7,0)&gt;0,VLOOKUP($A364-COUNT('Шаг2.Бланк заказа NEW'!$B$19:$B$201)-COUNT('Бланк OLD 0.8 04'!$B$18:$B$200),'Бланк OLD 2.0 04 '!$B$16:$K$200,8,0)&gt;0),0.4,""))))</f>
        <v/>
      </c>
      <c r="V364" s="146" t="str">
        <f ca="1">IFERROR(VLOOKUP(C364,'Шаг1.Выбор плиты'!C:S,12,0),"")</f>
        <v/>
      </c>
      <c r="W364" s="146" t="str">
        <f ca="1">IFERROR(VLOOKUP(C364,'Шаг1.Выбор плиты'!C:S,8,0),"")</f>
        <v/>
      </c>
      <c r="X364" s="146" t="str">
        <f ca="1">IFERROR(VLOOKUP(C364,'Шаг1.Выбор плиты'!C:S,10,0),"")</f>
        <v/>
      </c>
      <c r="Y364" s="147" t="str">
        <f t="shared" ca="1" si="28"/>
        <v/>
      </c>
      <c r="AD364" s="147" t="str">
        <f t="shared" ca="1" si="34"/>
        <v/>
      </c>
      <c r="AE364" s="147" t="str">
        <f t="shared" ca="1" si="29"/>
        <v/>
      </c>
      <c r="AF364" s="25"/>
      <c r="AH364" s="147" t="str">
        <f ca="1">IF(C364="","",VLOOKUP(C364,'Шаг1.Выбор плиты'!C:Q,7,0))</f>
        <v/>
      </c>
      <c r="AI364" s="147" t="str">
        <f t="shared" ca="1" si="35"/>
        <v/>
      </c>
    </row>
    <row r="365" spans="1:35" x14ac:dyDescent="0.2">
      <c r="A365" s="151" t="str">
        <f ca="1">IF(C365="","",MAX($A$1:OFFSET(C365,-1,0))+1)</f>
        <v/>
      </c>
      <c r="B365" s="151" t="str">
        <f ca="1">IFERROR(IFERROR(IFERROR("Шаг2.Бланк заказа NEW №"&amp;VLOOKUP(A364+1,CHOOSE({1,2},'Шаг2.Бланк заказа NEW'!$B$19:$B$201,'Шаг2.Бланк заказа NEW'!$A$19:$A$201),1,0),
"Бланк OLD 0.8 04 №"&amp;VLOOKUP(A364+1-COUNT('Шаг2.Бланк заказа NEW'!$B$19:$B$201),CHOOSE({1,2},'Бланк OLD 0.8 04'!$B$18:$B$200,'Бланк OLD 0.8 04'!$A$18:$A$200),1,0)),
"Бланк OLD 2.0 04 №"&amp;VLOOKUP(A364+1-COUNT('Шаг2.Бланк заказа NEW'!$B$19:$B$201)-COUNT('Бланк OLD 0.8 04'!$B$18:$B$200),CHOOSE({1,2},'Бланк OLD 2.0 04 '!$B$18:$B$200,'Бланк OLD 2.0 04 '!$A$18:$A$200),1,0)),"")</f>
        <v/>
      </c>
      <c r="C365" s="152" t="str">
        <f ca="1">IFERROR(IFERROR(IFERROR(VLOOKUP(A364+1,CHOOSE({1,2},'Шаг2.Бланк заказа NEW'!$B$19:$B$201,'Шаг2.Бланк заказа NEW'!$A$19:$A$201),2,0),
VLOOKUP(A364+1-COUNT('Шаг2.Бланк заказа NEW'!$B$19:$B$201),CHOOSE({1,2},'Бланк OLD 0.8 04'!$B$18:$B$200,'Бланк OLD 0.8 04'!$A$18:$A$200),2,0)),
VLOOKUP(A364+1-COUNT('Шаг2.Бланк заказа NEW'!$B$19:$B$201)-COUNT('Бланк OLD 0.8 04'!$B$18:$B$200),CHOOSE({1,2},'Бланк OLD 2.0 04 '!$B$18:$B$200,'Бланк OLD 2.0 04 '!$A$18:$A$200),2,0)),"")</f>
        <v/>
      </c>
      <c r="D365" s="150" t="str">
        <f ca="1">IFERROR(VLOOKUP(C365,'Шаг1.Выбор плиты'!C:G,5,0),"")</f>
        <v/>
      </c>
      <c r="E365" s="147" t="str">
        <f ca="1">IFERROR(IFERROR(IF(VLOOKUP($A365,'Шаг2.Бланк заказа NEW'!$B$17:$N$201,2,0)="","",VLOOKUP($A365,'Шаг2.Бланк заказа NEW'!$B$17:$N$201,2,0)),
IF(VLOOKUP($A365-COUNT('Шаг2.Бланк заказа NEW'!$B$19:$B$201),'Бланк OLD 0.8 04'!$B$12:$K$200,2,0)="","",VLOOKUP($A365-COUNT('Шаг2.Бланк заказа NEW'!$B$19:$B$201),'Бланк OLD 0.8 04'!$B$12:$K$200,2,0))),
IF(VLOOKUP($A365-COUNT('Шаг2.Бланк заказа NEW'!$B$19:$B$201)-COUNT('Бланк OLD 0.8 04'!$B$18:$B$200),'Бланк OLD 2.0 04 '!$B$16:$K$200,2,0)="","",VLOOKUP($A365-COUNT('Шаг2.Бланк заказа NEW'!$B$19:$B$201)-COUNT('Бланк OLD 0.8 04'!$B$18:$B$200),'Бланк OLD 2.0 04 '!$B$16:$K$200,2,0)))</f>
        <v/>
      </c>
      <c r="F365" s="147" t="str">
        <f ca="1">IFERROR(IFERROR(IF(VLOOKUP($A365,'Шаг2.Бланк заказа NEW'!$B$17:$N$201,3,0)="","",VLOOKUP($A365,'Шаг2.Бланк заказа NEW'!$B$17:$N$201,3,0)),
IF(VLOOKUP($A365-COUNT('Шаг2.Бланк заказа NEW'!$B$19:$B$201),'Бланк OLD 0.8 04'!$B$12:$K$200,3,0)="","",VLOOKUP($A365-COUNT('Шаг2.Бланк заказа NEW'!$B$19:$B$201),'Бланк OLD 0.8 04'!$B$12:$K$200,3,0))),
IF(VLOOKUP($A365-COUNT('Шаг2.Бланк заказа NEW'!$B$19:$B$201)-COUNT('Бланк OLD 0.8 04'!$B$18:$B$200),'Бланк OLD 2.0 04 '!$B$16:$K$200,3,0)="","",VLOOKUP($A365-COUNT('Шаг2.Бланк заказа NEW'!$B$19:$B$201)-COUNT('Бланк OLD 0.8 04'!$B$18:$B$200),'Бланк OLD 2.0 04 '!$B$16:$K$200,3,0)))</f>
        <v/>
      </c>
      <c r="G365" s="176" t="str">
        <f ca="1">IF(IF(R365="","",IF(R365=1,SUMIFS('Шаг1.Выбор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плиты'!C:Q,12,0)),1))))))=0,
R365,
IF(R365="","",IF(R365=1,SUMIFS('Шаг1.Выбор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плиты'!N:N,R365,'Шаг1.Выбор плиты'!M:M,SMALL(INDIRECT("мм"&amp;VLOOKUP(C365,'Шаг1.Выбор плиты'!C:Q,12,0)),1)))))))</f>
        <v/>
      </c>
      <c r="H365" s="177" t="str">
        <f ca="1">IF(IF(S365="","",IF(S365=1,SUMIFS('Шаг1.Выбор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плиты'!C:Q,12,0)),1))))))=0,
S365,
IF(S365="","",IF(S365=1,SUMIFS('Шаг1.Выбор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плиты'!N:N,S365,'Шаг1.Выбор плиты'!M:M,SMALL(INDIRECT("мм"&amp;VLOOKUP(C365,'Шаг1.Выбор плиты'!C:Q,12,0)),1)))))))</f>
        <v/>
      </c>
      <c r="I365" s="147" t="str">
        <f ca="1">IFERROR(IFERROR(IF(VLOOKUP($A365,'Шаг2.Бланк заказа NEW'!$B$17:$N$201,6,0)="","",VLOOKUP($A365,'Шаг2.Бланк заказа NEW'!$B$17:$N$201,6,0)),
IF(VLOOKUP($A365-COUNT('Шаг2.Бланк заказа NEW'!$B$19:$B$201),'Бланк OLD 0.8 04'!$B$12:$K$200,6,0)="","",VLOOKUP($A365-COUNT('Шаг2.Бланк заказа NEW'!$B$19:$B$201),'Бланк OLD 0.8 04'!$B$12:$K$200,6,0))),
IF(VLOOKUP($A365-COUNT('Шаг2.Бланк заказа NEW'!$B$19:$B$201)-COUNT('Бланк OLD 0.8 04'!$B$18:$B$200),'Бланк OLD 2.0 04 '!$B$16:$K$200,6,0)="","",VLOOKUP($A365-COUNT('Шаг2.Бланк заказа NEW'!$B$19:$B$201)-COUNT('Бланк OLD 0.8 04'!$B$18:$B$200),'Бланк OLD 2.0 04 '!$B$16:$K$200,6,0)))</f>
        <v/>
      </c>
      <c r="J365" s="177" t="str">
        <f ca="1">IF(IF(T365="","",IF(T365=1,SUMIFS('Шаг1.Выбор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плиты'!C:Q,12,0)),1))))))=0,
T365,
IF(T365="","",IF(T365=1,SUMIFS('Шаг1.Выбор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плиты'!N:N,T365,'Шаг1.Выбор плиты'!M:M,SMALL(INDIRECT("мм"&amp;VLOOKUP(C365,'Шаг1.Выбор плиты'!C:Q,12,0)),1)))))))</f>
        <v/>
      </c>
      <c r="K365" s="177" t="str">
        <f ca="1">IF(IF(U365="","",IF(U365=1,SUMIFS('Шаг1.Выбор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плиты'!C:Q,12,0)),1))))))=0,
U365,
IF(U365="","",IF(U365=1,SUMIFS('Шаг1.Выбор плиты'!$G:$G,'Шаг1.Выбор плиты'!J:J,"*"&amp;RIGHT(VLOOKUP(C365,'Шаг1.Выбор плиты'!C:Q,8,0),4),'Шаг1.Выбор плиты'!L:L,IF(MID(C365,1,6)="ЛДСП P","TM"&amp;MID(VLOOKUP(C365,'Шаг1.Выбор плиты'!C:Q,10,0),3,2),MID(VLOOKUP(C365,'Шаг1.Выбор плиты'!C:Q,10,0),1,2)),
'Шаг1.Выбор плиты'!N:N,1),IF(SUMIFS('Шаг1.Выбор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плиты'!C:Q,12,0)),1))=0,
IF(SUMIFS('Шаг1.Выбор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плиты'!C:Q,12,0)),2))=0,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плиты'!C:Q,12,0)),3)),
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плиты'!C:Q,12,0)),2))),
(SUMIFS('Шаг1.Выбор плиты'!$G:$G,'Шаг1.Выбор плиты'!J:J,"*"&amp;RIGHT(VLOOKUP(C365,'Шаг1.Выбор плиты'!C:Q,8,0),4),'Шаг1.Выбор плиты'!L:L,VLOOKUP(C365,'Шаг1.Выбор плиты'!C:Q,10,0),'Шаг1.Выбор плиты'!N:N,U365,'Шаг1.Выбор плиты'!M:M,SMALL(INDIRECT("мм"&amp;VLOOKUP(C365,'Шаг1.Выбор плиты'!C:Q,12,0)),1)))))))</f>
        <v/>
      </c>
      <c r="L365" s="147" t="str">
        <f ca="1">IFERROR(IFERROR(IF(VLOOKUP($A365,'Шаг2.Бланк заказа NEW'!$B$17:$N$201,9,0)="","",VLOOKUP($A365,'Шаг2.Бланк заказа NEW'!$B$17:$N$201,9,0)),
IF(VLOOKUP($A365-COUNT('Шаг2.Бланк заказа NEW'!$B$19:$B$201),'Бланк OLD 0.8 04'!$B$12:$K$200,9,0)="","",VLOOKUP($A365-COUNT('Шаг2.Бланк заказа NEW'!$B$19:$B$201),'Бланк OLD 0.8 04'!$B$12:$K$200,9,0))),
IF(VLOOKUP($A365-COUNT('Шаг2.Бланк заказа NEW'!$B$19:$B$201)-COUNT('Бланк OLD 0.8 04'!$B$18:$B$200),'Бланк OLD 2.0 04 '!$B$16:$K$200,9,0)="","",VLOOKUP($A365-COUNT('Шаг2.Бланк заказа NEW'!$B$19:$B$201)-COUNT('Бланк OLD 0.8 04'!$B$18:$B$200),'Бланк OLD 2.0 04 '!$B$16:$K$200,9,0)))</f>
        <v/>
      </c>
      <c r="M365" s="154" t="str">
        <f t="shared" ca="1" si="33"/>
        <v/>
      </c>
      <c r="N365" s="153" t="str">
        <f ca="1">IFERROR(IF(VLOOKUP($A365,'Шаг2.Бланк заказа NEW'!$B$17:$N$201,11,0)="","",VLOOKUP($A365,'Шаг2.Бланк заказа NEW'!$B$17:$N$201,11,0)),
"Нет")</f>
        <v/>
      </c>
      <c r="O365" s="147" t="str">
        <f ca="1">IFERROR(IF(VLOOKUP($A365,'Шаг2.Бланк заказа NEW'!$B$17:$N$201,11,0)="","",VLOOKUP($A365,'Шаг2.Бланк заказа NEW'!$B$17:$N$201,12,0)),
"Нет")</f>
        <v/>
      </c>
      <c r="P365" s="153" t="str">
        <f ca="1">IFERROR(IF(VLOOKUP($A365,'Шаг2.Бланк заказа NEW'!$B$17:$N$201,13,0)="","",VLOOKUP($A365,'Шаг2.Бланк заказа NEW'!$B$17:$N$201,13,0)),
"Нет")</f>
        <v/>
      </c>
      <c r="Q365" s="147" t="str">
        <f ca="1">IFERROR(IF(VLOOKUP($A365,'Шаг2.Бланк заказа NEW'!$B$17:$O$201,14,0)="","",VLOOKUP($A365,'Шаг2.Бланк заказа NEW'!$B$17:$O$201,14,0)),"")</f>
        <v/>
      </c>
      <c r="R365" s="147" t="str">
        <f ca="1">IFERROR(IFERROR(IF(VLOOKUP($A365,'Шаг2.Бланк заказа NEW'!$B$17:$N$201,4,0)="","",VLOOKUP($A365,'Шаг2.Бланк заказа NEW'!$B$17:$N$201,4,0)),
IF(VLOOKUP($A365-COUNT('Шаг2.Бланк заказа NEW'!$B$19:$B$201),'Бланк OLD 0.8 04'!$B$12:$K$200,4,0)&gt;0,0.8,
IF(VLOOKUP($A365-COUNT('Шаг2.Бланк заказа NEW'!$B$19:$B$201),'Бланк OLD 0.8 04'!$B$12:$K$200,5,0)&gt;0,0.4,""))),
IF(VLOOKUP($A365-COUNT('Шаг2.Бланк заказа NEW'!$B$19:$B$201)-COUNT('Бланк OLD 0.8 04'!$B$18:$B$200),'Бланк OLD 2.0 04 '!$B$16:$K$200,4,0)&gt;0,2,IF(VLOOKUP($A365-COUNT('Шаг2.Бланк заказа NEW'!$B$19:$B$201)-COUNT('Бланк OLD 0.8 04'!$B$18:$B$200),'Бланк OLD 2.0 04 '!$B$16:$K$200,5,0)&gt;0,0.4,"")))</f>
        <v/>
      </c>
      <c r="S365" s="147" t="str">
        <f ca="1">IFERROR(IFERROR(IF(VLOOKUP($A365,'Шаг2.Бланк заказа NEW'!$B$17:$N$201,5,0)="","",VLOOKUP($A365,'Шаг2.Бланк заказа NEW'!$B$17:$N$201,5,0)),
IF(VLOOKUP($A365-COUNT('Шаг2.Бланк заказа NEW'!$B$19:$B$201),'Бланк OLD 0.8 04'!$B$12:$K$200,4,0)&gt;1,0.8,
IF(VLOOKUP($A365-COUNT('Шаг2.Бланк заказа NEW'!$B$19:$B$201),'Бланк OLD 0.8 04'!$B$12:$K$200,5,0)&gt;1,0.4,
IF(AND(VLOOKUP($A365-COUNT('Шаг2.Бланк заказа NEW'!$B$19:$B$201),'Бланк OLD 0.8 04'!$B$12:$K$200,4,0)&gt;0,VLOOKUP($A365-COUNT('Шаг2.Бланк заказа NEW'!$B$19:$B$201),'Бланк OLD 0.8 04'!$B$12:$K$200,5,0)&gt;0),0.4,"")))),
IF(VLOOKUP($A365-COUNT('Шаг2.Бланк заказа NEW'!$B$19:$B$201)-COUNT('Бланк OLD 0.8 04'!$B$18:$B$200),'Бланк OLD 2.0 04 '!$B$16:$K$200,4,0)&gt;1,2,
IF(VLOOKUP($A365-COUNT('Шаг2.Бланк заказа NEW'!$B$19:$B$201)-COUNT('Бланк OLD 0.8 04'!$B$18:$B$200),'Бланк OLD 2.0 04 '!$B$16:$K$200,5,0)&gt;1,0.4,IF(AND(VLOOKUP($A365-COUNT('Шаг2.Бланк заказа NEW'!$B$19:$B$201)-COUNT('Бланк OLD 0.8 04'!$B$18:$B$200),'Бланк OLD 2.0 04 '!$B$16:$K$200,4,0)&gt;0,VLOOKUP($A365-COUNT('Шаг2.Бланк заказа NEW'!$B$19:$B$201)-COUNT('Бланк OLD 0.8 04'!$B$18:$B$200),'Бланк OLD 2.0 04 '!$B$16:$K$200,5,0)&gt;0),0.4,""))))</f>
        <v/>
      </c>
      <c r="T365" s="147" t="str">
        <f ca="1">IFERROR(IFERROR(IF(VLOOKUP($A365,'Шаг2.Бланк заказа NEW'!$B$17:$N$201,7,0)="","",VLOOKUP($A365,'Шаг2.Бланк заказа NEW'!$B$17:$N$201,7,0)),
IF(VLOOKUP($A365-COUNT('Шаг2.Бланк заказа NEW'!$B$19:$B$201),'Бланк OLD 0.8 04'!$B$12:$K$200,7,0)&gt;0,0.8,
IF(VLOOKUP($A365-COUNT('Шаг2.Бланк заказа NEW'!$B$19:$B$201),'Бланк OLD 0.8 04'!$B$12:$K$200,8,0)&gt;0,0.4,""))),
IF(VLOOKUP($A365-COUNT('Шаг2.Бланк заказа NEW'!$B$19:$B$201)-COUNT('Бланк OLD 0.8 04'!$B$18:$B$200),'Бланк OLD 2.0 04 '!$B$16:$K$200,7,0)&gt;0,2,IF(VLOOKUP($A365-COUNT('Шаг2.Бланк заказа NEW'!$B$19:$B$201)-COUNT('Бланк OLD 0.8 04'!$B$18:$B$200),'Бланк OLD 2.0 04 '!$B$16:$K$200,8,0)&gt;0,0.4,"")))</f>
        <v/>
      </c>
      <c r="U365" s="147" t="str">
        <f ca="1">IFERROR(IFERROR(IF(VLOOKUP($A365,'Шаг2.Бланк заказа NEW'!$B$17:$N$201,8,0)="","",VLOOKUP($A365,'Шаг2.Бланк заказа NEW'!$B$17:$N$201,8,0)),
IF(VLOOKUP($A365-COUNT('Шаг2.Бланк заказа NEW'!$B$19:$B$201),'Бланк OLD 0.8 04'!$B$12:$K$200,7,0)&gt;1,0.8,
IF(VLOOKUP($A365-COUNT('Шаг2.Бланк заказа NEW'!$B$19:$B$201),'Бланк OLD 0.8 04'!$B$12:$K$200,8,0)&gt;1,0.4,
IF(AND(VLOOKUP($A365-COUNT('Шаг2.Бланк заказа NEW'!$B$19:$B$201),'Бланк OLD 0.8 04'!$B$12:$K$200,7,0)&gt;0,VLOOKUP($A365-COUNT('Шаг2.Бланк заказа NEW'!$B$19:$B$201),'Бланк OLD 0.8 04'!$B$12:$K$200,8,0)&gt;0),0.4,"")))),
IF(VLOOKUP($A365-COUNT('Шаг2.Бланк заказа NEW'!$B$19:$B$201)-COUNT('Бланк OLD 0.8 04'!$B$18:$B$200),'Бланк OLD 2.0 04 '!$B$16:$K$200,7,0)&gt;1,2,
IF(VLOOKUP($A365-COUNT('Шаг2.Бланк заказа NEW'!$B$19:$B$201)-COUNT('Бланк OLD 0.8 04'!$B$18:$B$200),'Бланк OLD 2.0 04 '!$B$16:$K$200,8,0)&gt;1,0.4,
IF(AND(VLOOKUP($A365-COUNT('Шаг2.Бланк заказа NEW'!$B$19:$B$201)-COUNT('Бланк OLD 0.8 04'!$B$18:$B$200),'Бланк OLD 2.0 04 '!$B$16:$K$200,7,0)&gt;0,VLOOKUP($A365-COUNT('Шаг2.Бланк заказа NEW'!$B$19:$B$201)-COUNT('Бланк OLD 0.8 04'!$B$18:$B$200),'Бланк OLD 2.0 04 '!$B$16:$K$200,8,0)&gt;0),0.4,""))))</f>
        <v/>
      </c>
      <c r="V365" s="146" t="str">
        <f ca="1">IFERROR(VLOOKUP(C365,'Шаг1.Выбор плиты'!C:S,12,0),"")</f>
        <v/>
      </c>
      <c r="W365" s="146" t="str">
        <f ca="1">IFERROR(VLOOKUP(C365,'Шаг1.Выбор плиты'!C:S,8,0),"")</f>
        <v/>
      </c>
      <c r="X365" s="146" t="str">
        <f ca="1">IFERROR(VLOOKUP(C365,'Шаг1.Выбор плиты'!C:S,10,0),"")</f>
        <v/>
      </c>
      <c r="Y365" s="147" t="str">
        <f t="shared" ca="1" si="28"/>
        <v/>
      </c>
      <c r="AD365" s="147" t="str">
        <f t="shared" ca="1" si="34"/>
        <v/>
      </c>
      <c r="AE365" s="147" t="str">
        <f t="shared" ca="1" si="29"/>
        <v/>
      </c>
      <c r="AF365" s="25"/>
      <c r="AH365" s="147" t="str">
        <f ca="1">IF(C365="","",VLOOKUP(C365,'Шаг1.Выбор плиты'!C:Q,7,0))</f>
        <v/>
      </c>
      <c r="AI365" s="147" t="str">
        <f t="shared" ca="1" si="35"/>
        <v/>
      </c>
    </row>
    <row r="366" spans="1:35" x14ac:dyDescent="0.2">
      <c r="A366" s="151" t="str">
        <f ca="1">IF(C366="","",MAX($A$1:OFFSET(C366,-1,0))+1)</f>
        <v/>
      </c>
      <c r="B366" s="151" t="str">
        <f ca="1">IFERROR(IFERROR(IFERROR("Шаг2.Бланк заказа NEW №"&amp;VLOOKUP(A365+1,CHOOSE({1,2},'Шаг2.Бланк заказа NEW'!$B$19:$B$201,'Шаг2.Бланк заказа NEW'!$A$19:$A$201),1,0),
"Бланк OLD 0.8 04 №"&amp;VLOOKUP(A365+1-COUNT('Шаг2.Бланк заказа NEW'!$B$19:$B$201),CHOOSE({1,2},'Бланк OLD 0.8 04'!$B$18:$B$200,'Бланк OLD 0.8 04'!$A$18:$A$200),1,0)),
"Бланк OLD 2.0 04 №"&amp;VLOOKUP(A365+1-COUNT('Шаг2.Бланк заказа NEW'!$B$19:$B$201)-COUNT('Бланк OLD 0.8 04'!$B$18:$B$200),CHOOSE({1,2},'Бланк OLD 2.0 04 '!$B$18:$B$200,'Бланк OLD 2.0 04 '!$A$18:$A$200),1,0)),"")</f>
        <v/>
      </c>
      <c r="C366" s="152" t="str">
        <f ca="1">IFERROR(IFERROR(IFERROR(VLOOKUP(A365+1,CHOOSE({1,2},'Шаг2.Бланк заказа NEW'!$B$19:$B$201,'Шаг2.Бланк заказа NEW'!$A$19:$A$201),2,0),
VLOOKUP(A365+1-COUNT('Шаг2.Бланк заказа NEW'!$B$19:$B$201),CHOOSE({1,2},'Бланк OLD 0.8 04'!$B$18:$B$200,'Бланк OLD 0.8 04'!$A$18:$A$200),2,0)),
VLOOKUP(A365+1-COUNT('Шаг2.Бланк заказа NEW'!$B$19:$B$201)-COUNT('Бланк OLD 0.8 04'!$B$18:$B$200),CHOOSE({1,2},'Бланк OLD 2.0 04 '!$B$18:$B$200,'Бланк OLD 2.0 04 '!$A$18:$A$200),2,0)),"")</f>
        <v/>
      </c>
      <c r="D366" s="150" t="str">
        <f ca="1">IFERROR(VLOOKUP(C366,'Шаг1.Выбор плиты'!C:G,5,0),"")</f>
        <v/>
      </c>
      <c r="E366" s="147" t="str">
        <f ca="1">IFERROR(IFERROR(IF(VLOOKUP($A366,'Шаг2.Бланк заказа NEW'!$B$17:$N$201,2,0)="","",VLOOKUP($A366,'Шаг2.Бланк заказа NEW'!$B$17:$N$201,2,0)),
IF(VLOOKUP($A366-COUNT('Шаг2.Бланк заказа NEW'!$B$19:$B$201),'Бланк OLD 0.8 04'!$B$12:$K$200,2,0)="","",VLOOKUP($A366-COUNT('Шаг2.Бланк заказа NEW'!$B$19:$B$201),'Бланк OLD 0.8 04'!$B$12:$K$200,2,0))),
IF(VLOOKUP($A366-COUNT('Шаг2.Бланк заказа NEW'!$B$19:$B$201)-COUNT('Бланк OLD 0.8 04'!$B$18:$B$200),'Бланк OLD 2.0 04 '!$B$16:$K$200,2,0)="","",VLOOKUP($A366-COUNT('Шаг2.Бланк заказа NEW'!$B$19:$B$201)-COUNT('Бланк OLD 0.8 04'!$B$18:$B$200),'Бланк OLD 2.0 04 '!$B$16:$K$200,2,0)))</f>
        <v/>
      </c>
      <c r="F366" s="147" t="str">
        <f ca="1">IFERROR(IFERROR(IF(VLOOKUP($A366,'Шаг2.Бланк заказа NEW'!$B$17:$N$201,3,0)="","",VLOOKUP($A366,'Шаг2.Бланк заказа NEW'!$B$17:$N$201,3,0)),
IF(VLOOKUP($A366-COUNT('Шаг2.Бланк заказа NEW'!$B$19:$B$201),'Бланк OLD 0.8 04'!$B$12:$K$200,3,0)="","",VLOOKUP($A366-COUNT('Шаг2.Бланк заказа NEW'!$B$19:$B$201),'Бланк OLD 0.8 04'!$B$12:$K$200,3,0))),
IF(VLOOKUP($A366-COUNT('Шаг2.Бланк заказа NEW'!$B$19:$B$201)-COUNT('Бланк OLD 0.8 04'!$B$18:$B$200),'Бланк OLD 2.0 04 '!$B$16:$K$200,3,0)="","",VLOOKUP($A366-COUNT('Шаг2.Бланк заказа NEW'!$B$19:$B$201)-COUNT('Бланк OLD 0.8 04'!$B$18:$B$200),'Бланк OLD 2.0 04 '!$B$16:$K$200,3,0)))</f>
        <v/>
      </c>
      <c r="G366" s="176" t="str">
        <f ca="1">IF(IF(R366="","",IF(R366=1,SUMIFS('Шаг1.Выбор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плиты'!C:Q,12,0)),1))))))=0,
R366,
IF(R366="","",IF(R366=1,SUMIFS('Шаг1.Выбор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плиты'!N:N,R366,'Шаг1.Выбор плиты'!M:M,SMALL(INDIRECT("мм"&amp;VLOOKUP(C366,'Шаг1.Выбор плиты'!C:Q,12,0)),1)))))))</f>
        <v/>
      </c>
      <c r="H366" s="177" t="str">
        <f ca="1">IF(IF(S366="","",IF(S366=1,SUMIFS('Шаг1.Выбор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плиты'!C:Q,12,0)),1))))))=0,
S366,
IF(S366="","",IF(S366=1,SUMIFS('Шаг1.Выбор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плиты'!N:N,S366,'Шаг1.Выбор плиты'!M:M,SMALL(INDIRECT("мм"&amp;VLOOKUP(C366,'Шаг1.Выбор плиты'!C:Q,12,0)),1)))))))</f>
        <v/>
      </c>
      <c r="I366" s="147" t="str">
        <f ca="1">IFERROR(IFERROR(IF(VLOOKUP($A366,'Шаг2.Бланк заказа NEW'!$B$17:$N$201,6,0)="","",VLOOKUP($A366,'Шаг2.Бланк заказа NEW'!$B$17:$N$201,6,0)),
IF(VLOOKUP($A366-COUNT('Шаг2.Бланк заказа NEW'!$B$19:$B$201),'Бланк OLD 0.8 04'!$B$12:$K$200,6,0)="","",VLOOKUP($A366-COUNT('Шаг2.Бланк заказа NEW'!$B$19:$B$201),'Бланк OLD 0.8 04'!$B$12:$K$200,6,0))),
IF(VLOOKUP($A366-COUNT('Шаг2.Бланк заказа NEW'!$B$19:$B$201)-COUNT('Бланк OLD 0.8 04'!$B$18:$B$200),'Бланк OLD 2.0 04 '!$B$16:$K$200,6,0)="","",VLOOKUP($A366-COUNT('Шаг2.Бланк заказа NEW'!$B$19:$B$201)-COUNT('Бланк OLD 0.8 04'!$B$18:$B$200),'Бланк OLD 2.0 04 '!$B$16:$K$200,6,0)))</f>
        <v/>
      </c>
      <c r="J366" s="177" t="str">
        <f ca="1">IF(IF(T366="","",IF(T366=1,SUMIFS('Шаг1.Выбор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плиты'!C:Q,12,0)),1))))))=0,
T366,
IF(T366="","",IF(T366=1,SUMIFS('Шаг1.Выбор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плиты'!N:N,T366,'Шаг1.Выбор плиты'!M:M,SMALL(INDIRECT("мм"&amp;VLOOKUP(C366,'Шаг1.Выбор плиты'!C:Q,12,0)),1)))))))</f>
        <v/>
      </c>
      <c r="K366" s="177" t="str">
        <f ca="1">IF(IF(U366="","",IF(U366=1,SUMIFS('Шаг1.Выбор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плиты'!C:Q,12,0)),1))))))=0,
U366,
IF(U366="","",IF(U366=1,SUMIFS('Шаг1.Выбор плиты'!$G:$G,'Шаг1.Выбор плиты'!J:J,"*"&amp;RIGHT(VLOOKUP(C366,'Шаг1.Выбор плиты'!C:Q,8,0),4),'Шаг1.Выбор плиты'!L:L,IF(MID(C366,1,6)="ЛДСП P","TM"&amp;MID(VLOOKUP(C366,'Шаг1.Выбор плиты'!C:Q,10,0),3,2),MID(VLOOKUP(C366,'Шаг1.Выбор плиты'!C:Q,10,0),1,2)),
'Шаг1.Выбор плиты'!N:N,1),IF(SUMIFS('Шаг1.Выбор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плиты'!C:Q,12,0)),1))=0,
IF(SUMIFS('Шаг1.Выбор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плиты'!C:Q,12,0)),2))=0,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плиты'!C:Q,12,0)),3)),
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плиты'!C:Q,12,0)),2))),
(SUMIFS('Шаг1.Выбор плиты'!$G:$G,'Шаг1.Выбор плиты'!J:J,"*"&amp;RIGHT(VLOOKUP(C366,'Шаг1.Выбор плиты'!C:Q,8,0),4),'Шаг1.Выбор плиты'!L:L,VLOOKUP(C366,'Шаг1.Выбор плиты'!C:Q,10,0),'Шаг1.Выбор плиты'!N:N,U366,'Шаг1.Выбор плиты'!M:M,SMALL(INDIRECT("мм"&amp;VLOOKUP(C366,'Шаг1.Выбор плиты'!C:Q,12,0)),1)))))))</f>
        <v/>
      </c>
      <c r="L366" s="147" t="str">
        <f ca="1">IFERROR(IFERROR(IF(VLOOKUP($A366,'Шаг2.Бланк заказа NEW'!$B$17:$N$201,9,0)="","",VLOOKUP($A366,'Шаг2.Бланк заказа NEW'!$B$17:$N$201,9,0)),
IF(VLOOKUP($A366-COUNT('Шаг2.Бланк заказа NEW'!$B$19:$B$201),'Бланк OLD 0.8 04'!$B$12:$K$200,9,0)="","",VLOOKUP($A366-COUNT('Шаг2.Бланк заказа NEW'!$B$19:$B$201),'Бланк OLD 0.8 04'!$B$12:$K$200,9,0))),
IF(VLOOKUP($A366-COUNT('Шаг2.Бланк заказа NEW'!$B$19:$B$201)-COUNT('Бланк OLD 0.8 04'!$B$18:$B$200),'Бланк OLD 2.0 04 '!$B$16:$K$200,9,0)="","",VLOOKUP($A366-COUNT('Шаг2.Бланк заказа NEW'!$B$19:$B$201)-COUNT('Бланк OLD 0.8 04'!$B$18:$B$200),'Бланк OLD 2.0 04 '!$B$16:$K$200,9,0)))</f>
        <v/>
      </c>
      <c r="M366" s="154" t="str">
        <f t="shared" ca="1" si="33"/>
        <v/>
      </c>
      <c r="N366" s="153" t="str">
        <f ca="1">IFERROR(IF(VLOOKUP($A366,'Шаг2.Бланк заказа NEW'!$B$17:$N$201,11,0)="","",VLOOKUP($A366,'Шаг2.Бланк заказа NEW'!$B$17:$N$201,11,0)),
"Нет")</f>
        <v/>
      </c>
      <c r="O366" s="147" t="str">
        <f ca="1">IFERROR(IF(VLOOKUP($A366,'Шаг2.Бланк заказа NEW'!$B$17:$N$201,11,0)="","",VLOOKUP($A366,'Шаг2.Бланк заказа NEW'!$B$17:$N$201,12,0)),
"Нет")</f>
        <v/>
      </c>
      <c r="P366" s="153" t="str">
        <f ca="1">IFERROR(IF(VLOOKUP($A366,'Шаг2.Бланк заказа NEW'!$B$17:$N$201,13,0)="","",VLOOKUP($A366,'Шаг2.Бланк заказа NEW'!$B$17:$N$201,13,0)),
"Нет")</f>
        <v/>
      </c>
      <c r="Q366" s="147" t="str">
        <f ca="1">IFERROR(IF(VLOOKUP($A366,'Шаг2.Бланк заказа NEW'!$B$17:$O$201,14,0)="","",VLOOKUP($A366,'Шаг2.Бланк заказа NEW'!$B$17:$O$201,14,0)),"")</f>
        <v/>
      </c>
      <c r="R366" s="147" t="str">
        <f ca="1">IFERROR(IFERROR(IF(VLOOKUP($A366,'Шаг2.Бланк заказа NEW'!$B$17:$N$201,4,0)="","",VLOOKUP($A366,'Шаг2.Бланк заказа NEW'!$B$17:$N$201,4,0)),
IF(VLOOKUP($A366-COUNT('Шаг2.Бланк заказа NEW'!$B$19:$B$201),'Бланк OLD 0.8 04'!$B$12:$K$200,4,0)&gt;0,0.8,
IF(VLOOKUP($A366-COUNT('Шаг2.Бланк заказа NEW'!$B$19:$B$201),'Бланк OLD 0.8 04'!$B$12:$K$200,5,0)&gt;0,0.4,""))),
IF(VLOOKUP($A366-COUNT('Шаг2.Бланк заказа NEW'!$B$19:$B$201)-COUNT('Бланк OLD 0.8 04'!$B$18:$B$200),'Бланк OLD 2.0 04 '!$B$16:$K$200,4,0)&gt;0,2,IF(VLOOKUP($A366-COUNT('Шаг2.Бланк заказа NEW'!$B$19:$B$201)-COUNT('Бланк OLD 0.8 04'!$B$18:$B$200),'Бланк OLD 2.0 04 '!$B$16:$K$200,5,0)&gt;0,0.4,"")))</f>
        <v/>
      </c>
      <c r="S366" s="147" t="str">
        <f ca="1">IFERROR(IFERROR(IF(VLOOKUP($A366,'Шаг2.Бланк заказа NEW'!$B$17:$N$201,5,0)="","",VLOOKUP($A366,'Шаг2.Бланк заказа NEW'!$B$17:$N$201,5,0)),
IF(VLOOKUP($A366-COUNT('Шаг2.Бланк заказа NEW'!$B$19:$B$201),'Бланк OLD 0.8 04'!$B$12:$K$200,4,0)&gt;1,0.8,
IF(VLOOKUP($A366-COUNT('Шаг2.Бланк заказа NEW'!$B$19:$B$201),'Бланк OLD 0.8 04'!$B$12:$K$200,5,0)&gt;1,0.4,
IF(AND(VLOOKUP($A366-COUNT('Шаг2.Бланк заказа NEW'!$B$19:$B$201),'Бланк OLD 0.8 04'!$B$12:$K$200,4,0)&gt;0,VLOOKUP($A366-COUNT('Шаг2.Бланк заказа NEW'!$B$19:$B$201),'Бланк OLD 0.8 04'!$B$12:$K$200,5,0)&gt;0),0.4,"")))),
IF(VLOOKUP($A366-COUNT('Шаг2.Бланк заказа NEW'!$B$19:$B$201)-COUNT('Бланк OLD 0.8 04'!$B$18:$B$200),'Бланк OLD 2.0 04 '!$B$16:$K$200,4,0)&gt;1,2,
IF(VLOOKUP($A366-COUNT('Шаг2.Бланк заказа NEW'!$B$19:$B$201)-COUNT('Бланк OLD 0.8 04'!$B$18:$B$200),'Бланк OLD 2.0 04 '!$B$16:$K$200,5,0)&gt;1,0.4,IF(AND(VLOOKUP($A366-COUNT('Шаг2.Бланк заказа NEW'!$B$19:$B$201)-COUNT('Бланк OLD 0.8 04'!$B$18:$B$200),'Бланк OLD 2.0 04 '!$B$16:$K$200,4,0)&gt;0,VLOOKUP($A366-COUNT('Шаг2.Бланк заказа NEW'!$B$19:$B$201)-COUNT('Бланк OLD 0.8 04'!$B$18:$B$200),'Бланк OLD 2.0 04 '!$B$16:$K$200,5,0)&gt;0),0.4,""))))</f>
        <v/>
      </c>
      <c r="T366" s="147" t="str">
        <f ca="1">IFERROR(IFERROR(IF(VLOOKUP($A366,'Шаг2.Бланк заказа NEW'!$B$17:$N$201,7,0)="","",VLOOKUP($A366,'Шаг2.Бланк заказа NEW'!$B$17:$N$201,7,0)),
IF(VLOOKUP($A366-COUNT('Шаг2.Бланк заказа NEW'!$B$19:$B$201),'Бланк OLD 0.8 04'!$B$12:$K$200,7,0)&gt;0,0.8,
IF(VLOOKUP($A366-COUNT('Шаг2.Бланк заказа NEW'!$B$19:$B$201),'Бланк OLD 0.8 04'!$B$12:$K$200,8,0)&gt;0,0.4,""))),
IF(VLOOKUP($A366-COUNT('Шаг2.Бланк заказа NEW'!$B$19:$B$201)-COUNT('Бланк OLD 0.8 04'!$B$18:$B$200),'Бланк OLD 2.0 04 '!$B$16:$K$200,7,0)&gt;0,2,IF(VLOOKUP($A366-COUNT('Шаг2.Бланк заказа NEW'!$B$19:$B$201)-COUNT('Бланк OLD 0.8 04'!$B$18:$B$200),'Бланк OLD 2.0 04 '!$B$16:$K$200,8,0)&gt;0,0.4,"")))</f>
        <v/>
      </c>
      <c r="U366" s="147" t="str">
        <f ca="1">IFERROR(IFERROR(IF(VLOOKUP($A366,'Шаг2.Бланк заказа NEW'!$B$17:$N$201,8,0)="","",VLOOKUP($A366,'Шаг2.Бланк заказа NEW'!$B$17:$N$201,8,0)),
IF(VLOOKUP($A366-COUNT('Шаг2.Бланк заказа NEW'!$B$19:$B$201),'Бланк OLD 0.8 04'!$B$12:$K$200,7,0)&gt;1,0.8,
IF(VLOOKUP($A366-COUNT('Шаг2.Бланк заказа NEW'!$B$19:$B$201),'Бланк OLD 0.8 04'!$B$12:$K$200,8,0)&gt;1,0.4,
IF(AND(VLOOKUP($A366-COUNT('Шаг2.Бланк заказа NEW'!$B$19:$B$201),'Бланк OLD 0.8 04'!$B$12:$K$200,7,0)&gt;0,VLOOKUP($A366-COUNT('Шаг2.Бланк заказа NEW'!$B$19:$B$201),'Бланк OLD 0.8 04'!$B$12:$K$200,8,0)&gt;0),0.4,"")))),
IF(VLOOKUP($A366-COUNT('Шаг2.Бланк заказа NEW'!$B$19:$B$201)-COUNT('Бланк OLD 0.8 04'!$B$18:$B$200),'Бланк OLD 2.0 04 '!$B$16:$K$200,7,0)&gt;1,2,
IF(VLOOKUP($A366-COUNT('Шаг2.Бланк заказа NEW'!$B$19:$B$201)-COUNT('Бланк OLD 0.8 04'!$B$18:$B$200),'Бланк OLD 2.0 04 '!$B$16:$K$200,8,0)&gt;1,0.4,
IF(AND(VLOOKUP($A366-COUNT('Шаг2.Бланк заказа NEW'!$B$19:$B$201)-COUNT('Бланк OLD 0.8 04'!$B$18:$B$200),'Бланк OLD 2.0 04 '!$B$16:$K$200,7,0)&gt;0,VLOOKUP($A366-COUNT('Шаг2.Бланк заказа NEW'!$B$19:$B$201)-COUNT('Бланк OLD 0.8 04'!$B$18:$B$200),'Бланк OLD 2.0 04 '!$B$16:$K$200,8,0)&gt;0),0.4,""))))</f>
        <v/>
      </c>
      <c r="V366" s="146" t="str">
        <f ca="1">IFERROR(VLOOKUP(C366,'Шаг1.Выбор плиты'!C:S,12,0),"")</f>
        <v/>
      </c>
      <c r="W366" s="146" t="str">
        <f ca="1">IFERROR(VLOOKUP(C366,'Шаг1.Выбор плиты'!C:S,8,0),"")</f>
        <v/>
      </c>
      <c r="X366" s="146" t="str">
        <f ca="1">IFERROR(VLOOKUP(C366,'Шаг1.Выбор плиты'!C:S,10,0),"")</f>
        <v/>
      </c>
      <c r="Y366" s="147" t="str">
        <f t="shared" ca="1" si="28"/>
        <v/>
      </c>
      <c r="AD366" s="147" t="str">
        <f t="shared" ca="1" si="34"/>
        <v/>
      </c>
      <c r="AE366" s="147" t="str">
        <f t="shared" ca="1" si="29"/>
        <v/>
      </c>
      <c r="AF366" s="25"/>
      <c r="AH366" s="147" t="str">
        <f ca="1">IF(C366="","",VLOOKUP(C366,'Шаг1.Выбор плиты'!C:Q,7,0))</f>
        <v/>
      </c>
      <c r="AI366" s="147" t="str">
        <f t="shared" ca="1" si="35"/>
        <v/>
      </c>
    </row>
    <row r="367" spans="1:35" x14ac:dyDescent="0.2">
      <c r="A367" s="151" t="str">
        <f ca="1">IF(C367="","",MAX($A$1:OFFSET(C367,-1,0))+1)</f>
        <v/>
      </c>
      <c r="B367" s="151" t="str">
        <f ca="1">IFERROR(IFERROR(IFERROR("Шаг2.Бланк заказа NEW №"&amp;VLOOKUP(A366+1,CHOOSE({1,2},'Шаг2.Бланк заказа NEW'!$B$19:$B$201,'Шаг2.Бланк заказа NEW'!$A$19:$A$201),1,0),
"Бланк OLD 0.8 04 №"&amp;VLOOKUP(A366+1-COUNT('Шаг2.Бланк заказа NEW'!$B$19:$B$201),CHOOSE({1,2},'Бланк OLD 0.8 04'!$B$18:$B$200,'Бланк OLD 0.8 04'!$A$18:$A$200),1,0)),
"Бланк OLD 2.0 04 №"&amp;VLOOKUP(A366+1-COUNT('Шаг2.Бланк заказа NEW'!$B$19:$B$201)-COUNT('Бланк OLD 0.8 04'!$B$18:$B$200),CHOOSE({1,2},'Бланк OLD 2.0 04 '!$B$18:$B$200,'Бланк OLD 2.0 04 '!$A$18:$A$200),1,0)),"")</f>
        <v/>
      </c>
      <c r="C367" s="152" t="str">
        <f ca="1">IFERROR(IFERROR(IFERROR(VLOOKUP(A366+1,CHOOSE({1,2},'Шаг2.Бланк заказа NEW'!$B$19:$B$201,'Шаг2.Бланк заказа NEW'!$A$19:$A$201),2,0),
VLOOKUP(A366+1-COUNT('Шаг2.Бланк заказа NEW'!$B$19:$B$201),CHOOSE({1,2},'Бланк OLD 0.8 04'!$B$18:$B$200,'Бланк OLD 0.8 04'!$A$18:$A$200),2,0)),
VLOOKUP(A366+1-COUNT('Шаг2.Бланк заказа NEW'!$B$19:$B$201)-COUNT('Бланк OLD 0.8 04'!$B$18:$B$200),CHOOSE({1,2},'Бланк OLD 2.0 04 '!$B$18:$B$200,'Бланк OLD 2.0 04 '!$A$18:$A$200),2,0)),"")</f>
        <v/>
      </c>
      <c r="D367" s="150" t="str">
        <f ca="1">IFERROR(VLOOKUP(C367,'Шаг1.Выбор плиты'!C:G,5,0),"")</f>
        <v/>
      </c>
      <c r="E367" s="147" t="str">
        <f ca="1">IFERROR(IFERROR(IF(VLOOKUP($A367,'Шаг2.Бланк заказа NEW'!$B$17:$N$201,2,0)="","",VLOOKUP($A367,'Шаг2.Бланк заказа NEW'!$B$17:$N$201,2,0)),
IF(VLOOKUP($A367-COUNT('Шаг2.Бланк заказа NEW'!$B$19:$B$201),'Бланк OLD 0.8 04'!$B$12:$K$200,2,0)="","",VLOOKUP($A367-COUNT('Шаг2.Бланк заказа NEW'!$B$19:$B$201),'Бланк OLD 0.8 04'!$B$12:$K$200,2,0))),
IF(VLOOKUP($A367-COUNT('Шаг2.Бланк заказа NEW'!$B$19:$B$201)-COUNT('Бланк OLD 0.8 04'!$B$18:$B$200),'Бланк OLD 2.0 04 '!$B$16:$K$200,2,0)="","",VLOOKUP($A367-COUNT('Шаг2.Бланк заказа NEW'!$B$19:$B$201)-COUNT('Бланк OLD 0.8 04'!$B$18:$B$200),'Бланк OLD 2.0 04 '!$B$16:$K$200,2,0)))</f>
        <v/>
      </c>
      <c r="F367" s="147" t="str">
        <f ca="1">IFERROR(IFERROR(IF(VLOOKUP($A367,'Шаг2.Бланк заказа NEW'!$B$17:$N$201,3,0)="","",VLOOKUP($A367,'Шаг2.Бланк заказа NEW'!$B$17:$N$201,3,0)),
IF(VLOOKUP($A367-COUNT('Шаг2.Бланк заказа NEW'!$B$19:$B$201),'Бланк OLD 0.8 04'!$B$12:$K$200,3,0)="","",VLOOKUP($A367-COUNT('Шаг2.Бланк заказа NEW'!$B$19:$B$201),'Бланк OLD 0.8 04'!$B$12:$K$200,3,0))),
IF(VLOOKUP($A367-COUNT('Шаг2.Бланк заказа NEW'!$B$19:$B$201)-COUNT('Бланк OLD 0.8 04'!$B$18:$B$200),'Бланк OLD 2.0 04 '!$B$16:$K$200,3,0)="","",VLOOKUP($A367-COUNT('Шаг2.Бланк заказа NEW'!$B$19:$B$201)-COUNT('Бланк OLD 0.8 04'!$B$18:$B$200),'Бланк OLD 2.0 04 '!$B$16:$K$200,3,0)))</f>
        <v/>
      </c>
      <c r="G367" s="176" t="str">
        <f ca="1">IF(IF(R367="","",IF(R367=1,SUMIFS('Шаг1.Выбор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плиты'!C:Q,12,0)),1))))))=0,
R367,
IF(R367="","",IF(R367=1,SUMIFS('Шаг1.Выбор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плиты'!N:N,R367,'Шаг1.Выбор плиты'!M:M,SMALL(INDIRECT("мм"&amp;VLOOKUP(C367,'Шаг1.Выбор плиты'!C:Q,12,0)),1)))))))</f>
        <v/>
      </c>
      <c r="H367" s="177" t="str">
        <f ca="1">IF(IF(S367="","",IF(S367=1,SUMIFS('Шаг1.Выбор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плиты'!C:Q,12,0)),1))))))=0,
S367,
IF(S367="","",IF(S367=1,SUMIFS('Шаг1.Выбор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плиты'!N:N,S367,'Шаг1.Выбор плиты'!M:M,SMALL(INDIRECT("мм"&amp;VLOOKUP(C367,'Шаг1.Выбор плиты'!C:Q,12,0)),1)))))))</f>
        <v/>
      </c>
      <c r="I367" s="147" t="str">
        <f ca="1">IFERROR(IFERROR(IF(VLOOKUP($A367,'Шаг2.Бланк заказа NEW'!$B$17:$N$201,6,0)="","",VLOOKUP($A367,'Шаг2.Бланк заказа NEW'!$B$17:$N$201,6,0)),
IF(VLOOKUP($A367-COUNT('Шаг2.Бланк заказа NEW'!$B$19:$B$201),'Бланк OLD 0.8 04'!$B$12:$K$200,6,0)="","",VLOOKUP($A367-COUNT('Шаг2.Бланк заказа NEW'!$B$19:$B$201),'Бланк OLD 0.8 04'!$B$12:$K$200,6,0))),
IF(VLOOKUP($A367-COUNT('Шаг2.Бланк заказа NEW'!$B$19:$B$201)-COUNT('Бланк OLD 0.8 04'!$B$18:$B$200),'Бланк OLD 2.0 04 '!$B$16:$K$200,6,0)="","",VLOOKUP($A367-COUNT('Шаг2.Бланк заказа NEW'!$B$19:$B$201)-COUNT('Бланк OLD 0.8 04'!$B$18:$B$200),'Бланк OLD 2.0 04 '!$B$16:$K$200,6,0)))</f>
        <v/>
      </c>
      <c r="J367" s="177" t="str">
        <f ca="1">IF(IF(T367="","",IF(T367=1,SUMIFS('Шаг1.Выбор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плиты'!C:Q,12,0)),1))))))=0,
T367,
IF(T367="","",IF(T367=1,SUMIFS('Шаг1.Выбор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плиты'!N:N,T367,'Шаг1.Выбор плиты'!M:M,SMALL(INDIRECT("мм"&amp;VLOOKUP(C367,'Шаг1.Выбор плиты'!C:Q,12,0)),1)))))))</f>
        <v/>
      </c>
      <c r="K367" s="177" t="str">
        <f ca="1">IF(IF(U367="","",IF(U367=1,SUMIFS('Шаг1.Выбор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плиты'!C:Q,12,0)),1))))))=0,
U367,
IF(U367="","",IF(U367=1,SUMIFS('Шаг1.Выбор плиты'!$G:$G,'Шаг1.Выбор плиты'!J:J,"*"&amp;RIGHT(VLOOKUP(C367,'Шаг1.Выбор плиты'!C:Q,8,0),4),'Шаг1.Выбор плиты'!L:L,IF(MID(C367,1,6)="ЛДСП P","TM"&amp;MID(VLOOKUP(C367,'Шаг1.Выбор плиты'!C:Q,10,0),3,2),MID(VLOOKUP(C367,'Шаг1.Выбор плиты'!C:Q,10,0),1,2)),
'Шаг1.Выбор плиты'!N:N,1),IF(SUMIFS('Шаг1.Выбор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плиты'!C:Q,12,0)),1))=0,
IF(SUMIFS('Шаг1.Выбор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плиты'!C:Q,12,0)),2))=0,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плиты'!C:Q,12,0)),3)),
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плиты'!C:Q,12,0)),2))),
(SUMIFS('Шаг1.Выбор плиты'!$G:$G,'Шаг1.Выбор плиты'!J:J,"*"&amp;RIGHT(VLOOKUP(C367,'Шаг1.Выбор плиты'!C:Q,8,0),4),'Шаг1.Выбор плиты'!L:L,VLOOKUP(C367,'Шаг1.Выбор плиты'!C:Q,10,0),'Шаг1.Выбор плиты'!N:N,U367,'Шаг1.Выбор плиты'!M:M,SMALL(INDIRECT("мм"&amp;VLOOKUP(C367,'Шаг1.Выбор плиты'!C:Q,12,0)),1)))))))</f>
        <v/>
      </c>
      <c r="L367" s="147" t="str">
        <f ca="1">IFERROR(IFERROR(IF(VLOOKUP($A367,'Шаг2.Бланк заказа NEW'!$B$17:$N$201,9,0)="","",VLOOKUP($A367,'Шаг2.Бланк заказа NEW'!$B$17:$N$201,9,0)),
IF(VLOOKUP($A367-COUNT('Шаг2.Бланк заказа NEW'!$B$19:$B$201),'Бланк OLD 0.8 04'!$B$12:$K$200,9,0)="","",VLOOKUP($A367-COUNT('Шаг2.Бланк заказа NEW'!$B$19:$B$201),'Бланк OLD 0.8 04'!$B$12:$K$200,9,0))),
IF(VLOOKUP($A367-COUNT('Шаг2.Бланк заказа NEW'!$B$19:$B$201)-COUNT('Бланк OLD 0.8 04'!$B$18:$B$200),'Бланк OLD 2.0 04 '!$B$16:$K$200,9,0)="","",VLOOKUP($A367-COUNT('Шаг2.Бланк заказа NEW'!$B$19:$B$201)-COUNT('Бланк OLD 0.8 04'!$B$18:$B$200),'Бланк OLD 2.0 04 '!$B$16:$K$200,9,0)))</f>
        <v/>
      </c>
      <c r="M367" s="154" t="str">
        <f t="shared" ca="1" si="33"/>
        <v/>
      </c>
      <c r="N367" s="153" t="str">
        <f ca="1">IFERROR(IF(VLOOKUP($A367,'Шаг2.Бланк заказа NEW'!$B$17:$N$201,11,0)="","",VLOOKUP($A367,'Шаг2.Бланк заказа NEW'!$B$17:$N$201,11,0)),
"Нет")</f>
        <v/>
      </c>
      <c r="O367" s="147" t="str">
        <f ca="1">IFERROR(IF(VLOOKUP($A367,'Шаг2.Бланк заказа NEW'!$B$17:$N$201,11,0)="","",VLOOKUP($A367,'Шаг2.Бланк заказа NEW'!$B$17:$N$201,12,0)),
"Нет")</f>
        <v/>
      </c>
      <c r="P367" s="153" t="str">
        <f ca="1">IFERROR(IF(VLOOKUP($A367,'Шаг2.Бланк заказа NEW'!$B$17:$N$201,13,0)="","",VLOOKUP($A367,'Шаг2.Бланк заказа NEW'!$B$17:$N$201,13,0)),
"Нет")</f>
        <v/>
      </c>
      <c r="Q367" s="147" t="str">
        <f ca="1">IFERROR(IF(VLOOKUP($A367,'Шаг2.Бланк заказа NEW'!$B$17:$O$201,14,0)="","",VLOOKUP($A367,'Шаг2.Бланк заказа NEW'!$B$17:$O$201,14,0)),"")</f>
        <v/>
      </c>
      <c r="R367" s="147" t="str">
        <f ca="1">IFERROR(IFERROR(IF(VLOOKUP($A367,'Шаг2.Бланк заказа NEW'!$B$17:$N$201,4,0)="","",VLOOKUP($A367,'Шаг2.Бланк заказа NEW'!$B$17:$N$201,4,0)),
IF(VLOOKUP($A367-COUNT('Шаг2.Бланк заказа NEW'!$B$19:$B$201),'Бланк OLD 0.8 04'!$B$12:$K$200,4,0)&gt;0,0.8,
IF(VLOOKUP($A367-COUNT('Шаг2.Бланк заказа NEW'!$B$19:$B$201),'Бланк OLD 0.8 04'!$B$12:$K$200,5,0)&gt;0,0.4,""))),
IF(VLOOKUP($A367-COUNT('Шаг2.Бланк заказа NEW'!$B$19:$B$201)-COUNT('Бланк OLD 0.8 04'!$B$18:$B$200),'Бланк OLD 2.0 04 '!$B$16:$K$200,4,0)&gt;0,2,IF(VLOOKUP($A367-COUNT('Шаг2.Бланк заказа NEW'!$B$19:$B$201)-COUNT('Бланк OLD 0.8 04'!$B$18:$B$200),'Бланк OLD 2.0 04 '!$B$16:$K$200,5,0)&gt;0,0.4,"")))</f>
        <v/>
      </c>
      <c r="S367" s="147" t="str">
        <f ca="1">IFERROR(IFERROR(IF(VLOOKUP($A367,'Шаг2.Бланк заказа NEW'!$B$17:$N$201,5,0)="","",VLOOKUP($A367,'Шаг2.Бланк заказа NEW'!$B$17:$N$201,5,0)),
IF(VLOOKUP($A367-COUNT('Шаг2.Бланк заказа NEW'!$B$19:$B$201),'Бланк OLD 0.8 04'!$B$12:$K$200,4,0)&gt;1,0.8,
IF(VLOOKUP($A367-COUNT('Шаг2.Бланк заказа NEW'!$B$19:$B$201),'Бланк OLD 0.8 04'!$B$12:$K$200,5,0)&gt;1,0.4,
IF(AND(VLOOKUP($A367-COUNT('Шаг2.Бланк заказа NEW'!$B$19:$B$201),'Бланк OLD 0.8 04'!$B$12:$K$200,4,0)&gt;0,VLOOKUP($A367-COUNT('Шаг2.Бланк заказа NEW'!$B$19:$B$201),'Бланк OLD 0.8 04'!$B$12:$K$200,5,0)&gt;0),0.4,"")))),
IF(VLOOKUP($A367-COUNT('Шаг2.Бланк заказа NEW'!$B$19:$B$201)-COUNT('Бланк OLD 0.8 04'!$B$18:$B$200),'Бланк OLD 2.0 04 '!$B$16:$K$200,4,0)&gt;1,2,
IF(VLOOKUP($A367-COUNT('Шаг2.Бланк заказа NEW'!$B$19:$B$201)-COUNT('Бланк OLD 0.8 04'!$B$18:$B$200),'Бланк OLD 2.0 04 '!$B$16:$K$200,5,0)&gt;1,0.4,IF(AND(VLOOKUP($A367-COUNT('Шаг2.Бланк заказа NEW'!$B$19:$B$201)-COUNT('Бланк OLD 0.8 04'!$B$18:$B$200),'Бланк OLD 2.0 04 '!$B$16:$K$200,4,0)&gt;0,VLOOKUP($A367-COUNT('Шаг2.Бланк заказа NEW'!$B$19:$B$201)-COUNT('Бланк OLD 0.8 04'!$B$18:$B$200),'Бланк OLD 2.0 04 '!$B$16:$K$200,5,0)&gt;0),0.4,""))))</f>
        <v/>
      </c>
      <c r="T367" s="147" t="str">
        <f ca="1">IFERROR(IFERROR(IF(VLOOKUP($A367,'Шаг2.Бланк заказа NEW'!$B$17:$N$201,7,0)="","",VLOOKUP($A367,'Шаг2.Бланк заказа NEW'!$B$17:$N$201,7,0)),
IF(VLOOKUP($A367-COUNT('Шаг2.Бланк заказа NEW'!$B$19:$B$201),'Бланк OLD 0.8 04'!$B$12:$K$200,7,0)&gt;0,0.8,
IF(VLOOKUP($A367-COUNT('Шаг2.Бланк заказа NEW'!$B$19:$B$201),'Бланк OLD 0.8 04'!$B$12:$K$200,8,0)&gt;0,0.4,""))),
IF(VLOOKUP($A367-COUNT('Шаг2.Бланк заказа NEW'!$B$19:$B$201)-COUNT('Бланк OLD 0.8 04'!$B$18:$B$200),'Бланк OLD 2.0 04 '!$B$16:$K$200,7,0)&gt;0,2,IF(VLOOKUP($A367-COUNT('Шаг2.Бланк заказа NEW'!$B$19:$B$201)-COUNT('Бланк OLD 0.8 04'!$B$18:$B$200),'Бланк OLD 2.0 04 '!$B$16:$K$200,8,0)&gt;0,0.4,"")))</f>
        <v/>
      </c>
      <c r="U367" s="147" t="str">
        <f ca="1">IFERROR(IFERROR(IF(VLOOKUP($A367,'Шаг2.Бланк заказа NEW'!$B$17:$N$201,8,0)="","",VLOOKUP($A367,'Шаг2.Бланк заказа NEW'!$B$17:$N$201,8,0)),
IF(VLOOKUP($A367-COUNT('Шаг2.Бланк заказа NEW'!$B$19:$B$201),'Бланк OLD 0.8 04'!$B$12:$K$200,7,0)&gt;1,0.8,
IF(VLOOKUP($A367-COUNT('Шаг2.Бланк заказа NEW'!$B$19:$B$201),'Бланк OLD 0.8 04'!$B$12:$K$200,8,0)&gt;1,0.4,
IF(AND(VLOOKUP($A367-COUNT('Шаг2.Бланк заказа NEW'!$B$19:$B$201),'Бланк OLD 0.8 04'!$B$12:$K$200,7,0)&gt;0,VLOOKUP($A367-COUNT('Шаг2.Бланк заказа NEW'!$B$19:$B$201),'Бланк OLD 0.8 04'!$B$12:$K$200,8,0)&gt;0),0.4,"")))),
IF(VLOOKUP($A367-COUNT('Шаг2.Бланк заказа NEW'!$B$19:$B$201)-COUNT('Бланк OLD 0.8 04'!$B$18:$B$200),'Бланк OLD 2.0 04 '!$B$16:$K$200,7,0)&gt;1,2,
IF(VLOOKUP($A367-COUNT('Шаг2.Бланк заказа NEW'!$B$19:$B$201)-COUNT('Бланк OLD 0.8 04'!$B$18:$B$200),'Бланк OLD 2.0 04 '!$B$16:$K$200,8,0)&gt;1,0.4,
IF(AND(VLOOKUP($A367-COUNT('Шаг2.Бланк заказа NEW'!$B$19:$B$201)-COUNT('Бланк OLD 0.8 04'!$B$18:$B$200),'Бланк OLD 2.0 04 '!$B$16:$K$200,7,0)&gt;0,VLOOKUP($A367-COUNT('Шаг2.Бланк заказа NEW'!$B$19:$B$201)-COUNT('Бланк OLD 0.8 04'!$B$18:$B$200),'Бланк OLD 2.0 04 '!$B$16:$K$200,8,0)&gt;0),0.4,""))))</f>
        <v/>
      </c>
      <c r="V367" s="146" t="str">
        <f ca="1">IFERROR(VLOOKUP(C367,'Шаг1.Выбор плиты'!C:S,12,0),"")</f>
        <v/>
      </c>
      <c r="W367" s="146" t="str">
        <f ca="1">IFERROR(VLOOKUP(C367,'Шаг1.Выбор плиты'!C:S,8,0),"")</f>
        <v/>
      </c>
      <c r="X367" s="146" t="str">
        <f ca="1">IFERROR(VLOOKUP(C367,'Шаг1.Выбор плиты'!C:S,10,0),"")</f>
        <v/>
      </c>
      <c r="Y367" s="147" t="str">
        <f t="shared" ca="1" si="28"/>
        <v/>
      </c>
      <c r="AD367" s="147" t="str">
        <f t="shared" ca="1" si="34"/>
        <v/>
      </c>
      <c r="AE367" s="147" t="str">
        <f t="shared" ca="1" si="29"/>
        <v/>
      </c>
      <c r="AF367" s="25"/>
      <c r="AH367" s="147" t="str">
        <f ca="1">IF(C367="","",VLOOKUP(C367,'Шаг1.Выбор плиты'!C:Q,7,0))</f>
        <v/>
      </c>
      <c r="AI367" s="147" t="str">
        <f t="shared" ca="1" si="35"/>
        <v/>
      </c>
    </row>
    <row r="368" spans="1:35" x14ac:dyDescent="0.2">
      <c r="A368" s="151" t="str">
        <f ca="1">IF(C368="","",MAX($A$1:OFFSET(C368,-1,0))+1)</f>
        <v/>
      </c>
      <c r="B368" s="151" t="str">
        <f ca="1">IFERROR(IFERROR(IFERROR("Шаг2.Бланк заказа NEW №"&amp;VLOOKUP(A367+1,CHOOSE({1,2},'Шаг2.Бланк заказа NEW'!$B$19:$B$201,'Шаг2.Бланк заказа NEW'!$A$19:$A$201),1,0),
"Бланк OLD 0.8 04 №"&amp;VLOOKUP(A367+1-COUNT('Шаг2.Бланк заказа NEW'!$B$19:$B$201),CHOOSE({1,2},'Бланк OLD 0.8 04'!$B$18:$B$200,'Бланк OLD 0.8 04'!$A$18:$A$200),1,0)),
"Бланк OLD 2.0 04 №"&amp;VLOOKUP(A367+1-COUNT('Шаг2.Бланк заказа NEW'!$B$19:$B$201)-COUNT('Бланк OLD 0.8 04'!$B$18:$B$200),CHOOSE({1,2},'Бланк OLD 2.0 04 '!$B$18:$B$200,'Бланк OLD 2.0 04 '!$A$18:$A$200),1,0)),"")</f>
        <v/>
      </c>
      <c r="C368" s="152" t="str">
        <f ca="1">IFERROR(IFERROR(IFERROR(VLOOKUP(A367+1,CHOOSE({1,2},'Шаг2.Бланк заказа NEW'!$B$19:$B$201,'Шаг2.Бланк заказа NEW'!$A$19:$A$201),2,0),
VLOOKUP(A367+1-COUNT('Шаг2.Бланк заказа NEW'!$B$19:$B$201),CHOOSE({1,2},'Бланк OLD 0.8 04'!$B$18:$B$200,'Бланк OLD 0.8 04'!$A$18:$A$200),2,0)),
VLOOKUP(A367+1-COUNT('Шаг2.Бланк заказа NEW'!$B$19:$B$201)-COUNT('Бланк OLD 0.8 04'!$B$18:$B$200),CHOOSE({1,2},'Бланк OLD 2.0 04 '!$B$18:$B$200,'Бланк OLD 2.0 04 '!$A$18:$A$200),2,0)),"")</f>
        <v/>
      </c>
      <c r="D368" s="150" t="str">
        <f ca="1">IFERROR(VLOOKUP(C368,'Шаг1.Выбор плиты'!C:G,5,0),"")</f>
        <v/>
      </c>
      <c r="E368" s="147" t="str">
        <f ca="1">IFERROR(IFERROR(IF(VLOOKUP($A368,'Шаг2.Бланк заказа NEW'!$B$17:$N$201,2,0)="","",VLOOKUP($A368,'Шаг2.Бланк заказа NEW'!$B$17:$N$201,2,0)),
IF(VLOOKUP($A368-COUNT('Шаг2.Бланк заказа NEW'!$B$19:$B$201),'Бланк OLD 0.8 04'!$B$12:$K$200,2,0)="","",VLOOKUP($A368-COUNT('Шаг2.Бланк заказа NEW'!$B$19:$B$201),'Бланк OLD 0.8 04'!$B$12:$K$200,2,0))),
IF(VLOOKUP($A368-COUNT('Шаг2.Бланк заказа NEW'!$B$19:$B$201)-COUNT('Бланк OLD 0.8 04'!$B$18:$B$200),'Бланк OLD 2.0 04 '!$B$16:$K$200,2,0)="","",VLOOKUP($A368-COUNT('Шаг2.Бланк заказа NEW'!$B$19:$B$201)-COUNT('Бланк OLD 0.8 04'!$B$18:$B$200),'Бланк OLD 2.0 04 '!$B$16:$K$200,2,0)))</f>
        <v/>
      </c>
      <c r="F368" s="147" t="str">
        <f ca="1">IFERROR(IFERROR(IF(VLOOKUP($A368,'Шаг2.Бланк заказа NEW'!$B$17:$N$201,3,0)="","",VLOOKUP($A368,'Шаг2.Бланк заказа NEW'!$B$17:$N$201,3,0)),
IF(VLOOKUP($A368-COUNT('Шаг2.Бланк заказа NEW'!$B$19:$B$201),'Бланк OLD 0.8 04'!$B$12:$K$200,3,0)="","",VLOOKUP($A368-COUNT('Шаг2.Бланк заказа NEW'!$B$19:$B$201),'Бланк OLD 0.8 04'!$B$12:$K$200,3,0))),
IF(VLOOKUP($A368-COUNT('Шаг2.Бланк заказа NEW'!$B$19:$B$201)-COUNT('Бланк OLD 0.8 04'!$B$18:$B$200),'Бланк OLD 2.0 04 '!$B$16:$K$200,3,0)="","",VLOOKUP($A368-COUNT('Шаг2.Бланк заказа NEW'!$B$19:$B$201)-COUNT('Бланк OLD 0.8 04'!$B$18:$B$200),'Бланк OLD 2.0 04 '!$B$16:$K$200,3,0)))</f>
        <v/>
      </c>
      <c r="G368" s="176" t="str">
        <f ca="1">IF(IF(R368="","",IF(R368=1,SUMIFS('Шаг1.Выбор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плиты'!C:Q,12,0)),1))))))=0,
R368,
IF(R368="","",IF(R368=1,SUMIFS('Шаг1.Выбор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плиты'!N:N,R368,'Шаг1.Выбор плиты'!M:M,SMALL(INDIRECT("мм"&amp;VLOOKUP(C368,'Шаг1.Выбор плиты'!C:Q,12,0)),1)))))))</f>
        <v/>
      </c>
      <c r="H368" s="177" t="str">
        <f ca="1">IF(IF(S368="","",IF(S368=1,SUMIFS('Шаг1.Выбор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плиты'!C:Q,12,0)),1))))))=0,
S368,
IF(S368="","",IF(S368=1,SUMIFS('Шаг1.Выбор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плиты'!N:N,S368,'Шаг1.Выбор плиты'!M:M,SMALL(INDIRECT("мм"&amp;VLOOKUP(C368,'Шаг1.Выбор плиты'!C:Q,12,0)),1)))))))</f>
        <v/>
      </c>
      <c r="I368" s="147" t="str">
        <f ca="1">IFERROR(IFERROR(IF(VLOOKUP($A368,'Шаг2.Бланк заказа NEW'!$B$17:$N$201,6,0)="","",VLOOKUP($A368,'Шаг2.Бланк заказа NEW'!$B$17:$N$201,6,0)),
IF(VLOOKUP($A368-COUNT('Шаг2.Бланк заказа NEW'!$B$19:$B$201),'Бланк OLD 0.8 04'!$B$12:$K$200,6,0)="","",VLOOKUP($A368-COUNT('Шаг2.Бланк заказа NEW'!$B$19:$B$201),'Бланк OLD 0.8 04'!$B$12:$K$200,6,0))),
IF(VLOOKUP($A368-COUNT('Шаг2.Бланк заказа NEW'!$B$19:$B$201)-COUNT('Бланк OLD 0.8 04'!$B$18:$B$200),'Бланк OLD 2.0 04 '!$B$16:$K$200,6,0)="","",VLOOKUP($A368-COUNT('Шаг2.Бланк заказа NEW'!$B$19:$B$201)-COUNT('Бланк OLD 0.8 04'!$B$18:$B$200),'Бланк OLD 2.0 04 '!$B$16:$K$200,6,0)))</f>
        <v/>
      </c>
      <c r="J368" s="177" t="str">
        <f ca="1">IF(IF(T368="","",IF(T368=1,SUMIFS('Шаг1.Выбор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плиты'!C:Q,12,0)),1))))))=0,
T368,
IF(T368="","",IF(T368=1,SUMIFS('Шаг1.Выбор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плиты'!N:N,T368,'Шаг1.Выбор плиты'!M:M,SMALL(INDIRECT("мм"&amp;VLOOKUP(C368,'Шаг1.Выбор плиты'!C:Q,12,0)),1)))))))</f>
        <v/>
      </c>
      <c r="K368" s="177" t="str">
        <f ca="1">IF(IF(U368="","",IF(U368=1,SUMIFS('Шаг1.Выбор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плиты'!C:Q,12,0)),1))))))=0,
U368,
IF(U368="","",IF(U368=1,SUMIFS('Шаг1.Выбор плиты'!$G:$G,'Шаг1.Выбор плиты'!J:J,"*"&amp;RIGHT(VLOOKUP(C368,'Шаг1.Выбор плиты'!C:Q,8,0),4),'Шаг1.Выбор плиты'!L:L,IF(MID(C368,1,6)="ЛДСП P","TM"&amp;MID(VLOOKUP(C368,'Шаг1.Выбор плиты'!C:Q,10,0),3,2),MID(VLOOKUP(C368,'Шаг1.Выбор плиты'!C:Q,10,0),1,2)),
'Шаг1.Выбор плиты'!N:N,1),IF(SUMIFS('Шаг1.Выбор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плиты'!C:Q,12,0)),1))=0,
IF(SUMIFS('Шаг1.Выбор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плиты'!C:Q,12,0)),2))=0,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плиты'!C:Q,12,0)),3)),
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плиты'!C:Q,12,0)),2))),
(SUMIFS('Шаг1.Выбор плиты'!$G:$G,'Шаг1.Выбор плиты'!J:J,"*"&amp;RIGHT(VLOOKUP(C368,'Шаг1.Выбор плиты'!C:Q,8,0),4),'Шаг1.Выбор плиты'!L:L,VLOOKUP(C368,'Шаг1.Выбор плиты'!C:Q,10,0),'Шаг1.Выбор плиты'!N:N,U368,'Шаг1.Выбор плиты'!M:M,SMALL(INDIRECT("мм"&amp;VLOOKUP(C368,'Шаг1.Выбор плиты'!C:Q,12,0)),1)))))))</f>
        <v/>
      </c>
      <c r="L368" s="147" t="str">
        <f ca="1">IFERROR(IFERROR(IF(VLOOKUP($A368,'Шаг2.Бланк заказа NEW'!$B$17:$N$201,9,0)="","",VLOOKUP($A368,'Шаг2.Бланк заказа NEW'!$B$17:$N$201,9,0)),
IF(VLOOKUP($A368-COUNT('Шаг2.Бланк заказа NEW'!$B$19:$B$201),'Бланк OLD 0.8 04'!$B$12:$K$200,9,0)="","",VLOOKUP($A368-COUNT('Шаг2.Бланк заказа NEW'!$B$19:$B$201),'Бланк OLD 0.8 04'!$B$12:$K$200,9,0))),
IF(VLOOKUP($A368-COUNT('Шаг2.Бланк заказа NEW'!$B$19:$B$201)-COUNT('Бланк OLD 0.8 04'!$B$18:$B$200),'Бланк OLD 2.0 04 '!$B$16:$K$200,9,0)="","",VLOOKUP($A368-COUNT('Шаг2.Бланк заказа NEW'!$B$19:$B$201)-COUNT('Бланк OLD 0.8 04'!$B$18:$B$200),'Бланк OLD 2.0 04 '!$B$16:$K$200,9,0)))</f>
        <v/>
      </c>
      <c r="M368" s="154" t="str">
        <f t="shared" ca="1" si="33"/>
        <v/>
      </c>
      <c r="N368" s="153" t="str">
        <f ca="1">IFERROR(IF(VLOOKUP($A368,'Шаг2.Бланк заказа NEW'!$B$17:$N$201,11,0)="","",VLOOKUP($A368,'Шаг2.Бланк заказа NEW'!$B$17:$N$201,11,0)),
"Нет")</f>
        <v/>
      </c>
      <c r="O368" s="147" t="str">
        <f ca="1">IFERROR(IF(VLOOKUP($A368,'Шаг2.Бланк заказа NEW'!$B$17:$N$201,11,0)="","",VLOOKUP($A368,'Шаг2.Бланк заказа NEW'!$B$17:$N$201,12,0)),
"Нет")</f>
        <v/>
      </c>
      <c r="P368" s="153" t="str">
        <f ca="1">IFERROR(IF(VLOOKUP($A368,'Шаг2.Бланк заказа NEW'!$B$17:$N$201,13,0)="","",VLOOKUP($A368,'Шаг2.Бланк заказа NEW'!$B$17:$N$201,13,0)),
"Нет")</f>
        <v/>
      </c>
      <c r="Q368" s="147" t="str">
        <f ca="1">IFERROR(IF(VLOOKUP($A368,'Шаг2.Бланк заказа NEW'!$B$17:$O$201,14,0)="","",VLOOKUP($A368,'Шаг2.Бланк заказа NEW'!$B$17:$O$201,14,0)),"")</f>
        <v/>
      </c>
      <c r="R368" s="147" t="str">
        <f ca="1">IFERROR(IFERROR(IF(VLOOKUP($A368,'Шаг2.Бланк заказа NEW'!$B$17:$N$201,4,0)="","",VLOOKUP($A368,'Шаг2.Бланк заказа NEW'!$B$17:$N$201,4,0)),
IF(VLOOKUP($A368-COUNT('Шаг2.Бланк заказа NEW'!$B$19:$B$201),'Бланк OLD 0.8 04'!$B$12:$K$200,4,0)&gt;0,0.8,
IF(VLOOKUP($A368-COUNT('Шаг2.Бланк заказа NEW'!$B$19:$B$201),'Бланк OLD 0.8 04'!$B$12:$K$200,5,0)&gt;0,0.4,""))),
IF(VLOOKUP($A368-COUNT('Шаг2.Бланк заказа NEW'!$B$19:$B$201)-COUNT('Бланк OLD 0.8 04'!$B$18:$B$200),'Бланк OLD 2.0 04 '!$B$16:$K$200,4,0)&gt;0,2,IF(VLOOKUP($A368-COUNT('Шаг2.Бланк заказа NEW'!$B$19:$B$201)-COUNT('Бланк OLD 0.8 04'!$B$18:$B$200),'Бланк OLD 2.0 04 '!$B$16:$K$200,5,0)&gt;0,0.4,"")))</f>
        <v/>
      </c>
      <c r="S368" s="147" t="str">
        <f ca="1">IFERROR(IFERROR(IF(VLOOKUP($A368,'Шаг2.Бланк заказа NEW'!$B$17:$N$201,5,0)="","",VLOOKUP($A368,'Шаг2.Бланк заказа NEW'!$B$17:$N$201,5,0)),
IF(VLOOKUP($A368-COUNT('Шаг2.Бланк заказа NEW'!$B$19:$B$201),'Бланк OLD 0.8 04'!$B$12:$K$200,4,0)&gt;1,0.8,
IF(VLOOKUP($A368-COUNT('Шаг2.Бланк заказа NEW'!$B$19:$B$201),'Бланк OLD 0.8 04'!$B$12:$K$200,5,0)&gt;1,0.4,
IF(AND(VLOOKUP($A368-COUNT('Шаг2.Бланк заказа NEW'!$B$19:$B$201),'Бланк OLD 0.8 04'!$B$12:$K$200,4,0)&gt;0,VLOOKUP($A368-COUNT('Шаг2.Бланк заказа NEW'!$B$19:$B$201),'Бланк OLD 0.8 04'!$B$12:$K$200,5,0)&gt;0),0.4,"")))),
IF(VLOOKUP($A368-COUNT('Шаг2.Бланк заказа NEW'!$B$19:$B$201)-COUNT('Бланк OLD 0.8 04'!$B$18:$B$200),'Бланк OLD 2.0 04 '!$B$16:$K$200,4,0)&gt;1,2,
IF(VLOOKUP($A368-COUNT('Шаг2.Бланк заказа NEW'!$B$19:$B$201)-COUNT('Бланк OLD 0.8 04'!$B$18:$B$200),'Бланк OLD 2.0 04 '!$B$16:$K$200,5,0)&gt;1,0.4,IF(AND(VLOOKUP($A368-COUNT('Шаг2.Бланк заказа NEW'!$B$19:$B$201)-COUNT('Бланк OLD 0.8 04'!$B$18:$B$200),'Бланк OLD 2.0 04 '!$B$16:$K$200,4,0)&gt;0,VLOOKUP($A368-COUNT('Шаг2.Бланк заказа NEW'!$B$19:$B$201)-COUNT('Бланк OLD 0.8 04'!$B$18:$B$200),'Бланк OLD 2.0 04 '!$B$16:$K$200,5,0)&gt;0),0.4,""))))</f>
        <v/>
      </c>
      <c r="T368" s="147" t="str">
        <f ca="1">IFERROR(IFERROR(IF(VLOOKUP($A368,'Шаг2.Бланк заказа NEW'!$B$17:$N$201,7,0)="","",VLOOKUP($A368,'Шаг2.Бланк заказа NEW'!$B$17:$N$201,7,0)),
IF(VLOOKUP($A368-COUNT('Шаг2.Бланк заказа NEW'!$B$19:$B$201),'Бланк OLD 0.8 04'!$B$12:$K$200,7,0)&gt;0,0.8,
IF(VLOOKUP($A368-COUNT('Шаг2.Бланк заказа NEW'!$B$19:$B$201),'Бланк OLD 0.8 04'!$B$12:$K$200,8,0)&gt;0,0.4,""))),
IF(VLOOKUP($A368-COUNT('Шаг2.Бланк заказа NEW'!$B$19:$B$201)-COUNT('Бланк OLD 0.8 04'!$B$18:$B$200),'Бланк OLD 2.0 04 '!$B$16:$K$200,7,0)&gt;0,2,IF(VLOOKUP($A368-COUNT('Шаг2.Бланк заказа NEW'!$B$19:$B$201)-COUNT('Бланк OLD 0.8 04'!$B$18:$B$200),'Бланк OLD 2.0 04 '!$B$16:$K$200,8,0)&gt;0,0.4,"")))</f>
        <v/>
      </c>
      <c r="U368" s="147" t="str">
        <f ca="1">IFERROR(IFERROR(IF(VLOOKUP($A368,'Шаг2.Бланк заказа NEW'!$B$17:$N$201,8,0)="","",VLOOKUP($A368,'Шаг2.Бланк заказа NEW'!$B$17:$N$201,8,0)),
IF(VLOOKUP($A368-COUNT('Шаг2.Бланк заказа NEW'!$B$19:$B$201),'Бланк OLD 0.8 04'!$B$12:$K$200,7,0)&gt;1,0.8,
IF(VLOOKUP($A368-COUNT('Шаг2.Бланк заказа NEW'!$B$19:$B$201),'Бланк OLD 0.8 04'!$B$12:$K$200,8,0)&gt;1,0.4,
IF(AND(VLOOKUP($A368-COUNT('Шаг2.Бланк заказа NEW'!$B$19:$B$201),'Бланк OLD 0.8 04'!$B$12:$K$200,7,0)&gt;0,VLOOKUP($A368-COUNT('Шаг2.Бланк заказа NEW'!$B$19:$B$201),'Бланк OLD 0.8 04'!$B$12:$K$200,8,0)&gt;0),0.4,"")))),
IF(VLOOKUP($A368-COUNT('Шаг2.Бланк заказа NEW'!$B$19:$B$201)-COUNT('Бланк OLD 0.8 04'!$B$18:$B$200),'Бланк OLD 2.0 04 '!$B$16:$K$200,7,0)&gt;1,2,
IF(VLOOKUP($A368-COUNT('Шаг2.Бланк заказа NEW'!$B$19:$B$201)-COUNT('Бланк OLD 0.8 04'!$B$18:$B$200),'Бланк OLD 2.0 04 '!$B$16:$K$200,8,0)&gt;1,0.4,
IF(AND(VLOOKUP($A368-COUNT('Шаг2.Бланк заказа NEW'!$B$19:$B$201)-COUNT('Бланк OLD 0.8 04'!$B$18:$B$200),'Бланк OLD 2.0 04 '!$B$16:$K$200,7,0)&gt;0,VLOOKUP($A368-COUNT('Шаг2.Бланк заказа NEW'!$B$19:$B$201)-COUNT('Бланк OLD 0.8 04'!$B$18:$B$200),'Бланк OLD 2.0 04 '!$B$16:$K$200,8,0)&gt;0),0.4,""))))</f>
        <v/>
      </c>
      <c r="V368" s="146" t="str">
        <f ca="1">IFERROR(VLOOKUP(C368,'Шаг1.Выбор плиты'!C:S,12,0),"")</f>
        <v/>
      </c>
      <c r="W368" s="146" t="str">
        <f ca="1">IFERROR(VLOOKUP(C368,'Шаг1.Выбор плиты'!C:S,8,0),"")</f>
        <v/>
      </c>
      <c r="X368" s="146" t="str">
        <f ca="1">IFERROR(VLOOKUP(C368,'Шаг1.Выбор плиты'!C:S,10,0),"")</f>
        <v/>
      </c>
      <c r="Y368" s="147" t="str">
        <f t="shared" ca="1" si="28"/>
        <v/>
      </c>
      <c r="AD368" s="147" t="str">
        <f t="shared" ca="1" si="34"/>
        <v/>
      </c>
      <c r="AE368" s="147" t="str">
        <f t="shared" ca="1" si="29"/>
        <v/>
      </c>
      <c r="AF368" s="25"/>
      <c r="AH368" s="147" t="str">
        <f ca="1">IF(C368="","",VLOOKUP(C368,'Шаг1.Выбор плиты'!C:Q,7,0))</f>
        <v/>
      </c>
      <c r="AI368" s="147" t="str">
        <f t="shared" ca="1" si="35"/>
        <v/>
      </c>
    </row>
    <row r="369" spans="1:35" x14ac:dyDescent="0.2">
      <c r="A369" s="151" t="str">
        <f ca="1">IF(C369="","",MAX($A$1:OFFSET(C369,-1,0))+1)</f>
        <v/>
      </c>
      <c r="B369" s="151" t="str">
        <f ca="1">IFERROR(IFERROR(IFERROR("Шаг2.Бланк заказа NEW №"&amp;VLOOKUP(A368+1,CHOOSE({1,2},'Шаг2.Бланк заказа NEW'!$B$19:$B$201,'Шаг2.Бланк заказа NEW'!$A$19:$A$201),1,0),
"Бланк OLD 0.8 04 №"&amp;VLOOKUP(A368+1-COUNT('Шаг2.Бланк заказа NEW'!$B$19:$B$201),CHOOSE({1,2},'Бланк OLD 0.8 04'!$B$18:$B$200,'Бланк OLD 0.8 04'!$A$18:$A$200),1,0)),
"Бланк OLD 2.0 04 №"&amp;VLOOKUP(A368+1-COUNT('Шаг2.Бланк заказа NEW'!$B$19:$B$201)-COUNT('Бланк OLD 0.8 04'!$B$18:$B$200),CHOOSE({1,2},'Бланк OLD 2.0 04 '!$B$18:$B$200,'Бланк OLD 2.0 04 '!$A$18:$A$200),1,0)),"")</f>
        <v/>
      </c>
      <c r="C369" s="152" t="str">
        <f ca="1">IFERROR(IFERROR(IFERROR(VLOOKUP(A368+1,CHOOSE({1,2},'Шаг2.Бланк заказа NEW'!$B$19:$B$201,'Шаг2.Бланк заказа NEW'!$A$19:$A$201),2,0),
VLOOKUP(A368+1-COUNT('Шаг2.Бланк заказа NEW'!$B$19:$B$201),CHOOSE({1,2},'Бланк OLD 0.8 04'!$B$18:$B$200,'Бланк OLD 0.8 04'!$A$18:$A$200),2,0)),
VLOOKUP(A368+1-COUNT('Шаг2.Бланк заказа NEW'!$B$19:$B$201)-COUNT('Бланк OLD 0.8 04'!$B$18:$B$200),CHOOSE({1,2},'Бланк OLD 2.0 04 '!$B$18:$B$200,'Бланк OLD 2.0 04 '!$A$18:$A$200),2,0)),"")</f>
        <v/>
      </c>
      <c r="D369" s="150" t="str">
        <f ca="1">IFERROR(VLOOKUP(C369,'Шаг1.Выбор плиты'!C:G,5,0),"")</f>
        <v/>
      </c>
      <c r="E369" s="147" t="str">
        <f ca="1">IFERROR(IFERROR(IF(VLOOKUP($A369,'Шаг2.Бланк заказа NEW'!$B$17:$N$201,2,0)="","",VLOOKUP($A369,'Шаг2.Бланк заказа NEW'!$B$17:$N$201,2,0)),
IF(VLOOKUP($A369-COUNT('Шаг2.Бланк заказа NEW'!$B$19:$B$201),'Бланк OLD 0.8 04'!$B$12:$K$200,2,0)="","",VLOOKUP($A369-COUNT('Шаг2.Бланк заказа NEW'!$B$19:$B$201),'Бланк OLD 0.8 04'!$B$12:$K$200,2,0))),
IF(VLOOKUP($A369-COUNT('Шаг2.Бланк заказа NEW'!$B$19:$B$201)-COUNT('Бланк OLD 0.8 04'!$B$18:$B$200),'Бланк OLD 2.0 04 '!$B$16:$K$200,2,0)="","",VLOOKUP($A369-COUNT('Шаг2.Бланк заказа NEW'!$B$19:$B$201)-COUNT('Бланк OLD 0.8 04'!$B$18:$B$200),'Бланк OLD 2.0 04 '!$B$16:$K$200,2,0)))</f>
        <v/>
      </c>
      <c r="F369" s="147" t="str">
        <f ca="1">IFERROR(IFERROR(IF(VLOOKUP($A369,'Шаг2.Бланк заказа NEW'!$B$17:$N$201,3,0)="","",VLOOKUP($A369,'Шаг2.Бланк заказа NEW'!$B$17:$N$201,3,0)),
IF(VLOOKUP($A369-COUNT('Шаг2.Бланк заказа NEW'!$B$19:$B$201),'Бланк OLD 0.8 04'!$B$12:$K$200,3,0)="","",VLOOKUP($A369-COUNT('Шаг2.Бланк заказа NEW'!$B$19:$B$201),'Бланк OLD 0.8 04'!$B$12:$K$200,3,0))),
IF(VLOOKUP($A369-COUNT('Шаг2.Бланк заказа NEW'!$B$19:$B$201)-COUNT('Бланк OLD 0.8 04'!$B$18:$B$200),'Бланк OLD 2.0 04 '!$B$16:$K$200,3,0)="","",VLOOKUP($A369-COUNT('Шаг2.Бланк заказа NEW'!$B$19:$B$201)-COUNT('Бланк OLD 0.8 04'!$B$18:$B$200),'Бланк OLD 2.0 04 '!$B$16:$K$200,3,0)))</f>
        <v/>
      </c>
      <c r="G369" s="176" t="str">
        <f ca="1">IF(IF(R369="","",IF(R369=1,SUMIFS('Шаг1.Выбор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плиты'!C:Q,12,0)),1))))))=0,
R369,
IF(R369="","",IF(R369=1,SUMIFS('Шаг1.Выбор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плиты'!N:N,R369,'Шаг1.Выбор плиты'!M:M,SMALL(INDIRECT("мм"&amp;VLOOKUP(C369,'Шаг1.Выбор плиты'!C:Q,12,0)),1)))))))</f>
        <v/>
      </c>
      <c r="H369" s="177" t="str">
        <f ca="1">IF(IF(S369="","",IF(S369=1,SUMIFS('Шаг1.Выбор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плиты'!C:Q,12,0)),1))))))=0,
S369,
IF(S369="","",IF(S369=1,SUMIFS('Шаг1.Выбор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плиты'!N:N,S369,'Шаг1.Выбор плиты'!M:M,SMALL(INDIRECT("мм"&amp;VLOOKUP(C369,'Шаг1.Выбор плиты'!C:Q,12,0)),1)))))))</f>
        <v/>
      </c>
      <c r="I369" s="147" t="str">
        <f ca="1">IFERROR(IFERROR(IF(VLOOKUP($A369,'Шаг2.Бланк заказа NEW'!$B$17:$N$201,6,0)="","",VLOOKUP($A369,'Шаг2.Бланк заказа NEW'!$B$17:$N$201,6,0)),
IF(VLOOKUP($A369-COUNT('Шаг2.Бланк заказа NEW'!$B$19:$B$201),'Бланк OLD 0.8 04'!$B$12:$K$200,6,0)="","",VLOOKUP($A369-COUNT('Шаг2.Бланк заказа NEW'!$B$19:$B$201),'Бланк OLD 0.8 04'!$B$12:$K$200,6,0))),
IF(VLOOKUP($A369-COUNT('Шаг2.Бланк заказа NEW'!$B$19:$B$201)-COUNT('Бланк OLD 0.8 04'!$B$18:$B$200),'Бланк OLD 2.0 04 '!$B$16:$K$200,6,0)="","",VLOOKUP($A369-COUNT('Шаг2.Бланк заказа NEW'!$B$19:$B$201)-COUNT('Бланк OLD 0.8 04'!$B$18:$B$200),'Бланк OLD 2.0 04 '!$B$16:$K$200,6,0)))</f>
        <v/>
      </c>
      <c r="J369" s="177" t="str">
        <f ca="1">IF(IF(T369="","",IF(T369=1,SUMIFS('Шаг1.Выбор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плиты'!C:Q,12,0)),1))))))=0,
T369,
IF(T369="","",IF(T369=1,SUMIFS('Шаг1.Выбор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плиты'!N:N,T369,'Шаг1.Выбор плиты'!M:M,SMALL(INDIRECT("мм"&amp;VLOOKUP(C369,'Шаг1.Выбор плиты'!C:Q,12,0)),1)))))))</f>
        <v/>
      </c>
      <c r="K369" s="177" t="str">
        <f ca="1">IF(IF(U369="","",IF(U369=1,SUMIFS('Шаг1.Выбор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плиты'!C:Q,12,0)),1))))))=0,
U369,
IF(U369="","",IF(U369=1,SUMIFS('Шаг1.Выбор плиты'!$G:$G,'Шаг1.Выбор плиты'!J:J,"*"&amp;RIGHT(VLOOKUP(C369,'Шаг1.Выбор плиты'!C:Q,8,0),4),'Шаг1.Выбор плиты'!L:L,IF(MID(C369,1,6)="ЛДСП P","TM"&amp;MID(VLOOKUP(C369,'Шаг1.Выбор плиты'!C:Q,10,0),3,2),MID(VLOOKUP(C369,'Шаг1.Выбор плиты'!C:Q,10,0),1,2)),
'Шаг1.Выбор плиты'!N:N,1),IF(SUMIFS('Шаг1.Выбор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плиты'!C:Q,12,0)),1))=0,
IF(SUMIFS('Шаг1.Выбор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плиты'!C:Q,12,0)),2))=0,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плиты'!C:Q,12,0)),3)),
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плиты'!C:Q,12,0)),2))),
(SUMIFS('Шаг1.Выбор плиты'!$G:$G,'Шаг1.Выбор плиты'!J:J,"*"&amp;RIGHT(VLOOKUP(C369,'Шаг1.Выбор плиты'!C:Q,8,0),4),'Шаг1.Выбор плиты'!L:L,VLOOKUP(C369,'Шаг1.Выбор плиты'!C:Q,10,0),'Шаг1.Выбор плиты'!N:N,U369,'Шаг1.Выбор плиты'!M:M,SMALL(INDIRECT("мм"&amp;VLOOKUP(C369,'Шаг1.Выбор плиты'!C:Q,12,0)),1)))))))</f>
        <v/>
      </c>
      <c r="L369" s="147" t="str">
        <f ca="1">IFERROR(IFERROR(IF(VLOOKUP($A369,'Шаг2.Бланк заказа NEW'!$B$17:$N$201,9,0)="","",VLOOKUP($A369,'Шаг2.Бланк заказа NEW'!$B$17:$N$201,9,0)),
IF(VLOOKUP($A369-COUNT('Шаг2.Бланк заказа NEW'!$B$19:$B$201),'Бланк OLD 0.8 04'!$B$12:$K$200,9,0)="","",VLOOKUP($A369-COUNT('Шаг2.Бланк заказа NEW'!$B$19:$B$201),'Бланк OLD 0.8 04'!$B$12:$K$200,9,0))),
IF(VLOOKUP($A369-COUNT('Шаг2.Бланк заказа NEW'!$B$19:$B$201)-COUNT('Бланк OLD 0.8 04'!$B$18:$B$200),'Бланк OLD 2.0 04 '!$B$16:$K$200,9,0)="","",VLOOKUP($A369-COUNT('Шаг2.Бланк заказа NEW'!$B$19:$B$201)-COUNT('Бланк OLD 0.8 04'!$B$18:$B$200),'Бланк OLD 2.0 04 '!$B$16:$K$200,9,0)))</f>
        <v/>
      </c>
      <c r="M369" s="154" t="str">
        <f t="shared" ca="1" si="33"/>
        <v/>
      </c>
      <c r="N369" s="153" t="str">
        <f ca="1">IFERROR(IF(VLOOKUP($A369,'Шаг2.Бланк заказа NEW'!$B$17:$N$201,11,0)="","",VLOOKUP($A369,'Шаг2.Бланк заказа NEW'!$B$17:$N$201,11,0)),
"Нет")</f>
        <v/>
      </c>
      <c r="O369" s="147" t="str">
        <f ca="1">IFERROR(IF(VLOOKUP($A369,'Шаг2.Бланк заказа NEW'!$B$17:$N$201,11,0)="","",VLOOKUP($A369,'Шаг2.Бланк заказа NEW'!$B$17:$N$201,12,0)),
"Нет")</f>
        <v/>
      </c>
      <c r="P369" s="153" t="str">
        <f ca="1">IFERROR(IF(VLOOKUP($A369,'Шаг2.Бланк заказа NEW'!$B$17:$N$201,13,0)="","",VLOOKUP($A369,'Шаг2.Бланк заказа NEW'!$B$17:$N$201,13,0)),
"Нет")</f>
        <v/>
      </c>
      <c r="Q369" s="147" t="str">
        <f ca="1">IFERROR(IF(VLOOKUP($A369,'Шаг2.Бланк заказа NEW'!$B$17:$O$201,14,0)="","",VLOOKUP($A369,'Шаг2.Бланк заказа NEW'!$B$17:$O$201,14,0)),"")</f>
        <v/>
      </c>
      <c r="R369" s="147" t="str">
        <f ca="1">IFERROR(IFERROR(IF(VLOOKUP($A369,'Шаг2.Бланк заказа NEW'!$B$17:$N$201,4,0)="","",VLOOKUP($A369,'Шаг2.Бланк заказа NEW'!$B$17:$N$201,4,0)),
IF(VLOOKUP($A369-COUNT('Шаг2.Бланк заказа NEW'!$B$19:$B$201),'Бланк OLD 0.8 04'!$B$12:$K$200,4,0)&gt;0,0.8,
IF(VLOOKUP($A369-COUNT('Шаг2.Бланк заказа NEW'!$B$19:$B$201),'Бланк OLD 0.8 04'!$B$12:$K$200,5,0)&gt;0,0.4,""))),
IF(VLOOKUP($A369-COUNT('Шаг2.Бланк заказа NEW'!$B$19:$B$201)-COUNT('Бланк OLD 0.8 04'!$B$18:$B$200),'Бланк OLD 2.0 04 '!$B$16:$K$200,4,0)&gt;0,2,IF(VLOOKUP($A369-COUNT('Шаг2.Бланк заказа NEW'!$B$19:$B$201)-COUNT('Бланк OLD 0.8 04'!$B$18:$B$200),'Бланк OLD 2.0 04 '!$B$16:$K$200,5,0)&gt;0,0.4,"")))</f>
        <v/>
      </c>
      <c r="S369" s="147" t="str">
        <f ca="1">IFERROR(IFERROR(IF(VLOOKUP($A369,'Шаг2.Бланк заказа NEW'!$B$17:$N$201,5,0)="","",VLOOKUP($A369,'Шаг2.Бланк заказа NEW'!$B$17:$N$201,5,0)),
IF(VLOOKUP($A369-COUNT('Шаг2.Бланк заказа NEW'!$B$19:$B$201),'Бланк OLD 0.8 04'!$B$12:$K$200,4,0)&gt;1,0.8,
IF(VLOOKUP($A369-COUNT('Шаг2.Бланк заказа NEW'!$B$19:$B$201),'Бланк OLD 0.8 04'!$B$12:$K$200,5,0)&gt;1,0.4,
IF(AND(VLOOKUP($A369-COUNT('Шаг2.Бланк заказа NEW'!$B$19:$B$201),'Бланк OLD 0.8 04'!$B$12:$K$200,4,0)&gt;0,VLOOKUP($A369-COUNT('Шаг2.Бланк заказа NEW'!$B$19:$B$201),'Бланк OLD 0.8 04'!$B$12:$K$200,5,0)&gt;0),0.4,"")))),
IF(VLOOKUP($A369-COUNT('Шаг2.Бланк заказа NEW'!$B$19:$B$201)-COUNT('Бланк OLD 0.8 04'!$B$18:$B$200),'Бланк OLD 2.0 04 '!$B$16:$K$200,4,0)&gt;1,2,
IF(VLOOKUP($A369-COUNT('Шаг2.Бланк заказа NEW'!$B$19:$B$201)-COUNT('Бланк OLD 0.8 04'!$B$18:$B$200),'Бланк OLD 2.0 04 '!$B$16:$K$200,5,0)&gt;1,0.4,IF(AND(VLOOKUP($A369-COUNT('Шаг2.Бланк заказа NEW'!$B$19:$B$201)-COUNT('Бланк OLD 0.8 04'!$B$18:$B$200),'Бланк OLD 2.0 04 '!$B$16:$K$200,4,0)&gt;0,VLOOKUP($A369-COUNT('Шаг2.Бланк заказа NEW'!$B$19:$B$201)-COUNT('Бланк OLD 0.8 04'!$B$18:$B$200),'Бланк OLD 2.0 04 '!$B$16:$K$200,5,0)&gt;0),0.4,""))))</f>
        <v/>
      </c>
      <c r="T369" s="147" t="str">
        <f ca="1">IFERROR(IFERROR(IF(VLOOKUP($A369,'Шаг2.Бланк заказа NEW'!$B$17:$N$201,7,0)="","",VLOOKUP($A369,'Шаг2.Бланк заказа NEW'!$B$17:$N$201,7,0)),
IF(VLOOKUP($A369-COUNT('Шаг2.Бланк заказа NEW'!$B$19:$B$201),'Бланк OLD 0.8 04'!$B$12:$K$200,7,0)&gt;0,0.8,
IF(VLOOKUP($A369-COUNT('Шаг2.Бланк заказа NEW'!$B$19:$B$201),'Бланк OLD 0.8 04'!$B$12:$K$200,8,0)&gt;0,0.4,""))),
IF(VLOOKUP($A369-COUNT('Шаг2.Бланк заказа NEW'!$B$19:$B$201)-COUNT('Бланк OLD 0.8 04'!$B$18:$B$200),'Бланк OLD 2.0 04 '!$B$16:$K$200,7,0)&gt;0,2,IF(VLOOKUP($A369-COUNT('Шаг2.Бланк заказа NEW'!$B$19:$B$201)-COUNT('Бланк OLD 0.8 04'!$B$18:$B$200),'Бланк OLD 2.0 04 '!$B$16:$K$200,8,0)&gt;0,0.4,"")))</f>
        <v/>
      </c>
      <c r="U369" s="147" t="str">
        <f ca="1">IFERROR(IFERROR(IF(VLOOKUP($A369,'Шаг2.Бланк заказа NEW'!$B$17:$N$201,8,0)="","",VLOOKUP($A369,'Шаг2.Бланк заказа NEW'!$B$17:$N$201,8,0)),
IF(VLOOKUP($A369-COUNT('Шаг2.Бланк заказа NEW'!$B$19:$B$201),'Бланк OLD 0.8 04'!$B$12:$K$200,7,0)&gt;1,0.8,
IF(VLOOKUP($A369-COUNT('Шаг2.Бланк заказа NEW'!$B$19:$B$201),'Бланк OLD 0.8 04'!$B$12:$K$200,8,0)&gt;1,0.4,
IF(AND(VLOOKUP($A369-COUNT('Шаг2.Бланк заказа NEW'!$B$19:$B$201),'Бланк OLD 0.8 04'!$B$12:$K$200,7,0)&gt;0,VLOOKUP($A369-COUNT('Шаг2.Бланк заказа NEW'!$B$19:$B$201),'Бланк OLD 0.8 04'!$B$12:$K$200,8,0)&gt;0),0.4,"")))),
IF(VLOOKUP($A369-COUNT('Шаг2.Бланк заказа NEW'!$B$19:$B$201)-COUNT('Бланк OLD 0.8 04'!$B$18:$B$200),'Бланк OLD 2.0 04 '!$B$16:$K$200,7,0)&gt;1,2,
IF(VLOOKUP($A369-COUNT('Шаг2.Бланк заказа NEW'!$B$19:$B$201)-COUNT('Бланк OLD 0.8 04'!$B$18:$B$200),'Бланк OLD 2.0 04 '!$B$16:$K$200,8,0)&gt;1,0.4,
IF(AND(VLOOKUP($A369-COUNT('Шаг2.Бланк заказа NEW'!$B$19:$B$201)-COUNT('Бланк OLD 0.8 04'!$B$18:$B$200),'Бланк OLD 2.0 04 '!$B$16:$K$200,7,0)&gt;0,VLOOKUP($A369-COUNT('Шаг2.Бланк заказа NEW'!$B$19:$B$201)-COUNT('Бланк OLD 0.8 04'!$B$18:$B$200),'Бланк OLD 2.0 04 '!$B$16:$K$200,8,0)&gt;0),0.4,""))))</f>
        <v/>
      </c>
      <c r="V369" s="146" t="str">
        <f ca="1">IFERROR(VLOOKUP(C369,'Шаг1.Выбор плиты'!C:S,12,0),"")</f>
        <v/>
      </c>
      <c r="W369" s="146" t="str">
        <f ca="1">IFERROR(VLOOKUP(C369,'Шаг1.Выбор плиты'!C:S,8,0),"")</f>
        <v/>
      </c>
      <c r="X369" s="146" t="str">
        <f ca="1">IFERROR(VLOOKUP(C369,'Шаг1.Выбор плиты'!C:S,10,0),"")</f>
        <v/>
      </c>
      <c r="Y369" s="147" t="str">
        <f t="shared" ca="1" si="28"/>
        <v/>
      </c>
      <c r="AD369" s="147" t="str">
        <f t="shared" ca="1" si="34"/>
        <v/>
      </c>
      <c r="AE369" s="147" t="str">
        <f t="shared" ca="1" si="29"/>
        <v/>
      </c>
      <c r="AF369" s="25"/>
      <c r="AH369" s="147" t="str">
        <f ca="1">IF(C369="","",VLOOKUP(C369,'Шаг1.Выбор плиты'!C:Q,7,0))</f>
        <v/>
      </c>
      <c r="AI369" s="147" t="str">
        <f t="shared" ca="1" si="35"/>
        <v/>
      </c>
    </row>
    <row r="370" spans="1:35" x14ac:dyDescent="0.2">
      <c r="A370" s="151" t="str">
        <f ca="1">IF(C370="","",MAX($A$1:OFFSET(C370,-1,0))+1)</f>
        <v/>
      </c>
      <c r="B370" s="151" t="str">
        <f ca="1">IFERROR(IFERROR(IFERROR("Шаг2.Бланк заказа NEW №"&amp;VLOOKUP(A369+1,CHOOSE({1,2},'Шаг2.Бланк заказа NEW'!$B$19:$B$201,'Шаг2.Бланк заказа NEW'!$A$19:$A$201),1,0),
"Бланк OLD 0.8 04 №"&amp;VLOOKUP(A369+1-COUNT('Шаг2.Бланк заказа NEW'!$B$19:$B$201),CHOOSE({1,2},'Бланк OLD 0.8 04'!$B$18:$B$200,'Бланк OLD 0.8 04'!$A$18:$A$200),1,0)),
"Бланк OLD 2.0 04 №"&amp;VLOOKUP(A369+1-COUNT('Шаг2.Бланк заказа NEW'!$B$19:$B$201)-COUNT('Бланк OLD 0.8 04'!$B$18:$B$200),CHOOSE({1,2},'Бланк OLD 2.0 04 '!$B$18:$B$200,'Бланк OLD 2.0 04 '!$A$18:$A$200),1,0)),"")</f>
        <v/>
      </c>
      <c r="C370" s="152" t="str">
        <f ca="1">IFERROR(IFERROR(IFERROR(VLOOKUP(A369+1,CHOOSE({1,2},'Шаг2.Бланк заказа NEW'!$B$19:$B$201,'Шаг2.Бланк заказа NEW'!$A$19:$A$201),2,0),
VLOOKUP(A369+1-COUNT('Шаг2.Бланк заказа NEW'!$B$19:$B$201),CHOOSE({1,2},'Бланк OLD 0.8 04'!$B$18:$B$200,'Бланк OLD 0.8 04'!$A$18:$A$200),2,0)),
VLOOKUP(A369+1-COUNT('Шаг2.Бланк заказа NEW'!$B$19:$B$201)-COUNT('Бланк OLD 0.8 04'!$B$18:$B$200),CHOOSE({1,2},'Бланк OLD 2.0 04 '!$B$18:$B$200,'Бланк OLD 2.0 04 '!$A$18:$A$200),2,0)),"")</f>
        <v/>
      </c>
      <c r="D370" s="150" t="str">
        <f ca="1">IFERROR(VLOOKUP(C370,'Шаг1.Выбор плиты'!C:G,5,0),"")</f>
        <v/>
      </c>
      <c r="E370" s="147" t="str">
        <f ca="1">IFERROR(IFERROR(IF(VLOOKUP($A370,'Шаг2.Бланк заказа NEW'!$B$17:$N$201,2,0)="","",VLOOKUP($A370,'Шаг2.Бланк заказа NEW'!$B$17:$N$201,2,0)),
IF(VLOOKUP($A370-COUNT('Шаг2.Бланк заказа NEW'!$B$19:$B$201),'Бланк OLD 0.8 04'!$B$12:$K$200,2,0)="","",VLOOKUP($A370-COUNT('Шаг2.Бланк заказа NEW'!$B$19:$B$201),'Бланк OLD 0.8 04'!$B$12:$K$200,2,0))),
IF(VLOOKUP($A370-COUNT('Шаг2.Бланк заказа NEW'!$B$19:$B$201)-COUNT('Бланк OLD 0.8 04'!$B$18:$B$200),'Бланк OLD 2.0 04 '!$B$16:$K$200,2,0)="","",VLOOKUP($A370-COUNT('Шаг2.Бланк заказа NEW'!$B$19:$B$201)-COUNT('Бланк OLD 0.8 04'!$B$18:$B$200),'Бланк OLD 2.0 04 '!$B$16:$K$200,2,0)))</f>
        <v/>
      </c>
      <c r="F370" s="147" t="str">
        <f ca="1">IFERROR(IFERROR(IF(VLOOKUP($A370,'Шаг2.Бланк заказа NEW'!$B$17:$N$201,3,0)="","",VLOOKUP($A370,'Шаг2.Бланк заказа NEW'!$B$17:$N$201,3,0)),
IF(VLOOKUP($A370-COUNT('Шаг2.Бланк заказа NEW'!$B$19:$B$201),'Бланк OLD 0.8 04'!$B$12:$K$200,3,0)="","",VLOOKUP($A370-COUNT('Шаг2.Бланк заказа NEW'!$B$19:$B$201),'Бланк OLD 0.8 04'!$B$12:$K$200,3,0))),
IF(VLOOKUP($A370-COUNT('Шаг2.Бланк заказа NEW'!$B$19:$B$201)-COUNT('Бланк OLD 0.8 04'!$B$18:$B$200),'Бланк OLD 2.0 04 '!$B$16:$K$200,3,0)="","",VLOOKUP($A370-COUNT('Шаг2.Бланк заказа NEW'!$B$19:$B$201)-COUNT('Бланк OLD 0.8 04'!$B$18:$B$200),'Бланк OLD 2.0 04 '!$B$16:$K$200,3,0)))</f>
        <v/>
      </c>
      <c r="G370" s="176" t="str">
        <f ca="1">IF(IF(R370="","",IF(R370=1,SUMIFS('Шаг1.Выбор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плиты'!C:Q,12,0)),1))))))=0,
R370,
IF(R370="","",IF(R370=1,SUMIFS('Шаг1.Выбор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плиты'!N:N,R370,'Шаг1.Выбор плиты'!M:M,SMALL(INDIRECT("мм"&amp;VLOOKUP(C370,'Шаг1.Выбор плиты'!C:Q,12,0)),1)))))))</f>
        <v/>
      </c>
      <c r="H370" s="177" t="str">
        <f ca="1">IF(IF(S370="","",IF(S370=1,SUMIFS('Шаг1.Выбор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плиты'!C:Q,12,0)),1))))))=0,
S370,
IF(S370="","",IF(S370=1,SUMIFS('Шаг1.Выбор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плиты'!N:N,S370,'Шаг1.Выбор плиты'!M:M,SMALL(INDIRECT("мм"&amp;VLOOKUP(C370,'Шаг1.Выбор плиты'!C:Q,12,0)),1)))))))</f>
        <v/>
      </c>
      <c r="I370" s="147" t="str">
        <f ca="1">IFERROR(IFERROR(IF(VLOOKUP($A370,'Шаг2.Бланк заказа NEW'!$B$17:$N$201,6,0)="","",VLOOKUP($A370,'Шаг2.Бланк заказа NEW'!$B$17:$N$201,6,0)),
IF(VLOOKUP($A370-COUNT('Шаг2.Бланк заказа NEW'!$B$19:$B$201),'Бланк OLD 0.8 04'!$B$12:$K$200,6,0)="","",VLOOKUP($A370-COUNT('Шаг2.Бланк заказа NEW'!$B$19:$B$201),'Бланк OLD 0.8 04'!$B$12:$K$200,6,0))),
IF(VLOOKUP($A370-COUNT('Шаг2.Бланк заказа NEW'!$B$19:$B$201)-COUNT('Бланк OLD 0.8 04'!$B$18:$B$200),'Бланк OLD 2.0 04 '!$B$16:$K$200,6,0)="","",VLOOKUP($A370-COUNT('Шаг2.Бланк заказа NEW'!$B$19:$B$201)-COUNT('Бланк OLD 0.8 04'!$B$18:$B$200),'Бланк OLD 2.0 04 '!$B$16:$K$200,6,0)))</f>
        <v/>
      </c>
      <c r="J370" s="177" t="str">
        <f ca="1">IF(IF(T370="","",IF(T370=1,SUMIFS('Шаг1.Выбор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плиты'!C:Q,12,0)),1))))))=0,
T370,
IF(T370="","",IF(T370=1,SUMIFS('Шаг1.Выбор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плиты'!N:N,T370,'Шаг1.Выбор плиты'!M:M,SMALL(INDIRECT("мм"&amp;VLOOKUP(C370,'Шаг1.Выбор плиты'!C:Q,12,0)),1)))))))</f>
        <v/>
      </c>
      <c r="K370" s="177" t="str">
        <f ca="1">IF(IF(U370="","",IF(U370=1,SUMIFS('Шаг1.Выбор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плиты'!C:Q,12,0)),1))))))=0,
U370,
IF(U370="","",IF(U370=1,SUMIFS('Шаг1.Выбор плиты'!$G:$G,'Шаг1.Выбор плиты'!J:J,"*"&amp;RIGHT(VLOOKUP(C370,'Шаг1.Выбор плиты'!C:Q,8,0),4),'Шаг1.Выбор плиты'!L:L,IF(MID(C370,1,6)="ЛДСП P","TM"&amp;MID(VLOOKUP(C370,'Шаг1.Выбор плиты'!C:Q,10,0),3,2),MID(VLOOKUP(C370,'Шаг1.Выбор плиты'!C:Q,10,0),1,2)),
'Шаг1.Выбор плиты'!N:N,1),IF(SUMIFS('Шаг1.Выбор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плиты'!C:Q,12,0)),1))=0,
IF(SUMIFS('Шаг1.Выбор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плиты'!C:Q,12,0)),2))=0,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плиты'!C:Q,12,0)),3)),
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плиты'!C:Q,12,0)),2))),
(SUMIFS('Шаг1.Выбор плиты'!$G:$G,'Шаг1.Выбор плиты'!J:J,"*"&amp;RIGHT(VLOOKUP(C370,'Шаг1.Выбор плиты'!C:Q,8,0),4),'Шаг1.Выбор плиты'!L:L,VLOOKUP(C370,'Шаг1.Выбор плиты'!C:Q,10,0),'Шаг1.Выбор плиты'!N:N,U370,'Шаг1.Выбор плиты'!M:M,SMALL(INDIRECT("мм"&amp;VLOOKUP(C370,'Шаг1.Выбор плиты'!C:Q,12,0)),1)))))))</f>
        <v/>
      </c>
      <c r="L370" s="147" t="str">
        <f ca="1">IFERROR(IFERROR(IF(VLOOKUP($A370,'Шаг2.Бланк заказа NEW'!$B$17:$N$201,9,0)="","",VLOOKUP($A370,'Шаг2.Бланк заказа NEW'!$B$17:$N$201,9,0)),
IF(VLOOKUP($A370-COUNT('Шаг2.Бланк заказа NEW'!$B$19:$B$201),'Бланк OLD 0.8 04'!$B$12:$K$200,9,0)="","",VLOOKUP($A370-COUNT('Шаг2.Бланк заказа NEW'!$B$19:$B$201),'Бланк OLD 0.8 04'!$B$12:$K$200,9,0))),
IF(VLOOKUP($A370-COUNT('Шаг2.Бланк заказа NEW'!$B$19:$B$201)-COUNT('Бланк OLD 0.8 04'!$B$18:$B$200),'Бланк OLD 2.0 04 '!$B$16:$K$200,9,0)="","",VLOOKUP($A370-COUNT('Шаг2.Бланк заказа NEW'!$B$19:$B$201)-COUNT('Бланк OLD 0.8 04'!$B$18:$B$200),'Бланк OLD 2.0 04 '!$B$16:$K$200,9,0)))</f>
        <v/>
      </c>
      <c r="M370" s="154" t="str">
        <f t="shared" ca="1" si="33"/>
        <v/>
      </c>
      <c r="N370" s="153" t="str">
        <f ca="1">IFERROR(IF(VLOOKUP($A370,'Шаг2.Бланк заказа NEW'!$B$17:$N$201,11,0)="","",VLOOKUP($A370,'Шаг2.Бланк заказа NEW'!$B$17:$N$201,11,0)),
"Нет")</f>
        <v/>
      </c>
      <c r="O370" s="147" t="str">
        <f ca="1">IFERROR(IF(VLOOKUP($A370,'Шаг2.Бланк заказа NEW'!$B$17:$N$201,11,0)="","",VLOOKUP($A370,'Шаг2.Бланк заказа NEW'!$B$17:$N$201,12,0)),
"Нет")</f>
        <v/>
      </c>
      <c r="P370" s="153" t="str">
        <f ca="1">IFERROR(IF(VLOOKUP($A370,'Шаг2.Бланк заказа NEW'!$B$17:$N$201,13,0)="","",VLOOKUP($A370,'Шаг2.Бланк заказа NEW'!$B$17:$N$201,13,0)),
"Нет")</f>
        <v/>
      </c>
      <c r="Q370" s="147" t="str">
        <f ca="1">IFERROR(IF(VLOOKUP($A370,'Шаг2.Бланк заказа NEW'!$B$17:$O$201,14,0)="","",VLOOKUP($A370,'Шаг2.Бланк заказа NEW'!$B$17:$O$201,14,0)),"")</f>
        <v/>
      </c>
      <c r="R370" s="147" t="str">
        <f ca="1">IFERROR(IFERROR(IF(VLOOKUP($A370,'Шаг2.Бланк заказа NEW'!$B$17:$N$201,4,0)="","",VLOOKUP($A370,'Шаг2.Бланк заказа NEW'!$B$17:$N$201,4,0)),
IF(VLOOKUP($A370-COUNT('Шаг2.Бланк заказа NEW'!$B$19:$B$201),'Бланк OLD 0.8 04'!$B$12:$K$200,4,0)&gt;0,0.8,
IF(VLOOKUP($A370-COUNT('Шаг2.Бланк заказа NEW'!$B$19:$B$201),'Бланк OLD 0.8 04'!$B$12:$K$200,5,0)&gt;0,0.4,""))),
IF(VLOOKUP($A370-COUNT('Шаг2.Бланк заказа NEW'!$B$19:$B$201)-COUNT('Бланк OLD 0.8 04'!$B$18:$B$200),'Бланк OLD 2.0 04 '!$B$16:$K$200,4,0)&gt;0,2,IF(VLOOKUP($A370-COUNT('Шаг2.Бланк заказа NEW'!$B$19:$B$201)-COUNT('Бланк OLD 0.8 04'!$B$18:$B$200),'Бланк OLD 2.0 04 '!$B$16:$K$200,5,0)&gt;0,0.4,"")))</f>
        <v/>
      </c>
      <c r="S370" s="147" t="str">
        <f ca="1">IFERROR(IFERROR(IF(VLOOKUP($A370,'Шаг2.Бланк заказа NEW'!$B$17:$N$201,5,0)="","",VLOOKUP($A370,'Шаг2.Бланк заказа NEW'!$B$17:$N$201,5,0)),
IF(VLOOKUP($A370-COUNT('Шаг2.Бланк заказа NEW'!$B$19:$B$201),'Бланк OLD 0.8 04'!$B$12:$K$200,4,0)&gt;1,0.8,
IF(VLOOKUP($A370-COUNT('Шаг2.Бланк заказа NEW'!$B$19:$B$201),'Бланк OLD 0.8 04'!$B$12:$K$200,5,0)&gt;1,0.4,
IF(AND(VLOOKUP($A370-COUNT('Шаг2.Бланк заказа NEW'!$B$19:$B$201),'Бланк OLD 0.8 04'!$B$12:$K$200,4,0)&gt;0,VLOOKUP($A370-COUNT('Шаг2.Бланк заказа NEW'!$B$19:$B$201),'Бланк OLD 0.8 04'!$B$12:$K$200,5,0)&gt;0),0.4,"")))),
IF(VLOOKUP($A370-COUNT('Шаг2.Бланк заказа NEW'!$B$19:$B$201)-COUNT('Бланк OLD 0.8 04'!$B$18:$B$200),'Бланк OLD 2.0 04 '!$B$16:$K$200,4,0)&gt;1,2,
IF(VLOOKUP($A370-COUNT('Шаг2.Бланк заказа NEW'!$B$19:$B$201)-COUNT('Бланк OLD 0.8 04'!$B$18:$B$200),'Бланк OLD 2.0 04 '!$B$16:$K$200,5,0)&gt;1,0.4,IF(AND(VLOOKUP($A370-COUNT('Шаг2.Бланк заказа NEW'!$B$19:$B$201)-COUNT('Бланк OLD 0.8 04'!$B$18:$B$200),'Бланк OLD 2.0 04 '!$B$16:$K$200,4,0)&gt;0,VLOOKUP($A370-COUNT('Шаг2.Бланк заказа NEW'!$B$19:$B$201)-COUNT('Бланк OLD 0.8 04'!$B$18:$B$200),'Бланк OLD 2.0 04 '!$B$16:$K$200,5,0)&gt;0),0.4,""))))</f>
        <v/>
      </c>
      <c r="T370" s="147" t="str">
        <f ca="1">IFERROR(IFERROR(IF(VLOOKUP($A370,'Шаг2.Бланк заказа NEW'!$B$17:$N$201,7,0)="","",VLOOKUP($A370,'Шаг2.Бланк заказа NEW'!$B$17:$N$201,7,0)),
IF(VLOOKUP($A370-COUNT('Шаг2.Бланк заказа NEW'!$B$19:$B$201),'Бланк OLD 0.8 04'!$B$12:$K$200,7,0)&gt;0,0.8,
IF(VLOOKUP($A370-COUNT('Шаг2.Бланк заказа NEW'!$B$19:$B$201),'Бланк OLD 0.8 04'!$B$12:$K$200,8,0)&gt;0,0.4,""))),
IF(VLOOKUP($A370-COUNT('Шаг2.Бланк заказа NEW'!$B$19:$B$201)-COUNT('Бланк OLD 0.8 04'!$B$18:$B$200),'Бланк OLD 2.0 04 '!$B$16:$K$200,7,0)&gt;0,2,IF(VLOOKUP($A370-COUNT('Шаг2.Бланк заказа NEW'!$B$19:$B$201)-COUNT('Бланк OLD 0.8 04'!$B$18:$B$200),'Бланк OLD 2.0 04 '!$B$16:$K$200,8,0)&gt;0,0.4,"")))</f>
        <v/>
      </c>
      <c r="U370" s="147" t="str">
        <f ca="1">IFERROR(IFERROR(IF(VLOOKUP($A370,'Шаг2.Бланк заказа NEW'!$B$17:$N$201,8,0)="","",VLOOKUP($A370,'Шаг2.Бланк заказа NEW'!$B$17:$N$201,8,0)),
IF(VLOOKUP($A370-COUNT('Шаг2.Бланк заказа NEW'!$B$19:$B$201),'Бланк OLD 0.8 04'!$B$12:$K$200,7,0)&gt;1,0.8,
IF(VLOOKUP($A370-COUNT('Шаг2.Бланк заказа NEW'!$B$19:$B$201),'Бланк OLD 0.8 04'!$B$12:$K$200,8,0)&gt;1,0.4,
IF(AND(VLOOKUP($A370-COUNT('Шаг2.Бланк заказа NEW'!$B$19:$B$201),'Бланк OLD 0.8 04'!$B$12:$K$200,7,0)&gt;0,VLOOKUP($A370-COUNT('Шаг2.Бланк заказа NEW'!$B$19:$B$201),'Бланк OLD 0.8 04'!$B$12:$K$200,8,0)&gt;0),0.4,"")))),
IF(VLOOKUP($A370-COUNT('Шаг2.Бланк заказа NEW'!$B$19:$B$201)-COUNT('Бланк OLD 0.8 04'!$B$18:$B$200),'Бланк OLD 2.0 04 '!$B$16:$K$200,7,0)&gt;1,2,
IF(VLOOKUP($A370-COUNT('Шаг2.Бланк заказа NEW'!$B$19:$B$201)-COUNT('Бланк OLD 0.8 04'!$B$18:$B$200),'Бланк OLD 2.0 04 '!$B$16:$K$200,8,0)&gt;1,0.4,
IF(AND(VLOOKUP($A370-COUNT('Шаг2.Бланк заказа NEW'!$B$19:$B$201)-COUNT('Бланк OLD 0.8 04'!$B$18:$B$200),'Бланк OLD 2.0 04 '!$B$16:$K$200,7,0)&gt;0,VLOOKUP($A370-COUNT('Шаг2.Бланк заказа NEW'!$B$19:$B$201)-COUNT('Бланк OLD 0.8 04'!$B$18:$B$200),'Бланк OLD 2.0 04 '!$B$16:$K$200,8,0)&gt;0),0.4,""))))</f>
        <v/>
      </c>
      <c r="V370" s="146" t="str">
        <f ca="1">IFERROR(VLOOKUP(C370,'Шаг1.Выбор плиты'!C:S,12,0),"")</f>
        <v/>
      </c>
      <c r="W370" s="146" t="str">
        <f ca="1">IFERROR(VLOOKUP(C370,'Шаг1.Выбор плиты'!C:S,8,0),"")</f>
        <v/>
      </c>
      <c r="X370" s="146" t="str">
        <f ca="1">IFERROR(VLOOKUP(C370,'Шаг1.Выбор плиты'!C:S,10,0),"")</f>
        <v/>
      </c>
      <c r="Y370" s="147" t="str">
        <f t="shared" ca="1" si="28"/>
        <v/>
      </c>
      <c r="AD370" s="147" t="str">
        <f t="shared" ca="1" si="34"/>
        <v/>
      </c>
      <c r="AE370" s="147" t="str">
        <f t="shared" ca="1" si="29"/>
        <v/>
      </c>
      <c r="AF370" s="25"/>
      <c r="AH370" s="147" t="str">
        <f ca="1">IF(C370="","",VLOOKUP(C370,'Шаг1.Выбор плиты'!C:Q,7,0))</f>
        <v/>
      </c>
      <c r="AI370" s="147" t="str">
        <f t="shared" ca="1" si="35"/>
        <v/>
      </c>
    </row>
    <row r="371" spans="1:35" x14ac:dyDescent="0.2">
      <c r="A371" s="151" t="str">
        <f ca="1">IF(C371="","",MAX($A$1:OFFSET(C371,-1,0))+1)</f>
        <v/>
      </c>
      <c r="B371" s="151" t="str">
        <f ca="1">IFERROR(IFERROR(IFERROR("Шаг2.Бланк заказа NEW №"&amp;VLOOKUP(A370+1,CHOOSE({1,2},'Шаг2.Бланк заказа NEW'!$B$19:$B$201,'Шаг2.Бланк заказа NEW'!$A$19:$A$201),1,0),
"Бланк OLD 0.8 04 №"&amp;VLOOKUP(A370+1-COUNT('Шаг2.Бланк заказа NEW'!$B$19:$B$201),CHOOSE({1,2},'Бланк OLD 0.8 04'!$B$18:$B$200,'Бланк OLD 0.8 04'!$A$18:$A$200),1,0)),
"Бланк OLD 2.0 04 №"&amp;VLOOKUP(A370+1-COUNT('Шаг2.Бланк заказа NEW'!$B$19:$B$201)-COUNT('Бланк OLD 0.8 04'!$B$18:$B$200),CHOOSE({1,2},'Бланк OLD 2.0 04 '!$B$18:$B$200,'Бланк OLD 2.0 04 '!$A$18:$A$200),1,0)),"")</f>
        <v/>
      </c>
      <c r="C371" s="152" t="str">
        <f ca="1">IFERROR(IFERROR(IFERROR(VLOOKUP(A370+1,CHOOSE({1,2},'Шаг2.Бланк заказа NEW'!$B$19:$B$201,'Шаг2.Бланк заказа NEW'!$A$19:$A$201),2,0),
VLOOKUP(A370+1-COUNT('Шаг2.Бланк заказа NEW'!$B$19:$B$201),CHOOSE({1,2},'Бланк OLD 0.8 04'!$B$18:$B$200,'Бланк OLD 0.8 04'!$A$18:$A$200),2,0)),
VLOOKUP(A370+1-COUNT('Шаг2.Бланк заказа NEW'!$B$19:$B$201)-COUNT('Бланк OLD 0.8 04'!$B$18:$B$200),CHOOSE({1,2},'Бланк OLD 2.0 04 '!$B$18:$B$200,'Бланк OLD 2.0 04 '!$A$18:$A$200),2,0)),"")</f>
        <v/>
      </c>
      <c r="D371" s="150" t="str">
        <f ca="1">IFERROR(VLOOKUP(C371,'Шаг1.Выбор плиты'!C:G,5,0),"")</f>
        <v/>
      </c>
      <c r="E371" s="147" t="str">
        <f ca="1">IFERROR(IFERROR(IF(VLOOKUP($A371,'Шаг2.Бланк заказа NEW'!$B$17:$N$201,2,0)="","",VLOOKUP($A371,'Шаг2.Бланк заказа NEW'!$B$17:$N$201,2,0)),
IF(VLOOKUP($A371-COUNT('Шаг2.Бланк заказа NEW'!$B$19:$B$201),'Бланк OLD 0.8 04'!$B$12:$K$200,2,0)="","",VLOOKUP($A371-COUNT('Шаг2.Бланк заказа NEW'!$B$19:$B$201),'Бланк OLD 0.8 04'!$B$12:$K$200,2,0))),
IF(VLOOKUP($A371-COUNT('Шаг2.Бланк заказа NEW'!$B$19:$B$201)-COUNT('Бланк OLD 0.8 04'!$B$18:$B$200),'Бланк OLD 2.0 04 '!$B$16:$K$200,2,0)="","",VLOOKUP($A371-COUNT('Шаг2.Бланк заказа NEW'!$B$19:$B$201)-COUNT('Бланк OLD 0.8 04'!$B$18:$B$200),'Бланк OLD 2.0 04 '!$B$16:$K$200,2,0)))</f>
        <v/>
      </c>
      <c r="F371" s="147" t="str">
        <f ca="1">IFERROR(IFERROR(IF(VLOOKUP($A371,'Шаг2.Бланк заказа NEW'!$B$17:$N$201,3,0)="","",VLOOKUP($A371,'Шаг2.Бланк заказа NEW'!$B$17:$N$201,3,0)),
IF(VLOOKUP($A371-COUNT('Шаг2.Бланк заказа NEW'!$B$19:$B$201),'Бланк OLD 0.8 04'!$B$12:$K$200,3,0)="","",VLOOKUP($A371-COUNT('Шаг2.Бланк заказа NEW'!$B$19:$B$201),'Бланк OLD 0.8 04'!$B$12:$K$200,3,0))),
IF(VLOOKUP($A371-COUNT('Шаг2.Бланк заказа NEW'!$B$19:$B$201)-COUNT('Бланк OLD 0.8 04'!$B$18:$B$200),'Бланк OLD 2.0 04 '!$B$16:$K$200,3,0)="","",VLOOKUP($A371-COUNT('Шаг2.Бланк заказа NEW'!$B$19:$B$201)-COUNT('Бланк OLD 0.8 04'!$B$18:$B$200),'Бланк OLD 2.0 04 '!$B$16:$K$200,3,0)))</f>
        <v/>
      </c>
      <c r="G371" s="176" t="str">
        <f ca="1">IF(IF(R371="","",IF(R371=1,SUMIFS('Шаг1.Выбор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плиты'!C:Q,12,0)),1))))))=0,
R371,
IF(R371="","",IF(R371=1,SUMIFS('Шаг1.Выбор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плиты'!N:N,R371,'Шаг1.Выбор плиты'!M:M,SMALL(INDIRECT("мм"&amp;VLOOKUP(C371,'Шаг1.Выбор плиты'!C:Q,12,0)),1)))))))</f>
        <v/>
      </c>
      <c r="H371" s="177" t="str">
        <f ca="1">IF(IF(S371="","",IF(S371=1,SUMIFS('Шаг1.Выбор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плиты'!C:Q,12,0)),1))))))=0,
S371,
IF(S371="","",IF(S371=1,SUMIFS('Шаг1.Выбор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плиты'!N:N,S371,'Шаг1.Выбор плиты'!M:M,SMALL(INDIRECT("мм"&amp;VLOOKUP(C371,'Шаг1.Выбор плиты'!C:Q,12,0)),1)))))))</f>
        <v/>
      </c>
      <c r="I371" s="147" t="str">
        <f ca="1">IFERROR(IFERROR(IF(VLOOKUP($A371,'Шаг2.Бланк заказа NEW'!$B$17:$N$201,6,0)="","",VLOOKUP($A371,'Шаг2.Бланк заказа NEW'!$B$17:$N$201,6,0)),
IF(VLOOKUP($A371-COUNT('Шаг2.Бланк заказа NEW'!$B$19:$B$201),'Бланк OLD 0.8 04'!$B$12:$K$200,6,0)="","",VLOOKUP($A371-COUNT('Шаг2.Бланк заказа NEW'!$B$19:$B$201),'Бланк OLD 0.8 04'!$B$12:$K$200,6,0))),
IF(VLOOKUP($A371-COUNT('Шаг2.Бланк заказа NEW'!$B$19:$B$201)-COUNT('Бланк OLD 0.8 04'!$B$18:$B$200),'Бланк OLD 2.0 04 '!$B$16:$K$200,6,0)="","",VLOOKUP($A371-COUNT('Шаг2.Бланк заказа NEW'!$B$19:$B$201)-COUNT('Бланк OLD 0.8 04'!$B$18:$B$200),'Бланк OLD 2.0 04 '!$B$16:$K$200,6,0)))</f>
        <v/>
      </c>
      <c r="J371" s="177" t="str">
        <f ca="1">IF(IF(T371="","",IF(T371=1,SUMIFS('Шаг1.Выбор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плиты'!C:Q,12,0)),1))))))=0,
T371,
IF(T371="","",IF(T371=1,SUMIFS('Шаг1.Выбор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плиты'!N:N,T371,'Шаг1.Выбор плиты'!M:M,SMALL(INDIRECT("мм"&amp;VLOOKUP(C371,'Шаг1.Выбор плиты'!C:Q,12,0)),1)))))))</f>
        <v/>
      </c>
      <c r="K371" s="177" t="str">
        <f ca="1">IF(IF(U371="","",IF(U371=1,SUMIFS('Шаг1.Выбор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плиты'!C:Q,12,0)),1))))))=0,
U371,
IF(U371="","",IF(U371=1,SUMIFS('Шаг1.Выбор плиты'!$G:$G,'Шаг1.Выбор плиты'!J:J,"*"&amp;RIGHT(VLOOKUP(C371,'Шаг1.Выбор плиты'!C:Q,8,0),4),'Шаг1.Выбор плиты'!L:L,IF(MID(C371,1,6)="ЛДСП P","TM"&amp;MID(VLOOKUP(C371,'Шаг1.Выбор плиты'!C:Q,10,0),3,2),MID(VLOOKUP(C371,'Шаг1.Выбор плиты'!C:Q,10,0),1,2)),
'Шаг1.Выбор плиты'!N:N,1),IF(SUMIFS('Шаг1.Выбор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плиты'!C:Q,12,0)),1))=0,
IF(SUMIFS('Шаг1.Выбор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плиты'!C:Q,12,0)),2))=0,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плиты'!C:Q,12,0)),3)),
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плиты'!C:Q,12,0)),2))),
(SUMIFS('Шаг1.Выбор плиты'!$G:$G,'Шаг1.Выбор плиты'!J:J,"*"&amp;RIGHT(VLOOKUP(C371,'Шаг1.Выбор плиты'!C:Q,8,0),4),'Шаг1.Выбор плиты'!L:L,VLOOKUP(C371,'Шаг1.Выбор плиты'!C:Q,10,0),'Шаг1.Выбор плиты'!N:N,U371,'Шаг1.Выбор плиты'!M:M,SMALL(INDIRECT("мм"&amp;VLOOKUP(C371,'Шаг1.Выбор плиты'!C:Q,12,0)),1)))))))</f>
        <v/>
      </c>
      <c r="L371" s="147" t="str">
        <f ca="1">IFERROR(IFERROR(IF(VLOOKUP($A371,'Шаг2.Бланк заказа NEW'!$B$17:$N$201,9,0)="","",VLOOKUP($A371,'Шаг2.Бланк заказа NEW'!$B$17:$N$201,9,0)),
IF(VLOOKUP($A371-COUNT('Шаг2.Бланк заказа NEW'!$B$19:$B$201),'Бланк OLD 0.8 04'!$B$12:$K$200,9,0)="","",VLOOKUP($A371-COUNT('Шаг2.Бланк заказа NEW'!$B$19:$B$201),'Бланк OLD 0.8 04'!$B$12:$K$200,9,0))),
IF(VLOOKUP($A371-COUNT('Шаг2.Бланк заказа NEW'!$B$19:$B$201)-COUNT('Бланк OLD 0.8 04'!$B$18:$B$200),'Бланк OLD 2.0 04 '!$B$16:$K$200,9,0)="","",VLOOKUP($A371-COUNT('Шаг2.Бланк заказа NEW'!$B$19:$B$201)-COUNT('Бланк OLD 0.8 04'!$B$18:$B$200),'Бланк OLD 2.0 04 '!$B$16:$K$200,9,0)))</f>
        <v/>
      </c>
      <c r="M371" s="154" t="str">
        <f t="shared" ca="1" si="33"/>
        <v/>
      </c>
      <c r="N371" s="153" t="str">
        <f ca="1">IFERROR(IF(VLOOKUP($A371,'Шаг2.Бланк заказа NEW'!$B$17:$N$201,11,0)="","",VLOOKUP($A371,'Шаг2.Бланк заказа NEW'!$B$17:$N$201,11,0)),
"Нет")</f>
        <v/>
      </c>
      <c r="O371" s="147" t="str">
        <f ca="1">IFERROR(IF(VLOOKUP($A371,'Шаг2.Бланк заказа NEW'!$B$17:$N$201,11,0)="","",VLOOKUP($A371,'Шаг2.Бланк заказа NEW'!$B$17:$N$201,12,0)),
"Нет")</f>
        <v/>
      </c>
      <c r="P371" s="153" t="str">
        <f ca="1">IFERROR(IF(VLOOKUP($A371,'Шаг2.Бланк заказа NEW'!$B$17:$N$201,13,0)="","",VLOOKUP($A371,'Шаг2.Бланк заказа NEW'!$B$17:$N$201,13,0)),
"Нет")</f>
        <v/>
      </c>
      <c r="Q371" s="147" t="str">
        <f ca="1">IFERROR(IF(VLOOKUP($A371,'Шаг2.Бланк заказа NEW'!$B$17:$O$201,14,0)="","",VLOOKUP($A371,'Шаг2.Бланк заказа NEW'!$B$17:$O$201,14,0)),"")</f>
        <v/>
      </c>
      <c r="R371" s="147" t="str">
        <f ca="1">IFERROR(IFERROR(IF(VLOOKUP($A371,'Шаг2.Бланк заказа NEW'!$B$17:$N$201,4,0)="","",VLOOKUP($A371,'Шаг2.Бланк заказа NEW'!$B$17:$N$201,4,0)),
IF(VLOOKUP($A371-COUNT('Шаг2.Бланк заказа NEW'!$B$19:$B$201),'Бланк OLD 0.8 04'!$B$12:$K$200,4,0)&gt;0,0.8,
IF(VLOOKUP($A371-COUNT('Шаг2.Бланк заказа NEW'!$B$19:$B$201),'Бланк OLD 0.8 04'!$B$12:$K$200,5,0)&gt;0,0.4,""))),
IF(VLOOKUP($A371-COUNT('Шаг2.Бланк заказа NEW'!$B$19:$B$201)-COUNT('Бланк OLD 0.8 04'!$B$18:$B$200),'Бланк OLD 2.0 04 '!$B$16:$K$200,4,0)&gt;0,2,IF(VLOOKUP($A371-COUNT('Шаг2.Бланк заказа NEW'!$B$19:$B$201)-COUNT('Бланк OLD 0.8 04'!$B$18:$B$200),'Бланк OLD 2.0 04 '!$B$16:$K$200,5,0)&gt;0,0.4,"")))</f>
        <v/>
      </c>
      <c r="S371" s="147" t="str">
        <f ca="1">IFERROR(IFERROR(IF(VLOOKUP($A371,'Шаг2.Бланк заказа NEW'!$B$17:$N$201,5,0)="","",VLOOKUP($A371,'Шаг2.Бланк заказа NEW'!$B$17:$N$201,5,0)),
IF(VLOOKUP($A371-COUNT('Шаг2.Бланк заказа NEW'!$B$19:$B$201),'Бланк OLD 0.8 04'!$B$12:$K$200,4,0)&gt;1,0.8,
IF(VLOOKUP($A371-COUNT('Шаг2.Бланк заказа NEW'!$B$19:$B$201),'Бланк OLD 0.8 04'!$B$12:$K$200,5,0)&gt;1,0.4,
IF(AND(VLOOKUP($A371-COUNT('Шаг2.Бланк заказа NEW'!$B$19:$B$201),'Бланк OLD 0.8 04'!$B$12:$K$200,4,0)&gt;0,VLOOKUP($A371-COUNT('Шаг2.Бланк заказа NEW'!$B$19:$B$201),'Бланк OLD 0.8 04'!$B$12:$K$200,5,0)&gt;0),0.4,"")))),
IF(VLOOKUP($A371-COUNT('Шаг2.Бланк заказа NEW'!$B$19:$B$201)-COUNT('Бланк OLD 0.8 04'!$B$18:$B$200),'Бланк OLD 2.0 04 '!$B$16:$K$200,4,0)&gt;1,2,
IF(VLOOKUP($A371-COUNT('Шаг2.Бланк заказа NEW'!$B$19:$B$201)-COUNT('Бланк OLD 0.8 04'!$B$18:$B$200),'Бланк OLD 2.0 04 '!$B$16:$K$200,5,0)&gt;1,0.4,IF(AND(VLOOKUP($A371-COUNT('Шаг2.Бланк заказа NEW'!$B$19:$B$201)-COUNT('Бланк OLD 0.8 04'!$B$18:$B$200),'Бланк OLD 2.0 04 '!$B$16:$K$200,4,0)&gt;0,VLOOKUP($A371-COUNT('Шаг2.Бланк заказа NEW'!$B$19:$B$201)-COUNT('Бланк OLD 0.8 04'!$B$18:$B$200),'Бланк OLD 2.0 04 '!$B$16:$K$200,5,0)&gt;0),0.4,""))))</f>
        <v/>
      </c>
      <c r="T371" s="147" t="str">
        <f ca="1">IFERROR(IFERROR(IF(VLOOKUP($A371,'Шаг2.Бланк заказа NEW'!$B$17:$N$201,7,0)="","",VLOOKUP($A371,'Шаг2.Бланк заказа NEW'!$B$17:$N$201,7,0)),
IF(VLOOKUP($A371-COUNT('Шаг2.Бланк заказа NEW'!$B$19:$B$201),'Бланк OLD 0.8 04'!$B$12:$K$200,7,0)&gt;0,0.8,
IF(VLOOKUP($A371-COUNT('Шаг2.Бланк заказа NEW'!$B$19:$B$201),'Бланк OLD 0.8 04'!$B$12:$K$200,8,0)&gt;0,0.4,""))),
IF(VLOOKUP($A371-COUNT('Шаг2.Бланк заказа NEW'!$B$19:$B$201)-COUNT('Бланк OLD 0.8 04'!$B$18:$B$200),'Бланк OLD 2.0 04 '!$B$16:$K$200,7,0)&gt;0,2,IF(VLOOKUP($A371-COUNT('Шаг2.Бланк заказа NEW'!$B$19:$B$201)-COUNT('Бланк OLD 0.8 04'!$B$18:$B$200),'Бланк OLD 2.0 04 '!$B$16:$K$200,8,0)&gt;0,0.4,"")))</f>
        <v/>
      </c>
      <c r="U371" s="147" t="str">
        <f ca="1">IFERROR(IFERROR(IF(VLOOKUP($A371,'Шаг2.Бланк заказа NEW'!$B$17:$N$201,8,0)="","",VLOOKUP($A371,'Шаг2.Бланк заказа NEW'!$B$17:$N$201,8,0)),
IF(VLOOKUP($A371-COUNT('Шаг2.Бланк заказа NEW'!$B$19:$B$201),'Бланк OLD 0.8 04'!$B$12:$K$200,7,0)&gt;1,0.8,
IF(VLOOKUP($A371-COUNT('Шаг2.Бланк заказа NEW'!$B$19:$B$201),'Бланк OLD 0.8 04'!$B$12:$K$200,8,0)&gt;1,0.4,
IF(AND(VLOOKUP($A371-COUNT('Шаг2.Бланк заказа NEW'!$B$19:$B$201),'Бланк OLD 0.8 04'!$B$12:$K$200,7,0)&gt;0,VLOOKUP($A371-COUNT('Шаг2.Бланк заказа NEW'!$B$19:$B$201),'Бланк OLD 0.8 04'!$B$12:$K$200,8,0)&gt;0),0.4,"")))),
IF(VLOOKUP($A371-COUNT('Шаг2.Бланк заказа NEW'!$B$19:$B$201)-COUNT('Бланк OLD 0.8 04'!$B$18:$B$200),'Бланк OLD 2.0 04 '!$B$16:$K$200,7,0)&gt;1,2,
IF(VLOOKUP($A371-COUNT('Шаг2.Бланк заказа NEW'!$B$19:$B$201)-COUNT('Бланк OLD 0.8 04'!$B$18:$B$200),'Бланк OLD 2.0 04 '!$B$16:$K$200,8,0)&gt;1,0.4,
IF(AND(VLOOKUP($A371-COUNT('Шаг2.Бланк заказа NEW'!$B$19:$B$201)-COUNT('Бланк OLD 0.8 04'!$B$18:$B$200),'Бланк OLD 2.0 04 '!$B$16:$K$200,7,0)&gt;0,VLOOKUP($A371-COUNT('Шаг2.Бланк заказа NEW'!$B$19:$B$201)-COUNT('Бланк OLD 0.8 04'!$B$18:$B$200),'Бланк OLD 2.0 04 '!$B$16:$K$200,8,0)&gt;0),0.4,""))))</f>
        <v/>
      </c>
      <c r="V371" s="146" t="str">
        <f ca="1">IFERROR(VLOOKUP(C371,'Шаг1.Выбор плиты'!C:S,12,0),"")</f>
        <v/>
      </c>
      <c r="W371" s="146" t="str">
        <f ca="1">IFERROR(VLOOKUP(C371,'Шаг1.Выбор плиты'!C:S,8,0),"")</f>
        <v/>
      </c>
      <c r="X371" s="146" t="str">
        <f ca="1">IFERROR(VLOOKUP(C371,'Шаг1.Выбор плиты'!C:S,10,0),"")</f>
        <v/>
      </c>
      <c r="Y371" s="147" t="str">
        <f t="shared" ca="1" si="28"/>
        <v/>
      </c>
      <c r="AD371" s="147" t="str">
        <f t="shared" ca="1" si="34"/>
        <v/>
      </c>
      <c r="AE371" s="147" t="str">
        <f t="shared" ca="1" si="29"/>
        <v/>
      </c>
      <c r="AF371" s="25"/>
      <c r="AH371" s="147" t="str">
        <f ca="1">IF(C371="","",VLOOKUP(C371,'Шаг1.Выбор плиты'!C:Q,7,0))</f>
        <v/>
      </c>
      <c r="AI371" s="147" t="str">
        <f t="shared" ca="1" si="35"/>
        <v/>
      </c>
    </row>
    <row r="372" spans="1:35" x14ac:dyDescent="0.2">
      <c r="A372" s="151" t="str">
        <f ca="1">IF(C372="","",MAX($A$1:OFFSET(C372,-1,0))+1)</f>
        <v/>
      </c>
      <c r="B372" s="151" t="str">
        <f ca="1">IFERROR(IFERROR(IFERROR("Шаг2.Бланк заказа NEW №"&amp;VLOOKUP(A371+1,CHOOSE({1,2},'Шаг2.Бланк заказа NEW'!$B$19:$B$201,'Шаг2.Бланк заказа NEW'!$A$19:$A$201),1,0),
"Бланк OLD 0.8 04 №"&amp;VLOOKUP(A371+1-COUNT('Шаг2.Бланк заказа NEW'!$B$19:$B$201),CHOOSE({1,2},'Бланк OLD 0.8 04'!$B$18:$B$200,'Бланк OLD 0.8 04'!$A$18:$A$200),1,0)),
"Бланк OLD 2.0 04 №"&amp;VLOOKUP(A371+1-COUNT('Шаг2.Бланк заказа NEW'!$B$19:$B$201)-COUNT('Бланк OLD 0.8 04'!$B$18:$B$200),CHOOSE({1,2},'Бланк OLD 2.0 04 '!$B$18:$B$200,'Бланк OLD 2.0 04 '!$A$18:$A$200),1,0)),"")</f>
        <v/>
      </c>
      <c r="C372" s="152" t="str">
        <f ca="1">IFERROR(IFERROR(IFERROR(VLOOKUP(A371+1,CHOOSE({1,2},'Шаг2.Бланк заказа NEW'!$B$19:$B$201,'Шаг2.Бланк заказа NEW'!$A$19:$A$201),2,0),
VLOOKUP(A371+1-COUNT('Шаг2.Бланк заказа NEW'!$B$19:$B$201),CHOOSE({1,2},'Бланк OLD 0.8 04'!$B$18:$B$200,'Бланк OLD 0.8 04'!$A$18:$A$200),2,0)),
VLOOKUP(A371+1-COUNT('Шаг2.Бланк заказа NEW'!$B$19:$B$201)-COUNT('Бланк OLD 0.8 04'!$B$18:$B$200),CHOOSE({1,2},'Бланк OLD 2.0 04 '!$B$18:$B$200,'Бланк OLD 2.0 04 '!$A$18:$A$200),2,0)),"")</f>
        <v/>
      </c>
      <c r="D372" s="150" t="str">
        <f ca="1">IFERROR(VLOOKUP(C372,'Шаг1.Выбор плиты'!C:G,5,0),"")</f>
        <v/>
      </c>
      <c r="E372" s="147" t="str">
        <f ca="1">IFERROR(IFERROR(IF(VLOOKUP($A372,'Шаг2.Бланк заказа NEW'!$B$17:$N$201,2,0)="","",VLOOKUP($A372,'Шаг2.Бланк заказа NEW'!$B$17:$N$201,2,0)),
IF(VLOOKUP($A372-COUNT('Шаг2.Бланк заказа NEW'!$B$19:$B$201),'Бланк OLD 0.8 04'!$B$12:$K$200,2,0)="","",VLOOKUP($A372-COUNT('Шаг2.Бланк заказа NEW'!$B$19:$B$201),'Бланк OLD 0.8 04'!$B$12:$K$200,2,0))),
IF(VLOOKUP($A372-COUNT('Шаг2.Бланк заказа NEW'!$B$19:$B$201)-COUNT('Бланк OLD 0.8 04'!$B$18:$B$200),'Бланк OLD 2.0 04 '!$B$16:$K$200,2,0)="","",VLOOKUP($A372-COUNT('Шаг2.Бланк заказа NEW'!$B$19:$B$201)-COUNT('Бланк OLD 0.8 04'!$B$18:$B$200),'Бланк OLD 2.0 04 '!$B$16:$K$200,2,0)))</f>
        <v/>
      </c>
      <c r="F372" s="147" t="str">
        <f ca="1">IFERROR(IFERROR(IF(VLOOKUP($A372,'Шаг2.Бланк заказа NEW'!$B$17:$N$201,3,0)="","",VLOOKUP($A372,'Шаг2.Бланк заказа NEW'!$B$17:$N$201,3,0)),
IF(VLOOKUP($A372-COUNT('Шаг2.Бланк заказа NEW'!$B$19:$B$201),'Бланк OLD 0.8 04'!$B$12:$K$200,3,0)="","",VLOOKUP($A372-COUNT('Шаг2.Бланк заказа NEW'!$B$19:$B$201),'Бланк OLD 0.8 04'!$B$12:$K$200,3,0))),
IF(VLOOKUP($A372-COUNT('Шаг2.Бланк заказа NEW'!$B$19:$B$201)-COUNT('Бланк OLD 0.8 04'!$B$18:$B$200),'Бланк OLD 2.0 04 '!$B$16:$K$200,3,0)="","",VLOOKUP($A372-COUNT('Шаг2.Бланк заказа NEW'!$B$19:$B$201)-COUNT('Бланк OLD 0.8 04'!$B$18:$B$200),'Бланк OLD 2.0 04 '!$B$16:$K$200,3,0)))</f>
        <v/>
      </c>
      <c r="G372" s="176" t="str">
        <f ca="1">IF(IF(R372="","",IF(R372=1,SUMIFS('Шаг1.Выбор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плиты'!C:Q,12,0)),1))))))=0,
R372,
IF(R372="","",IF(R372=1,SUMIFS('Шаг1.Выбор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плиты'!N:N,R372,'Шаг1.Выбор плиты'!M:M,SMALL(INDIRECT("мм"&amp;VLOOKUP(C372,'Шаг1.Выбор плиты'!C:Q,12,0)),1)))))))</f>
        <v/>
      </c>
      <c r="H372" s="177" t="str">
        <f ca="1">IF(IF(S372="","",IF(S372=1,SUMIFS('Шаг1.Выбор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плиты'!C:Q,12,0)),1))))))=0,
S372,
IF(S372="","",IF(S372=1,SUMIFS('Шаг1.Выбор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плиты'!N:N,S372,'Шаг1.Выбор плиты'!M:M,SMALL(INDIRECT("мм"&amp;VLOOKUP(C372,'Шаг1.Выбор плиты'!C:Q,12,0)),1)))))))</f>
        <v/>
      </c>
      <c r="I372" s="147" t="str">
        <f ca="1">IFERROR(IFERROR(IF(VLOOKUP($A372,'Шаг2.Бланк заказа NEW'!$B$17:$N$201,6,0)="","",VLOOKUP($A372,'Шаг2.Бланк заказа NEW'!$B$17:$N$201,6,0)),
IF(VLOOKUP($A372-COUNT('Шаг2.Бланк заказа NEW'!$B$19:$B$201),'Бланк OLD 0.8 04'!$B$12:$K$200,6,0)="","",VLOOKUP($A372-COUNT('Шаг2.Бланк заказа NEW'!$B$19:$B$201),'Бланк OLD 0.8 04'!$B$12:$K$200,6,0))),
IF(VLOOKUP($A372-COUNT('Шаг2.Бланк заказа NEW'!$B$19:$B$201)-COUNT('Бланк OLD 0.8 04'!$B$18:$B$200),'Бланк OLD 2.0 04 '!$B$16:$K$200,6,0)="","",VLOOKUP($A372-COUNT('Шаг2.Бланк заказа NEW'!$B$19:$B$201)-COUNT('Бланк OLD 0.8 04'!$B$18:$B$200),'Бланк OLD 2.0 04 '!$B$16:$K$200,6,0)))</f>
        <v/>
      </c>
      <c r="J372" s="177" t="str">
        <f ca="1">IF(IF(T372="","",IF(T372=1,SUMIFS('Шаг1.Выбор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плиты'!C:Q,12,0)),1))))))=0,
T372,
IF(T372="","",IF(T372=1,SUMIFS('Шаг1.Выбор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плиты'!N:N,T372,'Шаг1.Выбор плиты'!M:M,SMALL(INDIRECT("мм"&amp;VLOOKUP(C372,'Шаг1.Выбор плиты'!C:Q,12,0)),1)))))))</f>
        <v/>
      </c>
      <c r="K372" s="177" t="str">
        <f ca="1">IF(IF(U372="","",IF(U372=1,SUMIFS('Шаг1.Выбор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плиты'!C:Q,12,0)),1))))))=0,
U372,
IF(U372="","",IF(U372=1,SUMIFS('Шаг1.Выбор плиты'!$G:$G,'Шаг1.Выбор плиты'!J:J,"*"&amp;RIGHT(VLOOKUP(C372,'Шаг1.Выбор плиты'!C:Q,8,0),4),'Шаг1.Выбор плиты'!L:L,IF(MID(C372,1,6)="ЛДСП P","TM"&amp;MID(VLOOKUP(C372,'Шаг1.Выбор плиты'!C:Q,10,0),3,2),MID(VLOOKUP(C372,'Шаг1.Выбор плиты'!C:Q,10,0),1,2)),
'Шаг1.Выбор плиты'!N:N,1),IF(SUMIFS('Шаг1.Выбор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плиты'!C:Q,12,0)),1))=0,
IF(SUMIFS('Шаг1.Выбор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плиты'!C:Q,12,0)),2))=0,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плиты'!C:Q,12,0)),3)),
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плиты'!C:Q,12,0)),2))),
(SUMIFS('Шаг1.Выбор плиты'!$G:$G,'Шаг1.Выбор плиты'!J:J,"*"&amp;RIGHT(VLOOKUP(C372,'Шаг1.Выбор плиты'!C:Q,8,0),4),'Шаг1.Выбор плиты'!L:L,VLOOKUP(C372,'Шаг1.Выбор плиты'!C:Q,10,0),'Шаг1.Выбор плиты'!N:N,U372,'Шаг1.Выбор плиты'!M:M,SMALL(INDIRECT("мм"&amp;VLOOKUP(C372,'Шаг1.Выбор плиты'!C:Q,12,0)),1)))))))</f>
        <v/>
      </c>
      <c r="L372" s="147" t="str">
        <f ca="1">IFERROR(IFERROR(IF(VLOOKUP($A372,'Шаг2.Бланк заказа NEW'!$B$17:$N$201,9,0)="","",VLOOKUP($A372,'Шаг2.Бланк заказа NEW'!$B$17:$N$201,9,0)),
IF(VLOOKUP($A372-COUNT('Шаг2.Бланк заказа NEW'!$B$19:$B$201),'Бланк OLD 0.8 04'!$B$12:$K$200,9,0)="","",VLOOKUP($A372-COUNT('Шаг2.Бланк заказа NEW'!$B$19:$B$201),'Бланк OLD 0.8 04'!$B$12:$K$200,9,0))),
IF(VLOOKUP($A372-COUNT('Шаг2.Бланк заказа NEW'!$B$19:$B$201)-COUNT('Бланк OLD 0.8 04'!$B$18:$B$200),'Бланк OLD 2.0 04 '!$B$16:$K$200,9,0)="","",VLOOKUP($A372-COUNT('Шаг2.Бланк заказа NEW'!$B$19:$B$201)-COUNT('Бланк OLD 0.8 04'!$B$18:$B$200),'Бланк OLD 2.0 04 '!$B$16:$K$200,9,0)))</f>
        <v/>
      </c>
      <c r="M372" s="154" t="str">
        <f t="shared" ca="1" si="33"/>
        <v/>
      </c>
      <c r="N372" s="153" t="str">
        <f ca="1">IFERROR(IF(VLOOKUP($A372,'Шаг2.Бланк заказа NEW'!$B$17:$N$201,11,0)="","",VLOOKUP($A372,'Шаг2.Бланк заказа NEW'!$B$17:$N$201,11,0)),
"Нет")</f>
        <v/>
      </c>
      <c r="O372" s="147" t="str">
        <f ca="1">IFERROR(IF(VLOOKUP($A372,'Шаг2.Бланк заказа NEW'!$B$17:$N$201,11,0)="","",VLOOKUP($A372,'Шаг2.Бланк заказа NEW'!$B$17:$N$201,12,0)),
"Нет")</f>
        <v/>
      </c>
      <c r="P372" s="153" t="str">
        <f ca="1">IFERROR(IF(VLOOKUP($A372,'Шаг2.Бланк заказа NEW'!$B$17:$N$201,13,0)="","",VLOOKUP($A372,'Шаг2.Бланк заказа NEW'!$B$17:$N$201,13,0)),
"Нет")</f>
        <v/>
      </c>
      <c r="Q372" s="147" t="str">
        <f ca="1">IFERROR(IF(VLOOKUP($A372,'Шаг2.Бланк заказа NEW'!$B$17:$O$201,14,0)="","",VLOOKUP($A372,'Шаг2.Бланк заказа NEW'!$B$17:$O$201,14,0)),"")</f>
        <v/>
      </c>
      <c r="R372" s="147" t="str">
        <f ca="1">IFERROR(IFERROR(IF(VLOOKUP($A372,'Шаг2.Бланк заказа NEW'!$B$17:$N$201,4,0)="","",VLOOKUP($A372,'Шаг2.Бланк заказа NEW'!$B$17:$N$201,4,0)),
IF(VLOOKUP($A372-COUNT('Шаг2.Бланк заказа NEW'!$B$19:$B$201),'Бланк OLD 0.8 04'!$B$12:$K$200,4,0)&gt;0,0.8,
IF(VLOOKUP($A372-COUNT('Шаг2.Бланк заказа NEW'!$B$19:$B$201),'Бланк OLD 0.8 04'!$B$12:$K$200,5,0)&gt;0,0.4,""))),
IF(VLOOKUP($A372-COUNT('Шаг2.Бланк заказа NEW'!$B$19:$B$201)-COUNT('Бланк OLD 0.8 04'!$B$18:$B$200),'Бланк OLD 2.0 04 '!$B$16:$K$200,4,0)&gt;0,2,IF(VLOOKUP($A372-COUNT('Шаг2.Бланк заказа NEW'!$B$19:$B$201)-COUNT('Бланк OLD 0.8 04'!$B$18:$B$200),'Бланк OLD 2.0 04 '!$B$16:$K$200,5,0)&gt;0,0.4,"")))</f>
        <v/>
      </c>
      <c r="S372" s="147" t="str">
        <f ca="1">IFERROR(IFERROR(IF(VLOOKUP($A372,'Шаг2.Бланк заказа NEW'!$B$17:$N$201,5,0)="","",VLOOKUP($A372,'Шаг2.Бланк заказа NEW'!$B$17:$N$201,5,0)),
IF(VLOOKUP($A372-COUNT('Шаг2.Бланк заказа NEW'!$B$19:$B$201),'Бланк OLD 0.8 04'!$B$12:$K$200,4,0)&gt;1,0.8,
IF(VLOOKUP($A372-COUNT('Шаг2.Бланк заказа NEW'!$B$19:$B$201),'Бланк OLD 0.8 04'!$B$12:$K$200,5,0)&gt;1,0.4,
IF(AND(VLOOKUP($A372-COUNT('Шаг2.Бланк заказа NEW'!$B$19:$B$201),'Бланк OLD 0.8 04'!$B$12:$K$200,4,0)&gt;0,VLOOKUP($A372-COUNT('Шаг2.Бланк заказа NEW'!$B$19:$B$201),'Бланк OLD 0.8 04'!$B$12:$K$200,5,0)&gt;0),0.4,"")))),
IF(VLOOKUP($A372-COUNT('Шаг2.Бланк заказа NEW'!$B$19:$B$201)-COUNT('Бланк OLD 0.8 04'!$B$18:$B$200),'Бланк OLD 2.0 04 '!$B$16:$K$200,4,0)&gt;1,2,
IF(VLOOKUP($A372-COUNT('Шаг2.Бланк заказа NEW'!$B$19:$B$201)-COUNT('Бланк OLD 0.8 04'!$B$18:$B$200),'Бланк OLD 2.0 04 '!$B$16:$K$200,5,0)&gt;1,0.4,IF(AND(VLOOKUP($A372-COUNT('Шаг2.Бланк заказа NEW'!$B$19:$B$201)-COUNT('Бланк OLD 0.8 04'!$B$18:$B$200),'Бланк OLD 2.0 04 '!$B$16:$K$200,4,0)&gt;0,VLOOKUP($A372-COUNT('Шаг2.Бланк заказа NEW'!$B$19:$B$201)-COUNT('Бланк OLD 0.8 04'!$B$18:$B$200),'Бланк OLD 2.0 04 '!$B$16:$K$200,5,0)&gt;0),0.4,""))))</f>
        <v/>
      </c>
      <c r="T372" s="147" t="str">
        <f ca="1">IFERROR(IFERROR(IF(VLOOKUP($A372,'Шаг2.Бланк заказа NEW'!$B$17:$N$201,7,0)="","",VLOOKUP($A372,'Шаг2.Бланк заказа NEW'!$B$17:$N$201,7,0)),
IF(VLOOKUP($A372-COUNT('Шаг2.Бланк заказа NEW'!$B$19:$B$201),'Бланк OLD 0.8 04'!$B$12:$K$200,7,0)&gt;0,0.8,
IF(VLOOKUP($A372-COUNT('Шаг2.Бланк заказа NEW'!$B$19:$B$201),'Бланк OLD 0.8 04'!$B$12:$K$200,8,0)&gt;0,0.4,""))),
IF(VLOOKUP($A372-COUNT('Шаг2.Бланк заказа NEW'!$B$19:$B$201)-COUNT('Бланк OLD 0.8 04'!$B$18:$B$200),'Бланк OLD 2.0 04 '!$B$16:$K$200,7,0)&gt;0,2,IF(VLOOKUP($A372-COUNT('Шаг2.Бланк заказа NEW'!$B$19:$B$201)-COUNT('Бланк OLD 0.8 04'!$B$18:$B$200),'Бланк OLD 2.0 04 '!$B$16:$K$200,8,0)&gt;0,0.4,"")))</f>
        <v/>
      </c>
      <c r="U372" s="147" t="str">
        <f ca="1">IFERROR(IFERROR(IF(VLOOKUP($A372,'Шаг2.Бланк заказа NEW'!$B$17:$N$201,8,0)="","",VLOOKUP($A372,'Шаг2.Бланк заказа NEW'!$B$17:$N$201,8,0)),
IF(VLOOKUP($A372-COUNT('Шаг2.Бланк заказа NEW'!$B$19:$B$201),'Бланк OLD 0.8 04'!$B$12:$K$200,7,0)&gt;1,0.8,
IF(VLOOKUP($A372-COUNT('Шаг2.Бланк заказа NEW'!$B$19:$B$201),'Бланк OLD 0.8 04'!$B$12:$K$200,8,0)&gt;1,0.4,
IF(AND(VLOOKUP($A372-COUNT('Шаг2.Бланк заказа NEW'!$B$19:$B$201),'Бланк OLD 0.8 04'!$B$12:$K$200,7,0)&gt;0,VLOOKUP($A372-COUNT('Шаг2.Бланк заказа NEW'!$B$19:$B$201),'Бланк OLD 0.8 04'!$B$12:$K$200,8,0)&gt;0),0.4,"")))),
IF(VLOOKUP($A372-COUNT('Шаг2.Бланк заказа NEW'!$B$19:$B$201)-COUNT('Бланк OLD 0.8 04'!$B$18:$B$200),'Бланк OLD 2.0 04 '!$B$16:$K$200,7,0)&gt;1,2,
IF(VLOOKUP($A372-COUNT('Шаг2.Бланк заказа NEW'!$B$19:$B$201)-COUNT('Бланк OLD 0.8 04'!$B$18:$B$200),'Бланк OLD 2.0 04 '!$B$16:$K$200,8,0)&gt;1,0.4,
IF(AND(VLOOKUP($A372-COUNT('Шаг2.Бланк заказа NEW'!$B$19:$B$201)-COUNT('Бланк OLD 0.8 04'!$B$18:$B$200),'Бланк OLD 2.0 04 '!$B$16:$K$200,7,0)&gt;0,VLOOKUP($A372-COUNT('Шаг2.Бланк заказа NEW'!$B$19:$B$201)-COUNT('Бланк OLD 0.8 04'!$B$18:$B$200),'Бланк OLD 2.0 04 '!$B$16:$K$200,8,0)&gt;0),0.4,""))))</f>
        <v/>
      </c>
      <c r="V372" s="146" t="str">
        <f ca="1">IFERROR(VLOOKUP(C372,'Шаг1.Выбор плиты'!C:S,12,0),"")</f>
        <v/>
      </c>
      <c r="W372" s="146" t="str">
        <f ca="1">IFERROR(VLOOKUP(C372,'Шаг1.Выбор плиты'!C:S,8,0),"")</f>
        <v/>
      </c>
      <c r="X372" s="146" t="str">
        <f ca="1">IFERROR(VLOOKUP(C372,'Шаг1.Выбор плиты'!C:S,10,0),"")</f>
        <v/>
      </c>
      <c r="Y372" s="147" t="str">
        <f t="shared" ca="1" si="28"/>
        <v/>
      </c>
      <c r="AD372" s="147" t="str">
        <f t="shared" ca="1" si="34"/>
        <v/>
      </c>
      <c r="AE372" s="147" t="str">
        <f t="shared" ca="1" si="29"/>
        <v/>
      </c>
      <c r="AF372" s="25"/>
      <c r="AH372" s="147" t="str">
        <f ca="1">IF(C372="","",VLOOKUP(C372,'Шаг1.Выбор плиты'!C:Q,7,0))</f>
        <v/>
      </c>
      <c r="AI372" s="147" t="str">
        <f t="shared" ca="1" si="35"/>
        <v/>
      </c>
    </row>
    <row r="373" spans="1:35" x14ac:dyDescent="0.2">
      <c r="A373" s="151" t="str">
        <f ca="1">IF(C373="","",MAX($A$1:OFFSET(C373,-1,0))+1)</f>
        <v/>
      </c>
      <c r="B373" s="151" t="str">
        <f ca="1">IFERROR(IFERROR(IFERROR("Шаг2.Бланк заказа NEW №"&amp;VLOOKUP(A372+1,CHOOSE({1,2},'Шаг2.Бланк заказа NEW'!$B$19:$B$201,'Шаг2.Бланк заказа NEW'!$A$19:$A$201),1,0),
"Бланк OLD 0.8 04 №"&amp;VLOOKUP(A372+1-COUNT('Шаг2.Бланк заказа NEW'!$B$19:$B$201),CHOOSE({1,2},'Бланк OLD 0.8 04'!$B$18:$B$200,'Бланк OLD 0.8 04'!$A$18:$A$200),1,0)),
"Бланк OLD 2.0 04 №"&amp;VLOOKUP(A372+1-COUNT('Шаг2.Бланк заказа NEW'!$B$19:$B$201)-COUNT('Бланк OLD 0.8 04'!$B$18:$B$200),CHOOSE({1,2},'Бланк OLD 2.0 04 '!$B$18:$B$200,'Бланк OLD 2.0 04 '!$A$18:$A$200),1,0)),"")</f>
        <v/>
      </c>
      <c r="C373" s="152" t="str">
        <f ca="1">IFERROR(IFERROR(IFERROR(VLOOKUP(A372+1,CHOOSE({1,2},'Шаг2.Бланк заказа NEW'!$B$19:$B$201,'Шаг2.Бланк заказа NEW'!$A$19:$A$201),2,0),
VLOOKUP(A372+1-COUNT('Шаг2.Бланк заказа NEW'!$B$19:$B$201),CHOOSE({1,2},'Бланк OLD 0.8 04'!$B$18:$B$200,'Бланк OLD 0.8 04'!$A$18:$A$200),2,0)),
VLOOKUP(A372+1-COUNT('Шаг2.Бланк заказа NEW'!$B$19:$B$201)-COUNT('Бланк OLD 0.8 04'!$B$18:$B$200),CHOOSE({1,2},'Бланк OLD 2.0 04 '!$B$18:$B$200,'Бланк OLD 2.0 04 '!$A$18:$A$200),2,0)),"")</f>
        <v/>
      </c>
      <c r="D373" s="150" t="str">
        <f ca="1">IFERROR(VLOOKUP(C373,'Шаг1.Выбор плиты'!C:G,5,0),"")</f>
        <v/>
      </c>
      <c r="E373" s="147" t="str">
        <f ca="1">IFERROR(IFERROR(IF(VLOOKUP($A373,'Шаг2.Бланк заказа NEW'!$B$17:$N$201,2,0)="","",VLOOKUP($A373,'Шаг2.Бланк заказа NEW'!$B$17:$N$201,2,0)),
IF(VLOOKUP($A373-COUNT('Шаг2.Бланк заказа NEW'!$B$19:$B$201),'Бланк OLD 0.8 04'!$B$12:$K$200,2,0)="","",VLOOKUP($A373-COUNT('Шаг2.Бланк заказа NEW'!$B$19:$B$201),'Бланк OLD 0.8 04'!$B$12:$K$200,2,0))),
IF(VLOOKUP($A373-COUNT('Шаг2.Бланк заказа NEW'!$B$19:$B$201)-COUNT('Бланк OLD 0.8 04'!$B$18:$B$200),'Бланк OLD 2.0 04 '!$B$16:$K$200,2,0)="","",VLOOKUP($A373-COUNT('Шаг2.Бланк заказа NEW'!$B$19:$B$201)-COUNT('Бланк OLD 0.8 04'!$B$18:$B$200),'Бланк OLD 2.0 04 '!$B$16:$K$200,2,0)))</f>
        <v/>
      </c>
      <c r="F373" s="147" t="str">
        <f ca="1">IFERROR(IFERROR(IF(VLOOKUP($A373,'Шаг2.Бланк заказа NEW'!$B$17:$N$201,3,0)="","",VLOOKUP($A373,'Шаг2.Бланк заказа NEW'!$B$17:$N$201,3,0)),
IF(VLOOKUP($A373-COUNT('Шаг2.Бланк заказа NEW'!$B$19:$B$201),'Бланк OLD 0.8 04'!$B$12:$K$200,3,0)="","",VLOOKUP($A373-COUNT('Шаг2.Бланк заказа NEW'!$B$19:$B$201),'Бланк OLD 0.8 04'!$B$12:$K$200,3,0))),
IF(VLOOKUP($A373-COUNT('Шаг2.Бланк заказа NEW'!$B$19:$B$201)-COUNT('Бланк OLD 0.8 04'!$B$18:$B$200),'Бланк OLD 2.0 04 '!$B$16:$K$200,3,0)="","",VLOOKUP($A373-COUNT('Шаг2.Бланк заказа NEW'!$B$19:$B$201)-COUNT('Бланк OLD 0.8 04'!$B$18:$B$200),'Бланк OLD 2.0 04 '!$B$16:$K$200,3,0)))</f>
        <v/>
      </c>
      <c r="G373" s="176" t="str">
        <f ca="1">IF(IF(R373="","",IF(R373=1,SUMIFS('Шаг1.Выбор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плиты'!C:Q,12,0)),1))))))=0,
R373,
IF(R373="","",IF(R373=1,SUMIFS('Шаг1.Выбор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плиты'!N:N,R373,'Шаг1.Выбор плиты'!M:M,SMALL(INDIRECT("мм"&amp;VLOOKUP(C373,'Шаг1.Выбор плиты'!C:Q,12,0)),1)))))))</f>
        <v/>
      </c>
      <c r="H373" s="177" t="str">
        <f ca="1">IF(IF(S373="","",IF(S373=1,SUMIFS('Шаг1.Выбор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плиты'!C:Q,12,0)),1))))))=0,
S373,
IF(S373="","",IF(S373=1,SUMIFS('Шаг1.Выбор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плиты'!N:N,S373,'Шаг1.Выбор плиты'!M:M,SMALL(INDIRECT("мм"&amp;VLOOKUP(C373,'Шаг1.Выбор плиты'!C:Q,12,0)),1)))))))</f>
        <v/>
      </c>
      <c r="I373" s="147" t="str">
        <f ca="1">IFERROR(IFERROR(IF(VLOOKUP($A373,'Шаг2.Бланк заказа NEW'!$B$17:$N$201,6,0)="","",VLOOKUP($A373,'Шаг2.Бланк заказа NEW'!$B$17:$N$201,6,0)),
IF(VLOOKUP($A373-COUNT('Шаг2.Бланк заказа NEW'!$B$19:$B$201),'Бланк OLD 0.8 04'!$B$12:$K$200,6,0)="","",VLOOKUP($A373-COUNT('Шаг2.Бланк заказа NEW'!$B$19:$B$201),'Бланк OLD 0.8 04'!$B$12:$K$200,6,0))),
IF(VLOOKUP($A373-COUNT('Шаг2.Бланк заказа NEW'!$B$19:$B$201)-COUNT('Бланк OLD 0.8 04'!$B$18:$B$200),'Бланк OLD 2.0 04 '!$B$16:$K$200,6,0)="","",VLOOKUP($A373-COUNT('Шаг2.Бланк заказа NEW'!$B$19:$B$201)-COUNT('Бланк OLD 0.8 04'!$B$18:$B$200),'Бланк OLD 2.0 04 '!$B$16:$K$200,6,0)))</f>
        <v/>
      </c>
      <c r="J373" s="177" t="str">
        <f ca="1">IF(IF(T373="","",IF(T373=1,SUMIFS('Шаг1.Выбор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плиты'!C:Q,12,0)),1))))))=0,
T373,
IF(T373="","",IF(T373=1,SUMIFS('Шаг1.Выбор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плиты'!N:N,T373,'Шаг1.Выбор плиты'!M:M,SMALL(INDIRECT("мм"&amp;VLOOKUP(C373,'Шаг1.Выбор плиты'!C:Q,12,0)),1)))))))</f>
        <v/>
      </c>
      <c r="K373" s="177" t="str">
        <f ca="1">IF(IF(U373="","",IF(U373=1,SUMIFS('Шаг1.Выбор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плиты'!C:Q,12,0)),1))))))=0,
U373,
IF(U373="","",IF(U373=1,SUMIFS('Шаг1.Выбор плиты'!$G:$G,'Шаг1.Выбор плиты'!J:J,"*"&amp;RIGHT(VLOOKUP(C373,'Шаг1.Выбор плиты'!C:Q,8,0),4),'Шаг1.Выбор плиты'!L:L,IF(MID(C373,1,6)="ЛДСП P","TM"&amp;MID(VLOOKUP(C373,'Шаг1.Выбор плиты'!C:Q,10,0),3,2),MID(VLOOKUP(C373,'Шаг1.Выбор плиты'!C:Q,10,0),1,2)),
'Шаг1.Выбор плиты'!N:N,1),IF(SUMIFS('Шаг1.Выбор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плиты'!C:Q,12,0)),1))=0,
IF(SUMIFS('Шаг1.Выбор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плиты'!C:Q,12,0)),2))=0,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плиты'!C:Q,12,0)),3)),
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плиты'!C:Q,12,0)),2))),
(SUMIFS('Шаг1.Выбор плиты'!$G:$G,'Шаг1.Выбор плиты'!J:J,"*"&amp;RIGHT(VLOOKUP(C373,'Шаг1.Выбор плиты'!C:Q,8,0),4),'Шаг1.Выбор плиты'!L:L,VLOOKUP(C373,'Шаг1.Выбор плиты'!C:Q,10,0),'Шаг1.Выбор плиты'!N:N,U373,'Шаг1.Выбор плиты'!M:M,SMALL(INDIRECT("мм"&amp;VLOOKUP(C373,'Шаг1.Выбор плиты'!C:Q,12,0)),1)))))))</f>
        <v/>
      </c>
      <c r="L373" s="147" t="str">
        <f ca="1">IFERROR(IFERROR(IF(VLOOKUP($A373,'Шаг2.Бланк заказа NEW'!$B$17:$N$201,9,0)="","",VLOOKUP($A373,'Шаг2.Бланк заказа NEW'!$B$17:$N$201,9,0)),
IF(VLOOKUP($A373-COUNT('Шаг2.Бланк заказа NEW'!$B$19:$B$201),'Бланк OLD 0.8 04'!$B$12:$K$200,9,0)="","",VLOOKUP($A373-COUNT('Шаг2.Бланк заказа NEW'!$B$19:$B$201),'Бланк OLD 0.8 04'!$B$12:$K$200,9,0))),
IF(VLOOKUP($A373-COUNT('Шаг2.Бланк заказа NEW'!$B$19:$B$201)-COUNT('Бланк OLD 0.8 04'!$B$18:$B$200),'Бланк OLD 2.0 04 '!$B$16:$K$200,9,0)="","",VLOOKUP($A373-COUNT('Шаг2.Бланк заказа NEW'!$B$19:$B$201)-COUNT('Бланк OLD 0.8 04'!$B$18:$B$200),'Бланк OLD 2.0 04 '!$B$16:$K$200,9,0)))</f>
        <v/>
      </c>
      <c r="M373" s="154" t="str">
        <f t="shared" ca="1" si="33"/>
        <v/>
      </c>
      <c r="N373" s="153" t="str">
        <f ca="1">IFERROR(IF(VLOOKUP($A373,'Шаг2.Бланк заказа NEW'!$B$17:$N$201,11,0)="","",VLOOKUP($A373,'Шаг2.Бланк заказа NEW'!$B$17:$N$201,11,0)),
"Нет")</f>
        <v/>
      </c>
      <c r="O373" s="147" t="str">
        <f ca="1">IFERROR(IF(VLOOKUP($A373,'Шаг2.Бланк заказа NEW'!$B$17:$N$201,11,0)="","",VLOOKUP($A373,'Шаг2.Бланк заказа NEW'!$B$17:$N$201,12,0)),
"Нет")</f>
        <v/>
      </c>
      <c r="P373" s="153" t="str">
        <f ca="1">IFERROR(IF(VLOOKUP($A373,'Шаг2.Бланк заказа NEW'!$B$17:$N$201,13,0)="","",VLOOKUP($A373,'Шаг2.Бланк заказа NEW'!$B$17:$N$201,13,0)),
"Нет")</f>
        <v/>
      </c>
      <c r="Q373" s="147" t="str">
        <f ca="1">IFERROR(IF(VLOOKUP($A373,'Шаг2.Бланк заказа NEW'!$B$17:$O$201,14,0)="","",VLOOKUP($A373,'Шаг2.Бланк заказа NEW'!$B$17:$O$201,14,0)),"")</f>
        <v/>
      </c>
      <c r="R373" s="147" t="str">
        <f ca="1">IFERROR(IFERROR(IF(VLOOKUP($A373,'Шаг2.Бланк заказа NEW'!$B$17:$N$201,4,0)="","",VLOOKUP($A373,'Шаг2.Бланк заказа NEW'!$B$17:$N$201,4,0)),
IF(VLOOKUP($A373-COUNT('Шаг2.Бланк заказа NEW'!$B$19:$B$201),'Бланк OLD 0.8 04'!$B$12:$K$200,4,0)&gt;0,0.8,
IF(VLOOKUP($A373-COUNT('Шаг2.Бланк заказа NEW'!$B$19:$B$201),'Бланк OLD 0.8 04'!$B$12:$K$200,5,0)&gt;0,0.4,""))),
IF(VLOOKUP($A373-COUNT('Шаг2.Бланк заказа NEW'!$B$19:$B$201)-COUNT('Бланк OLD 0.8 04'!$B$18:$B$200),'Бланк OLD 2.0 04 '!$B$16:$K$200,4,0)&gt;0,2,IF(VLOOKUP($A373-COUNT('Шаг2.Бланк заказа NEW'!$B$19:$B$201)-COUNT('Бланк OLD 0.8 04'!$B$18:$B$200),'Бланк OLD 2.0 04 '!$B$16:$K$200,5,0)&gt;0,0.4,"")))</f>
        <v/>
      </c>
      <c r="S373" s="147" t="str">
        <f ca="1">IFERROR(IFERROR(IF(VLOOKUP($A373,'Шаг2.Бланк заказа NEW'!$B$17:$N$201,5,0)="","",VLOOKUP($A373,'Шаг2.Бланк заказа NEW'!$B$17:$N$201,5,0)),
IF(VLOOKUP($A373-COUNT('Шаг2.Бланк заказа NEW'!$B$19:$B$201),'Бланк OLD 0.8 04'!$B$12:$K$200,4,0)&gt;1,0.8,
IF(VLOOKUP($A373-COUNT('Шаг2.Бланк заказа NEW'!$B$19:$B$201),'Бланк OLD 0.8 04'!$B$12:$K$200,5,0)&gt;1,0.4,
IF(AND(VLOOKUP($A373-COUNT('Шаг2.Бланк заказа NEW'!$B$19:$B$201),'Бланк OLD 0.8 04'!$B$12:$K$200,4,0)&gt;0,VLOOKUP($A373-COUNT('Шаг2.Бланк заказа NEW'!$B$19:$B$201),'Бланк OLD 0.8 04'!$B$12:$K$200,5,0)&gt;0),0.4,"")))),
IF(VLOOKUP($A373-COUNT('Шаг2.Бланк заказа NEW'!$B$19:$B$201)-COUNT('Бланк OLD 0.8 04'!$B$18:$B$200),'Бланк OLD 2.0 04 '!$B$16:$K$200,4,0)&gt;1,2,
IF(VLOOKUP($A373-COUNT('Шаг2.Бланк заказа NEW'!$B$19:$B$201)-COUNT('Бланк OLD 0.8 04'!$B$18:$B$200),'Бланк OLD 2.0 04 '!$B$16:$K$200,5,0)&gt;1,0.4,IF(AND(VLOOKUP($A373-COUNT('Шаг2.Бланк заказа NEW'!$B$19:$B$201)-COUNT('Бланк OLD 0.8 04'!$B$18:$B$200),'Бланк OLD 2.0 04 '!$B$16:$K$200,4,0)&gt;0,VLOOKUP($A373-COUNT('Шаг2.Бланк заказа NEW'!$B$19:$B$201)-COUNT('Бланк OLD 0.8 04'!$B$18:$B$200),'Бланк OLD 2.0 04 '!$B$16:$K$200,5,0)&gt;0),0.4,""))))</f>
        <v/>
      </c>
      <c r="T373" s="147" t="str">
        <f ca="1">IFERROR(IFERROR(IF(VLOOKUP($A373,'Шаг2.Бланк заказа NEW'!$B$17:$N$201,7,0)="","",VLOOKUP($A373,'Шаг2.Бланк заказа NEW'!$B$17:$N$201,7,0)),
IF(VLOOKUP($A373-COUNT('Шаг2.Бланк заказа NEW'!$B$19:$B$201),'Бланк OLD 0.8 04'!$B$12:$K$200,7,0)&gt;0,0.8,
IF(VLOOKUP($A373-COUNT('Шаг2.Бланк заказа NEW'!$B$19:$B$201),'Бланк OLD 0.8 04'!$B$12:$K$200,8,0)&gt;0,0.4,""))),
IF(VLOOKUP($A373-COUNT('Шаг2.Бланк заказа NEW'!$B$19:$B$201)-COUNT('Бланк OLD 0.8 04'!$B$18:$B$200),'Бланк OLD 2.0 04 '!$B$16:$K$200,7,0)&gt;0,2,IF(VLOOKUP($A373-COUNT('Шаг2.Бланк заказа NEW'!$B$19:$B$201)-COUNT('Бланк OLD 0.8 04'!$B$18:$B$200),'Бланк OLD 2.0 04 '!$B$16:$K$200,8,0)&gt;0,0.4,"")))</f>
        <v/>
      </c>
      <c r="U373" s="147" t="str">
        <f ca="1">IFERROR(IFERROR(IF(VLOOKUP($A373,'Шаг2.Бланк заказа NEW'!$B$17:$N$201,8,0)="","",VLOOKUP($A373,'Шаг2.Бланк заказа NEW'!$B$17:$N$201,8,0)),
IF(VLOOKUP($A373-COUNT('Шаг2.Бланк заказа NEW'!$B$19:$B$201),'Бланк OLD 0.8 04'!$B$12:$K$200,7,0)&gt;1,0.8,
IF(VLOOKUP($A373-COUNT('Шаг2.Бланк заказа NEW'!$B$19:$B$201),'Бланк OLD 0.8 04'!$B$12:$K$200,8,0)&gt;1,0.4,
IF(AND(VLOOKUP($A373-COUNT('Шаг2.Бланк заказа NEW'!$B$19:$B$201),'Бланк OLD 0.8 04'!$B$12:$K$200,7,0)&gt;0,VLOOKUP($A373-COUNT('Шаг2.Бланк заказа NEW'!$B$19:$B$201),'Бланк OLD 0.8 04'!$B$12:$K$200,8,0)&gt;0),0.4,"")))),
IF(VLOOKUP($A373-COUNT('Шаг2.Бланк заказа NEW'!$B$19:$B$201)-COUNT('Бланк OLD 0.8 04'!$B$18:$B$200),'Бланк OLD 2.0 04 '!$B$16:$K$200,7,0)&gt;1,2,
IF(VLOOKUP($A373-COUNT('Шаг2.Бланк заказа NEW'!$B$19:$B$201)-COUNT('Бланк OLD 0.8 04'!$B$18:$B$200),'Бланк OLD 2.0 04 '!$B$16:$K$200,8,0)&gt;1,0.4,
IF(AND(VLOOKUP($A373-COUNT('Шаг2.Бланк заказа NEW'!$B$19:$B$201)-COUNT('Бланк OLD 0.8 04'!$B$18:$B$200),'Бланк OLD 2.0 04 '!$B$16:$K$200,7,0)&gt;0,VLOOKUP($A373-COUNT('Шаг2.Бланк заказа NEW'!$B$19:$B$201)-COUNT('Бланк OLD 0.8 04'!$B$18:$B$200),'Бланк OLD 2.0 04 '!$B$16:$K$200,8,0)&gt;0),0.4,""))))</f>
        <v/>
      </c>
      <c r="V373" s="146" t="str">
        <f ca="1">IFERROR(VLOOKUP(C373,'Шаг1.Выбор плиты'!C:S,12,0),"")</f>
        <v/>
      </c>
      <c r="W373" s="146" t="str">
        <f ca="1">IFERROR(VLOOKUP(C373,'Шаг1.Выбор плиты'!C:S,8,0),"")</f>
        <v/>
      </c>
      <c r="X373" s="146" t="str">
        <f ca="1">IFERROR(VLOOKUP(C373,'Шаг1.Выбор плиты'!C:S,10,0),"")</f>
        <v/>
      </c>
      <c r="Y373" s="147" t="str">
        <f t="shared" ca="1" si="28"/>
        <v/>
      </c>
      <c r="AD373" s="147" t="str">
        <f t="shared" ca="1" si="34"/>
        <v/>
      </c>
      <c r="AE373" s="147" t="str">
        <f t="shared" ca="1" si="29"/>
        <v/>
      </c>
      <c r="AF373" s="25"/>
      <c r="AH373" s="147" t="str">
        <f ca="1">IF(C373="","",VLOOKUP(C373,'Шаг1.Выбор плиты'!C:Q,7,0))</f>
        <v/>
      </c>
      <c r="AI373" s="147" t="str">
        <f t="shared" ca="1" si="35"/>
        <v/>
      </c>
    </row>
    <row r="374" spans="1:35" x14ac:dyDescent="0.2">
      <c r="A374" s="151" t="str">
        <f ca="1">IF(C374="","",MAX($A$1:OFFSET(C374,-1,0))+1)</f>
        <v/>
      </c>
      <c r="B374" s="151" t="str">
        <f ca="1">IFERROR(IFERROR(IFERROR("Шаг2.Бланк заказа NEW №"&amp;VLOOKUP(A373+1,CHOOSE({1,2},'Шаг2.Бланк заказа NEW'!$B$19:$B$201,'Шаг2.Бланк заказа NEW'!$A$19:$A$201),1,0),
"Бланк OLD 0.8 04 №"&amp;VLOOKUP(A373+1-COUNT('Шаг2.Бланк заказа NEW'!$B$19:$B$201),CHOOSE({1,2},'Бланк OLD 0.8 04'!$B$18:$B$200,'Бланк OLD 0.8 04'!$A$18:$A$200),1,0)),
"Бланк OLD 2.0 04 №"&amp;VLOOKUP(A373+1-COUNT('Шаг2.Бланк заказа NEW'!$B$19:$B$201)-COUNT('Бланк OLD 0.8 04'!$B$18:$B$200),CHOOSE({1,2},'Бланк OLD 2.0 04 '!$B$18:$B$200,'Бланк OLD 2.0 04 '!$A$18:$A$200),1,0)),"")</f>
        <v/>
      </c>
      <c r="C374" s="152" t="str">
        <f ca="1">IFERROR(IFERROR(IFERROR(VLOOKUP(A373+1,CHOOSE({1,2},'Шаг2.Бланк заказа NEW'!$B$19:$B$201,'Шаг2.Бланк заказа NEW'!$A$19:$A$201),2,0),
VLOOKUP(A373+1-COUNT('Шаг2.Бланк заказа NEW'!$B$19:$B$201),CHOOSE({1,2},'Бланк OLD 0.8 04'!$B$18:$B$200,'Бланк OLD 0.8 04'!$A$18:$A$200),2,0)),
VLOOKUP(A373+1-COUNT('Шаг2.Бланк заказа NEW'!$B$19:$B$201)-COUNT('Бланк OLD 0.8 04'!$B$18:$B$200),CHOOSE({1,2},'Бланк OLD 2.0 04 '!$B$18:$B$200,'Бланк OLD 2.0 04 '!$A$18:$A$200),2,0)),"")</f>
        <v/>
      </c>
      <c r="D374" s="150" t="str">
        <f ca="1">IFERROR(VLOOKUP(C374,'Шаг1.Выбор плиты'!C:G,5,0),"")</f>
        <v/>
      </c>
      <c r="E374" s="147" t="str">
        <f ca="1">IFERROR(IFERROR(IF(VLOOKUP($A374,'Шаг2.Бланк заказа NEW'!$B$17:$N$201,2,0)="","",VLOOKUP($A374,'Шаг2.Бланк заказа NEW'!$B$17:$N$201,2,0)),
IF(VLOOKUP($A374-COUNT('Шаг2.Бланк заказа NEW'!$B$19:$B$201),'Бланк OLD 0.8 04'!$B$12:$K$200,2,0)="","",VLOOKUP($A374-COUNT('Шаг2.Бланк заказа NEW'!$B$19:$B$201),'Бланк OLD 0.8 04'!$B$12:$K$200,2,0))),
IF(VLOOKUP($A374-COUNT('Шаг2.Бланк заказа NEW'!$B$19:$B$201)-COUNT('Бланк OLD 0.8 04'!$B$18:$B$200),'Бланк OLD 2.0 04 '!$B$16:$K$200,2,0)="","",VLOOKUP($A374-COUNT('Шаг2.Бланк заказа NEW'!$B$19:$B$201)-COUNT('Бланк OLD 0.8 04'!$B$18:$B$200),'Бланк OLD 2.0 04 '!$B$16:$K$200,2,0)))</f>
        <v/>
      </c>
      <c r="F374" s="147" t="str">
        <f ca="1">IFERROR(IFERROR(IF(VLOOKUP($A374,'Шаг2.Бланк заказа NEW'!$B$17:$N$201,3,0)="","",VLOOKUP($A374,'Шаг2.Бланк заказа NEW'!$B$17:$N$201,3,0)),
IF(VLOOKUP($A374-COUNT('Шаг2.Бланк заказа NEW'!$B$19:$B$201),'Бланк OLD 0.8 04'!$B$12:$K$200,3,0)="","",VLOOKUP($A374-COUNT('Шаг2.Бланк заказа NEW'!$B$19:$B$201),'Бланк OLD 0.8 04'!$B$12:$K$200,3,0))),
IF(VLOOKUP($A374-COUNT('Шаг2.Бланк заказа NEW'!$B$19:$B$201)-COUNT('Бланк OLD 0.8 04'!$B$18:$B$200),'Бланк OLD 2.0 04 '!$B$16:$K$200,3,0)="","",VLOOKUP($A374-COUNT('Шаг2.Бланк заказа NEW'!$B$19:$B$201)-COUNT('Бланк OLD 0.8 04'!$B$18:$B$200),'Бланк OLD 2.0 04 '!$B$16:$K$200,3,0)))</f>
        <v/>
      </c>
      <c r="G374" s="176" t="str">
        <f ca="1">IF(IF(R374="","",IF(R374=1,SUMIFS('Шаг1.Выбор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плиты'!C:Q,12,0)),1))))))=0,
R374,
IF(R374="","",IF(R374=1,SUMIFS('Шаг1.Выбор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плиты'!N:N,R374,'Шаг1.Выбор плиты'!M:M,SMALL(INDIRECT("мм"&amp;VLOOKUP(C374,'Шаг1.Выбор плиты'!C:Q,12,0)),1)))))))</f>
        <v/>
      </c>
      <c r="H374" s="177" t="str">
        <f ca="1">IF(IF(S374="","",IF(S374=1,SUMIFS('Шаг1.Выбор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плиты'!C:Q,12,0)),1))))))=0,
S374,
IF(S374="","",IF(S374=1,SUMIFS('Шаг1.Выбор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плиты'!N:N,S374,'Шаг1.Выбор плиты'!M:M,SMALL(INDIRECT("мм"&amp;VLOOKUP(C374,'Шаг1.Выбор плиты'!C:Q,12,0)),1)))))))</f>
        <v/>
      </c>
      <c r="I374" s="147" t="str">
        <f ca="1">IFERROR(IFERROR(IF(VLOOKUP($A374,'Шаг2.Бланк заказа NEW'!$B$17:$N$201,6,0)="","",VLOOKUP($A374,'Шаг2.Бланк заказа NEW'!$B$17:$N$201,6,0)),
IF(VLOOKUP($A374-COUNT('Шаг2.Бланк заказа NEW'!$B$19:$B$201),'Бланк OLD 0.8 04'!$B$12:$K$200,6,0)="","",VLOOKUP($A374-COUNT('Шаг2.Бланк заказа NEW'!$B$19:$B$201),'Бланк OLD 0.8 04'!$B$12:$K$200,6,0))),
IF(VLOOKUP($A374-COUNT('Шаг2.Бланк заказа NEW'!$B$19:$B$201)-COUNT('Бланк OLD 0.8 04'!$B$18:$B$200),'Бланк OLD 2.0 04 '!$B$16:$K$200,6,0)="","",VLOOKUP($A374-COUNT('Шаг2.Бланк заказа NEW'!$B$19:$B$201)-COUNT('Бланк OLD 0.8 04'!$B$18:$B$200),'Бланк OLD 2.0 04 '!$B$16:$K$200,6,0)))</f>
        <v/>
      </c>
      <c r="J374" s="177" t="str">
        <f ca="1">IF(IF(T374="","",IF(T374=1,SUMIFS('Шаг1.Выбор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плиты'!C:Q,12,0)),1))))))=0,
T374,
IF(T374="","",IF(T374=1,SUMIFS('Шаг1.Выбор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плиты'!N:N,T374,'Шаг1.Выбор плиты'!M:M,SMALL(INDIRECT("мм"&amp;VLOOKUP(C374,'Шаг1.Выбор плиты'!C:Q,12,0)),1)))))))</f>
        <v/>
      </c>
      <c r="K374" s="177" t="str">
        <f ca="1">IF(IF(U374="","",IF(U374=1,SUMIFS('Шаг1.Выбор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плиты'!C:Q,12,0)),1))))))=0,
U374,
IF(U374="","",IF(U374=1,SUMIFS('Шаг1.Выбор плиты'!$G:$G,'Шаг1.Выбор плиты'!J:J,"*"&amp;RIGHT(VLOOKUP(C374,'Шаг1.Выбор плиты'!C:Q,8,0),4),'Шаг1.Выбор плиты'!L:L,IF(MID(C374,1,6)="ЛДСП P","TM"&amp;MID(VLOOKUP(C374,'Шаг1.Выбор плиты'!C:Q,10,0),3,2),MID(VLOOKUP(C374,'Шаг1.Выбор плиты'!C:Q,10,0),1,2)),
'Шаг1.Выбор плиты'!N:N,1),IF(SUMIFS('Шаг1.Выбор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плиты'!C:Q,12,0)),1))=0,
IF(SUMIFS('Шаг1.Выбор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плиты'!C:Q,12,0)),2))=0,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плиты'!C:Q,12,0)),3)),
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плиты'!C:Q,12,0)),2))),
(SUMIFS('Шаг1.Выбор плиты'!$G:$G,'Шаг1.Выбор плиты'!J:J,"*"&amp;RIGHT(VLOOKUP(C374,'Шаг1.Выбор плиты'!C:Q,8,0),4),'Шаг1.Выбор плиты'!L:L,VLOOKUP(C374,'Шаг1.Выбор плиты'!C:Q,10,0),'Шаг1.Выбор плиты'!N:N,U374,'Шаг1.Выбор плиты'!M:M,SMALL(INDIRECT("мм"&amp;VLOOKUP(C374,'Шаг1.Выбор плиты'!C:Q,12,0)),1)))))))</f>
        <v/>
      </c>
      <c r="L374" s="147" t="str">
        <f ca="1">IFERROR(IFERROR(IF(VLOOKUP($A374,'Шаг2.Бланк заказа NEW'!$B$17:$N$201,9,0)="","",VLOOKUP($A374,'Шаг2.Бланк заказа NEW'!$B$17:$N$201,9,0)),
IF(VLOOKUP($A374-COUNT('Шаг2.Бланк заказа NEW'!$B$19:$B$201),'Бланк OLD 0.8 04'!$B$12:$K$200,9,0)="","",VLOOKUP($A374-COUNT('Шаг2.Бланк заказа NEW'!$B$19:$B$201),'Бланк OLD 0.8 04'!$B$12:$K$200,9,0))),
IF(VLOOKUP($A374-COUNT('Шаг2.Бланк заказа NEW'!$B$19:$B$201)-COUNT('Бланк OLD 0.8 04'!$B$18:$B$200),'Бланк OLD 2.0 04 '!$B$16:$K$200,9,0)="","",VLOOKUP($A374-COUNT('Шаг2.Бланк заказа NEW'!$B$19:$B$201)-COUNT('Бланк OLD 0.8 04'!$B$18:$B$200),'Бланк OLD 2.0 04 '!$B$16:$K$200,9,0)))</f>
        <v/>
      </c>
      <c r="M374" s="154" t="str">
        <f t="shared" ca="1" si="33"/>
        <v/>
      </c>
      <c r="N374" s="153" t="str">
        <f ca="1">IFERROR(IF(VLOOKUP($A374,'Шаг2.Бланк заказа NEW'!$B$17:$N$201,11,0)="","",VLOOKUP($A374,'Шаг2.Бланк заказа NEW'!$B$17:$N$201,11,0)),
"Нет")</f>
        <v/>
      </c>
      <c r="O374" s="147" t="str">
        <f ca="1">IFERROR(IF(VLOOKUP($A374,'Шаг2.Бланк заказа NEW'!$B$17:$N$201,11,0)="","",VLOOKUP($A374,'Шаг2.Бланк заказа NEW'!$B$17:$N$201,12,0)),
"Нет")</f>
        <v/>
      </c>
      <c r="P374" s="153" t="str">
        <f ca="1">IFERROR(IF(VLOOKUP($A374,'Шаг2.Бланк заказа NEW'!$B$17:$N$201,13,0)="","",VLOOKUP($A374,'Шаг2.Бланк заказа NEW'!$B$17:$N$201,13,0)),
"Нет")</f>
        <v/>
      </c>
      <c r="Q374" s="147" t="str">
        <f ca="1">IFERROR(IF(VLOOKUP($A374,'Шаг2.Бланк заказа NEW'!$B$17:$O$201,14,0)="","",VLOOKUP($A374,'Шаг2.Бланк заказа NEW'!$B$17:$O$201,14,0)),"")</f>
        <v/>
      </c>
      <c r="R374" s="147" t="str">
        <f ca="1">IFERROR(IFERROR(IF(VLOOKUP($A374,'Шаг2.Бланк заказа NEW'!$B$17:$N$201,4,0)="","",VLOOKUP($A374,'Шаг2.Бланк заказа NEW'!$B$17:$N$201,4,0)),
IF(VLOOKUP($A374-COUNT('Шаг2.Бланк заказа NEW'!$B$19:$B$201),'Бланк OLD 0.8 04'!$B$12:$K$200,4,0)&gt;0,0.8,
IF(VLOOKUP($A374-COUNT('Шаг2.Бланк заказа NEW'!$B$19:$B$201),'Бланк OLD 0.8 04'!$B$12:$K$200,5,0)&gt;0,0.4,""))),
IF(VLOOKUP($A374-COUNT('Шаг2.Бланк заказа NEW'!$B$19:$B$201)-COUNT('Бланк OLD 0.8 04'!$B$18:$B$200),'Бланк OLD 2.0 04 '!$B$16:$K$200,4,0)&gt;0,2,IF(VLOOKUP($A374-COUNT('Шаг2.Бланк заказа NEW'!$B$19:$B$201)-COUNT('Бланк OLD 0.8 04'!$B$18:$B$200),'Бланк OLD 2.0 04 '!$B$16:$K$200,5,0)&gt;0,0.4,"")))</f>
        <v/>
      </c>
      <c r="S374" s="147" t="str">
        <f ca="1">IFERROR(IFERROR(IF(VLOOKUP($A374,'Шаг2.Бланк заказа NEW'!$B$17:$N$201,5,0)="","",VLOOKUP($A374,'Шаг2.Бланк заказа NEW'!$B$17:$N$201,5,0)),
IF(VLOOKUP($A374-COUNT('Шаг2.Бланк заказа NEW'!$B$19:$B$201),'Бланк OLD 0.8 04'!$B$12:$K$200,4,0)&gt;1,0.8,
IF(VLOOKUP($A374-COUNT('Шаг2.Бланк заказа NEW'!$B$19:$B$201),'Бланк OLD 0.8 04'!$B$12:$K$200,5,0)&gt;1,0.4,
IF(AND(VLOOKUP($A374-COUNT('Шаг2.Бланк заказа NEW'!$B$19:$B$201),'Бланк OLD 0.8 04'!$B$12:$K$200,4,0)&gt;0,VLOOKUP($A374-COUNT('Шаг2.Бланк заказа NEW'!$B$19:$B$201),'Бланк OLD 0.8 04'!$B$12:$K$200,5,0)&gt;0),0.4,"")))),
IF(VLOOKUP($A374-COUNT('Шаг2.Бланк заказа NEW'!$B$19:$B$201)-COUNT('Бланк OLD 0.8 04'!$B$18:$B$200),'Бланк OLD 2.0 04 '!$B$16:$K$200,4,0)&gt;1,2,
IF(VLOOKUP($A374-COUNT('Шаг2.Бланк заказа NEW'!$B$19:$B$201)-COUNT('Бланк OLD 0.8 04'!$B$18:$B$200),'Бланк OLD 2.0 04 '!$B$16:$K$200,5,0)&gt;1,0.4,IF(AND(VLOOKUP($A374-COUNT('Шаг2.Бланк заказа NEW'!$B$19:$B$201)-COUNT('Бланк OLD 0.8 04'!$B$18:$B$200),'Бланк OLD 2.0 04 '!$B$16:$K$200,4,0)&gt;0,VLOOKUP($A374-COUNT('Шаг2.Бланк заказа NEW'!$B$19:$B$201)-COUNT('Бланк OLD 0.8 04'!$B$18:$B$200),'Бланк OLD 2.0 04 '!$B$16:$K$200,5,0)&gt;0),0.4,""))))</f>
        <v/>
      </c>
      <c r="T374" s="147" t="str">
        <f ca="1">IFERROR(IFERROR(IF(VLOOKUP($A374,'Шаг2.Бланк заказа NEW'!$B$17:$N$201,7,0)="","",VLOOKUP($A374,'Шаг2.Бланк заказа NEW'!$B$17:$N$201,7,0)),
IF(VLOOKUP($A374-COUNT('Шаг2.Бланк заказа NEW'!$B$19:$B$201),'Бланк OLD 0.8 04'!$B$12:$K$200,7,0)&gt;0,0.8,
IF(VLOOKUP($A374-COUNT('Шаг2.Бланк заказа NEW'!$B$19:$B$201),'Бланк OLD 0.8 04'!$B$12:$K$200,8,0)&gt;0,0.4,""))),
IF(VLOOKUP($A374-COUNT('Шаг2.Бланк заказа NEW'!$B$19:$B$201)-COUNT('Бланк OLD 0.8 04'!$B$18:$B$200),'Бланк OLD 2.0 04 '!$B$16:$K$200,7,0)&gt;0,2,IF(VLOOKUP($A374-COUNT('Шаг2.Бланк заказа NEW'!$B$19:$B$201)-COUNT('Бланк OLD 0.8 04'!$B$18:$B$200),'Бланк OLD 2.0 04 '!$B$16:$K$200,8,0)&gt;0,0.4,"")))</f>
        <v/>
      </c>
      <c r="U374" s="147" t="str">
        <f ca="1">IFERROR(IFERROR(IF(VLOOKUP($A374,'Шаг2.Бланк заказа NEW'!$B$17:$N$201,8,0)="","",VLOOKUP($A374,'Шаг2.Бланк заказа NEW'!$B$17:$N$201,8,0)),
IF(VLOOKUP($A374-COUNT('Шаг2.Бланк заказа NEW'!$B$19:$B$201),'Бланк OLD 0.8 04'!$B$12:$K$200,7,0)&gt;1,0.8,
IF(VLOOKUP($A374-COUNT('Шаг2.Бланк заказа NEW'!$B$19:$B$201),'Бланк OLD 0.8 04'!$B$12:$K$200,8,0)&gt;1,0.4,
IF(AND(VLOOKUP($A374-COUNT('Шаг2.Бланк заказа NEW'!$B$19:$B$201),'Бланк OLD 0.8 04'!$B$12:$K$200,7,0)&gt;0,VLOOKUP($A374-COUNT('Шаг2.Бланк заказа NEW'!$B$19:$B$201),'Бланк OLD 0.8 04'!$B$12:$K$200,8,0)&gt;0),0.4,"")))),
IF(VLOOKUP($A374-COUNT('Шаг2.Бланк заказа NEW'!$B$19:$B$201)-COUNT('Бланк OLD 0.8 04'!$B$18:$B$200),'Бланк OLD 2.0 04 '!$B$16:$K$200,7,0)&gt;1,2,
IF(VLOOKUP($A374-COUNT('Шаг2.Бланк заказа NEW'!$B$19:$B$201)-COUNT('Бланк OLD 0.8 04'!$B$18:$B$200),'Бланк OLD 2.0 04 '!$B$16:$K$200,8,0)&gt;1,0.4,
IF(AND(VLOOKUP($A374-COUNT('Шаг2.Бланк заказа NEW'!$B$19:$B$201)-COUNT('Бланк OLD 0.8 04'!$B$18:$B$200),'Бланк OLD 2.0 04 '!$B$16:$K$200,7,0)&gt;0,VLOOKUP($A374-COUNT('Шаг2.Бланк заказа NEW'!$B$19:$B$201)-COUNT('Бланк OLD 0.8 04'!$B$18:$B$200),'Бланк OLD 2.0 04 '!$B$16:$K$200,8,0)&gt;0),0.4,""))))</f>
        <v/>
      </c>
      <c r="V374" s="146" t="str">
        <f ca="1">IFERROR(VLOOKUP(C374,'Шаг1.Выбор плиты'!C:S,12,0),"")</f>
        <v/>
      </c>
      <c r="W374" s="146" t="str">
        <f ca="1">IFERROR(VLOOKUP(C374,'Шаг1.Выбор плиты'!C:S,8,0),"")</f>
        <v/>
      </c>
      <c r="X374" s="146" t="str">
        <f ca="1">IFERROR(VLOOKUP(C374,'Шаг1.Выбор плиты'!C:S,10,0),"")</f>
        <v/>
      </c>
      <c r="Y374" s="147" t="str">
        <f t="shared" ca="1" si="28"/>
        <v/>
      </c>
      <c r="AD374" s="147" t="str">
        <f t="shared" ca="1" si="34"/>
        <v/>
      </c>
      <c r="AE374" s="147" t="str">
        <f t="shared" ca="1" si="29"/>
        <v/>
      </c>
      <c r="AF374" s="25"/>
      <c r="AH374" s="147" t="str">
        <f ca="1">IF(C374="","",VLOOKUP(C374,'Шаг1.Выбор плиты'!C:Q,7,0))</f>
        <v/>
      </c>
      <c r="AI374" s="147" t="str">
        <f t="shared" ca="1" si="35"/>
        <v/>
      </c>
    </row>
    <row r="375" spans="1:35" x14ac:dyDescent="0.2">
      <c r="A375" s="151" t="str">
        <f ca="1">IF(C375="","",MAX($A$1:OFFSET(C375,-1,0))+1)</f>
        <v/>
      </c>
      <c r="B375" s="151" t="str">
        <f ca="1">IFERROR(IFERROR(IFERROR("Шаг2.Бланк заказа NEW №"&amp;VLOOKUP(A374+1,CHOOSE({1,2},'Шаг2.Бланк заказа NEW'!$B$19:$B$201,'Шаг2.Бланк заказа NEW'!$A$19:$A$201),1,0),
"Бланк OLD 0.8 04 №"&amp;VLOOKUP(A374+1-COUNT('Шаг2.Бланк заказа NEW'!$B$19:$B$201),CHOOSE({1,2},'Бланк OLD 0.8 04'!$B$18:$B$200,'Бланк OLD 0.8 04'!$A$18:$A$200),1,0)),
"Бланк OLD 2.0 04 №"&amp;VLOOKUP(A374+1-COUNT('Шаг2.Бланк заказа NEW'!$B$19:$B$201)-COUNT('Бланк OLD 0.8 04'!$B$18:$B$200),CHOOSE({1,2},'Бланк OLD 2.0 04 '!$B$18:$B$200,'Бланк OLD 2.0 04 '!$A$18:$A$200),1,0)),"")</f>
        <v/>
      </c>
      <c r="C375" s="152" t="str">
        <f ca="1">IFERROR(IFERROR(IFERROR(VLOOKUP(A374+1,CHOOSE({1,2},'Шаг2.Бланк заказа NEW'!$B$19:$B$201,'Шаг2.Бланк заказа NEW'!$A$19:$A$201),2,0),
VLOOKUP(A374+1-COUNT('Шаг2.Бланк заказа NEW'!$B$19:$B$201),CHOOSE({1,2},'Бланк OLD 0.8 04'!$B$18:$B$200,'Бланк OLD 0.8 04'!$A$18:$A$200),2,0)),
VLOOKUP(A374+1-COUNT('Шаг2.Бланк заказа NEW'!$B$19:$B$201)-COUNT('Бланк OLD 0.8 04'!$B$18:$B$200),CHOOSE({1,2},'Бланк OLD 2.0 04 '!$B$18:$B$200,'Бланк OLD 2.0 04 '!$A$18:$A$200),2,0)),"")</f>
        <v/>
      </c>
      <c r="D375" s="150" t="str">
        <f ca="1">IFERROR(VLOOKUP(C375,'Шаг1.Выбор плиты'!C:G,5,0),"")</f>
        <v/>
      </c>
      <c r="E375" s="147" t="str">
        <f ca="1">IFERROR(IFERROR(IF(VLOOKUP($A375,'Шаг2.Бланк заказа NEW'!$B$17:$N$201,2,0)="","",VLOOKUP($A375,'Шаг2.Бланк заказа NEW'!$B$17:$N$201,2,0)),
IF(VLOOKUP($A375-COUNT('Шаг2.Бланк заказа NEW'!$B$19:$B$201),'Бланк OLD 0.8 04'!$B$12:$K$200,2,0)="","",VLOOKUP($A375-COUNT('Шаг2.Бланк заказа NEW'!$B$19:$B$201),'Бланк OLD 0.8 04'!$B$12:$K$200,2,0))),
IF(VLOOKUP($A375-COUNT('Шаг2.Бланк заказа NEW'!$B$19:$B$201)-COUNT('Бланк OLD 0.8 04'!$B$18:$B$200),'Бланк OLD 2.0 04 '!$B$16:$K$200,2,0)="","",VLOOKUP($A375-COUNT('Шаг2.Бланк заказа NEW'!$B$19:$B$201)-COUNT('Бланк OLD 0.8 04'!$B$18:$B$200),'Бланк OLD 2.0 04 '!$B$16:$K$200,2,0)))</f>
        <v/>
      </c>
      <c r="F375" s="147" t="str">
        <f ca="1">IFERROR(IFERROR(IF(VLOOKUP($A375,'Шаг2.Бланк заказа NEW'!$B$17:$N$201,3,0)="","",VLOOKUP($A375,'Шаг2.Бланк заказа NEW'!$B$17:$N$201,3,0)),
IF(VLOOKUP($A375-COUNT('Шаг2.Бланк заказа NEW'!$B$19:$B$201),'Бланк OLD 0.8 04'!$B$12:$K$200,3,0)="","",VLOOKUP($A375-COUNT('Шаг2.Бланк заказа NEW'!$B$19:$B$201),'Бланк OLD 0.8 04'!$B$12:$K$200,3,0))),
IF(VLOOKUP($A375-COUNT('Шаг2.Бланк заказа NEW'!$B$19:$B$201)-COUNT('Бланк OLD 0.8 04'!$B$18:$B$200),'Бланк OLD 2.0 04 '!$B$16:$K$200,3,0)="","",VLOOKUP($A375-COUNT('Шаг2.Бланк заказа NEW'!$B$19:$B$201)-COUNT('Бланк OLD 0.8 04'!$B$18:$B$200),'Бланк OLD 2.0 04 '!$B$16:$K$200,3,0)))</f>
        <v/>
      </c>
      <c r="G375" s="176" t="str">
        <f ca="1">IF(IF(R375="","",IF(R375=1,SUMIFS('Шаг1.Выбор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плиты'!C:Q,12,0)),1))))))=0,
R375,
IF(R375="","",IF(R375=1,SUMIFS('Шаг1.Выбор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плиты'!N:N,R375,'Шаг1.Выбор плиты'!M:M,SMALL(INDIRECT("мм"&amp;VLOOKUP(C375,'Шаг1.Выбор плиты'!C:Q,12,0)),1)))))))</f>
        <v/>
      </c>
      <c r="H375" s="177" t="str">
        <f ca="1">IF(IF(S375="","",IF(S375=1,SUMIFS('Шаг1.Выбор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плиты'!C:Q,12,0)),1))))))=0,
S375,
IF(S375="","",IF(S375=1,SUMIFS('Шаг1.Выбор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плиты'!N:N,S375,'Шаг1.Выбор плиты'!M:M,SMALL(INDIRECT("мм"&amp;VLOOKUP(C375,'Шаг1.Выбор плиты'!C:Q,12,0)),1)))))))</f>
        <v/>
      </c>
      <c r="I375" s="147" t="str">
        <f ca="1">IFERROR(IFERROR(IF(VLOOKUP($A375,'Шаг2.Бланк заказа NEW'!$B$17:$N$201,6,0)="","",VLOOKUP($A375,'Шаг2.Бланк заказа NEW'!$B$17:$N$201,6,0)),
IF(VLOOKUP($A375-COUNT('Шаг2.Бланк заказа NEW'!$B$19:$B$201),'Бланк OLD 0.8 04'!$B$12:$K$200,6,0)="","",VLOOKUP($A375-COUNT('Шаг2.Бланк заказа NEW'!$B$19:$B$201),'Бланк OLD 0.8 04'!$B$12:$K$200,6,0))),
IF(VLOOKUP($A375-COUNT('Шаг2.Бланк заказа NEW'!$B$19:$B$201)-COUNT('Бланк OLD 0.8 04'!$B$18:$B$200),'Бланк OLD 2.0 04 '!$B$16:$K$200,6,0)="","",VLOOKUP($A375-COUNT('Шаг2.Бланк заказа NEW'!$B$19:$B$201)-COUNT('Бланк OLD 0.8 04'!$B$18:$B$200),'Бланк OLD 2.0 04 '!$B$16:$K$200,6,0)))</f>
        <v/>
      </c>
      <c r="J375" s="177" t="str">
        <f ca="1">IF(IF(T375="","",IF(T375=1,SUMIFS('Шаг1.Выбор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плиты'!C:Q,12,0)),1))))))=0,
T375,
IF(T375="","",IF(T375=1,SUMIFS('Шаг1.Выбор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плиты'!N:N,T375,'Шаг1.Выбор плиты'!M:M,SMALL(INDIRECT("мм"&amp;VLOOKUP(C375,'Шаг1.Выбор плиты'!C:Q,12,0)),1)))))))</f>
        <v/>
      </c>
      <c r="K375" s="177" t="str">
        <f ca="1">IF(IF(U375="","",IF(U375=1,SUMIFS('Шаг1.Выбор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плиты'!C:Q,12,0)),1))))))=0,
U375,
IF(U375="","",IF(U375=1,SUMIFS('Шаг1.Выбор плиты'!$G:$G,'Шаг1.Выбор плиты'!J:J,"*"&amp;RIGHT(VLOOKUP(C375,'Шаг1.Выбор плиты'!C:Q,8,0),4),'Шаг1.Выбор плиты'!L:L,IF(MID(C375,1,6)="ЛДСП P","TM"&amp;MID(VLOOKUP(C375,'Шаг1.Выбор плиты'!C:Q,10,0),3,2),MID(VLOOKUP(C375,'Шаг1.Выбор плиты'!C:Q,10,0),1,2)),
'Шаг1.Выбор плиты'!N:N,1),IF(SUMIFS('Шаг1.Выбор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плиты'!C:Q,12,0)),1))=0,
IF(SUMIFS('Шаг1.Выбор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плиты'!C:Q,12,0)),2))=0,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плиты'!C:Q,12,0)),3)),
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плиты'!C:Q,12,0)),2))),
(SUMIFS('Шаг1.Выбор плиты'!$G:$G,'Шаг1.Выбор плиты'!J:J,"*"&amp;RIGHT(VLOOKUP(C375,'Шаг1.Выбор плиты'!C:Q,8,0),4),'Шаг1.Выбор плиты'!L:L,VLOOKUP(C375,'Шаг1.Выбор плиты'!C:Q,10,0),'Шаг1.Выбор плиты'!N:N,U375,'Шаг1.Выбор плиты'!M:M,SMALL(INDIRECT("мм"&amp;VLOOKUP(C375,'Шаг1.Выбор плиты'!C:Q,12,0)),1)))))))</f>
        <v/>
      </c>
      <c r="L375" s="147" t="str">
        <f ca="1">IFERROR(IFERROR(IF(VLOOKUP($A375,'Шаг2.Бланк заказа NEW'!$B$17:$N$201,9,0)="","",VLOOKUP($A375,'Шаг2.Бланк заказа NEW'!$B$17:$N$201,9,0)),
IF(VLOOKUP($A375-COUNT('Шаг2.Бланк заказа NEW'!$B$19:$B$201),'Бланк OLD 0.8 04'!$B$12:$K$200,9,0)="","",VLOOKUP($A375-COUNT('Шаг2.Бланк заказа NEW'!$B$19:$B$201),'Бланк OLD 0.8 04'!$B$12:$K$200,9,0))),
IF(VLOOKUP($A375-COUNT('Шаг2.Бланк заказа NEW'!$B$19:$B$201)-COUNT('Бланк OLD 0.8 04'!$B$18:$B$200),'Бланк OLD 2.0 04 '!$B$16:$K$200,9,0)="","",VLOOKUP($A375-COUNT('Шаг2.Бланк заказа NEW'!$B$19:$B$201)-COUNT('Бланк OLD 0.8 04'!$B$18:$B$200),'Бланк OLD 2.0 04 '!$B$16:$K$200,9,0)))</f>
        <v/>
      </c>
      <c r="M375" s="154" t="str">
        <f t="shared" ca="1" si="33"/>
        <v/>
      </c>
      <c r="N375" s="153" t="str">
        <f ca="1">IFERROR(IF(VLOOKUP($A375,'Шаг2.Бланк заказа NEW'!$B$17:$N$201,11,0)="","",VLOOKUP($A375,'Шаг2.Бланк заказа NEW'!$B$17:$N$201,11,0)),
"Нет")</f>
        <v/>
      </c>
      <c r="O375" s="147" t="str">
        <f ca="1">IFERROR(IF(VLOOKUP($A375,'Шаг2.Бланк заказа NEW'!$B$17:$N$201,11,0)="","",VLOOKUP($A375,'Шаг2.Бланк заказа NEW'!$B$17:$N$201,12,0)),
"Нет")</f>
        <v/>
      </c>
      <c r="P375" s="153" t="str">
        <f ca="1">IFERROR(IF(VLOOKUP($A375,'Шаг2.Бланк заказа NEW'!$B$17:$N$201,13,0)="","",VLOOKUP($A375,'Шаг2.Бланк заказа NEW'!$B$17:$N$201,13,0)),
"Нет")</f>
        <v/>
      </c>
      <c r="Q375" s="147" t="str">
        <f ca="1">IFERROR(IF(VLOOKUP($A375,'Шаг2.Бланк заказа NEW'!$B$17:$O$201,14,0)="","",VLOOKUP($A375,'Шаг2.Бланк заказа NEW'!$B$17:$O$201,14,0)),"")</f>
        <v/>
      </c>
      <c r="R375" s="147" t="str">
        <f ca="1">IFERROR(IFERROR(IF(VLOOKUP($A375,'Шаг2.Бланк заказа NEW'!$B$17:$N$201,4,0)="","",VLOOKUP($A375,'Шаг2.Бланк заказа NEW'!$B$17:$N$201,4,0)),
IF(VLOOKUP($A375-COUNT('Шаг2.Бланк заказа NEW'!$B$19:$B$201),'Бланк OLD 0.8 04'!$B$12:$K$200,4,0)&gt;0,0.8,
IF(VLOOKUP($A375-COUNT('Шаг2.Бланк заказа NEW'!$B$19:$B$201),'Бланк OLD 0.8 04'!$B$12:$K$200,5,0)&gt;0,0.4,""))),
IF(VLOOKUP($A375-COUNT('Шаг2.Бланк заказа NEW'!$B$19:$B$201)-COUNT('Бланк OLD 0.8 04'!$B$18:$B$200),'Бланк OLD 2.0 04 '!$B$16:$K$200,4,0)&gt;0,2,IF(VLOOKUP($A375-COUNT('Шаг2.Бланк заказа NEW'!$B$19:$B$201)-COUNT('Бланк OLD 0.8 04'!$B$18:$B$200),'Бланк OLD 2.0 04 '!$B$16:$K$200,5,0)&gt;0,0.4,"")))</f>
        <v/>
      </c>
      <c r="S375" s="147" t="str">
        <f ca="1">IFERROR(IFERROR(IF(VLOOKUP($A375,'Шаг2.Бланк заказа NEW'!$B$17:$N$201,5,0)="","",VLOOKUP($A375,'Шаг2.Бланк заказа NEW'!$B$17:$N$201,5,0)),
IF(VLOOKUP($A375-COUNT('Шаг2.Бланк заказа NEW'!$B$19:$B$201),'Бланк OLD 0.8 04'!$B$12:$K$200,4,0)&gt;1,0.8,
IF(VLOOKUP($A375-COUNT('Шаг2.Бланк заказа NEW'!$B$19:$B$201),'Бланк OLD 0.8 04'!$B$12:$K$200,5,0)&gt;1,0.4,
IF(AND(VLOOKUP($A375-COUNT('Шаг2.Бланк заказа NEW'!$B$19:$B$201),'Бланк OLD 0.8 04'!$B$12:$K$200,4,0)&gt;0,VLOOKUP($A375-COUNT('Шаг2.Бланк заказа NEW'!$B$19:$B$201),'Бланк OLD 0.8 04'!$B$12:$K$200,5,0)&gt;0),0.4,"")))),
IF(VLOOKUP($A375-COUNT('Шаг2.Бланк заказа NEW'!$B$19:$B$201)-COUNT('Бланк OLD 0.8 04'!$B$18:$B$200),'Бланк OLD 2.0 04 '!$B$16:$K$200,4,0)&gt;1,2,
IF(VLOOKUP($A375-COUNT('Шаг2.Бланк заказа NEW'!$B$19:$B$201)-COUNT('Бланк OLD 0.8 04'!$B$18:$B$200),'Бланк OLD 2.0 04 '!$B$16:$K$200,5,0)&gt;1,0.4,IF(AND(VLOOKUP($A375-COUNT('Шаг2.Бланк заказа NEW'!$B$19:$B$201)-COUNT('Бланк OLD 0.8 04'!$B$18:$B$200),'Бланк OLD 2.0 04 '!$B$16:$K$200,4,0)&gt;0,VLOOKUP($A375-COUNT('Шаг2.Бланк заказа NEW'!$B$19:$B$201)-COUNT('Бланк OLD 0.8 04'!$B$18:$B$200),'Бланк OLD 2.0 04 '!$B$16:$K$200,5,0)&gt;0),0.4,""))))</f>
        <v/>
      </c>
      <c r="T375" s="147" t="str">
        <f ca="1">IFERROR(IFERROR(IF(VLOOKUP($A375,'Шаг2.Бланк заказа NEW'!$B$17:$N$201,7,0)="","",VLOOKUP($A375,'Шаг2.Бланк заказа NEW'!$B$17:$N$201,7,0)),
IF(VLOOKUP($A375-COUNT('Шаг2.Бланк заказа NEW'!$B$19:$B$201),'Бланк OLD 0.8 04'!$B$12:$K$200,7,0)&gt;0,0.8,
IF(VLOOKUP($A375-COUNT('Шаг2.Бланк заказа NEW'!$B$19:$B$201),'Бланк OLD 0.8 04'!$B$12:$K$200,8,0)&gt;0,0.4,""))),
IF(VLOOKUP($A375-COUNT('Шаг2.Бланк заказа NEW'!$B$19:$B$201)-COUNT('Бланк OLD 0.8 04'!$B$18:$B$200),'Бланк OLD 2.0 04 '!$B$16:$K$200,7,0)&gt;0,2,IF(VLOOKUP($A375-COUNT('Шаг2.Бланк заказа NEW'!$B$19:$B$201)-COUNT('Бланк OLD 0.8 04'!$B$18:$B$200),'Бланк OLD 2.0 04 '!$B$16:$K$200,8,0)&gt;0,0.4,"")))</f>
        <v/>
      </c>
      <c r="U375" s="147" t="str">
        <f ca="1">IFERROR(IFERROR(IF(VLOOKUP($A375,'Шаг2.Бланк заказа NEW'!$B$17:$N$201,8,0)="","",VLOOKUP($A375,'Шаг2.Бланк заказа NEW'!$B$17:$N$201,8,0)),
IF(VLOOKUP($A375-COUNT('Шаг2.Бланк заказа NEW'!$B$19:$B$201),'Бланк OLD 0.8 04'!$B$12:$K$200,7,0)&gt;1,0.8,
IF(VLOOKUP($A375-COUNT('Шаг2.Бланк заказа NEW'!$B$19:$B$201),'Бланк OLD 0.8 04'!$B$12:$K$200,8,0)&gt;1,0.4,
IF(AND(VLOOKUP($A375-COUNT('Шаг2.Бланк заказа NEW'!$B$19:$B$201),'Бланк OLD 0.8 04'!$B$12:$K$200,7,0)&gt;0,VLOOKUP($A375-COUNT('Шаг2.Бланк заказа NEW'!$B$19:$B$201),'Бланк OLD 0.8 04'!$B$12:$K$200,8,0)&gt;0),0.4,"")))),
IF(VLOOKUP($A375-COUNT('Шаг2.Бланк заказа NEW'!$B$19:$B$201)-COUNT('Бланк OLD 0.8 04'!$B$18:$B$200),'Бланк OLD 2.0 04 '!$B$16:$K$200,7,0)&gt;1,2,
IF(VLOOKUP($A375-COUNT('Шаг2.Бланк заказа NEW'!$B$19:$B$201)-COUNT('Бланк OLD 0.8 04'!$B$18:$B$200),'Бланк OLD 2.0 04 '!$B$16:$K$200,8,0)&gt;1,0.4,
IF(AND(VLOOKUP($A375-COUNT('Шаг2.Бланк заказа NEW'!$B$19:$B$201)-COUNT('Бланк OLD 0.8 04'!$B$18:$B$200),'Бланк OLD 2.0 04 '!$B$16:$K$200,7,0)&gt;0,VLOOKUP($A375-COUNT('Шаг2.Бланк заказа NEW'!$B$19:$B$201)-COUNT('Бланк OLD 0.8 04'!$B$18:$B$200),'Бланк OLD 2.0 04 '!$B$16:$K$200,8,0)&gt;0),0.4,""))))</f>
        <v/>
      </c>
      <c r="V375" s="146" t="str">
        <f ca="1">IFERROR(VLOOKUP(C375,'Шаг1.Выбор плиты'!C:S,12,0),"")</f>
        <v/>
      </c>
      <c r="W375" s="146" t="str">
        <f ca="1">IFERROR(VLOOKUP(C375,'Шаг1.Выбор плиты'!C:S,8,0),"")</f>
        <v/>
      </c>
      <c r="X375" s="146" t="str">
        <f ca="1">IFERROR(VLOOKUP(C375,'Шаг1.Выбор плиты'!C:S,10,0),"")</f>
        <v/>
      </c>
      <c r="Y375" s="147" t="str">
        <f t="shared" ca="1" si="28"/>
        <v/>
      </c>
      <c r="AD375" s="147" t="str">
        <f t="shared" ca="1" si="34"/>
        <v/>
      </c>
      <c r="AE375" s="147" t="str">
        <f t="shared" ca="1" si="29"/>
        <v/>
      </c>
      <c r="AF375" s="25"/>
      <c r="AH375" s="147" t="str">
        <f ca="1">IF(C375="","",VLOOKUP(C375,'Шаг1.Выбор плиты'!C:Q,7,0))</f>
        <v/>
      </c>
      <c r="AI375" s="147" t="str">
        <f t="shared" ca="1" si="35"/>
        <v/>
      </c>
    </row>
    <row r="376" spans="1:35" x14ac:dyDescent="0.2">
      <c r="A376" s="151" t="str">
        <f ca="1">IF(C376="","",MAX($A$1:OFFSET(C376,-1,0))+1)</f>
        <v/>
      </c>
      <c r="B376" s="151" t="str">
        <f ca="1">IFERROR(IFERROR(IFERROR("Шаг2.Бланк заказа NEW №"&amp;VLOOKUP(A375+1,CHOOSE({1,2},'Шаг2.Бланк заказа NEW'!$B$19:$B$201,'Шаг2.Бланк заказа NEW'!$A$19:$A$201),1,0),
"Бланк OLD 0.8 04 №"&amp;VLOOKUP(A375+1-COUNT('Шаг2.Бланк заказа NEW'!$B$19:$B$201),CHOOSE({1,2},'Бланк OLD 0.8 04'!$B$18:$B$200,'Бланк OLD 0.8 04'!$A$18:$A$200),1,0)),
"Бланк OLD 2.0 04 №"&amp;VLOOKUP(A375+1-COUNT('Шаг2.Бланк заказа NEW'!$B$19:$B$201)-COUNT('Бланк OLD 0.8 04'!$B$18:$B$200),CHOOSE({1,2},'Бланк OLD 2.0 04 '!$B$18:$B$200,'Бланк OLD 2.0 04 '!$A$18:$A$200),1,0)),"")</f>
        <v/>
      </c>
      <c r="C376" s="152" t="str">
        <f ca="1">IFERROR(IFERROR(IFERROR(VLOOKUP(A375+1,CHOOSE({1,2},'Шаг2.Бланк заказа NEW'!$B$19:$B$201,'Шаг2.Бланк заказа NEW'!$A$19:$A$201),2,0),
VLOOKUP(A375+1-COUNT('Шаг2.Бланк заказа NEW'!$B$19:$B$201),CHOOSE({1,2},'Бланк OLD 0.8 04'!$B$18:$B$200,'Бланк OLD 0.8 04'!$A$18:$A$200),2,0)),
VLOOKUP(A375+1-COUNT('Шаг2.Бланк заказа NEW'!$B$19:$B$201)-COUNT('Бланк OLD 0.8 04'!$B$18:$B$200),CHOOSE({1,2},'Бланк OLD 2.0 04 '!$B$18:$B$200,'Бланк OLD 2.0 04 '!$A$18:$A$200),2,0)),"")</f>
        <v/>
      </c>
      <c r="D376" s="150" t="str">
        <f ca="1">IFERROR(VLOOKUP(C376,'Шаг1.Выбор плиты'!C:G,5,0),"")</f>
        <v/>
      </c>
      <c r="E376" s="147" t="str">
        <f ca="1">IFERROR(IFERROR(IF(VLOOKUP($A376,'Шаг2.Бланк заказа NEW'!$B$17:$N$201,2,0)="","",VLOOKUP($A376,'Шаг2.Бланк заказа NEW'!$B$17:$N$201,2,0)),
IF(VLOOKUP($A376-COUNT('Шаг2.Бланк заказа NEW'!$B$19:$B$201),'Бланк OLD 0.8 04'!$B$12:$K$200,2,0)="","",VLOOKUP($A376-COUNT('Шаг2.Бланк заказа NEW'!$B$19:$B$201),'Бланк OLD 0.8 04'!$B$12:$K$200,2,0))),
IF(VLOOKUP($A376-COUNT('Шаг2.Бланк заказа NEW'!$B$19:$B$201)-COUNT('Бланк OLD 0.8 04'!$B$18:$B$200),'Бланк OLD 2.0 04 '!$B$16:$K$200,2,0)="","",VLOOKUP($A376-COUNT('Шаг2.Бланк заказа NEW'!$B$19:$B$201)-COUNT('Бланк OLD 0.8 04'!$B$18:$B$200),'Бланк OLD 2.0 04 '!$B$16:$K$200,2,0)))</f>
        <v/>
      </c>
      <c r="F376" s="147" t="str">
        <f ca="1">IFERROR(IFERROR(IF(VLOOKUP($A376,'Шаг2.Бланк заказа NEW'!$B$17:$N$201,3,0)="","",VLOOKUP($A376,'Шаг2.Бланк заказа NEW'!$B$17:$N$201,3,0)),
IF(VLOOKUP($A376-COUNT('Шаг2.Бланк заказа NEW'!$B$19:$B$201),'Бланк OLD 0.8 04'!$B$12:$K$200,3,0)="","",VLOOKUP($A376-COUNT('Шаг2.Бланк заказа NEW'!$B$19:$B$201),'Бланк OLD 0.8 04'!$B$12:$K$200,3,0))),
IF(VLOOKUP($A376-COUNT('Шаг2.Бланк заказа NEW'!$B$19:$B$201)-COUNT('Бланк OLD 0.8 04'!$B$18:$B$200),'Бланк OLD 2.0 04 '!$B$16:$K$200,3,0)="","",VLOOKUP($A376-COUNT('Шаг2.Бланк заказа NEW'!$B$19:$B$201)-COUNT('Бланк OLD 0.8 04'!$B$18:$B$200),'Бланк OLD 2.0 04 '!$B$16:$K$200,3,0)))</f>
        <v/>
      </c>
      <c r="G376" s="176" t="str">
        <f ca="1">IF(IF(R376="","",IF(R376=1,SUMIFS('Шаг1.Выбор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плиты'!C:Q,12,0)),1))))))=0,
R376,
IF(R376="","",IF(R376=1,SUMIFS('Шаг1.Выбор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плиты'!N:N,R376,'Шаг1.Выбор плиты'!M:M,SMALL(INDIRECT("мм"&amp;VLOOKUP(C376,'Шаг1.Выбор плиты'!C:Q,12,0)),1)))))))</f>
        <v/>
      </c>
      <c r="H376" s="177" t="str">
        <f ca="1">IF(IF(S376="","",IF(S376=1,SUMIFS('Шаг1.Выбор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плиты'!C:Q,12,0)),1))))))=0,
S376,
IF(S376="","",IF(S376=1,SUMIFS('Шаг1.Выбор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плиты'!N:N,S376,'Шаг1.Выбор плиты'!M:M,SMALL(INDIRECT("мм"&amp;VLOOKUP(C376,'Шаг1.Выбор плиты'!C:Q,12,0)),1)))))))</f>
        <v/>
      </c>
      <c r="I376" s="147" t="str">
        <f ca="1">IFERROR(IFERROR(IF(VLOOKUP($A376,'Шаг2.Бланк заказа NEW'!$B$17:$N$201,6,0)="","",VLOOKUP($A376,'Шаг2.Бланк заказа NEW'!$B$17:$N$201,6,0)),
IF(VLOOKUP($A376-COUNT('Шаг2.Бланк заказа NEW'!$B$19:$B$201),'Бланк OLD 0.8 04'!$B$12:$K$200,6,0)="","",VLOOKUP($A376-COUNT('Шаг2.Бланк заказа NEW'!$B$19:$B$201),'Бланк OLD 0.8 04'!$B$12:$K$200,6,0))),
IF(VLOOKUP($A376-COUNT('Шаг2.Бланк заказа NEW'!$B$19:$B$201)-COUNT('Бланк OLD 0.8 04'!$B$18:$B$200),'Бланк OLD 2.0 04 '!$B$16:$K$200,6,0)="","",VLOOKUP($A376-COUNT('Шаг2.Бланк заказа NEW'!$B$19:$B$201)-COUNT('Бланк OLD 0.8 04'!$B$18:$B$200),'Бланк OLD 2.0 04 '!$B$16:$K$200,6,0)))</f>
        <v/>
      </c>
      <c r="J376" s="177" t="str">
        <f ca="1">IF(IF(T376="","",IF(T376=1,SUMIFS('Шаг1.Выбор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плиты'!C:Q,12,0)),1))))))=0,
T376,
IF(T376="","",IF(T376=1,SUMIFS('Шаг1.Выбор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плиты'!N:N,T376,'Шаг1.Выбор плиты'!M:M,SMALL(INDIRECT("мм"&amp;VLOOKUP(C376,'Шаг1.Выбор плиты'!C:Q,12,0)),1)))))))</f>
        <v/>
      </c>
      <c r="K376" s="177" t="str">
        <f ca="1">IF(IF(U376="","",IF(U376=1,SUMIFS('Шаг1.Выбор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плиты'!C:Q,12,0)),1))))))=0,
U376,
IF(U376="","",IF(U376=1,SUMIFS('Шаг1.Выбор плиты'!$G:$G,'Шаг1.Выбор плиты'!J:J,"*"&amp;RIGHT(VLOOKUP(C376,'Шаг1.Выбор плиты'!C:Q,8,0),4),'Шаг1.Выбор плиты'!L:L,IF(MID(C376,1,6)="ЛДСП P","TM"&amp;MID(VLOOKUP(C376,'Шаг1.Выбор плиты'!C:Q,10,0),3,2),MID(VLOOKUP(C376,'Шаг1.Выбор плиты'!C:Q,10,0),1,2)),
'Шаг1.Выбор плиты'!N:N,1),IF(SUMIFS('Шаг1.Выбор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плиты'!C:Q,12,0)),1))=0,
IF(SUMIFS('Шаг1.Выбор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плиты'!C:Q,12,0)),2))=0,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плиты'!C:Q,12,0)),3)),
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плиты'!C:Q,12,0)),2))),
(SUMIFS('Шаг1.Выбор плиты'!$G:$G,'Шаг1.Выбор плиты'!J:J,"*"&amp;RIGHT(VLOOKUP(C376,'Шаг1.Выбор плиты'!C:Q,8,0),4),'Шаг1.Выбор плиты'!L:L,VLOOKUP(C376,'Шаг1.Выбор плиты'!C:Q,10,0),'Шаг1.Выбор плиты'!N:N,U376,'Шаг1.Выбор плиты'!M:M,SMALL(INDIRECT("мм"&amp;VLOOKUP(C376,'Шаг1.Выбор плиты'!C:Q,12,0)),1)))))))</f>
        <v/>
      </c>
      <c r="L376" s="147" t="str">
        <f ca="1">IFERROR(IFERROR(IF(VLOOKUP($A376,'Шаг2.Бланк заказа NEW'!$B$17:$N$201,9,0)="","",VLOOKUP($A376,'Шаг2.Бланк заказа NEW'!$B$17:$N$201,9,0)),
IF(VLOOKUP($A376-COUNT('Шаг2.Бланк заказа NEW'!$B$19:$B$201),'Бланк OLD 0.8 04'!$B$12:$K$200,9,0)="","",VLOOKUP($A376-COUNT('Шаг2.Бланк заказа NEW'!$B$19:$B$201),'Бланк OLD 0.8 04'!$B$12:$K$200,9,0))),
IF(VLOOKUP($A376-COUNT('Шаг2.Бланк заказа NEW'!$B$19:$B$201)-COUNT('Бланк OLD 0.8 04'!$B$18:$B$200),'Бланк OLD 2.0 04 '!$B$16:$K$200,9,0)="","",VLOOKUP($A376-COUNT('Шаг2.Бланк заказа NEW'!$B$19:$B$201)-COUNT('Бланк OLD 0.8 04'!$B$18:$B$200),'Бланк OLD 2.0 04 '!$B$16:$K$200,9,0)))</f>
        <v/>
      </c>
      <c r="M376" s="154" t="str">
        <f t="shared" ca="1" si="33"/>
        <v/>
      </c>
      <c r="N376" s="153" t="str">
        <f ca="1">IFERROR(IF(VLOOKUP($A376,'Шаг2.Бланк заказа NEW'!$B$17:$N$201,11,0)="","",VLOOKUP($A376,'Шаг2.Бланк заказа NEW'!$B$17:$N$201,11,0)),
"Нет")</f>
        <v/>
      </c>
      <c r="O376" s="147" t="str">
        <f ca="1">IFERROR(IF(VLOOKUP($A376,'Шаг2.Бланк заказа NEW'!$B$17:$N$201,11,0)="","",VLOOKUP($A376,'Шаг2.Бланк заказа NEW'!$B$17:$N$201,12,0)),
"Нет")</f>
        <v/>
      </c>
      <c r="P376" s="153" t="str">
        <f ca="1">IFERROR(IF(VLOOKUP($A376,'Шаг2.Бланк заказа NEW'!$B$17:$N$201,13,0)="","",VLOOKUP($A376,'Шаг2.Бланк заказа NEW'!$B$17:$N$201,13,0)),
"Нет")</f>
        <v/>
      </c>
      <c r="Q376" s="147" t="str">
        <f ca="1">IFERROR(IF(VLOOKUP($A376,'Шаг2.Бланк заказа NEW'!$B$17:$O$201,14,0)="","",VLOOKUP($A376,'Шаг2.Бланк заказа NEW'!$B$17:$O$201,14,0)),"")</f>
        <v/>
      </c>
      <c r="R376" s="147" t="str">
        <f ca="1">IFERROR(IFERROR(IF(VLOOKUP($A376,'Шаг2.Бланк заказа NEW'!$B$17:$N$201,4,0)="","",VLOOKUP($A376,'Шаг2.Бланк заказа NEW'!$B$17:$N$201,4,0)),
IF(VLOOKUP($A376-COUNT('Шаг2.Бланк заказа NEW'!$B$19:$B$201),'Бланк OLD 0.8 04'!$B$12:$K$200,4,0)&gt;0,0.8,
IF(VLOOKUP($A376-COUNT('Шаг2.Бланк заказа NEW'!$B$19:$B$201),'Бланк OLD 0.8 04'!$B$12:$K$200,5,0)&gt;0,0.4,""))),
IF(VLOOKUP($A376-COUNT('Шаг2.Бланк заказа NEW'!$B$19:$B$201)-COUNT('Бланк OLD 0.8 04'!$B$18:$B$200),'Бланк OLD 2.0 04 '!$B$16:$K$200,4,0)&gt;0,2,IF(VLOOKUP($A376-COUNT('Шаг2.Бланк заказа NEW'!$B$19:$B$201)-COUNT('Бланк OLD 0.8 04'!$B$18:$B$200),'Бланк OLD 2.0 04 '!$B$16:$K$200,5,0)&gt;0,0.4,"")))</f>
        <v/>
      </c>
      <c r="S376" s="147" t="str">
        <f ca="1">IFERROR(IFERROR(IF(VLOOKUP($A376,'Шаг2.Бланк заказа NEW'!$B$17:$N$201,5,0)="","",VLOOKUP($A376,'Шаг2.Бланк заказа NEW'!$B$17:$N$201,5,0)),
IF(VLOOKUP($A376-COUNT('Шаг2.Бланк заказа NEW'!$B$19:$B$201),'Бланк OLD 0.8 04'!$B$12:$K$200,4,0)&gt;1,0.8,
IF(VLOOKUP($A376-COUNT('Шаг2.Бланк заказа NEW'!$B$19:$B$201),'Бланк OLD 0.8 04'!$B$12:$K$200,5,0)&gt;1,0.4,
IF(AND(VLOOKUP($A376-COUNT('Шаг2.Бланк заказа NEW'!$B$19:$B$201),'Бланк OLD 0.8 04'!$B$12:$K$200,4,0)&gt;0,VLOOKUP($A376-COUNT('Шаг2.Бланк заказа NEW'!$B$19:$B$201),'Бланк OLD 0.8 04'!$B$12:$K$200,5,0)&gt;0),0.4,"")))),
IF(VLOOKUP($A376-COUNT('Шаг2.Бланк заказа NEW'!$B$19:$B$201)-COUNT('Бланк OLD 0.8 04'!$B$18:$B$200),'Бланк OLD 2.0 04 '!$B$16:$K$200,4,0)&gt;1,2,
IF(VLOOKUP($A376-COUNT('Шаг2.Бланк заказа NEW'!$B$19:$B$201)-COUNT('Бланк OLD 0.8 04'!$B$18:$B$200),'Бланк OLD 2.0 04 '!$B$16:$K$200,5,0)&gt;1,0.4,IF(AND(VLOOKUP($A376-COUNT('Шаг2.Бланк заказа NEW'!$B$19:$B$201)-COUNT('Бланк OLD 0.8 04'!$B$18:$B$200),'Бланк OLD 2.0 04 '!$B$16:$K$200,4,0)&gt;0,VLOOKUP($A376-COUNT('Шаг2.Бланк заказа NEW'!$B$19:$B$201)-COUNT('Бланк OLD 0.8 04'!$B$18:$B$200),'Бланк OLD 2.0 04 '!$B$16:$K$200,5,0)&gt;0),0.4,""))))</f>
        <v/>
      </c>
      <c r="T376" s="147" t="str">
        <f ca="1">IFERROR(IFERROR(IF(VLOOKUP($A376,'Шаг2.Бланк заказа NEW'!$B$17:$N$201,7,0)="","",VLOOKUP($A376,'Шаг2.Бланк заказа NEW'!$B$17:$N$201,7,0)),
IF(VLOOKUP($A376-COUNT('Шаг2.Бланк заказа NEW'!$B$19:$B$201),'Бланк OLD 0.8 04'!$B$12:$K$200,7,0)&gt;0,0.8,
IF(VLOOKUP($A376-COUNT('Шаг2.Бланк заказа NEW'!$B$19:$B$201),'Бланк OLD 0.8 04'!$B$12:$K$200,8,0)&gt;0,0.4,""))),
IF(VLOOKUP($A376-COUNT('Шаг2.Бланк заказа NEW'!$B$19:$B$201)-COUNT('Бланк OLD 0.8 04'!$B$18:$B$200),'Бланк OLD 2.0 04 '!$B$16:$K$200,7,0)&gt;0,2,IF(VLOOKUP($A376-COUNT('Шаг2.Бланк заказа NEW'!$B$19:$B$201)-COUNT('Бланк OLD 0.8 04'!$B$18:$B$200),'Бланк OLD 2.0 04 '!$B$16:$K$200,8,0)&gt;0,0.4,"")))</f>
        <v/>
      </c>
      <c r="U376" s="147" t="str">
        <f ca="1">IFERROR(IFERROR(IF(VLOOKUP($A376,'Шаг2.Бланк заказа NEW'!$B$17:$N$201,8,0)="","",VLOOKUP($A376,'Шаг2.Бланк заказа NEW'!$B$17:$N$201,8,0)),
IF(VLOOKUP($A376-COUNT('Шаг2.Бланк заказа NEW'!$B$19:$B$201),'Бланк OLD 0.8 04'!$B$12:$K$200,7,0)&gt;1,0.8,
IF(VLOOKUP($A376-COUNT('Шаг2.Бланк заказа NEW'!$B$19:$B$201),'Бланк OLD 0.8 04'!$B$12:$K$200,8,0)&gt;1,0.4,
IF(AND(VLOOKUP($A376-COUNT('Шаг2.Бланк заказа NEW'!$B$19:$B$201),'Бланк OLD 0.8 04'!$B$12:$K$200,7,0)&gt;0,VLOOKUP($A376-COUNT('Шаг2.Бланк заказа NEW'!$B$19:$B$201),'Бланк OLD 0.8 04'!$B$12:$K$200,8,0)&gt;0),0.4,"")))),
IF(VLOOKUP($A376-COUNT('Шаг2.Бланк заказа NEW'!$B$19:$B$201)-COUNT('Бланк OLD 0.8 04'!$B$18:$B$200),'Бланк OLD 2.0 04 '!$B$16:$K$200,7,0)&gt;1,2,
IF(VLOOKUP($A376-COUNT('Шаг2.Бланк заказа NEW'!$B$19:$B$201)-COUNT('Бланк OLD 0.8 04'!$B$18:$B$200),'Бланк OLD 2.0 04 '!$B$16:$K$200,8,0)&gt;1,0.4,
IF(AND(VLOOKUP($A376-COUNT('Шаг2.Бланк заказа NEW'!$B$19:$B$201)-COUNT('Бланк OLD 0.8 04'!$B$18:$B$200),'Бланк OLD 2.0 04 '!$B$16:$K$200,7,0)&gt;0,VLOOKUP($A376-COUNT('Шаг2.Бланк заказа NEW'!$B$19:$B$201)-COUNT('Бланк OLD 0.8 04'!$B$18:$B$200),'Бланк OLD 2.0 04 '!$B$16:$K$200,8,0)&gt;0),0.4,""))))</f>
        <v/>
      </c>
      <c r="V376" s="146" t="str">
        <f ca="1">IFERROR(VLOOKUP(C376,'Шаг1.Выбор плиты'!C:S,12,0),"")</f>
        <v/>
      </c>
      <c r="W376" s="146" t="str">
        <f ca="1">IFERROR(VLOOKUP(C376,'Шаг1.Выбор плиты'!C:S,8,0),"")</f>
        <v/>
      </c>
      <c r="X376" s="146" t="str">
        <f ca="1">IFERROR(VLOOKUP(C376,'Шаг1.Выбор плиты'!C:S,10,0),"")</f>
        <v/>
      </c>
      <c r="Y376" s="147" t="str">
        <f t="shared" ca="1" si="28"/>
        <v/>
      </c>
      <c r="AD376" s="147" t="str">
        <f t="shared" ca="1" si="34"/>
        <v/>
      </c>
      <c r="AE376" s="147" t="str">
        <f t="shared" ca="1" si="29"/>
        <v/>
      </c>
      <c r="AF376" s="25"/>
      <c r="AH376" s="147" t="str">
        <f ca="1">IF(C376="","",VLOOKUP(C376,'Шаг1.Выбор плиты'!C:Q,7,0))</f>
        <v/>
      </c>
      <c r="AI376" s="147" t="str">
        <f t="shared" ca="1" si="35"/>
        <v/>
      </c>
    </row>
    <row r="377" spans="1:35" x14ac:dyDescent="0.2">
      <c r="A377" s="151" t="str">
        <f ca="1">IF(C377="","",MAX($A$1:OFFSET(C377,-1,0))+1)</f>
        <v/>
      </c>
      <c r="B377" s="151" t="str">
        <f ca="1">IFERROR(IFERROR(IFERROR("Шаг2.Бланк заказа NEW №"&amp;VLOOKUP(A376+1,CHOOSE({1,2},'Шаг2.Бланк заказа NEW'!$B$19:$B$201,'Шаг2.Бланк заказа NEW'!$A$19:$A$201),1,0),
"Бланк OLD 0.8 04 №"&amp;VLOOKUP(A376+1-COUNT('Шаг2.Бланк заказа NEW'!$B$19:$B$201),CHOOSE({1,2},'Бланк OLD 0.8 04'!$B$18:$B$200,'Бланк OLD 0.8 04'!$A$18:$A$200),1,0)),
"Бланк OLD 2.0 04 №"&amp;VLOOKUP(A376+1-COUNT('Шаг2.Бланк заказа NEW'!$B$19:$B$201)-COUNT('Бланк OLD 0.8 04'!$B$18:$B$200),CHOOSE({1,2},'Бланк OLD 2.0 04 '!$B$18:$B$200,'Бланк OLD 2.0 04 '!$A$18:$A$200),1,0)),"")</f>
        <v/>
      </c>
      <c r="C377" s="152" t="str">
        <f ca="1">IFERROR(IFERROR(IFERROR(VLOOKUP(A376+1,CHOOSE({1,2},'Шаг2.Бланк заказа NEW'!$B$19:$B$201,'Шаг2.Бланк заказа NEW'!$A$19:$A$201),2,0),
VLOOKUP(A376+1-COUNT('Шаг2.Бланк заказа NEW'!$B$19:$B$201),CHOOSE({1,2},'Бланк OLD 0.8 04'!$B$18:$B$200,'Бланк OLD 0.8 04'!$A$18:$A$200),2,0)),
VLOOKUP(A376+1-COUNT('Шаг2.Бланк заказа NEW'!$B$19:$B$201)-COUNT('Бланк OLD 0.8 04'!$B$18:$B$200),CHOOSE({1,2},'Бланк OLD 2.0 04 '!$B$18:$B$200,'Бланк OLD 2.0 04 '!$A$18:$A$200),2,0)),"")</f>
        <v/>
      </c>
      <c r="D377" s="150" t="str">
        <f ca="1">IFERROR(VLOOKUP(C377,'Шаг1.Выбор плиты'!C:G,5,0),"")</f>
        <v/>
      </c>
      <c r="E377" s="147" t="str">
        <f ca="1">IFERROR(IFERROR(IF(VLOOKUP($A377,'Шаг2.Бланк заказа NEW'!$B$17:$N$201,2,0)="","",VLOOKUP($A377,'Шаг2.Бланк заказа NEW'!$B$17:$N$201,2,0)),
IF(VLOOKUP($A377-COUNT('Шаг2.Бланк заказа NEW'!$B$19:$B$201),'Бланк OLD 0.8 04'!$B$12:$K$200,2,0)="","",VLOOKUP($A377-COUNT('Шаг2.Бланк заказа NEW'!$B$19:$B$201),'Бланк OLD 0.8 04'!$B$12:$K$200,2,0))),
IF(VLOOKUP($A377-COUNT('Шаг2.Бланк заказа NEW'!$B$19:$B$201)-COUNT('Бланк OLD 0.8 04'!$B$18:$B$200),'Бланк OLD 2.0 04 '!$B$16:$K$200,2,0)="","",VLOOKUP($A377-COUNT('Шаг2.Бланк заказа NEW'!$B$19:$B$201)-COUNT('Бланк OLD 0.8 04'!$B$18:$B$200),'Бланк OLD 2.0 04 '!$B$16:$K$200,2,0)))</f>
        <v/>
      </c>
      <c r="F377" s="147" t="str">
        <f ca="1">IFERROR(IFERROR(IF(VLOOKUP($A377,'Шаг2.Бланк заказа NEW'!$B$17:$N$201,3,0)="","",VLOOKUP($A377,'Шаг2.Бланк заказа NEW'!$B$17:$N$201,3,0)),
IF(VLOOKUP($A377-COUNT('Шаг2.Бланк заказа NEW'!$B$19:$B$201),'Бланк OLD 0.8 04'!$B$12:$K$200,3,0)="","",VLOOKUP($A377-COUNT('Шаг2.Бланк заказа NEW'!$B$19:$B$201),'Бланк OLD 0.8 04'!$B$12:$K$200,3,0))),
IF(VLOOKUP($A377-COUNT('Шаг2.Бланк заказа NEW'!$B$19:$B$201)-COUNT('Бланк OLD 0.8 04'!$B$18:$B$200),'Бланк OLD 2.0 04 '!$B$16:$K$200,3,0)="","",VLOOKUP($A377-COUNT('Шаг2.Бланк заказа NEW'!$B$19:$B$201)-COUNT('Бланк OLD 0.8 04'!$B$18:$B$200),'Бланк OLD 2.0 04 '!$B$16:$K$200,3,0)))</f>
        <v/>
      </c>
      <c r="G377" s="176" t="str">
        <f ca="1">IF(IF(R377="","",IF(R377=1,SUMIFS('Шаг1.Выбор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плиты'!C:Q,12,0)),1))))))=0,
R377,
IF(R377="","",IF(R377=1,SUMIFS('Шаг1.Выбор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плиты'!N:N,R377,'Шаг1.Выбор плиты'!M:M,SMALL(INDIRECT("мм"&amp;VLOOKUP(C377,'Шаг1.Выбор плиты'!C:Q,12,0)),1)))))))</f>
        <v/>
      </c>
      <c r="H377" s="177" t="str">
        <f ca="1">IF(IF(S377="","",IF(S377=1,SUMIFS('Шаг1.Выбор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плиты'!C:Q,12,0)),1))))))=0,
S377,
IF(S377="","",IF(S377=1,SUMIFS('Шаг1.Выбор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плиты'!N:N,S377,'Шаг1.Выбор плиты'!M:M,SMALL(INDIRECT("мм"&amp;VLOOKUP(C377,'Шаг1.Выбор плиты'!C:Q,12,0)),1)))))))</f>
        <v/>
      </c>
      <c r="I377" s="147" t="str">
        <f ca="1">IFERROR(IFERROR(IF(VLOOKUP($A377,'Шаг2.Бланк заказа NEW'!$B$17:$N$201,6,0)="","",VLOOKUP($A377,'Шаг2.Бланк заказа NEW'!$B$17:$N$201,6,0)),
IF(VLOOKUP($A377-COUNT('Шаг2.Бланк заказа NEW'!$B$19:$B$201),'Бланк OLD 0.8 04'!$B$12:$K$200,6,0)="","",VLOOKUP($A377-COUNT('Шаг2.Бланк заказа NEW'!$B$19:$B$201),'Бланк OLD 0.8 04'!$B$12:$K$200,6,0))),
IF(VLOOKUP($A377-COUNT('Шаг2.Бланк заказа NEW'!$B$19:$B$201)-COUNT('Бланк OLD 0.8 04'!$B$18:$B$200),'Бланк OLD 2.0 04 '!$B$16:$K$200,6,0)="","",VLOOKUP($A377-COUNT('Шаг2.Бланк заказа NEW'!$B$19:$B$201)-COUNT('Бланк OLD 0.8 04'!$B$18:$B$200),'Бланк OLD 2.0 04 '!$B$16:$K$200,6,0)))</f>
        <v/>
      </c>
      <c r="J377" s="177" t="str">
        <f ca="1">IF(IF(T377="","",IF(T377=1,SUMIFS('Шаг1.Выбор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плиты'!C:Q,12,0)),1))))))=0,
T377,
IF(T377="","",IF(T377=1,SUMIFS('Шаг1.Выбор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плиты'!N:N,T377,'Шаг1.Выбор плиты'!M:M,SMALL(INDIRECT("мм"&amp;VLOOKUP(C377,'Шаг1.Выбор плиты'!C:Q,12,0)),1)))))))</f>
        <v/>
      </c>
      <c r="K377" s="177" t="str">
        <f ca="1">IF(IF(U377="","",IF(U377=1,SUMIFS('Шаг1.Выбор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плиты'!C:Q,12,0)),1))))))=0,
U377,
IF(U377="","",IF(U377=1,SUMIFS('Шаг1.Выбор плиты'!$G:$G,'Шаг1.Выбор плиты'!J:J,"*"&amp;RIGHT(VLOOKUP(C377,'Шаг1.Выбор плиты'!C:Q,8,0),4),'Шаг1.Выбор плиты'!L:L,IF(MID(C377,1,6)="ЛДСП P","TM"&amp;MID(VLOOKUP(C377,'Шаг1.Выбор плиты'!C:Q,10,0),3,2),MID(VLOOKUP(C377,'Шаг1.Выбор плиты'!C:Q,10,0),1,2)),
'Шаг1.Выбор плиты'!N:N,1),IF(SUMIFS('Шаг1.Выбор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плиты'!C:Q,12,0)),1))=0,
IF(SUMIFS('Шаг1.Выбор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плиты'!C:Q,12,0)),2))=0,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плиты'!C:Q,12,0)),3)),
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плиты'!C:Q,12,0)),2))),
(SUMIFS('Шаг1.Выбор плиты'!$G:$G,'Шаг1.Выбор плиты'!J:J,"*"&amp;RIGHT(VLOOKUP(C377,'Шаг1.Выбор плиты'!C:Q,8,0),4),'Шаг1.Выбор плиты'!L:L,VLOOKUP(C377,'Шаг1.Выбор плиты'!C:Q,10,0),'Шаг1.Выбор плиты'!N:N,U377,'Шаг1.Выбор плиты'!M:M,SMALL(INDIRECT("мм"&amp;VLOOKUP(C377,'Шаг1.Выбор плиты'!C:Q,12,0)),1)))))))</f>
        <v/>
      </c>
      <c r="L377" s="147" t="str">
        <f ca="1">IFERROR(IFERROR(IF(VLOOKUP($A377,'Шаг2.Бланк заказа NEW'!$B$17:$N$201,9,0)="","",VLOOKUP($A377,'Шаг2.Бланк заказа NEW'!$B$17:$N$201,9,0)),
IF(VLOOKUP($A377-COUNT('Шаг2.Бланк заказа NEW'!$B$19:$B$201),'Бланк OLD 0.8 04'!$B$12:$K$200,9,0)="","",VLOOKUP($A377-COUNT('Шаг2.Бланк заказа NEW'!$B$19:$B$201),'Бланк OLD 0.8 04'!$B$12:$K$200,9,0))),
IF(VLOOKUP($A377-COUNT('Шаг2.Бланк заказа NEW'!$B$19:$B$201)-COUNT('Бланк OLD 0.8 04'!$B$18:$B$200),'Бланк OLD 2.0 04 '!$B$16:$K$200,9,0)="","",VLOOKUP($A377-COUNT('Шаг2.Бланк заказа NEW'!$B$19:$B$201)-COUNT('Бланк OLD 0.8 04'!$B$18:$B$200),'Бланк OLD 2.0 04 '!$B$16:$K$200,9,0)))</f>
        <v/>
      </c>
      <c r="M377" s="154" t="str">
        <f t="shared" ca="1" si="33"/>
        <v/>
      </c>
      <c r="N377" s="153" t="str">
        <f ca="1">IFERROR(IF(VLOOKUP($A377,'Шаг2.Бланк заказа NEW'!$B$17:$N$201,11,0)="","",VLOOKUP($A377,'Шаг2.Бланк заказа NEW'!$B$17:$N$201,11,0)),
"Нет")</f>
        <v/>
      </c>
      <c r="O377" s="147" t="str">
        <f ca="1">IFERROR(IF(VLOOKUP($A377,'Шаг2.Бланк заказа NEW'!$B$17:$N$201,11,0)="","",VLOOKUP($A377,'Шаг2.Бланк заказа NEW'!$B$17:$N$201,12,0)),
"Нет")</f>
        <v/>
      </c>
      <c r="P377" s="153" t="str">
        <f ca="1">IFERROR(IF(VLOOKUP($A377,'Шаг2.Бланк заказа NEW'!$B$17:$N$201,13,0)="","",VLOOKUP($A377,'Шаг2.Бланк заказа NEW'!$B$17:$N$201,13,0)),
"Нет")</f>
        <v/>
      </c>
      <c r="Q377" s="147" t="str">
        <f ca="1">IFERROR(IF(VLOOKUP($A377,'Шаг2.Бланк заказа NEW'!$B$17:$O$201,14,0)="","",VLOOKUP($A377,'Шаг2.Бланк заказа NEW'!$B$17:$O$201,14,0)),"")</f>
        <v/>
      </c>
      <c r="R377" s="147" t="str">
        <f ca="1">IFERROR(IFERROR(IF(VLOOKUP($A377,'Шаг2.Бланк заказа NEW'!$B$17:$N$201,4,0)="","",VLOOKUP($A377,'Шаг2.Бланк заказа NEW'!$B$17:$N$201,4,0)),
IF(VLOOKUP($A377-COUNT('Шаг2.Бланк заказа NEW'!$B$19:$B$201),'Бланк OLD 0.8 04'!$B$12:$K$200,4,0)&gt;0,0.8,
IF(VLOOKUP($A377-COUNT('Шаг2.Бланк заказа NEW'!$B$19:$B$201),'Бланк OLD 0.8 04'!$B$12:$K$200,5,0)&gt;0,0.4,""))),
IF(VLOOKUP($A377-COUNT('Шаг2.Бланк заказа NEW'!$B$19:$B$201)-COUNT('Бланк OLD 0.8 04'!$B$18:$B$200),'Бланк OLD 2.0 04 '!$B$16:$K$200,4,0)&gt;0,2,IF(VLOOKUP($A377-COUNT('Шаг2.Бланк заказа NEW'!$B$19:$B$201)-COUNT('Бланк OLD 0.8 04'!$B$18:$B$200),'Бланк OLD 2.0 04 '!$B$16:$K$200,5,0)&gt;0,0.4,"")))</f>
        <v/>
      </c>
      <c r="S377" s="147" t="str">
        <f ca="1">IFERROR(IFERROR(IF(VLOOKUP($A377,'Шаг2.Бланк заказа NEW'!$B$17:$N$201,5,0)="","",VLOOKUP($A377,'Шаг2.Бланк заказа NEW'!$B$17:$N$201,5,0)),
IF(VLOOKUP($A377-COUNT('Шаг2.Бланк заказа NEW'!$B$19:$B$201),'Бланк OLD 0.8 04'!$B$12:$K$200,4,0)&gt;1,0.8,
IF(VLOOKUP($A377-COUNT('Шаг2.Бланк заказа NEW'!$B$19:$B$201),'Бланк OLD 0.8 04'!$B$12:$K$200,5,0)&gt;1,0.4,
IF(AND(VLOOKUP($A377-COUNT('Шаг2.Бланк заказа NEW'!$B$19:$B$201),'Бланк OLD 0.8 04'!$B$12:$K$200,4,0)&gt;0,VLOOKUP($A377-COUNT('Шаг2.Бланк заказа NEW'!$B$19:$B$201),'Бланк OLD 0.8 04'!$B$12:$K$200,5,0)&gt;0),0.4,"")))),
IF(VLOOKUP($A377-COUNT('Шаг2.Бланк заказа NEW'!$B$19:$B$201)-COUNT('Бланк OLD 0.8 04'!$B$18:$B$200),'Бланк OLD 2.0 04 '!$B$16:$K$200,4,0)&gt;1,2,
IF(VLOOKUP($A377-COUNT('Шаг2.Бланк заказа NEW'!$B$19:$B$201)-COUNT('Бланк OLD 0.8 04'!$B$18:$B$200),'Бланк OLD 2.0 04 '!$B$16:$K$200,5,0)&gt;1,0.4,IF(AND(VLOOKUP($A377-COUNT('Шаг2.Бланк заказа NEW'!$B$19:$B$201)-COUNT('Бланк OLD 0.8 04'!$B$18:$B$200),'Бланк OLD 2.0 04 '!$B$16:$K$200,4,0)&gt;0,VLOOKUP($A377-COUNT('Шаг2.Бланк заказа NEW'!$B$19:$B$201)-COUNT('Бланк OLD 0.8 04'!$B$18:$B$200),'Бланк OLD 2.0 04 '!$B$16:$K$200,5,0)&gt;0),0.4,""))))</f>
        <v/>
      </c>
      <c r="T377" s="147" t="str">
        <f ca="1">IFERROR(IFERROR(IF(VLOOKUP($A377,'Шаг2.Бланк заказа NEW'!$B$17:$N$201,7,0)="","",VLOOKUP($A377,'Шаг2.Бланк заказа NEW'!$B$17:$N$201,7,0)),
IF(VLOOKUP($A377-COUNT('Шаг2.Бланк заказа NEW'!$B$19:$B$201),'Бланк OLD 0.8 04'!$B$12:$K$200,7,0)&gt;0,0.8,
IF(VLOOKUP($A377-COUNT('Шаг2.Бланк заказа NEW'!$B$19:$B$201),'Бланк OLD 0.8 04'!$B$12:$K$200,8,0)&gt;0,0.4,""))),
IF(VLOOKUP($A377-COUNT('Шаг2.Бланк заказа NEW'!$B$19:$B$201)-COUNT('Бланк OLD 0.8 04'!$B$18:$B$200),'Бланк OLD 2.0 04 '!$B$16:$K$200,7,0)&gt;0,2,IF(VLOOKUP($A377-COUNT('Шаг2.Бланк заказа NEW'!$B$19:$B$201)-COUNT('Бланк OLD 0.8 04'!$B$18:$B$200),'Бланк OLD 2.0 04 '!$B$16:$K$200,8,0)&gt;0,0.4,"")))</f>
        <v/>
      </c>
      <c r="U377" s="147" t="str">
        <f ca="1">IFERROR(IFERROR(IF(VLOOKUP($A377,'Шаг2.Бланк заказа NEW'!$B$17:$N$201,8,0)="","",VLOOKUP($A377,'Шаг2.Бланк заказа NEW'!$B$17:$N$201,8,0)),
IF(VLOOKUP($A377-COUNT('Шаг2.Бланк заказа NEW'!$B$19:$B$201),'Бланк OLD 0.8 04'!$B$12:$K$200,7,0)&gt;1,0.8,
IF(VLOOKUP($A377-COUNT('Шаг2.Бланк заказа NEW'!$B$19:$B$201),'Бланк OLD 0.8 04'!$B$12:$K$200,8,0)&gt;1,0.4,
IF(AND(VLOOKUP($A377-COUNT('Шаг2.Бланк заказа NEW'!$B$19:$B$201),'Бланк OLD 0.8 04'!$B$12:$K$200,7,0)&gt;0,VLOOKUP($A377-COUNT('Шаг2.Бланк заказа NEW'!$B$19:$B$201),'Бланк OLD 0.8 04'!$B$12:$K$200,8,0)&gt;0),0.4,"")))),
IF(VLOOKUP($A377-COUNT('Шаг2.Бланк заказа NEW'!$B$19:$B$201)-COUNT('Бланк OLD 0.8 04'!$B$18:$B$200),'Бланк OLD 2.0 04 '!$B$16:$K$200,7,0)&gt;1,2,
IF(VLOOKUP($A377-COUNT('Шаг2.Бланк заказа NEW'!$B$19:$B$201)-COUNT('Бланк OLD 0.8 04'!$B$18:$B$200),'Бланк OLD 2.0 04 '!$B$16:$K$200,8,0)&gt;1,0.4,
IF(AND(VLOOKUP($A377-COUNT('Шаг2.Бланк заказа NEW'!$B$19:$B$201)-COUNT('Бланк OLD 0.8 04'!$B$18:$B$200),'Бланк OLD 2.0 04 '!$B$16:$K$200,7,0)&gt;0,VLOOKUP($A377-COUNT('Шаг2.Бланк заказа NEW'!$B$19:$B$201)-COUNT('Бланк OLD 0.8 04'!$B$18:$B$200),'Бланк OLD 2.0 04 '!$B$16:$K$200,8,0)&gt;0),0.4,""))))</f>
        <v/>
      </c>
      <c r="V377" s="146" t="str">
        <f ca="1">IFERROR(VLOOKUP(C377,'Шаг1.Выбор плиты'!C:S,12,0),"")</f>
        <v/>
      </c>
      <c r="W377" s="146" t="str">
        <f ca="1">IFERROR(VLOOKUP(C377,'Шаг1.Выбор плиты'!C:S,8,0),"")</f>
        <v/>
      </c>
      <c r="X377" s="146" t="str">
        <f ca="1">IFERROR(VLOOKUP(C377,'Шаг1.Выбор плиты'!C:S,10,0),"")</f>
        <v/>
      </c>
      <c r="Y377" s="147" t="str">
        <f t="shared" ca="1" si="28"/>
        <v/>
      </c>
      <c r="AD377" s="147" t="str">
        <f t="shared" ca="1" si="34"/>
        <v/>
      </c>
      <c r="AE377" s="147" t="str">
        <f t="shared" ca="1" si="29"/>
        <v/>
      </c>
      <c r="AF377" s="25"/>
      <c r="AH377" s="147" t="str">
        <f ca="1">IF(C377="","",VLOOKUP(C377,'Шаг1.Выбор плиты'!C:Q,7,0))</f>
        <v/>
      </c>
      <c r="AI377" s="147" t="str">
        <f t="shared" ca="1" si="35"/>
        <v/>
      </c>
    </row>
    <row r="378" spans="1:35" x14ac:dyDescent="0.2">
      <c r="A378" s="151" t="str">
        <f ca="1">IF(C378="","",MAX($A$1:OFFSET(C378,-1,0))+1)</f>
        <v/>
      </c>
      <c r="B378" s="151" t="str">
        <f ca="1">IFERROR(IFERROR(IFERROR("Шаг2.Бланк заказа NEW №"&amp;VLOOKUP(A377+1,CHOOSE({1,2},'Шаг2.Бланк заказа NEW'!$B$19:$B$201,'Шаг2.Бланк заказа NEW'!$A$19:$A$201),1,0),
"Бланк OLD 0.8 04 №"&amp;VLOOKUP(A377+1-COUNT('Шаг2.Бланк заказа NEW'!$B$19:$B$201),CHOOSE({1,2},'Бланк OLD 0.8 04'!$B$18:$B$200,'Бланк OLD 0.8 04'!$A$18:$A$200),1,0)),
"Бланк OLD 2.0 04 №"&amp;VLOOKUP(A377+1-COUNT('Шаг2.Бланк заказа NEW'!$B$19:$B$201)-COUNT('Бланк OLD 0.8 04'!$B$18:$B$200),CHOOSE({1,2},'Бланк OLD 2.0 04 '!$B$18:$B$200,'Бланк OLD 2.0 04 '!$A$18:$A$200),1,0)),"")</f>
        <v/>
      </c>
      <c r="C378" s="152" t="str">
        <f ca="1">IFERROR(IFERROR(IFERROR(VLOOKUP(A377+1,CHOOSE({1,2},'Шаг2.Бланк заказа NEW'!$B$19:$B$201,'Шаг2.Бланк заказа NEW'!$A$19:$A$201),2,0),
VLOOKUP(A377+1-COUNT('Шаг2.Бланк заказа NEW'!$B$19:$B$201),CHOOSE({1,2},'Бланк OLD 0.8 04'!$B$18:$B$200,'Бланк OLD 0.8 04'!$A$18:$A$200),2,0)),
VLOOKUP(A377+1-COUNT('Шаг2.Бланк заказа NEW'!$B$19:$B$201)-COUNT('Бланк OLD 0.8 04'!$B$18:$B$200),CHOOSE({1,2},'Бланк OLD 2.0 04 '!$B$18:$B$200,'Бланк OLD 2.0 04 '!$A$18:$A$200),2,0)),"")</f>
        <v/>
      </c>
      <c r="D378" s="150" t="str">
        <f ca="1">IFERROR(VLOOKUP(C378,'Шаг1.Выбор плиты'!C:G,5,0),"")</f>
        <v/>
      </c>
      <c r="E378" s="147" t="str">
        <f ca="1">IFERROR(IFERROR(IF(VLOOKUP($A378,'Шаг2.Бланк заказа NEW'!$B$17:$N$201,2,0)="","",VLOOKUP($A378,'Шаг2.Бланк заказа NEW'!$B$17:$N$201,2,0)),
IF(VLOOKUP($A378-COUNT('Шаг2.Бланк заказа NEW'!$B$19:$B$201),'Бланк OLD 0.8 04'!$B$12:$K$200,2,0)="","",VLOOKUP($A378-COUNT('Шаг2.Бланк заказа NEW'!$B$19:$B$201),'Бланк OLD 0.8 04'!$B$12:$K$200,2,0))),
IF(VLOOKUP($A378-COUNT('Шаг2.Бланк заказа NEW'!$B$19:$B$201)-COUNT('Бланк OLD 0.8 04'!$B$18:$B$200),'Бланк OLD 2.0 04 '!$B$16:$K$200,2,0)="","",VLOOKUP($A378-COUNT('Шаг2.Бланк заказа NEW'!$B$19:$B$201)-COUNT('Бланк OLD 0.8 04'!$B$18:$B$200),'Бланк OLD 2.0 04 '!$B$16:$K$200,2,0)))</f>
        <v/>
      </c>
      <c r="F378" s="147" t="str">
        <f ca="1">IFERROR(IFERROR(IF(VLOOKUP($A378,'Шаг2.Бланк заказа NEW'!$B$17:$N$201,3,0)="","",VLOOKUP($A378,'Шаг2.Бланк заказа NEW'!$B$17:$N$201,3,0)),
IF(VLOOKUP($A378-COUNT('Шаг2.Бланк заказа NEW'!$B$19:$B$201),'Бланк OLD 0.8 04'!$B$12:$K$200,3,0)="","",VLOOKUP($A378-COUNT('Шаг2.Бланк заказа NEW'!$B$19:$B$201),'Бланк OLD 0.8 04'!$B$12:$K$200,3,0))),
IF(VLOOKUP($A378-COUNT('Шаг2.Бланк заказа NEW'!$B$19:$B$201)-COUNT('Бланк OLD 0.8 04'!$B$18:$B$200),'Бланк OLD 2.0 04 '!$B$16:$K$200,3,0)="","",VLOOKUP($A378-COUNT('Шаг2.Бланк заказа NEW'!$B$19:$B$201)-COUNT('Бланк OLD 0.8 04'!$B$18:$B$200),'Бланк OLD 2.0 04 '!$B$16:$K$200,3,0)))</f>
        <v/>
      </c>
      <c r="G378" s="176" t="str">
        <f ca="1">IF(IF(R378="","",IF(R378=1,SUMIFS('Шаг1.Выбор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плиты'!C:Q,12,0)),1))))))=0,
R378,
IF(R378="","",IF(R378=1,SUMIFS('Шаг1.Выбор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плиты'!N:N,R378,'Шаг1.Выбор плиты'!M:M,SMALL(INDIRECT("мм"&amp;VLOOKUP(C378,'Шаг1.Выбор плиты'!C:Q,12,0)),1)))))))</f>
        <v/>
      </c>
      <c r="H378" s="177" t="str">
        <f ca="1">IF(IF(S378="","",IF(S378=1,SUMIFS('Шаг1.Выбор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плиты'!C:Q,12,0)),1))))))=0,
S378,
IF(S378="","",IF(S378=1,SUMIFS('Шаг1.Выбор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плиты'!N:N,S378,'Шаг1.Выбор плиты'!M:M,SMALL(INDIRECT("мм"&amp;VLOOKUP(C378,'Шаг1.Выбор плиты'!C:Q,12,0)),1)))))))</f>
        <v/>
      </c>
      <c r="I378" s="147" t="str">
        <f ca="1">IFERROR(IFERROR(IF(VLOOKUP($A378,'Шаг2.Бланк заказа NEW'!$B$17:$N$201,6,0)="","",VLOOKUP($A378,'Шаг2.Бланк заказа NEW'!$B$17:$N$201,6,0)),
IF(VLOOKUP($A378-COUNT('Шаг2.Бланк заказа NEW'!$B$19:$B$201),'Бланк OLD 0.8 04'!$B$12:$K$200,6,0)="","",VLOOKUP($A378-COUNT('Шаг2.Бланк заказа NEW'!$B$19:$B$201),'Бланк OLD 0.8 04'!$B$12:$K$200,6,0))),
IF(VLOOKUP($A378-COUNT('Шаг2.Бланк заказа NEW'!$B$19:$B$201)-COUNT('Бланк OLD 0.8 04'!$B$18:$B$200),'Бланк OLD 2.0 04 '!$B$16:$K$200,6,0)="","",VLOOKUP($A378-COUNT('Шаг2.Бланк заказа NEW'!$B$19:$B$201)-COUNT('Бланк OLD 0.8 04'!$B$18:$B$200),'Бланк OLD 2.0 04 '!$B$16:$K$200,6,0)))</f>
        <v/>
      </c>
      <c r="J378" s="177" t="str">
        <f ca="1">IF(IF(T378="","",IF(T378=1,SUMIFS('Шаг1.Выбор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плиты'!C:Q,12,0)),1))))))=0,
T378,
IF(T378="","",IF(T378=1,SUMIFS('Шаг1.Выбор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плиты'!N:N,T378,'Шаг1.Выбор плиты'!M:M,SMALL(INDIRECT("мм"&amp;VLOOKUP(C378,'Шаг1.Выбор плиты'!C:Q,12,0)),1)))))))</f>
        <v/>
      </c>
      <c r="K378" s="177" t="str">
        <f ca="1">IF(IF(U378="","",IF(U378=1,SUMIFS('Шаг1.Выбор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плиты'!C:Q,12,0)),1))))))=0,
U378,
IF(U378="","",IF(U378=1,SUMIFS('Шаг1.Выбор плиты'!$G:$G,'Шаг1.Выбор плиты'!J:J,"*"&amp;RIGHT(VLOOKUP(C378,'Шаг1.Выбор плиты'!C:Q,8,0),4),'Шаг1.Выбор плиты'!L:L,IF(MID(C378,1,6)="ЛДСП P","TM"&amp;MID(VLOOKUP(C378,'Шаг1.Выбор плиты'!C:Q,10,0),3,2),MID(VLOOKUP(C378,'Шаг1.Выбор плиты'!C:Q,10,0),1,2)),
'Шаг1.Выбор плиты'!N:N,1),IF(SUMIFS('Шаг1.Выбор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плиты'!C:Q,12,0)),1))=0,
IF(SUMIFS('Шаг1.Выбор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плиты'!C:Q,12,0)),2))=0,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плиты'!C:Q,12,0)),3)),
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плиты'!C:Q,12,0)),2))),
(SUMIFS('Шаг1.Выбор плиты'!$G:$G,'Шаг1.Выбор плиты'!J:J,"*"&amp;RIGHT(VLOOKUP(C378,'Шаг1.Выбор плиты'!C:Q,8,0),4),'Шаг1.Выбор плиты'!L:L,VLOOKUP(C378,'Шаг1.Выбор плиты'!C:Q,10,0),'Шаг1.Выбор плиты'!N:N,U378,'Шаг1.Выбор плиты'!M:M,SMALL(INDIRECT("мм"&amp;VLOOKUP(C378,'Шаг1.Выбор плиты'!C:Q,12,0)),1)))))))</f>
        <v/>
      </c>
      <c r="L378" s="147" t="str">
        <f ca="1">IFERROR(IFERROR(IF(VLOOKUP($A378,'Шаг2.Бланк заказа NEW'!$B$17:$N$201,9,0)="","",VLOOKUP($A378,'Шаг2.Бланк заказа NEW'!$B$17:$N$201,9,0)),
IF(VLOOKUP($A378-COUNT('Шаг2.Бланк заказа NEW'!$B$19:$B$201),'Бланк OLD 0.8 04'!$B$12:$K$200,9,0)="","",VLOOKUP($A378-COUNT('Шаг2.Бланк заказа NEW'!$B$19:$B$201),'Бланк OLD 0.8 04'!$B$12:$K$200,9,0))),
IF(VLOOKUP($A378-COUNT('Шаг2.Бланк заказа NEW'!$B$19:$B$201)-COUNT('Бланк OLD 0.8 04'!$B$18:$B$200),'Бланк OLD 2.0 04 '!$B$16:$K$200,9,0)="","",VLOOKUP($A378-COUNT('Шаг2.Бланк заказа NEW'!$B$19:$B$201)-COUNT('Бланк OLD 0.8 04'!$B$18:$B$200),'Бланк OLD 2.0 04 '!$B$16:$K$200,9,0)))</f>
        <v/>
      </c>
      <c r="M378" s="154" t="str">
        <f t="shared" ca="1" si="33"/>
        <v/>
      </c>
      <c r="N378" s="153" t="str">
        <f ca="1">IFERROR(IF(VLOOKUP($A378,'Шаг2.Бланк заказа NEW'!$B$17:$N$201,11,0)="","",VLOOKUP($A378,'Шаг2.Бланк заказа NEW'!$B$17:$N$201,11,0)),
"Нет")</f>
        <v/>
      </c>
      <c r="O378" s="147" t="str">
        <f ca="1">IFERROR(IF(VLOOKUP($A378,'Шаг2.Бланк заказа NEW'!$B$17:$N$201,11,0)="","",VLOOKUP($A378,'Шаг2.Бланк заказа NEW'!$B$17:$N$201,12,0)),
"Нет")</f>
        <v/>
      </c>
      <c r="P378" s="153" t="str">
        <f ca="1">IFERROR(IF(VLOOKUP($A378,'Шаг2.Бланк заказа NEW'!$B$17:$N$201,13,0)="","",VLOOKUP($A378,'Шаг2.Бланк заказа NEW'!$B$17:$N$201,13,0)),
"Нет")</f>
        <v/>
      </c>
      <c r="Q378" s="147" t="str">
        <f ca="1">IFERROR(IF(VLOOKUP($A378,'Шаг2.Бланк заказа NEW'!$B$17:$O$201,14,0)="","",VLOOKUP($A378,'Шаг2.Бланк заказа NEW'!$B$17:$O$201,14,0)),"")</f>
        <v/>
      </c>
      <c r="R378" s="147" t="str">
        <f ca="1">IFERROR(IFERROR(IF(VLOOKUP($A378,'Шаг2.Бланк заказа NEW'!$B$17:$N$201,4,0)="","",VLOOKUP($A378,'Шаг2.Бланк заказа NEW'!$B$17:$N$201,4,0)),
IF(VLOOKUP($A378-COUNT('Шаг2.Бланк заказа NEW'!$B$19:$B$201),'Бланк OLD 0.8 04'!$B$12:$K$200,4,0)&gt;0,0.8,
IF(VLOOKUP($A378-COUNT('Шаг2.Бланк заказа NEW'!$B$19:$B$201),'Бланк OLD 0.8 04'!$B$12:$K$200,5,0)&gt;0,0.4,""))),
IF(VLOOKUP($A378-COUNT('Шаг2.Бланк заказа NEW'!$B$19:$B$201)-COUNT('Бланк OLD 0.8 04'!$B$18:$B$200),'Бланк OLD 2.0 04 '!$B$16:$K$200,4,0)&gt;0,2,IF(VLOOKUP($A378-COUNT('Шаг2.Бланк заказа NEW'!$B$19:$B$201)-COUNT('Бланк OLD 0.8 04'!$B$18:$B$200),'Бланк OLD 2.0 04 '!$B$16:$K$200,5,0)&gt;0,0.4,"")))</f>
        <v/>
      </c>
      <c r="S378" s="147" t="str">
        <f ca="1">IFERROR(IFERROR(IF(VLOOKUP($A378,'Шаг2.Бланк заказа NEW'!$B$17:$N$201,5,0)="","",VLOOKUP($A378,'Шаг2.Бланк заказа NEW'!$B$17:$N$201,5,0)),
IF(VLOOKUP($A378-COUNT('Шаг2.Бланк заказа NEW'!$B$19:$B$201),'Бланк OLD 0.8 04'!$B$12:$K$200,4,0)&gt;1,0.8,
IF(VLOOKUP($A378-COUNT('Шаг2.Бланк заказа NEW'!$B$19:$B$201),'Бланк OLD 0.8 04'!$B$12:$K$200,5,0)&gt;1,0.4,
IF(AND(VLOOKUP($A378-COUNT('Шаг2.Бланк заказа NEW'!$B$19:$B$201),'Бланк OLD 0.8 04'!$B$12:$K$200,4,0)&gt;0,VLOOKUP($A378-COUNT('Шаг2.Бланк заказа NEW'!$B$19:$B$201),'Бланк OLD 0.8 04'!$B$12:$K$200,5,0)&gt;0),0.4,"")))),
IF(VLOOKUP($A378-COUNT('Шаг2.Бланк заказа NEW'!$B$19:$B$201)-COUNT('Бланк OLD 0.8 04'!$B$18:$B$200),'Бланк OLD 2.0 04 '!$B$16:$K$200,4,0)&gt;1,2,
IF(VLOOKUP($A378-COUNT('Шаг2.Бланк заказа NEW'!$B$19:$B$201)-COUNT('Бланк OLD 0.8 04'!$B$18:$B$200),'Бланк OLD 2.0 04 '!$B$16:$K$200,5,0)&gt;1,0.4,IF(AND(VLOOKUP($A378-COUNT('Шаг2.Бланк заказа NEW'!$B$19:$B$201)-COUNT('Бланк OLD 0.8 04'!$B$18:$B$200),'Бланк OLD 2.0 04 '!$B$16:$K$200,4,0)&gt;0,VLOOKUP($A378-COUNT('Шаг2.Бланк заказа NEW'!$B$19:$B$201)-COUNT('Бланк OLD 0.8 04'!$B$18:$B$200),'Бланк OLD 2.0 04 '!$B$16:$K$200,5,0)&gt;0),0.4,""))))</f>
        <v/>
      </c>
      <c r="T378" s="147" t="str">
        <f ca="1">IFERROR(IFERROR(IF(VLOOKUP($A378,'Шаг2.Бланк заказа NEW'!$B$17:$N$201,7,0)="","",VLOOKUP($A378,'Шаг2.Бланк заказа NEW'!$B$17:$N$201,7,0)),
IF(VLOOKUP($A378-COUNT('Шаг2.Бланк заказа NEW'!$B$19:$B$201),'Бланк OLD 0.8 04'!$B$12:$K$200,7,0)&gt;0,0.8,
IF(VLOOKUP($A378-COUNT('Шаг2.Бланк заказа NEW'!$B$19:$B$201),'Бланк OLD 0.8 04'!$B$12:$K$200,8,0)&gt;0,0.4,""))),
IF(VLOOKUP($A378-COUNT('Шаг2.Бланк заказа NEW'!$B$19:$B$201)-COUNT('Бланк OLD 0.8 04'!$B$18:$B$200),'Бланк OLD 2.0 04 '!$B$16:$K$200,7,0)&gt;0,2,IF(VLOOKUP($A378-COUNT('Шаг2.Бланк заказа NEW'!$B$19:$B$201)-COUNT('Бланк OLD 0.8 04'!$B$18:$B$200),'Бланк OLD 2.0 04 '!$B$16:$K$200,8,0)&gt;0,0.4,"")))</f>
        <v/>
      </c>
      <c r="U378" s="147" t="str">
        <f ca="1">IFERROR(IFERROR(IF(VLOOKUP($A378,'Шаг2.Бланк заказа NEW'!$B$17:$N$201,8,0)="","",VLOOKUP($A378,'Шаг2.Бланк заказа NEW'!$B$17:$N$201,8,0)),
IF(VLOOKUP($A378-COUNT('Шаг2.Бланк заказа NEW'!$B$19:$B$201),'Бланк OLD 0.8 04'!$B$12:$K$200,7,0)&gt;1,0.8,
IF(VLOOKUP($A378-COUNT('Шаг2.Бланк заказа NEW'!$B$19:$B$201),'Бланк OLD 0.8 04'!$B$12:$K$200,8,0)&gt;1,0.4,
IF(AND(VLOOKUP($A378-COUNT('Шаг2.Бланк заказа NEW'!$B$19:$B$201),'Бланк OLD 0.8 04'!$B$12:$K$200,7,0)&gt;0,VLOOKUP($A378-COUNT('Шаг2.Бланк заказа NEW'!$B$19:$B$201),'Бланк OLD 0.8 04'!$B$12:$K$200,8,0)&gt;0),0.4,"")))),
IF(VLOOKUP($A378-COUNT('Шаг2.Бланк заказа NEW'!$B$19:$B$201)-COUNT('Бланк OLD 0.8 04'!$B$18:$B$200),'Бланк OLD 2.0 04 '!$B$16:$K$200,7,0)&gt;1,2,
IF(VLOOKUP($A378-COUNT('Шаг2.Бланк заказа NEW'!$B$19:$B$201)-COUNT('Бланк OLD 0.8 04'!$B$18:$B$200),'Бланк OLD 2.0 04 '!$B$16:$K$200,8,0)&gt;1,0.4,
IF(AND(VLOOKUP($A378-COUNT('Шаг2.Бланк заказа NEW'!$B$19:$B$201)-COUNT('Бланк OLD 0.8 04'!$B$18:$B$200),'Бланк OLD 2.0 04 '!$B$16:$K$200,7,0)&gt;0,VLOOKUP($A378-COUNT('Шаг2.Бланк заказа NEW'!$B$19:$B$201)-COUNT('Бланк OLD 0.8 04'!$B$18:$B$200),'Бланк OLD 2.0 04 '!$B$16:$K$200,8,0)&gt;0),0.4,""))))</f>
        <v/>
      </c>
      <c r="V378" s="146" t="str">
        <f ca="1">IFERROR(VLOOKUP(C378,'Шаг1.Выбор плиты'!C:S,12,0),"")</f>
        <v/>
      </c>
      <c r="W378" s="146" t="str">
        <f ca="1">IFERROR(VLOOKUP(C378,'Шаг1.Выбор плиты'!C:S,8,0),"")</f>
        <v/>
      </c>
      <c r="X378" s="146" t="str">
        <f ca="1">IFERROR(VLOOKUP(C378,'Шаг1.Выбор плиты'!C:S,10,0),"")</f>
        <v/>
      </c>
      <c r="Y378" s="147" t="str">
        <f t="shared" ca="1" si="28"/>
        <v/>
      </c>
      <c r="AD378" s="147" t="str">
        <f t="shared" ca="1" si="34"/>
        <v/>
      </c>
      <c r="AE378" s="147" t="str">
        <f t="shared" ca="1" si="29"/>
        <v/>
      </c>
      <c r="AF378" s="25"/>
      <c r="AH378" s="147" t="str">
        <f ca="1">IF(C378="","",VLOOKUP(C378,'Шаг1.Выбор плиты'!C:Q,7,0))</f>
        <v/>
      </c>
      <c r="AI378" s="147" t="str">
        <f t="shared" ca="1" si="35"/>
        <v/>
      </c>
    </row>
    <row r="379" spans="1:35" x14ac:dyDescent="0.2">
      <c r="A379" s="151" t="str">
        <f ca="1">IF(C379="","",MAX($A$1:OFFSET(C379,-1,0))+1)</f>
        <v/>
      </c>
      <c r="B379" s="151" t="str">
        <f ca="1">IFERROR(IFERROR(IFERROR("Шаг2.Бланк заказа NEW №"&amp;VLOOKUP(A378+1,CHOOSE({1,2},'Шаг2.Бланк заказа NEW'!$B$19:$B$201,'Шаг2.Бланк заказа NEW'!$A$19:$A$201),1,0),
"Бланк OLD 0.8 04 №"&amp;VLOOKUP(A378+1-COUNT('Шаг2.Бланк заказа NEW'!$B$19:$B$201),CHOOSE({1,2},'Бланк OLD 0.8 04'!$B$18:$B$200,'Бланк OLD 0.8 04'!$A$18:$A$200),1,0)),
"Бланк OLD 2.0 04 №"&amp;VLOOKUP(A378+1-COUNT('Шаг2.Бланк заказа NEW'!$B$19:$B$201)-COUNT('Бланк OLD 0.8 04'!$B$18:$B$200),CHOOSE({1,2},'Бланк OLD 2.0 04 '!$B$18:$B$200,'Бланк OLD 2.0 04 '!$A$18:$A$200),1,0)),"")</f>
        <v/>
      </c>
      <c r="C379" s="152" t="str">
        <f ca="1">IFERROR(IFERROR(IFERROR(VLOOKUP(A378+1,CHOOSE({1,2},'Шаг2.Бланк заказа NEW'!$B$19:$B$201,'Шаг2.Бланк заказа NEW'!$A$19:$A$201),2,0),
VLOOKUP(A378+1-COUNT('Шаг2.Бланк заказа NEW'!$B$19:$B$201),CHOOSE({1,2},'Бланк OLD 0.8 04'!$B$18:$B$200,'Бланк OLD 0.8 04'!$A$18:$A$200),2,0)),
VLOOKUP(A378+1-COUNT('Шаг2.Бланк заказа NEW'!$B$19:$B$201)-COUNT('Бланк OLD 0.8 04'!$B$18:$B$200),CHOOSE({1,2},'Бланк OLD 2.0 04 '!$B$18:$B$200,'Бланк OLD 2.0 04 '!$A$18:$A$200),2,0)),"")</f>
        <v/>
      </c>
      <c r="D379" s="150" t="str">
        <f ca="1">IFERROR(VLOOKUP(C379,'Шаг1.Выбор плиты'!C:G,5,0),"")</f>
        <v/>
      </c>
      <c r="E379" s="147" t="str">
        <f ca="1">IFERROR(IFERROR(IF(VLOOKUP($A379,'Шаг2.Бланк заказа NEW'!$B$17:$N$201,2,0)="","",VLOOKUP($A379,'Шаг2.Бланк заказа NEW'!$B$17:$N$201,2,0)),
IF(VLOOKUP($A379-COUNT('Шаг2.Бланк заказа NEW'!$B$19:$B$201),'Бланк OLD 0.8 04'!$B$12:$K$200,2,0)="","",VLOOKUP($A379-COUNT('Шаг2.Бланк заказа NEW'!$B$19:$B$201),'Бланк OLD 0.8 04'!$B$12:$K$200,2,0))),
IF(VLOOKUP($A379-COUNT('Шаг2.Бланк заказа NEW'!$B$19:$B$201)-COUNT('Бланк OLD 0.8 04'!$B$18:$B$200),'Бланк OLD 2.0 04 '!$B$16:$K$200,2,0)="","",VLOOKUP($A379-COUNT('Шаг2.Бланк заказа NEW'!$B$19:$B$201)-COUNT('Бланк OLD 0.8 04'!$B$18:$B$200),'Бланк OLD 2.0 04 '!$B$16:$K$200,2,0)))</f>
        <v/>
      </c>
      <c r="F379" s="147" t="str">
        <f ca="1">IFERROR(IFERROR(IF(VLOOKUP($A379,'Шаг2.Бланк заказа NEW'!$B$17:$N$201,3,0)="","",VLOOKUP($A379,'Шаг2.Бланк заказа NEW'!$B$17:$N$201,3,0)),
IF(VLOOKUP($A379-COUNT('Шаг2.Бланк заказа NEW'!$B$19:$B$201),'Бланк OLD 0.8 04'!$B$12:$K$200,3,0)="","",VLOOKUP($A379-COUNT('Шаг2.Бланк заказа NEW'!$B$19:$B$201),'Бланк OLD 0.8 04'!$B$12:$K$200,3,0))),
IF(VLOOKUP($A379-COUNT('Шаг2.Бланк заказа NEW'!$B$19:$B$201)-COUNT('Бланк OLD 0.8 04'!$B$18:$B$200),'Бланк OLD 2.0 04 '!$B$16:$K$200,3,0)="","",VLOOKUP($A379-COUNT('Шаг2.Бланк заказа NEW'!$B$19:$B$201)-COUNT('Бланк OLD 0.8 04'!$B$18:$B$200),'Бланк OLD 2.0 04 '!$B$16:$K$200,3,0)))</f>
        <v/>
      </c>
      <c r="G379" s="176" t="str">
        <f ca="1">IF(IF(R379="","",IF(R379=1,SUMIFS('Шаг1.Выбор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плиты'!C:Q,12,0)),1))))))=0,
R379,
IF(R379="","",IF(R379=1,SUMIFS('Шаг1.Выбор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плиты'!N:N,R379,'Шаг1.Выбор плиты'!M:M,SMALL(INDIRECT("мм"&amp;VLOOKUP(C379,'Шаг1.Выбор плиты'!C:Q,12,0)),1)))))))</f>
        <v/>
      </c>
      <c r="H379" s="177" t="str">
        <f ca="1">IF(IF(S379="","",IF(S379=1,SUMIFS('Шаг1.Выбор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плиты'!C:Q,12,0)),1))))))=0,
S379,
IF(S379="","",IF(S379=1,SUMIFS('Шаг1.Выбор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плиты'!N:N,S379,'Шаг1.Выбор плиты'!M:M,SMALL(INDIRECT("мм"&amp;VLOOKUP(C379,'Шаг1.Выбор плиты'!C:Q,12,0)),1)))))))</f>
        <v/>
      </c>
      <c r="I379" s="147" t="str">
        <f ca="1">IFERROR(IFERROR(IF(VLOOKUP($A379,'Шаг2.Бланк заказа NEW'!$B$17:$N$201,6,0)="","",VLOOKUP($A379,'Шаг2.Бланк заказа NEW'!$B$17:$N$201,6,0)),
IF(VLOOKUP($A379-COUNT('Шаг2.Бланк заказа NEW'!$B$19:$B$201),'Бланк OLD 0.8 04'!$B$12:$K$200,6,0)="","",VLOOKUP($A379-COUNT('Шаг2.Бланк заказа NEW'!$B$19:$B$201),'Бланк OLD 0.8 04'!$B$12:$K$200,6,0))),
IF(VLOOKUP($A379-COUNT('Шаг2.Бланк заказа NEW'!$B$19:$B$201)-COUNT('Бланк OLD 0.8 04'!$B$18:$B$200),'Бланк OLD 2.0 04 '!$B$16:$K$200,6,0)="","",VLOOKUP($A379-COUNT('Шаг2.Бланк заказа NEW'!$B$19:$B$201)-COUNT('Бланк OLD 0.8 04'!$B$18:$B$200),'Бланк OLD 2.0 04 '!$B$16:$K$200,6,0)))</f>
        <v/>
      </c>
      <c r="J379" s="177" t="str">
        <f ca="1">IF(IF(T379="","",IF(T379=1,SUMIFS('Шаг1.Выбор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плиты'!C:Q,12,0)),1))))))=0,
T379,
IF(T379="","",IF(T379=1,SUMIFS('Шаг1.Выбор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плиты'!N:N,T379,'Шаг1.Выбор плиты'!M:M,SMALL(INDIRECT("мм"&amp;VLOOKUP(C379,'Шаг1.Выбор плиты'!C:Q,12,0)),1)))))))</f>
        <v/>
      </c>
      <c r="K379" s="177" t="str">
        <f ca="1">IF(IF(U379="","",IF(U379=1,SUMIFS('Шаг1.Выбор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плиты'!C:Q,12,0)),1))))))=0,
U379,
IF(U379="","",IF(U379=1,SUMIFS('Шаг1.Выбор плиты'!$G:$G,'Шаг1.Выбор плиты'!J:J,"*"&amp;RIGHT(VLOOKUP(C379,'Шаг1.Выбор плиты'!C:Q,8,0),4),'Шаг1.Выбор плиты'!L:L,IF(MID(C379,1,6)="ЛДСП P","TM"&amp;MID(VLOOKUP(C379,'Шаг1.Выбор плиты'!C:Q,10,0),3,2),MID(VLOOKUP(C379,'Шаг1.Выбор плиты'!C:Q,10,0),1,2)),
'Шаг1.Выбор плиты'!N:N,1),IF(SUMIFS('Шаг1.Выбор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плиты'!C:Q,12,0)),1))=0,
IF(SUMIFS('Шаг1.Выбор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плиты'!C:Q,12,0)),2))=0,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плиты'!C:Q,12,0)),3)),
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плиты'!C:Q,12,0)),2))),
(SUMIFS('Шаг1.Выбор плиты'!$G:$G,'Шаг1.Выбор плиты'!J:J,"*"&amp;RIGHT(VLOOKUP(C379,'Шаг1.Выбор плиты'!C:Q,8,0),4),'Шаг1.Выбор плиты'!L:L,VLOOKUP(C379,'Шаг1.Выбор плиты'!C:Q,10,0),'Шаг1.Выбор плиты'!N:N,U379,'Шаг1.Выбор плиты'!M:M,SMALL(INDIRECT("мм"&amp;VLOOKUP(C379,'Шаг1.Выбор плиты'!C:Q,12,0)),1)))))))</f>
        <v/>
      </c>
      <c r="L379" s="147" t="str">
        <f ca="1">IFERROR(IFERROR(IF(VLOOKUP($A379,'Шаг2.Бланк заказа NEW'!$B$17:$N$201,9,0)="","",VLOOKUP($A379,'Шаг2.Бланк заказа NEW'!$B$17:$N$201,9,0)),
IF(VLOOKUP($A379-COUNT('Шаг2.Бланк заказа NEW'!$B$19:$B$201),'Бланк OLD 0.8 04'!$B$12:$K$200,9,0)="","",VLOOKUP($A379-COUNT('Шаг2.Бланк заказа NEW'!$B$19:$B$201),'Бланк OLD 0.8 04'!$B$12:$K$200,9,0))),
IF(VLOOKUP($A379-COUNT('Шаг2.Бланк заказа NEW'!$B$19:$B$201)-COUNT('Бланк OLD 0.8 04'!$B$18:$B$200),'Бланк OLD 2.0 04 '!$B$16:$K$200,9,0)="","",VLOOKUP($A379-COUNT('Шаг2.Бланк заказа NEW'!$B$19:$B$201)-COUNT('Бланк OLD 0.8 04'!$B$18:$B$200),'Бланк OLD 2.0 04 '!$B$16:$K$200,9,0)))</f>
        <v/>
      </c>
      <c r="M379" s="154" t="str">
        <f t="shared" ca="1" si="33"/>
        <v/>
      </c>
      <c r="N379" s="153" t="str">
        <f ca="1">IFERROR(IF(VLOOKUP($A379,'Шаг2.Бланк заказа NEW'!$B$17:$N$201,11,0)="","",VLOOKUP($A379,'Шаг2.Бланк заказа NEW'!$B$17:$N$201,11,0)),
"Нет")</f>
        <v/>
      </c>
      <c r="O379" s="147" t="str">
        <f ca="1">IFERROR(IF(VLOOKUP($A379,'Шаг2.Бланк заказа NEW'!$B$17:$N$201,11,0)="","",VLOOKUP($A379,'Шаг2.Бланк заказа NEW'!$B$17:$N$201,12,0)),
"Нет")</f>
        <v/>
      </c>
      <c r="P379" s="153" t="str">
        <f ca="1">IFERROR(IF(VLOOKUP($A379,'Шаг2.Бланк заказа NEW'!$B$17:$N$201,13,0)="","",VLOOKUP($A379,'Шаг2.Бланк заказа NEW'!$B$17:$N$201,13,0)),
"Нет")</f>
        <v/>
      </c>
      <c r="Q379" s="147" t="str">
        <f ca="1">IFERROR(IF(VLOOKUP($A379,'Шаг2.Бланк заказа NEW'!$B$17:$O$201,14,0)="","",VLOOKUP($A379,'Шаг2.Бланк заказа NEW'!$B$17:$O$201,14,0)),"")</f>
        <v/>
      </c>
      <c r="R379" s="147" t="str">
        <f ca="1">IFERROR(IFERROR(IF(VLOOKUP($A379,'Шаг2.Бланк заказа NEW'!$B$17:$N$201,4,0)="","",VLOOKUP($A379,'Шаг2.Бланк заказа NEW'!$B$17:$N$201,4,0)),
IF(VLOOKUP($A379-COUNT('Шаг2.Бланк заказа NEW'!$B$19:$B$201),'Бланк OLD 0.8 04'!$B$12:$K$200,4,0)&gt;0,0.8,
IF(VLOOKUP($A379-COUNT('Шаг2.Бланк заказа NEW'!$B$19:$B$201),'Бланк OLD 0.8 04'!$B$12:$K$200,5,0)&gt;0,0.4,""))),
IF(VLOOKUP($A379-COUNT('Шаг2.Бланк заказа NEW'!$B$19:$B$201)-COUNT('Бланк OLD 0.8 04'!$B$18:$B$200),'Бланк OLD 2.0 04 '!$B$16:$K$200,4,0)&gt;0,2,IF(VLOOKUP($A379-COUNT('Шаг2.Бланк заказа NEW'!$B$19:$B$201)-COUNT('Бланк OLD 0.8 04'!$B$18:$B$200),'Бланк OLD 2.0 04 '!$B$16:$K$200,5,0)&gt;0,0.4,"")))</f>
        <v/>
      </c>
      <c r="S379" s="147" t="str">
        <f ca="1">IFERROR(IFERROR(IF(VLOOKUP($A379,'Шаг2.Бланк заказа NEW'!$B$17:$N$201,5,0)="","",VLOOKUP($A379,'Шаг2.Бланк заказа NEW'!$B$17:$N$201,5,0)),
IF(VLOOKUP($A379-COUNT('Шаг2.Бланк заказа NEW'!$B$19:$B$201),'Бланк OLD 0.8 04'!$B$12:$K$200,4,0)&gt;1,0.8,
IF(VLOOKUP($A379-COUNT('Шаг2.Бланк заказа NEW'!$B$19:$B$201),'Бланк OLD 0.8 04'!$B$12:$K$200,5,0)&gt;1,0.4,
IF(AND(VLOOKUP($A379-COUNT('Шаг2.Бланк заказа NEW'!$B$19:$B$201),'Бланк OLD 0.8 04'!$B$12:$K$200,4,0)&gt;0,VLOOKUP($A379-COUNT('Шаг2.Бланк заказа NEW'!$B$19:$B$201),'Бланк OLD 0.8 04'!$B$12:$K$200,5,0)&gt;0),0.4,"")))),
IF(VLOOKUP($A379-COUNT('Шаг2.Бланк заказа NEW'!$B$19:$B$201)-COUNT('Бланк OLD 0.8 04'!$B$18:$B$200),'Бланк OLD 2.0 04 '!$B$16:$K$200,4,0)&gt;1,2,
IF(VLOOKUP($A379-COUNT('Шаг2.Бланк заказа NEW'!$B$19:$B$201)-COUNT('Бланк OLD 0.8 04'!$B$18:$B$200),'Бланк OLD 2.0 04 '!$B$16:$K$200,5,0)&gt;1,0.4,IF(AND(VLOOKUP($A379-COUNT('Шаг2.Бланк заказа NEW'!$B$19:$B$201)-COUNT('Бланк OLD 0.8 04'!$B$18:$B$200),'Бланк OLD 2.0 04 '!$B$16:$K$200,4,0)&gt;0,VLOOKUP($A379-COUNT('Шаг2.Бланк заказа NEW'!$B$19:$B$201)-COUNT('Бланк OLD 0.8 04'!$B$18:$B$200),'Бланк OLD 2.0 04 '!$B$16:$K$200,5,0)&gt;0),0.4,""))))</f>
        <v/>
      </c>
      <c r="T379" s="147" t="str">
        <f ca="1">IFERROR(IFERROR(IF(VLOOKUP($A379,'Шаг2.Бланк заказа NEW'!$B$17:$N$201,7,0)="","",VLOOKUP($A379,'Шаг2.Бланк заказа NEW'!$B$17:$N$201,7,0)),
IF(VLOOKUP($A379-COUNT('Шаг2.Бланк заказа NEW'!$B$19:$B$201),'Бланк OLD 0.8 04'!$B$12:$K$200,7,0)&gt;0,0.8,
IF(VLOOKUP($A379-COUNT('Шаг2.Бланк заказа NEW'!$B$19:$B$201),'Бланк OLD 0.8 04'!$B$12:$K$200,8,0)&gt;0,0.4,""))),
IF(VLOOKUP($A379-COUNT('Шаг2.Бланк заказа NEW'!$B$19:$B$201)-COUNT('Бланк OLD 0.8 04'!$B$18:$B$200),'Бланк OLD 2.0 04 '!$B$16:$K$200,7,0)&gt;0,2,IF(VLOOKUP($A379-COUNT('Шаг2.Бланк заказа NEW'!$B$19:$B$201)-COUNT('Бланк OLD 0.8 04'!$B$18:$B$200),'Бланк OLD 2.0 04 '!$B$16:$K$200,8,0)&gt;0,0.4,"")))</f>
        <v/>
      </c>
      <c r="U379" s="147" t="str">
        <f ca="1">IFERROR(IFERROR(IF(VLOOKUP($A379,'Шаг2.Бланк заказа NEW'!$B$17:$N$201,8,0)="","",VLOOKUP($A379,'Шаг2.Бланк заказа NEW'!$B$17:$N$201,8,0)),
IF(VLOOKUP($A379-COUNT('Шаг2.Бланк заказа NEW'!$B$19:$B$201),'Бланк OLD 0.8 04'!$B$12:$K$200,7,0)&gt;1,0.8,
IF(VLOOKUP($A379-COUNT('Шаг2.Бланк заказа NEW'!$B$19:$B$201),'Бланк OLD 0.8 04'!$B$12:$K$200,8,0)&gt;1,0.4,
IF(AND(VLOOKUP($A379-COUNT('Шаг2.Бланк заказа NEW'!$B$19:$B$201),'Бланк OLD 0.8 04'!$B$12:$K$200,7,0)&gt;0,VLOOKUP($A379-COUNT('Шаг2.Бланк заказа NEW'!$B$19:$B$201),'Бланк OLD 0.8 04'!$B$12:$K$200,8,0)&gt;0),0.4,"")))),
IF(VLOOKUP($A379-COUNT('Шаг2.Бланк заказа NEW'!$B$19:$B$201)-COUNT('Бланк OLD 0.8 04'!$B$18:$B$200),'Бланк OLD 2.0 04 '!$B$16:$K$200,7,0)&gt;1,2,
IF(VLOOKUP($A379-COUNT('Шаг2.Бланк заказа NEW'!$B$19:$B$201)-COUNT('Бланк OLD 0.8 04'!$B$18:$B$200),'Бланк OLD 2.0 04 '!$B$16:$K$200,8,0)&gt;1,0.4,
IF(AND(VLOOKUP($A379-COUNT('Шаг2.Бланк заказа NEW'!$B$19:$B$201)-COUNT('Бланк OLD 0.8 04'!$B$18:$B$200),'Бланк OLD 2.0 04 '!$B$16:$K$200,7,0)&gt;0,VLOOKUP($A379-COUNT('Шаг2.Бланк заказа NEW'!$B$19:$B$201)-COUNT('Бланк OLD 0.8 04'!$B$18:$B$200),'Бланк OLD 2.0 04 '!$B$16:$K$200,8,0)&gt;0),0.4,""))))</f>
        <v/>
      </c>
      <c r="V379" s="146" t="str">
        <f ca="1">IFERROR(VLOOKUP(C379,'Шаг1.Выбор плиты'!C:S,12,0),"")</f>
        <v/>
      </c>
      <c r="W379" s="146" t="str">
        <f ca="1">IFERROR(VLOOKUP(C379,'Шаг1.Выбор плиты'!C:S,8,0),"")</f>
        <v/>
      </c>
      <c r="X379" s="146" t="str">
        <f ca="1">IFERROR(VLOOKUP(C379,'Шаг1.Выбор плиты'!C:S,10,0),"")</f>
        <v/>
      </c>
      <c r="Y379" s="147" t="str">
        <f t="shared" ca="1" si="28"/>
        <v/>
      </c>
      <c r="AD379" s="147" t="str">
        <f t="shared" ca="1" si="34"/>
        <v/>
      </c>
      <c r="AE379" s="147" t="str">
        <f t="shared" ca="1" si="29"/>
        <v/>
      </c>
      <c r="AF379" s="25"/>
      <c r="AH379" s="147" t="str">
        <f ca="1">IF(C379="","",VLOOKUP(C379,'Шаг1.Выбор плиты'!C:Q,7,0))</f>
        <v/>
      </c>
      <c r="AI379" s="147" t="str">
        <f t="shared" ca="1" si="35"/>
        <v/>
      </c>
    </row>
    <row r="380" spans="1:35" x14ac:dyDescent="0.2">
      <c r="A380" s="151" t="str">
        <f ca="1">IF(C380="","",MAX($A$1:OFFSET(C380,-1,0))+1)</f>
        <v/>
      </c>
      <c r="B380" s="151" t="str">
        <f ca="1">IFERROR(IFERROR(IFERROR("Шаг2.Бланк заказа NEW №"&amp;VLOOKUP(A379+1,CHOOSE({1,2},'Шаг2.Бланк заказа NEW'!$B$19:$B$201,'Шаг2.Бланк заказа NEW'!$A$19:$A$201),1,0),
"Бланк OLD 0.8 04 №"&amp;VLOOKUP(A379+1-COUNT('Шаг2.Бланк заказа NEW'!$B$19:$B$201),CHOOSE({1,2},'Бланк OLD 0.8 04'!$B$18:$B$200,'Бланк OLD 0.8 04'!$A$18:$A$200),1,0)),
"Бланк OLD 2.0 04 №"&amp;VLOOKUP(A379+1-COUNT('Шаг2.Бланк заказа NEW'!$B$19:$B$201)-COUNT('Бланк OLD 0.8 04'!$B$18:$B$200),CHOOSE({1,2},'Бланк OLD 2.0 04 '!$B$18:$B$200,'Бланк OLD 2.0 04 '!$A$18:$A$200),1,0)),"")</f>
        <v/>
      </c>
      <c r="C380" s="152" t="str">
        <f ca="1">IFERROR(IFERROR(IFERROR(VLOOKUP(A379+1,CHOOSE({1,2},'Шаг2.Бланк заказа NEW'!$B$19:$B$201,'Шаг2.Бланк заказа NEW'!$A$19:$A$201),2,0),
VLOOKUP(A379+1-COUNT('Шаг2.Бланк заказа NEW'!$B$19:$B$201),CHOOSE({1,2},'Бланк OLD 0.8 04'!$B$18:$B$200,'Бланк OLD 0.8 04'!$A$18:$A$200),2,0)),
VLOOKUP(A379+1-COUNT('Шаг2.Бланк заказа NEW'!$B$19:$B$201)-COUNT('Бланк OLD 0.8 04'!$B$18:$B$200),CHOOSE({1,2},'Бланк OLD 2.0 04 '!$B$18:$B$200,'Бланк OLD 2.0 04 '!$A$18:$A$200),2,0)),"")</f>
        <v/>
      </c>
      <c r="D380" s="150" t="str">
        <f ca="1">IFERROR(VLOOKUP(C380,'Шаг1.Выбор плиты'!C:G,5,0),"")</f>
        <v/>
      </c>
      <c r="E380" s="147" t="str">
        <f ca="1">IFERROR(IFERROR(IF(VLOOKUP($A380,'Шаг2.Бланк заказа NEW'!$B$17:$N$201,2,0)="","",VLOOKUP($A380,'Шаг2.Бланк заказа NEW'!$B$17:$N$201,2,0)),
IF(VLOOKUP($A380-COUNT('Шаг2.Бланк заказа NEW'!$B$19:$B$201),'Бланк OLD 0.8 04'!$B$12:$K$200,2,0)="","",VLOOKUP($A380-COUNT('Шаг2.Бланк заказа NEW'!$B$19:$B$201),'Бланк OLD 0.8 04'!$B$12:$K$200,2,0))),
IF(VLOOKUP($A380-COUNT('Шаг2.Бланк заказа NEW'!$B$19:$B$201)-COUNT('Бланк OLD 0.8 04'!$B$18:$B$200),'Бланк OLD 2.0 04 '!$B$16:$K$200,2,0)="","",VLOOKUP($A380-COUNT('Шаг2.Бланк заказа NEW'!$B$19:$B$201)-COUNT('Бланк OLD 0.8 04'!$B$18:$B$200),'Бланк OLD 2.0 04 '!$B$16:$K$200,2,0)))</f>
        <v/>
      </c>
      <c r="F380" s="147" t="str">
        <f ca="1">IFERROR(IFERROR(IF(VLOOKUP($A380,'Шаг2.Бланк заказа NEW'!$B$17:$N$201,3,0)="","",VLOOKUP($A380,'Шаг2.Бланк заказа NEW'!$B$17:$N$201,3,0)),
IF(VLOOKUP($A380-COUNT('Шаг2.Бланк заказа NEW'!$B$19:$B$201),'Бланк OLD 0.8 04'!$B$12:$K$200,3,0)="","",VLOOKUP($A380-COUNT('Шаг2.Бланк заказа NEW'!$B$19:$B$201),'Бланк OLD 0.8 04'!$B$12:$K$200,3,0))),
IF(VLOOKUP($A380-COUNT('Шаг2.Бланк заказа NEW'!$B$19:$B$201)-COUNT('Бланк OLD 0.8 04'!$B$18:$B$200),'Бланк OLD 2.0 04 '!$B$16:$K$200,3,0)="","",VLOOKUP($A380-COUNT('Шаг2.Бланк заказа NEW'!$B$19:$B$201)-COUNT('Бланк OLD 0.8 04'!$B$18:$B$200),'Бланк OLD 2.0 04 '!$B$16:$K$200,3,0)))</f>
        <v/>
      </c>
      <c r="G380" s="176" t="str">
        <f ca="1">IF(IF(R380="","",IF(R380=1,SUMIFS('Шаг1.Выбор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плиты'!C:Q,12,0)),1))))))=0,
R380,
IF(R380="","",IF(R380=1,SUMIFS('Шаг1.Выбор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плиты'!N:N,R380,'Шаг1.Выбор плиты'!M:M,SMALL(INDIRECT("мм"&amp;VLOOKUP(C380,'Шаг1.Выбор плиты'!C:Q,12,0)),1)))))))</f>
        <v/>
      </c>
      <c r="H380" s="177" t="str">
        <f ca="1">IF(IF(S380="","",IF(S380=1,SUMIFS('Шаг1.Выбор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плиты'!C:Q,12,0)),1))))))=0,
S380,
IF(S380="","",IF(S380=1,SUMIFS('Шаг1.Выбор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плиты'!N:N,S380,'Шаг1.Выбор плиты'!M:M,SMALL(INDIRECT("мм"&amp;VLOOKUP(C380,'Шаг1.Выбор плиты'!C:Q,12,0)),1)))))))</f>
        <v/>
      </c>
      <c r="I380" s="147" t="str">
        <f ca="1">IFERROR(IFERROR(IF(VLOOKUP($A380,'Шаг2.Бланк заказа NEW'!$B$17:$N$201,6,0)="","",VLOOKUP($A380,'Шаг2.Бланк заказа NEW'!$B$17:$N$201,6,0)),
IF(VLOOKUP($A380-COUNT('Шаг2.Бланк заказа NEW'!$B$19:$B$201),'Бланк OLD 0.8 04'!$B$12:$K$200,6,0)="","",VLOOKUP($A380-COUNT('Шаг2.Бланк заказа NEW'!$B$19:$B$201),'Бланк OLD 0.8 04'!$B$12:$K$200,6,0))),
IF(VLOOKUP($A380-COUNT('Шаг2.Бланк заказа NEW'!$B$19:$B$201)-COUNT('Бланк OLD 0.8 04'!$B$18:$B$200),'Бланк OLD 2.0 04 '!$B$16:$K$200,6,0)="","",VLOOKUP($A380-COUNT('Шаг2.Бланк заказа NEW'!$B$19:$B$201)-COUNT('Бланк OLD 0.8 04'!$B$18:$B$200),'Бланк OLD 2.0 04 '!$B$16:$K$200,6,0)))</f>
        <v/>
      </c>
      <c r="J380" s="177" t="str">
        <f ca="1">IF(IF(T380="","",IF(T380=1,SUMIFS('Шаг1.Выбор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плиты'!C:Q,12,0)),1))))))=0,
T380,
IF(T380="","",IF(T380=1,SUMIFS('Шаг1.Выбор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плиты'!N:N,T380,'Шаг1.Выбор плиты'!M:M,SMALL(INDIRECT("мм"&amp;VLOOKUP(C380,'Шаг1.Выбор плиты'!C:Q,12,0)),1)))))))</f>
        <v/>
      </c>
      <c r="K380" s="177" t="str">
        <f ca="1">IF(IF(U380="","",IF(U380=1,SUMIFS('Шаг1.Выбор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плиты'!C:Q,12,0)),1))))))=0,
U380,
IF(U380="","",IF(U380=1,SUMIFS('Шаг1.Выбор плиты'!$G:$G,'Шаг1.Выбор плиты'!J:J,"*"&amp;RIGHT(VLOOKUP(C380,'Шаг1.Выбор плиты'!C:Q,8,0),4),'Шаг1.Выбор плиты'!L:L,IF(MID(C380,1,6)="ЛДСП P","TM"&amp;MID(VLOOKUP(C380,'Шаг1.Выбор плиты'!C:Q,10,0),3,2),MID(VLOOKUP(C380,'Шаг1.Выбор плиты'!C:Q,10,0),1,2)),
'Шаг1.Выбор плиты'!N:N,1),IF(SUMIFS('Шаг1.Выбор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плиты'!C:Q,12,0)),1))=0,
IF(SUMIFS('Шаг1.Выбор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плиты'!C:Q,12,0)),2))=0,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плиты'!C:Q,12,0)),3)),
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плиты'!C:Q,12,0)),2))),
(SUMIFS('Шаг1.Выбор плиты'!$G:$G,'Шаг1.Выбор плиты'!J:J,"*"&amp;RIGHT(VLOOKUP(C380,'Шаг1.Выбор плиты'!C:Q,8,0),4),'Шаг1.Выбор плиты'!L:L,VLOOKUP(C380,'Шаг1.Выбор плиты'!C:Q,10,0),'Шаг1.Выбор плиты'!N:N,U380,'Шаг1.Выбор плиты'!M:M,SMALL(INDIRECT("мм"&amp;VLOOKUP(C380,'Шаг1.Выбор плиты'!C:Q,12,0)),1)))))))</f>
        <v/>
      </c>
      <c r="L380" s="147" t="str">
        <f ca="1">IFERROR(IFERROR(IF(VLOOKUP($A380,'Шаг2.Бланк заказа NEW'!$B$17:$N$201,9,0)="","",VLOOKUP($A380,'Шаг2.Бланк заказа NEW'!$B$17:$N$201,9,0)),
IF(VLOOKUP($A380-COUNT('Шаг2.Бланк заказа NEW'!$B$19:$B$201),'Бланк OLD 0.8 04'!$B$12:$K$200,9,0)="","",VLOOKUP($A380-COUNT('Шаг2.Бланк заказа NEW'!$B$19:$B$201),'Бланк OLD 0.8 04'!$B$12:$K$200,9,0))),
IF(VLOOKUP($A380-COUNT('Шаг2.Бланк заказа NEW'!$B$19:$B$201)-COUNT('Бланк OLD 0.8 04'!$B$18:$B$200),'Бланк OLD 2.0 04 '!$B$16:$K$200,9,0)="","",VLOOKUP($A380-COUNT('Шаг2.Бланк заказа NEW'!$B$19:$B$201)-COUNT('Бланк OLD 0.8 04'!$B$18:$B$200),'Бланк OLD 2.0 04 '!$B$16:$K$200,9,0)))</f>
        <v/>
      </c>
      <c r="M380" s="154" t="str">
        <f t="shared" ref="M380:M443" ca="1" si="36">IFERROR((F380/1000)*(I380/1000)*L380,"")</f>
        <v/>
      </c>
      <c r="N380" s="153" t="str">
        <f ca="1">IFERROR(IF(VLOOKUP($A380,'Шаг2.Бланк заказа NEW'!$B$17:$N$201,11,0)="","",VLOOKUP($A380,'Шаг2.Бланк заказа NEW'!$B$17:$N$201,11,0)),
"Нет")</f>
        <v/>
      </c>
      <c r="O380" s="147" t="str">
        <f ca="1">IFERROR(IF(VLOOKUP($A380,'Шаг2.Бланк заказа NEW'!$B$17:$N$201,11,0)="","",VLOOKUP($A380,'Шаг2.Бланк заказа NEW'!$B$17:$N$201,12,0)),
"Нет")</f>
        <v/>
      </c>
      <c r="P380" s="153" t="str">
        <f ca="1">IFERROR(IF(VLOOKUP($A380,'Шаг2.Бланк заказа NEW'!$B$17:$N$201,13,0)="","",VLOOKUP($A380,'Шаг2.Бланк заказа NEW'!$B$17:$N$201,13,0)),
"Нет")</f>
        <v/>
      </c>
      <c r="Q380" s="147" t="str">
        <f ca="1">IFERROR(IF(VLOOKUP($A380,'Шаг2.Бланк заказа NEW'!$B$17:$O$201,14,0)="","",VLOOKUP($A380,'Шаг2.Бланк заказа NEW'!$B$17:$O$201,14,0)),"")</f>
        <v/>
      </c>
      <c r="R380" s="147" t="str">
        <f ca="1">IFERROR(IFERROR(IF(VLOOKUP($A380,'Шаг2.Бланк заказа NEW'!$B$17:$N$201,4,0)="","",VLOOKUP($A380,'Шаг2.Бланк заказа NEW'!$B$17:$N$201,4,0)),
IF(VLOOKUP($A380-COUNT('Шаг2.Бланк заказа NEW'!$B$19:$B$201),'Бланк OLD 0.8 04'!$B$12:$K$200,4,0)&gt;0,0.8,
IF(VLOOKUP($A380-COUNT('Шаг2.Бланк заказа NEW'!$B$19:$B$201),'Бланк OLD 0.8 04'!$B$12:$K$200,5,0)&gt;0,0.4,""))),
IF(VLOOKUP($A380-COUNT('Шаг2.Бланк заказа NEW'!$B$19:$B$201)-COUNT('Бланк OLD 0.8 04'!$B$18:$B$200),'Бланк OLD 2.0 04 '!$B$16:$K$200,4,0)&gt;0,2,IF(VLOOKUP($A380-COUNT('Шаг2.Бланк заказа NEW'!$B$19:$B$201)-COUNT('Бланк OLD 0.8 04'!$B$18:$B$200),'Бланк OLD 2.0 04 '!$B$16:$K$200,5,0)&gt;0,0.4,"")))</f>
        <v/>
      </c>
      <c r="S380" s="147" t="str">
        <f ca="1">IFERROR(IFERROR(IF(VLOOKUP($A380,'Шаг2.Бланк заказа NEW'!$B$17:$N$201,5,0)="","",VLOOKUP($A380,'Шаг2.Бланк заказа NEW'!$B$17:$N$201,5,0)),
IF(VLOOKUP($A380-COUNT('Шаг2.Бланк заказа NEW'!$B$19:$B$201),'Бланк OLD 0.8 04'!$B$12:$K$200,4,0)&gt;1,0.8,
IF(VLOOKUP($A380-COUNT('Шаг2.Бланк заказа NEW'!$B$19:$B$201),'Бланк OLD 0.8 04'!$B$12:$K$200,5,0)&gt;1,0.4,
IF(AND(VLOOKUP($A380-COUNT('Шаг2.Бланк заказа NEW'!$B$19:$B$201),'Бланк OLD 0.8 04'!$B$12:$K$200,4,0)&gt;0,VLOOKUP($A380-COUNT('Шаг2.Бланк заказа NEW'!$B$19:$B$201),'Бланк OLD 0.8 04'!$B$12:$K$200,5,0)&gt;0),0.4,"")))),
IF(VLOOKUP($A380-COUNT('Шаг2.Бланк заказа NEW'!$B$19:$B$201)-COUNT('Бланк OLD 0.8 04'!$B$18:$B$200),'Бланк OLD 2.0 04 '!$B$16:$K$200,4,0)&gt;1,2,
IF(VLOOKUP($A380-COUNT('Шаг2.Бланк заказа NEW'!$B$19:$B$201)-COUNT('Бланк OLD 0.8 04'!$B$18:$B$200),'Бланк OLD 2.0 04 '!$B$16:$K$200,5,0)&gt;1,0.4,IF(AND(VLOOKUP($A380-COUNT('Шаг2.Бланк заказа NEW'!$B$19:$B$201)-COUNT('Бланк OLD 0.8 04'!$B$18:$B$200),'Бланк OLD 2.0 04 '!$B$16:$K$200,4,0)&gt;0,VLOOKUP($A380-COUNT('Шаг2.Бланк заказа NEW'!$B$19:$B$201)-COUNT('Бланк OLD 0.8 04'!$B$18:$B$200),'Бланк OLD 2.0 04 '!$B$16:$K$200,5,0)&gt;0),0.4,""))))</f>
        <v/>
      </c>
      <c r="T380" s="147" t="str">
        <f ca="1">IFERROR(IFERROR(IF(VLOOKUP($A380,'Шаг2.Бланк заказа NEW'!$B$17:$N$201,7,0)="","",VLOOKUP($A380,'Шаг2.Бланк заказа NEW'!$B$17:$N$201,7,0)),
IF(VLOOKUP($A380-COUNT('Шаг2.Бланк заказа NEW'!$B$19:$B$201),'Бланк OLD 0.8 04'!$B$12:$K$200,7,0)&gt;0,0.8,
IF(VLOOKUP($A380-COUNT('Шаг2.Бланк заказа NEW'!$B$19:$B$201),'Бланк OLD 0.8 04'!$B$12:$K$200,8,0)&gt;0,0.4,""))),
IF(VLOOKUP($A380-COUNT('Шаг2.Бланк заказа NEW'!$B$19:$B$201)-COUNT('Бланк OLD 0.8 04'!$B$18:$B$200),'Бланк OLD 2.0 04 '!$B$16:$K$200,7,0)&gt;0,2,IF(VLOOKUP($A380-COUNT('Шаг2.Бланк заказа NEW'!$B$19:$B$201)-COUNT('Бланк OLD 0.8 04'!$B$18:$B$200),'Бланк OLD 2.0 04 '!$B$16:$K$200,8,0)&gt;0,0.4,"")))</f>
        <v/>
      </c>
      <c r="U380" s="147" t="str">
        <f ca="1">IFERROR(IFERROR(IF(VLOOKUP($A380,'Шаг2.Бланк заказа NEW'!$B$17:$N$201,8,0)="","",VLOOKUP($A380,'Шаг2.Бланк заказа NEW'!$B$17:$N$201,8,0)),
IF(VLOOKUP($A380-COUNT('Шаг2.Бланк заказа NEW'!$B$19:$B$201),'Бланк OLD 0.8 04'!$B$12:$K$200,7,0)&gt;1,0.8,
IF(VLOOKUP($A380-COUNT('Шаг2.Бланк заказа NEW'!$B$19:$B$201),'Бланк OLD 0.8 04'!$B$12:$K$200,8,0)&gt;1,0.4,
IF(AND(VLOOKUP($A380-COUNT('Шаг2.Бланк заказа NEW'!$B$19:$B$201),'Бланк OLD 0.8 04'!$B$12:$K$200,7,0)&gt;0,VLOOKUP($A380-COUNT('Шаг2.Бланк заказа NEW'!$B$19:$B$201),'Бланк OLD 0.8 04'!$B$12:$K$200,8,0)&gt;0),0.4,"")))),
IF(VLOOKUP($A380-COUNT('Шаг2.Бланк заказа NEW'!$B$19:$B$201)-COUNT('Бланк OLD 0.8 04'!$B$18:$B$200),'Бланк OLD 2.0 04 '!$B$16:$K$200,7,0)&gt;1,2,
IF(VLOOKUP($A380-COUNT('Шаг2.Бланк заказа NEW'!$B$19:$B$201)-COUNT('Бланк OLD 0.8 04'!$B$18:$B$200),'Бланк OLD 2.0 04 '!$B$16:$K$200,8,0)&gt;1,0.4,
IF(AND(VLOOKUP($A380-COUNT('Шаг2.Бланк заказа NEW'!$B$19:$B$201)-COUNT('Бланк OLD 0.8 04'!$B$18:$B$200),'Бланк OLD 2.0 04 '!$B$16:$K$200,7,0)&gt;0,VLOOKUP($A380-COUNT('Шаг2.Бланк заказа NEW'!$B$19:$B$201)-COUNT('Бланк OLD 0.8 04'!$B$18:$B$200),'Бланк OLD 2.0 04 '!$B$16:$K$200,8,0)&gt;0),0.4,""))))</f>
        <v/>
      </c>
      <c r="V380" s="146" t="str">
        <f ca="1">IFERROR(VLOOKUP(C380,'Шаг1.Выбор плиты'!C:S,12,0),"")</f>
        <v/>
      </c>
      <c r="W380" s="146" t="str">
        <f ca="1">IFERROR(VLOOKUP(C380,'Шаг1.Выбор плиты'!C:S,8,0),"")</f>
        <v/>
      </c>
      <c r="X380" s="146" t="str">
        <f ca="1">IFERROR(VLOOKUP(C380,'Шаг1.Выбор плиты'!C:S,10,0),"")</f>
        <v/>
      </c>
      <c r="Y380" s="147" t="str">
        <f t="shared" ca="1" si="28"/>
        <v/>
      </c>
      <c r="AD380" s="147" t="str">
        <f t="shared" ca="1" si="34"/>
        <v/>
      </c>
      <c r="AE380" s="147" t="str">
        <f t="shared" ca="1" si="29"/>
        <v/>
      </c>
      <c r="AF380" s="25"/>
      <c r="AH380" s="147" t="str">
        <f ca="1">IF(C380="","",VLOOKUP(C380,'Шаг1.Выбор плиты'!C:Q,7,0))</f>
        <v/>
      </c>
      <c r="AI380" s="147" t="str">
        <f t="shared" ca="1" si="35"/>
        <v/>
      </c>
    </row>
    <row r="381" spans="1:35" x14ac:dyDescent="0.2">
      <c r="A381" s="151" t="str">
        <f ca="1">IF(C381="","",MAX($A$1:OFFSET(C381,-1,0))+1)</f>
        <v/>
      </c>
      <c r="B381" s="151" t="str">
        <f ca="1">IFERROR(IFERROR(IFERROR("Шаг2.Бланк заказа NEW №"&amp;VLOOKUP(A380+1,CHOOSE({1,2},'Шаг2.Бланк заказа NEW'!$B$19:$B$201,'Шаг2.Бланк заказа NEW'!$A$19:$A$201),1,0),
"Бланк OLD 0.8 04 №"&amp;VLOOKUP(A380+1-COUNT('Шаг2.Бланк заказа NEW'!$B$19:$B$201),CHOOSE({1,2},'Бланк OLD 0.8 04'!$B$18:$B$200,'Бланк OLD 0.8 04'!$A$18:$A$200),1,0)),
"Бланк OLD 2.0 04 №"&amp;VLOOKUP(A380+1-COUNT('Шаг2.Бланк заказа NEW'!$B$19:$B$201)-COUNT('Бланк OLD 0.8 04'!$B$18:$B$200),CHOOSE({1,2},'Бланк OLD 2.0 04 '!$B$18:$B$200,'Бланк OLD 2.0 04 '!$A$18:$A$200),1,0)),"")</f>
        <v/>
      </c>
      <c r="C381" s="152" t="str">
        <f ca="1">IFERROR(IFERROR(IFERROR(VLOOKUP(A380+1,CHOOSE({1,2},'Шаг2.Бланк заказа NEW'!$B$19:$B$201,'Шаг2.Бланк заказа NEW'!$A$19:$A$201),2,0),
VLOOKUP(A380+1-COUNT('Шаг2.Бланк заказа NEW'!$B$19:$B$201),CHOOSE({1,2},'Бланк OLD 0.8 04'!$B$18:$B$200,'Бланк OLD 0.8 04'!$A$18:$A$200),2,0)),
VLOOKUP(A380+1-COUNT('Шаг2.Бланк заказа NEW'!$B$19:$B$201)-COUNT('Бланк OLD 0.8 04'!$B$18:$B$200),CHOOSE({1,2},'Бланк OLD 2.0 04 '!$B$18:$B$200,'Бланк OLD 2.0 04 '!$A$18:$A$200),2,0)),"")</f>
        <v/>
      </c>
      <c r="D381" s="150" t="str">
        <f ca="1">IFERROR(VLOOKUP(C381,'Шаг1.Выбор плиты'!C:G,5,0),"")</f>
        <v/>
      </c>
      <c r="E381" s="147" t="str">
        <f ca="1">IFERROR(IFERROR(IF(VLOOKUP($A381,'Шаг2.Бланк заказа NEW'!$B$17:$N$201,2,0)="","",VLOOKUP($A381,'Шаг2.Бланк заказа NEW'!$B$17:$N$201,2,0)),
IF(VLOOKUP($A381-COUNT('Шаг2.Бланк заказа NEW'!$B$19:$B$201),'Бланк OLD 0.8 04'!$B$12:$K$200,2,0)="","",VLOOKUP($A381-COUNT('Шаг2.Бланк заказа NEW'!$B$19:$B$201),'Бланк OLD 0.8 04'!$B$12:$K$200,2,0))),
IF(VLOOKUP($A381-COUNT('Шаг2.Бланк заказа NEW'!$B$19:$B$201)-COUNT('Бланк OLD 0.8 04'!$B$18:$B$200),'Бланк OLD 2.0 04 '!$B$16:$K$200,2,0)="","",VLOOKUP($A381-COUNT('Шаг2.Бланк заказа NEW'!$B$19:$B$201)-COUNT('Бланк OLD 0.8 04'!$B$18:$B$200),'Бланк OLD 2.0 04 '!$B$16:$K$200,2,0)))</f>
        <v/>
      </c>
      <c r="F381" s="147" t="str">
        <f ca="1">IFERROR(IFERROR(IF(VLOOKUP($A381,'Шаг2.Бланк заказа NEW'!$B$17:$N$201,3,0)="","",VLOOKUP($A381,'Шаг2.Бланк заказа NEW'!$B$17:$N$201,3,0)),
IF(VLOOKUP($A381-COUNT('Шаг2.Бланк заказа NEW'!$B$19:$B$201),'Бланк OLD 0.8 04'!$B$12:$K$200,3,0)="","",VLOOKUP($A381-COUNT('Шаг2.Бланк заказа NEW'!$B$19:$B$201),'Бланк OLD 0.8 04'!$B$12:$K$200,3,0))),
IF(VLOOKUP($A381-COUNT('Шаг2.Бланк заказа NEW'!$B$19:$B$201)-COUNT('Бланк OLD 0.8 04'!$B$18:$B$200),'Бланк OLD 2.0 04 '!$B$16:$K$200,3,0)="","",VLOOKUP($A381-COUNT('Шаг2.Бланк заказа NEW'!$B$19:$B$201)-COUNT('Бланк OLD 0.8 04'!$B$18:$B$200),'Бланк OLD 2.0 04 '!$B$16:$K$200,3,0)))</f>
        <v/>
      </c>
      <c r="G381" s="176" t="str">
        <f ca="1">IF(IF(R381="","",IF(R381=1,SUMIFS('Шаг1.Выбор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плиты'!C:Q,12,0)),1))))))=0,
R381,
IF(R381="","",IF(R381=1,SUMIFS('Шаг1.Выбор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плиты'!N:N,R381,'Шаг1.Выбор плиты'!M:M,SMALL(INDIRECT("мм"&amp;VLOOKUP(C381,'Шаг1.Выбор плиты'!C:Q,12,0)),1)))))))</f>
        <v/>
      </c>
      <c r="H381" s="177" t="str">
        <f ca="1">IF(IF(S381="","",IF(S381=1,SUMIFS('Шаг1.Выбор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плиты'!C:Q,12,0)),1))))))=0,
S381,
IF(S381="","",IF(S381=1,SUMIFS('Шаг1.Выбор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плиты'!N:N,S381,'Шаг1.Выбор плиты'!M:M,SMALL(INDIRECT("мм"&amp;VLOOKUP(C381,'Шаг1.Выбор плиты'!C:Q,12,0)),1)))))))</f>
        <v/>
      </c>
      <c r="I381" s="147" t="str">
        <f ca="1">IFERROR(IFERROR(IF(VLOOKUP($A381,'Шаг2.Бланк заказа NEW'!$B$17:$N$201,6,0)="","",VLOOKUP($A381,'Шаг2.Бланк заказа NEW'!$B$17:$N$201,6,0)),
IF(VLOOKUP($A381-COUNT('Шаг2.Бланк заказа NEW'!$B$19:$B$201),'Бланк OLD 0.8 04'!$B$12:$K$200,6,0)="","",VLOOKUP($A381-COUNT('Шаг2.Бланк заказа NEW'!$B$19:$B$201),'Бланк OLD 0.8 04'!$B$12:$K$200,6,0))),
IF(VLOOKUP($A381-COUNT('Шаг2.Бланк заказа NEW'!$B$19:$B$201)-COUNT('Бланк OLD 0.8 04'!$B$18:$B$200),'Бланк OLD 2.0 04 '!$B$16:$K$200,6,0)="","",VLOOKUP($A381-COUNT('Шаг2.Бланк заказа NEW'!$B$19:$B$201)-COUNT('Бланк OLD 0.8 04'!$B$18:$B$200),'Бланк OLD 2.0 04 '!$B$16:$K$200,6,0)))</f>
        <v/>
      </c>
      <c r="J381" s="177" t="str">
        <f ca="1">IF(IF(T381="","",IF(T381=1,SUMIFS('Шаг1.Выбор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плиты'!C:Q,12,0)),1))))))=0,
T381,
IF(T381="","",IF(T381=1,SUMIFS('Шаг1.Выбор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плиты'!N:N,T381,'Шаг1.Выбор плиты'!M:M,SMALL(INDIRECT("мм"&amp;VLOOKUP(C381,'Шаг1.Выбор плиты'!C:Q,12,0)),1)))))))</f>
        <v/>
      </c>
      <c r="K381" s="177" t="str">
        <f ca="1">IF(IF(U381="","",IF(U381=1,SUMIFS('Шаг1.Выбор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плиты'!C:Q,12,0)),1))))))=0,
U381,
IF(U381="","",IF(U381=1,SUMIFS('Шаг1.Выбор плиты'!$G:$G,'Шаг1.Выбор плиты'!J:J,"*"&amp;RIGHT(VLOOKUP(C381,'Шаг1.Выбор плиты'!C:Q,8,0),4),'Шаг1.Выбор плиты'!L:L,IF(MID(C381,1,6)="ЛДСП P","TM"&amp;MID(VLOOKUP(C381,'Шаг1.Выбор плиты'!C:Q,10,0),3,2),MID(VLOOKUP(C381,'Шаг1.Выбор плиты'!C:Q,10,0),1,2)),
'Шаг1.Выбор плиты'!N:N,1),IF(SUMIFS('Шаг1.Выбор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плиты'!C:Q,12,0)),1))=0,
IF(SUMIFS('Шаг1.Выбор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плиты'!C:Q,12,0)),2))=0,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плиты'!C:Q,12,0)),3)),
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плиты'!C:Q,12,0)),2))),
(SUMIFS('Шаг1.Выбор плиты'!$G:$G,'Шаг1.Выбор плиты'!J:J,"*"&amp;RIGHT(VLOOKUP(C381,'Шаг1.Выбор плиты'!C:Q,8,0),4),'Шаг1.Выбор плиты'!L:L,VLOOKUP(C381,'Шаг1.Выбор плиты'!C:Q,10,0),'Шаг1.Выбор плиты'!N:N,U381,'Шаг1.Выбор плиты'!M:M,SMALL(INDIRECT("мм"&amp;VLOOKUP(C381,'Шаг1.Выбор плиты'!C:Q,12,0)),1)))))))</f>
        <v/>
      </c>
      <c r="L381" s="147" t="str">
        <f ca="1">IFERROR(IFERROR(IF(VLOOKUP($A381,'Шаг2.Бланк заказа NEW'!$B$17:$N$201,9,0)="","",VLOOKUP($A381,'Шаг2.Бланк заказа NEW'!$B$17:$N$201,9,0)),
IF(VLOOKUP($A381-COUNT('Шаг2.Бланк заказа NEW'!$B$19:$B$201),'Бланк OLD 0.8 04'!$B$12:$K$200,9,0)="","",VLOOKUP($A381-COUNT('Шаг2.Бланк заказа NEW'!$B$19:$B$201),'Бланк OLD 0.8 04'!$B$12:$K$200,9,0))),
IF(VLOOKUP($A381-COUNT('Шаг2.Бланк заказа NEW'!$B$19:$B$201)-COUNT('Бланк OLD 0.8 04'!$B$18:$B$200),'Бланк OLD 2.0 04 '!$B$16:$K$200,9,0)="","",VLOOKUP($A381-COUNT('Шаг2.Бланк заказа NEW'!$B$19:$B$201)-COUNT('Бланк OLD 0.8 04'!$B$18:$B$200),'Бланк OLD 2.0 04 '!$B$16:$K$200,9,0)))</f>
        <v/>
      </c>
      <c r="M381" s="154" t="str">
        <f t="shared" ca="1" si="36"/>
        <v/>
      </c>
      <c r="N381" s="153" t="str">
        <f ca="1">IFERROR(IF(VLOOKUP($A381,'Шаг2.Бланк заказа NEW'!$B$17:$N$201,11,0)="","",VLOOKUP($A381,'Шаг2.Бланк заказа NEW'!$B$17:$N$201,11,0)),
"Нет")</f>
        <v/>
      </c>
      <c r="O381" s="147" t="str">
        <f ca="1">IFERROR(IF(VLOOKUP($A381,'Шаг2.Бланк заказа NEW'!$B$17:$N$201,11,0)="","",VLOOKUP($A381,'Шаг2.Бланк заказа NEW'!$B$17:$N$201,12,0)),
"Нет")</f>
        <v/>
      </c>
      <c r="P381" s="153" t="str">
        <f ca="1">IFERROR(IF(VLOOKUP($A381,'Шаг2.Бланк заказа NEW'!$B$17:$N$201,13,0)="","",VLOOKUP($A381,'Шаг2.Бланк заказа NEW'!$B$17:$N$201,13,0)),
"Нет")</f>
        <v/>
      </c>
      <c r="Q381" s="147" t="str">
        <f ca="1">IFERROR(IF(VLOOKUP($A381,'Шаг2.Бланк заказа NEW'!$B$17:$O$201,14,0)="","",VLOOKUP($A381,'Шаг2.Бланк заказа NEW'!$B$17:$O$201,14,0)),"")</f>
        <v/>
      </c>
      <c r="R381" s="147" t="str">
        <f ca="1">IFERROR(IFERROR(IF(VLOOKUP($A381,'Шаг2.Бланк заказа NEW'!$B$17:$N$201,4,0)="","",VLOOKUP($A381,'Шаг2.Бланк заказа NEW'!$B$17:$N$201,4,0)),
IF(VLOOKUP($A381-COUNT('Шаг2.Бланк заказа NEW'!$B$19:$B$201),'Бланк OLD 0.8 04'!$B$12:$K$200,4,0)&gt;0,0.8,
IF(VLOOKUP($A381-COUNT('Шаг2.Бланк заказа NEW'!$B$19:$B$201),'Бланк OLD 0.8 04'!$B$12:$K$200,5,0)&gt;0,0.4,""))),
IF(VLOOKUP($A381-COUNT('Шаг2.Бланк заказа NEW'!$B$19:$B$201)-COUNT('Бланк OLD 0.8 04'!$B$18:$B$200),'Бланк OLD 2.0 04 '!$B$16:$K$200,4,0)&gt;0,2,IF(VLOOKUP($A381-COUNT('Шаг2.Бланк заказа NEW'!$B$19:$B$201)-COUNT('Бланк OLD 0.8 04'!$B$18:$B$200),'Бланк OLD 2.0 04 '!$B$16:$K$200,5,0)&gt;0,0.4,"")))</f>
        <v/>
      </c>
      <c r="S381" s="147" t="str">
        <f ca="1">IFERROR(IFERROR(IF(VLOOKUP($A381,'Шаг2.Бланк заказа NEW'!$B$17:$N$201,5,0)="","",VLOOKUP($A381,'Шаг2.Бланк заказа NEW'!$B$17:$N$201,5,0)),
IF(VLOOKUP($A381-COUNT('Шаг2.Бланк заказа NEW'!$B$19:$B$201),'Бланк OLD 0.8 04'!$B$12:$K$200,4,0)&gt;1,0.8,
IF(VLOOKUP($A381-COUNT('Шаг2.Бланк заказа NEW'!$B$19:$B$201),'Бланк OLD 0.8 04'!$B$12:$K$200,5,0)&gt;1,0.4,
IF(AND(VLOOKUP($A381-COUNT('Шаг2.Бланк заказа NEW'!$B$19:$B$201),'Бланк OLD 0.8 04'!$B$12:$K$200,4,0)&gt;0,VLOOKUP($A381-COUNT('Шаг2.Бланк заказа NEW'!$B$19:$B$201),'Бланк OLD 0.8 04'!$B$12:$K$200,5,0)&gt;0),0.4,"")))),
IF(VLOOKUP($A381-COUNT('Шаг2.Бланк заказа NEW'!$B$19:$B$201)-COUNT('Бланк OLD 0.8 04'!$B$18:$B$200),'Бланк OLD 2.0 04 '!$B$16:$K$200,4,0)&gt;1,2,
IF(VLOOKUP($A381-COUNT('Шаг2.Бланк заказа NEW'!$B$19:$B$201)-COUNT('Бланк OLD 0.8 04'!$B$18:$B$200),'Бланк OLD 2.0 04 '!$B$16:$K$200,5,0)&gt;1,0.4,IF(AND(VLOOKUP($A381-COUNT('Шаг2.Бланк заказа NEW'!$B$19:$B$201)-COUNT('Бланк OLD 0.8 04'!$B$18:$B$200),'Бланк OLD 2.0 04 '!$B$16:$K$200,4,0)&gt;0,VLOOKUP($A381-COUNT('Шаг2.Бланк заказа NEW'!$B$19:$B$201)-COUNT('Бланк OLD 0.8 04'!$B$18:$B$200),'Бланк OLD 2.0 04 '!$B$16:$K$200,5,0)&gt;0),0.4,""))))</f>
        <v/>
      </c>
      <c r="T381" s="147" t="str">
        <f ca="1">IFERROR(IFERROR(IF(VLOOKUP($A381,'Шаг2.Бланк заказа NEW'!$B$17:$N$201,7,0)="","",VLOOKUP($A381,'Шаг2.Бланк заказа NEW'!$B$17:$N$201,7,0)),
IF(VLOOKUP($A381-COUNT('Шаг2.Бланк заказа NEW'!$B$19:$B$201),'Бланк OLD 0.8 04'!$B$12:$K$200,7,0)&gt;0,0.8,
IF(VLOOKUP($A381-COUNT('Шаг2.Бланк заказа NEW'!$B$19:$B$201),'Бланк OLD 0.8 04'!$B$12:$K$200,8,0)&gt;0,0.4,""))),
IF(VLOOKUP($A381-COUNT('Шаг2.Бланк заказа NEW'!$B$19:$B$201)-COUNT('Бланк OLD 0.8 04'!$B$18:$B$200),'Бланк OLD 2.0 04 '!$B$16:$K$200,7,0)&gt;0,2,IF(VLOOKUP($A381-COUNT('Шаг2.Бланк заказа NEW'!$B$19:$B$201)-COUNT('Бланк OLD 0.8 04'!$B$18:$B$200),'Бланк OLD 2.0 04 '!$B$16:$K$200,8,0)&gt;0,0.4,"")))</f>
        <v/>
      </c>
      <c r="U381" s="147" t="str">
        <f ca="1">IFERROR(IFERROR(IF(VLOOKUP($A381,'Шаг2.Бланк заказа NEW'!$B$17:$N$201,8,0)="","",VLOOKUP($A381,'Шаг2.Бланк заказа NEW'!$B$17:$N$201,8,0)),
IF(VLOOKUP($A381-COUNT('Шаг2.Бланк заказа NEW'!$B$19:$B$201),'Бланк OLD 0.8 04'!$B$12:$K$200,7,0)&gt;1,0.8,
IF(VLOOKUP($A381-COUNT('Шаг2.Бланк заказа NEW'!$B$19:$B$201),'Бланк OLD 0.8 04'!$B$12:$K$200,8,0)&gt;1,0.4,
IF(AND(VLOOKUP($A381-COUNT('Шаг2.Бланк заказа NEW'!$B$19:$B$201),'Бланк OLD 0.8 04'!$B$12:$K$200,7,0)&gt;0,VLOOKUP($A381-COUNT('Шаг2.Бланк заказа NEW'!$B$19:$B$201),'Бланк OLD 0.8 04'!$B$12:$K$200,8,0)&gt;0),0.4,"")))),
IF(VLOOKUP($A381-COUNT('Шаг2.Бланк заказа NEW'!$B$19:$B$201)-COUNT('Бланк OLD 0.8 04'!$B$18:$B$200),'Бланк OLD 2.0 04 '!$B$16:$K$200,7,0)&gt;1,2,
IF(VLOOKUP($A381-COUNT('Шаг2.Бланк заказа NEW'!$B$19:$B$201)-COUNT('Бланк OLD 0.8 04'!$B$18:$B$200),'Бланк OLD 2.0 04 '!$B$16:$K$200,8,0)&gt;1,0.4,
IF(AND(VLOOKUP($A381-COUNT('Шаг2.Бланк заказа NEW'!$B$19:$B$201)-COUNT('Бланк OLD 0.8 04'!$B$18:$B$200),'Бланк OLD 2.0 04 '!$B$16:$K$200,7,0)&gt;0,VLOOKUP($A381-COUNT('Шаг2.Бланк заказа NEW'!$B$19:$B$201)-COUNT('Бланк OLD 0.8 04'!$B$18:$B$200),'Бланк OLD 2.0 04 '!$B$16:$K$200,8,0)&gt;0),0.4,""))))</f>
        <v/>
      </c>
      <c r="V381" s="146" t="str">
        <f ca="1">IFERROR(VLOOKUP(C381,'Шаг1.Выбор плиты'!C:S,12,0),"")</f>
        <v/>
      </c>
      <c r="W381" s="146" t="str">
        <f ca="1">IFERROR(VLOOKUP(C381,'Шаг1.Выбор плиты'!C:S,8,0),"")</f>
        <v/>
      </c>
      <c r="X381" s="146" t="str">
        <f ca="1">IFERROR(VLOOKUP(C381,'Шаг1.Выбор плиты'!C:S,10,0),"")</f>
        <v/>
      </c>
      <c r="Y381" s="147" t="str">
        <f t="shared" ca="1" si="28"/>
        <v/>
      </c>
      <c r="AD381" s="147" t="str">
        <f t="shared" ref="AD381:AD444" ca="1" si="37">IF(C381="","",0)</f>
        <v/>
      </c>
      <c r="AE381" s="147" t="str">
        <f t="shared" ca="1" si="29"/>
        <v/>
      </c>
      <c r="AF381" s="25"/>
      <c r="AH381" s="147" t="str">
        <f ca="1">IF(C381="","",VLOOKUP(C381,'Шаг1.Выбор плиты'!C:Q,7,0))</f>
        <v/>
      </c>
      <c r="AI381" s="147" t="str">
        <f t="shared" ref="AI381:AI444" ca="1" si="38">IF(N381="","",IF(N381="да",1,0))</f>
        <v/>
      </c>
    </row>
    <row r="382" spans="1:35" x14ac:dyDescent="0.2">
      <c r="A382" s="151" t="str">
        <f ca="1">IF(C382="","",MAX($A$1:OFFSET(C382,-1,0))+1)</f>
        <v/>
      </c>
      <c r="B382" s="151" t="str">
        <f ca="1">IFERROR(IFERROR(IFERROR("Шаг2.Бланк заказа NEW №"&amp;VLOOKUP(A381+1,CHOOSE({1,2},'Шаг2.Бланк заказа NEW'!$B$19:$B$201,'Шаг2.Бланк заказа NEW'!$A$19:$A$201),1,0),
"Бланк OLD 0.8 04 №"&amp;VLOOKUP(A381+1-COUNT('Шаг2.Бланк заказа NEW'!$B$19:$B$201),CHOOSE({1,2},'Бланк OLD 0.8 04'!$B$18:$B$200,'Бланк OLD 0.8 04'!$A$18:$A$200),1,0)),
"Бланк OLD 2.0 04 №"&amp;VLOOKUP(A381+1-COUNT('Шаг2.Бланк заказа NEW'!$B$19:$B$201)-COUNT('Бланк OLD 0.8 04'!$B$18:$B$200),CHOOSE({1,2},'Бланк OLD 2.0 04 '!$B$18:$B$200,'Бланк OLD 2.0 04 '!$A$18:$A$200),1,0)),"")</f>
        <v/>
      </c>
      <c r="C382" s="152" t="str">
        <f ca="1">IFERROR(IFERROR(IFERROR(VLOOKUP(A381+1,CHOOSE({1,2},'Шаг2.Бланк заказа NEW'!$B$19:$B$201,'Шаг2.Бланк заказа NEW'!$A$19:$A$201),2,0),
VLOOKUP(A381+1-COUNT('Шаг2.Бланк заказа NEW'!$B$19:$B$201),CHOOSE({1,2},'Бланк OLD 0.8 04'!$B$18:$B$200,'Бланк OLD 0.8 04'!$A$18:$A$200),2,0)),
VLOOKUP(A381+1-COUNT('Шаг2.Бланк заказа NEW'!$B$19:$B$201)-COUNT('Бланк OLD 0.8 04'!$B$18:$B$200),CHOOSE({1,2},'Бланк OLD 2.0 04 '!$B$18:$B$200,'Бланк OLD 2.0 04 '!$A$18:$A$200),2,0)),"")</f>
        <v/>
      </c>
      <c r="D382" s="150" t="str">
        <f ca="1">IFERROR(VLOOKUP(C382,'Шаг1.Выбор плиты'!C:G,5,0),"")</f>
        <v/>
      </c>
      <c r="E382" s="147" t="str">
        <f ca="1">IFERROR(IFERROR(IF(VLOOKUP($A382,'Шаг2.Бланк заказа NEW'!$B$17:$N$201,2,0)="","",VLOOKUP($A382,'Шаг2.Бланк заказа NEW'!$B$17:$N$201,2,0)),
IF(VLOOKUP($A382-COUNT('Шаг2.Бланк заказа NEW'!$B$19:$B$201),'Бланк OLD 0.8 04'!$B$12:$K$200,2,0)="","",VLOOKUP($A382-COUNT('Шаг2.Бланк заказа NEW'!$B$19:$B$201),'Бланк OLD 0.8 04'!$B$12:$K$200,2,0))),
IF(VLOOKUP($A382-COUNT('Шаг2.Бланк заказа NEW'!$B$19:$B$201)-COUNT('Бланк OLD 0.8 04'!$B$18:$B$200),'Бланк OLD 2.0 04 '!$B$16:$K$200,2,0)="","",VLOOKUP($A382-COUNT('Шаг2.Бланк заказа NEW'!$B$19:$B$201)-COUNT('Бланк OLD 0.8 04'!$B$18:$B$200),'Бланк OLD 2.0 04 '!$B$16:$K$200,2,0)))</f>
        <v/>
      </c>
      <c r="F382" s="147" t="str">
        <f ca="1">IFERROR(IFERROR(IF(VLOOKUP($A382,'Шаг2.Бланк заказа NEW'!$B$17:$N$201,3,0)="","",VLOOKUP($A382,'Шаг2.Бланк заказа NEW'!$B$17:$N$201,3,0)),
IF(VLOOKUP($A382-COUNT('Шаг2.Бланк заказа NEW'!$B$19:$B$201),'Бланк OLD 0.8 04'!$B$12:$K$200,3,0)="","",VLOOKUP($A382-COUNT('Шаг2.Бланк заказа NEW'!$B$19:$B$201),'Бланк OLD 0.8 04'!$B$12:$K$200,3,0))),
IF(VLOOKUP($A382-COUNT('Шаг2.Бланк заказа NEW'!$B$19:$B$201)-COUNT('Бланк OLD 0.8 04'!$B$18:$B$200),'Бланк OLD 2.0 04 '!$B$16:$K$200,3,0)="","",VLOOKUP($A382-COUNT('Шаг2.Бланк заказа NEW'!$B$19:$B$201)-COUNT('Бланк OLD 0.8 04'!$B$18:$B$200),'Бланк OLD 2.0 04 '!$B$16:$K$200,3,0)))</f>
        <v/>
      </c>
      <c r="G382" s="176" t="str">
        <f ca="1">IF(IF(R382="","",IF(R382=1,SUMIFS('Шаг1.Выбор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плиты'!C:Q,12,0)),1))))))=0,
R382,
IF(R382="","",IF(R382=1,SUMIFS('Шаг1.Выбор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плиты'!N:N,R382,'Шаг1.Выбор плиты'!M:M,SMALL(INDIRECT("мм"&amp;VLOOKUP(C382,'Шаг1.Выбор плиты'!C:Q,12,0)),1)))))))</f>
        <v/>
      </c>
      <c r="H382" s="177" t="str">
        <f ca="1">IF(IF(S382="","",IF(S382=1,SUMIFS('Шаг1.Выбор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плиты'!C:Q,12,0)),1))))))=0,
S382,
IF(S382="","",IF(S382=1,SUMIFS('Шаг1.Выбор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плиты'!N:N,S382,'Шаг1.Выбор плиты'!M:M,SMALL(INDIRECT("мм"&amp;VLOOKUP(C382,'Шаг1.Выбор плиты'!C:Q,12,0)),1)))))))</f>
        <v/>
      </c>
      <c r="I382" s="147" t="str">
        <f ca="1">IFERROR(IFERROR(IF(VLOOKUP($A382,'Шаг2.Бланк заказа NEW'!$B$17:$N$201,6,0)="","",VLOOKUP($A382,'Шаг2.Бланк заказа NEW'!$B$17:$N$201,6,0)),
IF(VLOOKUP($A382-COUNT('Шаг2.Бланк заказа NEW'!$B$19:$B$201),'Бланк OLD 0.8 04'!$B$12:$K$200,6,0)="","",VLOOKUP($A382-COUNT('Шаг2.Бланк заказа NEW'!$B$19:$B$201),'Бланк OLD 0.8 04'!$B$12:$K$200,6,0))),
IF(VLOOKUP($A382-COUNT('Шаг2.Бланк заказа NEW'!$B$19:$B$201)-COUNT('Бланк OLD 0.8 04'!$B$18:$B$200),'Бланк OLD 2.0 04 '!$B$16:$K$200,6,0)="","",VLOOKUP($A382-COUNT('Шаг2.Бланк заказа NEW'!$B$19:$B$201)-COUNT('Бланк OLD 0.8 04'!$B$18:$B$200),'Бланк OLD 2.0 04 '!$B$16:$K$200,6,0)))</f>
        <v/>
      </c>
      <c r="J382" s="177" t="str">
        <f ca="1">IF(IF(T382="","",IF(T382=1,SUMIFS('Шаг1.Выбор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плиты'!C:Q,12,0)),1))))))=0,
T382,
IF(T382="","",IF(T382=1,SUMIFS('Шаг1.Выбор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плиты'!N:N,T382,'Шаг1.Выбор плиты'!M:M,SMALL(INDIRECT("мм"&amp;VLOOKUP(C382,'Шаг1.Выбор плиты'!C:Q,12,0)),1)))))))</f>
        <v/>
      </c>
      <c r="K382" s="177" t="str">
        <f ca="1">IF(IF(U382="","",IF(U382=1,SUMIFS('Шаг1.Выбор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плиты'!C:Q,12,0)),1))))))=0,
U382,
IF(U382="","",IF(U382=1,SUMIFS('Шаг1.Выбор плиты'!$G:$G,'Шаг1.Выбор плиты'!J:J,"*"&amp;RIGHT(VLOOKUP(C382,'Шаг1.Выбор плиты'!C:Q,8,0),4),'Шаг1.Выбор плиты'!L:L,IF(MID(C382,1,6)="ЛДСП P","TM"&amp;MID(VLOOKUP(C382,'Шаг1.Выбор плиты'!C:Q,10,0),3,2),MID(VLOOKUP(C382,'Шаг1.Выбор плиты'!C:Q,10,0),1,2)),
'Шаг1.Выбор плиты'!N:N,1),IF(SUMIFS('Шаг1.Выбор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плиты'!C:Q,12,0)),1))=0,
IF(SUMIFS('Шаг1.Выбор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плиты'!C:Q,12,0)),2))=0,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плиты'!C:Q,12,0)),3)),
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плиты'!C:Q,12,0)),2))),
(SUMIFS('Шаг1.Выбор плиты'!$G:$G,'Шаг1.Выбор плиты'!J:J,"*"&amp;RIGHT(VLOOKUP(C382,'Шаг1.Выбор плиты'!C:Q,8,0),4),'Шаг1.Выбор плиты'!L:L,VLOOKUP(C382,'Шаг1.Выбор плиты'!C:Q,10,0),'Шаг1.Выбор плиты'!N:N,U382,'Шаг1.Выбор плиты'!M:M,SMALL(INDIRECT("мм"&amp;VLOOKUP(C382,'Шаг1.Выбор плиты'!C:Q,12,0)),1)))))))</f>
        <v/>
      </c>
      <c r="L382" s="147" t="str">
        <f ca="1">IFERROR(IFERROR(IF(VLOOKUP($A382,'Шаг2.Бланк заказа NEW'!$B$17:$N$201,9,0)="","",VLOOKUP($A382,'Шаг2.Бланк заказа NEW'!$B$17:$N$201,9,0)),
IF(VLOOKUP($A382-COUNT('Шаг2.Бланк заказа NEW'!$B$19:$B$201),'Бланк OLD 0.8 04'!$B$12:$K$200,9,0)="","",VLOOKUP($A382-COUNT('Шаг2.Бланк заказа NEW'!$B$19:$B$201),'Бланк OLD 0.8 04'!$B$12:$K$200,9,0))),
IF(VLOOKUP($A382-COUNT('Шаг2.Бланк заказа NEW'!$B$19:$B$201)-COUNT('Бланк OLD 0.8 04'!$B$18:$B$200),'Бланк OLD 2.0 04 '!$B$16:$K$200,9,0)="","",VLOOKUP($A382-COUNT('Шаг2.Бланк заказа NEW'!$B$19:$B$201)-COUNT('Бланк OLD 0.8 04'!$B$18:$B$200),'Бланк OLD 2.0 04 '!$B$16:$K$200,9,0)))</f>
        <v/>
      </c>
      <c r="M382" s="154" t="str">
        <f t="shared" ca="1" si="36"/>
        <v/>
      </c>
      <c r="N382" s="153" t="str">
        <f ca="1">IFERROR(IF(VLOOKUP($A382,'Шаг2.Бланк заказа NEW'!$B$17:$N$201,11,0)="","",VLOOKUP($A382,'Шаг2.Бланк заказа NEW'!$B$17:$N$201,11,0)),
"Нет")</f>
        <v/>
      </c>
      <c r="O382" s="147" t="str">
        <f ca="1">IFERROR(IF(VLOOKUP($A382,'Шаг2.Бланк заказа NEW'!$B$17:$N$201,11,0)="","",VLOOKUP($A382,'Шаг2.Бланк заказа NEW'!$B$17:$N$201,12,0)),
"Нет")</f>
        <v/>
      </c>
      <c r="P382" s="153" t="str">
        <f ca="1">IFERROR(IF(VLOOKUP($A382,'Шаг2.Бланк заказа NEW'!$B$17:$N$201,13,0)="","",VLOOKUP($A382,'Шаг2.Бланк заказа NEW'!$B$17:$N$201,13,0)),
"Нет")</f>
        <v/>
      </c>
      <c r="Q382" s="147" t="str">
        <f ca="1">IFERROR(IF(VLOOKUP($A382,'Шаг2.Бланк заказа NEW'!$B$17:$O$201,14,0)="","",VLOOKUP($A382,'Шаг2.Бланк заказа NEW'!$B$17:$O$201,14,0)),"")</f>
        <v/>
      </c>
      <c r="R382" s="147" t="str">
        <f ca="1">IFERROR(IFERROR(IF(VLOOKUP($A382,'Шаг2.Бланк заказа NEW'!$B$17:$N$201,4,0)="","",VLOOKUP($A382,'Шаг2.Бланк заказа NEW'!$B$17:$N$201,4,0)),
IF(VLOOKUP($A382-COUNT('Шаг2.Бланк заказа NEW'!$B$19:$B$201),'Бланк OLD 0.8 04'!$B$12:$K$200,4,0)&gt;0,0.8,
IF(VLOOKUP($A382-COUNT('Шаг2.Бланк заказа NEW'!$B$19:$B$201),'Бланк OLD 0.8 04'!$B$12:$K$200,5,0)&gt;0,0.4,""))),
IF(VLOOKUP($A382-COUNT('Шаг2.Бланк заказа NEW'!$B$19:$B$201)-COUNT('Бланк OLD 0.8 04'!$B$18:$B$200),'Бланк OLD 2.0 04 '!$B$16:$K$200,4,0)&gt;0,2,IF(VLOOKUP($A382-COUNT('Шаг2.Бланк заказа NEW'!$B$19:$B$201)-COUNT('Бланк OLD 0.8 04'!$B$18:$B$200),'Бланк OLD 2.0 04 '!$B$16:$K$200,5,0)&gt;0,0.4,"")))</f>
        <v/>
      </c>
      <c r="S382" s="147" t="str">
        <f ca="1">IFERROR(IFERROR(IF(VLOOKUP($A382,'Шаг2.Бланк заказа NEW'!$B$17:$N$201,5,0)="","",VLOOKUP($A382,'Шаг2.Бланк заказа NEW'!$B$17:$N$201,5,0)),
IF(VLOOKUP($A382-COUNT('Шаг2.Бланк заказа NEW'!$B$19:$B$201),'Бланк OLD 0.8 04'!$B$12:$K$200,4,0)&gt;1,0.8,
IF(VLOOKUP($A382-COUNT('Шаг2.Бланк заказа NEW'!$B$19:$B$201),'Бланк OLD 0.8 04'!$B$12:$K$200,5,0)&gt;1,0.4,
IF(AND(VLOOKUP($A382-COUNT('Шаг2.Бланк заказа NEW'!$B$19:$B$201),'Бланк OLD 0.8 04'!$B$12:$K$200,4,0)&gt;0,VLOOKUP($A382-COUNT('Шаг2.Бланк заказа NEW'!$B$19:$B$201),'Бланк OLD 0.8 04'!$B$12:$K$200,5,0)&gt;0),0.4,"")))),
IF(VLOOKUP($A382-COUNT('Шаг2.Бланк заказа NEW'!$B$19:$B$201)-COUNT('Бланк OLD 0.8 04'!$B$18:$B$200),'Бланк OLD 2.0 04 '!$B$16:$K$200,4,0)&gt;1,2,
IF(VLOOKUP($A382-COUNT('Шаг2.Бланк заказа NEW'!$B$19:$B$201)-COUNT('Бланк OLD 0.8 04'!$B$18:$B$200),'Бланк OLD 2.0 04 '!$B$16:$K$200,5,0)&gt;1,0.4,IF(AND(VLOOKUP($A382-COUNT('Шаг2.Бланк заказа NEW'!$B$19:$B$201)-COUNT('Бланк OLD 0.8 04'!$B$18:$B$200),'Бланк OLD 2.0 04 '!$B$16:$K$200,4,0)&gt;0,VLOOKUP($A382-COUNT('Шаг2.Бланк заказа NEW'!$B$19:$B$201)-COUNT('Бланк OLD 0.8 04'!$B$18:$B$200),'Бланк OLD 2.0 04 '!$B$16:$K$200,5,0)&gt;0),0.4,""))))</f>
        <v/>
      </c>
      <c r="T382" s="147" t="str">
        <f ca="1">IFERROR(IFERROR(IF(VLOOKUP($A382,'Шаг2.Бланк заказа NEW'!$B$17:$N$201,7,0)="","",VLOOKUP($A382,'Шаг2.Бланк заказа NEW'!$B$17:$N$201,7,0)),
IF(VLOOKUP($A382-COUNT('Шаг2.Бланк заказа NEW'!$B$19:$B$201),'Бланк OLD 0.8 04'!$B$12:$K$200,7,0)&gt;0,0.8,
IF(VLOOKUP($A382-COUNT('Шаг2.Бланк заказа NEW'!$B$19:$B$201),'Бланк OLD 0.8 04'!$B$12:$K$200,8,0)&gt;0,0.4,""))),
IF(VLOOKUP($A382-COUNT('Шаг2.Бланк заказа NEW'!$B$19:$B$201)-COUNT('Бланк OLD 0.8 04'!$B$18:$B$200),'Бланк OLD 2.0 04 '!$B$16:$K$200,7,0)&gt;0,2,IF(VLOOKUP($A382-COUNT('Шаг2.Бланк заказа NEW'!$B$19:$B$201)-COUNT('Бланк OLD 0.8 04'!$B$18:$B$200),'Бланк OLD 2.0 04 '!$B$16:$K$200,8,0)&gt;0,0.4,"")))</f>
        <v/>
      </c>
      <c r="U382" s="147" t="str">
        <f ca="1">IFERROR(IFERROR(IF(VLOOKUP($A382,'Шаг2.Бланк заказа NEW'!$B$17:$N$201,8,0)="","",VLOOKUP($A382,'Шаг2.Бланк заказа NEW'!$B$17:$N$201,8,0)),
IF(VLOOKUP($A382-COUNT('Шаг2.Бланк заказа NEW'!$B$19:$B$201),'Бланк OLD 0.8 04'!$B$12:$K$200,7,0)&gt;1,0.8,
IF(VLOOKUP($A382-COUNT('Шаг2.Бланк заказа NEW'!$B$19:$B$201),'Бланк OLD 0.8 04'!$B$12:$K$200,8,0)&gt;1,0.4,
IF(AND(VLOOKUP($A382-COUNT('Шаг2.Бланк заказа NEW'!$B$19:$B$201),'Бланк OLD 0.8 04'!$B$12:$K$200,7,0)&gt;0,VLOOKUP($A382-COUNT('Шаг2.Бланк заказа NEW'!$B$19:$B$201),'Бланк OLD 0.8 04'!$B$12:$K$200,8,0)&gt;0),0.4,"")))),
IF(VLOOKUP($A382-COUNT('Шаг2.Бланк заказа NEW'!$B$19:$B$201)-COUNT('Бланк OLD 0.8 04'!$B$18:$B$200),'Бланк OLD 2.0 04 '!$B$16:$K$200,7,0)&gt;1,2,
IF(VLOOKUP($A382-COUNT('Шаг2.Бланк заказа NEW'!$B$19:$B$201)-COUNT('Бланк OLD 0.8 04'!$B$18:$B$200),'Бланк OLD 2.0 04 '!$B$16:$K$200,8,0)&gt;1,0.4,
IF(AND(VLOOKUP($A382-COUNT('Шаг2.Бланк заказа NEW'!$B$19:$B$201)-COUNT('Бланк OLD 0.8 04'!$B$18:$B$200),'Бланк OLD 2.0 04 '!$B$16:$K$200,7,0)&gt;0,VLOOKUP($A382-COUNT('Шаг2.Бланк заказа NEW'!$B$19:$B$201)-COUNT('Бланк OLD 0.8 04'!$B$18:$B$200),'Бланк OLD 2.0 04 '!$B$16:$K$200,8,0)&gt;0),0.4,""))))</f>
        <v/>
      </c>
      <c r="V382" s="146" t="str">
        <f ca="1">IFERROR(VLOOKUP(C382,'Шаг1.Выбор плиты'!C:S,12,0),"")</f>
        <v/>
      </c>
      <c r="W382" s="146" t="str">
        <f ca="1">IFERROR(VLOOKUP(C382,'Шаг1.Выбор плиты'!C:S,8,0),"")</f>
        <v/>
      </c>
      <c r="X382" s="146" t="str">
        <f ca="1">IFERROR(VLOOKUP(C382,'Шаг1.Выбор плиты'!C:S,10,0),"")</f>
        <v/>
      </c>
      <c r="Y382" s="147" t="str">
        <f t="shared" ca="1" si="28"/>
        <v/>
      </c>
      <c r="AD382" s="147" t="str">
        <f t="shared" ca="1" si="37"/>
        <v/>
      </c>
      <c r="AE382" s="147" t="str">
        <f t="shared" ca="1" si="29"/>
        <v/>
      </c>
      <c r="AF382" s="25"/>
      <c r="AH382" s="147" t="str">
        <f ca="1">IF(C382="","",VLOOKUP(C382,'Шаг1.Выбор плиты'!C:Q,7,0))</f>
        <v/>
      </c>
      <c r="AI382" s="147" t="str">
        <f t="shared" ca="1" si="38"/>
        <v/>
      </c>
    </row>
    <row r="383" spans="1:35" x14ac:dyDescent="0.2">
      <c r="A383" s="151" t="str">
        <f ca="1">IF(C383="","",MAX($A$1:OFFSET(C383,-1,0))+1)</f>
        <v/>
      </c>
      <c r="B383" s="151" t="str">
        <f ca="1">IFERROR(IFERROR(IFERROR("Шаг2.Бланк заказа NEW №"&amp;VLOOKUP(A382+1,CHOOSE({1,2},'Шаг2.Бланк заказа NEW'!$B$19:$B$201,'Шаг2.Бланк заказа NEW'!$A$19:$A$201),1,0),
"Бланк OLD 0.8 04 №"&amp;VLOOKUP(A382+1-COUNT('Шаг2.Бланк заказа NEW'!$B$19:$B$201),CHOOSE({1,2},'Бланк OLD 0.8 04'!$B$18:$B$200,'Бланк OLD 0.8 04'!$A$18:$A$200),1,0)),
"Бланк OLD 2.0 04 №"&amp;VLOOKUP(A382+1-COUNT('Шаг2.Бланк заказа NEW'!$B$19:$B$201)-COUNT('Бланк OLD 0.8 04'!$B$18:$B$200),CHOOSE({1,2},'Бланк OLD 2.0 04 '!$B$18:$B$200,'Бланк OLD 2.0 04 '!$A$18:$A$200),1,0)),"")</f>
        <v/>
      </c>
      <c r="C383" s="152" t="str">
        <f ca="1">IFERROR(IFERROR(IFERROR(VLOOKUP(A382+1,CHOOSE({1,2},'Шаг2.Бланк заказа NEW'!$B$19:$B$201,'Шаг2.Бланк заказа NEW'!$A$19:$A$201),2,0),
VLOOKUP(A382+1-COUNT('Шаг2.Бланк заказа NEW'!$B$19:$B$201),CHOOSE({1,2},'Бланк OLD 0.8 04'!$B$18:$B$200,'Бланк OLD 0.8 04'!$A$18:$A$200),2,0)),
VLOOKUP(A382+1-COUNT('Шаг2.Бланк заказа NEW'!$B$19:$B$201)-COUNT('Бланк OLD 0.8 04'!$B$18:$B$200),CHOOSE({1,2},'Бланк OLD 2.0 04 '!$B$18:$B$200,'Бланк OLD 2.0 04 '!$A$18:$A$200),2,0)),"")</f>
        <v/>
      </c>
      <c r="D383" s="150" t="str">
        <f ca="1">IFERROR(VLOOKUP(C383,'Шаг1.Выбор плиты'!C:G,5,0),"")</f>
        <v/>
      </c>
      <c r="E383" s="147" t="str">
        <f ca="1">IFERROR(IFERROR(IF(VLOOKUP($A383,'Шаг2.Бланк заказа NEW'!$B$17:$N$201,2,0)="","",VLOOKUP($A383,'Шаг2.Бланк заказа NEW'!$B$17:$N$201,2,0)),
IF(VLOOKUP($A383-COUNT('Шаг2.Бланк заказа NEW'!$B$19:$B$201),'Бланк OLD 0.8 04'!$B$12:$K$200,2,0)="","",VLOOKUP($A383-COUNT('Шаг2.Бланк заказа NEW'!$B$19:$B$201),'Бланк OLD 0.8 04'!$B$12:$K$200,2,0))),
IF(VLOOKUP($A383-COUNT('Шаг2.Бланк заказа NEW'!$B$19:$B$201)-COUNT('Бланк OLD 0.8 04'!$B$18:$B$200),'Бланк OLD 2.0 04 '!$B$16:$K$200,2,0)="","",VLOOKUP($A383-COUNT('Шаг2.Бланк заказа NEW'!$B$19:$B$201)-COUNT('Бланк OLD 0.8 04'!$B$18:$B$200),'Бланк OLD 2.0 04 '!$B$16:$K$200,2,0)))</f>
        <v/>
      </c>
      <c r="F383" s="147" t="str">
        <f ca="1">IFERROR(IFERROR(IF(VLOOKUP($A383,'Шаг2.Бланк заказа NEW'!$B$17:$N$201,3,0)="","",VLOOKUP($A383,'Шаг2.Бланк заказа NEW'!$B$17:$N$201,3,0)),
IF(VLOOKUP($A383-COUNT('Шаг2.Бланк заказа NEW'!$B$19:$B$201),'Бланк OLD 0.8 04'!$B$12:$K$200,3,0)="","",VLOOKUP($A383-COUNT('Шаг2.Бланк заказа NEW'!$B$19:$B$201),'Бланк OLD 0.8 04'!$B$12:$K$200,3,0))),
IF(VLOOKUP($A383-COUNT('Шаг2.Бланк заказа NEW'!$B$19:$B$201)-COUNT('Бланк OLD 0.8 04'!$B$18:$B$200),'Бланк OLD 2.0 04 '!$B$16:$K$200,3,0)="","",VLOOKUP($A383-COUNT('Шаг2.Бланк заказа NEW'!$B$19:$B$201)-COUNT('Бланк OLD 0.8 04'!$B$18:$B$200),'Бланк OLD 2.0 04 '!$B$16:$K$200,3,0)))</f>
        <v/>
      </c>
      <c r="G383" s="176" t="str">
        <f ca="1">IF(IF(R383="","",IF(R383=1,SUMIFS('Шаг1.Выбор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плиты'!C:Q,12,0)),1))))))=0,
R383,
IF(R383="","",IF(R383=1,SUMIFS('Шаг1.Выбор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плиты'!N:N,R383,'Шаг1.Выбор плиты'!M:M,SMALL(INDIRECT("мм"&amp;VLOOKUP(C383,'Шаг1.Выбор плиты'!C:Q,12,0)),1)))))))</f>
        <v/>
      </c>
      <c r="H383" s="177" t="str">
        <f ca="1">IF(IF(S383="","",IF(S383=1,SUMIFS('Шаг1.Выбор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плиты'!C:Q,12,0)),1))))))=0,
S383,
IF(S383="","",IF(S383=1,SUMIFS('Шаг1.Выбор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плиты'!N:N,S383,'Шаг1.Выбор плиты'!M:M,SMALL(INDIRECT("мм"&amp;VLOOKUP(C383,'Шаг1.Выбор плиты'!C:Q,12,0)),1)))))))</f>
        <v/>
      </c>
      <c r="I383" s="147" t="str">
        <f ca="1">IFERROR(IFERROR(IF(VLOOKUP($A383,'Шаг2.Бланк заказа NEW'!$B$17:$N$201,6,0)="","",VLOOKUP($A383,'Шаг2.Бланк заказа NEW'!$B$17:$N$201,6,0)),
IF(VLOOKUP($A383-COUNT('Шаг2.Бланк заказа NEW'!$B$19:$B$201),'Бланк OLD 0.8 04'!$B$12:$K$200,6,0)="","",VLOOKUP($A383-COUNT('Шаг2.Бланк заказа NEW'!$B$19:$B$201),'Бланк OLD 0.8 04'!$B$12:$K$200,6,0))),
IF(VLOOKUP($A383-COUNT('Шаг2.Бланк заказа NEW'!$B$19:$B$201)-COUNT('Бланк OLD 0.8 04'!$B$18:$B$200),'Бланк OLD 2.0 04 '!$B$16:$K$200,6,0)="","",VLOOKUP($A383-COUNT('Шаг2.Бланк заказа NEW'!$B$19:$B$201)-COUNT('Бланк OLD 0.8 04'!$B$18:$B$200),'Бланк OLD 2.0 04 '!$B$16:$K$200,6,0)))</f>
        <v/>
      </c>
      <c r="J383" s="177" t="str">
        <f ca="1">IF(IF(T383="","",IF(T383=1,SUMIFS('Шаг1.Выбор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плиты'!C:Q,12,0)),1))))))=0,
T383,
IF(T383="","",IF(T383=1,SUMIFS('Шаг1.Выбор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плиты'!N:N,T383,'Шаг1.Выбор плиты'!M:M,SMALL(INDIRECT("мм"&amp;VLOOKUP(C383,'Шаг1.Выбор плиты'!C:Q,12,0)),1)))))))</f>
        <v/>
      </c>
      <c r="K383" s="177" t="str">
        <f ca="1">IF(IF(U383="","",IF(U383=1,SUMIFS('Шаг1.Выбор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плиты'!C:Q,12,0)),1))))))=0,
U383,
IF(U383="","",IF(U383=1,SUMIFS('Шаг1.Выбор плиты'!$G:$G,'Шаг1.Выбор плиты'!J:J,"*"&amp;RIGHT(VLOOKUP(C383,'Шаг1.Выбор плиты'!C:Q,8,0),4),'Шаг1.Выбор плиты'!L:L,IF(MID(C383,1,6)="ЛДСП P","TM"&amp;MID(VLOOKUP(C383,'Шаг1.Выбор плиты'!C:Q,10,0),3,2),MID(VLOOKUP(C383,'Шаг1.Выбор плиты'!C:Q,10,0),1,2)),
'Шаг1.Выбор плиты'!N:N,1),IF(SUMIFS('Шаг1.Выбор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плиты'!C:Q,12,0)),1))=0,
IF(SUMIFS('Шаг1.Выбор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плиты'!C:Q,12,0)),2))=0,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плиты'!C:Q,12,0)),3)),
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плиты'!C:Q,12,0)),2))),
(SUMIFS('Шаг1.Выбор плиты'!$G:$G,'Шаг1.Выбор плиты'!J:J,"*"&amp;RIGHT(VLOOKUP(C383,'Шаг1.Выбор плиты'!C:Q,8,0),4),'Шаг1.Выбор плиты'!L:L,VLOOKUP(C383,'Шаг1.Выбор плиты'!C:Q,10,0),'Шаг1.Выбор плиты'!N:N,U383,'Шаг1.Выбор плиты'!M:M,SMALL(INDIRECT("мм"&amp;VLOOKUP(C383,'Шаг1.Выбор плиты'!C:Q,12,0)),1)))))))</f>
        <v/>
      </c>
      <c r="L383" s="147" t="str">
        <f ca="1">IFERROR(IFERROR(IF(VLOOKUP($A383,'Шаг2.Бланк заказа NEW'!$B$17:$N$201,9,0)="","",VLOOKUP($A383,'Шаг2.Бланк заказа NEW'!$B$17:$N$201,9,0)),
IF(VLOOKUP($A383-COUNT('Шаг2.Бланк заказа NEW'!$B$19:$B$201),'Бланк OLD 0.8 04'!$B$12:$K$200,9,0)="","",VLOOKUP($A383-COUNT('Шаг2.Бланк заказа NEW'!$B$19:$B$201),'Бланк OLD 0.8 04'!$B$12:$K$200,9,0))),
IF(VLOOKUP($A383-COUNT('Шаг2.Бланк заказа NEW'!$B$19:$B$201)-COUNT('Бланк OLD 0.8 04'!$B$18:$B$200),'Бланк OLD 2.0 04 '!$B$16:$K$200,9,0)="","",VLOOKUP($A383-COUNT('Шаг2.Бланк заказа NEW'!$B$19:$B$201)-COUNT('Бланк OLD 0.8 04'!$B$18:$B$200),'Бланк OLD 2.0 04 '!$B$16:$K$200,9,0)))</f>
        <v/>
      </c>
      <c r="M383" s="154" t="str">
        <f t="shared" ca="1" si="36"/>
        <v/>
      </c>
      <c r="N383" s="153" t="str">
        <f ca="1">IFERROR(IF(VLOOKUP($A383,'Шаг2.Бланк заказа NEW'!$B$17:$N$201,11,0)="","",VLOOKUP($A383,'Шаг2.Бланк заказа NEW'!$B$17:$N$201,11,0)),
"Нет")</f>
        <v/>
      </c>
      <c r="O383" s="147" t="str">
        <f ca="1">IFERROR(IF(VLOOKUP($A383,'Шаг2.Бланк заказа NEW'!$B$17:$N$201,11,0)="","",VLOOKUP($A383,'Шаг2.Бланк заказа NEW'!$B$17:$N$201,12,0)),
"Нет")</f>
        <v/>
      </c>
      <c r="P383" s="153" t="str">
        <f ca="1">IFERROR(IF(VLOOKUP($A383,'Шаг2.Бланк заказа NEW'!$B$17:$N$201,13,0)="","",VLOOKUP($A383,'Шаг2.Бланк заказа NEW'!$B$17:$N$201,13,0)),
"Нет")</f>
        <v/>
      </c>
      <c r="Q383" s="147" t="str">
        <f ca="1">IFERROR(IF(VLOOKUP($A383,'Шаг2.Бланк заказа NEW'!$B$17:$O$201,14,0)="","",VLOOKUP($A383,'Шаг2.Бланк заказа NEW'!$B$17:$O$201,14,0)),"")</f>
        <v/>
      </c>
      <c r="R383" s="147" t="str">
        <f ca="1">IFERROR(IFERROR(IF(VLOOKUP($A383,'Шаг2.Бланк заказа NEW'!$B$17:$N$201,4,0)="","",VLOOKUP($A383,'Шаг2.Бланк заказа NEW'!$B$17:$N$201,4,0)),
IF(VLOOKUP($A383-COUNT('Шаг2.Бланк заказа NEW'!$B$19:$B$201),'Бланк OLD 0.8 04'!$B$12:$K$200,4,0)&gt;0,0.8,
IF(VLOOKUP($A383-COUNT('Шаг2.Бланк заказа NEW'!$B$19:$B$201),'Бланк OLD 0.8 04'!$B$12:$K$200,5,0)&gt;0,0.4,""))),
IF(VLOOKUP($A383-COUNT('Шаг2.Бланк заказа NEW'!$B$19:$B$201)-COUNT('Бланк OLD 0.8 04'!$B$18:$B$200),'Бланк OLD 2.0 04 '!$B$16:$K$200,4,0)&gt;0,2,IF(VLOOKUP($A383-COUNT('Шаг2.Бланк заказа NEW'!$B$19:$B$201)-COUNT('Бланк OLD 0.8 04'!$B$18:$B$200),'Бланк OLD 2.0 04 '!$B$16:$K$200,5,0)&gt;0,0.4,"")))</f>
        <v/>
      </c>
      <c r="S383" s="147" t="str">
        <f ca="1">IFERROR(IFERROR(IF(VLOOKUP($A383,'Шаг2.Бланк заказа NEW'!$B$17:$N$201,5,0)="","",VLOOKUP($A383,'Шаг2.Бланк заказа NEW'!$B$17:$N$201,5,0)),
IF(VLOOKUP($A383-COUNT('Шаг2.Бланк заказа NEW'!$B$19:$B$201),'Бланк OLD 0.8 04'!$B$12:$K$200,4,0)&gt;1,0.8,
IF(VLOOKUP($A383-COUNT('Шаг2.Бланк заказа NEW'!$B$19:$B$201),'Бланк OLD 0.8 04'!$B$12:$K$200,5,0)&gt;1,0.4,
IF(AND(VLOOKUP($A383-COUNT('Шаг2.Бланк заказа NEW'!$B$19:$B$201),'Бланк OLD 0.8 04'!$B$12:$K$200,4,0)&gt;0,VLOOKUP($A383-COUNT('Шаг2.Бланк заказа NEW'!$B$19:$B$201),'Бланк OLD 0.8 04'!$B$12:$K$200,5,0)&gt;0),0.4,"")))),
IF(VLOOKUP($A383-COUNT('Шаг2.Бланк заказа NEW'!$B$19:$B$201)-COUNT('Бланк OLD 0.8 04'!$B$18:$B$200),'Бланк OLD 2.0 04 '!$B$16:$K$200,4,0)&gt;1,2,
IF(VLOOKUP($A383-COUNT('Шаг2.Бланк заказа NEW'!$B$19:$B$201)-COUNT('Бланк OLD 0.8 04'!$B$18:$B$200),'Бланк OLD 2.0 04 '!$B$16:$K$200,5,0)&gt;1,0.4,IF(AND(VLOOKUP($A383-COUNT('Шаг2.Бланк заказа NEW'!$B$19:$B$201)-COUNT('Бланк OLD 0.8 04'!$B$18:$B$200),'Бланк OLD 2.0 04 '!$B$16:$K$200,4,0)&gt;0,VLOOKUP($A383-COUNT('Шаг2.Бланк заказа NEW'!$B$19:$B$201)-COUNT('Бланк OLD 0.8 04'!$B$18:$B$200),'Бланк OLD 2.0 04 '!$B$16:$K$200,5,0)&gt;0),0.4,""))))</f>
        <v/>
      </c>
      <c r="T383" s="147" t="str">
        <f ca="1">IFERROR(IFERROR(IF(VLOOKUP($A383,'Шаг2.Бланк заказа NEW'!$B$17:$N$201,7,0)="","",VLOOKUP($A383,'Шаг2.Бланк заказа NEW'!$B$17:$N$201,7,0)),
IF(VLOOKUP($A383-COUNT('Шаг2.Бланк заказа NEW'!$B$19:$B$201),'Бланк OLD 0.8 04'!$B$12:$K$200,7,0)&gt;0,0.8,
IF(VLOOKUP($A383-COUNT('Шаг2.Бланк заказа NEW'!$B$19:$B$201),'Бланк OLD 0.8 04'!$B$12:$K$200,8,0)&gt;0,0.4,""))),
IF(VLOOKUP($A383-COUNT('Шаг2.Бланк заказа NEW'!$B$19:$B$201)-COUNT('Бланк OLD 0.8 04'!$B$18:$B$200),'Бланк OLD 2.0 04 '!$B$16:$K$200,7,0)&gt;0,2,IF(VLOOKUP($A383-COUNT('Шаг2.Бланк заказа NEW'!$B$19:$B$201)-COUNT('Бланк OLD 0.8 04'!$B$18:$B$200),'Бланк OLD 2.0 04 '!$B$16:$K$200,8,0)&gt;0,0.4,"")))</f>
        <v/>
      </c>
      <c r="U383" s="147" t="str">
        <f ca="1">IFERROR(IFERROR(IF(VLOOKUP($A383,'Шаг2.Бланк заказа NEW'!$B$17:$N$201,8,0)="","",VLOOKUP($A383,'Шаг2.Бланк заказа NEW'!$B$17:$N$201,8,0)),
IF(VLOOKUP($A383-COUNT('Шаг2.Бланк заказа NEW'!$B$19:$B$201),'Бланк OLD 0.8 04'!$B$12:$K$200,7,0)&gt;1,0.8,
IF(VLOOKUP($A383-COUNT('Шаг2.Бланк заказа NEW'!$B$19:$B$201),'Бланк OLD 0.8 04'!$B$12:$K$200,8,0)&gt;1,0.4,
IF(AND(VLOOKUP($A383-COUNT('Шаг2.Бланк заказа NEW'!$B$19:$B$201),'Бланк OLD 0.8 04'!$B$12:$K$200,7,0)&gt;0,VLOOKUP($A383-COUNT('Шаг2.Бланк заказа NEW'!$B$19:$B$201),'Бланк OLD 0.8 04'!$B$12:$K$200,8,0)&gt;0),0.4,"")))),
IF(VLOOKUP($A383-COUNT('Шаг2.Бланк заказа NEW'!$B$19:$B$201)-COUNT('Бланк OLD 0.8 04'!$B$18:$B$200),'Бланк OLD 2.0 04 '!$B$16:$K$200,7,0)&gt;1,2,
IF(VLOOKUP($A383-COUNT('Шаг2.Бланк заказа NEW'!$B$19:$B$201)-COUNT('Бланк OLD 0.8 04'!$B$18:$B$200),'Бланк OLD 2.0 04 '!$B$16:$K$200,8,0)&gt;1,0.4,
IF(AND(VLOOKUP($A383-COUNT('Шаг2.Бланк заказа NEW'!$B$19:$B$201)-COUNT('Бланк OLD 0.8 04'!$B$18:$B$200),'Бланк OLD 2.0 04 '!$B$16:$K$200,7,0)&gt;0,VLOOKUP($A383-COUNT('Шаг2.Бланк заказа NEW'!$B$19:$B$201)-COUNT('Бланк OLD 0.8 04'!$B$18:$B$200),'Бланк OLD 2.0 04 '!$B$16:$K$200,8,0)&gt;0),0.4,""))))</f>
        <v/>
      </c>
      <c r="V383" s="146" t="str">
        <f ca="1">IFERROR(VLOOKUP(C383,'Шаг1.Выбор плиты'!C:S,12,0),"")</f>
        <v/>
      </c>
      <c r="W383" s="146" t="str">
        <f ca="1">IFERROR(VLOOKUP(C383,'Шаг1.Выбор плиты'!C:S,8,0),"")</f>
        <v/>
      </c>
      <c r="X383" s="146" t="str">
        <f ca="1">IFERROR(VLOOKUP(C383,'Шаг1.Выбор плиты'!C:S,10,0),"")</f>
        <v/>
      </c>
      <c r="Y383" s="147" t="str">
        <f t="shared" ca="1" si="28"/>
        <v/>
      </c>
      <c r="AD383" s="147" t="str">
        <f t="shared" ca="1" si="37"/>
        <v/>
      </c>
      <c r="AE383" s="147" t="str">
        <f t="shared" ca="1" si="29"/>
        <v/>
      </c>
      <c r="AF383" s="25"/>
      <c r="AH383" s="147" t="str">
        <f ca="1">IF(C383="","",VLOOKUP(C383,'Шаг1.Выбор плиты'!C:Q,7,0))</f>
        <v/>
      </c>
      <c r="AI383" s="147" t="str">
        <f t="shared" ca="1" si="38"/>
        <v/>
      </c>
    </row>
    <row r="384" spans="1:35" x14ac:dyDescent="0.2">
      <c r="A384" s="151" t="str">
        <f ca="1">IF(C384="","",MAX($A$1:OFFSET(C384,-1,0))+1)</f>
        <v/>
      </c>
      <c r="B384" s="151" t="str">
        <f ca="1">IFERROR(IFERROR(IFERROR("Шаг2.Бланк заказа NEW №"&amp;VLOOKUP(A383+1,CHOOSE({1,2},'Шаг2.Бланк заказа NEW'!$B$19:$B$201,'Шаг2.Бланк заказа NEW'!$A$19:$A$201),1,0),
"Бланк OLD 0.8 04 №"&amp;VLOOKUP(A383+1-COUNT('Шаг2.Бланк заказа NEW'!$B$19:$B$201),CHOOSE({1,2},'Бланк OLD 0.8 04'!$B$18:$B$200,'Бланк OLD 0.8 04'!$A$18:$A$200),1,0)),
"Бланк OLD 2.0 04 №"&amp;VLOOKUP(A383+1-COUNT('Шаг2.Бланк заказа NEW'!$B$19:$B$201)-COUNT('Бланк OLD 0.8 04'!$B$18:$B$200),CHOOSE({1,2},'Бланк OLD 2.0 04 '!$B$18:$B$200,'Бланк OLD 2.0 04 '!$A$18:$A$200),1,0)),"")</f>
        <v/>
      </c>
      <c r="C384" s="152" t="str">
        <f ca="1">IFERROR(IFERROR(IFERROR(VLOOKUP(A383+1,CHOOSE({1,2},'Шаг2.Бланк заказа NEW'!$B$19:$B$201,'Шаг2.Бланк заказа NEW'!$A$19:$A$201),2,0),
VLOOKUP(A383+1-COUNT('Шаг2.Бланк заказа NEW'!$B$19:$B$201),CHOOSE({1,2},'Бланк OLD 0.8 04'!$B$18:$B$200,'Бланк OLD 0.8 04'!$A$18:$A$200),2,0)),
VLOOKUP(A383+1-COUNT('Шаг2.Бланк заказа NEW'!$B$19:$B$201)-COUNT('Бланк OLD 0.8 04'!$B$18:$B$200),CHOOSE({1,2},'Бланк OLD 2.0 04 '!$B$18:$B$200,'Бланк OLD 2.0 04 '!$A$18:$A$200),2,0)),"")</f>
        <v/>
      </c>
      <c r="D384" s="150" t="str">
        <f ca="1">IFERROR(VLOOKUP(C384,'Шаг1.Выбор плиты'!C:G,5,0),"")</f>
        <v/>
      </c>
      <c r="E384" s="147" t="str">
        <f ca="1">IFERROR(IFERROR(IF(VLOOKUP($A384,'Шаг2.Бланк заказа NEW'!$B$17:$N$201,2,0)="","",VLOOKUP($A384,'Шаг2.Бланк заказа NEW'!$B$17:$N$201,2,0)),
IF(VLOOKUP($A384-COUNT('Шаг2.Бланк заказа NEW'!$B$19:$B$201),'Бланк OLD 0.8 04'!$B$12:$K$200,2,0)="","",VLOOKUP($A384-COUNT('Шаг2.Бланк заказа NEW'!$B$19:$B$201),'Бланк OLD 0.8 04'!$B$12:$K$200,2,0))),
IF(VLOOKUP($A384-COUNT('Шаг2.Бланк заказа NEW'!$B$19:$B$201)-COUNT('Бланк OLD 0.8 04'!$B$18:$B$200),'Бланк OLD 2.0 04 '!$B$16:$K$200,2,0)="","",VLOOKUP($A384-COUNT('Шаг2.Бланк заказа NEW'!$B$19:$B$201)-COUNT('Бланк OLD 0.8 04'!$B$18:$B$200),'Бланк OLD 2.0 04 '!$B$16:$K$200,2,0)))</f>
        <v/>
      </c>
      <c r="F384" s="147" t="str">
        <f ca="1">IFERROR(IFERROR(IF(VLOOKUP($A384,'Шаг2.Бланк заказа NEW'!$B$17:$N$201,3,0)="","",VLOOKUP($A384,'Шаг2.Бланк заказа NEW'!$B$17:$N$201,3,0)),
IF(VLOOKUP($A384-COUNT('Шаг2.Бланк заказа NEW'!$B$19:$B$201),'Бланк OLD 0.8 04'!$B$12:$K$200,3,0)="","",VLOOKUP($A384-COUNT('Шаг2.Бланк заказа NEW'!$B$19:$B$201),'Бланк OLD 0.8 04'!$B$12:$K$200,3,0))),
IF(VLOOKUP($A384-COUNT('Шаг2.Бланк заказа NEW'!$B$19:$B$201)-COUNT('Бланк OLD 0.8 04'!$B$18:$B$200),'Бланк OLD 2.0 04 '!$B$16:$K$200,3,0)="","",VLOOKUP($A384-COUNT('Шаг2.Бланк заказа NEW'!$B$19:$B$201)-COUNT('Бланк OLD 0.8 04'!$B$18:$B$200),'Бланк OLD 2.0 04 '!$B$16:$K$200,3,0)))</f>
        <v/>
      </c>
      <c r="G384" s="176" t="str">
        <f ca="1">IF(IF(R384="","",IF(R384=1,SUMIFS('Шаг1.Выбор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плиты'!C:Q,12,0)),1))))))=0,
R384,
IF(R384="","",IF(R384=1,SUMIFS('Шаг1.Выбор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плиты'!N:N,R384,'Шаг1.Выбор плиты'!M:M,SMALL(INDIRECT("мм"&amp;VLOOKUP(C384,'Шаг1.Выбор плиты'!C:Q,12,0)),1)))))))</f>
        <v/>
      </c>
      <c r="H384" s="177" t="str">
        <f ca="1">IF(IF(S384="","",IF(S384=1,SUMIFS('Шаг1.Выбор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плиты'!C:Q,12,0)),1))))))=0,
S384,
IF(S384="","",IF(S384=1,SUMIFS('Шаг1.Выбор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плиты'!N:N,S384,'Шаг1.Выбор плиты'!M:M,SMALL(INDIRECT("мм"&amp;VLOOKUP(C384,'Шаг1.Выбор плиты'!C:Q,12,0)),1)))))))</f>
        <v/>
      </c>
      <c r="I384" s="147" t="str">
        <f ca="1">IFERROR(IFERROR(IF(VLOOKUP($A384,'Шаг2.Бланк заказа NEW'!$B$17:$N$201,6,0)="","",VLOOKUP($A384,'Шаг2.Бланк заказа NEW'!$B$17:$N$201,6,0)),
IF(VLOOKUP($A384-COUNT('Шаг2.Бланк заказа NEW'!$B$19:$B$201),'Бланк OLD 0.8 04'!$B$12:$K$200,6,0)="","",VLOOKUP($A384-COUNT('Шаг2.Бланк заказа NEW'!$B$19:$B$201),'Бланк OLD 0.8 04'!$B$12:$K$200,6,0))),
IF(VLOOKUP($A384-COUNT('Шаг2.Бланк заказа NEW'!$B$19:$B$201)-COUNT('Бланк OLD 0.8 04'!$B$18:$B$200),'Бланк OLD 2.0 04 '!$B$16:$K$200,6,0)="","",VLOOKUP($A384-COUNT('Шаг2.Бланк заказа NEW'!$B$19:$B$201)-COUNT('Бланк OLD 0.8 04'!$B$18:$B$200),'Бланк OLD 2.0 04 '!$B$16:$K$200,6,0)))</f>
        <v/>
      </c>
      <c r="J384" s="177" t="str">
        <f ca="1">IF(IF(T384="","",IF(T384=1,SUMIFS('Шаг1.Выбор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плиты'!C:Q,12,0)),1))))))=0,
T384,
IF(T384="","",IF(T384=1,SUMIFS('Шаг1.Выбор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плиты'!N:N,T384,'Шаг1.Выбор плиты'!M:M,SMALL(INDIRECT("мм"&amp;VLOOKUP(C384,'Шаг1.Выбор плиты'!C:Q,12,0)),1)))))))</f>
        <v/>
      </c>
      <c r="K384" s="177" t="str">
        <f ca="1">IF(IF(U384="","",IF(U384=1,SUMIFS('Шаг1.Выбор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плиты'!C:Q,12,0)),1))))))=0,
U384,
IF(U384="","",IF(U384=1,SUMIFS('Шаг1.Выбор плиты'!$G:$G,'Шаг1.Выбор плиты'!J:J,"*"&amp;RIGHT(VLOOKUP(C384,'Шаг1.Выбор плиты'!C:Q,8,0),4),'Шаг1.Выбор плиты'!L:L,IF(MID(C384,1,6)="ЛДСП P","TM"&amp;MID(VLOOKUP(C384,'Шаг1.Выбор плиты'!C:Q,10,0),3,2),MID(VLOOKUP(C384,'Шаг1.Выбор плиты'!C:Q,10,0),1,2)),
'Шаг1.Выбор плиты'!N:N,1),IF(SUMIFS('Шаг1.Выбор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плиты'!C:Q,12,0)),1))=0,
IF(SUMIFS('Шаг1.Выбор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плиты'!C:Q,12,0)),2))=0,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плиты'!C:Q,12,0)),3)),
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плиты'!C:Q,12,0)),2))),
(SUMIFS('Шаг1.Выбор плиты'!$G:$G,'Шаг1.Выбор плиты'!J:J,"*"&amp;RIGHT(VLOOKUP(C384,'Шаг1.Выбор плиты'!C:Q,8,0),4),'Шаг1.Выбор плиты'!L:L,VLOOKUP(C384,'Шаг1.Выбор плиты'!C:Q,10,0),'Шаг1.Выбор плиты'!N:N,U384,'Шаг1.Выбор плиты'!M:M,SMALL(INDIRECT("мм"&amp;VLOOKUP(C384,'Шаг1.Выбор плиты'!C:Q,12,0)),1)))))))</f>
        <v/>
      </c>
      <c r="L384" s="147" t="str">
        <f ca="1">IFERROR(IFERROR(IF(VLOOKUP($A384,'Шаг2.Бланк заказа NEW'!$B$17:$N$201,9,0)="","",VLOOKUP($A384,'Шаг2.Бланк заказа NEW'!$B$17:$N$201,9,0)),
IF(VLOOKUP($A384-COUNT('Шаг2.Бланк заказа NEW'!$B$19:$B$201),'Бланк OLD 0.8 04'!$B$12:$K$200,9,0)="","",VLOOKUP($A384-COUNT('Шаг2.Бланк заказа NEW'!$B$19:$B$201),'Бланк OLD 0.8 04'!$B$12:$K$200,9,0))),
IF(VLOOKUP($A384-COUNT('Шаг2.Бланк заказа NEW'!$B$19:$B$201)-COUNT('Бланк OLD 0.8 04'!$B$18:$B$200),'Бланк OLD 2.0 04 '!$B$16:$K$200,9,0)="","",VLOOKUP($A384-COUNT('Шаг2.Бланк заказа NEW'!$B$19:$B$201)-COUNT('Бланк OLD 0.8 04'!$B$18:$B$200),'Бланк OLD 2.0 04 '!$B$16:$K$200,9,0)))</f>
        <v/>
      </c>
      <c r="M384" s="154" t="str">
        <f t="shared" ca="1" si="36"/>
        <v/>
      </c>
      <c r="N384" s="153" t="str">
        <f ca="1">IFERROR(IF(VLOOKUP($A384,'Шаг2.Бланк заказа NEW'!$B$17:$N$201,11,0)="","",VLOOKUP($A384,'Шаг2.Бланк заказа NEW'!$B$17:$N$201,11,0)),
"Нет")</f>
        <v/>
      </c>
      <c r="O384" s="147" t="str">
        <f ca="1">IFERROR(IF(VLOOKUP($A384,'Шаг2.Бланк заказа NEW'!$B$17:$N$201,11,0)="","",VLOOKUP($A384,'Шаг2.Бланк заказа NEW'!$B$17:$N$201,12,0)),
"Нет")</f>
        <v/>
      </c>
      <c r="P384" s="153" t="str">
        <f ca="1">IFERROR(IF(VLOOKUP($A384,'Шаг2.Бланк заказа NEW'!$B$17:$N$201,13,0)="","",VLOOKUP($A384,'Шаг2.Бланк заказа NEW'!$B$17:$N$201,13,0)),
"Нет")</f>
        <v/>
      </c>
      <c r="Q384" s="147" t="str">
        <f ca="1">IFERROR(IF(VLOOKUP($A384,'Шаг2.Бланк заказа NEW'!$B$17:$O$201,14,0)="","",VLOOKUP($A384,'Шаг2.Бланк заказа NEW'!$B$17:$O$201,14,0)),"")</f>
        <v/>
      </c>
      <c r="R384" s="147" t="str">
        <f ca="1">IFERROR(IFERROR(IF(VLOOKUP($A384,'Шаг2.Бланк заказа NEW'!$B$17:$N$201,4,0)="","",VLOOKUP($A384,'Шаг2.Бланк заказа NEW'!$B$17:$N$201,4,0)),
IF(VLOOKUP($A384-COUNT('Шаг2.Бланк заказа NEW'!$B$19:$B$201),'Бланк OLD 0.8 04'!$B$12:$K$200,4,0)&gt;0,0.8,
IF(VLOOKUP($A384-COUNT('Шаг2.Бланк заказа NEW'!$B$19:$B$201),'Бланк OLD 0.8 04'!$B$12:$K$200,5,0)&gt;0,0.4,""))),
IF(VLOOKUP($A384-COUNT('Шаг2.Бланк заказа NEW'!$B$19:$B$201)-COUNT('Бланк OLD 0.8 04'!$B$18:$B$200),'Бланк OLD 2.0 04 '!$B$16:$K$200,4,0)&gt;0,2,IF(VLOOKUP($A384-COUNT('Шаг2.Бланк заказа NEW'!$B$19:$B$201)-COUNT('Бланк OLD 0.8 04'!$B$18:$B$200),'Бланк OLD 2.0 04 '!$B$16:$K$200,5,0)&gt;0,0.4,"")))</f>
        <v/>
      </c>
      <c r="S384" s="147" t="str">
        <f ca="1">IFERROR(IFERROR(IF(VLOOKUP($A384,'Шаг2.Бланк заказа NEW'!$B$17:$N$201,5,0)="","",VLOOKUP($A384,'Шаг2.Бланк заказа NEW'!$B$17:$N$201,5,0)),
IF(VLOOKUP($A384-COUNT('Шаг2.Бланк заказа NEW'!$B$19:$B$201),'Бланк OLD 0.8 04'!$B$12:$K$200,4,0)&gt;1,0.8,
IF(VLOOKUP($A384-COUNT('Шаг2.Бланк заказа NEW'!$B$19:$B$201),'Бланк OLD 0.8 04'!$B$12:$K$200,5,0)&gt;1,0.4,
IF(AND(VLOOKUP($A384-COUNT('Шаг2.Бланк заказа NEW'!$B$19:$B$201),'Бланк OLD 0.8 04'!$B$12:$K$200,4,0)&gt;0,VLOOKUP($A384-COUNT('Шаг2.Бланк заказа NEW'!$B$19:$B$201),'Бланк OLD 0.8 04'!$B$12:$K$200,5,0)&gt;0),0.4,"")))),
IF(VLOOKUP($A384-COUNT('Шаг2.Бланк заказа NEW'!$B$19:$B$201)-COUNT('Бланк OLD 0.8 04'!$B$18:$B$200),'Бланк OLD 2.0 04 '!$B$16:$K$200,4,0)&gt;1,2,
IF(VLOOKUP($A384-COUNT('Шаг2.Бланк заказа NEW'!$B$19:$B$201)-COUNT('Бланк OLD 0.8 04'!$B$18:$B$200),'Бланк OLD 2.0 04 '!$B$16:$K$200,5,0)&gt;1,0.4,IF(AND(VLOOKUP($A384-COUNT('Шаг2.Бланк заказа NEW'!$B$19:$B$201)-COUNT('Бланк OLD 0.8 04'!$B$18:$B$200),'Бланк OLD 2.0 04 '!$B$16:$K$200,4,0)&gt;0,VLOOKUP($A384-COUNT('Шаг2.Бланк заказа NEW'!$B$19:$B$201)-COUNT('Бланк OLD 0.8 04'!$B$18:$B$200),'Бланк OLD 2.0 04 '!$B$16:$K$200,5,0)&gt;0),0.4,""))))</f>
        <v/>
      </c>
      <c r="T384" s="147" t="str">
        <f ca="1">IFERROR(IFERROR(IF(VLOOKUP($A384,'Шаг2.Бланк заказа NEW'!$B$17:$N$201,7,0)="","",VLOOKUP($A384,'Шаг2.Бланк заказа NEW'!$B$17:$N$201,7,0)),
IF(VLOOKUP($A384-COUNT('Шаг2.Бланк заказа NEW'!$B$19:$B$201),'Бланк OLD 0.8 04'!$B$12:$K$200,7,0)&gt;0,0.8,
IF(VLOOKUP($A384-COUNT('Шаг2.Бланк заказа NEW'!$B$19:$B$201),'Бланк OLD 0.8 04'!$B$12:$K$200,8,0)&gt;0,0.4,""))),
IF(VLOOKUP($A384-COUNT('Шаг2.Бланк заказа NEW'!$B$19:$B$201)-COUNT('Бланк OLD 0.8 04'!$B$18:$B$200),'Бланк OLD 2.0 04 '!$B$16:$K$200,7,0)&gt;0,2,IF(VLOOKUP($A384-COUNT('Шаг2.Бланк заказа NEW'!$B$19:$B$201)-COUNT('Бланк OLD 0.8 04'!$B$18:$B$200),'Бланк OLD 2.0 04 '!$B$16:$K$200,8,0)&gt;0,0.4,"")))</f>
        <v/>
      </c>
      <c r="U384" s="147" t="str">
        <f ca="1">IFERROR(IFERROR(IF(VLOOKUP($A384,'Шаг2.Бланк заказа NEW'!$B$17:$N$201,8,0)="","",VLOOKUP($A384,'Шаг2.Бланк заказа NEW'!$B$17:$N$201,8,0)),
IF(VLOOKUP($A384-COUNT('Шаг2.Бланк заказа NEW'!$B$19:$B$201),'Бланк OLD 0.8 04'!$B$12:$K$200,7,0)&gt;1,0.8,
IF(VLOOKUP($A384-COUNT('Шаг2.Бланк заказа NEW'!$B$19:$B$201),'Бланк OLD 0.8 04'!$B$12:$K$200,8,0)&gt;1,0.4,
IF(AND(VLOOKUP($A384-COUNT('Шаг2.Бланк заказа NEW'!$B$19:$B$201),'Бланк OLD 0.8 04'!$B$12:$K$200,7,0)&gt;0,VLOOKUP($A384-COUNT('Шаг2.Бланк заказа NEW'!$B$19:$B$201),'Бланк OLD 0.8 04'!$B$12:$K$200,8,0)&gt;0),0.4,"")))),
IF(VLOOKUP($A384-COUNT('Шаг2.Бланк заказа NEW'!$B$19:$B$201)-COUNT('Бланк OLD 0.8 04'!$B$18:$B$200),'Бланк OLD 2.0 04 '!$B$16:$K$200,7,0)&gt;1,2,
IF(VLOOKUP($A384-COUNT('Шаг2.Бланк заказа NEW'!$B$19:$B$201)-COUNT('Бланк OLD 0.8 04'!$B$18:$B$200),'Бланк OLD 2.0 04 '!$B$16:$K$200,8,0)&gt;1,0.4,
IF(AND(VLOOKUP($A384-COUNT('Шаг2.Бланк заказа NEW'!$B$19:$B$201)-COUNT('Бланк OLD 0.8 04'!$B$18:$B$200),'Бланк OLD 2.0 04 '!$B$16:$K$200,7,0)&gt;0,VLOOKUP($A384-COUNT('Шаг2.Бланк заказа NEW'!$B$19:$B$201)-COUNT('Бланк OLD 0.8 04'!$B$18:$B$200),'Бланк OLD 2.0 04 '!$B$16:$K$200,8,0)&gt;0),0.4,""))))</f>
        <v/>
      </c>
      <c r="V384" s="146" t="str">
        <f ca="1">IFERROR(VLOOKUP(C384,'Шаг1.Выбор плиты'!C:S,12,0),"")</f>
        <v/>
      </c>
      <c r="W384" s="146" t="str">
        <f ca="1">IFERROR(VLOOKUP(C384,'Шаг1.Выбор плиты'!C:S,8,0),"")</f>
        <v/>
      </c>
      <c r="X384" s="146" t="str">
        <f ca="1">IFERROR(VLOOKUP(C384,'Шаг1.Выбор плиты'!C:S,10,0),"")</f>
        <v/>
      </c>
      <c r="Y384" s="147" t="str">
        <f t="shared" ca="1" si="28"/>
        <v/>
      </c>
      <c r="AD384" s="147" t="str">
        <f t="shared" ca="1" si="37"/>
        <v/>
      </c>
      <c r="AE384" s="147" t="str">
        <f t="shared" ca="1" si="29"/>
        <v/>
      </c>
      <c r="AF384" s="25"/>
      <c r="AH384" s="147" t="str">
        <f ca="1">IF(C384="","",VLOOKUP(C384,'Шаг1.Выбор плиты'!C:Q,7,0))</f>
        <v/>
      </c>
      <c r="AI384" s="147" t="str">
        <f t="shared" ca="1" si="38"/>
        <v/>
      </c>
    </row>
    <row r="385" spans="1:35" x14ac:dyDescent="0.2">
      <c r="A385" s="151" t="str">
        <f ca="1">IF(C385="","",MAX($A$1:OFFSET(C385,-1,0))+1)</f>
        <v/>
      </c>
      <c r="B385" s="151" t="str">
        <f ca="1">IFERROR(IFERROR(IFERROR("Шаг2.Бланк заказа NEW №"&amp;VLOOKUP(A384+1,CHOOSE({1,2},'Шаг2.Бланк заказа NEW'!$B$19:$B$201,'Шаг2.Бланк заказа NEW'!$A$19:$A$201),1,0),
"Бланк OLD 0.8 04 №"&amp;VLOOKUP(A384+1-COUNT('Шаг2.Бланк заказа NEW'!$B$19:$B$201),CHOOSE({1,2},'Бланк OLD 0.8 04'!$B$18:$B$200,'Бланк OLD 0.8 04'!$A$18:$A$200),1,0)),
"Бланк OLD 2.0 04 №"&amp;VLOOKUP(A384+1-COUNT('Шаг2.Бланк заказа NEW'!$B$19:$B$201)-COUNT('Бланк OLD 0.8 04'!$B$18:$B$200),CHOOSE({1,2},'Бланк OLD 2.0 04 '!$B$18:$B$200,'Бланк OLD 2.0 04 '!$A$18:$A$200),1,0)),"")</f>
        <v/>
      </c>
      <c r="C385" s="152" t="str">
        <f ca="1">IFERROR(IFERROR(IFERROR(VLOOKUP(A384+1,CHOOSE({1,2},'Шаг2.Бланк заказа NEW'!$B$19:$B$201,'Шаг2.Бланк заказа NEW'!$A$19:$A$201),2,0),
VLOOKUP(A384+1-COUNT('Шаг2.Бланк заказа NEW'!$B$19:$B$201),CHOOSE({1,2},'Бланк OLD 0.8 04'!$B$18:$B$200,'Бланк OLD 0.8 04'!$A$18:$A$200),2,0)),
VLOOKUP(A384+1-COUNT('Шаг2.Бланк заказа NEW'!$B$19:$B$201)-COUNT('Бланк OLD 0.8 04'!$B$18:$B$200),CHOOSE({1,2},'Бланк OLD 2.0 04 '!$B$18:$B$200,'Бланк OLD 2.0 04 '!$A$18:$A$200),2,0)),"")</f>
        <v/>
      </c>
      <c r="D385" s="150" t="str">
        <f ca="1">IFERROR(VLOOKUP(C385,'Шаг1.Выбор плиты'!C:G,5,0),"")</f>
        <v/>
      </c>
      <c r="E385" s="147" t="str">
        <f ca="1">IFERROR(IFERROR(IF(VLOOKUP($A385,'Шаг2.Бланк заказа NEW'!$B$17:$N$201,2,0)="","",VLOOKUP($A385,'Шаг2.Бланк заказа NEW'!$B$17:$N$201,2,0)),
IF(VLOOKUP($A385-COUNT('Шаг2.Бланк заказа NEW'!$B$19:$B$201),'Бланк OLD 0.8 04'!$B$12:$K$200,2,0)="","",VLOOKUP($A385-COUNT('Шаг2.Бланк заказа NEW'!$B$19:$B$201),'Бланк OLD 0.8 04'!$B$12:$K$200,2,0))),
IF(VLOOKUP($A385-COUNT('Шаг2.Бланк заказа NEW'!$B$19:$B$201)-COUNT('Бланк OLD 0.8 04'!$B$18:$B$200),'Бланк OLD 2.0 04 '!$B$16:$K$200,2,0)="","",VLOOKUP($A385-COUNT('Шаг2.Бланк заказа NEW'!$B$19:$B$201)-COUNT('Бланк OLD 0.8 04'!$B$18:$B$200),'Бланк OLD 2.0 04 '!$B$16:$K$200,2,0)))</f>
        <v/>
      </c>
      <c r="F385" s="147" t="str">
        <f ca="1">IFERROR(IFERROR(IF(VLOOKUP($A385,'Шаг2.Бланк заказа NEW'!$B$17:$N$201,3,0)="","",VLOOKUP($A385,'Шаг2.Бланк заказа NEW'!$B$17:$N$201,3,0)),
IF(VLOOKUP($A385-COUNT('Шаг2.Бланк заказа NEW'!$B$19:$B$201),'Бланк OLD 0.8 04'!$B$12:$K$200,3,0)="","",VLOOKUP($A385-COUNT('Шаг2.Бланк заказа NEW'!$B$19:$B$201),'Бланк OLD 0.8 04'!$B$12:$K$200,3,0))),
IF(VLOOKUP($A385-COUNT('Шаг2.Бланк заказа NEW'!$B$19:$B$201)-COUNT('Бланк OLD 0.8 04'!$B$18:$B$200),'Бланк OLD 2.0 04 '!$B$16:$K$200,3,0)="","",VLOOKUP($A385-COUNT('Шаг2.Бланк заказа NEW'!$B$19:$B$201)-COUNT('Бланк OLD 0.8 04'!$B$18:$B$200),'Бланк OLD 2.0 04 '!$B$16:$K$200,3,0)))</f>
        <v/>
      </c>
      <c r="G385" s="176" t="str">
        <f ca="1">IF(IF(R385="","",IF(R385=1,SUMIFS('Шаг1.Выбор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плиты'!C:Q,12,0)),1))))))=0,
R385,
IF(R385="","",IF(R385=1,SUMIFS('Шаг1.Выбор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плиты'!N:N,R385,'Шаг1.Выбор плиты'!M:M,SMALL(INDIRECT("мм"&amp;VLOOKUP(C385,'Шаг1.Выбор плиты'!C:Q,12,0)),1)))))))</f>
        <v/>
      </c>
      <c r="H385" s="177" t="str">
        <f ca="1">IF(IF(S385="","",IF(S385=1,SUMIFS('Шаг1.Выбор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плиты'!C:Q,12,0)),1))))))=0,
S385,
IF(S385="","",IF(S385=1,SUMIFS('Шаг1.Выбор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плиты'!N:N,S385,'Шаг1.Выбор плиты'!M:M,SMALL(INDIRECT("мм"&amp;VLOOKUP(C385,'Шаг1.Выбор плиты'!C:Q,12,0)),1)))))))</f>
        <v/>
      </c>
      <c r="I385" s="147" t="str">
        <f ca="1">IFERROR(IFERROR(IF(VLOOKUP($A385,'Шаг2.Бланк заказа NEW'!$B$17:$N$201,6,0)="","",VLOOKUP($A385,'Шаг2.Бланк заказа NEW'!$B$17:$N$201,6,0)),
IF(VLOOKUP($A385-COUNT('Шаг2.Бланк заказа NEW'!$B$19:$B$201),'Бланк OLD 0.8 04'!$B$12:$K$200,6,0)="","",VLOOKUP($A385-COUNT('Шаг2.Бланк заказа NEW'!$B$19:$B$201),'Бланк OLD 0.8 04'!$B$12:$K$200,6,0))),
IF(VLOOKUP($A385-COUNT('Шаг2.Бланк заказа NEW'!$B$19:$B$201)-COUNT('Бланк OLD 0.8 04'!$B$18:$B$200),'Бланк OLD 2.0 04 '!$B$16:$K$200,6,0)="","",VLOOKUP($A385-COUNT('Шаг2.Бланк заказа NEW'!$B$19:$B$201)-COUNT('Бланк OLD 0.8 04'!$B$18:$B$200),'Бланк OLD 2.0 04 '!$B$16:$K$200,6,0)))</f>
        <v/>
      </c>
      <c r="J385" s="177" t="str">
        <f ca="1">IF(IF(T385="","",IF(T385=1,SUMIFS('Шаг1.Выбор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плиты'!C:Q,12,0)),1))))))=0,
T385,
IF(T385="","",IF(T385=1,SUMIFS('Шаг1.Выбор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плиты'!N:N,T385,'Шаг1.Выбор плиты'!M:M,SMALL(INDIRECT("мм"&amp;VLOOKUP(C385,'Шаг1.Выбор плиты'!C:Q,12,0)),1)))))))</f>
        <v/>
      </c>
      <c r="K385" s="177" t="str">
        <f ca="1">IF(IF(U385="","",IF(U385=1,SUMIFS('Шаг1.Выбор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плиты'!C:Q,12,0)),1))))))=0,
U385,
IF(U385="","",IF(U385=1,SUMIFS('Шаг1.Выбор плиты'!$G:$G,'Шаг1.Выбор плиты'!J:J,"*"&amp;RIGHT(VLOOKUP(C385,'Шаг1.Выбор плиты'!C:Q,8,0),4),'Шаг1.Выбор плиты'!L:L,IF(MID(C385,1,6)="ЛДСП P","TM"&amp;MID(VLOOKUP(C385,'Шаг1.Выбор плиты'!C:Q,10,0),3,2),MID(VLOOKUP(C385,'Шаг1.Выбор плиты'!C:Q,10,0),1,2)),
'Шаг1.Выбор плиты'!N:N,1),IF(SUMIFS('Шаг1.Выбор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плиты'!C:Q,12,0)),1))=0,
IF(SUMIFS('Шаг1.Выбор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плиты'!C:Q,12,0)),2))=0,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плиты'!C:Q,12,0)),3)),
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плиты'!C:Q,12,0)),2))),
(SUMIFS('Шаг1.Выбор плиты'!$G:$G,'Шаг1.Выбор плиты'!J:J,"*"&amp;RIGHT(VLOOKUP(C385,'Шаг1.Выбор плиты'!C:Q,8,0),4),'Шаг1.Выбор плиты'!L:L,VLOOKUP(C385,'Шаг1.Выбор плиты'!C:Q,10,0),'Шаг1.Выбор плиты'!N:N,U385,'Шаг1.Выбор плиты'!M:M,SMALL(INDIRECT("мм"&amp;VLOOKUP(C385,'Шаг1.Выбор плиты'!C:Q,12,0)),1)))))))</f>
        <v/>
      </c>
      <c r="L385" s="147" t="str">
        <f ca="1">IFERROR(IFERROR(IF(VLOOKUP($A385,'Шаг2.Бланк заказа NEW'!$B$17:$N$201,9,0)="","",VLOOKUP($A385,'Шаг2.Бланк заказа NEW'!$B$17:$N$201,9,0)),
IF(VLOOKUP($A385-COUNT('Шаг2.Бланк заказа NEW'!$B$19:$B$201),'Бланк OLD 0.8 04'!$B$12:$K$200,9,0)="","",VLOOKUP($A385-COUNT('Шаг2.Бланк заказа NEW'!$B$19:$B$201),'Бланк OLD 0.8 04'!$B$12:$K$200,9,0))),
IF(VLOOKUP($A385-COUNT('Шаг2.Бланк заказа NEW'!$B$19:$B$201)-COUNT('Бланк OLD 0.8 04'!$B$18:$B$200),'Бланк OLD 2.0 04 '!$B$16:$K$200,9,0)="","",VLOOKUP($A385-COUNT('Шаг2.Бланк заказа NEW'!$B$19:$B$201)-COUNT('Бланк OLD 0.8 04'!$B$18:$B$200),'Бланк OLD 2.0 04 '!$B$16:$K$200,9,0)))</f>
        <v/>
      </c>
      <c r="M385" s="154" t="str">
        <f t="shared" ca="1" si="36"/>
        <v/>
      </c>
      <c r="N385" s="153" t="str">
        <f ca="1">IFERROR(IF(VLOOKUP($A385,'Шаг2.Бланк заказа NEW'!$B$17:$N$201,11,0)="","",VLOOKUP($A385,'Шаг2.Бланк заказа NEW'!$B$17:$N$201,11,0)),
"Нет")</f>
        <v/>
      </c>
      <c r="O385" s="147" t="str">
        <f ca="1">IFERROR(IF(VLOOKUP($A385,'Шаг2.Бланк заказа NEW'!$B$17:$N$201,11,0)="","",VLOOKUP($A385,'Шаг2.Бланк заказа NEW'!$B$17:$N$201,12,0)),
"Нет")</f>
        <v/>
      </c>
      <c r="P385" s="153" t="str">
        <f ca="1">IFERROR(IF(VLOOKUP($A385,'Шаг2.Бланк заказа NEW'!$B$17:$N$201,13,0)="","",VLOOKUP($A385,'Шаг2.Бланк заказа NEW'!$B$17:$N$201,13,0)),
"Нет")</f>
        <v/>
      </c>
      <c r="Q385" s="147" t="str">
        <f ca="1">IFERROR(IF(VLOOKUP($A385,'Шаг2.Бланк заказа NEW'!$B$17:$O$201,14,0)="","",VLOOKUP($A385,'Шаг2.Бланк заказа NEW'!$B$17:$O$201,14,0)),"")</f>
        <v/>
      </c>
      <c r="R385" s="147" t="str">
        <f ca="1">IFERROR(IFERROR(IF(VLOOKUP($A385,'Шаг2.Бланк заказа NEW'!$B$17:$N$201,4,0)="","",VLOOKUP($A385,'Шаг2.Бланк заказа NEW'!$B$17:$N$201,4,0)),
IF(VLOOKUP($A385-COUNT('Шаг2.Бланк заказа NEW'!$B$19:$B$201),'Бланк OLD 0.8 04'!$B$12:$K$200,4,0)&gt;0,0.8,
IF(VLOOKUP($A385-COUNT('Шаг2.Бланк заказа NEW'!$B$19:$B$201),'Бланк OLD 0.8 04'!$B$12:$K$200,5,0)&gt;0,0.4,""))),
IF(VLOOKUP($A385-COUNT('Шаг2.Бланк заказа NEW'!$B$19:$B$201)-COUNT('Бланк OLD 0.8 04'!$B$18:$B$200),'Бланк OLD 2.0 04 '!$B$16:$K$200,4,0)&gt;0,2,IF(VLOOKUP($A385-COUNT('Шаг2.Бланк заказа NEW'!$B$19:$B$201)-COUNT('Бланк OLD 0.8 04'!$B$18:$B$200),'Бланк OLD 2.0 04 '!$B$16:$K$200,5,0)&gt;0,0.4,"")))</f>
        <v/>
      </c>
      <c r="S385" s="147" t="str">
        <f ca="1">IFERROR(IFERROR(IF(VLOOKUP($A385,'Шаг2.Бланк заказа NEW'!$B$17:$N$201,5,0)="","",VLOOKUP($A385,'Шаг2.Бланк заказа NEW'!$B$17:$N$201,5,0)),
IF(VLOOKUP($A385-COUNT('Шаг2.Бланк заказа NEW'!$B$19:$B$201),'Бланк OLD 0.8 04'!$B$12:$K$200,4,0)&gt;1,0.8,
IF(VLOOKUP($A385-COUNT('Шаг2.Бланк заказа NEW'!$B$19:$B$201),'Бланк OLD 0.8 04'!$B$12:$K$200,5,0)&gt;1,0.4,
IF(AND(VLOOKUP($A385-COUNT('Шаг2.Бланк заказа NEW'!$B$19:$B$201),'Бланк OLD 0.8 04'!$B$12:$K$200,4,0)&gt;0,VLOOKUP($A385-COUNT('Шаг2.Бланк заказа NEW'!$B$19:$B$201),'Бланк OLD 0.8 04'!$B$12:$K$200,5,0)&gt;0),0.4,"")))),
IF(VLOOKUP($A385-COUNT('Шаг2.Бланк заказа NEW'!$B$19:$B$201)-COUNT('Бланк OLD 0.8 04'!$B$18:$B$200),'Бланк OLD 2.0 04 '!$B$16:$K$200,4,0)&gt;1,2,
IF(VLOOKUP($A385-COUNT('Шаг2.Бланк заказа NEW'!$B$19:$B$201)-COUNT('Бланк OLD 0.8 04'!$B$18:$B$200),'Бланк OLD 2.0 04 '!$B$16:$K$200,5,0)&gt;1,0.4,IF(AND(VLOOKUP($A385-COUNT('Шаг2.Бланк заказа NEW'!$B$19:$B$201)-COUNT('Бланк OLD 0.8 04'!$B$18:$B$200),'Бланк OLD 2.0 04 '!$B$16:$K$200,4,0)&gt;0,VLOOKUP($A385-COUNT('Шаг2.Бланк заказа NEW'!$B$19:$B$201)-COUNT('Бланк OLD 0.8 04'!$B$18:$B$200),'Бланк OLD 2.0 04 '!$B$16:$K$200,5,0)&gt;0),0.4,""))))</f>
        <v/>
      </c>
      <c r="T385" s="147" t="str">
        <f ca="1">IFERROR(IFERROR(IF(VLOOKUP($A385,'Шаг2.Бланк заказа NEW'!$B$17:$N$201,7,0)="","",VLOOKUP($A385,'Шаг2.Бланк заказа NEW'!$B$17:$N$201,7,0)),
IF(VLOOKUP($A385-COUNT('Шаг2.Бланк заказа NEW'!$B$19:$B$201),'Бланк OLD 0.8 04'!$B$12:$K$200,7,0)&gt;0,0.8,
IF(VLOOKUP($A385-COUNT('Шаг2.Бланк заказа NEW'!$B$19:$B$201),'Бланк OLD 0.8 04'!$B$12:$K$200,8,0)&gt;0,0.4,""))),
IF(VLOOKUP($A385-COUNT('Шаг2.Бланк заказа NEW'!$B$19:$B$201)-COUNT('Бланк OLD 0.8 04'!$B$18:$B$200),'Бланк OLD 2.0 04 '!$B$16:$K$200,7,0)&gt;0,2,IF(VLOOKUP($A385-COUNT('Шаг2.Бланк заказа NEW'!$B$19:$B$201)-COUNT('Бланк OLD 0.8 04'!$B$18:$B$200),'Бланк OLD 2.0 04 '!$B$16:$K$200,8,0)&gt;0,0.4,"")))</f>
        <v/>
      </c>
      <c r="U385" s="147" t="str">
        <f ca="1">IFERROR(IFERROR(IF(VLOOKUP($A385,'Шаг2.Бланк заказа NEW'!$B$17:$N$201,8,0)="","",VLOOKUP($A385,'Шаг2.Бланк заказа NEW'!$B$17:$N$201,8,0)),
IF(VLOOKUP($A385-COUNT('Шаг2.Бланк заказа NEW'!$B$19:$B$201),'Бланк OLD 0.8 04'!$B$12:$K$200,7,0)&gt;1,0.8,
IF(VLOOKUP($A385-COUNT('Шаг2.Бланк заказа NEW'!$B$19:$B$201),'Бланк OLD 0.8 04'!$B$12:$K$200,8,0)&gt;1,0.4,
IF(AND(VLOOKUP($A385-COUNT('Шаг2.Бланк заказа NEW'!$B$19:$B$201),'Бланк OLD 0.8 04'!$B$12:$K$200,7,0)&gt;0,VLOOKUP($A385-COUNT('Шаг2.Бланк заказа NEW'!$B$19:$B$201),'Бланк OLD 0.8 04'!$B$12:$K$200,8,0)&gt;0),0.4,"")))),
IF(VLOOKUP($A385-COUNT('Шаг2.Бланк заказа NEW'!$B$19:$B$201)-COUNT('Бланк OLD 0.8 04'!$B$18:$B$200),'Бланк OLD 2.0 04 '!$B$16:$K$200,7,0)&gt;1,2,
IF(VLOOKUP($A385-COUNT('Шаг2.Бланк заказа NEW'!$B$19:$B$201)-COUNT('Бланк OLD 0.8 04'!$B$18:$B$200),'Бланк OLD 2.0 04 '!$B$16:$K$200,8,0)&gt;1,0.4,
IF(AND(VLOOKUP($A385-COUNT('Шаг2.Бланк заказа NEW'!$B$19:$B$201)-COUNT('Бланк OLD 0.8 04'!$B$18:$B$200),'Бланк OLD 2.0 04 '!$B$16:$K$200,7,0)&gt;0,VLOOKUP($A385-COUNT('Шаг2.Бланк заказа NEW'!$B$19:$B$201)-COUNT('Бланк OLD 0.8 04'!$B$18:$B$200),'Бланк OLD 2.0 04 '!$B$16:$K$200,8,0)&gt;0),0.4,""))))</f>
        <v/>
      </c>
      <c r="V385" s="146" t="str">
        <f ca="1">IFERROR(VLOOKUP(C385,'Шаг1.Выбор плиты'!C:S,12,0),"")</f>
        <v/>
      </c>
      <c r="W385" s="146" t="str">
        <f ca="1">IFERROR(VLOOKUP(C385,'Шаг1.Выбор плиты'!C:S,8,0),"")</f>
        <v/>
      </c>
      <c r="X385" s="146" t="str">
        <f ca="1">IFERROR(VLOOKUP(C385,'Шаг1.Выбор плиты'!C:S,10,0),"")</f>
        <v/>
      </c>
      <c r="Y385" s="147" t="str">
        <f t="shared" ca="1" si="28"/>
        <v/>
      </c>
      <c r="AD385" s="147" t="str">
        <f t="shared" ca="1" si="37"/>
        <v/>
      </c>
      <c r="AE385" s="147" t="str">
        <f t="shared" ca="1" si="29"/>
        <v/>
      </c>
      <c r="AF385" s="25"/>
      <c r="AH385" s="147" t="str">
        <f ca="1">IF(C385="","",VLOOKUP(C385,'Шаг1.Выбор плиты'!C:Q,7,0))</f>
        <v/>
      </c>
      <c r="AI385" s="147" t="str">
        <f t="shared" ca="1" si="38"/>
        <v/>
      </c>
    </row>
    <row r="386" spans="1:35" x14ac:dyDescent="0.2">
      <c r="A386" s="151" t="str">
        <f ca="1">IF(C386="","",MAX($A$1:OFFSET(C386,-1,0))+1)</f>
        <v/>
      </c>
      <c r="B386" s="151" t="str">
        <f ca="1">IFERROR(IFERROR(IFERROR("Шаг2.Бланк заказа NEW №"&amp;VLOOKUP(A385+1,CHOOSE({1,2},'Шаг2.Бланк заказа NEW'!$B$19:$B$201,'Шаг2.Бланк заказа NEW'!$A$19:$A$201),1,0),
"Бланк OLD 0.8 04 №"&amp;VLOOKUP(A385+1-COUNT('Шаг2.Бланк заказа NEW'!$B$19:$B$201),CHOOSE({1,2},'Бланк OLD 0.8 04'!$B$18:$B$200,'Бланк OLD 0.8 04'!$A$18:$A$200),1,0)),
"Бланк OLD 2.0 04 №"&amp;VLOOKUP(A385+1-COUNT('Шаг2.Бланк заказа NEW'!$B$19:$B$201)-COUNT('Бланк OLD 0.8 04'!$B$18:$B$200),CHOOSE({1,2},'Бланк OLD 2.0 04 '!$B$18:$B$200,'Бланк OLD 2.0 04 '!$A$18:$A$200),1,0)),"")</f>
        <v/>
      </c>
      <c r="C386" s="152" t="str">
        <f ca="1">IFERROR(IFERROR(IFERROR(VLOOKUP(A385+1,CHOOSE({1,2},'Шаг2.Бланк заказа NEW'!$B$19:$B$201,'Шаг2.Бланк заказа NEW'!$A$19:$A$201),2,0),
VLOOKUP(A385+1-COUNT('Шаг2.Бланк заказа NEW'!$B$19:$B$201),CHOOSE({1,2},'Бланк OLD 0.8 04'!$B$18:$B$200,'Бланк OLD 0.8 04'!$A$18:$A$200),2,0)),
VLOOKUP(A385+1-COUNT('Шаг2.Бланк заказа NEW'!$B$19:$B$201)-COUNT('Бланк OLD 0.8 04'!$B$18:$B$200),CHOOSE({1,2},'Бланк OLD 2.0 04 '!$B$18:$B$200,'Бланк OLD 2.0 04 '!$A$18:$A$200),2,0)),"")</f>
        <v/>
      </c>
      <c r="D386" s="150" t="str">
        <f ca="1">IFERROR(VLOOKUP(C386,'Шаг1.Выбор плиты'!C:G,5,0),"")</f>
        <v/>
      </c>
      <c r="E386" s="147" t="str">
        <f ca="1">IFERROR(IFERROR(IF(VLOOKUP($A386,'Шаг2.Бланк заказа NEW'!$B$17:$N$201,2,0)="","",VLOOKUP($A386,'Шаг2.Бланк заказа NEW'!$B$17:$N$201,2,0)),
IF(VLOOKUP($A386-COUNT('Шаг2.Бланк заказа NEW'!$B$19:$B$201),'Бланк OLD 0.8 04'!$B$12:$K$200,2,0)="","",VLOOKUP($A386-COUNT('Шаг2.Бланк заказа NEW'!$B$19:$B$201),'Бланк OLD 0.8 04'!$B$12:$K$200,2,0))),
IF(VLOOKUP($A386-COUNT('Шаг2.Бланк заказа NEW'!$B$19:$B$201)-COUNT('Бланк OLD 0.8 04'!$B$18:$B$200),'Бланк OLD 2.0 04 '!$B$16:$K$200,2,0)="","",VLOOKUP($A386-COUNT('Шаг2.Бланк заказа NEW'!$B$19:$B$201)-COUNT('Бланк OLD 0.8 04'!$B$18:$B$200),'Бланк OLD 2.0 04 '!$B$16:$K$200,2,0)))</f>
        <v/>
      </c>
      <c r="F386" s="147" t="str">
        <f ca="1">IFERROR(IFERROR(IF(VLOOKUP($A386,'Шаг2.Бланк заказа NEW'!$B$17:$N$201,3,0)="","",VLOOKUP($A386,'Шаг2.Бланк заказа NEW'!$B$17:$N$201,3,0)),
IF(VLOOKUP($A386-COUNT('Шаг2.Бланк заказа NEW'!$B$19:$B$201),'Бланк OLD 0.8 04'!$B$12:$K$200,3,0)="","",VLOOKUP($A386-COUNT('Шаг2.Бланк заказа NEW'!$B$19:$B$201),'Бланк OLD 0.8 04'!$B$12:$K$200,3,0))),
IF(VLOOKUP($A386-COUNT('Шаг2.Бланк заказа NEW'!$B$19:$B$201)-COUNT('Бланк OLD 0.8 04'!$B$18:$B$200),'Бланк OLD 2.0 04 '!$B$16:$K$200,3,0)="","",VLOOKUP($A386-COUNT('Шаг2.Бланк заказа NEW'!$B$19:$B$201)-COUNT('Бланк OLD 0.8 04'!$B$18:$B$200),'Бланк OLD 2.0 04 '!$B$16:$K$200,3,0)))</f>
        <v/>
      </c>
      <c r="G386" s="176" t="str">
        <f ca="1">IF(IF(R386="","",IF(R386=1,SUMIFS('Шаг1.Выбор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плиты'!C:Q,12,0)),1))))))=0,
R386,
IF(R386="","",IF(R386=1,SUMIFS('Шаг1.Выбор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плиты'!N:N,R386,'Шаг1.Выбор плиты'!M:M,SMALL(INDIRECT("мм"&amp;VLOOKUP(C386,'Шаг1.Выбор плиты'!C:Q,12,0)),1)))))))</f>
        <v/>
      </c>
      <c r="H386" s="177" t="str">
        <f ca="1">IF(IF(S386="","",IF(S386=1,SUMIFS('Шаг1.Выбор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плиты'!C:Q,12,0)),1))))))=0,
S386,
IF(S386="","",IF(S386=1,SUMIFS('Шаг1.Выбор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плиты'!N:N,S386,'Шаг1.Выбор плиты'!M:M,SMALL(INDIRECT("мм"&amp;VLOOKUP(C386,'Шаг1.Выбор плиты'!C:Q,12,0)),1)))))))</f>
        <v/>
      </c>
      <c r="I386" s="147" t="str">
        <f ca="1">IFERROR(IFERROR(IF(VLOOKUP($A386,'Шаг2.Бланк заказа NEW'!$B$17:$N$201,6,0)="","",VLOOKUP($A386,'Шаг2.Бланк заказа NEW'!$B$17:$N$201,6,0)),
IF(VLOOKUP($A386-COUNT('Шаг2.Бланк заказа NEW'!$B$19:$B$201),'Бланк OLD 0.8 04'!$B$12:$K$200,6,0)="","",VLOOKUP($A386-COUNT('Шаг2.Бланк заказа NEW'!$B$19:$B$201),'Бланк OLD 0.8 04'!$B$12:$K$200,6,0))),
IF(VLOOKUP($A386-COUNT('Шаг2.Бланк заказа NEW'!$B$19:$B$201)-COUNT('Бланк OLD 0.8 04'!$B$18:$B$200),'Бланк OLD 2.0 04 '!$B$16:$K$200,6,0)="","",VLOOKUP($A386-COUNT('Шаг2.Бланк заказа NEW'!$B$19:$B$201)-COUNT('Бланк OLD 0.8 04'!$B$18:$B$200),'Бланк OLD 2.0 04 '!$B$16:$K$200,6,0)))</f>
        <v/>
      </c>
      <c r="J386" s="177" t="str">
        <f ca="1">IF(IF(T386="","",IF(T386=1,SUMIFS('Шаг1.Выбор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плиты'!C:Q,12,0)),1))))))=0,
T386,
IF(T386="","",IF(T386=1,SUMIFS('Шаг1.Выбор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плиты'!N:N,T386,'Шаг1.Выбор плиты'!M:M,SMALL(INDIRECT("мм"&amp;VLOOKUP(C386,'Шаг1.Выбор плиты'!C:Q,12,0)),1)))))))</f>
        <v/>
      </c>
      <c r="K386" s="177" t="str">
        <f ca="1">IF(IF(U386="","",IF(U386=1,SUMIFS('Шаг1.Выбор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плиты'!C:Q,12,0)),1))))))=0,
U386,
IF(U386="","",IF(U386=1,SUMIFS('Шаг1.Выбор плиты'!$G:$G,'Шаг1.Выбор плиты'!J:J,"*"&amp;RIGHT(VLOOKUP(C386,'Шаг1.Выбор плиты'!C:Q,8,0),4),'Шаг1.Выбор плиты'!L:L,IF(MID(C386,1,6)="ЛДСП P","TM"&amp;MID(VLOOKUP(C386,'Шаг1.Выбор плиты'!C:Q,10,0),3,2),MID(VLOOKUP(C386,'Шаг1.Выбор плиты'!C:Q,10,0),1,2)),
'Шаг1.Выбор плиты'!N:N,1),IF(SUMIFS('Шаг1.Выбор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плиты'!C:Q,12,0)),1))=0,
IF(SUMIFS('Шаг1.Выбор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плиты'!C:Q,12,0)),2))=0,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плиты'!C:Q,12,0)),3)),
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плиты'!C:Q,12,0)),2))),
(SUMIFS('Шаг1.Выбор плиты'!$G:$G,'Шаг1.Выбор плиты'!J:J,"*"&amp;RIGHT(VLOOKUP(C386,'Шаг1.Выбор плиты'!C:Q,8,0),4),'Шаг1.Выбор плиты'!L:L,VLOOKUP(C386,'Шаг1.Выбор плиты'!C:Q,10,0),'Шаг1.Выбор плиты'!N:N,U386,'Шаг1.Выбор плиты'!M:M,SMALL(INDIRECT("мм"&amp;VLOOKUP(C386,'Шаг1.Выбор плиты'!C:Q,12,0)),1)))))))</f>
        <v/>
      </c>
      <c r="L386" s="147" t="str">
        <f ca="1">IFERROR(IFERROR(IF(VLOOKUP($A386,'Шаг2.Бланк заказа NEW'!$B$17:$N$201,9,0)="","",VLOOKUP($A386,'Шаг2.Бланк заказа NEW'!$B$17:$N$201,9,0)),
IF(VLOOKUP($A386-COUNT('Шаг2.Бланк заказа NEW'!$B$19:$B$201),'Бланк OLD 0.8 04'!$B$12:$K$200,9,0)="","",VLOOKUP($A386-COUNT('Шаг2.Бланк заказа NEW'!$B$19:$B$201),'Бланк OLD 0.8 04'!$B$12:$K$200,9,0))),
IF(VLOOKUP($A386-COUNT('Шаг2.Бланк заказа NEW'!$B$19:$B$201)-COUNT('Бланк OLD 0.8 04'!$B$18:$B$200),'Бланк OLD 2.0 04 '!$B$16:$K$200,9,0)="","",VLOOKUP($A386-COUNT('Шаг2.Бланк заказа NEW'!$B$19:$B$201)-COUNT('Бланк OLD 0.8 04'!$B$18:$B$200),'Бланк OLD 2.0 04 '!$B$16:$K$200,9,0)))</f>
        <v/>
      </c>
      <c r="M386" s="154" t="str">
        <f t="shared" ca="1" si="36"/>
        <v/>
      </c>
      <c r="N386" s="153" t="str">
        <f ca="1">IFERROR(IF(VLOOKUP($A386,'Шаг2.Бланк заказа NEW'!$B$17:$N$201,11,0)="","",VLOOKUP($A386,'Шаг2.Бланк заказа NEW'!$B$17:$N$201,11,0)),
"Нет")</f>
        <v/>
      </c>
      <c r="O386" s="147" t="str">
        <f ca="1">IFERROR(IF(VLOOKUP($A386,'Шаг2.Бланк заказа NEW'!$B$17:$N$201,11,0)="","",VLOOKUP($A386,'Шаг2.Бланк заказа NEW'!$B$17:$N$201,12,0)),
"Нет")</f>
        <v/>
      </c>
      <c r="P386" s="153" t="str">
        <f ca="1">IFERROR(IF(VLOOKUP($A386,'Шаг2.Бланк заказа NEW'!$B$17:$N$201,13,0)="","",VLOOKUP($A386,'Шаг2.Бланк заказа NEW'!$B$17:$N$201,13,0)),
"Нет")</f>
        <v/>
      </c>
      <c r="Q386" s="147" t="str">
        <f ca="1">IFERROR(IF(VLOOKUP($A386,'Шаг2.Бланк заказа NEW'!$B$17:$O$201,14,0)="","",VLOOKUP($A386,'Шаг2.Бланк заказа NEW'!$B$17:$O$201,14,0)),"")</f>
        <v/>
      </c>
      <c r="R386" s="147" t="str">
        <f ca="1">IFERROR(IFERROR(IF(VLOOKUP($A386,'Шаг2.Бланк заказа NEW'!$B$17:$N$201,4,0)="","",VLOOKUP($A386,'Шаг2.Бланк заказа NEW'!$B$17:$N$201,4,0)),
IF(VLOOKUP($A386-COUNT('Шаг2.Бланк заказа NEW'!$B$19:$B$201),'Бланк OLD 0.8 04'!$B$12:$K$200,4,0)&gt;0,0.8,
IF(VLOOKUP($A386-COUNT('Шаг2.Бланк заказа NEW'!$B$19:$B$201),'Бланк OLD 0.8 04'!$B$12:$K$200,5,0)&gt;0,0.4,""))),
IF(VLOOKUP($A386-COUNT('Шаг2.Бланк заказа NEW'!$B$19:$B$201)-COUNT('Бланк OLD 0.8 04'!$B$18:$B$200),'Бланк OLD 2.0 04 '!$B$16:$K$200,4,0)&gt;0,2,IF(VLOOKUP($A386-COUNT('Шаг2.Бланк заказа NEW'!$B$19:$B$201)-COUNT('Бланк OLD 0.8 04'!$B$18:$B$200),'Бланк OLD 2.0 04 '!$B$16:$K$200,5,0)&gt;0,0.4,"")))</f>
        <v/>
      </c>
      <c r="S386" s="147" t="str">
        <f ca="1">IFERROR(IFERROR(IF(VLOOKUP($A386,'Шаг2.Бланк заказа NEW'!$B$17:$N$201,5,0)="","",VLOOKUP($A386,'Шаг2.Бланк заказа NEW'!$B$17:$N$201,5,0)),
IF(VLOOKUP($A386-COUNT('Шаг2.Бланк заказа NEW'!$B$19:$B$201),'Бланк OLD 0.8 04'!$B$12:$K$200,4,0)&gt;1,0.8,
IF(VLOOKUP($A386-COUNT('Шаг2.Бланк заказа NEW'!$B$19:$B$201),'Бланк OLD 0.8 04'!$B$12:$K$200,5,0)&gt;1,0.4,
IF(AND(VLOOKUP($A386-COUNT('Шаг2.Бланк заказа NEW'!$B$19:$B$201),'Бланк OLD 0.8 04'!$B$12:$K$200,4,0)&gt;0,VLOOKUP($A386-COUNT('Шаг2.Бланк заказа NEW'!$B$19:$B$201),'Бланк OLD 0.8 04'!$B$12:$K$200,5,0)&gt;0),0.4,"")))),
IF(VLOOKUP($A386-COUNT('Шаг2.Бланк заказа NEW'!$B$19:$B$201)-COUNT('Бланк OLD 0.8 04'!$B$18:$B$200),'Бланк OLD 2.0 04 '!$B$16:$K$200,4,0)&gt;1,2,
IF(VLOOKUP($A386-COUNT('Шаг2.Бланк заказа NEW'!$B$19:$B$201)-COUNT('Бланк OLD 0.8 04'!$B$18:$B$200),'Бланк OLD 2.0 04 '!$B$16:$K$200,5,0)&gt;1,0.4,IF(AND(VLOOKUP($A386-COUNT('Шаг2.Бланк заказа NEW'!$B$19:$B$201)-COUNT('Бланк OLD 0.8 04'!$B$18:$B$200),'Бланк OLD 2.0 04 '!$B$16:$K$200,4,0)&gt;0,VLOOKUP($A386-COUNT('Шаг2.Бланк заказа NEW'!$B$19:$B$201)-COUNT('Бланк OLD 0.8 04'!$B$18:$B$200),'Бланк OLD 2.0 04 '!$B$16:$K$200,5,0)&gt;0),0.4,""))))</f>
        <v/>
      </c>
      <c r="T386" s="147" t="str">
        <f ca="1">IFERROR(IFERROR(IF(VLOOKUP($A386,'Шаг2.Бланк заказа NEW'!$B$17:$N$201,7,0)="","",VLOOKUP($A386,'Шаг2.Бланк заказа NEW'!$B$17:$N$201,7,0)),
IF(VLOOKUP($A386-COUNT('Шаг2.Бланк заказа NEW'!$B$19:$B$201),'Бланк OLD 0.8 04'!$B$12:$K$200,7,0)&gt;0,0.8,
IF(VLOOKUP($A386-COUNT('Шаг2.Бланк заказа NEW'!$B$19:$B$201),'Бланк OLD 0.8 04'!$B$12:$K$200,8,0)&gt;0,0.4,""))),
IF(VLOOKUP($A386-COUNT('Шаг2.Бланк заказа NEW'!$B$19:$B$201)-COUNT('Бланк OLD 0.8 04'!$B$18:$B$200),'Бланк OLD 2.0 04 '!$B$16:$K$200,7,0)&gt;0,2,IF(VLOOKUP($A386-COUNT('Шаг2.Бланк заказа NEW'!$B$19:$B$201)-COUNT('Бланк OLD 0.8 04'!$B$18:$B$200),'Бланк OLD 2.0 04 '!$B$16:$K$200,8,0)&gt;0,0.4,"")))</f>
        <v/>
      </c>
      <c r="U386" s="147" t="str">
        <f ca="1">IFERROR(IFERROR(IF(VLOOKUP($A386,'Шаг2.Бланк заказа NEW'!$B$17:$N$201,8,0)="","",VLOOKUP($A386,'Шаг2.Бланк заказа NEW'!$B$17:$N$201,8,0)),
IF(VLOOKUP($A386-COUNT('Шаг2.Бланк заказа NEW'!$B$19:$B$201),'Бланк OLD 0.8 04'!$B$12:$K$200,7,0)&gt;1,0.8,
IF(VLOOKUP($A386-COUNT('Шаг2.Бланк заказа NEW'!$B$19:$B$201),'Бланк OLD 0.8 04'!$B$12:$K$200,8,0)&gt;1,0.4,
IF(AND(VLOOKUP($A386-COUNT('Шаг2.Бланк заказа NEW'!$B$19:$B$201),'Бланк OLD 0.8 04'!$B$12:$K$200,7,0)&gt;0,VLOOKUP($A386-COUNT('Шаг2.Бланк заказа NEW'!$B$19:$B$201),'Бланк OLD 0.8 04'!$B$12:$K$200,8,0)&gt;0),0.4,"")))),
IF(VLOOKUP($A386-COUNT('Шаг2.Бланк заказа NEW'!$B$19:$B$201)-COUNT('Бланк OLD 0.8 04'!$B$18:$B$200),'Бланк OLD 2.0 04 '!$B$16:$K$200,7,0)&gt;1,2,
IF(VLOOKUP($A386-COUNT('Шаг2.Бланк заказа NEW'!$B$19:$B$201)-COUNT('Бланк OLD 0.8 04'!$B$18:$B$200),'Бланк OLD 2.0 04 '!$B$16:$K$200,8,0)&gt;1,0.4,
IF(AND(VLOOKUP($A386-COUNT('Шаг2.Бланк заказа NEW'!$B$19:$B$201)-COUNT('Бланк OLD 0.8 04'!$B$18:$B$200),'Бланк OLD 2.0 04 '!$B$16:$K$200,7,0)&gt;0,VLOOKUP($A386-COUNT('Шаг2.Бланк заказа NEW'!$B$19:$B$201)-COUNT('Бланк OLD 0.8 04'!$B$18:$B$200),'Бланк OLD 2.0 04 '!$B$16:$K$200,8,0)&gt;0),0.4,""))))</f>
        <v/>
      </c>
      <c r="V386" s="146" t="str">
        <f ca="1">IFERROR(VLOOKUP(C386,'Шаг1.Выбор плиты'!C:S,12,0),"")</f>
        <v/>
      </c>
      <c r="W386" s="146" t="str">
        <f ca="1">IFERROR(VLOOKUP(C386,'Шаг1.Выбор плиты'!C:S,8,0),"")</f>
        <v/>
      </c>
      <c r="X386" s="146" t="str">
        <f ca="1">IFERROR(VLOOKUP(C386,'Шаг1.Выбор плиты'!C:S,10,0),"")</f>
        <v/>
      </c>
      <c r="Y386" s="147" t="str">
        <f t="shared" ca="1" si="28"/>
        <v/>
      </c>
      <c r="AD386" s="147" t="str">
        <f t="shared" ca="1" si="37"/>
        <v/>
      </c>
      <c r="AE386" s="147" t="str">
        <f t="shared" ca="1" si="29"/>
        <v/>
      </c>
      <c r="AF386" s="25"/>
      <c r="AH386" s="147" t="str">
        <f ca="1">IF(C386="","",VLOOKUP(C386,'Шаг1.Выбор плиты'!C:Q,7,0))</f>
        <v/>
      </c>
      <c r="AI386" s="147" t="str">
        <f t="shared" ca="1" si="38"/>
        <v/>
      </c>
    </row>
    <row r="387" spans="1:35" x14ac:dyDescent="0.2">
      <c r="A387" s="151" t="str">
        <f ca="1">IF(C387="","",MAX($A$1:OFFSET(C387,-1,0))+1)</f>
        <v/>
      </c>
      <c r="B387" s="151" t="str">
        <f ca="1">IFERROR(IFERROR(IFERROR("Шаг2.Бланк заказа NEW №"&amp;VLOOKUP(A386+1,CHOOSE({1,2},'Шаг2.Бланк заказа NEW'!$B$19:$B$201,'Шаг2.Бланк заказа NEW'!$A$19:$A$201),1,0),
"Бланк OLD 0.8 04 №"&amp;VLOOKUP(A386+1-COUNT('Шаг2.Бланк заказа NEW'!$B$19:$B$201),CHOOSE({1,2},'Бланк OLD 0.8 04'!$B$18:$B$200,'Бланк OLD 0.8 04'!$A$18:$A$200),1,0)),
"Бланк OLD 2.0 04 №"&amp;VLOOKUP(A386+1-COUNT('Шаг2.Бланк заказа NEW'!$B$19:$B$201)-COUNT('Бланк OLD 0.8 04'!$B$18:$B$200),CHOOSE({1,2},'Бланк OLD 2.0 04 '!$B$18:$B$200,'Бланк OLD 2.0 04 '!$A$18:$A$200),1,0)),"")</f>
        <v/>
      </c>
      <c r="C387" s="152" t="str">
        <f ca="1">IFERROR(IFERROR(IFERROR(VLOOKUP(A386+1,CHOOSE({1,2},'Шаг2.Бланк заказа NEW'!$B$19:$B$201,'Шаг2.Бланк заказа NEW'!$A$19:$A$201),2,0),
VLOOKUP(A386+1-COUNT('Шаг2.Бланк заказа NEW'!$B$19:$B$201),CHOOSE({1,2},'Бланк OLD 0.8 04'!$B$18:$B$200,'Бланк OLD 0.8 04'!$A$18:$A$200),2,0)),
VLOOKUP(A386+1-COUNT('Шаг2.Бланк заказа NEW'!$B$19:$B$201)-COUNT('Бланк OLD 0.8 04'!$B$18:$B$200),CHOOSE({1,2},'Бланк OLD 2.0 04 '!$B$18:$B$200,'Бланк OLD 2.0 04 '!$A$18:$A$200),2,0)),"")</f>
        <v/>
      </c>
      <c r="D387" s="150" t="str">
        <f ca="1">IFERROR(VLOOKUP(C387,'Шаг1.Выбор плиты'!C:G,5,0),"")</f>
        <v/>
      </c>
      <c r="E387" s="147" t="str">
        <f ca="1">IFERROR(IFERROR(IF(VLOOKUP($A387,'Шаг2.Бланк заказа NEW'!$B$17:$N$201,2,0)="","",VLOOKUP($A387,'Шаг2.Бланк заказа NEW'!$B$17:$N$201,2,0)),
IF(VLOOKUP($A387-COUNT('Шаг2.Бланк заказа NEW'!$B$19:$B$201),'Бланк OLD 0.8 04'!$B$12:$K$200,2,0)="","",VLOOKUP($A387-COUNT('Шаг2.Бланк заказа NEW'!$B$19:$B$201),'Бланк OLD 0.8 04'!$B$12:$K$200,2,0))),
IF(VLOOKUP($A387-COUNT('Шаг2.Бланк заказа NEW'!$B$19:$B$201)-COUNT('Бланк OLD 0.8 04'!$B$18:$B$200),'Бланк OLD 2.0 04 '!$B$16:$K$200,2,0)="","",VLOOKUP($A387-COUNT('Шаг2.Бланк заказа NEW'!$B$19:$B$201)-COUNT('Бланк OLD 0.8 04'!$B$18:$B$200),'Бланк OLD 2.0 04 '!$B$16:$K$200,2,0)))</f>
        <v/>
      </c>
      <c r="F387" s="147" t="str">
        <f ca="1">IFERROR(IFERROR(IF(VLOOKUP($A387,'Шаг2.Бланк заказа NEW'!$B$17:$N$201,3,0)="","",VLOOKUP($A387,'Шаг2.Бланк заказа NEW'!$B$17:$N$201,3,0)),
IF(VLOOKUP($A387-COUNT('Шаг2.Бланк заказа NEW'!$B$19:$B$201),'Бланк OLD 0.8 04'!$B$12:$K$200,3,0)="","",VLOOKUP($A387-COUNT('Шаг2.Бланк заказа NEW'!$B$19:$B$201),'Бланк OLD 0.8 04'!$B$12:$K$200,3,0))),
IF(VLOOKUP($A387-COUNT('Шаг2.Бланк заказа NEW'!$B$19:$B$201)-COUNT('Бланк OLD 0.8 04'!$B$18:$B$200),'Бланк OLD 2.0 04 '!$B$16:$K$200,3,0)="","",VLOOKUP($A387-COUNT('Шаг2.Бланк заказа NEW'!$B$19:$B$201)-COUNT('Бланк OLD 0.8 04'!$B$18:$B$200),'Бланк OLD 2.0 04 '!$B$16:$K$200,3,0)))</f>
        <v/>
      </c>
      <c r="G387" s="176" t="str">
        <f ca="1">IF(IF(R387="","",IF(R387=1,SUMIFS('Шаг1.Выбор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плиты'!C:Q,12,0)),1))))))=0,
R387,
IF(R387="","",IF(R387=1,SUMIFS('Шаг1.Выбор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плиты'!N:N,R387,'Шаг1.Выбор плиты'!M:M,SMALL(INDIRECT("мм"&amp;VLOOKUP(C387,'Шаг1.Выбор плиты'!C:Q,12,0)),1)))))))</f>
        <v/>
      </c>
      <c r="H387" s="177" t="str">
        <f ca="1">IF(IF(S387="","",IF(S387=1,SUMIFS('Шаг1.Выбор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плиты'!C:Q,12,0)),1))))))=0,
S387,
IF(S387="","",IF(S387=1,SUMIFS('Шаг1.Выбор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плиты'!N:N,S387,'Шаг1.Выбор плиты'!M:M,SMALL(INDIRECT("мм"&amp;VLOOKUP(C387,'Шаг1.Выбор плиты'!C:Q,12,0)),1)))))))</f>
        <v/>
      </c>
      <c r="I387" s="147" t="str">
        <f ca="1">IFERROR(IFERROR(IF(VLOOKUP($A387,'Шаг2.Бланк заказа NEW'!$B$17:$N$201,6,0)="","",VLOOKUP($A387,'Шаг2.Бланк заказа NEW'!$B$17:$N$201,6,0)),
IF(VLOOKUP($A387-COUNT('Шаг2.Бланк заказа NEW'!$B$19:$B$201),'Бланк OLD 0.8 04'!$B$12:$K$200,6,0)="","",VLOOKUP($A387-COUNT('Шаг2.Бланк заказа NEW'!$B$19:$B$201),'Бланк OLD 0.8 04'!$B$12:$K$200,6,0))),
IF(VLOOKUP($A387-COUNT('Шаг2.Бланк заказа NEW'!$B$19:$B$201)-COUNT('Бланк OLD 0.8 04'!$B$18:$B$200),'Бланк OLD 2.0 04 '!$B$16:$K$200,6,0)="","",VLOOKUP($A387-COUNT('Шаг2.Бланк заказа NEW'!$B$19:$B$201)-COUNT('Бланк OLD 0.8 04'!$B$18:$B$200),'Бланк OLD 2.0 04 '!$B$16:$K$200,6,0)))</f>
        <v/>
      </c>
      <c r="J387" s="177" t="str">
        <f ca="1">IF(IF(T387="","",IF(T387=1,SUMIFS('Шаг1.Выбор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плиты'!C:Q,12,0)),1))))))=0,
T387,
IF(T387="","",IF(T387=1,SUMIFS('Шаг1.Выбор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плиты'!N:N,T387,'Шаг1.Выбор плиты'!M:M,SMALL(INDIRECT("мм"&amp;VLOOKUP(C387,'Шаг1.Выбор плиты'!C:Q,12,0)),1)))))))</f>
        <v/>
      </c>
      <c r="K387" s="177" t="str">
        <f ca="1">IF(IF(U387="","",IF(U387=1,SUMIFS('Шаг1.Выбор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плиты'!C:Q,12,0)),1))))))=0,
U387,
IF(U387="","",IF(U387=1,SUMIFS('Шаг1.Выбор плиты'!$G:$G,'Шаг1.Выбор плиты'!J:J,"*"&amp;RIGHT(VLOOKUP(C387,'Шаг1.Выбор плиты'!C:Q,8,0),4),'Шаг1.Выбор плиты'!L:L,IF(MID(C387,1,6)="ЛДСП P","TM"&amp;MID(VLOOKUP(C387,'Шаг1.Выбор плиты'!C:Q,10,0),3,2),MID(VLOOKUP(C387,'Шаг1.Выбор плиты'!C:Q,10,0),1,2)),
'Шаг1.Выбор плиты'!N:N,1),IF(SUMIFS('Шаг1.Выбор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плиты'!C:Q,12,0)),1))=0,
IF(SUMIFS('Шаг1.Выбор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плиты'!C:Q,12,0)),2))=0,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плиты'!C:Q,12,0)),3)),
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плиты'!C:Q,12,0)),2))),
(SUMIFS('Шаг1.Выбор плиты'!$G:$G,'Шаг1.Выбор плиты'!J:J,"*"&amp;RIGHT(VLOOKUP(C387,'Шаг1.Выбор плиты'!C:Q,8,0),4),'Шаг1.Выбор плиты'!L:L,VLOOKUP(C387,'Шаг1.Выбор плиты'!C:Q,10,0),'Шаг1.Выбор плиты'!N:N,U387,'Шаг1.Выбор плиты'!M:M,SMALL(INDIRECT("мм"&amp;VLOOKUP(C387,'Шаг1.Выбор плиты'!C:Q,12,0)),1)))))))</f>
        <v/>
      </c>
      <c r="L387" s="147" t="str">
        <f ca="1">IFERROR(IFERROR(IF(VLOOKUP($A387,'Шаг2.Бланк заказа NEW'!$B$17:$N$201,9,0)="","",VLOOKUP($A387,'Шаг2.Бланк заказа NEW'!$B$17:$N$201,9,0)),
IF(VLOOKUP($A387-COUNT('Шаг2.Бланк заказа NEW'!$B$19:$B$201),'Бланк OLD 0.8 04'!$B$12:$K$200,9,0)="","",VLOOKUP($A387-COUNT('Шаг2.Бланк заказа NEW'!$B$19:$B$201),'Бланк OLD 0.8 04'!$B$12:$K$200,9,0))),
IF(VLOOKUP($A387-COUNT('Шаг2.Бланк заказа NEW'!$B$19:$B$201)-COUNT('Бланк OLD 0.8 04'!$B$18:$B$200),'Бланк OLD 2.0 04 '!$B$16:$K$200,9,0)="","",VLOOKUP($A387-COUNT('Шаг2.Бланк заказа NEW'!$B$19:$B$201)-COUNT('Бланк OLD 0.8 04'!$B$18:$B$200),'Бланк OLD 2.0 04 '!$B$16:$K$200,9,0)))</f>
        <v/>
      </c>
      <c r="M387" s="154" t="str">
        <f t="shared" ca="1" si="36"/>
        <v/>
      </c>
      <c r="N387" s="153" t="str">
        <f ca="1">IFERROR(IF(VLOOKUP($A387,'Шаг2.Бланк заказа NEW'!$B$17:$N$201,11,0)="","",VLOOKUP($A387,'Шаг2.Бланк заказа NEW'!$B$17:$N$201,11,0)),
"Нет")</f>
        <v/>
      </c>
      <c r="O387" s="147" t="str">
        <f ca="1">IFERROR(IF(VLOOKUP($A387,'Шаг2.Бланк заказа NEW'!$B$17:$N$201,11,0)="","",VLOOKUP($A387,'Шаг2.Бланк заказа NEW'!$B$17:$N$201,12,0)),
"Нет")</f>
        <v/>
      </c>
      <c r="P387" s="153" t="str">
        <f ca="1">IFERROR(IF(VLOOKUP($A387,'Шаг2.Бланк заказа NEW'!$B$17:$N$201,13,0)="","",VLOOKUP($A387,'Шаг2.Бланк заказа NEW'!$B$17:$N$201,13,0)),
"Нет")</f>
        <v/>
      </c>
      <c r="Q387" s="147" t="str">
        <f ca="1">IFERROR(IF(VLOOKUP($A387,'Шаг2.Бланк заказа NEW'!$B$17:$O$201,14,0)="","",VLOOKUP($A387,'Шаг2.Бланк заказа NEW'!$B$17:$O$201,14,0)),"")</f>
        <v/>
      </c>
      <c r="R387" s="147" t="str">
        <f ca="1">IFERROR(IFERROR(IF(VLOOKUP($A387,'Шаг2.Бланк заказа NEW'!$B$17:$N$201,4,0)="","",VLOOKUP($A387,'Шаг2.Бланк заказа NEW'!$B$17:$N$201,4,0)),
IF(VLOOKUP($A387-COUNT('Шаг2.Бланк заказа NEW'!$B$19:$B$201),'Бланк OLD 0.8 04'!$B$12:$K$200,4,0)&gt;0,0.8,
IF(VLOOKUP($A387-COUNT('Шаг2.Бланк заказа NEW'!$B$19:$B$201),'Бланк OLD 0.8 04'!$B$12:$K$200,5,0)&gt;0,0.4,""))),
IF(VLOOKUP($A387-COUNT('Шаг2.Бланк заказа NEW'!$B$19:$B$201)-COUNT('Бланк OLD 0.8 04'!$B$18:$B$200),'Бланк OLD 2.0 04 '!$B$16:$K$200,4,0)&gt;0,2,IF(VLOOKUP($A387-COUNT('Шаг2.Бланк заказа NEW'!$B$19:$B$201)-COUNT('Бланк OLD 0.8 04'!$B$18:$B$200),'Бланк OLD 2.0 04 '!$B$16:$K$200,5,0)&gt;0,0.4,"")))</f>
        <v/>
      </c>
      <c r="S387" s="147" t="str">
        <f ca="1">IFERROR(IFERROR(IF(VLOOKUP($A387,'Шаг2.Бланк заказа NEW'!$B$17:$N$201,5,0)="","",VLOOKUP($A387,'Шаг2.Бланк заказа NEW'!$B$17:$N$201,5,0)),
IF(VLOOKUP($A387-COUNT('Шаг2.Бланк заказа NEW'!$B$19:$B$201),'Бланк OLD 0.8 04'!$B$12:$K$200,4,0)&gt;1,0.8,
IF(VLOOKUP($A387-COUNT('Шаг2.Бланк заказа NEW'!$B$19:$B$201),'Бланк OLD 0.8 04'!$B$12:$K$200,5,0)&gt;1,0.4,
IF(AND(VLOOKUP($A387-COUNT('Шаг2.Бланк заказа NEW'!$B$19:$B$201),'Бланк OLD 0.8 04'!$B$12:$K$200,4,0)&gt;0,VLOOKUP($A387-COUNT('Шаг2.Бланк заказа NEW'!$B$19:$B$201),'Бланк OLD 0.8 04'!$B$12:$K$200,5,0)&gt;0),0.4,"")))),
IF(VLOOKUP($A387-COUNT('Шаг2.Бланк заказа NEW'!$B$19:$B$201)-COUNT('Бланк OLD 0.8 04'!$B$18:$B$200),'Бланк OLD 2.0 04 '!$B$16:$K$200,4,0)&gt;1,2,
IF(VLOOKUP($A387-COUNT('Шаг2.Бланк заказа NEW'!$B$19:$B$201)-COUNT('Бланк OLD 0.8 04'!$B$18:$B$200),'Бланк OLD 2.0 04 '!$B$16:$K$200,5,0)&gt;1,0.4,IF(AND(VLOOKUP($A387-COUNT('Шаг2.Бланк заказа NEW'!$B$19:$B$201)-COUNT('Бланк OLD 0.8 04'!$B$18:$B$200),'Бланк OLD 2.0 04 '!$B$16:$K$200,4,0)&gt;0,VLOOKUP($A387-COUNT('Шаг2.Бланк заказа NEW'!$B$19:$B$201)-COUNT('Бланк OLD 0.8 04'!$B$18:$B$200),'Бланк OLD 2.0 04 '!$B$16:$K$200,5,0)&gt;0),0.4,""))))</f>
        <v/>
      </c>
      <c r="T387" s="147" t="str">
        <f ca="1">IFERROR(IFERROR(IF(VLOOKUP($A387,'Шаг2.Бланк заказа NEW'!$B$17:$N$201,7,0)="","",VLOOKUP($A387,'Шаг2.Бланк заказа NEW'!$B$17:$N$201,7,0)),
IF(VLOOKUP($A387-COUNT('Шаг2.Бланк заказа NEW'!$B$19:$B$201),'Бланк OLD 0.8 04'!$B$12:$K$200,7,0)&gt;0,0.8,
IF(VLOOKUP($A387-COUNT('Шаг2.Бланк заказа NEW'!$B$19:$B$201),'Бланк OLD 0.8 04'!$B$12:$K$200,8,0)&gt;0,0.4,""))),
IF(VLOOKUP($A387-COUNT('Шаг2.Бланк заказа NEW'!$B$19:$B$201)-COUNT('Бланк OLD 0.8 04'!$B$18:$B$200),'Бланк OLD 2.0 04 '!$B$16:$K$200,7,0)&gt;0,2,IF(VLOOKUP($A387-COUNT('Шаг2.Бланк заказа NEW'!$B$19:$B$201)-COUNT('Бланк OLD 0.8 04'!$B$18:$B$200),'Бланк OLD 2.0 04 '!$B$16:$K$200,8,0)&gt;0,0.4,"")))</f>
        <v/>
      </c>
      <c r="U387" s="147" t="str">
        <f ca="1">IFERROR(IFERROR(IF(VLOOKUP($A387,'Шаг2.Бланк заказа NEW'!$B$17:$N$201,8,0)="","",VLOOKUP($A387,'Шаг2.Бланк заказа NEW'!$B$17:$N$201,8,0)),
IF(VLOOKUP($A387-COUNT('Шаг2.Бланк заказа NEW'!$B$19:$B$201),'Бланк OLD 0.8 04'!$B$12:$K$200,7,0)&gt;1,0.8,
IF(VLOOKUP($A387-COUNT('Шаг2.Бланк заказа NEW'!$B$19:$B$201),'Бланк OLD 0.8 04'!$B$12:$K$200,8,0)&gt;1,0.4,
IF(AND(VLOOKUP($A387-COUNT('Шаг2.Бланк заказа NEW'!$B$19:$B$201),'Бланк OLD 0.8 04'!$B$12:$K$200,7,0)&gt;0,VLOOKUP($A387-COUNT('Шаг2.Бланк заказа NEW'!$B$19:$B$201),'Бланк OLD 0.8 04'!$B$12:$K$200,8,0)&gt;0),0.4,"")))),
IF(VLOOKUP($A387-COUNT('Шаг2.Бланк заказа NEW'!$B$19:$B$201)-COUNT('Бланк OLD 0.8 04'!$B$18:$B$200),'Бланк OLD 2.0 04 '!$B$16:$K$200,7,0)&gt;1,2,
IF(VLOOKUP($A387-COUNT('Шаг2.Бланк заказа NEW'!$B$19:$B$201)-COUNT('Бланк OLD 0.8 04'!$B$18:$B$200),'Бланк OLD 2.0 04 '!$B$16:$K$200,8,0)&gt;1,0.4,
IF(AND(VLOOKUP($A387-COUNT('Шаг2.Бланк заказа NEW'!$B$19:$B$201)-COUNT('Бланк OLD 0.8 04'!$B$18:$B$200),'Бланк OLD 2.0 04 '!$B$16:$K$200,7,0)&gt;0,VLOOKUP($A387-COUNT('Шаг2.Бланк заказа NEW'!$B$19:$B$201)-COUNT('Бланк OLD 0.8 04'!$B$18:$B$200),'Бланк OLD 2.0 04 '!$B$16:$K$200,8,0)&gt;0),0.4,""))))</f>
        <v/>
      </c>
      <c r="V387" s="146" t="str">
        <f ca="1">IFERROR(VLOOKUP(C387,'Шаг1.Выбор плиты'!C:S,12,0),"")</f>
        <v/>
      </c>
      <c r="W387" s="146" t="str">
        <f ca="1">IFERROR(VLOOKUP(C387,'Шаг1.Выбор плиты'!C:S,8,0),"")</f>
        <v/>
      </c>
      <c r="X387" s="146" t="str">
        <f ca="1">IFERROR(VLOOKUP(C387,'Шаг1.Выбор плиты'!C:S,10,0),"")</f>
        <v/>
      </c>
      <c r="Y387" s="147" t="str">
        <f t="shared" ref="Y387:Y450" ca="1" si="39">IF(C387="","",$Z$7)</f>
        <v/>
      </c>
      <c r="AD387" s="147" t="str">
        <f t="shared" ca="1" si="37"/>
        <v/>
      </c>
      <c r="AE387" s="147" t="str">
        <f t="shared" ref="AE387:AE450" ca="1" si="40">IF(B387="","","kwadrat"&amp;(V387*1))</f>
        <v/>
      </c>
      <c r="AF387" s="25"/>
      <c r="AH387" s="147" t="str">
        <f ca="1">IF(C387="","",VLOOKUP(C387,'Шаг1.Выбор плиты'!C:Q,7,0))</f>
        <v/>
      </c>
      <c r="AI387" s="147" t="str">
        <f t="shared" ca="1" si="38"/>
        <v/>
      </c>
    </row>
    <row r="388" spans="1:35" x14ac:dyDescent="0.2">
      <c r="A388" s="151" t="str">
        <f ca="1">IF(C388="","",MAX($A$1:OFFSET(C388,-1,0))+1)</f>
        <v/>
      </c>
      <c r="B388" s="151" t="str">
        <f ca="1">IFERROR(IFERROR(IFERROR("Шаг2.Бланк заказа NEW №"&amp;VLOOKUP(A387+1,CHOOSE({1,2},'Шаг2.Бланк заказа NEW'!$B$19:$B$201,'Шаг2.Бланк заказа NEW'!$A$19:$A$201),1,0),
"Бланк OLD 0.8 04 №"&amp;VLOOKUP(A387+1-COUNT('Шаг2.Бланк заказа NEW'!$B$19:$B$201),CHOOSE({1,2},'Бланк OLD 0.8 04'!$B$18:$B$200,'Бланк OLD 0.8 04'!$A$18:$A$200),1,0)),
"Бланк OLD 2.0 04 №"&amp;VLOOKUP(A387+1-COUNT('Шаг2.Бланк заказа NEW'!$B$19:$B$201)-COUNT('Бланк OLD 0.8 04'!$B$18:$B$200),CHOOSE({1,2},'Бланк OLD 2.0 04 '!$B$18:$B$200,'Бланк OLD 2.0 04 '!$A$18:$A$200),1,0)),"")</f>
        <v/>
      </c>
      <c r="C388" s="152" t="str">
        <f ca="1">IFERROR(IFERROR(IFERROR(VLOOKUP(A387+1,CHOOSE({1,2},'Шаг2.Бланк заказа NEW'!$B$19:$B$201,'Шаг2.Бланк заказа NEW'!$A$19:$A$201),2,0),
VLOOKUP(A387+1-COUNT('Шаг2.Бланк заказа NEW'!$B$19:$B$201),CHOOSE({1,2},'Бланк OLD 0.8 04'!$B$18:$B$200,'Бланк OLD 0.8 04'!$A$18:$A$200),2,0)),
VLOOKUP(A387+1-COUNT('Шаг2.Бланк заказа NEW'!$B$19:$B$201)-COUNT('Бланк OLD 0.8 04'!$B$18:$B$200),CHOOSE({1,2},'Бланк OLD 2.0 04 '!$B$18:$B$200,'Бланк OLD 2.0 04 '!$A$18:$A$200),2,0)),"")</f>
        <v/>
      </c>
      <c r="D388" s="150" t="str">
        <f ca="1">IFERROR(VLOOKUP(C388,'Шаг1.Выбор плиты'!C:G,5,0),"")</f>
        <v/>
      </c>
      <c r="E388" s="147" t="str">
        <f ca="1">IFERROR(IFERROR(IF(VLOOKUP($A388,'Шаг2.Бланк заказа NEW'!$B$17:$N$201,2,0)="","",VLOOKUP($A388,'Шаг2.Бланк заказа NEW'!$B$17:$N$201,2,0)),
IF(VLOOKUP($A388-COUNT('Шаг2.Бланк заказа NEW'!$B$19:$B$201),'Бланк OLD 0.8 04'!$B$12:$K$200,2,0)="","",VLOOKUP($A388-COUNT('Шаг2.Бланк заказа NEW'!$B$19:$B$201),'Бланк OLD 0.8 04'!$B$12:$K$200,2,0))),
IF(VLOOKUP($A388-COUNT('Шаг2.Бланк заказа NEW'!$B$19:$B$201)-COUNT('Бланк OLD 0.8 04'!$B$18:$B$200),'Бланк OLD 2.0 04 '!$B$16:$K$200,2,0)="","",VLOOKUP($A388-COUNT('Шаг2.Бланк заказа NEW'!$B$19:$B$201)-COUNT('Бланк OLD 0.8 04'!$B$18:$B$200),'Бланк OLD 2.0 04 '!$B$16:$K$200,2,0)))</f>
        <v/>
      </c>
      <c r="F388" s="147" t="str">
        <f ca="1">IFERROR(IFERROR(IF(VLOOKUP($A388,'Шаг2.Бланк заказа NEW'!$B$17:$N$201,3,0)="","",VLOOKUP($A388,'Шаг2.Бланк заказа NEW'!$B$17:$N$201,3,0)),
IF(VLOOKUP($A388-COUNT('Шаг2.Бланк заказа NEW'!$B$19:$B$201),'Бланк OLD 0.8 04'!$B$12:$K$200,3,0)="","",VLOOKUP($A388-COUNT('Шаг2.Бланк заказа NEW'!$B$19:$B$201),'Бланк OLD 0.8 04'!$B$12:$K$200,3,0))),
IF(VLOOKUP($A388-COUNT('Шаг2.Бланк заказа NEW'!$B$19:$B$201)-COUNT('Бланк OLD 0.8 04'!$B$18:$B$200),'Бланк OLD 2.0 04 '!$B$16:$K$200,3,0)="","",VLOOKUP($A388-COUNT('Шаг2.Бланк заказа NEW'!$B$19:$B$201)-COUNT('Бланк OLD 0.8 04'!$B$18:$B$200),'Бланк OLD 2.0 04 '!$B$16:$K$200,3,0)))</f>
        <v/>
      </c>
      <c r="G388" s="176" t="str">
        <f ca="1">IF(IF(R388="","",IF(R388=1,SUMIFS('Шаг1.Выбор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плиты'!C:Q,12,0)),1))))))=0,
R388,
IF(R388="","",IF(R388=1,SUMIFS('Шаг1.Выбор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плиты'!N:N,R388,'Шаг1.Выбор плиты'!M:M,SMALL(INDIRECT("мм"&amp;VLOOKUP(C388,'Шаг1.Выбор плиты'!C:Q,12,0)),1)))))))</f>
        <v/>
      </c>
      <c r="H388" s="177" t="str">
        <f ca="1">IF(IF(S388="","",IF(S388=1,SUMIFS('Шаг1.Выбор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плиты'!C:Q,12,0)),1))))))=0,
S388,
IF(S388="","",IF(S388=1,SUMIFS('Шаг1.Выбор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плиты'!N:N,S388,'Шаг1.Выбор плиты'!M:M,SMALL(INDIRECT("мм"&amp;VLOOKUP(C388,'Шаг1.Выбор плиты'!C:Q,12,0)),1)))))))</f>
        <v/>
      </c>
      <c r="I388" s="147" t="str">
        <f ca="1">IFERROR(IFERROR(IF(VLOOKUP($A388,'Шаг2.Бланк заказа NEW'!$B$17:$N$201,6,0)="","",VLOOKUP($A388,'Шаг2.Бланк заказа NEW'!$B$17:$N$201,6,0)),
IF(VLOOKUP($A388-COUNT('Шаг2.Бланк заказа NEW'!$B$19:$B$201),'Бланк OLD 0.8 04'!$B$12:$K$200,6,0)="","",VLOOKUP($A388-COUNT('Шаг2.Бланк заказа NEW'!$B$19:$B$201),'Бланк OLD 0.8 04'!$B$12:$K$200,6,0))),
IF(VLOOKUP($A388-COUNT('Шаг2.Бланк заказа NEW'!$B$19:$B$201)-COUNT('Бланк OLD 0.8 04'!$B$18:$B$200),'Бланк OLD 2.0 04 '!$B$16:$K$200,6,0)="","",VLOOKUP($A388-COUNT('Шаг2.Бланк заказа NEW'!$B$19:$B$201)-COUNT('Бланк OLD 0.8 04'!$B$18:$B$200),'Бланк OLD 2.0 04 '!$B$16:$K$200,6,0)))</f>
        <v/>
      </c>
      <c r="J388" s="177" t="str">
        <f ca="1">IF(IF(T388="","",IF(T388=1,SUMIFS('Шаг1.Выбор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плиты'!C:Q,12,0)),1))))))=0,
T388,
IF(T388="","",IF(T388=1,SUMIFS('Шаг1.Выбор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плиты'!N:N,T388,'Шаг1.Выбор плиты'!M:M,SMALL(INDIRECT("мм"&amp;VLOOKUP(C388,'Шаг1.Выбор плиты'!C:Q,12,0)),1)))))))</f>
        <v/>
      </c>
      <c r="K388" s="177" t="str">
        <f ca="1">IF(IF(U388="","",IF(U388=1,SUMIFS('Шаг1.Выбор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плиты'!C:Q,12,0)),1))))))=0,
U388,
IF(U388="","",IF(U388=1,SUMIFS('Шаг1.Выбор плиты'!$G:$G,'Шаг1.Выбор плиты'!J:J,"*"&amp;RIGHT(VLOOKUP(C388,'Шаг1.Выбор плиты'!C:Q,8,0),4),'Шаг1.Выбор плиты'!L:L,IF(MID(C388,1,6)="ЛДСП P","TM"&amp;MID(VLOOKUP(C388,'Шаг1.Выбор плиты'!C:Q,10,0),3,2),MID(VLOOKUP(C388,'Шаг1.Выбор плиты'!C:Q,10,0),1,2)),
'Шаг1.Выбор плиты'!N:N,1),IF(SUMIFS('Шаг1.Выбор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плиты'!C:Q,12,0)),1))=0,
IF(SUMIFS('Шаг1.Выбор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плиты'!C:Q,12,0)),2))=0,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плиты'!C:Q,12,0)),3)),
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плиты'!C:Q,12,0)),2))),
(SUMIFS('Шаг1.Выбор плиты'!$G:$G,'Шаг1.Выбор плиты'!J:J,"*"&amp;RIGHT(VLOOKUP(C388,'Шаг1.Выбор плиты'!C:Q,8,0),4),'Шаг1.Выбор плиты'!L:L,VLOOKUP(C388,'Шаг1.Выбор плиты'!C:Q,10,0),'Шаг1.Выбор плиты'!N:N,U388,'Шаг1.Выбор плиты'!M:M,SMALL(INDIRECT("мм"&amp;VLOOKUP(C388,'Шаг1.Выбор плиты'!C:Q,12,0)),1)))))))</f>
        <v/>
      </c>
      <c r="L388" s="147" t="str">
        <f ca="1">IFERROR(IFERROR(IF(VLOOKUP($A388,'Шаг2.Бланк заказа NEW'!$B$17:$N$201,9,0)="","",VLOOKUP($A388,'Шаг2.Бланк заказа NEW'!$B$17:$N$201,9,0)),
IF(VLOOKUP($A388-COUNT('Шаг2.Бланк заказа NEW'!$B$19:$B$201),'Бланк OLD 0.8 04'!$B$12:$K$200,9,0)="","",VLOOKUP($A388-COUNT('Шаг2.Бланк заказа NEW'!$B$19:$B$201),'Бланк OLD 0.8 04'!$B$12:$K$200,9,0))),
IF(VLOOKUP($A388-COUNT('Шаг2.Бланк заказа NEW'!$B$19:$B$201)-COUNT('Бланк OLD 0.8 04'!$B$18:$B$200),'Бланк OLD 2.0 04 '!$B$16:$K$200,9,0)="","",VLOOKUP($A388-COUNT('Шаг2.Бланк заказа NEW'!$B$19:$B$201)-COUNT('Бланк OLD 0.8 04'!$B$18:$B$200),'Бланк OLD 2.0 04 '!$B$16:$K$200,9,0)))</f>
        <v/>
      </c>
      <c r="M388" s="154" t="str">
        <f t="shared" ca="1" si="36"/>
        <v/>
      </c>
      <c r="N388" s="153" t="str">
        <f ca="1">IFERROR(IF(VLOOKUP($A388,'Шаг2.Бланк заказа NEW'!$B$17:$N$201,11,0)="","",VLOOKUP($A388,'Шаг2.Бланк заказа NEW'!$B$17:$N$201,11,0)),
"Нет")</f>
        <v/>
      </c>
      <c r="O388" s="147" t="str">
        <f ca="1">IFERROR(IF(VLOOKUP($A388,'Шаг2.Бланк заказа NEW'!$B$17:$N$201,11,0)="","",VLOOKUP($A388,'Шаг2.Бланк заказа NEW'!$B$17:$N$201,12,0)),
"Нет")</f>
        <v/>
      </c>
      <c r="P388" s="153" t="str">
        <f ca="1">IFERROR(IF(VLOOKUP($A388,'Шаг2.Бланк заказа NEW'!$B$17:$N$201,13,0)="","",VLOOKUP($A388,'Шаг2.Бланк заказа NEW'!$B$17:$N$201,13,0)),
"Нет")</f>
        <v/>
      </c>
      <c r="Q388" s="147" t="str">
        <f ca="1">IFERROR(IF(VLOOKUP($A388,'Шаг2.Бланк заказа NEW'!$B$17:$O$201,14,0)="","",VLOOKUP($A388,'Шаг2.Бланк заказа NEW'!$B$17:$O$201,14,0)),"")</f>
        <v/>
      </c>
      <c r="R388" s="147" t="str">
        <f ca="1">IFERROR(IFERROR(IF(VLOOKUP($A388,'Шаг2.Бланк заказа NEW'!$B$17:$N$201,4,0)="","",VLOOKUP($A388,'Шаг2.Бланк заказа NEW'!$B$17:$N$201,4,0)),
IF(VLOOKUP($A388-COUNT('Шаг2.Бланк заказа NEW'!$B$19:$B$201),'Бланк OLD 0.8 04'!$B$12:$K$200,4,0)&gt;0,0.8,
IF(VLOOKUP($A388-COUNT('Шаг2.Бланк заказа NEW'!$B$19:$B$201),'Бланк OLD 0.8 04'!$B$12:$K$200,5,0)&gt;0,0.4,""))),
IF(VLOOKUP($A388-COUNT('Шаг2.Бланк заказа NEW'!$B$19:$B$201)-COUNT('Бланк OLD 0.8 04'!$B$18:$B$200),'Бланк OLD 2.0 04 '!$B$16:$K$200,4,0)&gt;0,2,IF(VLOOKUP($A388-COUNT('Шаг2.Бланк заказа NEW'!$B$19:$B$201)-COUNT('Бланк OLD 0.8 04'!$B$18:$B$200),'Бланк OLD 2.0 04 '!$B$16:$K$200,5,0)&gt;0,0.4,"")))</f>
        <v/>
      </c>
      <c r="S388" s="147" t="str">
        <f ca="1">IFERROR(IFERROR(IF(VLOOKUP($A388,'Шаг2.Бланк заказа NEW'!$B$17:$N$201,5,0)="","",VLOOKUP($A388,'Шаг2.Бланк заказа NEW'!$B$17:$N$201,5,0)),
IF(VLOOKUP($A388-COUNT('Шаг2.Бланк заказа NEW'!$B$19:$B$201),'Бланк OLD 0.8 04'!$B$12:$K$200,4,0)&gt;1,0.8,
IF(VLOOKUP($A388-COUNT('Шаг2.Бланк заказа NEW'!$B$19:$B$201),'Бланк OLD 0.8 04'!$B$12:$K$200,5,0)&gt;1,0.4,
IF(AND(VLOOKUP($A388-COUNT('Шаг2.Бланк заказа NEW'!$B$19:$B$201),'Бланк OLD 0.8 04'!$B$12:$K$200,4,0)&gt;0,VLOOKUP($A388-COUNT('Шаг2.Бланк заказа NEW'!$B$19:$B$201),'Бланк OLD 0.8 04'!$B$12:$K$200,5,0)&gt;0),0.4,"")))),
IF(VLOOKUP($A388-COUNT('Шаг2.Бланк заказа NEW'!$B$19:$B$201)-COUNT('Бланк OLD 0.8 04'!$B$18:$B$200),'Бланк OLD 2.0 04 '!$B$16:$K$200,4,0)&gt;1,2,
IF(VLOOKUP($A388-COUNT('Шаг2.Бланк заказа NEW'!$B$19:$B$201)-COUNT('Бланк OLD 0.8 04'!$B$18:$B$200),'Бланк OLD 2.0 04 '!$B$16:$K$200,5,0)&gt;1,0.4,IF(AND(VLOOKUP($A388-COUNT('Шаг2.Бланк заказа NEW'!$B$19:$B$201)-COUNT('Бланк OLD 0.8 04'!$B$18:$B$200),'Бланк OLD 2.0 04 '!$B$16:$K$200,4,0)&gt;0,VLOOKUP($A388-COUNT('Шаг2.Бланк заказа NEW'!$B$19:$B$201)-COUNT('Бланк OLD 0.8 04'!$B$18:$B$200),'Бланк OLD 2.0 04 '!$B$16:$K$200,5,0)&gt;0),0.4,""))))</f>
        <v/>
      </c>
      <c r="T388" s="147" t="str">
        <f ca="1">IFERROR(IFERROR(IF(VLOOKUP($A388,'Шаг2.Бланк заказа NEW'!$B$17:$N$201,7,0)="","",VLOOKUP($A388,'Шаг2.Бланк заказа NEW'!$B$17:$N$201,7,0)),
IF(VLOOKUP($A388-COUNT('Шаг2.Бланк заказа NEW'!$B$19:$B$201),'Бланк OLD 0.8 04'!$B$12:$K$200,7,0)&gt;0,0.8,
IF(VLOOKUP($A388-COUNT('Шаг2.Бланк заказа NEW'!$B$19:$B$201),'Бланк OLD 0.8 04'!$B$12:$K$200,8,0)&gt;0,0.4,""))),
IF(VLOOKUP($A388-COUNT('Шаг2.Бланк заказа NEW'!$B$19:$B$201)-COUNT('Бланк OLD 0.8 04'!$B$18:$B$200),'Бланк OLD 2.0 04 '!$B$16:$K$200,7,0)&gt;0,2,IF(VLOOKUP($A388-COUNT('Шаг2.Бланк заказа NEW'!$B$19:$B$201)-COUNT('Бланк OLD 0.8 04'!$B$18:$B$200),'Бланк OLD 2.0 04 '!$B$16:$K$200,8,0)&gt;0,0.4,"")))</f>
        <v/>
      </c>
      <c r="U388" s="147" t="str">
        <f ca="1">IFERROR(IFERROR(IF(VLOOKUP($A388,'Шаг2.Бланк заказа NEW'!$B$17:$N$201,8,0)="","",VLOOKUP($A388,'Шаг2.Бланк заказа NEW'!$B$17:$N$201,8,0)),
IF(VLOOKUP($A388-COUNT('Шаг2.Бланк заказа NEW'!$B$19:$B$201),'Бланк OLD 0.8 04'!$B$12:$K$200,7,0)&gt;1,0.8,
IF(VLOOKUP($A388-COUNT('Шаг2.Бланк заказа NEW'!$B$19:$B$201),'Бланк OLD 0.8 04'!$B$12:$K$200,8,0)&gt;1,0.4,
IF(AND(VLOOKUP($A388-COUNT('Шаг2.Бланк заказа NEW'!$B$19:$B$201),'Бланк OLD 0.8 04'!$B$12:$K$200,7,0)&gt;0,VLOOKUP($A388-COUNT('Шаг2.Бланк заказа NEW'!$B$19:$B$201),'Бланк OLD 0.8 04'!$B$12:$K$200,8,0)&gt;0),0.4,"")))),
IF(VLOOKUP($A388-COUNT('Шаг2.Бланк заказа NEW'!$B$19:$B$201)-COUNT('Бланк OLD 0.8 04'!$B$18:$B$200),'Бланк OLD 2.0 04 '!$B$16:$K$200,7,0)&gt;1,2,
IF(VLOOKUP($A388-COUNT('Шаг2.Бланк заказа NEW'!$B$19:$B$201)-COUNT('Бланк OLD 0.8 04'!$B$18:$B$200),'Бланк OLD 2.0 04 '!$B$16:$K$200,8,0)&gt;1,0.4,
IF(AND(VLOOKUP($A388-COUNT('Шаг2.Бланк заказа NEW'!$B$19:$B$201)-COUNT('Бланк OLD 0.8 04'!$B$18:$B$200),'Бланк OLD 2.0 04 '!$B$16:$K$200,7,0)&gt;0,VLOOKUP($A388-COUNT('Шаг2.Бланк заказа NEW'!$B$19:$B$201)-COUNT('Бланк OLD 0.8 04'!$B$18:$B$200),'Бланк OLD 2.0 04 '!$B$16:$K$200,8,0)&gt;0),0.4,""))))</f>
        <v/>
      </c>
      <c r="V388" s="146" t="str">
        <f ca="1">IFERROR(VLOOKUP(C388,'Шаг1.Выбор плиты'!C:S,12,0),"")</f>
        <v/>
      </c>
      <c r="W388" s="146" t="str">
        <f ca="1">IFERROR(VLOOKUP(C388,'Шаг1.Выбор плиты'!C:S,8,0),"")</f>
        <v/>
      </c>
      <c r="X388" s="146" t="str">
        <f ca="1">IFERROR(VLOOKUP(C388,'Шаг1.Выбор плиты'!C:S,10,0),"")</f>
        <v/>
      </c>
      <c r="Y388" s="147" t="str">
        <f t="shared" ca="1" si="39"/>
        <v/>
      </c>
      <c r="AD388" s="147" t="str">
        <f t="shared" ca="1" si="37"/>
        <v/>
      </c>
      <c r="AE388" s="147" t="str">
        <f t="shared" ca="1" si="40"/>
        <v/>
      </c>
      <c r="AF388" s="25"/>
      <c r="AH388" s="147" t="str">
        <f ca="1">IF(C388="","",VLOOKUP(C388,'Шаг1.Выбор плиты'!C:Q,7,0))</f>
        <v/>
      </c>
      <c r="AI388" s="147" t="str">
        <f t="shared" ca="1" si="38"/>
        <v/>
      </c>
    </row>
    <row r="389" spans="1:35" x14ac:dyDescent="0.2">
      <c r="A389" s="151" t="str">
        <f ca="1">IF(C389="","",MAX($A$1:OFFSET(C389,-1,0))+1)</f>
        <v/>
      </c>
      <c r="B389" s="151" t="str">
        <f ca="1">IFERROR(IFERROR(IFERROR("Шаг2.Бланк заказа NEW №"&amp;VLOOKUP(A388+1,CHOOSE({1,2},'Шаг2.Бланк заказа NEW'!$B$19:$B$201,'Шаг2.Бланк заказа NEW'!$A$19:$A$201),1,0),
"Бланк OLD 0.8 04 №"&amp;VLOOKUP(A388+1-COUNT('Шаг2.Бланк заказа NEW'!$B$19:$B$201),CHOOSE({1,2},'Бланк OLD 0.8 04'!$B$18:$B$200,'Бланк OLD 0.8 04'!$A$18:$A$200),1,0)),
"Бланк OLD 2.0 04 №"&amp;VLOOKUP(A388+1-COUNT('Шаг2.Бланк заказа NEW'!$B$19:$B$201)-COUNT('Бланк OLD 0.8 04'!$B$18:$B$200),CHOOSE({1,2},'Бланк OLD 2.0 04 '!$B$18:$B$200,'Бланк OLD 2.0 04 '!$A$18:$A$200),1,0)),"")</f>
        <v/>
      </c>
      <c r="C389" s="152" t="str">
        <f ca="1">IFERROR(IFERROR(IFERROR(VLOOKUP(A388+1,CHOOSE({1,2},'Шаг2.Бланк заказа NEW'!$B$19:$B$201,'Шаг2.Бланк заказа NEW'!$A$19:$A$201),2,0),
VLOOKUP(A388+1-COUNT('Шаг2.Бланк заказа NEW'!$B$19:$B$201),CHOOSE({1,2},'Бланк OLD 0.8 04'!$B$18:$B$200,'Бланк OLD 0.8 04'!$A$18:$A$200),2,0)),
VLOOKUP(A388+1-COUNT('Шаг2.Бланк заказа NEW'!$B$19:$B$201)-COUNT('Бланк OLD 0.8 04'!$B$18:$B$200),CHOOSE({1,2},'Бланк OLD 2.0 04 '!$B$18:$B$200,'Бланк OLD 2.0 04 '!$A$18:$A$200),2,0)),"")</f>
        <v/>
      </c>
      <c r="D389" s="150" t="str">
        <f ca="1">IFERROR(VLOOKUP(C389,'Шаг1.Выбор плиты'!C:G,5,0),"")</f>
        <v/>
      </c>
      <c r="E389" s="147" t="str">
        <f ca="1">IFERROR(IFERROR(IF(VLOOKUP($A389,'Шаг2.Бланк заказа NEW'!$B$17:$N$201,2,0)="","",VLOOKUP($A389,'Шаг2.Бланк заказа NEW'!$B$17:$N$201,2,0)),
IF(VLOOKUP($A389-COUNT('Шаг2.Бланк заказа NEW'!$B$19:$B$201),'Бланк OLD 0.8 04'!$B$12:$K$200,2,0)="","",VLOOKUP($A389-COUNT('Шаг2.Бланк заказа NEW'!$B$19:$B$201),'Бланк OLD 0.8 04'!$B$12:$K$200,2,0))),
IF(VLOOKUP($A389-COUNT('Шаг2.Бланк заказа NEW'!$B$19:$B$201)-COUNT('Бланк OLD 0.8 04'!$B$18:$B$200),'Бланк OLD 2.0 04 '!$B$16:$K$200,2,0)="","",VLOOKUP($A389-COUNT('Шаг2.Бланк заказа NEW'!$B$19:$B$201)-COUNT('Бланк OLD 0.8 04'!$B$18:$B$200),'Бланк OLD 2.0 04 '!$B$16:$K$200,2,0)))</f>
        <v/>
      </c>
      <c r="F389" s="147" t="str">
        <f ca="1">IFERROR(IFERROR(IF(VLOOKUP($A389,'Шаг2.Бланк заказа NEW'!$B$17:$N$201,3,0)="","",VLOOKUP($A389,'Шаг2.Бланк заказа NEW'!$B$17:$N$201,3,0)),
IF(VLOOKUP($A389-COUNT('Шаг2.Бланк заказа NEW'!$B$19:$B$201),'Бланк OLD 0.8 04'!$B$12:$K$200,3,0)="","",VLOOKUP($A389-COUNT('Шаг2.Бланк заказа NEW'!$B$19:$B$201),'Бланк OLD 0.8 04'!$B$12:$K$200,3,0))),
IF(VLOOKUP($A389-COUNT('Шаг2.Бланк заказа NEW'!$B$19:$B$201)-COUNT('Бланк OLD 0.8 04'!$B$18:$B$200),'Бланк OLD 2.0 04 '!$B$16:$K$200,3,0)="","",VLOOKUP($A389-COUNT('Шаг2.Бланк заказа NEW'!$B$19:$B$201)-COUNT('Бланк OLD 0.8 04'!$B$18:$B$200),'Бланк OLD 2.0 04 '!$B$16:$K$200,3,0)))</f>
        <v/>
      </c>
      <c r="G389" s="176" t="str">
        <f ca="1">IF(IF(R389="","",IF(R389=1,SUMIFS('Шаг1.Выбор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плиты'!C:Q,12,0)),1))))))=0,
R389,
IF(R389="","",IF(R389=1,SUMIFS('Шаг1.Выбор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плиты'!N:N,R389,'Шаг1.Выбор плиты'!M:M,SMALL(INDIRECT("мм"&amp;VLOOKUP(C389,'Шаг1.Выбор плиты'!C:Q,12,0)),1)))))))</f>
        <v/>
      </c>
      <c r="H389" s="177" t="str">
        <f ca="1">IF(IF(S389="","",IF(S389=1,SUMIFS('Шаг1.Выбор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плиты'!C:Q,12,0)),1))))))=0,
S389,
IF(S389="","",IF(S389=1,SUMIFS('Шаг1.Выбор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плиты'!N:N,S389,'Шаг1.Выбор плиты'!M:M,SMALL(INDIRECT("мм"&amp;VLOOKUP(C389,'Шаг1.Выбор плиты'!C:Q,12,0)),1)))))))</f>
        <v/>
      </c>
      <c r="I389" s="147" t="str">
        <f ca="1">IFERROR(IFERROR(IF(VLOOKUP($A389,'Шаг2.Бланк заказа NEW'!$B$17:$N$201,6,0)="","",VLOOKUP($A389,'Шаг2.Бланк заказа NEW'!$B$17:$N$201,6,0)),
IF(VLOOKUP($A389-COUNT('Шаг2.Бланк заказа NEW'!$B$19:$B$201),'Бланк OLD 0.8 04'!$B$12:$K$200,6,0)="","",VLOOKUP($A389-COUNT('Шаг2.Бланк заказа NEW'!$B$19:$B$201),'Бланк OLD 0.8 04'!$B$12:$K$200,6,0))),
IF(VLOOKUP($A389-COUNT('Шаг2.Бланк заказа NEW'!$B$19:$B$201)-COUNT('Бланк OLD 0.8 04'!$B$18:$B$200),'Бланк OLD 2.0 04 '!$B$16:$K$200,6,0)="","",VLOOKUP($A389-COUNT('Шаг2.Бланк заказа NEW'!$B$19:$B$201)-COUNT('Бланк OLD 0.8 04'!$B$18:$B$200),'Бланк OLD 2.0 04 '!$B$16:$K$200,6,0)))</f>
        <v/>
      </c>
      <c r="J389" s="177" t="str">
        <f ca="1">IF(IF(T389="","",IF(T389=1,SUMIFS('Шаг1.Выбор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плиты'!C:Q,12,0)),1))))))=0,
T389,
IF(T389="","",IF(T389=1,SUMIFS('Шаг1.Выбор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плиты'!N:N,T389,'Шаг1.Выбор плиты'!M:M,SMALL(INDIRECT("мм"&amp;VLOOKUP(C389,'Шаг1.Выбор плиты'!C:Q,12,0)),1)))))))</f>
        <v/>
      </c>
      <c r="K389" s="177" t="str">
        <f ca="1">IF(IF(U389="","",IF(U389=1,SUMIFS('Шаг1.Выбор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плиты'!C:Q,12,0)),1))))))=0,
U389,
IF(U389="","",IF(U389=1,SUMIFS('Шаг1.Выбор плиты'!$G:$G,'Шаг1.Выбор плиты'!J:J,"*"&amp;RIGHT(VLOOKUP(C389,'Шаг1.Выбор плиты'!C:Q,8,0),4),'Шаг1.Выбор плиты'!L:L,IF(MID(C389,1,6)="ЛДСП P","TM"&amp;MID(VLOOKUP(C389,'Шаг1.Выбор плиты'!C:Q,10,0),3,2),MID(VLOOKUP(C389,'Шаг1.Выбор плиты'!C:Q,10,0),1,2)),
'Шаг1.Выбор плиты'!N:N,1),IF(SUMIFS('Шаг1.Выбор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плиты'!C:Q,12,0)),1))=0,
IF(SUMIFS('Шаг1.Выбор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плиты'!C:Q,12,0)),2))=0,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плиты'!C:Q,12,0)),3)),
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плиты'!C:Q,12,0)),2))),
(SUMIFS('Шаг1.Выбор плиты'!$G:$G,'Шаг1.Выбор плиты'!J:J,"*"&amp;RIGHT(VLOOKUP(C389,'Шаг1.Выбор плиты'!C:Q,8,0),4),'Шаг1.Выбор плиты'!L:L,VLOOKUP(C389,'Шаг1.Выбор плиты'!C:Q,10,0),'Шаг1.Выбор плиты'!N:N,U389,'Шаг1.Выбор плиты'!M:M,SMALL(INDIRECT("мм"&amp;VLOOKUP(C389,'Шаг1.Выбор плиты'!C:Q,12,0)),1)))))))</f>
        <v/>
      </c>
      <c r="L389" s="147" t="str">
        <f ca="1">IFERROR(IFERROR(IF(VLOOKUP($A389,'Шаг2.Бланк заказа NEW'!$B$17:$N$201,9,0)="","",VLOOKUP($A389,'Шаг2.Бланк заказа NEW'!$B$17:$N$201,9,0)),
IF(VLOOKUP($A389-COUNT('Шаг2.Бланк заказа NEW'!$B$19:$B$201),'Бланк OLD 0.8 04'!$B$12:$K$200,9,0)="","",VLOOKUP($A389-COUNT('Шаг2.Бланк заказа NEW'!$B$19:$B$201),'Бланк OLD 0.8 04'!$B$12:$K$200,9,0))),
IF(VLOOKUP($A389-COUNT('Шаг2.Бланк заказа NEW'!$B$19:$B$201)-COUNT('Бланк OLD 0.8 04'!$B$18:$B$200),'Бланк OLD 2.0 04 '!$B$16:$K$200,9,0)="","",VLOOKUP($A389-COUNT('Шаг2.Бланк заказа NEW'!$B$19:$B$201)-COUNT('Бланк OLD 0.8 04'!$B$18:$B$200),'Бланк OLD 2.0 04 '!$B$16:$K$200,9,0)))</f>
        <v/>
      </c>
      <c r="M389" s="154" t="str">
        <f t="shared" ca="1" si="36"/>
        <v/>
      </c>
      <c r="N389" s="153" t="str">
        <f ca="1">IFERROR(IF(VLOOKUP($A389,'Шаг2.Бланк заказа NEW'!$B$17:$N$201,11,0)="","",VLOOKUP($A389,'Шаг2.Бланк заказа NEW'!$B$17:$N$201,11,0)),
"Нет")</f>
        <v/>
      </c>
      <c r="O389" s="147" t="str">
        <f ca="1">IFERROR(IF(VLOOKUP($A389,'Шаг2.Бланк заказа NEW'!$B$17:$N$201,11,0)="","",VLOOKUP($A389,'Шаг2.Бланк заказа NEW'!$B$17:$N$201,12,0)),
"Нет")</f>
        <v/>
      </c>
      <c r="P389" s="153" t="str">
        <f ca="1">IFERROR(IF(VLOOKUP($A389,'Шаг2.Бланк заказа NEW'!$B$17:$N$201,13,0)="","",VLOOKUP($A389,'Шаг2.Бланк заказа NEW'!$B$17:$N$201,13,0)),
"Нет")</f>
        <v/>
      </c>
      <c r="Q389" s="147" t="str">
        <f ca="1">IFERROR(IF(VLOOKUP($A389,'Шаг2.Бланк заказа NEW'!$B$17:$O$201,14,0)="","",VLOOKUP($A389,'Шаг2.Бланк заказа NEW'!$B$17:$O$201,14,0)),"")</f>
        <v/>
      </c>
      <c r="R389" s="147" t="str">
        <f ca="1">IFERROR(IFERROR(IF(VLOOKUP($A389,'Шаг2.Бланк заказа NEW'!$B$17:$N$201,4,0)="","",VLOOKUP($A389,'Шаг2.Бланк заказа NEW'!$B$17:$N$201,4,0)),
IF(VLOOKUP($A389-COUNT('Шаг2.Бланк заказа NEW'!$B$19:$B$201),'Бланк OLD 0.8 04'!$B$12:$K$200,4,0)&gt;0,0.8,
IF(VLOOKUP($A389-COUNT('Шаг2.Бланк заказа NEW'!$B$19:$B$201),'Бланк OLD 0.8 04'!$B$12:$K$200,5,0)&gt;0,0.4,""))),
IF(VLOOKUP($A389-COUNT('Шаг2.Бланк заказа NEW'!$B$19:$B$201)-COUNT('Бланк OLD 0.8 04'!$B$18:$B$200),'Бланк OLD 2.0 04 '!$B$16:$K$200,4,0)&gt;0,2,IF(VLOOKUP($A389-COUNT('Шаг2.Бланк заказа NEW'!$B$19:$B$201)-COUNT('Бланк OLD 0.8 04'!$B$18:$B$200),'Бланк OLD 2.0 04 '!$B$16:$K$200,5,0)&gt;0,0.4,"")))</f>
        <v/>
      </c>
      <c r="S389" s="147" t="str">
        <f ca="1">IFERROR(IFERROR(IF(VLOOKUP($A389,'Шаг2.Бланк заказа NEW'!$B$17:$N$201,5,0)="","",VLOOKUP($A389,'Шаг2.Бланк заказа NEW'!$B$17:$N$201,5,0)),
IF(VLOOKUP($A389-COUNT('Шаг2.Бланк заказа NEW'!$B$19:$B$201),'Бланк OLD 0.8 04'!$B$12:$K$200,4,0)&gt;1,0.8,
IF(VLOOKUP($A389-COUNT('Шаг2.Бланк заказа NEW'!$B$19:$B$201),'Бланк OLD 0.8 04'!$B$12:$K$200,5,0)&gt;1,0.4,
IF(AND(VLOOKUP($A389-COUNT('Шаг2.Бланк заказа NEW'!$B$19:$B$201),'Бланк OLD 0.8 04'!$B$12:$K$200,4,0)&gt;0,VLOOKUP($A389-COUNT('Шаг2.Бланк заказа NEW'!$B$19:$B$201),'Бланк OLD 0.8 04'!$B$12:$K$200,5,0)&gt;0),0.4,"")))),
IF(VLOOKUP($A389-COUNT('Шаг2.Бланк заказа NEW'!$B$19:$B$201)-COUNT('Бланк OLD 0.8 04'!$B$18:$B$200),'Бланк OLD 2.0 04 '!$B$16:$K$200,4,0)&gt;1,2,
IF(VLOOKUP($A389-COUNT('Шаг2.Бланк заказа NEW'!$B$19:$B$201)-COUNT('Бланк OLD 0.8 04'!$B$18:$B$200),'Бланк OLD 2.0 04 '!$B$16:$K$200,5,0)&gt;1,0.4,IF(AND(VLOOKUP($A389-COUNT('Шаг2.Бланк заказа NEW'!$B$19:$B$201)-COUNT('Бланк OLD 0.8 04'!$B$18:$B$200),'Бланк OLD 2.0 04 '!$B$16:$K$200,4,0)&gt;0,VLOOKUP($A389-COUNT('Шаг2.Бланк заказа NEW'!$B$19:$B$201)-COUNT('Бланк OLD 0.8 04'!$B$18:$B$200),'Бланк OLD 2.0 04 '!$B$16:$K$200,5,0)&gt;0),0.4,""))))</f>
        <v/>
      </c>
      <c r="T389" s="147" t="str">
        <f ca="1">IFERROR(IFERROR(IF(VLOOKUP($A389,'Шаг2.Бланк заказа NEW'!$B$17:$N$201,7,0)="","",VLOOKUP($A389,'Шаг2.Бланк заказа NEW'!$B$17:$N$201,7,0)),
IF(VLOOKUP($A389-COUNT('Шаг2.Бланк заказа NEW'!$B$19:$B$201),'Бланк OLD 0.8 04'!$B$12:$K$200,7,0)&gt;0,0.8,
IF(VLOOKUP($A389-COUNT('Шаг2.Бланк заказа NEW'!$B$19:$B$201),'Бланк OLD 0.8 04'!$B$12:$K$200,8,0)&gt;0,0.4,""))),
IF(VLOOKUP($A389-COUNT('Шаг2.Бланк заказа NEW'!$B$19:$B$201)-COUNT('Бланк OLD 0.8 04'!$B$18:$B$200),'Бланк OLD 2.0 04 '!$B$16:$K$200,7,0)&gt;0,2,IF(VLOOKUP($A389-COUNT('Шаг2.Бланк заказа NEW'!$B$19:$B$201)-COUNT('Бланк OLD 0.8 04'!$B$18:$B$200),'Бланк OLD 2.0 04 '!$B$16:$K$200,8,0)&gt;0,0.4,"")))</f>
        <v/>
      </c>
      <c r="U389" s="147" t="str">
        <f ca="1">IFERROR(IFERROR(IF(VLOOKUP($A389,'Шаг2.Бланк заказа NEW'!$B$17:$N$201,8,0)="","",VLOOKUP($A389,'Шаг2.Бланк заказа NEW'!$B$17:$N$201,8,0)),
IF(VLOOKUP($A389-COUNT('Шаг2.Бланк заказа NEW'!$B$19:$B$201),'Бланк OLD 0.8 04'!$B$12:$K$200,7,0)&gt;1,0.8,
IF(VLOOKUP($A389-COUNT('Шаг2.Бланк заказа NEW'!$B$19:$B$201),'Бланк OLD 0.8 04'!$B$12:$K$200,8,0)&gt;1,0.4,
IF(AND(VLOOKUP($A389-COUNT('Шаг2.Бланк заказа NEW'!$B$19:$B$201),'Бланк OLD 0.8 04'!$B$12:$K$200,7,0)&gt;0,VLOOKUP($A389-COUNT('Шаг2.Бланк заказа NEW'!$B$19:$B$201),'Бланк OLD 0.8 04'!$B$12:$K$200,8,0)&gt;0),0.4,"")))),
IF(VLOOKUP($A389-COUNT('Шаг2.Бланк заказа NEW'!$B$19:$B$201)-COUNT('Бланк OLD 0.8 04'!$B$18:$B$200),'Бланк OLD 2.0 04 '!$B$16:$K$200,7,0)&gt;1,2,
IF(VLOOKUP($A389-COUNT('Шаг2.Бланк заказа NEW'!$B$19:$B$201)-COUNT('Бланк OLD 0.8 04'!$B$18:$B$200),'Бланк OLD 2.0 04 '!$B$16:$K$200,8,0)&gt;1,0.4,
IF(AND(VLOOKUP($A389-COUNT('Шаг2.Бланк заказа NEW'!$B$19:$B$201)-COUNT('Бланк OLD 0.8 04'!$B$18:$B$200),'Бланк OLD 2.0 04 '!$B$16:$K$200,7,0)&gt;0,VLOOKUP($A389-COUNT('Шаг2.Бланк заказа NEW'!$B$19:$B$201)-COUNT('Бланк OLD 0.8 04'!$B$18:$B$200),'Бланк OLD 2.0 04 '!$B$16:$K$200,8,0)&gt;0),0.4,""))))</f>
        <v/>
      </c>
      <c r="V389" s="146" t="str">
        <f ca="1">IFERROR(VLOOKUP(C389,'Шаг1.Выбор плиты'!C:S,12,0),"")</f>
        <v/>
      </c>
      <c r="W389" s="146" t="str">
        <f ca="1">IFERROR(VLOOKUP(C389,'Шаг1.Выбор плиты'!C:S,8,0),"")</f>
        <v/>
      </c>
      <c r="X389" s="146" t="str">
        <f ca="1">IFERROR(VLOOKUP(C389,'Шаг1.Выбор плиты'!C:S,10,0),"")</f>
        <v/>
      </c>
      <c r="Y389" s="147" t="str">
        <f t="shared" ca="1" si="39"/>
        <v/>
      </c>
      <c r="AD389" s="147" t="str">
        <f t="shared" ca="1" si="37"/>
        <v/>
      </c>
      <c r="AE389" s="147" t="str">
        <f t="shared" ca="1" si="40"/>
        <v/>
      </c>
      <c r="AF389" s="25"/>
      <c r="AH389" s="147" t="str">
        <f ca="1">IF(C389="","",VLOOKUP(C389,'Шаг1.Выбор плиты'!C:Q,7,0))</f>
        <v/>
      </c>
      <c r="AI389" s="147" t="str">
        <f t="shared" ca="1" si="38"/>
        <v/>
      </c>
    </row>
    <row r="390" spans="1:35" x14ac:dyDescent="0.2">
      <c r="A390" s="151" t="str">
        <f ca="1">IF(C390="","",MAX($A$1:OFFSET(C390,-1,0))+1)</f>
        <v/>
      </c>
      <c r="B390" s="151" t="str">
        <f ca="1">IFERROR(IFERROR(IFERROR("Шаг2.Бланк заказа NEW №"&amp;VLOOKUP(A389+1,CHOOSE({1,2},'Шаг2.Бланк заказа NEW'!$B$19:$B$201,'Шаг2.Бланк заказа NEW'!$A$19:$A$201),1,0),
"Бланк OLD 0.8 04 №"&amp;VLOOKUP(A389+1-COUNT('Шаг2.Бланк заказа NEW'!$B$19:$B$201),CHOOSE({1,2},'Бланк OLD 0.8 04'!$B$18:$B$200,'Бланк OLD 0.8 04'!$A$18:$A$200),1,0)),
"Бланк OLD 2.0 04 №"&amp;VLOOKUP(A389+1-COUNT('Шаг2.Бланк заказа NEW'!$B$19:$B$201)-COUNT('Бланк OLD 0.8 04'!$B$18:$B$200),CHOOSE({1,2},'Бланк OLD 2.0 04 '!$B$18:$B$200,'Бланк OLD 2.0 04 '!$A$18:$A$200),1,0)),"")</f>
        <v/>
      </c>
      <c r="C390" s="152" t="str">
        <f ca="1">IFERROR(IFERROR(IFERROR(VLOOKUP(A389+1,CHOOSE({1,2},'Шаг2.Бланк заказа NEW'!$B$19:$B$201,'Шаг2.Бланк заказа NEW'!$A$19:$A$201),2,0),
VLOOKUP(A389+1-COUNT('Шаг2.Бланк заказа NEW'!$B$19:$B$201),CHOOSE({1,2},'Бланк OLD 0.8 04'!$B$18:$B$200,'Бланк OLD 0.8 04'!$A$18:$A$200),2,0)),
VLOOKUP(A389+1-COUNT('Шаг2.Бланк заказа NEW'!$B$19:$B$201)-COUNT('Бланк OLD 0.8 04'!$B$18:$B$200),CHOOSE({1,2},'Бланк OLD 2.0 04 '!$B$18:$B$200,'Бланк OLD 2.0 04 '!$A$18:$A$200),2,0)),"")</f>
        <v/>
      </c>
      <c r="D390" s="150" t="str">
        <f ca="1">IFERROR(VLOOKUP(C390,'Шаг1.Выбор плиты'!C:G,5,0),"")</f>
        <v/>
      </c>
      <c r="E390" s="147" t="str">
        <f ca="1">IFERROR(IFERROR(IF(VLOOKUP($A390,'Шаг2.Бланк заказа NEW'!$B$17:$N$201,2,0)="","",VLOOKUP($A390,'Шаг2.Бланк заказа NEW'!$B$17:$N$201,2,0)),
IF(VLOOKUP($A390-COUNT('Шаг2.Бланк заказа NEW'!$B$19:$B$201),'Бланк OLD 0.8 04'!$B$12:$K$200,2,0)="","",VLOOKUP($A390-COUNT('Шаг2.Бланк заказа NEW'!$B$19:$B$201),'Бланк OLD 0.8 04'!$B$12:$K$200,2,0))),
IF(VLOOKUP($A390-COUNT('Шаг2.Бланк заказа NEW'!$B$19:$B$201)-COUNT('Бланк OLD 0.8 04'!$B$18:$B$200),'Бланк OLD 2.0 04 '!$B$16:$K$200,2,0)="","",VLOOKUP($A390-COUNT('Шаг2.Бланк заказа NEW'!$B$19:$B$201)-COUNT('Бланк OLD 0.8 04'!$B$18:$B$200),'Бланк OLD 2.0 04 '!$B$16:$K$200,2,0)))</f>
        <v/>
      </c>
      <c r="F390" s="147" t="str">
        <f ca="1">IFERROR(IFERROR(IF(VLOOKUP($A390,'Шаг2.Бланк заказа NEW'!$B$17:$N$201,3,0)="","",VLOOKUP($A390,'Шаг2.Бланк заказа NEW'!$B$17:$N$201,3,0)),
IF(VLOOKUP($A390-COUNT('Шаг2.Бланк заказа NEW'!$B$19:$B$201),'Бланк OLD 0.8 04'!$B$12:$K$200,3,0)="","",VLOOKUP($A390-COUNT('Шаг2.Бланк заказа NEW'!$B$19:$B$201),'Бланк OLD 0.8 04'!$B$12:$K$200,3,0))),
IF(VLOOKUP($A390-COUNT('Шаг2.Бланк заказа NEW'!$B$19:$B$201)-COUNT('Бланк OLD 0.8 04'!$B$18:$B$200),'Бланк OLD 2.0 04 '!$B$16:$K$200,3,0)="","",VLOOKUP($A390-COUNT('Шаг2.Бланк заказа NEW'!$B$19:$B$201)-COUNT('Бланк OLD 0.8 04'!$B$18:$B$200),'Бланк OLD 2.0 04 '!$B$16:$K$200,3,0)))</f>
        <v/>
      </c>
      <c r="G390" s="176" t="str">
        <f ca="1">IF(IF(R390="","",IF(R390=1,SUMIFS('Шаг1.Выбор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плиты'!C:Q,12,0)),1))))))=0,
R390,
IF(R390="","",IF(R390=1,SUMIFS('Шаг1.Выбор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плиты'!N:N,R390,'Шаг1.Выбор плиты'!M:M,SMALL(INDIRECT("мм"&amp;VLOOKUP(C390,'Шаг1.Выбор плиты'!C:Q,12,0)),1)))))))</f>
        <v/>
      </c>
      <c r="H390" s="177" t="str">
        <f ca="1">IF(IF(S390="","",IF(S390=1,SUMIFS('Шаг1.Выбор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плиты'!C:Q,12,0)),1))))))=0,
S390,
IF(S390="","",IF(S390=1,SUMIFS('Шаг1.Выбор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плиты'!N:N,S390,'Шаг1.Выбор плиты'!M:M,SMALL(INDIRECT("мм"&amp;VLOOKUP(C390,'Шаг1.Выбор плиты'!C:Q,12,0)),1)))))))</f>
        <v/>
      </c>
      <c r="I390" s="147" t="str">
        <f ca="1">IFERROR(IFERROR(IF(VLOOKUP($A390,'Шаг2.Бланк заказа NEW'!$B$17:$N$201,6,0)="","",VLOOKUP($A390,'Шаг2.Бланк заказа NEW'!$B$17:$N$201,6,0)),
IF(VLOOKUP($A390-COUNT('Шаг2.Бланк заказа NEW'!$B$19:$B$201),'Бланк OLD 0.8 04'!$B$12:$K$200,6,0)="","",VLOOKUP($A390-COUNT('Шаг2.Бланк заказа NEW'!$B$19:$B$201),'Бланк OLD 0.8 04'!$B$12:$K$200,6,0))),
IF(VLOOKUP($A390-COUNT('Шаг2.Бланк заказа NEW'!$B$19:$B$201)-COUNT('Бланк OLD 0.8 04'!$B$18:$B$200),'Бланк OLD 2.0 04 '!$B$16:$K$200,6,0)="","",VLOOKUP($A390-COUNT('Шаг2.Бланк заказа NEW'!$B$19:$B$201)-COUNT('Бланк OLD 0.8 04'!$B$18:$B$200),'Бланк OLD 2.0 04 '!$B$16:$K$200,6,0)))</f>
        <v/>
      </c>
      <c r="J390" s="177" t="str">
        <f ca="1">IF(IF(T390="","",IF(T390=1,SUMIFS('Шаг1.Выбор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плиты'!C:Q,12,0)),1))))))=0,
T390,
IF(T390="","",IF(T390=1,SUMIFS('Шаг1.Выбор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плиты'!N:N,T390,'Шаг1.Выбор плиты'!M:M,SMALL(INDIRECT("мм"&amp;VLOOKUP(C390,'Шаг1.Выбор плиты'!C:Q,12,0)),1)))))))</f>
        <v/>
      </c>
      <c r="K390" s="177" t="str">
        <f ca="1">IF(IF(U390="","",IF(U390=1,SUMIFS('Шаг1.Выбор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плиты'!C:Q,12,0)),1))))))=0,
U390,
IF(U390="","",IF(U390=1,SUMIFS('Шаг1.Выбор плиты'!$G:$G,'Шаг1.Выбор плиты'!J:J,"*"&amp;RIGHT(VLOOKUP(C390,'Шаг1.Выбор плиты'!C:Q,8,0),4),'Шаг1.Выбор плиты'!L:L,IF(MID(C390,1,6)="ЛДСП P","TM"&amp;MID(VLOOKUP(C390,'Шаг1.Выбор плиты'!C:Q,10,0),3,2),MID(VLOOKUP(C390,'Шаг1.Выбор плиты'!C:Q,10,0),1,2)),
'Шаг1.Выбор плиты'!N:N,1),IF(SUMIFS('Шаг1.Выбор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плиты'!C:Q,12,0)),1))=0,
IF(SUMIFS('Шаг1.Выбор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плиты'!C:Q,12,0)),2))=0,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плиты'!C:Q,12,0)),3)),
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плиты'!C:Q,12,0)),2))),
(SUMIFS('Шаг1.Выбор плиты'!$G:$G,'Шаг1.Выбор плиты'!J:J,"*"&amp;RIGHT(VLOOKUP(C390,'Шаг1.Выбор плиты'!C:Q,8,0),4),'Шаг1.Выбор плиты'!L:L,VLOOKUP(C390,'Шаг1.Выбор плиты'!C:Q,10,0),'Шаг1.Выбор плиты'!N:N,U390,'Шаг1.Выбор плиты'!M:M,SMALL(INDIRECT("мм"&amp;VLOOKUP(C390,'Шаг1.Выбор плиты'!C:Q,12,0)),1)))))))</f>
        <v/>
      </c>
      <c r="L390" s="147" t="str">
        <f ca="1">IFERROR(IFERROR(IF(VLOOKUP($A390,'Шаг2.Бланк заказа NEW'!$B$17:$N$201,9,0)="","",VLOOKUP($A390,'Шаг2.Бланк заказа NEW'!$B$17:$N$201,9,0)),
IF(VLOOKUP($A390-COUNT('Шаг2.Бланк заказа NEW'!$B$19:$B$201),'Бланк OLD 0.8 04'!$B$12:$K$200,9,0)="","",VLOOKUP($A390-COUNT('Шаг2.Бланк заказа NEW'!$B$19:$B$201),'Бланк OLD 0.8 04'!$B$12:$K$200,9,0))),
IF(VLOOKUP($A390-COUNT('Шаг2.Бланк заказа NEW'!$B$19:$B$201)-COUNT('Бланк OLD 0.8 04'!$B$18:$B$200),'Бланк OLD 2.0 04 '!$B$16:$K$200,9,0)="","",VLOOKUP($A390-COUNT('Шаг2.Бланк заказа NEW'!$B$19:$B$201)-COUNT('Бланк OLD 0.8 04'!$B$18:$B$200),'Бланк OLD 2.0 04 '!$B$16:$K$200,9,0)))</f>
        <v/>
      </c>
      <c r="M390" s="154" t="str">
        <f t="shared" ca="1" si="36"/>
        <v/>
      </c>
      <c r="N390" s="153" t="str">
        <f ca="1">IFERROR(IF(VLOOKUP($A390,'Шаг2.Бланк заказа NEW'!$B$17:$N$201,11,0)="","",VLOOKUP($A390,'Шаг2.Бланк заказа NEW'!$B$17:$N$201,11,0)),
"Нет")</f>
        <v/>
      </c>
      <c r="O390" s="147" t="str">
        <f ca="1">IFERROR(IF(VLOOKUP($A390,'Шаг2.Бланк заказа NEW'!$B$17:$N$201,11,0)="","",VLOOKUP($A390,'Шаг2.Бланк заказа NEW'!$B$17:$N$201,12,0)),
"Нет")</f>
        <v/>
      </c>
      <c r="P390" s="153" t="str">
        <f ca="1">IFERROR(IF(VLOOKUP($A390,'Шаг2.Бланк заказа NEW'!$B$17:$N$201,13,0)="","",VLOOKUP($A390,'Шаг2.Бланк заказа NEW'!$B$17:$N$201,13,0)),
"Нет")</f>
        <v/>
      </c>
      <c r="Q390" s="147" t="str">
        <f ca="1">IFERROR(IF(VLOOKUP($A390,'Шаг2.Бланк заказа NEW'!$B$17:$O$201,14,0)="","",VLOOKUP($A390,'Шаг2.Бланк заказа NEW'!$B$17:$O$201,14,0)),"")</f>
        <v/>
      </c>
      <c r="R390" s="147" t="str">
        <f ca="1">IFERROR(IFERROR(IF(VLOOKUP($A390,'Шаг2.Бланк заказа NEW'!$B$17:$N$201,4,0)="","",VLOOKUP($A390,'Шаг2.Бланк заказа NEW'!$B$17:$N$201,4,0)),
IF(VLOOKUP($A390-COUNT('Шаг2.Бланк заказа NEW'!$B$19:$B$201),'Бланк OLD 0.8 04'!$B$12:$K$200,4,0)&gt;0,0.8,
IF(VLOOKUP($A390-COUNT('Шаг2.Бланк заказа NEW'!$B$19:$B$201),'Бланк OLD 0.8 04'!$B$12:$K$200,5,0)&gt;0,0.4,""))),
IF(VLOOKUP($A390-COUNT('Шаг2.Бланк заказа NEW'!$B$19:$B$201)-COUNT('Бланк OLD 0.8 04'!$B$18:$B$200),'Бланк OLD 2.0 04 '!$B$16:$K$200,4,0)&gt;0,2,IF(VLOOKUP($A390-COUNT('Шаг2.Бланк заказа NEW'!$B$19:$B$201)-COUNT('Бланк OLD 0.8 04'!$B$18:$B$200),'Бланк OLD 2.0 04 '!$B$16:$K$200,5,0)&gt;0,0.4,"")))</f>
        <v/>
      </c>
      <c r="S390" s="147" t="str">
        <f ca="1">IFERROR(IFERROR(IF(VLOOKUP($A390,'Шаг2.Бланк заказа NEW'!$B$17:$N$201,5,0)="","",VLOOKUP($A390,'Шаг2.Бланк заказа NEW'!$B$17:$N$201,5,0)),
IF(VLOOKUP($A390-COUNT('Шаг2.Бланк заказа NEW'!$B$19:$B$201),'Бланк OLD 0.8 04'!$B$12:$K$200,4,0)&gt;1,0.8,
IF(VLOOKUP($A390-COUNT('Шаг2.Бланк заказа NEW'!$B$19:$B$201),'Бланк OLD 0.8 04'!$B$12:$K$200,5,0)&gt;1,0.4,
IF(AND(VLOOKUP($A390-COUNT('Шаг2.Бланк заказа NEW'!$B$19:$B$201),'Бланк OLD 0.8 04'!$B$12:$K$200,4,0)&gt;0,VLOOKUP($A390-COUNT('Шаг2.Бланк заказа NEW'!$B$19:$B$201),'Бланк OLD 0.8 04'!$B$12:$K$200,5,0)&gt;0),0.4,"")))),
IF(VLOOKUP($A390-COUNT('Шаг2.Бланк заказа NEW'!$B$19:$B$201)-COUNT('Бланк OLD 0.8 04'!$B$18:$B$200),'Бланк OLD 2.0 04 '!$B$16:$K$200,4,0)&gt;1,2,
IF(VLOOKUP($A390-COUNT('Шаг2.Бланк заказа NEW'!$B$19:$B$201)-COUNT('Бланк OLD 0.8 04'!$B$18:$B$200),'Бланк OLD 2.0 04 '!$B$16:$K$200,5,0)&gt;1,0.4,IF(AND(VLOOKUP($A390-COUNT('Шаг2.Бланк заказа NEW'!$B$19:$B$201)-COUNT('Бланк OLD 0.8 04'!$B$18:$B$200),'Бланк OLD 2.0 04 '!$B$16:$K$200,4,0)&gt;0,VLOOKUP($A390-COUNT('Шаг2.Бланк заказа NEW'!$B$19:$B$201)-COUNT('Бланк OLD 0.8 04'!$B$18:$B$200),'Бланк OLD 2.0 04 '!$B$16:$K$200,5,0)&gt;0),0.4,""))))</f>
        <v/>
      </c>
      <c r="T390" s="147" t="str">
        <f ca="1">IFERROR(IFERROR(IF(VLOOKUP($A390,'Шаг2.Бланк заказа NEW'!$B$17:$N$201,7,0)="","",VLOOKUP($A390,'Шаг2.Бланк заказа NEW'!$B$17:$N$201,7,0)),
IF(VLOOKUP($A390-COUNT('Шаг2.Бланк заказа NEW'!$B$19:$B$201),'Бланк OLD 0.8 04'!$B$12:$K$200,7,0)&gt;0,0.8,
IF(VLOOKUP($A390-COUNT('Шаг2.Бланк заказа NEW'!$B$19:$B$201),'Бланк OLD 0.8 04'!$B$12:$K$200,8,0)&gt;0,0.4,""))),
IF(VLOOKUP($A390-COUNT('Шаг2.Бланк заказа NEW'!$B$19:$B$201)-COUNT('Бланк OLD 0.8 04'!$B$18:$B$200),'Бланк OLD 2.0 04 '!$B$16:$K$200,7,0)&gt;0,2,IF(VLOOKUP($A390-COUNT('Шаг2.Бланк заказа NEW'!$B$19:$B$201)-COUNT('Бланк OLD 0.8 04'!$B$18:$B$200),'Бланк OLD 2.0 04 '!$B$16:$K$200,8,0)&gt;0,0.4,"")))</f>
        <v/>
      </c>
      <c r="U390" s="147" t="str">
        <f ca="1">IFERROR(IFERROR(IF(VLOOKUP($A390,'Шаг2.Бланк заказа NEW'!$B$17:$N$201,8,0)="","",VLOOKUP($A390,'Шаг2.Бланк заказа NEW'!$B$17:$N$201,8,0)),
IF(VLOOKUP($A390-COUNT('Шаг2.Бланк заказа NEW'!$B$19:$B$201),'Бланк OLD 0.8 04'!$B$12:$K$200,7,0)&gt;1,0.8,
IF(VLOOKUP($A390-COUNT('Шаг2.Бланк заказа NEW'!$B$19:$B$201),'Бланк OLD 0.8 04'!$B$12:$K$200,8,0)&gt;1,0.4,
IF(AND(VLOOKUP($A390-COUNT('Шаг2.Бланк заказа NEW'!$B$19:$B$201),'Бланк OLD 0.8 04'!$B$12:$K$200,7,0)&gt;0,VLOOKUP($A390-COUNT('Шаг2.Бланк заказа NEW'!$B$19:$B$201),'Бланк OLD 0.8 04'!$B$12:$K$200,8,0)&gt;0),0.4,"")))),
IF(VLOOKUP($A390-COUNT('Шаг2.Бланк заказа NEW'!$B$19:$B$201)-COUNT('Бланк OLD 0.8 04'!$B$18:$B$200),'Бланк OLD 2.0 04 '!$B$16:$K$200,7,0)&gt;1,2,
IF(VLOOKUP($A390-COUNT('Шаг2.Бланк заказа NEW'!$B$19:$B$201)-COUNT('Бланк OLD 0.8 04'!$B$18:$B$200),'Бланк OLD 2.0 04 '!$B$16:$K$200,8,0)&gt;1,0.4,
IF(AND(VLOOKUP($A390-COUNT('Шаг2.Бланк заказа NEW'!$B$19:$B$201)-COUNT('Бланк OLD 0.8 04'!$B$18:$B$200),'Бланк OLD 2.0 04 '!$B$16:$K$200,7,0)&gt;0,VLOOKUP($A390-COUNT('Шаг2.Бланк заказа NEW'!$B$19:$B$201)-COUNT('Бланк OLD 0.8 04'!$B$18:$B$200),'Бланк OLD 2.0 04 '!$B$16:$K$200,8,0)&gt;0),0.4,""))))</f>
        <v/>
      </c>
      <c r="V390" s="146" t="str">
        <f ca="1">IFERROR(VLOOKUP(C390,'Шаг1.Выбор плиты'!C:S,12,0),"")</f>
        <v/>
      </c>
      <c r="W390" s="146" t="str">
        <f ca="1">IFERROR(VLOOKUP(C390,'Шаг1.Выбор плиты'!C:S,8,0),"")</f>
        <v/>
      </c>
      <c r="X390" s="146" t="str">
        <f ca="1">IFERROR(VLOOKUP(C390,'Шаг1.Выбор плиты'!C:S,10,0),"")</f>
        <v/>
      </c>
      <c r="Y390" s="147" t="str">
        <f t="shared" ca="1" si="39"/>
        <v/>
      </c>
      <c r="AD390" s="147" t="str">
        <f t="shared" ca="1" si="37"/>
        <v/>
      </c>
      <c r="AE390" s="147" t="str">
        <f t="shared" ca="1" si="40"/>
        <v/>
      </c>
      <c r="AF390" s="25"/>
      <c r="AH390" s="147" t="str">
        <f ca="1">IF(C390="","",VLOOKUP(C390,'Шаг1.Выбор плиты'!C:Q,7,0))</f>
        <v/>
      </c>
      <c r="AI390" s="147" t="str">
        <f t="shared" ca="1" si="38"/>
        <v/>
      </c>
    </row>
    <row r="391" spans="1:35" x14ac:dyDescent="0.2">
      <c r="A391" s="151" t="str">
        <f ca="1">IF(C391="","",MAX($A$1:OFFSET(C391,-1,0))+1)</f>
        <v/>
      </c>
      <c r="B391" s="151" t="str">
        <f ca="1">IFERROR(IFERROR(IFERROR("Шаг2.Бланк заказа NEW №"&amp;VLOOKUP(A390+1,CHOOSE({1,2},'Шаг2.Бланк заказа NEW'!$B$19:$B$201,'Шаг2.Бланк заказа NEW'!$A$19:$A$201),1,0),
"Бланк OLD 0.8 04 №"&amp;VLOOKUP(A390+1-COUNT('Шаг2.Бланк заказа NEW'!$B$19:$B$201),CHOOSE({1,2},'Бланк OLD 0.8 04'!$B$18:$B$200,'Бланк OLD 0.8 04'!$A$18:$A$200),1,0)),
"Бланк OLD 2.0 04 №"&amp;VLOOKUP(A390+1-COUNT('Шаг2.Бланк заказа NEW'!$B$19:$B$201)-COUNT('Бланк OLD 0.8 04'!$B$18:$B$200),CHOOSE({1,2},'Бланк OLD 2.0 04 '!$B$18:$B$200,'Бланк OLD 2.0 04 '!$A$18:$A$200),1,0)),"")</f>
        <v/>
      </c>
      <c r="C391" s="152" t="str">
        <f ca="1">IFERROR(IFERROR(IFERROR(VLOOKUP(A390+1,CHOOSE({1,2},'Шаг2.Бланк заказа NEW'!$B$19:$B$201,'Шаг2.Бланк заказа NEW'!$A$19:$A$201),2,0),
VLOOKUP(A390+1-COUNT('Шаг2.Бланк заказа NEW'!$B$19:$B$201),CHOOSE({1,2},'Бланк OLD 0.8 04'!$B$18:$B$200,'Бланк OLD 0.8 04'!$A$18:$A$200),2,0)),
VLOOKUP(A390+1-COUNT('Шаг2.Бланк заказа NEW'!$B$19:$B$201)-COUNT('Бланк OLD 0.8 04'!$B$18:$B$200),CHOOSE({1,2},'Бланк OLD 2.0 04 '!$B$18:$B$200,'Бланк OLD 2.0 04 '!$A$18:$A$200),2,0)),"")</f>
        <v/>
      </c>
      <c r="D391" s="150" t="str">
        <f ca="1">IFERROR(VLOOKUP(C391,'Шаг1.Выбор плиты'!C:G,5,0),"")</f>
        <v/>
      </c>
      <c r="E391" s="147" t="str">
        <f ca="1">IFERROR(IFERROR(IF(VLOOKUP($A391,'Шаг2.Бланк заказа NEW'!$B$17:$N$201,2,0)="","",VLOOKUP($A391,'Шаг2.Бланк заказа NEW'!$B$17:$N$201,2,0)),
IF(VLOOKUP($A391-COUNT('Шаг2.Бланк заказа NEW'!$B$19:$B$201),'Бланк OLD 0.8 04'!$B$12:$K$200,2,0)="","",VLOOKUP($A391-COUNT('Шаг2.Бланк заказа NEW'!$B$19:$B$201),'Бланк OLD 0.8 04'!$B$12:$K$200,2,0))),
IF(VLOOKUP($A391-COUNT('Шаг2.Бланк заказа NEW'!$B$19:$B$201)-COUNT('Бланк OLD 0.8 04'!$B$18:$B$200),'Бланк OLD 2.0 04 '!$B$16:$K$200,2,0)="","",VLOOKUP($A391-COUNT('Шаг2.Бланк заказа NEW'!$B$19:$B$201)-COUNT('Бланк OLD 0.8 04'!$B$18:$B$200),'Бланк OLD 2.0 04 '!$B$16:$K$200,2,0)))</f>
        <v/>
      </c>
      <c r="F391" s="147" t="str">
        <f ca="1">IFERROR(IFERROR(IF(VLOOKUP($A391,'Шаг2.Бланк заказа NEW'!$B$17:$N$201,3,0)="","",VLOOKUP($A391,'Шаг2.Бланк заказа NEW'!$B$17:$N$201,3,0)),
IF(VLOOKUP($A391-COUNT('Шаг2.Бланк заказа NEW'!$B$19:$B$201),'Бланк OLD 0.8 04'!$B$12:$K$200,3,0)="","",VLOOKUP($A391-COUNT('Шаг2.Бланк заказа NEW'!$B$19:$B$201),'Бланк OLD 0.8 04'!$B$12:$K$200,3,0))),
IF(VLOOKUP($A391-COUNT('Шаг2.Бланк заказа NEW'!$B$19:$B$201)-COUNT('Бланк OLD 0.8 04'!$B$18:$B$200),'Бланк OLD 2.0 04 '!$B$16:$K$200,3,0)="","",VLOOKUP($A391-COUNT('Шаг2.Бланк заказа NEW'!$B$19:$B$201)-COUNT('Бланк OLD 0.8 04'!$B$18:$B$200),'Бланк OLD 2.0 04 '!$B$16:$K$200,3,0)))</f>
        <v/>
      </c>
      <c r="G391" s="176" t="str">
        <f ca="1">IF(IF(R391="","",IF(R391=1,SUMIFS('Шаг1.Выбор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плиты'!C:Q,12,0)),1))))))=0,
R391,
IF(R391="","",IF(R391=1,SUMIFS('Шаг1.Выбор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плиты'!N:N,R391,'Шаг1.Выбор плиты'!M:M,SMALL(INDIRECT("мм"&amp;VLOOKUP(C391,'Шаг1.Выбор плиты'!C:Q,12,0)),1)))))))</f>
        <v/>
      </c>
      <c r="H391" s="177" t="str">
        <f ca="1">IF(IF(S391="","",IF(S391=1,SUMIFS('Шаг1.Выбор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плиты'!C:Q,12,0)),1))))))=0,
S391,
IF(S391="","",IF(S391=1,SUMIFS('Шаг1.Выбор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плиты'!N:N,S391,'Шаг1.Выбор плиты'!M:M,SMALL(INDIRECT("мм"&amp;VLOOKUP(C391,'Шаг1.Выбор плиты'!C:Q,12,0)),1)))))))</f>
        <v/>
      </c>
      <c r="I391" s="147" t="str">
        <f ca="1">IFERROR(IFERROR(IF(VLOOKUP($A391,'Шаг2.Бланк заказа NEW'!$B$17:$N$201,6,0)="","",VLOOKUP($A391,'Шаг2.Бланк заказа NEW'!$B$17:$N$201,6,0)),
IF(VLOOKUP($A391-COUNT('Шаг2.Бланк заказа NEW'!$B$19:$B$201),'Бланк OLD 0.8 04'!$B$12:$K$200,6,0)="","",VLOOKUP($A391-COUNT('Шаг2.Бланк заказа NEW'!$B$19:$B$201),'Бланк OLD 0.8 04'!$B$12:$K$200,6,0))),
IF(VLOOKUP($A391-COUNT('Шаг2.Бланк заказа NEW'!$B$19:$B$201)-COUNT('Бланк OLD 0.8 04'!$B$18:$B$200),'Бланк OLD 2.0 04 '!$B$16:$K$200,6,0)="","",VLOOKUP($A391-COUNT('Шаг2.Бланк заказа NEW'!$B$19:$B$201)-COUNT('Бланк OLD 0.8 04'!$B$18:$B$200),'Бланк OLD 2.0 04 '!$B$16:$K$200,6,0)))</f>
        <v/>
      </c>
      <c r="J391" s="177" t="str">
        <f ca="1">IF(IF(T391="","",IF(T391=1,SUMIFS('Шаг1.Выбор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плиты'!C:Q,12,0)),1))))))=0,
T391,
IF(T391="","",IF(T391=1,SUMIFS('Шаг1.Выбор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плиты'!N:N,T391,'Шаг1.Выбор плиты'!M:M,SMALL(INDIRECT("мм"&amp;VLOOKUP(C391,'Шаг1.Выбор плиты'!C:Q,12,0)),1)))))))</f>
        <v/>
      </c>
      <c r="K391" s="177" t="str">
        <f ca="1">IF(IF(U391="","",IF(U391=1,SUMIFS('Шаг1.Выбор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плиты'!C:Q,12,0)),1))))))=0,
U391,
IF(U391="","",IF(U391=1,SUMIFS('Шаг1.Выбор плиты'!$G:$G,'Шаг1.Выбор плиты'!J:J,"*"&amp;RIGHT(VLOOKUP(C391,'Шаг1.Выбор плиты'!C:Q,8,0),4),'Шаг1.Выбор плиты'!L:L,IF(MID(C391,1,6)="ЛДСП P","TM"&amp;MID(VLOOKUP(C391,'Шаг1.Выбор плиты'!C:Q,10,0),3,2),MID(VLOOKUP(C391,'Шаг1.Выбор плиты'!C:Q,10,0),1,2)),
'Шаг1.Выбор плиты'!N:N,1),IF(SUMIFS('Шаг1.Выбор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плиты'!C:Q,12,0)),1))=0,
IF(SUMIFS('Шаг1.Выбор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плиты'!C:Q,12,0)),2))=0,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плиты'!C:Q,12,0)),3)),
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плиты'!C:Q,12,0)),2))),
(SUMIFS('Шаг1.Выбор плиты'!$G:$G,'Шаг1.Выбор плиты'!J:J,"*"&amp;RIGHT(VLOOKUP(C391,'Шаг1.Выбор плиты'!C:Q,8,0),4),'Шаг1.Выбор плиты'!L:L,VLOOKUP(C391,'Шаг1.Выбор плиты'!C:Q,10,0),'Шаг1.Выбор плиты'!N:N,U391,'Шаг1.Выбор плиты'!M:M,SMALL(INDIRECT("мм"&amp;VLOOKUP(C391,'Шаг1.Выбор плиты'!C:Q,12,0)),1)))))))</f>
        <v/>
      </c>
      <c r="L391" s="147" t="str">
        <f ca="1">IFERROR(IFERROR(IF(VLOOKUP($A391,'Шаг2.Бланк заказа NEW'!$B$17:$N$201,9,0)="","",VLOOKUP($A391,'Шаг2.Бланк заказа NEW'!$B$17:$N$201,9,0)),
IF(VLOOKUP($A391-COUNT('Шаг2.Бланк заказа NEW'!$B$19:$B$201),'Бланк OLD 0.8 04'!$B$12:$K$200,9,0)="","",VLOOKUP($A391-COUNT('Шаг2.Бланк заказа NEW'!$B$19:$B$201),'Бланк OLD 0.8 04'!$B$12:$K$200,9,0))),
IF(VLOOKUP($A391-COUNT('Шаг2.Бланк заказа NEW'!$B$19:$B$201)-COUNT('Бланк OLD 0.8 04'!$B$18:$B$200),'Бланк OLD 2.0 04 '!$B$16:$K$200,9,0)="","",VLOOKUP($A391-COUNT('Шаг2.Бланк заказа NEW'!$B$19:$B$201)-COUNT('Бланк OLD 0.8 04'!$B$18:$B$200),'Бланк OLD 2.0 04 '!$B$16:$K$200,9,0)))</f>
        <v/>
      </c>
      <c r="M391" s="154" t="str">
        <f t="shared" ca="1" si="36"/>
        <v/>
      </c>
      <c r="N391" s="153" t="str">
        <f ca="1">IFERROR(IF(VLOOKUP($A391,'Шаг2.Бланк заказа NEW'!$B$17:$N$201,11,0)="","",VLOOKUP($A391,'Шаг2.Бланк заказа NEW'!$B$17:$N$201,11,0)),
"Нет")</f>
        <v/>
      </c>
      <c r="O391" s="147" t="str">
        <f ca="1">IFERROR(IF(VLOOKUP($A391,'Шаг2.Бланк заказа NEW'!$B$17:$N$201,11,0)="","",VLOOKUP($A391,'Шаг2.Бланк заказа NEW'!$B$17:$N$201,12,0)),
"Нет")</f>
        <v/>
      </c>
      <c r="P391" s="153" t="str">
        <f ca="1">IFERROR(IF(VLOOKUP($A391,'Шаг2.Бланк заказа NEW'!$B$17:$N$201,13,0)="","",VLOOKUP($A391,'Шаг2.Бланк заказа NEW'!$B$17:$N$201,13,0)),
"Нет")</f>
        <v/>
      </c>
      <c r="Q391" s="147" t="str">
        <f ca="1">IFERROR(IF(VLOOKUP($A391,'Шаг2.Бланк заказа NEW'!$B$17:$O$201,14,0)="","",VLOOKUP($A391,'Шаг2.Бланк заказа NEW'!$B$17:$O$201,14,0)),"")</f>
        <v/>
      </c>
      <c r="R391" s="147" t="str">
        <f ca="1">IFERROR(IFERROR(IF(VLOOKUP($A391,'Шаг2.Бланк заказа NEW'!$B$17:$N$201,4,0)="","",VLOOKUP($A391,'Шаг2.Бланк заказа NEW'!$B$17:$N$201,4,0)),
IF(VLOOKUP($A391-COUNT('Шаг2.Бланк заказа NEW'!$B$19:$B$201),'Бланк OLD 0.8 04'!$B$12:$K$200,4,0)&gt;0,0.8,
IF(VLOOKUP($A391-COUNT('Шаг2.Бланк заказа NEW'!$B$19:$B$201),'Бланк OLD 0.8 04'!$B$12:$K$200,5,0)&gt;0,0.4,""))),
IF(VLOOKUP($A391-COUNT('Шаг2.Бланк заказа NEW'!$B$19:$B$201)-COUNT('Бланк OLD 0.8 04'!$B$18:$B$200),'Бланк OLD 2.0 04 '!$B$16:$K$200,4,0)&gt;0,2,IF(VLOOKUP($A391-COUNT('Шаг2.Бланк заказа NEW'!$B$19:$B$201)-COUNT('Бланк OLD 0.8 04'!$B$18:$B$200),'Бланк OLD 2.0 04 '!$B$16:$K$200,5,0)&gt;0,0.4,"")))</f>
        <v/>
      </c>
      <c r="S391" s="147" t="str">
        <f ca="1">IFERROR(IFERROR(IF(VLOOKUP($A391,'Шаг2.Бланк заказа NEW'!$B$17:$N$201,5,0)="","",VLOOKUP($A391,'Шаг2.Бланк заказа NEW'!$B$17:$N$201,5,0)),
IF(VLOOKUP($A391-COUNT('Шаг2.Бланк заказа NEW'!$B$19:$B$201),'Бланк OLD 0.8 04'!$B$12:$K$200,4,0)&gt;1,0.8,
IF(VLOOKUP($A391-COUNT('Шаг2.Бланк заказа NEW'!$B$19:$B$201),'Бланк OLD 0.8 04'!$B$12:$K$200,5,0)&gt;1,0.4,
IF(AND(VLOOKUP($A391-COUNT('Шаг2.Бланк заказа NEW'!$B$19:$B$201),'Бланк OLD 0.8 04'!$B$12:$K$200,4,0)&gt;0,VLOOKUP($A391-COUNT('Шаг2.Бланк заказа NEW'!$B$19:$B$201),'Бланк OLD 0.8 04'!$B$12:$K$200,5,0)&gt;0),0.4,"")))),
IF(VLOOKUP($A391-COUNT('Шаг2.Бланк заказа NEW'!$B$19:$B$201)-COUNT('Бланк OLD 0.8 04'!$B$18:$B$200),'Бланк OLD 2.0 04 '!$B$16:$K$200,4,0)&gt;1,2,
IF(VLOOKUP($A391-COUNT('Шаг2.Бланк заказа NEW'!$B$19:$B$201)-COUNT('Бланк OLD 0.8 04'!$B$18:$B$200),'Бланк OLD 2.0 04 '!$B$16:$K$200,5,0)&gt;1,0.4,IF(AND(VLOOKUP($A391-COUNT('Шаг2.Бланк заказа NEW'!$B$19:$B$201)-COUNT('Бланк OLD 0.8 04'!$B$18:$B$200),'Бланк OLD 2.0 04 '!$B$16:$K$200,4,0)&gt;0,VLOOKUP($A391-COUNT('Шаг2.Бланк заказа NEW'!$B$19:$B$201)-COUNT('Бланк OLD 0.8 04'!$B$18:$B$200),'Бланк OLD 2.0 04 '!$B$16:$K$200,5,0)&gt;0),0.4,""))))</f>
        <v/>
      </c>
      <c r="T391" s="147" t="str">
        <f ca="1">IFERROR(IFERROR(IF(VLOOKUP($A391,'Шаг2.Бланк заказа NEW'!$B$17:$N$201,7,0)="","",VLOOKUP($A391,'Шаг2.Бланк заказа NEW'!$B$17:$N$201,7,0)),
IF(VLOOKUP($A391-COUNT('Шаг2.Бланк заказа NEW'!$B$19:$B$201),'Бланк OLD 0.8 04'!$B$12:$K$200,7,0)&gt;0,0.8,
IF(VLOOKUP($A391-COUNT('Шаг2.Бланк заказа NEW'!$B$19:$B$201),'Бланк OLD 0.8 04'!$B$12:$K$200,8,0)&gt;0,0.4,""))),
IF(VLOOKUP($A391-COUNT('Шаг2.Бланк заказа NEW'!$B$19:$B$201)-COUNT('Бланк OLD 0.8 04'!$B$18:$B$200),'Бланк OLD 2.0 04 '!$B$16:$K$200,7,0)&gt;0,2,IF(VLOOKUP($A391-COUNT('Шаг2.Бланк заказа NEW'!$B$19:$B$201)-COUNT('Бланк OLD 0.8 04'!$B$18:$B$200),'Бланк OLD 2.0 04 '!$B$16:$K$200,8,0)&gt;0,0.4,"")))</f>
        <v/>
      </c>
      <c r="U391" s="147" t="str">
        <f ca="1">IFERROR(IFERROR(IF(VLOOKUP($A391,'Шаг2.Бланк заказа NEW'!$B$17:$N$201,8,0)="","",VLOOKUP($A391,'Шаг2.Бланк заказа NEW'!$B$17:$N$201,8,0)),
IF(VLOOKUP($A391-COUNT('Шаг2.Бланк заказа NEW'!$B$19:$B$201),'Бланк OLD 0.8 04'!$B$12:$K$200,7,0)&gt;1,0.8,
IF(VLOOKUP($A391-COUNT('Шаг2.Бланк заказа NEW'!$B$19:$B$201),'Бланк OLD 0.8 04'!$B$12:$K$200,8,0)&gt;1,0.4,
IF(AND(VLOOKUP($A391-COUNT('Шаг2.Бланк заказа NEW'!$B$19:$B$201),'Бланк OLD 0.8 04'!$B$12:$K$200,7,0)&gt;0,VLOOKUP($A391-COUNT('Шаг2.Бланк заказа NEW'!$B$19:$B$201),'Бланк OLD 0.8 04'!$B$12:$K$200,8,0)&gt;0),0.4,"")))),
IF(VLOOKUP($A391-COUNT('Шаг2.Бланк заказа NEW'!$B$19:$B$201)-COUNT('Бланк OLD 0.8 04'!$B$18:$B$200),'Бланк OLD 2.0 04 '!$B$16:$K$200,7,0)&gt;1,2,
IF(VLOOKUP($A391-COUNT('Шаг2.Бланк заказа NEW'!$B$19:$B$201)-COUNT('Бланк OLD 0.8 04'!$B$18:$B$200),'Бланк OLD 2.0 04 '!$B$16:$K$200,8,0)&gt;1,0.4,
IF(AND(VLOOKUP($A391-COUNT('Шаг2.Бланк заказа NEW'!$B$19:$B$201)-COUNT('Бланк OLD 0.8 04'!$B$18:$B$200),'Бланк OLD 2.0 04 '!$B$16:$K$200,7,0)&gt;0,VLOOKUP($A391-COUNT('Шаг2.Бланк заказа NEW'!$B$19:$B$201)-COUNT('Бланк OLD 0.8 04'!$B$18:$B$200),'Бланк OLD 2.0 04 '!$B$16:$K$200,8,0)&gt;0),0.4,""))))</f>
        <v/>
      </c>
      <c r="V391" s="146" t="str">
        <f ca="1">IFERROR(VLOOKUP(C391,'Шаг1.Выбор плиты'!C:S,12,0),"")</f>
        <v/>
      </c>
      <c r="W391" s="146" t="str">
        <f ca="1">IFERROR(VLOOKUP(C391,'Шаг1.Выбор плиты'!C:S,8,0),"")</f>
        <v/>
      </c>
      <c r="X391" s="146" t="str">
        <f ca="1">IFERROR(VLOOKUP(C391,'Шаг1.Выбор плиты'!C:S,10,0),"")</f>
        <v/>
      </c>
      <c r="Y391" s="147" t="str">
        <f t="shared" ca="1" si="39"/>
        <v/>
      </c>
      <c r="AD391" s="147" t="str">
        <f t="shared" ca="1" si="37"/>
        <v/>
      </c>
      <c r="AE391" s="147" t="str">
        <f t="shared" ca="1" si="40"/>
        <v/>
      </c>
      <c r="AF391" s="25"/>
      <c r="AH391" s="147" t="str">
        <f ca="1">IF(C391="","",VLOOKUP(C391,'Шаг1.Выбор плиты'!C:Q,7,0))</f>
        <v/>
      </c>
      <c r="AI391" s="147" t="str">
        <f t="shared" ca="1" si="38"/>
        <v/>
      </c>
    </row>
    <row r="392" spans="1:35" x14ac:dyDescent="0.2">
      <c r="A392" s="151" t="str">
        <f ca="1">IF(C392="","",MAX($A$1:OFFSET(C392,-1,0))+1)</f>
        <v/>
      </c>
      <c r="B392" s="151" t="str">
        <f ca="1">IFERROR(IFERROR(IFERROR("Шаг2.Бланк заказа NEW №"&amp;VLOOKUP(A391+1,CHOOSE({1,2},'Шаг2.Бланк заказа NEW'!$B$19:$B$201,'Шаг2.Бланк заказа NEW'!$A$19:$A$201),1,0),
"Бланк OLD 0.8 04 №"&amp;VLOOKUP(A391+1-COUNT('Шаг2.Бланк заказа NEW'!$B$19:$B$201),CHOOSE({1,2},'Бланк OLD 0.8 04'!$B$18:$B$200,'Бланк OLD 0.8 04'!$A$18:$A$200),1,0)),
"Бланк OLD 2.0 04 №"&amp;VLOOKUP(A391+1-COUNT('Шаг2.Бланк заказа NEW'!$B$19:$B$201)-COUNT('Бланк OLD 0.8 04'!$B$18:$B$200),CHOOSE({1,2},'Бланк OLD 2.0 04 '!$B$18:$B$200,'Бланк OLD 2.0 04 '!$A$18:$A$200),1,0)),"")</f>
        <v/>
      </c>
      <c r="C392" s="152" t="str">
        <f ca="1">IFERROR(IFERROR(IFERROR(VLOOKUP(A391+1,CHOOSE({1,2},'Шаг2.Бланк заказа NEW'!$B$19:$B$201,'Шаг2.Бланк заказа NEW'!$A$19:$A$201),2,0),
VLOOKUP(A391+1-COUNT('Шаг2.Бланк заказа NEW'!$B$19:$B$201),CHOOSE({1,2},'Бланк OLD 0.8 04'!$B$18:$B$200,'Бланк OLD 0.8 04'!$A$18:$A$200),2,0)),
VLOOKUP(A391+1-COUNT('Шаг2.Бланк заказа NEW'!$B$19:$B$201)-COUNT('Бланк OLD 0.8 04'!$B$18:$B$200),CHOOSE({1,2},'Бланк OLD 2.0 04 '!$B$18:$B$200,'Бланк OLD 2.0 04 '!$A$18:$A$200),2,0)),"")</f>
        <v/>
      </c>
      <c r="D392" s="150" t="str">
        <f ca="1">IFERROR(VLOOKUP(C392,'Шаг1.Выбор плиты'!C:G,5,0),"")</f>
        <v/>
      </c>
      <c r="E392" s="147" t="str">
        <f ca="1">IFERROR(IFERROR(IF(VLOOKUP($A392,'Шаг2.Бланк заказа NEW'!$B$17:$N$201,2,0)="","",VLOOKUP($A392,'Шаг2.Бланк заказа NEW'!$B$17:$N$201,2,0)),
IF(VLOOKUP($A392-COUNT('Шаг2.Бланк заказа NEW'!$B$19:$B$201),'Бланк OLD 0.8 04'!$B$12:$K$200,2,0)="","",VLOOKUP($A392-COUNT('Шаг2.Бланк заказа NEW'!$B$19:$B$201),'Бланк OLD 0.8 04'!$B$12:$K$200,2,0))),
IF(VLOOKUP($A392-COUNT('Шаг2.Бланк заказа NEW'!$B$19:$B$201)-COUNT('Бланк OLD 0.8 04'!$B$18:$B$200),'Бланк OLD 2.0 04 '!$B$16:$K$200,2,0)="","",VLOOKUP($A392-COUNT('Шаг2.Бланк заказа NEW'!$B$19:$B$201)-COUNT('Бланк OLD 0.8 04'!$B$18:$B$200),'Бланк OLD 2.0 04 '!$B$16:$K$200,2,0)))</f>
        <v/>
      </c>
      <c r="F392" s="147" t="str">
        <f ca="1">IFERROR(IFERROR(IF(VLOOKUP($A392,'Шаг2.Бланк заказа NEW'!$B$17:$N$201,3,0)="","",VLOOKUP($A392,'Шаг2.Бланк заказа NEW'!$B$17:$N$201,3,0)),
IF(VLOOKUP($A392-COUNT('Шаг2.Бланк заказа NEW'!$B$19:$B$201),'Бланк OLD 0.8 04'!$B$12:$K$200,3,0)="","",VLOOKUP($A392-COUNT('Шаг2.Бланк заказа NEW'!$B$19:$B$201),'Бланк OLD 0.8 04'!$B$12:$K$200,3,0))),
IF(VLOOKUP($A392-COUNT('Шаг2.Бланк заказа NEW'!$B$19:$B$201)-COUNT('Бланк OLD 0.8 04'!$B$18:$B$200),'Бланк OLD 2.0 04 '!$B$16:$K$200,3,0)="","",VLOOKUP($A392-COUNT('Шаг2.Бланк заказа NEW'!$B$19:$B$201)-COUNT('Бланк OLD 0.8 04'!$B$18:$B$200),'Бланк OLD 2.0 04 '!$B$16:$K$200,3,0)))</f>
        <v/>
      </c>
      <c r="G392" s="176" t="str">
        <f ca="1">IF(IF(R392="","",IF(R392=1,SUMIFS('Шаг1.Выбор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плиты'!C:Q,12,0)),1))))))=0,
R392,
IF(R392="","",IF(R392=1,SUMIFS('Шаг1.Выбор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плиты'!N:N,R392,'Шаг1.Выбор плиты'!M:M,SMALL(INDIRECT("мм"&amp;VLOOKUP(C392,'Шаг1.Выбор плиты'!C:Q,12,0)),1)))))))</f>
        <v/>
      </c>
      <c r="H392" s="177" t="str">
        <f ca="1">IF(IF(S392="","",IF(S392=1,SUMIFS('Шаг1.Выбор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плиты'!C:Q,12,0)),1))))))=0,
S392,
IF(S392="","",IF(S392=1,SUMIFS('Шаг1.Выбор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плиты'!N:N,S392,'Шаг1.Выбор плиты'!M:M,SMALL(INDIRECT("мм"&amp;VLOOKUP(C392,'Шаг1.Выбор плиты'!C:Q,12,0)),1)))))))</f>
        <v/>
      </c>
      <c r="I392" s="147" t="str">
        <f ca="1">IFERROR(IFERROR(IF(VLOOKUP($A392,'Шаг2.Бланк заказа NEW'!$B$17:$N$201,6,0)="","",VLOOKUP($A392,'Шаг2.Бланк заказа NEW'!$B$17:$N$201,6,0)),
IF(VLOOKUP($A392-COUNT('Шаг2.Бланк заказа NEW'!$B$19:$B$201),'Бланк OLD 0.8 04'!$B$12:$K$200,6,0)="","",VLOOKUP($A392-COUNT('Шаг2.Бланк заказа NEW'!$B$19:$B$201),'Бланк OLD 0.8 04'!$B$12:$K$200,6,0))),
IF(VLOOKUP($A392-COUNT('Шаг2.Бланк заказа NEW'!$B$19:$B$201)-COUNT('Бланк OLD 0.8 04'!$B$18:$B$200),'Бланк OLD 2.0 04 '!$B$16:$K$200,6,0)="","",VLOOKUP($A392-COUNT('Шаг2.Бланк заказа NEW'!$B$19:$B$201)-COUNT('Бланк OLD 0.8 04'!$B$18:$B$200),'Бланк OLD 2.0 04 '!$B$16:$K$200,6,0)))</f>
        <v/>
      </c>
      <c r="J392" s="177" t="str">
        <f ca="1">IF(IF(T392="","",IF(T392=1,SUMIFS('Шаг1.Выбор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плиты'!C:Q,12,0)),1))))))=0,
T392,
IF(T392="","",IF(T392=1,SUMIFS('Шаг1.Выбор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плиты'!N:N,T392,'Шаг1.Выбор плиты'!M:M,SMALL(INDIRECT("мм"&amp;VLOOKUP(C392,'Шаг1.Выбор плиты'!C:Q,12,0)),1)))))))</f>
        <v/>
      </c>
      <c r="K392" s="177" t="str">
        <f ca="1">IF(IF(U392="","",IF(U392=1,SUMIFS('Шаг1.Выбор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плиты'!C:Q,12,0)),1))))))=0,
U392,
IF(U392="","",IF(U392=1,SUMIFS('Шаг1.Выбор плиты'!$G:$G,'Шаг1.Выбор плиты'!J:J,"*"&amp;RIGHT(VLOOKUP(C392,'Шаг1.Выбор плиты'!C:Q,8,0),4),'Шаг1.Выбор плиты'!L:L,IF(MID(C392,1,6)="ЛДСП P","TM"&amp;MID(VLOOKUP(C392,'Шаг1.Выбор плиты'!C:Q,10,0),3,2),MID(VLOOKUP(C392,'Шаг1.Выбор плиты'!C:Q,10,0),1,2)),
'Шаг1.Выбор плиты'!N:N,1),IF(SUMIFS('Шаг1.Выбор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плиты'!C:Q,12,0)),1))=0,
IF(SUMIFS('Шаг1.Выбор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плиты'!C:Q,12,0)),2))=0,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плиты'!C:Q,12,0)),3)),
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плиты'!C:Q,12,0)),2))),
(SUMIFS('Шаг1.Выбор плиты'!$G:$G,'Шаг1.Выбор плиты'!J:J,"*"&amp;RIGHT(VLOOKUP(C392,'Шаг1.Выбор плиты'!C:Q,8,0),4),'Шаг1.Выбор плиты'!L:L,VLOOKUP(C392,'Шаг1.Выбор плиты'!C:Q,10,0),'Шаг1.Выбор плиты'!N:N,U392,'Шаг1.Выбор плиты'!M:M,SMALL(INDIRECT("мм"&amp;VLOOKUP(C392,'Шаг1.Выбор плиты'!C:Q,12,0)),1)))))))</f>
        <v/>
      </c>
      <c r="L392" s="147" t="str">
        <f ca="1">IFERROR(IFERROR(IF(VLOOKUP($A392,'Шаг2.Бланк заказа NEW'!$B$17:$N$201,9,0)="","",VLOOKUP($A392,'Шаг2.Бланк заказа NEW'!$B$17:$N$201,9,0)),
IF(VLOOKUP($A392-COUNT('Шаг2.Бланк заказа NEW'!$B$19:$B$201),'Бланк OLD 0.8 04'!$B$12:$K$200,9,0)="","",VLOOKUP($A392-COUNT('Шаг2.Бланк заказа NEW'!$B$19:$B$201),'Бланк OLD 0.8 04'!$B$12:$K$200,9,0))),
IF(VLOOKUP($A392-COUNT('Шаг2.Бланк заказа NEW'!$B$19:$B$201)-COUNT('Бланк OLD 0.8 04'!$B$18:$B$200),'Бланк OLD 2.0 04 '!$B$16:$K$200,9,0)="","",VLOOKUP($A392-COUNT('Шаг2.Бланк заказа NEW'!$B$19:$B$201)-COUNT('Бланк OLD 0.8 04'!$B$18:$B$200),'Бланк OLD 2.0 04 '!$B$16:$K$200,9,0)))</f>
        <v/>
      </c>
      <c r="M392" s="154" t="str">
        <f t="shared" ca="1" si="36"/>
        <v/>
      </c>
      <c r="N392" s="153" t="str">
        <f ca="1">IFERROR(IF(VLOOKUP($A392,'Шаг2.Бланк заказа NEW'!$B$17:$N$201,11,0)="","",VLOOKUP($A392,'Шаг2.Бланк заказа NEW'!$B$17:$N$201,11,0)),
"Нет")</f>
        <v/>
      </c>
      <c r="O392" s="147" t="str">
        <f ca="1">IFERROR(IF(VLOOKUP($A392,'Шаг2.Бланк заказа NEW'!$B$17:$N$201,11,0)="","",VLOOKUP($A392,'Шаг2.Бланк заказа NEW'!$B$17:$N$201,12,0)),
"Нет")</f>
        <v/>
      </c>
      <c r="P392" s="153" t="str">
        <f ca="1">IFERROR(IF(VLOOKUP($A392,'Шаг2.Бланк заказа NEW'!$B$17:$N$201,13,0)="","",VLOOKUP($A392,'Шаг2.Бланк заказа NEW'!$B$17:$N$201,13,0)),
"Нет")</f>
        <v/>
      </c>
      <c r="Q392" s="147" t="str">
        <f ca="1">IFERROR(IF(VLOOKUP($A392,'Шаг2.Бланк заказа NEW'!$B$17:$O$201,14,0)="","",VLOOKUP($A392,'Шаг2.Бланк заказа NEW'!$B$17:$O$201,14,0)),"")</f>
        <v/>
      </c>
      <c r="R392" s="147" t="str">
        <f ca="1">IFERROR(IFERROR(IF(VLOOKUP($A392,'Шаг2.Бланк заказа NEW'!$B$17:$N$201,4,0)="","",VLOOKUP($A392,'Шаг2.Бланк заказа NEW'!$B$17:$N$201,4,0)),
IF(VLOOKUP($A392-COUNT('Шаг2.Бланк заказа NEW'!$B$19:$B$201),'Бланк OLD 0.8 04'!$B$12:$K$200,4,0)&gt;0,0.8,
IF(VLOOKUP($A392-COUNT('Шаг2.Бланк заказа NEW'!$B$19:$B$201),'Бланк OLD 0.8 04'!$B$12:$K$200,5,0)&gt;0,0.4,""))),
IF(VLOOKUP($A392-COUNT('Шаг2.Бланк заказа NEW'!$B$19:$B$201)-COUNT('Бланк OLD 0.8 04'!$B$18:$B$200),'Бланк OLD 2.0 04 '!$B$16:$K$200,4,0)&gt;0,2,IF(VLOOKUP($A392-COUNT('Шаг2.Бланк заказа NEW'!$B$19:$B$201)-COUNT('Бланк OLD 0.8 04'!$B$18:$B$200),'Бланк OLD 2.0 04 '!$B$16:$K$200,5,0)&gt;0,0.4,"")))</f>
        <v/>
      </c>
      <c r="S392" s="147" t="str">
        <f ca="1">IFERROR(IFERROR(IF(VLOOKUP($A392,'Шаг2.Бланк заказа NEW'!$B$17:$N$201,5,0)="","",VLOOKUP($A392,'Шаг2.Бланк заказа NEW'!$B$17:$N$201,5,0)),
IF(VLOOKUP($A392-COUNT('Шаг2.Бланк заказа NEW'!$B$19:$B$201),'Бланк OLD 0.8 04'!$B$12:$K$200,4,0)&gt;1,0.8,
IF(VLOOKUP($A392-COUNT('Шаг2.Бланк заказа NEW'!$B$19:$B$201),'Бланк OLD 0.8 04'!$B$12:$K$200,5,0)&gt;1,0.4,
IF(AND(VLOOKUP($A392-COUNT('Шаг2.Бланк заказа NEW'!$B$19:$B$201),'Бланк OLD 0.8 04'!$B$12:$K$200,4,0)&gt;0,VLOOKUP($A392-COUNT('Шаг2.Бланк заказа NEW'!$B$19:$B$201),'Бланк OLD 0.8 04'!$B$12:$K$200,5,0)&gt;0),0.4,"")))),
IF(VLOOKUP($A392-COUNT('Шаг2.Бланк заказа NEW'!$B$19:$B$201)-COUNT('Бланк OLD 0.8 04'!$B$18:$B$200),'Бланк OLD 2.0 04 '!$B$16:$K$200,4,0)&gt;1,2,
IF(VLOOKUP($A392-COUNT('Шаг2.Бланк заказа NEW'!$B$19:$B$201)-COUNT('Бланк OLD 0.8 04'!$B$18:$B$200),'Бланк OLD 2.0 04 '!$B$16:$K$200,5,0)&gt;1,0.4,IF(AND(VLOOKUP($A392-COUNT('Шаг2.Бланк заказа NEW'!$B$19:$B$201)-COUNT('Бланк OLD 0.8 04'!$B$18:$B$200),'Бланк OLD 2.0 04 '!$B$16:$K$200,4,0)&gt;0,VLOOKUP($A392-COUNT('Шаг2.Бланк заказа NEW'!$B$19:$B$201)-COUNT('Бланк OLD 0.8 04'!$B$18:$B$200),'Бланк OLD 2.0 04 '!$B$16:$K$200,5,0)&gt;0),0.4,""))))</f>
        <v/>
      </c>
      <c r="T392" s="147" t="str">
        <f ca="1">IFERROR(IFERROR(IF(VLOOKUP($A392,'Шаг2.Бланк заказа NEW'!$B$17:$N$201,7,0)="","",VLOOKUP($A392,'Шаг2.Бланк заказа NEW'!$B$17:$N$201,7,0)),
IF(VLOOKUP($A392-COUNT('Шаг2.Бланк заказа NEW'!$B$19:$B$201),'Бланк OLD 0.8 04'!$B$12:$K$200,7,0)&gt;0,0.8,
IF(VLOOKUP($A392-COUNT('Шаг2.Бланк заказа NEW'!$B$19:$B$201),'Бланк OLD 0.8 04'!$B$12:$K$200,8,0)&gt;0,0.4,""))),
IF(VLOOKUP($A392-COUNT('Шаг2.Бланк заказа NEW'!$B$19:$B$201)-COUNT('Бланк OLD 0.8 04'!$B$18:$B$200),'Бланк OLD 2.0 04 '!$B$16:$K$200,7,0)&gt;0,2,IF(VLOOKUP($A392-COUNT('Шаг2.Бланк заказа NEW'!$B$19:$B$201)-COUNT('Бланк OLD 0.8 04'!$B$18:$B$200),'Бланк OLD 2.0 04 '!$B$16:$K$200,8,0)&gt;0,0.4,"")))</f>
        <v/>
      </c>
      <c r="U392" s="147" t="str">
        <f ca="1">IFERROR(IFERROR(IF(VLOOKUP($A392,'Шаг2.Бланк заказа NEW'!$B$17:$N$201,8,0)="","",VLOOKUP($A392,'Шаг2.Бланк заказа NEW'!$B$17:$N$201,8,0)),
IF(VLOOKUP($A392-COUNT('Шаг2.Бланк заказа NEW'!$B$19:$B$201),'Бланк OLD 0.8 04'!$B$12:$K$200,7,0)&gt;1,0.8,
IF(VLOOKUP($A392-COUNT('Шаг2.Бланк заказа NEW'!$B$19:$B$201),'Бланк OLD 0.8 04'!$B$12:$K$200,8,0)&gt;1,0.4,
IF(AND(VLOOKUP($A392-COUNT('Шаг2.Бланк заказа NEW'!$B$19:$B$201),'Бланк OLD 0.8 04'!$B$12:$K$200,7,0)&gt;0,VLOOKUP($A392-COUNT('Шаг2.Бланк заказа NEW'!$B$19:$B$201),'Бланк OLD 0.8 04'!$B$12:$K$200,8,0)&gt;0),0.4,"")))),
IF(VLOOKUP($A392-COUNT('Шаг2.Бланк заказа NEW'!$B$19:$B$201)-COUNT('Бланк OLD 0.8 04'!$B$18:$B$200),'Бланк OLD 2.0 04 '!$B$16:$K$200,7,0)&gt;1,2,
IF(VLOOKUP($A392-COUNT('Шаг2.Бланк заказа NEW'!$B$19:$B$201)-COUNT('Бланк OLD 0.8 04'!$B$18:$B$200),'Бланк OLD 2.0 04 '!$B$16:$K$200,8,0)&gt;1,0.4,
IF(AND(VLOOKUP($A392-COUNT('Шаг2.Бланк заказа NEW'!$B$19:$B$201)-COUNT('Бланк OLD 0.8 04'!$B$18:$B$200),'Бланк OLD 2.0 04 '!$B$16:$K$200,7,0)&gt;0,VLOOKUP($A392-COUNT('Шаг2.Бланк заказа NEW'!$B$19:$B$201)-COUNT('Бланк OLD 0.8 04'!$B$18:$B$200),'Бланк OLD 2.0 04 '!$B$16:$K$200,8,0)&gt;0),0.4,""))))</f>
        <v/>
      </c>
      <c r="V392" s="146" t="str">
        <f ca="1">IFERROR(VLOOKUP(C392,'Шаг1.Выбор плиты'!C:S,12,0),"")</f>
        <v/>
      </c>
      <c r="W392" s="146" t="str">
        <f ca="1">IFERROR(VLOOKUP(C392,'Шаг1.Выбор плиты'!C:S,8,0),"")</f>
        <v/>
      </c>
      <c r="X392" s="146" t="str">
        <f ca="1">IFERROR(VLOOKUP(C392,'Шаг1.Выбор плиты'!C:S,10,0),"")</f>
        <v/>
      </c>
      <c r="Y392" s="147" t="str">
        <f t="shared" ca="1" si="39"/>
        <v/>
      </c>
      <c r="AD392" s="147" t="str">
        <f t="shared" ca="1" si="37"/>
        <v/>
      </c>
      <c r="AE392" s="147" t="str">
        <f t="shared" ca="1" si="40"/>
        <v/>
      </c>
      <c r="AF392" s="25"/>
      <c r="AH392" s="147" t="str">
        <f ca="1">IF(C392="","",VLOOKUP(C392,'Шаг1.Выбор плиты'!C:Q,7,0))</f>
        <v/>
      </c>
      <c r="AI392" s="147" t="str">
        <f t="shared" ca="1" si="38"/>
        <v/>
      </c>
    </row>
    <row r="393" spans="1:35" x14ac:dyDescent="0.2">
      <c r="A393" s="151" t="str">
        <f ca="1">IF(C393="","",MAX($A$1:OFFSET(C393,-1,0))+1)</f>
        <v/>
      </c>
      <c r="B393" s="151" t="str">
        <f ca="1">IFERROR(IFERROR(IFERROR("Шаг2.Бланк заказа NEW №"&amp;VLOOKUP(A392+1,CHOOSE({1,2},'Шаг2.Бланк заказа NEW'!$B$19:$B$201,'Шаг2.Бланк заказа NEW'!$A$19:$A$201),1,0),
"Бланк OLD 0.8 04 №"&amp;VLOOKUP(A392+1-COUNT('Шаг2.Бланк заказа NEW'!$B$19:$B$201),CHOOSE({1,2},'Бланк OLD 0.8 04'!$B$18:$B$200,'Бланк OLD 0.8 04'!$A$18:$A$200),1,0)),
"Бланк OLD 2.0 04 №"&amp;VLOOKUP(A392+1-COUNT('Шаг2.Бланк заказа NEW'!$B$19:$B$201)-COUNT('Бланк OLD 0.8 04'!$B$18:$B$200),CHOOSE({1,2},'Бланк OLD 2.0 04 '!$B$18:$B$200,'Бланк OLD 2.0 04 '!$A$18:$A$200),1,0)),"")</f>
        <v/>
      </c>
      <c r="C393" s="152" t="str">
        <f ca="1">IFERROR(IFERROR(IFERROR(VLOOKUP(A392+1,CHOOSE({1,2},'Шаг2.Бланк заказа NEW'!$B$19:$B$201,'Шаг2.Бланк заказа NEW'!$A$19:$A$201),2,0),
VLOOKUP(A392+1-COUNT('Шаг2.Бланк заказа NEW'!$B$19:$B$201),CHOOSE({1,2},'Бланк OLD 0.8 04'!$B$18:$B$200,'Бланк OLD 0.8 04'!$A$18:$A$200),2,0)),
VLOOKUP(A392+1-COUNT('Шаг2.Бланк заказа NEW'!$B$19:$B$201)-COUNT('Бланк OLD 0.8 04'!$B$18:$B$200),CHOOSE({1,2},'Бланк OLD 2.0 04 '!$B$18:$B$200,'Бланк OLD 2.0 04 '!$A$18:$A$200),2,0)),"")</f>
        <v/>
      </c>
      <c r="D393" s="150" t="str">
        <f ca="1">IFERROR(VLOOKUP(C393,'Шаг1.Выбор плиты'!C:G,5,0),"")</f>
        <v/>
      </c>
      <c r="E393" s="147" t="str">
        <f ca="1">IFERROR(IFERROR(IF(VLOOKUP($A393,'Шаг2.Бланк заказа NEW'!$B$17:$N$201,2,0)="","",VLOOKUP($A393,'Шаг2.Бланк заказа NEW'!$B$17:$N$201,2,0)),
IF(VLOOKUP($A393-COUNT('Шаг2.Бланк заказа NEW'!$B$19:$B$201),'Бланк OLD 0.8 04'!$B$12:$K$200,2,0)="","",VLOOKUP($A393-COUNT('Шаг2.Бланк заказа NEW'!$B$19:$B$201),'Бланк OLD 0.8 04'!$B$12:$K$200,2,0))),
IF(VLOOKUP($A393-COUNT('Шаг2.Бланк заказа NEW'!$B$19:$B$201)-COUNT('Бланк OLD 0.8 04'!$B$18:$B$200),'Бланк OLD 2.0 04 '!$B$16:$K$200,2,0)="","",VLOOKUP($A393-COUNT('Шаг2.Бланк заказа NEW'!$B$19:$B$201)-COUNT('Бланк OLD 0.8 04'!$B$18:$B$200),'Бланк OLD 2.0 04 '!$B$16:$K$200,2,0)))</f>
        <v/>
      </c>
      <c r="F393" s="147" t="str">
        <f ca="1">IFERROR(IFERROR(IF(VLOOKUP($A393,'Шаг2.Бланк заказа NEW'!$B$17:$N$201,3,0)="","",VLOOKUP($A393,'Шаг2.Бланк заказа NEW'!$B$17:$N$201,3,0)),
IF(VLOOKUP($A393-COUNT('Шаг2.Бланк заказа NEW'!$B$19:$B$201),'Бланк OLD 0.8 04'!$B$12:$K$200,3,0)="","",VLOOKUP($A393-COUNT('Шаг2.Бланк заказа NEW'!$B$19:$B$201),'Бланк OLD 0.8 04'!$B$12:$K$200,3,0))),
IF(VLOOKUP($A393-COUNT('Шаг2.Бланк заказа NEW'!$B$19:$B$201)-COUNT('Бланк OLD 0.8 04'!$B$18:$B$200),'Бланк OLD 2.0 04 '!$B$16:$K$200,3,0)="","",VLOOKUP($A393-COUNT('Шаг2.Бланк заказа NEW'!$B$19:$B$201)-COUNT('Бланк OLD 0.8 04'!$B$18:$B$200),'Бланк OLD 2.0 04 '!$B$16:$K$200,3,0)))</f>
        <v/>
      </c>
      <c r="G393" s="176" t="str">
        <f ca="1">IF(IF(R393="","",IF(R393=1,SUMIFS('Шаг1.Выбор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плиты'!C:Q,12,0)),1))))))=0,
R393,
IF(R393="","",IF(R393=1,SUMIFS('Шаг1.Выбор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плиты'!N:N,R393,'Шаг1.Выбор плиты'!M:M,SMALL(INDIRECT("мм"&amp;VLOOKUP(C393,'Шаг1.Выбор плиты'!C:Q,12,0)),1)))))))</f>
        <v/>
      </c>
      <c r="H393" s="177" t="str">
        <f ca="1">IF(IF(S393="","",IF(S393=1,SUMIFS('Шаг1.Выбор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плиты'!C:Q,12,0)),1))))))=0,
S393,
IF(S393="","",IF(S393=1,SUMIFS('Шаг1.Выбор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плиты'!N:N,S393,'Шаг1.Выбор плиты'!M:M,SMALL(INDIRECT("мм"&amp;VLOOKUP(C393,'Шаг1.Выбор плиты'!C:Q,12,0)),1)))))))</f>
        <v/>
      </c>
      <c r="I393" s="147" t="str">
        <f ca="1">IFERROR(IFERROR(IF(VLOOKUP($A393,'Шаг2.Бланк заказа NEW'!$B$17:$N$201,6,0)="","",VLOOKUP($A393,'Шаг2.Бланк заказа NEW'!$B$17:$N$201,6,0)),
IF(VLOOKUP($A393-COUNT('Шаг2.Бланк заказа NEW'!$B$19:$B$201),'Бланк OLD 0.8 04'!$B$12:$K$200,6,0)="","",VLOOKUP($A393-COUNT('Шаг2.Бланк заказа NEW'!$B$19:$B$201),'Бланк OLD 0.8 04'!$B$12:$K$200,6,0))),
IF(VLOOKUP($A393-COUNT('Шаг2.Бланк заказа NEW'!$B$19:$B$201)-COUNT('Бланк OLD 0.8 04'!$B$18:$B$200),'Бланк OLD 2.0 04 '!$B$16:$K$200,6,0)="","",VLOOKUP($A393-COUNT('Шаг2.Бланк заказа NEW'!$B$19:$B$201)-COUNT('Бланк OLD 0.8 04'!$B$18:$B$200),'Бланк OLD 2.0 04 '!$B$16:$K$200,6,0)))</f>
        <v/>
      </c>
      <c r="J393" s="177" t="str">
        <f ca="1">IF(IF(T393="","",IF(T393=1,SUMIFS('Шаг1.Выбор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плиты'!C:Q,12,0)),1))))))=0,
T393,
IF(T393="","",IF(T393=1,SUMIFS('Шаг1.Выбор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плиты'!N:N,T393,'Шаг1.Выбор плиты'!M:M,SMALL(INDIRECT("мм"&amp;VLOOKUP(C393,'Шаг1.Выбор плиты'!C:Q,12,0)),1)))))))</f>
        <v/>
      </c>
      <c r="K393" s="177" t="str">
        <f ca="1">IF(IF(U393="","",IF(U393=1,SUMIFS('Шаг1.Выбор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плиты'!C:Q,12,0)),1))))))=0,
U393,
IF(U393="","",IF(U393=1,SUMIFS('Шаг1.Выбор плиты'!$G:$G,'Шаг1.Выбор плиты'!J:J,"*"&amp;RIGHT(VLOOKUP(C393,'Шаг1.Выбор плиты'!C:Q,8,0),4),'Шаг1.Выбор плиты'!L:L,IF(MID(C393,1,6)="ЛДСП P","TM"&amp;MID(VLOOKUP(C393,'Шаг1.Выбор плиты'!C:Q,10,0),3,2),MID(VLOOKUP(C393,'Шаг1.Выбор плиты'!C:Q,10,0),1,2)),
'Шаг1.Выбор плиты'!N:N,1),IF(SUMIFS('Шаг1.Выбор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плиты'!C:Q,12,0)),1))=0,
IF(SUMIFS('Шаг1.Выбор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плиты'!C:Q,12,0)),2))=0,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плиты'!C:Q,12,0)),3)),
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плиты'!C:Q,12,0)),2))),
(SUMIFS('Шаг1.Выбор плиты'!$G:$G,'Шаг1.Выбор плиты'!J:J,"*"&amp;RIGHT(VLOOKUP(C393,'Шаг1.Выбор плиты'!C:Q,8,0),4),'Шаг1.Выбор плиты'!L:L,VLOOKUP(C393,'Шаг1.Выбор плиты'!C:Q,10,0),'Шаг1.Выбор плиты'!N:N,U393,'Шаг1.Выбор плиты'!M:M,SMALL(INDIRECT("мм"&amp;VLOOKUP(C393,'Шаг1.Выбор плиты'!C:Q,12,0)),1)))))))</f>
        <v/>
      </c>
      <c r="L393" s="147" t="str">
        <f ca="1">IFERROR(IFERROR(IF(VLOOKUP($A393,'Шаг2.Бланк заказа NEW'!$B$17:$N$201,9,0)="","",VLOOKUP($A393,'Шаг2.Бланк заказа NEW'!$B$17:$N$201,9,0)),
IF(VLOOKUP($A393-COUNT('Шаг2.Бланк заказа NEW'!$B$19:$B$201),'Бланк OLD 0.8 04'!$B$12:$K$200,9,0)="","",VLOOKUP($A393-COUNT('Шаг2.Бланк заказа NEW'!$B$19:$B$201),'Бланк OLD 0.8 04'!$B$12:$K$200,9,0))),
IF(VLOOKUP($A393-COUNT('Шаг2.Бланк заказа NEW'!$B$19:$B$201)-COUNT('Бланк OLD 0.8 04'!$B$18:$B$200),'Бланк OLD 2.0 04 '!$B$16:$K$200,9,0)="","",VLOOKUP($A393-COUNT('Шаг2.Бланк заказа NEW'!$B$19:$B$201)-COUNT('Бланк OLD 0.8 04'!$B$18:$B$200),'Бланк OLD 2.0 04 '!$B$16:$K$200,9,0)))</f>
        <v/>
      </c>
      <c r="M393" s="154" t="str">
        <f t="shared" ca="1" si="36"/>
        <v/>
      </c>
      <c r="N393" s="153" t="str">
        <f ca="1">IFERROR(IF(VLOOKUP($A393,'Шаг2.Бланк заказа NEW'!$B$17:$N$201,11,0)="","",VLOOKUP($A393,'Шаг2.Бланк заказа NEW'!$B$17:$N$201,11,0)),
"Нет")</f>
        <v/>
      </c>
      <c r="O393" s="147" t="str">
        <f ca="1">IFERROR(IF(VLOOKUP($A393,'Шаг2.Бланк заказа NEW'!$B$17:$N$201,11,0)="","",VLOOKUP($A393,'Шаг2.Бланк заказа NEW'!$B$17:$N$201,12,0)),
"Нет")</f>
        <v/>
      </c>
      <c r="P393" s="153" t="str">
        <f ca="1">IFERROR(IF(VLOOKUP($A393,'Шаг2.Бланк заказа NEW'!$B$17:$N$201,13,0)="","",VLOOKUP($A393,'Шаг2.Бланк заказа NEW'!$B$17:$N$201,13,0)),
"Нет")</f>
        <v/>
      </c>
      <c r="Q393" s="147" t="str">
        <f ca="1">IFERROR(IF(VLOOKUP($A393,'Шаг2.Бланк заказа NEW'!$B$17:$O$201,14,0)="","",VLOOKUP($A393,'Шаг2.Бланк заказа NEW'!$B$17:$O$201,14,0)),"")</f>
        <v/>
      </c>
      <c r="R393" s="147" t="str">
        <f ca="1">IFERROR(IFERROR(IF(VLOOKUP($A393,'Шаг2.Бланк заказа NEW'!$B$17:$N$201,4,0)="","",VLOOKUP($A393,'Шаг2.Бланк заказа NEW'!$B$17:$N$201,4,0)),
IF(VLOOKUP($A393-COUNT('Шаг2.Бланк заказа NEW'!$B$19:$B$201),'Бланк OLD 0.8 04'!$B$12:$K$200,4,0)&gt;0,0.8,
IF(VLOOKUP($A393-COUNT('Шаг2.Бланк заказа NEW'!$B$19:$B$201),'Бланк OLD 0.8 04'!$B$12:$K$200,5,0)&gt;0,0.4,""))),
IF(VLOOKUP($A393-COUNT('Шаг2.Бланк заказа NEW'!$B$19:$B$201)-COUNT('Бланк OLD 0.8 04'!$B$18:$B$200),'Бланк OLD 2.0 04 '!$B$16:$K$200,4,0)&gt;0,2,IF(VLOOKUP($A393-COUNT('Шаг2.Бланк заказа NEW'!$B$19:$B$201)-COUNT('Бланк OLD 0.8 04'!$B$18:$B$200),'Бланк OLD 2.0 04 '!$B$16:$K$200,5,0)&gt;0,0.4,"")))</f>
        <v/>
      </c>
      <c r="S393" s="147" t="str">
        <f ca="1">IFERROR(IFERROR(IF(VLOOKUP($A393,'Шаг2.Бланк заказа NEW'!$B$17:$N$201,5,0)="","",VLOOKUP($A393,'Шаг2.Бланк заказа NEW'!$B$17:$N$201,5,0)),
IF(VLOOKUP($A393-COUNT('Шаг2.Бланк заказа NEW'!$B$19:$B$201),'Бланк OLD 0.8 04'!$B$12:$K$200,4,0)&gt;1,0.8,
IF(VLOOKUP($A393-COUNT('Шаг2.Бланк заказа NEW'!$B$19:$B$201),'Бланк OLD 0.8 04'!$B$12:$K$200,5,0)&gt;1,0.4,
IF(AND(VLOOKUP($A393-COUNT('Шаг2.Бланк заказа NEW'!$B$19:$B$201),'Бланк OLD 0.8 04'!$B$12:$K$200,4,0)&gt;0,VLOOKUP($A393-COUNT('Шаг2.Бланк заказа NEW'!$B$19:$B$201),'Бланк OLD 0.8 04'!$B$12:$K$200,5,0)&gt;0),0.4,"")))),
IF(VLOOKUP($A393-COUNT('Шаг2.Бланк заказа NEW'!$B$19:$B$201)-COUNT('Бланк OLD 0.8 04'!$B$18:$B$200),'Бланк OLD 2.0 04 '!$B$16:$K$200,4,0)&gt;1,2,
IF(VLOOKUP($A393-COUNT('Шаг2.Бланк заказа NEW'!$B$19:$B$201)-COUNT('Бланк OLD 0.8 04'!$B$18:$B$200),'Бланк OLD 2.0 04 '!$B$16:$K$200,5,0)&gt;1,0.4,IF(AND(VLOOKUP($A393-COUNT('Шаг2.Бланк заказа NEW'!$B$19:$B$201)-COUNT('Бланк OLD 0.8 04'!$B$18:$B$200),'Бланк OLD 2.0 04 '!$B$16:$K$200,4,0)&gt;0,VLOOKUP($A393-COUNT('Шаг2.Бланк заказа NEW'!$B$19:$B$201)-COUNT('Бланк OLD 0.8 04'!$B$18:$B$200),'Бланк OLD 2.0 04 '!$B$16:$K$200,5,0)&gt;0),0.4,""))))</f>
        <v/>
      </c>
      <c r="T393" s="147" t="str">
        <f ca="1">IFERROR(IFERROR(IF(VLOOKUP($A393,'Шаг2.Бланк заказа NEW'!$B$17:$N$201,7,0)="","",VLOOKUP($A393,'Шаг2.Бланк заказа NEW'!$B$17:$N$201,7,0)),
IF(VLOOKUP($A393-COUNT('Шаг2.Бланк заказа NEW'!$B$19:$B$201),'Бланк OLD 0.8 04'!$B$12:$K$200,7,0)&gt;0,0.8,
IF(VLOOKUP($A393-COUNT('Шаг2.Бланк заказа NEW'!$B$19:$B$201),'Бланк OLD 0.8 04'!$B$12:$K$200,8,0)&gt;0,0.4,""))),
IF(VLOOKUP($A393-COUNT('Шаг2.Бланк заказа NEW'!$B$19:$B$201)-COUNT('Бланк OLD 0.8 04'!$B$18:$B$200),'Бланк OLD 2.0 04 '!$B$16:$K$200,7,0)&gt;0,2,IF(VLOOKUP($A393-COUNT('Шаг2.Бланк заказа NEW'!$B$19:$B$201)-COUNT('Бланк OLD 0.8 04'!$B$18:$B$200),'Бланк OLD 2.0 04 '!$B$16:$K$200,8,0)&gt;0,0.4,"")))</f>
        <v/>
      </c>
      <c r="U393" s="147" t="str">
        <f ca="1">IFERROR(IFERROR(IF(VLOOKUP($A393,'Шаг2.Бланк заказа NEW'!$B$17:$N$201,8,0)="","",VLOOKUP($A393,'Шаг2.Бланк заказа NEW'!$B$17:$N$201,8,0)),
IF(VLOOKUP($A393-COUNT('Шаг2.Бланк заказа NEW'!$B$19:$B$201),'Бланк OLD 0.8 04'!$B$12:$K$200,7,0)&gt;1,0.8,
IF(VLOOKUP($A393-COUNT('Шаг2.Бланк заказа NEW'!$B$19:$B$201),'Бланк OLD 0.8 04'!$B$12:$K$200,8,0)&gt;1,0.4,
IF(AND(VLOOKUP($A393-COUNT('Шаг2.Бланк заказа NEW'!$B$19:$B$201),'Бланк OLD 0.8 04'!$B$12:$K$200,7,0)&gt;0,VLOOKUP($A393-COUNT('Шаг2.Бланк заказа NEW'!$B$19:$B$201),'Бланк OLD 0.8 04'!$B$12:$K$200,8,0)&gt;0),0.4,"")))),
IF(VLOOKUP($A393-COUNT('Шаг2.Бланк заказа NEW'!$B$19:$B$201)-COUNT('Бланк OLD 0.8 04'!$B$18:$B$200),'Бланк OLD 2.0 04 '!$B$16:$K$200,7,0)&gt;1,2,
IF(VLOOKUP($A393-COUNT('Шаг2.Бланк заказа NEW'!$B$19:$B$201)-COUNT('Бланк OLD 0.8 04'!$B$18:$B$200),'Бланк OLD 2.0 04 '!$B$16:$K$200,8,0)&gt;1,0.4,
IF(AND(VLOOKUP($A393-COUNT('Шаг2.Бланк заказа NEW'!$B$19:$B$201)-COUNT('Бланк OLD 0.8 04'!$B$18:$B$200),'Бланк OLD 2.0 04 '!$B$16:$K$200,7,0)&gt;0,VLOOKUP($A393-COUNT('Шаг2.Бланк заказа NEW'!$B$19:$B$201)-COUNT('Бланк OLD 0.8 04'!$B$18:$B$200),'Бланк OLD 2.0 04 '!$B$16:$K$200,8,0)&gt;0),0.4,""))))</f>
        <v/>
      </c>
      <c r="V393" s="146" t="str">
        <f ca="1">IFERROR(VLOOKUP(C393,'Шаг1.Выбор плиты'!C:S,12,0),"")</f>
        <v/>
      </c>
      <c r="W393" s="146" t="str">
        <f ca="1">IFERROR(VLOOKUP(C393,'Шаг1.Выбор плиты'!C:S,8,0),"")</f>
        <v/>
      </c>
      <c r="X393" s="146" t="str">
        <f ca="1">IFERROR(VLOOKUP(C393,'Шаг1.Выбор плиты'!C:S,10,0),"")</f>
        <v/>
      </c>
      <c r="Y393" s="147" t="str">
        <f t="shared" ca="1" si="39"/>
        <v/>
      </c>
      <c r="AD393" s="147" t="str">
        <f t="shared" ca="1" si="37"/>
        <v/>
      </c>
      <c r="AE393" s="147" t="str">
        <f t="shared" ca="1" si="40"/>
        <v/>
      </c>
      <c r="AF393" s="25"/>
      <c r="AH393" s="147" t="str">
        <f ca="1">IF(C393="","",VLOOKUP(C393,'Шаг1.Выбор плиты'!C:Q,7,0))</f>
        <v/>
      </c>
      <c r="AI393" s="147" t="str">
        <f t="shared" ca="1" si="38"/>
        <v/>
      </c>
    </row>
    <row r="394" spans="1:35" x14ac:dyDescent="0.2">
      <c r="A394" s="151" t="str">
        <f ca="1">IF(C394="","",MAX($A$1:OFFSET(C394,-1,0))+1)</f>
        <v/>
      </c>
      <c r="B394" s="151" t="str">
        <f ca="1">IFERROR(IFERROR(IFERROR("Шаг2.Бланк заказа NEW №"&amp;VLOOKUP(A393+1,CHOOSE({1,2},'Шаг2.Бланк заказа NEW'!$B$19:$B$201,'Шаг2.Бланк заказа NEW'!$A$19:$A$201),1,0),
"Бланк OLD 0.8 04 №"&amp;VLOOKUP(A393+1-COUNT('Шаг2.Бланк заказа NEW'!$B$19:$B$201),CHOOSE({1,2},'Бланк OLD 0.8 04'!$B$18:$B$200,'Бланк OLD 0.8 04'!$A$18:$A$200),1,0)),
"Бланк OLD 2.0 04 №"&amp;VLOOKUP(A393+1-COUNT('Шаг2.Бланк заказа NEW'!$B$19:$B$201)-COUNT('Бланк OLD 0.8 04'!$B$18:$B$200),CHOOSE({1,2},'Бланк OLD 2.0 04 '!$B$18:$B$200,'Бланк OLD 2.0 04 '!$A$18:$A$200),1,0)),"")</f>
        <v/>
      </c>
      <c r="C394" s="152" t="str">
        <f ca="1">IFERROR(IFERROR(IFERROR(VLOOKUP(A393+1,CHOOSE({1,2},'Шаг2.Бланк заказа NEW'!$B$19:$B$201,'Шаг2.Бланк заказа NEW'!$A$19:$A$201),2,0),
VLOOKUP(A393+1-COUNT('Шаг2.Бланк заказа NEW'!$B$19:$B$201),CHOOSE({1,2},'Бланк OLD 0.8 04'!$B$18:$B$200,'Бланк OLD 0.8 04'!$A$18:$A$200),2,0)),
VLOOKUP(A393+1-COUNT('Шаг2.Бланк заказа NEW'!$B$19:$B$201)-COUNT('Бланк OLD 0.8 04'!$B$18:$B$200),CHOOSE({1,2},'Бланк OLD 2.0 04 '!$B$18:$B$200,'Бланк OLD 2.0 04 '!$A$18:$A$200),2,0)),"")</f>
        <v/>
      </c>
      <c r="D394" s="150" t="str">
        <f ca="1">IFERROR(VLOOKUP(C394,'Шаг1.Выбор плиты'!C:G,5,0),"")</f>
        <v/>
      </c>
      <c r="E394" s="147" t="str">
        <f ca="1">IFERROR(IFERROR(IF(VLOOKUP($A394,'Шаг2.Бланк заказа NEW'!$B$17:$N$201,2,0)="","",VLOOKUP($A394,'Шаг2.Бланк заказа NEW'!$B$17:$N$201,2,0)),
IF(VLOOKUP($A394-COUNT('Шаг2.Бланк заказа NEW'!$B$19:$B$201),'Бланк OLD 0.8 04'!$B$12:$K$200,2,0)="","",VLOOKUP($A394-COUNT('Шаг2.Бланк заказа NEW'!$B$19:$B$201),'Бланк OLD 0.8 04'!$B$12:$K$200,2,0))),
IF(VLOOKUP($A394-COUNT('Шаг2.Бланк заказа NEW'!$B$19:$B$201)-COUNT('Бланк OLD 0.8 04'!$B$18:$B$200),'Бланк OLD 2.0 04 '!$B$16:$K$200,2,0)="","",VLOOKUP($A394-COUNT('Шаг2.Бланк заказа NEW'!$B$19:$B$201)-COUNT('Бланк OLD 0.8 04'!$B$18:$B$200),'Бланк OLD 2.0 04 '!$B$16:$K$200,2,0)))</f>
        <v/>
      </c>
      <c r="F394" s="147" t="str">
        <f ca="1">IFERROR(IFERROR(IF(VLOOKUP($A394,'Шаг2.Бланк заказа NEW'!$B$17:$N$201,3,0)="","",VLOOKUP($A394,'Шаг2.Бланк заказа NEW'!$B$17:$N$201,3,0)),
IF(VLOOKUP($A394-COUNT('Шаг2.Бланк заказа NEW'!$B$19:$B$201),'Бланк OLD 0.8 04'!$B$12:$K$200,3,0)="","",VLOOKUP($A394-COUNT('Шаг2.Бланк заказа NEW'!$B$19:$B$201),'Бланк OLD 0.8 04'!$B$12:$K$200,3,0))),
IF(VLOOKUP($A394-COUNT('Шаг2.Бланк заказа NEW'!$B$19:$B$201)-COUNT('Бланк OLD 0.8 04'!$B$18:$B$200),'Бланк OLD 2.0 04 '!$B$16:$K$200,3,0)="","",VLOOKUP($A394-COUNT('Шаг2.Бланк заказа NEW'!$B$19:$B$201)-COUNT('Бланк OLD 0.8 04'!$B$18:$B$200),'Бланк OLD 2.0 04 '!$B$16:$K$200,3,0)))</f>
        <v/>
      </c>
      <c r="G394" s="176" t="str">
        <f ca="1">IF(IF(R394="","",IF(R394=1,SUMIFS('Шаг1.Выбор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плиты'!C:Q,12,0)),1))))))=0,
R394,
IF(R394="","",IF(R394=1,SUMIFS('Шаг1.Выбор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плиты'!N:N,R394,'Шаг1.Выбор плиты'!M:M,SMALL(INDIRECT("мм"&amp;VLOOKUP(C394,'Шаг1.Выбор плиты'!C:Q,12,0)),1)))))))</f>
        <v/>
      </c>
      <c r="H394" s="177" t="str">
        <f ca="1">IF(IF(S394="","",IF(S394=1,SUMIFS('Шаг1.Выбор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плиты'!C:Q,12,0)),1))))))=0,
S394,
IF(S394="","",IF(S394=1,SUMIFS('Шаг1.Выбор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плиты'!N:N,S394,'Шаг1.Выбор плиты'!M:M,SMALL(INDIRECT("мм"&amp;VLOOKUP(C394,'Шаг1.Выбор плиты'!C:Q,12,0)),1)))))))</f>
        <v/>
      </c>
      <c r="I394" s="147" t="str">
        <f ca="1">IFERROR(IFERROR(IF(VLOOKUP($A394,'Шаг2.Бланк заказа NEW'!$B$17:$N$201,6,0)="","",VLOOKUP($A394,'Шаг2.Бланк заказа NEW'!$B$17:$N$201,6,0)),
IF(VLOOKUP($A394-COUNT('Шаг2.Бланк заказа NEW'!$B$19:$B$201),'Бланк OLD 0.8 04'!$B$12:$K$200,6,0)="","",VLOOKUP($A394-COUNT('Шаг2.Бланк заказа NEW'!$B$19:$B$201),'Бланк OLD 0.8 04'!$B$12:$K$200,6,0))),
IF(VLOOKUP($A394-COUNT('Шаг2.Бланк заказа NEW'!$B$19:$B$201)-COUNT('Бланк OLD 0.8 04'!$B$18:$B$200),'Бланк OLD 2.0 04 '!$B$16:$K$200,6,0)="","",VLOOKUP($A394-COUNT('Шаг2.Бланк заказа NEW'!$B$19:$B$201)-COUNT('Бланк OLD 0.8 04'!$B$18:$B$200),'Бланк OLD 2.0 04 '!$B$16:$K$200,6,0)))</f>
        <v/>
      </c>
      <c r="J394" s="177" t="str">
        <f ca="1">IF(IF(T394="","",IF(T394=1,SUMIFS('Шаг1.Выбор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плиты'!C:Q,12,0)),1))))))=0,
T394,
IF(T394="","",IF(T394=1,SUMIFS('Шаг1.Выбор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плиты'!N:N,T394,'Шаг1.Выбор плиты'!M:M,SMALL(INDIRECT("мм"&amp;VLOOKUP(C394,'Шаг1.Выбор плиты'!C:Q,12,0)),1)))))))</f>
        <v/>
      </c>
      <c r="K394" s="177" t="str">
        <f ca="1">IF(IF(U394="","",IF(U394=1,SUMIFS('Шаг1.Выбор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плиты'!C:Q,12,0)),1))))))=0,
U394,
IF(U394="","",IF(U394=1,SUMIFS('Шаг1.Выбор плиты'!$G:$G,'Шаг1.Выбор плиты'!J:J,"*"&amp;RIGHT(VLOOKUP(C394,'Шаг1.Выбор плиты'!C:Q,8,0),4),'Шаг1.Выбор плиты'!L:L,IF(MID(C394,1,6)="ЛДСП P","TM"&amp;MID(VLOOKUP(C394,'Шаг1.Выбор плиты'!C:Q,10,0),3,2),MID(VLOOKUP(C394,'Шаг1.Выбор плиты'!C:Q,10,0),1,2)),
'Шаг1.Выбор плиты'!N:N,1),IF(SUMIFS('Шаг1.Выбор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плиты'!C:Q,12,0)),1))=0,
IF(SUMIFS('Шаг1.Выбор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плиты'!C:Q,12,0)),2))=0,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плиты'!C:Q,12,0)),3)),
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плиты'!C:Q,12,0)),2))),
(SUMIFS('Шаг1.Выбор плиты'!$G:$G,'Шаг1.Выбор плиты'!J:J,"*"&amp;RIGHT(VLOOKUP(C394,'Шаг1.Выбор плиты'!C:Q,8,0),4),'Шаг1.Выбор плиты'!L:L,VLOOKUP(C394,'Шаг1.Выбор плиты'!C:Q,10,0),'Шаг1.Выбор плиты'!N:N,U394,'Шаг1.Выбор плиты'!M:M,SMALL(INDIRECT("мм"&amp;VLOOKUP(C394,'Шаг1.Выбор плиты'!C:Q,12,0)),1)))))))</f>
        <v/>
      </c>
      <c r="L394" s="147" t="str">
        <f ca="1">IFERROR(IFERROR(IF(VLOOKUP($A394,'Шаг2.Бланк заказа NEW'!$B$17:$N$201,9,0)="","",VLOOKUP($A394,'Шаг2.Бланк заказа NEW'!$B$17:$N$201,9,0)),
IF(VLOOKUP($A394-COUNT('Шаг2.Бланк заказа NEW'!$B$19:$B$201),'Бланк OLD 0.8 04'!$B$12:$K$200,9,0)="","",VLOOKUP($A394-COUNT('Шаг2.Бланк заказа NEW'!$B$19:$B$201),'Бланк OLD 0.8 04'!$B$12:$K$200,9,0))),
IF(VLOOKUP($A394-COUNT('Шаг2.Бланк заказа NEW'!$B$19:$B$201)-COUNT('Бланк OLD 0.8 04'!$B$18:$B$200),'Бланк OLD 2.0 04 '!$B$16:$K$200,9,0)="","",VLOOKUP($A394-COUNT('Шаг2.Бланк заказа NEW'!$B$19:$B$201)-COUNT('Бланк OLD 0.8 04'!$B$18:$B$200),'Бланк OLD 2.0 04 '!$B$16:$K$200,9,0)))</f>
        <v/>
      </c>
      <c r="M394" s="154" t="str">
        <f t="shared" ca="1" si="36"/>
        <v/>
      </c>
      <c r="N394" s="153" t="str">
        <f ca="1">IFERROR(IF(VLOOKUP($A394,'Шаг2.Бланк заказа NEW'!$B$17:$N$201,11,0)="","",VLOOKUP($A394,'Шаг2.Бланк заказа NEW'!$B$17:$N$201,11,0)),
"Нет")</f>
        <v/>
      </c>
      <c r="O394" s="147" t="str">
        <f ca="1">IFERROR(IF(VLOOKUP($A394,'Шаг2.Бланк заказа NEW'!$B$17:$N$201,11,0)="","",VLOOKUP($A394,'Шаг2.Бланк заказа NEW'!$B$17:$N$201,12,0)),
"Нет")</f>
        <v/>
      </c>
      <c r="P394" s="153" t="str">
        <f ca="1">IFERROR(IF(VLOOKUP($A394,'Шаг2.Бланк заказа NEW'!$B$17:$N$201,13,0)="","",VLOOKUP($A394,'Шаг2.Бланк заказа NEW'!$B$17:$N$201,13,0)),
"Нет")</f>
        <v/>
      </c>
      <c r="Q394" s="147" t="str">
        <f ca="1">IFERROR(IF(VLOOKUP($A394,'Шаг2.Бланк заказа NEW'!$B$17:$O$201,14,0)="","",VLOOKUP($A394,'Шаг2.Бланк заказа NEW'!$B$17:$O$201,14,0)),"")</f>
        <v/>
      </c>
      <c r="R394" s="147" t="str">
        <f ca="1">IFERROR(IFERROR(IF(VLOOKUP($A394,'Шаг2.Бланк заказа NEW'!$B$17:$N$201,4,0)="","",VLOOKUP($A394,'Шаг2.Бланк заказа NEW'!$B$17:$N$201,4,0)),
IF(VLOOKUP($A394-COUNT('Шаг2.Бланк заказа NEW'!$B$19:$B$201),'Бланк OLD 0.8 04'!$B$12:$K$200,4,0)&gt;0,0.8,
IF(VLOOKUP($A394-COUNT('Шаг2.Бланк заказа NEW'!$B$19:$B$201),'Бланк OLD 0.8 04'!$B$12:$K$200,5,0)&gt;0,0.4,""))),
IF(VLOOKUP($A394-COUNT('Шаг2.Бланк заказа NEW'!$B$19:$B$201)-COUNT('Бланк OLD 0.8 04'!$B$18:$B$200),'Бланк OLD 2.0 04 '!$B$16:$K$200,4,0)&gt;0,2,IF(VLOOKUP($A394-COUNT('Шаг2.Бланк заказа NEW'!$B$19:$B$201)-COUNT('Бланк OLD 0.8 04'!$B$18:$B$200),'Бланк OLD 2.0 04 '!$B$16:$K$200,5,0)&gt;0,0.4,"")))</f>
        <v/>
      </c>
      <c r="S394" s="147" t="str">
        <f ca="1">IFERROR(IFERROR(IF(VLOOKUP($A394,'Шаг2.Бланк заказа NEW'!$B$17:$N$201,5,0)="","",VLOOKUP($A394,'Шаг2.Бланк заказа NEW'!$B$17:$N$201,5,0)),
IF(VLOOKUP($A394-COUNT('Шаг2.Бланк заказа NEW'!$B$19:$B$201),'Бланк OLD 0.8 04'!$B$12:$K$200,4,0)&gt;1,0.8,
IF(VLOOKUP($A394-COUNT('Шаг2.Бланк заказа NEW'!$B$19:$B$201),'Бланк OLD 0.8 04'!$B$12:$K$200,5,0)&gt;1,0.4,
IF(AND(VLOOKUP($A394-COUNT('Шаг2.Бланк заказа NEW'!$B$19:$B$201),'Бланк OLD 0.8 04'!$B$12:$K$200,4,0)&gt;0,VLOOKUP($A394-COUNT('Шаг2.Бланк заказа NEW'!$B$19:$B$201),'Бланк OLD 0.8 04'!$B$12:$K$200,5,0)&gt;0),0.4,"")))),
IF(VLOOKUP($A394-COUNT('Шаг2.Бланк заказа NEW'!$B$19:$B$201)-COUNT('Бланк OLD 0.8 04'!$B$18:$B$200),'Бланк OLD 2.0 04 '!$B$16:$K$200,4,0)&gt;1,2,
IF(VLOOKUP($A394-COUNT('Шаг2.Бланк заказа NEW'!$B$19:$B$201)-COUNT('Бланк OLD 0.8 04'!$B$18:$B$200),'Бланк OLD 2.0 04 '!$B$16:$K$200,5,0)&gt;1,0.4,IF(AND(VLOOKUP($A394-COUNT('Шаг2.Бланк заказа NEW'!$B$19:$B$201)-COUNT('Бланк OLD 0.8 04'!$B$18:$B$200),'Бланк OLD 2.0 04 '!$B$16:$K$200,4,0)&gt;0,VLOOKUP($A394-COUNT('Шаг2.Бланк заказа NEW'!$B$19:$B$201)-COUNT('Бланк OLD 0.8 04'!$B$18:$B$200),'Бланк OLD 2.0 04 '!$B$16:$K$200,5,0)&gt;0),0.4,""))))</f>
        <v/>
      </c>
      <c r="T394" s="147" t="str">
        <f ca="1">IFERROR(IFERROR(IF(VLOOKUP($A394,'Шаг2.Бланк заказа NEW'!$B$17:$N$201,7,0)="","",VLOOKUP($A394,'Шаг2.Бланк заказа NEW'!$B$17:$N$201,7,0)),
IF(VLOOKUP($A394-COUNT('Шаг2.Бланк заказа NEW'!$B$19:$B$201),'Бланк OLD 0.8 04'!$B$12:$K$200,7,0)&gt;0,0.8,
IF(VLOOKUP($A394-COUNT('Шаг2.Бланк заказа NEW'!$B$19:$B$201),'Бланк OLD 0.8 04'!$B$12:$K$200,8,0)&gt;0,0.4,""))),
IF(VLOOKUP($A394-COUNT('Шаг2.Бланк заказа NEW'!$B$19:$B$201)-COUNT('Бланк OLD 0.8 04'!$B$18:$B$200),'Бланк OLD 2.0 04 '!$B$16:$K$200,7,0)&gt;0,2,IF(VLOOKUP($A394-COUNT('Шаг2.Бланк заказа NEW'!$B$19:$B$201)-COUNT('Бланк OLD 0.8 04'!$B$18:$B$200),'Бланк OLD 2.0 04 '!$B$16:$K$200,8,0)&gt;0,0.4,"")))</f>
        <v/>
      </c>
      <c r="U394" s="147" t="str">
        <f ca="1">IFERROR(IFERROR(IF(VLOOKUP($A394,'Шаг2.Бланк заказа NEW'!$B$17:$N$201,8,0)="","",VLOOKUP($A394,'Шаг2.Бланк заказа NEW'!$B$17:$N$201,8,0)),
IF(VLOOKUP($A394-COUNT('Шаг2.Бланк заказа NEW'!$B$19:$B$201),'Бланк OLD 0.8 04'!$B$12:$K$200,7,0)&gt;1,0.8,
IF(VLOOKUP($A394-COUNT('Шаг2.Бланк заказа NEW'!$B$19:$B$201),'Бланк OLD 0.8 04'!$B$12:$K$200,8,0)&gt;1,0.4,
IF(AND(VLOOKUP($A394-COUNT('Шаг2.Бланк заказа NEW'!$B$19:$B$201),'Бланк OLD 0.8 04'!$B$12:$K$200,7,0)&gt;0,VLOOKUP($A394-COUNT('Шаг2.Бланк заказа NEW'!$B$19:$B$201),'Бланк OLD 0.8 04'!$B$12:$K$200,8,0)&gt;0),0.4,"")))),
IF(VLOOKUP($A394-COUNT('Шаг2.Бланк заказа NEW'!$B$19:$B$201)-COUNT('Бланк OLD 0.8 04'!$B$18:$B$200),'Бланк OLD 2.0 04 '!$B$16:$K$200,7,0)&gt;1,2,
IF(VLOOKUP($A394-COUNT('Шаг2.Бланк заказа NEW'!$B$19:$B$201)-COUNT('Бланк OLD 0.8 04'!$B$18:$B$200),'Бланк OLD 2.0 04 '!$B$16:$K$200,8,0)&gt;1,0.4,
IF(AND(VLOOKUP($A394-COUNT('Шаг2.Бланк заказа NEW'!$B$19:$B$201)-COUNT('Бланк OLD 0.8 04'!$B$18:$B$200),'Бланк OLD 2.0 04 '!$B$16:$K$200,7,0)&gt;0,VLOOKUP($A394-COUNT('Шаг2.Бланк заказа NEW'!$B$19:$B$201)-COUNT('Бланк OLD 0.8 04'!$B$18:$B$200),'Бланк OLD 2.0 04 '!$B$16:$K$200,8,0)&gt;0),0.4,""))))</f>
        <v/>
      </c>
      <c r="V394" s="146" t="str">
        <f ca="1">IFERROR(VLOOKUP(C394,'Шаг1.Выбор плиты'!C:S,12,0),"")</f>
        <v/>
      </c>
      <c r="W394" s="146" t="str">
        <f ca="1">IFERROR(VLOOKUP(C394,'Шаг1.Выбор плиты'!C:S,8,0),"")</f>
        <v/>
      </c>
      <c r="X394" s="146" t="str">
        <f ca="1">IFERROR(VLOOKUP(C394,'Шаг1.Выбор плиты'!C:S,10,0),"")</f>
        <v/>
      </c>
      <c r="Y394" s="147" t="str">
        <f t="shared" ca="1" si="39"/>
        <v/>
      </c>
      <c r="AD394" s="147" t="str">
        <f t="shared" ca="1" si="37"/>
        <v/>
      </c>
      <c r="AE394" s="147" t="str">
        <f t="shared" ca="1" si="40"/>
        <v/>
      </c>
      <c r="AF394" s="25"/>
      <c r="AH394" s="147" t="str">
        <f ca="1">IF(C394="","",VLOOKUP(C394,'Шаг1.Выбор плиты'!C:Q,7,0))</f>
        <v/>
      </c>
      <c r="AI394" s="147" t="str">
        <f t="shared" ca="1" si="38"/>
        <v/>
      </c>
    </row>
    <row r="395" spans="1:35" x14ac:dyDescent="0.2">
      <c r="A395" s="151" t="str">
        <f ca="1">IF(C395="","",MAX($A$1:OFFSET(C395,-1,0))+1)</f>
        <v/>
      </c>
      <c r="B395" s="151" t="str">
        <f ca="1">IFERROR(IFERROR(IFERROR("Шаг2.Бланк заказа NEW №"&amp;VLOOKUP(A394+1,CHOOSE({1,2},'Шаг2.Бланк заказа NEW'!$B$19:$B$201,'Шаг2.Бланк заказа NEW'!$A$19:$A$201),1,0),
"Бланк OLD 0.8 04 №"&amp;VLOOKUP(A394+1-COUNT('Шаг2.Бланк заказа NEW'!$B$19:$B$201),CHOOSE({1,2},'Бланк OLD 0.8 04'!$B$18:$B$200,'Бланк OLD 0.8 04'!$A$18:$A$200),1,0)),
"Бланк OLD 2.0 04 №"&amp;VLOOKUP(A394+1-COUNT('Шаг2.Бланк заказа NEW'!$B$19:$B$201)-COUNT('Бланк OLD 0.8 04'!$B$18:$B$200),CHOOSE({1,2},'Бланк OLD 2.0 04 '!$B$18:$B$200,'Бланк OLD 2.0 04 '!$A$18:$A$200),1,0)),"")</f>
        <v/>
      </c>
      <c r="C395" s="152" t="str">
        <f ca="1">IFERROR(IFERROR(IFERROR(VLOOKUP(A394+1,CHOOSE({1,2},'Шаг2.Бланк заказа NEW'!$B$19:$B$201,'Шаг2.Бланк заказа NEW'!$A$19:$A$201),2,0),
VLOOKUP(A394+1-COUNT('Шаг2.Бланк заказа NEW'!$B$19:$B$201),CHOOSE({1,2},'Бланк OLD 0.8 04'!$B$18:$B$200,'Бланк OLD 0.8 04'!$A$18:$A$200),2,0)),
VLOOKUP(A394+1-COUNT('Шаг2.Бланк заказа NEW'!$B$19:$B$201)-COUNT('Бланк OLD 0.8 04'!$B$18:$B$200),CHOOSE({1,2},'Бланк OLD 2.0 04 '!$B$18:$B$200,'Бланк OLD 2.0 04 '!$A$18:$A$200),2,0)),"")</f>
        <v/>
      </c>
      <c r="D395" s="150" t="str">
        <f ca="1">IFERROR(VLOOKUP(C395,'Шаг1.Выбор плиты'!C:G,5,0),"")</f>
        <v/>
      </c>
      <c r="E395" s="147" t="str">
        <f ca="1">IFERROR(IFERROR(IF(VLOOKUP($A395,'Шаг2.Бланк заказа NEW'!$B$17:$N$201,2,0)="","",VLOOKUP($A395,'Шаг2.Бланк заказа NEW'!$B$17:$N$201,2,0)),
IF(VLOOKUP($A395-COUNT('Шаг2.Бланк заказа NEW'!$B$19:$B$201),'Бланк OLD 0.8 04'!$B$12:$K$200,2,0)="","",VLOOKUP($A395-COUNT('Шаг2.Бланк заказа NEW'!$B$19:$B$201),'Бланк OLD 0.8 04'!$B$12:$K$200,2,0))),
IF(VLOOKUP($A395-COUNT('Шаг2.Бланк заказа NEW'!$B$19:$B$201)-COUNT('Бланк OLD 0.8 04'!$B$18:$B$200),'Бланк OLD 2.0 04 '!$B$16:$K$200,2,0)="","",VLOOKUP($A395-COUNT('Шаг2.Бланк заказа NEW'!$B$19:$B$201)-COUNT('Бланк OLD 0.8 04'!$B$18:$B$200),'Бланк OLD 2.0 04 '!$B$16:$K$200,2,0)))</f>
        <v/>
      </c>
      <c r="F395" s="147" t="str">
        <f ca="1">IFERROR(IFERROR(IF(VLOOKUP($A395,'Шаг2.Бланк заказа NEW'!$B$17:$N$201,3,0)="","",VLOOKUP($A395,'Шаг2.Бланк заказа NEW'!$B$17:$N$201,3,0)),
IF(VLOOKUP($A395-COUNT('Шаг2.Бланк заказа NEW'!$B$19:$B$201),'Бланк OLD 0.8 04'!$B$12:$K$200,3,0)="","",VLOOKUP($A395-COUNT('Шаг2.Бланк заказа NEW'!$B$19:$B$201),'Бланк OLD 0.8 04'!$B$12:$K$200,3,0))),
IF(VLOOKUP($A395-COUNT('Шаг2.Бланк заказа NEW'!$B$19:$B$201)-COUNT('Бланк OLD 0.8 04'!$B$18:$B$200),'Бланк OLD 2.0 04 '!$B$16:$K$200,3,0)="","",VLOOKUP($A395-COUNT('Шаг2.Бланк заказа NEW'!$B$19:$B$201)-COUNT('Бланк OLD 0.8 04'!$B$18:$B$200),'Бланк OLD 2.0 04 '!$B$16:$K$200,3,0)))</f>
        <v/>
      </c>
      <c r="G395" s="176" t="str">
        <f ca="1">IF(IF(R395="","",IF(R395=1,SUMIFS('Шаг1.Выбор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плиты'!C:Q,12,0)),1))))))=0,
R395,
IF(R395="","",IF(R395=1,SUMIFS('Шаг1.Выбор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плиты'!N:N,R395,'Шаг1.Выбор плиты'!M:M,SMALL(INDIRECT("мм"&amp;VLOOKUP(C395,'Шаг1.Выбор плиты'!C:Q,12,0)),1)))))))</f>
        <v/>
      </c>
      <c r="H395" s="177" t="str">
        <f ca="1">IF(IF(S395="","",IF(S395=1,SUMIFS('Шаг1.Выбор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плиты'!C:Q,12,0)),1))))))=0,
S395,
IF(S395="","",IF(S395=1,SUMIFS('Шаг1.Выбор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плиты'!N:N,S395,'Шаг1.Выбор плиты'!M:M,SMALL(INDIRECT("мм"&amp;VLOOKUP(C395,'Шаг1.Выбор плиты'!C:Q,12,0)),1)))))))</f>
        <v/>
      </c>
      <c r="I395" s="147" t="str">
        <f ca="1">IFERROR(IFERROR(IF(VLOOKUP($A395,'Шаг2.Бланк заказа NEW'!$B$17:$N$201,6,0)="","",VLOOKUP($A395,'Шаг2.Бланк заказа NEW'!$B$17:$N$201,6,0)),
IF(VLOOKUP($A395-COUNT('Шаг2.Бланк заказа NEW'!$B$19:$B$201),'Бланк OLD 0.8 04'!$B$12:$K$200,6,0)="","",VLOOKUP($A395-COUNT('Шаг2.Бланк заказа NEW'!$B$19:$B$201),'Бланк OLD 0.8 04'!$B$12:$K$200,6,0))),
IF(VLOOKUP($A395-COUNT('Шаг2.Бланк заказа NEW'!$B$19:$B$201)-COUNT('Бланк OLD 0.8 04'!$B$18:$B$200),'Бланк OLD 2.0 04 '!$B$16:$K$200,6,0)="","",VLOOKUP($A395-COUNT('Шаг2.Бланк заказа NEW'!$B$19:$B$201)-COUNT('Бланк OLD 0.8 04'!$B$18:$B$200),'Бланк OLD 2.0 04 '!$B$16:$K$200,6,0)))</f>
        <v/>
      </c>
      <c r="J395" s="177" t="str">
        <f ca="1">IF(IF(T395="","",IF(T395=1,SUMIFS('Шаг1.Выбор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плиты'!C:Q,12,0)),1))))))=0,
T395,
IF(T395="","",IF(T395=1,SUMIFS('Шаг1.Выбор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плиты'!N:N,T395,'Шаг1.Выбор плиты'!M:M,SMALL(INDIRECT("мм"&amp;VLOOKUP(C395,'Шаг1.Выбор плиты'!C:Q,12,0)),1)))))))</f>
        <v/>
      </c>
      <c r="K395" s="177" t="str">
        <f ca="1">IF(IF(U395="","",IF(U395=1,SUMIFS('Шаг1.Выбор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плиты'!C:Q,12,0)),1))))))=0,
U395,
IF(U395="","",IF(U395=1,SUMIFS('Шаг1.Выбор плиты'!$G:$G,'Шаг1.Выбор плиты'!J:J,"*"&amp;RIGHT(VLOOKUP(C395,'Шаг1.Выбор плиты'!C:Q,8,0),4),'Шаг1.Выбор плиты'!L:L,IF(MID(C395,1,6)="ЛДСП P","TM"&amp;MID(VLOOKUP(C395,'Шаг1.Выбор плиты'!C:Q,10,0),3,2),MID(VLOOKUP(C395,'Шаг1.Выбор плиты'!C:Q,10,0),1,2)),
'Шаг1.Выбор плиты'!N:N,1),IF(SUMIFS('Шаг1.Выбор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плиты'!C:Q,12,0)),1))=0,
IF(SUMIFS('Шаг1.Выбор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плиты'!C:Q,12,0)),2))=0,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плиты'!C:Q,12,0)),3)),
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плиты'!C:Q,12,0)),2))),
(SUMIFS('Шаг1.Выбор плиты'!$G:$G,'Шаг1.Выбор плиты'!J:J,"*"&amp;RIGHT(VLOOKUP(C395,'Шаг1.Выбор плиты'!C:Q,8,0),4),'Шаг1.Выбор плиты'!L:L,VLOOKUP(C395,'Шаг1.Выбор плиты'!C:Q,10,0),'Шаг1.Выбор плиты'!N:N,U395,'Шаг1.Выбор плиты'!M:M,SMALL(INDIRECT("мм"&amp;VLOOKUP(C395,'Шаг1.Выбор плиты'!C:Q,12,0)),1)))))))</f>
        <v/>
      </c>
      <c r="L395" s="147" t="str">
        <f ca="1">IFERROR(IFERROR(IF(VLOOKUP($A395,'Шаг2.Бланк заказа NEW'!$B$17:$N$201,9,0)="","",VLOOKUP($A395,'Шаг2.Бланк заказа NEW'!$B$17:$N$201,9,0)),
IF(VLOOKUP($A395-COUNT('Шаг2.Бланк заказа NEW'!$B$19:$B$201),'Бланк OLD 0.8 04'!$B$12:$K$200,9,0)="","",VLOOKUP($A395-COUNT('Шаг2.Бланк заказа NEW'!$B$19:$B$201),'Бланк OLD 0.8 04'!$B$12:$K$200,9,0))),
IF(VLOOKUP($A395-COUNT('Шаг2.Бланк заказа NEW'!$B$19:$B$201)-COUNT('Бланк OLD 0.8 04'!$B$18:$B$200),'Бланк OLD 2.0 04 '!$B$16:$K$200,9,0)="","",VLOOKUP($A395-COUNT('Шаг2.Бланк заказа NEW'!$B$19:$B$201)-COUNT('Бланк OLD 0.8 04'!$B$18:$B$200),'Бланк OLD 2.0 04 '!$B$16:$K$200,9,0)))</f>
        <v/>
      </c>
      <c r="M395" s="154" t="str">
        <f t="shared" ca="1" si="36"/>
        <v/>
      </c>
      <c r="N395" s="153" t="str">
        <f ca="1">IFERROR(IF(VLOOKUP($A395,'Шаг2.Бланк заказа NEW'!$B$17:$N$201,11,0)="","",VLOOKUP($A395,'Шаг2.Бланк заказа NEW'!$B$17:$N$201,11,0)),
"Нет")</f>
        <v/>
      </c>
      <c r="O395" s="147" t="str">
        <f ca="1">IFERROR(IF(VLOOKUP($A395,'Шаг2.Бланк заказа NEW'!$B$17:$N$201,11,0)="","",VLOOKUP($A395,'Шаг2.Бланк заказа NEW'!$B$17:$N$201,12,0)),
"Нет")</f>
        <v/>
      </c>
      <c r="P395" s="153" t="str">
        <f ca="1">IFERROR(IF(VLOOKUP($A395,'Шаг2.Бланк заказа NEW'!$B$17:$N$201,13,0)="","",VLOOKUP($A395,'Шаг2.Бланк заказа NEW'!$B$17:$N$201,13,0)),
"Нет")</f>
        <v/>
      </c>
      <c r="Q395" s="147" t="str">
        <f ca="1">IFERROR(IF(VLOOKUP($A395,'Шаг2.Бланк заказа NEW'!$B$17:$O$201,14,0)="","",VLOOKUP($A395,'Шаг2.Бланк заказа NEW'!$B$17:$O$201,14,0)),"")</f>
        <v/>
      </c>
      <c r="R395" s="147" t="str">
        <f ca="1">IFERROR(IFERROR(IF(VLOOKUP($A395,'Шаг2.Бланк заказа NEW'!$B$17:$N$201,4,0)="","",VLOOKUP($A395,'Шаг2.Бланк заказа NEW'!$B$17:$N$201,4,0)),
IF(VLOOKUP($A395-COUNT('Шаг2.Бланк заказа NEW'!$B$19:$B$201),'Бланк OLD 0.8 04'!$B$12:$K$200,4,0)&gt;0,0.8,
IF(VLOOKUP($A395-COUNT('Шаг2.Бланк заказа NEW'!$B$19:$B$201),'Бланк OLD 0.8 04'!$B$12:$K$200,5,0)&gt;0,0.4,""))),
IF(VLOOKUP($A395-COUNT('Шаг2.Бланк заказа NEW'!$B$19:$B$201)-COUNT('Бланк OLD 0.8 04'!$B$18:$B$200),'Бланк OLD 2.0 04 '!$B$16:$K$200,4,0)&gt;0,2,IF(VLOOKUP($A395-COUNT('Шаг2.Бланк заказа NEW'!$B$19:$B$201)-COUNT('Бланк OLD 0.8 04'!$B$18:$B$200),'Бланк OLD 2.0 04 '!$B$16:$K$200,5,0)&gt;0,0.4,"")))</f>
        <v/>
      </c>
      <c r="S395" s="147" t="str">
        <f ca="1">IFERROR(IFERROR(IF(VLOOKUP($A395,'Шаг2.Бланк заказа NEW'!$B$17:$N$201,5,0)="","",VLOOKUP($A395,'Шаг2.Бланк заказа NEW'!$B$17:$N$201,5,0)),
IF(VLOOKUP($A395-COUNT('Шаг2.Бланк заказа NEW'!$B$19:$B$201),'Бланк OLD 0.8 04'!$B$12:$K$200,4,0)&gt;1,0.8,
IF(VLOOKUP($A395-COUNT('Шаг2.Бланк заказа NEW'!$B$19:$B$201),'Бланк OLD 0.8 04'!$B$12:$K$200,5,0)&gt;1,0.4,
IF(AND(VLOOKUP($A395-COUNT('Шаг2.Бланк заказа NEW'!$B$19:$B$201),'Бланк OLD 0.8 04'!$B$12:$K$200,4,0)&gt;0,VLOOKUP($A395-COUNT('Шаг2.Бланк заказа NEW'!$B$19:$B$201),'Бланк OLD 0.8 04'!$B$12:$K$200,5,0)&gt;0),0.4,"")))),
IF(VLOOKUP($A395-COUNT('Шаг2.Бланк заказа NEW'!$B$19:$B$201)-COUNT('Бланк OLD 0.8 04'!$B$18:$B$200),'Бланк OLD 2.0 04 '!$B$16:$K$200,4,0)&gt;1,2,
IF(VLOOKUP($A395-COUNT('Шаг2.Бланк заказа NEW'!$B$19:$B$201)-COUNT('Бланк OLD 0.8 04'!$B$18:$B$200),'Бланк OLD 2.0 04 '!$B$16:$K$200,5,0)&gt;1,0.4,IF(AND(VLOOKUP($A395-COUNT('Шаг2.Бланк заказа NEW'!$B$19:$B$201)-COUNT('Бланк OLD 0.8 04'!$B$18:$B$200),'Бланк OLD 2.0 04 '!$B$16:$K$200,4,0)&gt;0,VLOOKUP($A395-COUNT('Шаг2.Бланк заказа NEW'!$B$19:$B$201)-COUNT('Бланк OLD 0.8 04'!$B$18:$B$200),'Бланк OLD 2.0 04 '!$B$16:$K$200,5,0)&gt;0),0.4,""))))</f>
        <v/>
      </c>
      <c r="T395" s="147" t="str">
        <f ca="1">IFERROR(IFERROR(IF(VLOOKUP($A395,'Шаг2.Бланк заказа NEW'!$B$17:$N$201,7,0)="","",VLOOKUP($A395,'Шаг2.Бланк заказа NEW'!$B$17:$N$201,7,0)),
IF(VLOOKUP($A395-COUNT('Шаг2.Бланк заказа NEW'!$B$19:$B$201),'Бланк OLD 0.8 04'!$B$12:$K$200,7,0)&gt;0,0.8,
IF(VLOOKUP($A395-COUNT('Шаг2.Бланк заказа NEW'!$B$19:$B$201),'Бланк OLD 0.8 04'!$B$12:$K$200,8,0)&gt;0,0.4,""))),
IF(VLOOKUP($A395-COUNT('Шаг2.Бланк заказа NEW'!$B$19:$B$201)-COUNT('Бланк OLD 0.8 04'!$B$18:$B$200),'Бланк OLD 2.0 04 '!$B$16:$K$200,7,0)&gt;0,2,IF(VLOOKUP($A395-COUNT('Шаг2.Бланк заказа NEW'!$B$19:$B$201)-COUNT('Бланк OLD 0.8 04'!$B$18:$B$200),'Бланк OLD 2.0 04 '!$B$16:$K$200,8,0)&gt;0,0.4,"")))</f>
        <v/>
      </c>
      <c r="U395" s="147" t="str">
        <f ca="1">IFERROR(IFERROR(IF(VLOOKUP($A395,'Шаг2.Бланк заказа NEW'!$B$17:$N$201,8,0)="","",VLOOKUP($A395,'Шаг2.Бланк заказа NEW'!$B$17:$N$201,8,0)),
IF(VLOOKUP($A395-COUNT('Шаг2.Бланк заказа NEW'!$B$19:$B$201),'Бланк OLD 0.8 04'!$B$12:$K$200,7,0)&gt;1,0.8,
IF(VLOOKUP($A395-COUNT('Шаг2.Бланк заказа NEW'!$B$19:$B$201),'Бланк OLD 0.8 04'!$B$12:$K$200,8,0)&gt;1,0.4,
IF(AND(VLOOKUP($A395-COUNT('Шаг2.Бланк заказа NEW'!$B$19:$B$201),'Бланк OLD 0.8 04'!$B$12:$K$200,7,0)&gt;0,VLOOKUP($A395-COUNT('Шаг2.Бланк заказа NEW'!$B$19:$B$201),'Бланк OLD 0.8 04'!$B$12:$K$200,8,0)&gt;0),0.4,"")))),
IF(VLOOKUP($A395-COUNT('Шаг2.Бланк заказа NEW'!$B$19:$B$201)-COUNT('Бланк OLD 0.8 04'!$B$18:$B$200),'Бланк OLD 2.0 04 '!$B$16:$K$200,7,0)&gt;1,2,
IF(VLOOKUP($A395-COUNT('Шаг2.Бланк заказа NEW'!$B$19:$B$201)-COUNT('Бланк OLD 0.8 04'!$B$18:$B$200),'Бланк OLD 2.0 04 '!$B$16:$K$200,8,0)&gt;1,0.4,
IF(AND(VLOOKUP($A395-COUNT('Шаг2.Бланк заказа NEW'!$B$19:$B$201)-COUNT('Бланк OLD 0.8 04'!$B$18:$B$200),'Бланк OLD 2.0 04 '!$B$16:$K$200,7,0)&gt;0,VLOOKUP($A395-COUNT('Шаг2.Бланк заказа NEW'!$B$19:$B$201)-COUNT('Бланк OLD 0.8 04'!$B$18:$B$200),'Бланк OLD 2.0 04 '!$B$16:$K$200,8,0)&gt;0),0.4,""))))</f>
        <v/>
      </c>
      <c r="V395" s="146" t="str">
        <f ca="1">IFERROR(VLOOKUP(C395,'Шаг1.Выбор плиты'!C:S,12,0),"")</f>
        <v/>
      </c>
      <c r="W395" s="146" t="str">
        <f ca="1">IFERROR(VLOOKUP(C395,'Шаг1.Выбор плиты'!C:S,8,0),"")</f>
        <v/>
      </c>
      <c r="X395" s="146" t="str">
        <f ca="1">IFERROR(VLOOKUP(C395,'Шаг1.Выбор плиты'!C:S,10,0),"")</f>
        <v/>
      </c>
      <c r="Y395" s="147" t="str">
        <f t="shared" ca="1" si="39"/>
        <v/>
      </c>
      <c r="AD395" s="147" t="str">
        <f t="shared" ca="1" si="37"/>
        <v/>
      </c>
      <c r="AE395" s="147" t="str">
        <f t="shared" ca="1" si="40"/>
        <v/>
      </c>
      <c r="AF395" s="25"/>
      <c r="AH395" s="147" t="str">
        <f ca="1">IF(C395="","",VLOOKUP(C395,'Шаг1.Выбор плиты'!C:Q,7,0))</f>
        <v/>
      </c>
      <c r="AI395" s="147" t="str">
        <f t="shared" ca="1" si="38"/>
        <v/>
      </c>
    </row>
    <row r="396" spans="1:35" x14ac:dyDescent="0.2">
      <c r="A396" s="151" t="str">
        <f ca="1">IF(C396="","",MAX($A$1:OFFSET(C396,-1,0))+1)</f>
        <v/>
      </c>
      <c r="B396" s="151" t="str">
        <f ca="1">IFERROR(IFERROR(IFERROR("Шаг2.Бланк заказа NEW №"&amp;VLOOKUP(A395+1,CHOOSE({1,2},'Шаг2.Бланк заказа NEW'!$B$19:$B$201,'Шаг2.Бланк заказа NEW'!$A$19:$A$201),1,0),
"Бланк OLD 0.8 04 №"&amp;VLOOKUP(A395+1-COUNT('Шаг2.Бланк заказа NEW'!$B$19:$B$201),CHOOSE({1,2},'Бланк OLD 0.8 04'!$B$18:$B$200,'Бланк OLD 0.8 04'!$A$18:$A$200),1,0)),
"Бланк OLD 2.0 04 №"&amp;VLOOKUP(A395+1-COUNT('Шаг2.Бланк заказа NEW'!$B$19:$B$201)-COUNT('Бланк OLD 0.8 04'!$B$18:$B$200),CHOOSE({1,2},'Бланк OLD 2.0 04 '!$B$18:$B$200,'Бланк OLD 2.0 04 '!$A$18:$A$200),1,0)),"")</f>
        <v/>
      </c>
      <c r="C396" s="152" t="str">
        <f ca="1">IFERROR(IFERROR(IFERROR(VLOOKUP(A395+1,CHOOSE({1,2},'Шаг2.Бланк заказа NEW'!$B$19:$B$201,'Шаг2.Бланк заказа NEW'!$A$19:$A$201),2,0),
VLOOKUP(A395+1-COUNT('Шаг2.Бланк заказа NEW'!$B$19:$B$201),CHOOSE({1,2},'Бланк OLD 0.8 04'!$B$18:$B$200,'Бланк OLD 0.8 04'!$A$18:$A$200),2,0)),
VLOOKUP(A395+1-COUNT('Шаг2.Бланк заказа NEW'!$B$19:$B$201)-COUNT('Бланк OLD 0.8 04'!$B$18:$B$200),CHOOSE({1,2},'Бланк OLD 2.0 04 '!$B$18:$B$200,'Бланк OLD 2.0 04 '!$A$18:$A$200),2,0)),"")</f>
        <v/>
      </c>
      <c r="D396" s="150" t="str">
        <f ca="1">IFERROR(VLOOKUP(C396,'Шаг1.Выбор плиты'!C:G,5,0),"")</f>
        <v/>
      </c>
      <c r="E396" s="147" t="str">
        <f ca="1">IFERROR(IFERROR(IF(VLOOKUP($A396,'Шаг2.Бланк заказа NEW'!$B$17:$N$201,2,0)="","",VLOOKUP($A396,'Шаг2.Бланк заказа NEW'!$B$17:$N$201,2,0)),
IF(VLOOKUP($A396-COUNT('Шаг2.Бланк заказа NEW'!$B$19:$B$201),'Бланк OLD 0.8 04'!$B$12:$K$200,2,0)="","",VLOOKUP($A396-COUNT('Шаг2.Бланк заказа NEW'!$B$19:$B$201),'Бланк OLD 0.8 04'!$B$12:$K$200,2,0))),
IF(VLOOKUP($A396-COUNT('Шаг2.Бланк заказа NEW'!$B$19:$B$201)-COUNT('Бланк OLD 0.8 04'!$B$18:$B$200),'Бланк OLD 2.0 04 '!$B$16:$K$200,2,0)="","",VLOOKUP($A396-COUNT('Шаг2.Бланк заказа NEW'!$B$19:$B$201)-COUNT('Бланк OLD 0.8 04'!$B$18:$B$200),'Бланк OLD 2.0 04 '!$B$16:$K$200,2,0)))</f>
        <v/>
      </c>
      <c r="F396" s="147" t="str">
        <f ca="1">IFERROR(IFERROR(IF(VLOOKUP($A396,'Шаг2.Бланк заказа NEW'!$B$17:$N$201,3,0)="","",VLOOKUP($A396,'Шаг2.Бланк заказа NEW'!$B$17:$N$201,3,0)),
IF(VLOOKUP($A396-COUNT('Шаг2.Бланк заказа NEW'!$B$19:$B$201),'Бланк OLD 0.8 04'!$B$12:$K$200,3,0)="","",VLOOKUP($A396-COUNT('Шаг2.Бланк заказа NEW'!$B$19:$B$201),'Бланк OLD 0.8 04'!$B$12:$K$200,3,0))),
IF(VLOOKUP($A396-COUNT('Шаг2.Бланк заказа NEW'!$B$19:$B$201)-COUNT('Бланк OLD 0.8 04'!$B$18:$B$200),'Бланк OLD 2.0 04 '!$B$16:$K$200,3,0)="","",VLOOKUP($A396-COUNT('Шаг2.Бланк заказа NEW'!$B$19:$B$201)-COUNT('Бланк OLD 0.8 04'!$B$18:$B$200),'Бланк OLD 2.0 04 '!$B$16:$K$200,3,0)))</f>
        <v/>
      </c>
      <c r="G396" s="176" t="str">
        <f ca="1">IF(IF(R396="","",IF(R396=1,SUMIFS('Шаг1.Выбор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плиты'!C:Q,12,0)),1))))))=0,
R396,
IF(R396="","",IF(R396=1,SUMIFS('Шаг1.Выбор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плиты'!N:N,R396,'Шаг1.Выбор плиты'!M:M,SMALL(INDIRECT("мм"&amp;VLOOKUP(C396,'Шаг1.Выбор плиты'!C:Q,12,0)),1)))))))</f>
        <v/>
      </c>
      <c r="H396" s="177" t="str">
        <f ca="1">IF(IF(S396="","",IF(S396=1,SUMIFS('Шаг1.Выбор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плиты'!C:Q,12,0)),1))))))=0,
S396,
IF(S396="","",IF(S396=1,SUMIFS('Шаг1.Выбор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плиты'!N:N,S396,'Шаг1.Выбор плиты'!M:M,SMALL(INDIRECT("мм"&amp;VLOOKUP(C396,'Шаг1.Выбор плиты'!C:Q,12,0)),1)))))))</f>
        <v/>
      </c>
      <c r="I396" s="147" t="str">
        <f ca="1">IFERROR(IFERROR(IF(VLOOKUP($A396,'Шаг2.Бланк заказа NEW'!$B$17:$N$201,6,0)="","",VLOOKUP($A396,'Шаг2.Бланк заказа NEW'!$B$17:$N$201,6,0)),
IF(VLOOKUP($A396-COUNT('Шаг2.Бланк заказа NEW'!$B$19:$B$201),'Бланк OLD 0.8 04'!$B$12:$K$200,6,0)="","",VLOOKUP($A396-COUNT('Шаг2.Бланк заказа NEW'!$B$19:$B$201),'Бланк OLD 0.8 04'!$B$12:$K$200,6,0))),
IF(VLOOKUP($A396-COUNT('Шаг2.Бланк заказа NEW'!$B$19:$B$201)-COUNT('Бланк OLD 0.8 04'!$B$18:$B$200),'Бланк OLD 2.0 04 '!$B$16:$K$200,6,0)="","",VLOOKUP($A396-COUNT('Шаг2.Бланк заказа NEW'!$B$19:$B$201)-COUNT('Бланк OLD 0.8 04'!$B$18:$B$200),'Бланк OLD 2.0 04 '!$B$16:$K$200,6,0)))</f>
        <v/>
      </c>
      <c r="J396" s="177" t="str">
        <f ca="1">IF(IF(T396="","",IF(T396=1,SUMIFS('Шаг1.Выбор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плиты'!C:Q,12,0)),1))))))=0,
T396,
IF(T396="","",IF(T396=1,SUMIFS('Шаг1.Выбор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плиты'!N:N,T396,'Шаг1.Выбор плиты'!M:M,SMALL(INDIRECT("мм"&amp;VLOOKUP(C396,'Шаг1.Выбор плиты'!C:Q,12,0)),1)))))))</f>
        <v/>
      </c>
      <c r="K396" s="177" t="str">
        <f ca="1">IF(IF(U396="","",IF(U396=1,SUMIFS('Шаг1.Выбор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плиты'!C:Q,12,0)),1))))))=0,
U396,
IF(U396="","",IF(U396=1,SUMIFS('Шаг1.Выбор плиты'!$G:$G,'Шаг1.Выбор плиты'!J:J,"*"&amp;RIGHT(VLOOKUP(C396,'Шаг1.Выбор плиты'!C:Q,8,0),4),'Шаг1.Выбор плиты'!L:L,IF(MID(C396,1,6)="ЛДСП P","TM"&amp;MID(VLOOKUP(C396,'Шаг1.Выбор плиты'!C:Q,10,0),3,2),MID(VLOOKUP(C396,'Шаг1.Выбор плиты'!C:Q,10,0),1,2)),
'Шаг1.Выбор плиты'!N:N,1),IF(SUMIFS('Шаг1.Выбор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плиты'!C:Q,12,0)),1))=0,
IF(SUMIFS('Шаг1.Выбор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плиты'!C:Q,12,0)),2))=0,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плиты'!C:Q,12,0)),3)),
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плиты'!C:Q,12,0)),2))),
(SUMIFS('Шаг1.Выбор плиты'!$G:$G,'Шаг1.Выбор плиты'!J:J,"*"&amp;RIGHT(VLOOKUP(C396,'Шаг1.Выбор плиты'!C:Q,8,0),4),'Шаг1.Выбор плиты'!L:L,VLOOKUP(C396,'Шаг1.Выбор плиты'!C:Q,10,0),'Шаг1.Выбор плиты'!N:N,U396,'Шаг1.Выбор плиты'!M:M,SMALL(INDIRECT("мм"&amp;VLOOKUP(C396,'Шаг1.Выбор плиты'!C:Q,12,0)),1)))))))</f>
        <v/>
      </c>
      <c r="L396" s="147" t="str">
        <f ca="1">IFERROR(IFERROR(IF(VLOOKUP($A396,'Шаг2.Бланк заказа NEW'!$B$17:$N$201,9,0)="","",VLOOKUP($A396,'Шаг2.Бланк заказа NEW'!$B$17:$N$201,9,0)),
IF(VLOOKUP($A396-COUNT('Шаг2.Бланк заказа NEW'!$B$19:$B$201),'Бланк OLD 0.8 04'!$B$12:$K$200,9,0)="","",VLOOKUP($A396-COUNT('Шаг2.Бланк заказа NEW'!$B$19:$B$201),'Бланк OLD 0.8 04'!$B$12:$K$200,9,0))),
IF(VLOOKUP($A396-COUNT('Шаг2.Бланк заказа NEW'!$B$19:$B$201)-COUNT('Бланк OLD 0.8 04'!$B$18:$B$200),'Бланк OLD 2.0 04 '!$B$16:$K$200,9,0)="","",VLOOKUP($A396-COUNT('Шаг2.Бланк заказа NEW'!$B$19:$B$201)-COUNT('Бланк OLD 0.8 04'!$B$18:$B$200),'Бланк OLD 2.0 04 '!$B$16:$K$200,9,0)))</f>
        <v/>
      </c>
      <c r="M396" s="154" t="str">
        <f t="shared" ca="1" si="36"/>
        <v/>
      </c>
      <c r="N396" s="153" t="str">
        <f ca="1">IFERROR(IF(VLOOKUP($A396,'Шаг2.Бланк заказа NEW'!$B$17:$N$201,11,0)="","",VLOOKUP($A396,'Шаг2.Бланк заказа NEW'!$B$17:$N$201,11,0)),
"Нет")</f>
        <v/>
      </c>
      <c r="O396" s="147" t="str">
        <f ca="1">IFERROR(IF(VLOOKUP($A396,'Шаг2.Бланк заказа NEW'!$B$17:$N$201,11,0)="","",VLOOKUP($A396,'Шаг2.Бланк заказа NEW'!$B$17:$N$201,12,0)),
"Нет")</f>
        <v/>
      </c>
      <c r="P396" s="153" t="str">
        <f ca="1">IFERROR(IF(VLOOKUP($A396,'Шаг2.Бланк заказа NEW'!$B$17:$N$201,13,0)="","",VLOOKUP($A396,'Шаг2.Бланк заказа NEW'!$B$17:$N$201,13,0)),
"Нет")</f>
        <v/>
      </c>
      <c r="Q396" s="147" t="str">
        <f ca="1">IFERROR(IF(VLOOKUP($A396,'Шаг2.Бланк заказа NEW'!$B$17:$O$201,14,0)="","",VLOOKUP($A396,'Шаг2.Бланк заказа NEW'!$B$17:$O$201,14,0)),"")</f>
        <v/>
      </c>
      <c r="R396" s="147" t="str">
        <f ca="1">IFERROR(IFERROR(IF(VLOOKUP($A396,'Шаг2.Бланк заказа NEW'!$B$17:$N$201,4,0)="","",VLOOKUP($A396,'Шаг2.Бланк заказа NEW'!$B$17:$N$201,4,0)),
IF(VLOOKUP($A396-COUNT('Шаг2.Бланк заказа NEW'!$B$19:$B$201),'Бланк OLD 0.8 04'!$B$12:$K$200,4,0)&gt;0,0.8,
IF(VLOOKUP($A396-COUNT('Шаг2.Бланк заказа NEW'!$B$19:$B$201),'Бланк OLD 0.8 04'!$B$12:$K$200,5,0)&gt;0,0.4,""))),
IF(VLOOKUP($A396-COUNT('Шаг2.Бланк заказа NEW'!$B$19:$B$201)-COUNT('Бланк OLD 0.8 04'!$B$18:$B$200),'Бланк OLD 2.0 04 '!$B$16:$K$200,4,0)&gt;0,2,IF(VLOOKUP($A396-COUNT('Шаг2.Бланк заказа NEW'!$B$19:$B$201)-COUNT('Бланк OLD 0.8 04'!$B$18:$B$200),'Бланк OLD 2.0 04 '!$B$16:$K$200,5,0)&gt;0,0.4,"")))</f>
        <v/>
      </c>
      <c r="S396" s="147" t="str">
        <f ca="1">IFERROR(IFERROR(IF(VLOOKUP($A396,'Шаг2.Бланк заказа NEW'!$B$17:$N$201,5,0)="","",VLOOKUP($A396,'Шаг2.Бланк заказа NEW'!$B$17:$N$201,5,0)),
IF(VLOOKUP($A396-COUNT('Шаг2.Бланк заказа NEW'!$B$19:$B$201),'Бланк OLD 0.8 04'!$B$12:$K$200,4,0)&gt;1,0.8,
IF(VLOOKUP($A396-COUNT('Шаг2.Бланк заказа NEW'!$B$19:$B$201),'Бланк OLD 0.8 04'!$B$12:$K$200,5,0)&gt;1,0.4,
IF(AND(VLOOKUP($A396-COUNT('Шаг2.Бланк заказа NEW'!$B$19:$B$201),'Бланк OLD 0.8 04'!$B$12:$K$200,4,0)&gt;0,VLOOKUP($A396-COUNT('Шаг2.Бланк заказа NEW'!$B$19:$B$201),'Бланк OLD 0.8 04'!$B$12:$K$200,5,0)&gt;0),0.4,"")))),
IF(VLOOKUP($A396-COUNT('Шаг2.Бланк заказа NEW'!$B$19:$B$201)-COUNT('Бланк OLD 0.8 04'!$B$18:$B$200),'Бланк OLD 2.0 04 '!$B$16:$K$200,4,0)&gt;1,2,
IF(VLOOKUP($A396-COUNT('Шаг2.Бланк заказа NEW'!$B$19:$B$201)-COUNT('Бланк OLD 0.8 04'!$B$18:$B$200),'Бланк OLD 2.0 04 '!$B$16:$K$200,5,0)&gt;1,0.4,IF(AND(VLOOKUP($A396-COUNT('Шаг2.Бланк заказа NEW'!$B$19:$B$201)-COUNT('Бланк OLD 0.8 04'!$B$18:$B$200),'Бланк OLD 2.0 04 '!$B$16:$K$200,4,0)&gt;0,VLOOKUP($A396-COUNT('Шаг2.Бланк заказа NEW'!$B$19:$B$201)-COUNT('Бланк OLD 0.8 04'!$B$18:$B$200),'Бланк OLD 2.0 04 '!$B$16:$K$200,5,0)&gt;0),0.4,""))))</f>
        <v/>
      </c>
      <c r="T396" s="147" t="str">
        <f ca="1">IFERROR(IFERROR(IF(VLOOKUP($A396,'Шаг2.Бланк заказа NEW'!$B$17:$N$201,7,0)="","",VLOOKUP($A396,'Шаг2.Бланк заказа NEW'!$B$17:$N$201,7,0)),
IF(VLOOKUP($A396-COUNT('Шаг2.Бланк заказа NEW'!$B$19:$B$201),'Бланк OLD 0.8 04'!$B$12:$K$200,7,0)&gt;0,0.8,
IF(VLOOKUP($A396-COUNT('Шаг2.Бланк заказа NEW'!$B$19:$B$201),'Бланк OLD 0.8 04'!$B$12:$K$200,8,0)&gt;0,0.4,""))),
IF(VLOOKUP($A396-COUNT('Шаг2.Бланк заказа NEW'!$B$19:$B$201)-COUNT('Бланк OLD 0.8 04'!$B$18:$B$200),'Бланк OLD 2.0 04 '!$B$16:$K$200,7,0)&gt;0,2,IF(VLOOKUP($A396-COUNT('Шаг2.Бланк заказа NEW'!$B$19:$B$201)-COUNT('Бланк OLD 0.8 04'!$B$18:$B$200),'Бланк OLD 2.0 04 '!$B$16:$K$200,8,0)&gt;0,0.4,"")))</f>
        <v/>
      </c>
      <c r="U396" s="147" t="str">
        <f ca="1">IFERROR(IFERROR(IF(VLOOKUP($A396,'Шаг2.Бланк заказа NEW'!$B$17:$N$201,8,0)="","",VLOOKUP($A396,'Шаг2.Бланк заказа NEW'!$B$17:$N$201,8,0)),
IF(VLOOKUP($A396-COUNT('Шаг2.Бланк заказа NEW'!$B$19:$B$201),'Бланк OLD 0.8 04'!$B$12:$K$200,7,0)&gt;1,0.8,
IF(VLOOKUP($A396-COUNT('Шаг2.Бланк заказа NEW'!$B$19:$B$201),'Бланк OLD 0.8 04'!$B$12:$K$200,8,0)&gt;1,0.4,
IF(AND(VLOOKUP($A396-COUNT('Шаг2.Бланк заказа NEW'!$B$19:$B$201),'Бланк OLD 0.8 04'!$B$12:$K$200,7,0)&gt;0,VLOOKUP($A396-COUNT('Шаг2.Бланк заказа NEW'!$B$19:$B$201),'Бланк OLD 0.8 04'!$B$12:$K$200,8,0)&gt;0),0.4,"")))),
IF(VLOOKUP($A396-COUNT('Шаг2.Бланк заказа NEW'!$B$19:$B$201)-COUNT('Бланк OLD 0.8 04'!$B$18:$B$200),'Бланк OLD 2.0 04 '!$B$16:$K$200,7,0)&gt;1,2,
IF(VLOOKUP($A396-COUNT('Шаг2.Бланк заказа NEW'!$B$19:$B$201)-COUNT('Бланк OLD 0.8 04'!$B$18:$B$200),'Бланк OLD 2.0 04 '!$B$16:$K$200,8,0)&gt;1,0.4,
IF(AND(VLOOKUP($A396-COUNT('Шаг2.Бланк заказа NEW'!$B$19:$B$201)-COUNT('Бланк OLD 0.8 04'!$B$18:$B$200),'Бланк OLD 2.0 04 '!$B$16:$K$200,7,0)&gt;0,VLOOKUP($A396-COUNT('Шаг2.Бланк заказа NEW'!$B$19:$B$201)-COUNT('Бланк OLD 0.8 04'!$B$18:$B$200),'Бланк OLD 2.0 04 '!$B$16:$K$200,8,0)&gt;0),0.4,""))))</f>
        <v/>
      </c>
      <c r="V396" s="146" t="str">
        <f ca="1">IFERROR(VLOOKUP(C396,'Шаг1.Выбор плиты'!C:S,12,0),"")</f>
        <v/>
      </c>
      <c r="W396" s="146" t="str">
        <f ca="1">IFERROR(VLOOKUP(C396,'Шаг1.Выбор плиты'!C:S,8,0),"")</f>
        <v/>
      </c>
      <c r="X396" s="146" t="str">
        <f ca="1">IFERROR(VLOOKUP(C396,'Шаг1.Выбор плиты'!C:S,10,0),"")</f>
        <v/>
      </c>
      <c r="Y396" s="147" t="str">
        <f t="shared" ca="1" si="39"/>
        <v/>
      </c>
      <c r="AD396" s="147" t="str">
        <f t="shared" ca="1" si="37"/>
        <v/>
      </c>
      <c r="AE396" s="147" t="str">
        <f t="shared" ca="1" si="40"/>
        <v/>
      </c>
      <c r="AF396" s="25"/>
      <c r="AH396" s="147" t="str">
        <f ca="1">IF(C396="","",VLOOKUP(C396,'Шаг1.Выбор плиты'!C:Q,7,0))</f>
        <v/>
      </c>
      <c r="AI396" s="147" t="str">
        <f t="shared" ca="1" si="38"/>
        <v/>
      </c>
    </row>
    <row r="397" spans="1:35" x14ac:dyDescent="0.2">
      <c r="A397" s="151" t="str">
        <f ca="1">IF(C397="","",MAX($A$1:OFFSET(C397,-1,0))+1)</f>
        <v/>
      </c>
      <c r="B397" s="151" t="str">
        <f ca="1">IFERROR(IFERROR(IFERROR("Шаг2.Бланк заказа NEW №"&amp;VLOOKUP(A396+1,CHOOSE({1,2},'Шаг2.Бланк заказа NEW'!$B$19:$B$201,'Шаг2.Бланк заказа NEW'!$A$19:$A$201),1,0),
"Бланк OLD 0.8 04 №"&amp;VLOOKUP(A396+1-COUNT('Шаг2.Бланк заказа NEW'!$B$19:$B$201),CHOOSE({1,2},'Бланк OLD 0.8 04'!$B$18:$B$200,'Бланк OLD 0.8 04'!$A$18:$A$200),1,0)),
"Бланк OLD 2.0 04 №"&amp;VLOOKUP(A396+1-COUNT('Шаг2.Бланк заказа NEW'!$B$19:$B$201)-COUNT('Бланк OLD 0.8 04'!$B$18:$B$200),CHOOSE({1,2},'Бланк OLD 2.0 04 '!$B$18:$B$200,'Бланк OLD 2.0 04 '!$A$18:$A$200),1,0)),"")</f>
        <v/>
      </c>
      <c r="C397" s="152" t="str">
        <f ca="1">IFERROR(IFERROR(IFERROR(VLOOKUP(A396+1,CHOOSE({1,2},'Шаг2.Бланк заказа NEW'!$B$19:$B$201,'Шаг2.Бланк заказа NEW'!$A$19:$A$201),2,0),
VLOOKUP(A396+1-COUNT('Шаг2.Бланк заказа NEW'!$B$19:$B$201),CHOOSE({1,2},'Бланк OLD 0.8 04'!$B$18:$B$200,'Бланк OLD 0.8 04'!$A$18:$A$200),2,0)),
VLOOKUP(A396+1-COUNT('Шаг2.Бланк заказа NEW'!$B$19:$B$201)-COUNT('Бланк OLD 0.8 04'!$B$18:$B$200),CHOOSE({1,2},'Бланк OLD 2.0 04 '!$B$18:$B$200,'Бланк OLD 2.0 04 '!$A$18:$A$200),2,0)),"")</f>
        <v/>
      </c>
      <c r="D397" s="150" t="str">
        <f ca="1">IFERROR(VLOOKUP(C397,'Шаг1.Выбор плиты'!C:G,5,0),"")</f>
        <v/>
      </c>
      <c r="E397" s="147" t="str">
        <f ca="1">IFERROR(IFERROR(IF(VLOOKUP($A397,'Шаг2.Бланк заказа NEW'!$B$17:$N$201,2,0)="","",VLOOKUP($A397,'Шаг2.Бланк заказа NEW'!$B$17:$N$201,2,0)),
IF(VLOOKUP($A397-COUNT('Шаг2.Бланк заказа NEW'!$B$19:$B$201),'Бланк OLD 0.8 04'!$B$12:$K$200,2,0)="","",VLOOKUP($A397-COUNT('Шаг2.Бланк заказа NEW'!$B$19:$B$201),'Бланк OLD 0.8 04'!$B$12:$K$200,2,0))),
IF(VLOOKUP($A397-COUNT('Шаг2.Бланк заказа NEW'!$B$19:$B$201)-COUNT('Бланк OLD 0.8 04'!$B$18:$B$200),'Бланк OLD 2.0 04 '!$B$16:$K$200,2,0)="","",VLOOKUP($A397-COUNT('Шаг2.Бланк заказа NEW'!$B$19:$B$201)-COUNT('Бланк OLD 0.8 04'!$B$18:$B$200),'Бланк OLD 2.0 04 '!$B$16:$K$200,2,0)))</f>
        <v/>
      </c>
      <c r="F397" s="147" t="str">
        <f ca="1">IFERROR(IFERROR(IF(VLOOKUP($A397,'Шаг2.Бланк заказа NEW'!$B$17:$N$201,3,0)="","",VLOOKUP($A397,'Шаг2.Бланк заказа NEW'!$B$17:$N$201,3,0)),
IF(VLOOKUP($A397-COUNT('Шаг2.Бланк заказа NEW'!$B$19:$B$201),'Бланк OLD 0.8 04'!$B$12:$K$200,3,0)="","",VLOOKUP($A397-COUNT('Шаг2.Бланк заказа NEW'!$B$19:$B$201),'Бланк OLD 0.8 04'!$B$12:$K$200,3,0))),
IF(VLOOKUP($A397-COUNT('Шаг2.Бланк заказа NEW'!$B$19:$B$201)-COUNT('Бланк OLD 0.8 04'!$B$18:$B$200),'Бланк OLD 2.0 04 '!$B$16:$K$200,3,0)="","",VLOOKUP($A397-COUNT('Шаг2.Бланк заказа NEW'!$B$19:$B$201)-COUNT('Бланк OLD 0.8 04'!$B$18:$B$200),'Бланк OLD 2.0 04 '!$B$16:$K$200,3,0)))</f>
        <v/>
      </c>
      <c r="G397" s="176" t="str">
        <f ca="1">IF(IF(R397="","",IF(R397=1,SUMIFS('Шаг1.Выбор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плиты'!C:Q,12,0)),1))))))=0,
R397,
IF(R397="","",IF(R397=1,SUMIFS('Шаг1.Выбор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плиты'!N:N,R397,'Шаг1.Выбор плиты'!M:M,SMALL(INDIRECT("мм"&amp;VLOOKUP(C397,'Шаг1.Выбор плиты'!C:Q,12,0)),1)))))))</f>
        <v/>
      </c>
      <c r="H397" s="177" t="str">
        <f ca="1">IF(IF(S397="","",IF(S397=1,SUMIFS('Шаг1.Выбор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плиты'!C:Q,12,0)),1))))))=0,
S397,
IF(S397="","",IF(S397=1,SUMIFS('Шаг1.Выбор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плиты'!N:N,S397,'Шаг1.Выбор плиты'!M:M,SMALL(INDIRECT("мм"&amp;VLOOKUP(C397,'Шаг1.Выбор плиты'!C:Q,12,0)),1)))))))</f>
        <v/>
      </c>
      <c r="I397" s="147" t="str">
        <f ca="1">IFERROR(IFERROR(IF(VLOOKUP($A397,'Шаг2.Бланк заказа NEW'!$B$17:$N$201,6,0)="","",VLOOKUP($A397,'Шаг2.Бланк заказа NEW'!$B$17:$N$201,6,0)),
IF(VLOOKUP($A397-COUNT('Шаг2.Бланк заказа NEW'!$B$19:$B$201),'Бланк OLD 0.8 04'!$B$12:$K$200,6,0)="","",VLOOKUP($A397-COUNT('Шаг2.Бланк заказа NEW'!$B$19:$B$201),'Бланк OLD 0.8 04'!$B$12:$K$200,6,0))),
IF(VLOOKUP($A397-COUNT('Шаг2.Бланк заказа NEW'!$B$19:$B$201)-COUNT('Бланк OLD 0.8 04'!$B$18:$B$200),'Бланк OLD 2.0 04 '!$B$16:$K$200,6,0)="","",VLOOKUP($A397-COUNT('Шаг2.Бланк заказа NEW'!$B$19:$B$201)-COUNT('Бланк OLD 0.8 04'!$B$18:$B$200),'Бланк OLD 2.0 04 '!$B$16:$K$200,6,0)))</f>
        <v/>
      </c>
      <c r="J397" s="177" t="str">
        <f ca="1">IF(IF(T397="","",IF(T397=1,SUMIFS('Шаг1.Выбор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плиты'!C:Q,12,0)),1))))))=0,
T397,
IF(T397="","",IF(T397=1,SUMIFS('Шаг1.Выбор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плиты'!N:N,T397,'Шаг1.Выбор плиты'!M:M,SMALL(INDIRECT("мм"&amp;VLOOKUP(C397,'Шаг1.Выбор плиты'!C:Q,12,0)),1)))))))</f>
        <v/>
      </c>
      <c r="K397" s="177" t="str">
        <f ca="1">IF(IF(U397="","",IF(U397=1,SUMIFS('Шаг1.Выбор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плиты'!C:Q,12,0)),1))))))=0,
U397,
IF(U397="","",IF(U397=1,SUMIFS('Шаг1.Выбор плиты'!$G:$G,'Шаг1.Выбор плиты'!J:J,"*"&amp;RIGHT(VLOOKUP(C397,'Шаг1.Выбор плиты'!C:Q,8,0),4),'Шаг1.Выбор плиты'!L:L,IF(MID(C397,1,6)="ЛДСП P","TM"&amp;MID(VLOOKUP(C397,'Шаг1.Выбор плиты'!C:Q,10,0),3,2),MID(VLOOKUP(C397,'Шаг1.Выбор плиты'!C:Q,10,0),1,2)),
'Шаг1.Выбор плиты'!N:N,1),IF(SUMIFS('Шаг1.Выбор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плиты'!C:Q,12,0)),1))=0,
IF(SUMIFS('Шаг1.Выбор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плиты'!C:Q,12,0)),2))=0,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плиты'!C:Q,12,0)),3)),
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плиты'!C:Q,12,0)),2))),
(SUMIFS('Шаг1.Выбор плиты'!$G:$G,'Шаг1.Выбор плиты'!J:J,"*"&amp;RIGHT(VLOOKUP(C397,'Шаг1.Выбор плиты'!C:Q,8,0),4),'Шаг1.Выбор плиты'!L:L,VLOOKUP(C397,'Шаг1.Выбор плиты'!C:Q,10,0),'Шаг1.Выбор плиты'!N:N,U397,'Шаг1.Выбор плиты'!M:M,SMALL(INDIRECT("мм"&amp;VLOOKUP(C397,'Шаг1.Выбор плиты'!C:Q,12,0)),1)))))))</f>
        <v/>
      </c>
      <c r="L397" s="147" t="str">
        <f ca="1">IFERROR(IFERROR(IF(VLOOKUP($A397,'Шаг2.Бланк заказа NEW'!$B$17:$N$201,9,0)="","",VLOOKUP($A397,'Шаг2.Бланк заказа NEW'!$B$17:$N$201,9,0)),
IF(VLOOKUP($A397-COUNT('Шаг2.Бланк заказа NEW'!$B$19:$B$201),'Бланк OLD 0.8 04'!$B$12:$K$200,9,0)="","",VLOOKUP($A397-COUNT('Шаг2.Бланк заказа NEW'!$B$19:$B$201),'Бланк OLD 0.8 04'!$B$12:$K$200,9,0))),
IF(VLOOKUP($A397-COUNT('Шаг2.Бланк заказа NEW'!$B$19:$B$201)-COUNT('Бланк OLD 0.8 04'!$B$18:$B$200),'Бланк OLD 2.0 04 '!$B$16:$K$200,9,0)="","",VLOOKUP($A397-COUNT('Шаг2.Бланк заказа NEW'!$B$19:$B$201)-COUNT('Бланк OLD 0.8 04'!$B$18:$B$200),'Бланк OLD 2.0 04 '!$B$16:$K$200,9,0)))</f>
        <v/>
      </c>
      <c r="M397" s="154" t="str">
        <f t="shared" ca="1" si="36"/>
        <v/>
      </c>
      <c r="N397" s="153" t="str">
        <f ca="1">IFERROR(IF(VLOOKUP($A397,'Шаг2.Бланк заказа NEW'!$B$17:$N$201,11,0)="","",VLOOKUP($A397,'Шаг2.Бланк заказа NEW'!$B$17:$N$201,11,0)),
"Нет")</f>
        <v/>
      </c>
      <c r="O397" s="147" t="str">
        <f ca="1">IFERROR(IF(VLOOKUP($A397,'Шаг2.Бланк заказа NEW'!$B$17:$N$201,11,0)="","",VLOOKUP($A397,'Шаг2.Бланк заказа NEW'!$B$17:$N$201,12,0)),
"Нет")</f>
        <v/>
      </c>
      <c r="P397" s="153" t="str">
        <f ca="1">IFERROR(IF(VLOOKUP($A397,'Шаг2.Бланк заказа NEW'!$B$17:$N$201,13,0)="","",VLOOKUP($A397,'Шаг2.Бланк заказа NEW'!$B$17:$N$201,13,0)),
"Нет")</f>
        <v/>
      </c>
      <c r="Q397" s="147" t="str">
        <f ca="1">IFERROR(IF(VLOOKUP($A397,'Шаг2.Бланк заказа NEW'!$B$17:$O$201,14,0)="","",VLOOKUP($A397,'Шаг2.Бланк заказа NEW'!$B$17:$O$201,14,0)),"")</f>
        <v/>
      </c>
      <c r="R397" s="147" t="str">
        <f ca="1">IFERROR(IFERROR(IF(VLOOKUP($A397,'Шаг2.Бланк заказа NEW'!$B$17:$N$201,4,0)="","",VLOOKUP($A397,'Шаг2.Бланк заказа NEW'!$B$17:$N$201,4,0)),
IF(VLOOKUP($A397-COUNT('Шаг2.Бланк заказа NEW'!$B$19:$B$201),'Бланк OLD 0.8 04'!$B$12:$K$200,4,0)&gt;0,0.8,
IF(VLOOKUP($A397-COUNT('Шаг2.Бланк заказа NEW'!$B$19:$B$201),'Бланк OLD 0.8 04'!$B$12:$K$200,5,0)&gt;0,0.4,""))),
IF(VLOOKUP($A397-COUNT('Шаг2.Бланк заказа NEW'!$B$19:$B$201)-COUNT('Бланк OLD 0.8 04'!$B$18:$B$200),'Бланк OLD 2.0 04 '!$B$16:$K$200,4,0)&gt;0,2,IF(VLOOKUP($A397-COUNT('Шаг2.Бланк заказа NEW'!$B$19:$B$201)-COUNT('Бланк OLD 0.8 04'!$B$18:$B$200),'Бланк OLD 2.0 04 '!$B$16:$K$200,5,0)&gt;0,0.4,"")))</f>
        <v/>
      </c>
      <c r="S397" s="147" t="str">
        <f ca="1">IFERROR(IFERROR(IF(VLOOKUP($A397,'Шаг2.Бланк заказа NEW'!$B$17:$N$201,5,0)="","",VLOOKUP($A397,'Шаг2.Бланк заказа NEW'!$B$17:$N$201,5,0)),
IF(VLOOKUP($A397-COUNT('Шаг2.Бланк заказа NEW'!$B$19:$B$201),'Бланк OLD 0.8 04'!$B$12:$K$200,4,0)&gt;1,0.8,
IF(VLOOKUP($A397-COUNT('Шаг2.Бланк заказа NEW'!$B$19:$B$201),'Бланк OLD 0.8 04'!$B$12:$K$200,5,0)&gt;1,0.4,
IF(AND(VLOOKUP($A397-COUNT('Шаг2.Бланк заказа NEW'!$B$19:$B$201),'Бланк OLD 0.8 04'!$B$12:$K$200,4,0)&gt;0,VLOOKUP($A397-COUNT('Шаг2.Бланк заказа NEW'!$B$19:$B$201),'Бланк OLD 0.8 04'!$B$12:$K$200,5,0)&gt;0),0.4,"")))),
IF(VLOOKUP($A397-COUNT('Шаг2.Бланк заказа NEW'!$B$19:$B$201)-COUNT('Бланк OLD 0.8 04'!$B$18:$B$200),'Бланк OLD 2.0 04 '!$B$16:$K$200,4,0)&gt;1,2,
IF(VLOOKUP($A397-COUNT('Шаг2.Бланк заказа NEW'!$B$19:$B$201)-COUNT('Бланк OLD 0.8 04'!$B$18:$B$200),'Бланк OLD 2.0 04 '!$B$16:$K$200,5,0)&gt;1,0.4,IF(AND(VLOOKUP($A397-COUNT('Шаг2.Бланк заказа NEW'!$B$19:$B$201)-COUNT('Бланк OLD 0.8 04'!$B$18:$B$200),'Бланк OLD 2.0 04 '!$B$16:$K$200,4,0)&gt;0,VLOOKUP($A397-COUNT('Шаг2.Бланк заказа NEW'!$B$19:$B$201)-COUNT('Бланк OLD 0.8 04'!$B$18:$B$200),'Бланк OLD 2.0 04 '!$B$16:$K$200,5,0)&gt;0),0.4,""))))</f>
        <v/>
      </c>
      <c r="T397" s="147" t="str">
        <f ca="1">IFERROR(IFERROR(IF(VLOOKUP($A397,'Шаг2.Бланк заказа NEW'!$B$17:$N$201,7,0)="","",VLOOKUP($A397,'Шаг2.Бланк заказа NEW'!$B$17:$N$201,7,0)),
IF(VLOOKUP($A397-COUNT('Шаг2.Бланк заказа NEW'!$B$19:$B$201),'Бланк OLD 0.8 04'!$B$12:$K$200,7,0)&gt;0,0.8,
IF(VLOOKUP($A397-COUNT('Шаг2.Бланк заказа NEW'!$B$19:$B$201),'Бланк OLD 0.8 04'!$B$12:$K$200,8,0)&gt;0,0.4,""))),
IF(VLOOKUP($A397-COUNT('Шаг2.Бланк заказа NEW'!$B$19:$B$201)-COUNT('Бланк OLD 0.8 04'!$B$18:$B$200),'Бланк OLD 2.0 04 '!$B$16:$K$200,7,0)&gt;0,2,IF(VLOOKUP($A397-COUNT('Шаг2.Бланк заказа NEW'!$B$19:$B$201)-COUNT('Бланк OLD 0.8 04'!$B$18:$B$200),'Бланк OLD 2.0 04 '!$B$16:$K$200,8,0)&gt;0,0.4,"")))</f>
        <v/>
      </c>
      <c r="U397" s="147" t="str">
        <f ca="1">IFERROR(IFERROR(IF(VLOOKUP($A397,'Шаг2.Бланк заказа NEW'!$B$17:$N$201,8,0)="","",VLOOKUP($A397,'Шаг2.Бланк заказа NEW'!$B$17:$N$201,8,0)),
IF(VLOOKUP($A397-COUNT('Шаг2.Бланк заказа NEW'!$B$19:$B$201),'Бланк OLD 0.8 04'!$B$12:$K$200,7,0)&gt;1,0.8,
IF(VLOOKUP($A397-COUNT('Шаг2.Бланк заказа NEW'!$B$19:$B$201),'Бланк OLD 0.8 04'!$B$12:$K$200,8,0)&gt;1,0.4,
IF(AND(VLOOKUP($A397-COUNT('Шаг2.Бланк заказа NEW'!$B$19:$B$201),'Бланк OLD 0.8 04'!$B$12:$K$200,7,0)&gt;0,VLOOKUP($A397-COUNT('Шаг2.Бланк заказа NEW'!$B$19:$B$201),'Бланк OLD 0.8 04'!$B$12:$K$200,8,0)&gt;0),0.4,"")))),
IF(VLOOKUP($A397-COUNT('Шаг2.Бланк заказа NEW'!$B$19:$B$201)-COUNT('Бланк OLD 0.8 04'!$B$18:$B$200),'Бланк OLD 2.0 04 '!$B$16:$K$200,7,0)&gt;1,2,
IF(VLOOKUP($A397-COUNT('Шаг2.Бланк заказа NEW'!$B$19:$B$201)-COUNT('Бланк OLD 0.8 04'!$B$18:$B$200),'Бланк OLD 2.0 04 '!$B$16:$K$200,8,0)&gt;1,0.4,
IF(AND(VLOOKUP($A397-COUNT('Шаг2.Бланк заказа NEW'!$B$19:$B$201)-COUNT('Бланк OLD 0.8 04'!$B$18:$B$200),'Бланк OLD 2.0 04 '!$B$16:$K$200,7,0)&gt;0,VLOOKUP($A397-COUNT('Шаг2.Бланк заказа NEW'!$B$19:$B$201)-COUNT('Бланк OLD 0.8 04'!$B$18:$B$200),'Бланк OLD 2.0 04 '!$B$16:$K$200,8,0)&gt;0),0.4,""))))</f>
        <v/>
      </c>
      <c r="V397" s="146" t="str">
        <f ca="1">IFERROR(VLOOKUP(C397,'Шаг1.Выбор плиты'!C:S,12,0),"")</f>
        <v/>
      </c>
      <c r="W397" s="146" t="str">
        <f ca="1">IFERROR(VLOOKUP(C397,'Шаг1.Выбор плиты'!C:S,8,0),"")</f>
        <v/>
      </c>
      <c r="X397" s="146" t="str">
        <f ca="1">IFERROR(VLOOKUP(C397,'Шаг1.Выбор плиты'!C:S,10,0),"")</f>
        <v/>
      </c>
      <c r="Y397" s="147" t="str">
        <f t="shared" ca="1" si="39"/>
        <v/>
      </c>
      <c r="AD397" s="147" t="str">
        <f t="shared" ca="1" si="37"/>
        <v/>
      </c>
      <c r="AE397" s="147" t="str">
        <f t="shared" ca="1" si="40"/>
        <v/>
      </c>
      <c r="AF397" s="25"/>
      <c r="AH397" s="147" t="str">
        <f ca="1">IF(C397="","",VLOOKUP(C397,'Шаг1.Выбор плиты'!C:Q,7,0))</f>
        <v/>
      </c>
      <c r="AI397" s="147" t="str">
        <f t="shared" ca="1" si="38"/>
        <v/>
      </c>
    </row>
    <row r="398" spans="1:35" x14ac:dyDescent="0.2">
      <c r="A398" s="151" t="str">
        <f ca="1">IF(C398="","",MAX($A$1:OFFSET(C398,-1,0))+1)</f>
        <v/>
      </c>
      <c r="B398" s="151" t="str">
        <f ca="1">IFERROR(IFERROR(IFERROR("Шаг2.Бланк заказа NEW №"&amp;VLOOKUP(A397+1,CHOOSE({1,2},'Шаг2.Бланк заказа NEW'!$B$19:$B$201,'Шаг2.Бланк заказа NEW'!$A$19:$A$201),1,0),
"Бланк OLD 0.8 04 №"&amp;VLOOKUP(A397+1-COUNT('Шаг2.Бланк заказа NEW'!$B$19:$B$201),CHOOSE({1,2},'Бланк OLD 0.8 04'!$B$18:$B$200,'Бланк OLD 0.8 04'!$A$18:$A$200),1,0)),
"Бланк OLD 2.0 04 №"&amp;VLOOKUP(A397+1-COUNT('Шаг2.Бланк заказа NEW'!$B$19:$B$201)-COUNT('Бланк OLD 0.8 04'!$B$18:$B$200),CHOOSE({1,2},'Бланк OLD 2.0 04 '!$B$18:$B$200,'Бланк OLD 2.0 04 '!$A$18:$A$200),1,0)),"")</f>
        <v/>
      </c>
      <c r="C398" s="152" t="str">
        <f ca="1">IFERROR(IFERROR(IFERROR(VLOOKUP(A397+1,CHOOSE({1,2},'Шаг2.Бланк заказа NEW'!$B$19:$B$201,'Шаг2.Бланк заказа NEW'!$A$19:$A$201),2,0),
VLOOKUP(A397+1-COUNT('Шаг2.Бланк заказа NEW'!$B$19:$B$201),CHOOSE({1,2},'Бланк OLD 0.8 04'!$B$18:$B$200,'Бланк OLD 0.8 04'!$A$18:$A$200),2,0)),
VLOOKUP(A397+1-COUNT('Шаг2.Бланк заказа NEW'!$B$19:$B$201)-COUNT('Бланк OLD 0.8 04'!$B$18:$B$200),CHOOSE({1,2},'Бланк OLD 2.0 04 '!$B$18:$B$200,'Бланк OLD 2.0 04 '!$A$18:$A$200),2,0)),"")</f>
        <v/>
      </c>
      <c r="D398" s="150" t="str">
        <f ca="1">IFERROR(VLOOKUP(C398,'Шаг1.Выбор плиты'!C:G,5,0),"")</f>
        <v/>
      </c>
      <c r="E398" s="147" t="str">
        <f ca="1">IFERROR(IFERROR(IF(VLOOKUP($A398,'Шаг2.Бланк заказа NEW'!$B$17:$N$201,2,0)="","",VLOOKUP($A398,'Шаг2.Бланк заказа NEW'!$B$17:$N$201,2,0)),
IF(VLOOKUP($A398-COUNT('Шаг2.Бланк заказа NEW'!$B$19:$B$201),'Бланк OLD 0.8 04'!$B$12:$K$200,2,0)="","",VLOOKUP($A398-COUNT('Шаг2.Бланк заказа NEW'!$B$19:$B$201),'Бланк OLD 0.8 04'!$B$12:$K$200,2,0))),
IF(VLOOKUP($A398-COUNT('Шаг2.Бланк заказа NEW'!$B$19:$B$201)-COUNT('Бланк OLD 0.8 04'!$B$18:$B$200),'Бланк OLD 2.0 04 '!$B$16:$K$200,2,0)="","",VLOOKUP($A398-COUNT('Шаг2.Бланк заказа NEW'!$B$19:$B$201)-COUNT('Бланк OLD 0.8 04'!$B$18:$B$200),'Бланк OLD 2.0 04 '!$B$16:$K$200,2,0)))</f>
        <v/>
      </c>
      <c r="F398" s="147" t="str">
        <f ca="1">IFERROR(IFERROR(IF(VLOOKUP($A398,'Шаг2.Бланк заказа NEW'!$B$17:$N$201,3,0)="","",VLOOKUP($A398,'Шаг2.Бланк заказа NEW'!$B$17:$N$201,3,0)),
IF(VLOOKUP($A398-COUNT('Шаг2.Бланк заказа NEW'!$B$19:$B$201),'Бланк OLD 0.8 04'!$B$12:$K$200,3,0)="","",VLOOKUP($A398-COUNT('Шаг2.Бланк заказа NEW'!$B$19:$B$201),'Бланк OLD 0.8 04'!$B$12:$K$200,3,0))),
IF(VLOOKUP($A398-COUNT('Шаг2.Бланк заказа NEW'!$B$19:$B$201)-COUNT('Бланк OLD 0.8 04'!$B$18:$B$200),'Бланк OLD 2.0 04 '!$B$16:$K$200,3,0)="","",VLOOKUP($A398-COUNT('Шаг2.Бланк заказа NEW'!$B$19:$B$201)-COUNT('Бланк OLD 0.8 04'!$B$18:$B$200),'Бланк OLD 2.0 04 '!$B$16:$K$200,3,0)))</f>
        <v/>
      </c>
      <c r="G398" s="176" t="str">
        <f ca="1">IF(IF(R398="","",IF(R398=1,SUMIFS('Шаг1.Выбор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плиты'!C:Q,12,0)),1))))))=0,
R398,
IF(R398="","",IF(R398=1,SUMIFS('Шаг1.Выбор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плиты'!N:N,R398,'Шаг1.Выбор плиты'!M:M,SMALL(INDIRECT("мм"&amp;VLOOKUP(C398,'Шаг1.Выбор плиты'!C:Q,12,0)),1)))))))</f>
        <v/>
      </c>
      <c r="H398" s="177" t="str">
        <f ca="1">IF(IF(S398="","",IF(S398=1,SUMIFS('Шаг1.Выбор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плиты'!C:Q,12,0)),1))))))=0,
S398,
IF(S398="","",IF(S398=1,SUMIFS('Шаг1.Выбор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плиты'!N:N,S398,'Шаг1.Выбор плиты'!M:M,SMALL(INDIRECT("мм"&amp;VLOOKUP(C398,'Шаг1.Выбор плиты'!C:Q,12,0)),1)))))))</f>
        <v/>
      </c>
      <c r="I398" s="147" t="str">
        <f ca="1">IFERROR(IFERROR(IF(VLOOKUP($A398,'Шаг2.Бланк заказа NEW'!$B$17:$N$201,6,0)="","",VLOOKUP($A398,'Шаг2.Бланк заказа NEW'!$B$17:$N$201,6,0)),
IF(VLOOKUP($A398-COUNT('Шаг2.Бланк заказа NEW'!$B$19:$B$201),'Бланк OLD 0.8 04'!$B$12:$K$200,6,0)="","",VLOOKUP($A398-COUNT('Шаг2.Бланк заказа NEW'!$B$19:$B$201),'Бланк OLD 0.8 04'!$B$12:$K$200,6,0))),
IF(VLOOKUP($A398-COUNT('Шаг2.Бланк заказа NEW'!$B$19:$B$201)-COUNT('Бланк OLD 0.8 04'!$B$18:$B$200),'Бланк OLD 2.0 04 '!$B$16:$K$200,6,0)="","",VLOOKUP($A398-COUNT('Шаг2.Бланк заказа NEW'!$B$19:$B$201)-COUNT('Бланк OLD 0.8 04'!$B$18:$B$200),'Бланк OLD 2.0 04 '!$B$16:$K$200,6,0)))</f>
        <v/>
      </c>
      <c r="J398" s="177" t="str">
        <f ca="1">IF(IF(T398="","",IF(T398=1,SUMIFS('Шаг1.Выбор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плиты'!C:Q,12,0)),1))))))=0,
T398,
IF(T398="","",IF(T398=1,SUMIFS('Шаг1.Выбор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плиты'!N:N,T398,'Шаг1.Выбор плиты'!M:M,SMALL(INDIRECT("мм"&amp;VLOOKUP(C398,'Шаг1.Выбор плиты'!C:Q,12,0)),1)))))))</f>
        <v/>
      </c>
      <c r="K398" s="177" t="str">
        <f ca="1">IF(IF(U398="","",IF(U398=1,SUMIFS('Шаг1.Выбор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плиты'!C:Q,12,0)),1))))))=0,
U398,
IF(U398="","",IF(U398=1,SUMIFS('Шаг1.Выбор плиты'!$G:$G,'Шаг1.Выбор плиты'!J:J,"*"&amp;RIGHT(VLOOKUP(C398,'Шаг1.Выбор плиты'!C:Q,8,0),4),'Шаг1.Выбор плиты'!L:L,IF(MID(C398,1,6)="ЛДСП P","TM"&amp;MID(VLOOKUP(C398,'Шаг1.Выбор плиты'!C:Q,10,0),3,2),MID(VLOOKUP(C398,'Шаг1.Выбор плиты'!C:Q,10,0),1,2)),
'Шаг1.Выбор плиты'!N:N,1),IF(SUMIFS('Шаг1.Выбор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плиты'!C:Q,12,0)),1))=0,
IF(SUMIFS('Шаг1.Выбор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плиты'!C:Q,12,0)),2))=0,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плиты'!C:Q,12,0)),3)),
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плиты'!C:Q,12,0)),2))),
(SUMIFS('Шаг1.Выбор плиты'!$G:$G,'Шаг1.Выбор плиты'!J:J,"*"&amp;RIGHT(VLOOKUP(C398,'Шаг1.Выбор плиты'!C:Q,8,0),4),'Шаг1.Выбор плиты'!L:L,VLOOKUP(C398,'Шаг1.Выбор плиты'!C:Q,10,0),'Шаг1.Выбор плиты'!N:N,U398,'Шаг1.Выбор плиты'!M:M,SMALL(INDIRECT("мм"&amp;VLOOKUP(C398,'Шаг1.Выбор плиты'!C:Q,12,0)),1)))))))</f>
        <v/>
      </c>
      <c r="L398" s="147" t="str">
        <f ca="1">IFERROR(IFERROR(IF(VLOOKUP($A398,'Шаг2.Бланк заказа NEW'!$B$17:$N$201,9,0)="","",VLOOKUP($A398,'Шаг2.Бланк заказа NEW'!$B$17:$N$201,9,0)),
IF(VLOOKUP($A398-COUNT('Шаг2.Бланк заказа NEW'!$B$19:$B$201),'Бланк OLD 0.8 04'!$B$12:$K$200,9,0)="","",VLOOKUP($A398-COUNT('Шаг2.Бланк заказа NEW'!$B$19:$B$201),'Бланк OLD 0.8 04'!$B$12:$K$200,9,0))),
IF(VLOOKUP($A398-COUNT('Шаг2.Бланк заказа NEW'!$B$19:$B$201)-COUNT('Бланк OLD 0.8 04'!$B$18:$B$200),'Бланк OLD 2.0 04 '!$B$16:$K$200,9,0)="","",VLOOKUP($A398-COUNT('Шаг2.Бланк заказа NEW'!$B$19:$B$201)-COUNT('Бланк OLD 0.8 04'!$B$18:$B$200),'Бланк OLD 2.0 04 '!$B$16:$K$200,9,0)))</f>
        <v/>
      </c>
      <c r="M398" s="154" t="str">
        <f t="shared" ca="1" si="36"/>
        <v/>
      </c>
      <c r="N398" s="153" t="str">
        <f ca="1">IFERROR(IF(VLOOKUP($A398,'Шаг2.Бланк заказа NEW'!$B$17:$N$201,11,0)="","",VLOOKUP($A398,'Шаг2.Бланк заказа NEW'!$B$17:$N$201,11,0)),
"Нет")</f>
        <v/>
      </c>
      <c r="O398" s="147" t="str">
        <f ca="1">IFERROR(IF(VLOOKUP($A398,'Шаг2.Бланк заказа NEW'!$B$17:$N$201,11,0)="","",VLOOKUP($A398,'Шаг2.Бланк заказа NEW'!$B$17:$N$201,12,0)),
"Нет")</f>
        <v/>
      </c>
      <c r="P398" s="153" t="str">
        <f ca="1">IFERROR(IF(VLOOKUP($A398,'Шаг2.Бланк заказа NEW'!$B$17:$N$201,13,0)="","",VLOOKUP($A398,'Шаг2.Бланк заказа NEW'!$B$17:$N$201,13,0)),
"Нет")</f>
        <v/>
      </c>
      <c r="Q398" s="147" t="str">
        <f ca="1">IFERROR(IF(VLOOKUP($A398,'Шаг2.Бланк заказа NEW'!$B$17:$O$201,14,0)="","",VLOOKUP($A398,'Шаг2.Бланк заказа NEW'!$B$17:$O$201,14,0)),"")</f>
        <v/>
      </c>
      <c r="R398" s="147" t="str">
        <f ca="1">IFERROR(IFERROR(IF(VLOOKUP($A398,'Шаг2.Бланк заказа NEW'!$B$17:$N$201,4,0)="","",VLOOKUP($A398,'Шаг2.Бланк заказа NEW'!$B$17:$N$201,4,0)),
IF(VLOOKUP($A398-COUNT('Шаг2.Бланк заказа NEW'!$B$19:$B$201),'Бланк OLD 0.8 04'!$B$12:$K$200,4,0)&gt;0,0.8,
IF(VLOOKUP($A398-COUNT('Шаг2.Бланк заказа NEW'!$B$19:$B$201),'Бланк OLD 0.8 04'!$B$12:$K$200,5,0)&gt;0,0.4,""))),
IF(VLOOKUP($A398-COUNT('Шаг2.Бланк заказа NEW'!$B$19:$B$201)-COUNT('Бланк OLD 0.8 04'!$B$18:$B$200),'Бланк OLD 2.0 04 '!$B$16:$K$200,4,0)&gt;0,2,IF(VLOOKUP($A398-COUNT('Шаг2.Бланк заказа NEW'!$B$19:$B$201)-COUNT('Бланк OLD 0.8 04'!$B$18:$B$200),'Бланк OLD 2.0 04 '!$B$16:$K$200,5,0)&gt;0,0.4,"")))</f>
        <v/>
      </c>
      <c r="S398" s="147" t="str">
        <f ca="1">IFERROR(IFERROR(IF(VLOOKUP($A398,'Шаг2.Бланк заказа NEW'!$B$17:$N$201,5,0)="","",VLOOKUP($A398,'Шаг2.Бланк заказа NEW'!$B$17:$N$201,5,0)),
IF(VLOOKUP($A398-COUNT('Шаг2.Бланк заказа NEW'!$B$19:$B$201),'Бланк OLD 0.8 04'!$B$12:$K$200,4,0)&gt;1,0.8,
IF(VLOOKUP($A398-COUNT('Шаг2.Бланк заказа NEW'!$B$19:$B$201),'Бланк OLD 0.8 04'!$B$12:$K$200,5,0)&gt;1,0.4,
IF(AND(VLOOKUP($A398-COUNT('Шаг2.Бланк заказа NEW'!$B$19:$B$201),'Бланк OLD 0.8 04'!$B$12:$K$200,4,0)&gt;0,VLOOKUP($A398-COUNT('Шаг2.Бланк заказа NEW'!$B$19:$B$201),'Бланк OLD 0.8 04'!$B$12:$K$200,5,0)&gt;0),0.4,"")))),
IF(VLOOKUP($A398-COUNT('Шаг2.Бланк заказа NEW'!$B$19:$B$201)-COUNT('Бланк OLD 0.8 04'!$B$18:$B$200),'Бланк OLD 2.0 04 '!$B$16:$K$200,4,0)&gt;1,2,
IF(VLOOKUP($A398-COUNT('Шаг2.Бланк заказа NEW'!$B$19:$B$201)-COUNT('Бланк OLD 0.8 04'!$B$18:$B$200),'Бланк OLD 2.0 04 '!$B$16:$K$200,5,0)&gt;1,0.4,IF(AND(VLOOKUP($A398-COUNT('Шаг2.Бланк заказа NEW'!$B$19:$B$201)-COUNT('Бланк OLD 0.8 04'!$B$18:$B$200),'Бланк OLD 2.0 04 '!$B$16:$K$200,4,0)&gt;0,VLOOKUP($A398-COUNT('Шаг2.Бланк заказа NEW'!$B$19:$B$201)-COUNT('Бланк OLD 0.8 04'!$B$18:$B$200),'Бланк OLD 2.0 04 '!$B$16:$K$200,5,0)&gt;0),0.4,""))))</f>
        <v/>
      </c>
      <c r="T398" s="147" t="str">
        <f ca="1">IFERROR(IFERROR(IF(VLOOKUP($A398,'Шаг2.Бланк заказа NEW'!$B$17:$N$201,7,0)="","",VLOOKUP($A398,'Шаг2.Бланк заказа NEW'!$B$17:$N$201,7,0)),
IF(VLOOKUP($A398-COUNT('Шаг2.Бланк заказа NEW'!$B$19:$B$201),'Бланк OLD 0.8 04'!$B$12:$K$200,7,0)&gt;0,0.8,
IF(VLOOKUP($A398-COUNT('Шаг2.Бланк заказа NEW'!$B$19:$B$201),'Бланк OLD 0.8 04'!$B$12:$K$200,8,0)&gt;0,0.4,""))),
IF(VLOOKUP($A398-COUNT('Шаг2.Бланк заказа NEW'!$B$19:$B$201)-COUNT('Бланк OLD 0.8 04'!$B$18:$B$200),'Бланк OLD 2.0 04 '!$B$16:$K$200,7,0)&gt;0,2,IF(VLOOKUP($A398-COUNT('Шаг2.Бланк заказа NEW'!$B$19:$B$201)-COUNT('Бланк OLD 0.8 04'!$B$18:$B$200),'Бланк OLD 2.0 04 '!$B$16:$K$200,8,0)&gt;0,0.4,"")))</f>
        <v/>
      </c>
      <c r="U398" s="147" t="str">
        <f ca="1">IFERROR(IFERROR(IF(VLOOKUP($A398,'Шаг2.Бланк заказа NEW'!$B$17:$N$201,8,0)="","",VLOOKUP($A398,'Шаг2.Бланк заказа NEW'!$B$17:$N$201,8,0)),
IF(VLOOKUP($A398-COUNT('Шаг2.Бланк заказа NEW'!$B$19:$B$201),'Бланк OLD 0.8 04'!$B$12:$K$200,7,0)&gt;1,0.8,
IF(VLOOKUP($A398-COUNT('Шаг2.Бланк заказа NEW'!$B$19:$B$201),'Бланк OLD 0.8 04'!$B$12:$K$200,8,0)&gt;1,0.4,
IF(AND(VLOOKUP($A398-COUNT('Шаг2.Бланк заказа NEW'!$B$19:$B$201),'Бланк OLD 0.8 04'!$B$12:$K$200,7,0)&gt;0,VLOOKUP($A398-COUNT('Шаг2.Бланк заказа NEW'!$B$19:$B$201),'Бланк OLD 0.8 04'!$B$12:$K$200,8,0)&gt;0),0.4,"")))),
IF(VLOOKUP($A398-COUNT('Шаг2.Бланк заказа NEW'!$B$19:$B$201)-COUNT('Бланк OLD 0.8 04'!$B$18:$B$200),'Бланк OLD 2.0 04 '!$B$16:$K$200,7,0)&gt;1,2,
IF(VLOOKUP($A398-COUNT('Шаг2.Бланк заказа NEW'!$B$19:$B$201)-COUNT('Бланк OLD 0.8 04'!$B$18:$B$200),'Бланк OLD 2.0 04 '!$B$16:$K$200,8,0)&gt;1,0.4,
IF(AND(VLOOKUP($A398-COUNT('Шаг2.Бланк заказа NEW'!$B$19:$B$201)-COUNT('Бланк OLD 0.8 04'!$B$18:$B$200),'Бланк OLD 2.0 04 '!$B$16:$K$200,7,0)&gt;0,VLOOKUP($A398-COUNT('Шаг2.Бланк заказа NEW'!$B$19:$B$201)-COUNT('Бланк OLD 0.8 04'!$B$18:$B$200),'Бланк OLD 2.0 04 '!$B$16:$K$200,8,0)&gt;0),0.4,""))))</f>
        <v/>
      </c>
      <c r="V398" s="146" t="str">
        <f ca="1">IFERROR(VLOOKUP(C398,'Шаг1.Выбор плиты'!C:S,12,0),"")</f>
        <v/>
      </c>
      <c r="W398" s="146" t="str">
        <f ca="1">IFERROR(VLOOKUP(C398,'Шаг1.Выбор плиты'!C:S,8,0),"")</f>
        <v/>
      </c>
      <c r="X398" s="146" t="str">
        <f ca="1">IFERROR(VLOOKUP(C398,'Шаг1.Выбор плиты'!C:S,10,0),"")</f>
        <v/>
      </c>
      <c r="Y398" s="147" t="str">
        <f t="shared" ca="1" si="39"/>
        <v/>
      </c>
      <c r="AD398" s="147" t="str">
        <f t="shared" ca="1" si="37"/>
        <v/>
      </c>
      <c r="AE398" s="147" t="str">
        <f t="shared" ca="1" si="40"/>
        <v/>
      </c>
      <c r="AF398" s="25"/>
      <c r="AH398" s="147" t="str">
        <f ca="1">IF(C398="","",VLOOKUP(C398,'Шаг1.Выбор плиты'!C:Q,7,0))</f>
        <v/>
      </c>
      <c r="AI398" s="147" t="str">
        <f t="shared" ca="1" si="38"/>
        <v/>
      </c>
    </row>
    <row r="399" spans="1:35" x14ac:dyDescent="0.2">
      <c r="A399" s="151" t="str">
        <f ca="1">IF(C399="","",MAX($A$1:OFFSET(C399,-1,0))+1)</f>
        <v/>
      </c>
      <c r="B399" s="151" t="str">
        <f ca="1">IFERROR(IFERROR(IFERROR("Шаг2.Бланк заказа NEW №"&amp;VLOOKUP(A398+1,CHOOSE({1,2},'Шаг2.Бланк заказа NEW'!$B$19:$B$201,'Шаг2.Бланк заказа NEW'!$A$19:$A$201),1,0),
"Бланк OLD 0.8 04 №"&amp;VLOOKUP(A398+1-COUNT('Шаг2.Бланк заказа NEW'!$B$19:$B$201),CHOOSE({1,2},'Бланк OLD 0.8 04'!$B$18:$B$200,'Бланк OLD 0.8 04'!$A$18:$A$200),1,0)),
"Бланк OLD 2.0 04 №"&amp;VLOOKUP(A398+1-COUNT('Шаг2.Бланк заказа NEW'!$B$19:$B$201)-COUNT('Бланк OLD 0.8 04'!$B$18:$B$200),CHOOSE({1,2},'Бланк OLD 2.0 04 '!$B$18:$B$200,'Бланк OLD 2.0 04 '!$A$18:$A$200),1,0)),"")</f>
        <v/>
      </c>
      <c r="C399" s="152" t="str">
        <f ca="1">IFERROR(IFERROR(IFERROR(VLOOKUP(A398+1,CHOOSE({1,2},'Шаг2.Бланк заказа NEW'!$B$19:$B$201,'Шаг2.Бланк заказа NEW'!$A$19:$A$201),2,0),
VLOOKUP(A398+1-COUNT('Шаг2.Бланк заказа NEW'!$B$19:$B$201),CHOOSE({1,2},'Бланк OLD 0.8 04'!$B$18:$B$200,'Бланк OLD 0.8 04'!$A$18:$A$200),2,0)),
VLOOKUP(A398+1-COUNT('Шаг2.Бланк заказа NEW'!$B$19:$B$201)-COUNT('Бланк OLD 0.8 04'!$B$18:$B$200),CHOOSE({1,2},'Бланк OLD 2.0 04 '!$B$18:$B$200,'Бланк OLD 2.0 04 '!$A$18:$A$200),2,0)),"")</f>
        <v/>
      </c>
      <c r="D399" s="150" t="str">
        <f ca="1">IFERROR(VLOOKUP(C399,'Шаг1.Выбор плиты'!C:G,5,0),"")</f>
        <v/>
      </c>
      <c r="E399" s="147" t="str">
        <f ca="1">IFERROR(IFERROR(IF(VLOOKUP($A399,'Шаг2.Бланк заказа NEW'!$B$17:$N$201,2,0)="","",VLOOKUP($A399,'Шаг2.Бланк заказа NEW'!$B$17:$N$201,2,0)),
IF(VLOOKUP($A399-COUNT('Шаг2.Бланк заказа NEW'!$B$19:$B$201),'Бланк OLD 0.8 04'!$B$12:$K$200,2,0)="","",VLOOKUP($A399-COUNT('Шаг2.Бланк заказа NEW'!$B$19:$B$201),'Бланк OLD 0.8 04'!$B$12:$K$200,2,0))),
IF(VLOOKUP($A399-COUNT('Шаг2.Бланк заказа NEW'!$B$19:$B$201)-COUNT('Бланк OLD 0.8 04'!$B$18:$B$200),'Бланк OLD 2.0 04 '!$B$16:$K$200,2,0)="","",VLOOKUP($A399-COUNT('Шаг2.Бланк заказа NEW'!$B$19:$B$201)-COUNT('Бланк OLD 0.8 04'!$B$18:$B$200),'Бланк OLD 2.0 04 '!$B$16:$K$200,2,0)))</f>
        <v/>
      </c>
      <c r="F399" s="147" t="str">
        <f ca="1">IFERROR(IFERROR(IF(VLOOKUP($A399,'Шаг2.Бланк заказа NEW'!$B$17:$N$201,3,0)="","",VLOOKUP($A399,'Шаг2.Бланк заказа NEW'!$B$17:$N$201,3,0)),
IF(VLOOKUP($A399-COUNT('Шаг2.Бланк заказа NEW'!$B$19:$B$201),'Бланк OLD 0.8 04'!$B$12:$K$200,3,0)="","",VLOOKUP($A399-COUNT('Шаг2.Бланк заказа NEW'!$B$19:$B$201),'Бланк OLD 0.8 04'!$B$12:$K$200,3,0))),
IF(VLOOKUP($A399-COUNT('Шаг2.Бланк заказа NEW'!$B$19:$B$201)-COUNT('Бланк OLD 0.8 04'!$B$18:$B$200),'Бланк OLD 2.0 04 '!$B$16:$K$200,3,0)="","",VLOOKUP($A399-COUNT('Шаг2.Бланк заказа NEW'!$B$19:$B$201)-COUNT('Бланк OLD 0.8 04'!$B$18:$B$200),'Бланк OLD 2.0 04 '!$B$16:$K$200,3,0)))</f>
        <v/>
      </c>
      <c r="G399" s="176" t="str">
        <f ca="1">IF(IF(R399="","",IF(R399=1,SUMIFS('Шаг1.Выбор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плиты'!C:Q,12,0)),1))))))=0,
R399,
IF(R399="","",IF(R399=1,SUMIFS('Шаг1.Выбор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плиты'!N:N,R399,'Шаг1.Выбор плиты'!M:M,SMALL(INDIRECT("мм"&amp;VLOOKUP(C399,'Шаг1.Выбор плиты'!C:Q,12,0)),1)))))))</f>
        <v/>
      </c>
      <c r="H399" s="177" t="str">
        <f ca="1">IF(IF(S399="","",IF(S399=1,SUMIFS('Шаг1.Выбор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плиты'!C:Q,12,0)),1))))))=0,
S399,
IF(S399="","",IF(S399=1,SUMIFS('Шаг1.Выбор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плиты'!N:N,S399,'Шаг1.Выбор плиты'!M:M,SMALL(INDIRECT("мм"&amp;VLOOKUP(C399,'Шаг1.Выбор плиты'!C:Q,12,0)),1)))))))</f>
        <v/>
      </c>
      <c r="I399" s="147" t="str">
        <f ca="1">IFERROR(IFERROR(IF(VLOOKUP($A399,'Шаг2.Бланк заказа NEW'!$B$17:$N$201,6,0)="","",VLOOKUP($A399,'Шаг2.Бланк заказа NEW'!$B$17:$N$201,6,0)),
IF(VLOOKUP($A399-COUNT('Шаг2.Бланк заказа NEW'!$B$19:$B$201),'Бланк OLD 0.8 04'!$B$12:$K$200,6,0)="","",VLOOKUP($A399-COUNT('Шаг2.Бланк заказа NEW'!$B$19:$B$201),'Бланк OLD 0.8 04'!$B$12:$K$200,6,0))),
IF(VLOOKUP($A399-COUNT('Шаг2.Бланк заказа NEW'!$B$19:$B$201)-COUNT('Бланк OLD 0.8 04'!$B$18:$B$200),'Бланк OLD 2.0 04 '!$B$16:$K$200,6,0)="","",VLOOKUP($A399-COUNT('Шаг2.Бланк заказа NEW'!$B$19:$B$201)-COUNT('Бланк OLD 0.8 04'!$B$18:$B$200),'Бланк OLD 2.0 04 '!$B$16:$K$200,6,0)))</f>
        <v/>
      </c>
      <c r="J399" s="177" t="str">
        <f ca="1">IF(IF(T399="","",IF(T399=1,SUMIFS('Шаг1.Выбор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плиты'!C:Q,12,0)),1))))))=0,
T399,
IF(T399="","",IF(T399=1,SUMIFS('Шаг1.Выбор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плиты'!N:N,T399,'Шаг1.Выбор плиты'!M:M,SMALL(INDIRECT("мм"&amp;VLOOKUP(C399,'Шаг1.Выбор плиты'!C:Q,12,0)),1)))))))</f>
        <v/>
      </c>
      <c r="K399" s="177" t="str">
        <f ca="1">IF(IF(U399="","",IF(U399=1,SUMIFS('Шаг1.Выбор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плиты'!C:Q,12,0)),1))))))=0,
U399,
IF(U399="","",IF(U399=1,SUMIFS('Шаг1.Выбор плиты'!$G:$G,'Шаг1.Выбор плиты'!J:J,"*"&amp;RIGHT(VLOOKUP(C399,'Шаг1.Выбор плиты'!C:Q,8,0),4),'Шаг1.Выбор плиты'!L:L,IF(MID(C399,1,6)="ЛДСП P","TM"&amp;MID(VLOOKUP(C399,'Шаг1.Выбор плиты'!C:Q,10,0),3,2),MID(VLOOKUP(C399,'Шаг1.Выбор плиты'!C:Q,10,0),1,2)),
'Шаг1.Выбор плиты'!N:N,1),IF(SUMIFS('Шаг1.Выбор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плиты'!C:Q,12,0)),1))=0,
IF(SUMIFS('Шаг1.Выбор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плиты'!C:Q,12,0)),2))=0,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плиты'!C:Q,12,0)),3)),
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плиты'!C:Q,12,0)),2))),
(SUMIFS('Шаг1.Выбор плиты'!$G:$G,'Шаг1.Выбор плиты'!J:J,"*"&amp;RIGHT(VLOOKUP(C399,'Шаг1.Выбор плиты'!C:Q,8,0),4),'Шаг1.Выбор плиты'!L:L,VLOOKUP(C399,'Шаг1.Выбор плиты'!C:Q,10,0),'Шаг1.Выбор плиты'!N:N,U399,'Шаг1.Выбор плиты'!M:M,SMALL(INDIRECT("мм"&amp;VLOOKUP(C399,'Шаг1.Выбор плиты'!C:Q,12,0)),1)))))))</f>
        <v/>
      </c>
      <c r="L399" s="147" t="str">
        <f ca="1">IFERROR(IFERROR(IF(VLOOKUP($A399,'Шаг2.Бланк заказа NEW'!$B$17:$N$201,9,0)="","",VLOOKUP($A399,'Шаг2.Бланк заказа NEW'!$B$17:$N$201,9,0)),
IF(VLOOKUP($A399-COUNT('Шаг2.Бланк заказа NEW'!$B$19:$B$201),'Бланк OLD 0.8 04'!$B$12:$K$200,9,0)="","",VLOOKUP($A399-COUNT('Шаг2.Бланк заказа NEW'!$B$19:$B$201),'Бланк OLD 0.8 04'!$B$12:$K$200,9,0))),
IF(VLOOKUP($A399-COUNT('Шаг2.Бланк заказа NEW'!$B$19:$B$201)-COUNT('Бланк OLD 0.8 04'!$B$18:$B$200),'Бланк OLD 2.0 04 '!$B$16:$K$200,9,0)="","",VLOOKUP($A399-COUNT('Шаг2.Бланк заказа NEW'!$B$19:$B$201)-COUNT('Бланк OLD 0.8 04'!$B$18:$B$200),'Бланк OLD 2.0 04 '!$B$16:$K$200,9,0)))</f>
        <v/>
      </c>
      <c r="M399" s="154" t="str">
        <f t="shared" ca="1" si="36"/>
        <v/>
      </c>
      <c r="N399" s="153" t="str">
        <f ca="1">IFERROR(IF(VLOOKUP($A399,'Шаг2.Бланк заказа NEW'!$B$17:$N$201,11,0)="","",VLOOKUP($A399,'Шаг2.Бланк заказа NEW'!$B$17:$N$201,11,0)),
"Нет")</f>
        <v/>
      </c>
      <c r="O399" s="147" t="str">
        <f ca="1">IFERROR(IF(VLOOKUP($A399,'Шаг2.Бланк заказа NEW'!$B$17:$N$201,11,0)="","",VLOOKUP($A399,'Шаг2.Бланк заказа NEW'!$B$17:$N$201,12,0)),
"Нет")</f>
        <v/>
      </c>
      <c r="P399" s="153" t="str">
        <f ca="1">IFERROR(IF(VLOOKUP($A399,'Шаг2.Бланк заказа NEW'!$B$17:$N$201,13,0)="","",VLOOKUP($A399,'Шаг2.Бланк заказа NEW'!$B$17:$N$201,13,0)),
"Нет")</f>
        <v/>
      </c>
      <c r="Q399" s="147" t="str">
        <f ca="1">IFERROR(IF(VLOOKUP($A399,'Шаг2.Бланк заказа NEW'!$B$17:$O$201,14,0)="","",VLOOKUP($A399,'Шаг2.Бланк заказа NEW'!$B$17:$O$201,14,0)),"")</f>
        <v/>
      </c>
      <c r="R399" s="147" t="str">
        <f ca="1">IFERROR(IFERROR(IF(VLOOKUP($A399,'Шаг2.Бланк заказа NEW'!$B$17:$N$201,4,0)="","",VLOOKUP($A399,'Шаг2.Бланк заказа NEW'!$B$17:$N$201,4,0)),
IF(VLOOKUP($A399-COUNT('Шаг2.Бланк заказа NEW'!$B$19:$B$201),'Бланк OLD 0.8 04'!$B$12:$K$200,4,0)&gt;0,0.8,
IF(VLOOKUP($A399-COUNT('Шаг2.Бланк заказа NEW'!$B$19:$B$201),'Бланк OLD 0.8 04'!$B$12:$K$200,5,0)&gt;0,0.4,""))),
IF(VLOOKUP($A399-COUNT('Шаг2.Бланк заказа NEW'!$B$19:$B$201)-COUNT('Бланк OLD 0.8 04'!$B$18:$B$200),'Бланк OLD 2.0 04 '!$B$16:$K$200,4,0)&gt;0,2,IF(VLOOKUP($A399-COUNT('Шаг2.Бланк заказа NEW'!$B$19:$B$201)-COUNT('Бланк OLD 0.8 04'!$B$18:$B$200),'Бланк OLD 2.0 04 '!$B$16:$K$200,5,0)&gt;0,0.4,"")))</f>
        <v/>
      </c>
      <c r="S399" s="147" t="str">
        <f ca="1">IFERROR(IFERROR(IF(VLOOKUP($A399,'Шаг2.Бланк заказа NEW'!$B$17:$N$201,5,0)="","",VLOOKUP($A399,'Шаг2.Бланк заказа NEW'!$B$17:$N$201,5,0)),
IF(VLOOKUP($A399-COUNT('Шаг2.Бланк заказа NEW'!$B$19:$B$201),'Бланк OLD 0.8 04'!$B$12:$K$200,4,0)&gt;1,0.8,
IF(VLOOKUP($A399-COUNT('Шаг2.Бланк заказа NEW'!$B$19:$B$201),'Бланк OLD 0.8 04'!$B$12:$K$200,5,0)&gt;1,0.4,
IF(AND(VLOOKUP($A399-COUNT('Шаг2.Бланк заказа NEW'!$B$19:$B$201),'Бланк OLD 0.8 04'!$B$12:$K$200,4,0)&gt;0,VLOOKUP($A399-COUNT('Шаг2.Бланк заказа NEW'!$B$19:$B$201),'Бланк OLD 0.8 04'!$B$12:$K$200,5,0)&gt;0),0.4,"")))),
IF(VLOOKUP($A399-COUNT('Шаг2.Бланк заказа NEW'!$B$19:$B$201)-COUNT('Бланк OLD 0.8 04'!$B$18:$B$200),'Бланк OLD 2.0 04 '!$B$16:$K$200,4,0)&gt;1,2,
IF(VLOOKUP($A399-COUNT('Шаг2.Бланк заказа NEW'!$B$19:$B$201)-COUNT('Бланк OLD 0.8 04'!$B$18:$B$200),'Бланк OLD 2.0 04 '!$B$16:$K$200,5,0)&gt;1,0.4,IF(AND(VLOOKUP($A399-COUNT('Шаг2.Бланк заказа NEW'!$B$19:$B$201)-COUNT('Бланк OLD 0.8 04'!$B$18:$B$200),'Бланк OLD 2.0 04 '!$B$16:$K$200,4,0)&gt;0,VLOOKUP($A399-COUNT('Шаг2.Бланк заказа NEW'!$B$19:$B$201)-COUNT('Бланк OLD 0.8 04'!$B$18:$B$200),'Бланк OLD 2.0 04 '!$B$16:$K$200,5,0)&gt;0),0.4,""))))</f>
        <v/>
      </c>
      <c r="T399" s="147" t="str">
        <f ca="1">IFERROR(IFERROR(IF(VLOOKUP($A399,'Шаг2.Бланк заказа NEW'!$B$17:$N$201,7,0)="","",VLOOKUP($A399,'Шаг2.Бланк заказа NEW'!$B$17:$N$201,7,0)),
IF(VLOOKUP($A399-COUNT('Шаг2.Бланк заказа NEW'!$B$19:$B$201),'Бланк OLD 0.8 04'!$B$12:$K$200,7,0)&gt;0,0.8,
IF(VLOOKUP($A399-COUNT('Шаг2.Бланк заказа NEW'!$B$19:$B$201),'Бланк OLD 0.8 04'!$B$12:$K$200,8,0)&gt;0,0.4,""))),
IF(VLOOKUP($A399-COUNT('Шаг2.Бланк заказа NEW'!$B$19:$B$201)-COUNT('Бланк OLD 0.8 04'!$B$18:$B$200),'Бланк OLD 2.0 04 '!$B$16:$K$200,7,0)&gt;0,2,IF(VLOOKUP($A399-COUNT('Шаг2.Бланк заказа NEW'!$B$19:$B$201)-COUNT('Бланк OLD 0.8 04'!$B$18:$B$200),'Бланк OLD 2.0 04 '!$B$16:$K$200,8,0)&gt;0,0.4,"")))</f>
        <v/>
      </c>
      <c r="U399" s="147" t="str">
        <f ca="1">IFERROR(IFERROR(IF(VLOOKUP($A399,'Шаг2.Бланк заказа NEW'!$B$17:$N$201,8,0)="","",VLOOKUP($A399,'Шаг2.Бланк заказа NEW'!$B$17:$N$201,8,0)),
IF(VLOOKUP($A399-COUNT('Шаг2.Бланк заказа NEW'!$B$19:$B$201),'Бланк OLD 0.8 04'!$B$12:$K$200,7,0)&gt;1,0.8,
IF(VLOOKUP($A399-COUNT('Шаг2.Бланк заказа NEW'!$B$19:$B$201),'Бланк OLD 0.8 04'!$B$12:$K$200,8,0)&gt;1,0.4,
IF(AND(VLOOKUP($A399-COUNT('Шаг2.Бланк заказа NEW'!$B$19:$B$201),'Бланк OLD 0.8 04'!$B$12:$K$200,7,0)&gt;0,VLOOKUP($A399-COUNT('Шаг2.Бланк заказа NEW'!$B$19:$B$201),'Бланк OLD 0.8 04'!$B$12:$K$200,8,0)&gt;0),0.4,"")))),
IF(VLOOKUP($A399-COUNT('Шаг2.Бланк заказа NEW'!$B$19:$B$201)-COUNT('Бланк OLD 0.8 04'!$B$18:$B$200),'Бланк OLD 2.0 04 '!$B$16:$K$200,7,0)&gt;1,2,
IF(VLOOKUP($A399-COUNT('Шаг2.Бланк заказа NEW'!$B$19:$B$201)-COUNT('Бланк OLD 0.8 04'!$B$18:$B$200),'Бланк OLD 2.0 04 '!$B$16:$K$200,8,0)&gt;1,0.4,
IF(AND(VLOOKUP($A399-COUNT('Шаг2.Бланк заказа NEW'!$B$19:$B$201)-COUNT('Бланк OLD 0.8 04'!$B$18:$B$200),'Бланк OLD 2.0 04 '!$B$16:$K$200,7,0)&gt;0,VLOOKUP($A399-COUNT('Шаг2.Бланк заказа NEW'!$B$19:$B$201)-COUNT('Бланк OLD 0.8 04'!$B$18:$B$200),'Бланк OLD 2.0 04 '!$B$16:$K$200,8,0)&gt;0),0.4,""))))</f>
        <v/>
      </c>
      <c r="V399" s="146" t="str">
        <f ca="1">IFERROR(VLOOKUP(C399,'Шаг1.Выбор плиты'!C:S,12,0),"")</f>
        <v/>
      </c>
      <c r="W399" s="146" t="str">
        <f ca="1">IFERROR(VLOOKUP(C399,'Шаг1.Выбор плиты'!C:S,8,0),"")</f>
        <v/>
      </c>
      <c r="X399" s="146" t="str">
        <f ca="1">IFERROR(VLOOKUP(C399,'Шаг1.Выбор плиты'!C:S,10,0),"")</f>
        <v/>
      </c>
      <c r="Y399" s="147" t="str">
        <f t="shared" ca="1" si="39"/>
        <v/>
      </c>
      <c r="AD399" s="147" t="str">
        <f t="shared" ca="1" si="37"/>
        <v/>
      </c>
      <c r="AE399" s="147" t="str">
        <f t="shared" ca="1" si="40"/>
        <v/>
      </c>
      <c r="AF399" s="25"/>
      <c r="AH399" s="147" t="str">
        <f ca="1">IF(C399="","",VLOOKUP(C399,'Шаг1.Выбор плиты'!C:Q,7,0))</f>
        <v/>
      </c>
      <c r="AI399" s="147" t="str">
        <f t="shared" ca="1" si="38"/>
        <v/>
      </c>
    </row>
    <row r="400" spans="1:35" x14ac:dyDescent="0.2">
      <c r="A400" s="151" t="str">
        <f ca="1">IF(C400="","",MAX($A$1:OFFSET(C400,-1,0))+1)</f>
        <v/>
      </c>
      <c r="B400" s="151" t="str">
        <f ca="1">IFERROR(IFERROR(IFERROR("Шаг2.Бланк заказа NEW №"&amp;VLOOKUP(A399+1,CHOOSE({1,2},'Шаг2.Бланк заказа NEW'!$B$19:$B$201,'Шаг2.Бланк заказа NEW'!$A$19:$A$201),1,0),
"Бланк OLD 0.8 04 №"&amp;VLOOKUP(A399+1-COUNT('Шаг2.Бланк заказа NEW'!$B$19:$B$201),CHOOSE({1,2},'Бланк OLD 0.8 04'!$B$18:$B$200,'Бланк OLD 0.8 04'!$A$18:$A$200),1,0)),
"Бланк OLD 2.0 04 №"&amp;VLOOKUP(A399+1-COUNT('Шаг2.Бланк заказа NEW'!$B$19:$B$201)-COUNT('Бланк OLD 0.8 04'!$B$18:$B$200),CHOOSE({1,2},'Бланк OLD 2.0 04 '!$B$18:$B$200,'Бланк OLD 2.0 04 '!$A$18:$A$200),1,0)),"")</f>
        <v/>
      </c>
      <c r="C400" s="152" t="str">
        <f ca="1">IFERROR(IFERROR(IFERROR(VLOOKUP(A399+1,CHOOSE({1,2},'Шаг2.Бланк заказа NEW'!$B$19:$B$201,'Шаг2.Бланк заказа NEW'!$A$19:$A$201),2,0),
VLOOKUP(A399+1-COUNT('Шаг2.Бланк заказа NEW'!$B$19:$B$201),CHOOSE({1,2},'Бланк OLD 0.8 04'!$B$18:$B$200,'Бланк OLD 0.8 04'!$A$18:$A$200),2,0)),
VLOOKUP(A399+1-COUNT('Шаг2.Бланк заказа NEW'!$B$19:$B$201)-COUNT('Бланк OLD 0.8 04'!$B$18:$B$200),CHOOSE({1,2},'Бланк OLD 2.0 04 '!$B$18:$B$200,'Бланк OLD 2.0 04 '!$A$18:$A$200),2,0)),"")</f>
        <v/>
      </c>
      <c r="D400" s="150" t="str">
        <f ca="1">IFERROR(VLOOKUP(C400,'Шаг1.Выбор плиты'!C:G,5,0),"")</f>
        <v/>
      </c>
      <c r="E400" s="147" t="str">
        <f ca="1">IFERROR(IFERROR(IF(VLOOKUP($A400,'Шаг2.Бланк заказа NEW'!$B$17:$N$201,2,0)="","",VLOOKUP($A400,'Шаг2.Бланк заказа NEW'!$B$17:$N$201,2,0)),
IF(VLOOKUP($A400-COUNT('Шаг2.Бланк заказа NEW'!$B$19:$B$201),'Бланк OLD 0.8 04'!$B$12:$K$200,2,0)="","",VLOOKUP($A400-COUNT('Шаг2.Бланк заказа NEW'!$B$19:$B$201),'Бланк OLD 0.8 04'!$B$12:$K$200,2,0))),
IF(VLOOKUP($A400-COUNT('Шаг2.Бланк заказа NEW'!$B$19:$B$201)-COUNT('Бланк OLD 0.8 04'!$B$18:$B$200),'Бланк OLD 2.0 04 '!$B$16:$K$200,2,0)="","",VLOOKUP($A400-COUNT('Шаг2.Бланк заказа NEW'!$B$19:$B$201)-COUNT('Бланк OLD 0.8 04'!$B$18:$B$200),'Бланк OLD 2.0 04 '!$B$16:$K$200,2,0)))</f>
        <v/>
      </c>
      <c r="F400" s="147" t="str">
        <f ca="1">IFERROR(IFERROR(IF(VLOOKUP($A400,'Шаг2.Бланк заказа NEW'!$B$17:$N$201,3,0)="","",VLOOKUP($A400,'Шаг2.Бланк заказа NEW'!$B$17:$N$201,3,0)),
IF(VLOOKUP($A400-COUNT('Шаг2.Бланк заказа NEW'!$B$19:$B$201),'Бланк OLD 0.8 04'!$B$12:$K$200,3,0)="","",VLOOKUP($A400-COUNT('Шаг2.Бланк заказа NEW'!$B$19:$B$201),'Бланк OLD 0.8 04'!$B$12:$K$200,3,0))),
IF(VLOOKUP($A400-COUNT('Шаг2.Бланк заказа NEW'!$B$19:$B$201)-COUNT('Бланк OLD 0.8 04'!$B$18:$B$200),'Бланк OLD 2.0 04 '!$B$16:$K$200,3,0)="","",VLOOKUP($A400-COUNT('Шаг2.Бланк заказа NEW'!$B$19:$B$201)-COUNT('Бланк OLD 0.8 04'!$B$18:$B$200),'Бланк OLD 2.0 04 '!$B$16:$K$200,3,0)))</f>
        <v/>
      </c>
      <c r="G400" s="176" t="str">
        <f ca="1">IF(IF(R400="","",IF(R400=1,SUMIFS('Шаг1.Выбор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плиты'!C:Q,12,0)),1))))))=0,
R400,
IF(R400="","",IF(R400=1,SUMIFS('Шаг1.Выбор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плиты'!N:N,R400,'Шаг1.Выбор плиты'!M:M,SMALL(INDIRECT("мм"&amp;VLOOKUP(C400,'Шаг1.Выбор плиты'!C:Q,12,0)),1)))))))</f>
        <v/>
      </c>
      <c r="H400" s="177" t="str">
        <f ca="1">IF(IF(S400="","",IF(S400=1,SUMIFS('Шаг1.Выбор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плиты'!C:Q,12,0)),1))))))=0,
S400,
IF(S400="","",IF(S400=1,SUMIFS('Шаг1.Выбор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плиты'!N:N,S400,'Шаг1.Выбор плиты'!M:M,SMALL(INDIRECT("мм"&amp;VLOOKUP(C400,'Шаг1.Выбор плиты'!C:Q,12,0)),1)))))))</f>
        <v/>
      </c>
      <c r="I400" s="147" t="str">
        <f ca="1">IFERROR(IFERROR(IF(VLOOKUP($A400,'Шаг2.Бланк заказа NEW'!$B$17:$N$201,6,0)="","",VLOOKUP($A400,'Шаг2.Бланк заказа NEW'!$B$17:$N$201,6,0)),
IF(VLOOKUP($A400-COUNT('Шаг2.Бланк заказа NEW'!$B$19:$B$201),'Бланк OLD 0.8 04'!$B$12:$K$200,6,0)="","",VLOOKUP($A400-COUNT('Шаг2.Бланк заказа NEW'!$B$19:$B$201),'Бланк OLD 0.8 04'!$B$12:$K$200,6,0))),
IF(VLOOKUP($A400-COUNT('Шаг2.Бланк заказа NEW'!$B$19:$B$201)-COUNT('Бланк OLD 0.8 04'!$B$18:$B$200),'Бланк OLD 2.0 04 '!$B$16:$K$200,6,0)="","",VLOOKUP($A400-COUNT('Шаг2.Бланк заказа NEW'!$B$19:$B$201)-COUNT('Бланк OLD 0.8 04'!$B$18:$B$200),'Бланк OLD 2.0 04 '!$B$16:$K$200,6,0)))</f>
        <v/>
      </c>
      <c r="J400" s="177" t="str">
        <f ca="1">IF(IF(T400="","",IF(T400=1,SUMIFS('Шаг1.Выбор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плиты'!C:Q,12,0)),1))))))=0,
T400,
IF(T400="","",IF(T400=1,SUMIFS('Шаг1.Выбор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плиты'!N:N,T400,'Шаг1.Выбор плиты'!M:M,SMALL(INDIRECT("мм"&amp;VLOOKUP(C400,'Шаг1.Выбор плиты'!C:Q,12,0)),1)))))))</f>
        <v/>
      </c>
      <c r="K400" s="177" t="str">
        <f ca="1">IF(IF(U400="","",IF(U400=1,SUMIFS('Шаг1.Выбор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плиты'!C:Q,12,0)),1))))))=0,
U400,
IF(U400="","",IF(U400=1,SUMIFS('Шаг1.Выбор плиты'!$G:$G,'Шаг1.Выбор плиты'!J:J,"*"&amp;RIGHT(VLOOKUP(C400,'Шаг1.Выбор плиты'!C:Q,8,0),4),'Шаг1.Выбор плиты'!L:L,IF(MID(C400,1,6)="ЛДСП P","TM"&amp;MID(VLOOKUP(C400,'Шаг1.Выбор плиты'!C:Q,10,0),3,2),MID(VLOOKUP(C400,'Шаг1.Выбор плиты'!C:Q,10,0),1,2)),
'Шаг1.Выбор плиты'!N:N,1),IF(SUMIFS('Шаг1.Выбор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плиты'!C:Q,12,0)),1))=0,
IF(SUMIFS('Шаг1.Выбор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плиты'!C:Q,12,0)),2))=0,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плиты'!C:Q,12,0)),3)),
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плиты'!C:Q,12,0)),2))),
(SUMIFS('Шаг1.Выбор плиты'!$G:$G,'Шаг1.Выбор плиты'!J:J,"*"&amp;RIGHT(VLOOKUP(C400,'Шаг1.Выбор плиты'!C:Q,8,0),4),'Шаг1.Выбор плиты'!L:L,VLOOKUP(C400,'Шаг1.Выбор плиты'!C:Q,10,0),'Шаг1.Выбор плиты'!N:N,U400,'Шаг1.Выбор плиты'!M:M,SMALL(INDIRECT("мм"&amp;VLOOKUP(C400,'Шаг1.Выбор плиты'!C:Q,12,0)),1)))))))</f>
        <v/>
      </c>
      <c r="L400" s="147" t="str">
        <f ca="1">IFERROR(IFERROR(IF(VLOOKUP($A400,'Шаг2.Бланк заказа NEW'!$B$17:$N$201,9,0)="","",VLOOKUP($A400,'Шаг2.Бланк заказа NEW'!$B$17:$N$201,9,0)),
IF(VLOOKUP($A400-COUNT('Шаг2.Бланк заказа NEW'!$B$19:$B$201),'Бланк OLD 0.8 04'!$B$12:$K$200,9,0)="","",VLOOKUP($A400-COUNT('Шаг2.Бланк заказа NEW'!$B$19:$B$201),'Бланк OLD 0.8 04'!$B$12:$K$200,9,0))),
IF(VLOOKUP($A400-COUNT('Шаг2.Бланк заказа NEW'!$B$19:$B$201)-COUNT('Бланк OLD 0.8 04'!$B$18:$B$200),'Бланк OLD 2.0 04 '!$B$16:$K$200,9,0)="","",VLOOKUP($A400-COUNT('Шаг2.Бланк заказа NEW'!$B$19:$B$201)-COUNT('Бланк OLD 0.8 04'!$B$18:$B$200),'Бланк OLD 2.0 04 '!$B$16:$K$200,9,0)))</f>
        <v/>
      </c>
      <c r="M400" s="154" t="str">
        <f t="shared" ca="1" si="36"/>
        <v/>
      </c>
      <c r="N400" s="153" t="str">
        <f ca="1">IFERROR(IF(VLOOKUP($A400,'Шаг2.Бланк заказа NEW'!$B$17:$N$201,11,0)="","",VLOOKUP($A400,'Шаг2.Бланк заказа NEW'!$B$17:$N$201,11,0)),
"Нет")</f>
        <v/>
      </c>
      <c r="O400" s="147" t="str">
        <f ca="1">IFERROR(IF(VLOOKUP($A400,'Шаг2.Бланк заказа NEW'!$B$17:$N$201,11,0)="","",VLOOKUP($A400,'Шаг2.Бланк заказа NEW'!$B$17:$N$201,12,0)),
"Нет")</f>
        <v/>
      </c>
      <c r="P400" s="153" t="str">
        <f ca="1">IFERROR(IF(VLOOKUP($A400,'Шаг2.Бланк заказа NEW'!$B$17:$N$201,13,0)="","",VLOOKUP($A400,'Шаг2.Бланк заказа NEW'!$B$17:$N$201,13,0)),
"Нет")</f>
        <v/>
      </c>
      <c r="Q400" s="147" t="str">
        <f ca="1">IFERROR(IF(VLOOKUP($A400,'Шаг2.Бланк заказа NEW'!$B$17:$O$201,14,0)="","",VLOOKUP($A400,'Шаг2.Бланк заказа NEW'!$B$17:$O$201,14,0)),"")</f>
        <v/>
      </c>
      <c r="R400" s="147" t="str">
        <f ca="1">IFERROR(IFERROR(IF(VLOOKUP($A400,'Шаг2.Бланк заказа NEW'!$B$17:$N$201,4,0)="","",VLOOKUP($A400,'Шаг2.Бланк заказа NEW'!$B$17:$N$201,4,0)),
IF(VLOOKUP($A400-COUNT('Шаг2.Бланк заказа NEW'!$B$19:$B$201),'Бланк OLD 0.8 04'!$B$12:$K$200,4,0)&gt;0,0.8,
IF(VLOOKUP($A400-COUNT('Шаг2.Бланк заказа NEW'!$B$19:$B$201),'Бланк OLD 0.8 04'!$B$12:$K$200,5,0)&gt;0,0.4,""))),
IF(VLOOKUP($A400-COUNT('Шаг2.Бланк заказа NEW'!$B$19:$B$201)-COUNT('Бланк OLD 0.8 04'!$B$18:$B$200),'Бланк OLD 2.0 04 '!$B$16:$K$200,4,0)&gt;0,2,IF(VLOOKUP($A400-COUNT('Шаг2.Бланк заказа NEW'!$B$19:$B$201)-COUNT('Бланк OLD 0.8 04'!$B$18:$B$200),'Бланк OLD 2.0 04 '!$B$16:$K$200,5,0)&gt;0,0.4,"")))</f>
        <v/>
      </c>
      <c r="S400" s="147" t="str">
        <f ca="1">IFERROR(IFERROR(IF(VLOOKUP($A400,'Шаг2.Бланк заказа NEW'!$B$17:$N$201,5,0)="","",VLOOKUP($A400,'Шаг2.Бланк заказа NEW'!$B$17:$N$201,5,0)),
IF(VLOOKUP($A400-COUNT('Шаг2.Бланк заказа NEW'!$B$19:$B$201),'Бланк OLD 0.8 04'!$B$12:$K$200,4,0)&gt;1,0.8,
IF(VLOOKUP($A400-COUNT('Шаг2.Бланк заказа NEW'!$B$19:$B$201),'Бланк OLD 0.8 04'!$B$12:$K$200,5,0)&gt;1,0.4,
IF(AND(VLOOKUP($A400-COUNT('Шаг2.Бланк заказа NEW'!$B$19:$B$201),'Бланк OLD 0.8 04'!$B$12:$K$200,4,0)&gt;0,VLOOKUP($A400-COUNT('Шаг2.Бланк заказа NEW'!$B$19:$B$201),'Бланк OLD 0.8 04'!$B$12:$K$200,5,0)&gt;0),0.4,"")))),
IF(VLOOKUP($A400-COUNT('Шаг2.Бланк заказа NEW'!$B$19:$B$201)-COUNT('Бланк OLD 0.8 04'!$B$18:$B$200),'Бланк OLD 2.0 04 '!$B$16:$K$200,4,0)&gt;1,2,
IF(VLOOKUP($A400-COUNT('Шаг2.Бланк заказа NEW'!$B$19:$B$201)-COUNT('Бланк OLD 0.8 04'!$B$18:$B$200),'Бланк OLD 2.0 04 '!$B$16:$K$200,5,0)&gt;1,0.4,IF(AND(VLOOKUP($A400-COUNT('Шаг2.Бланк заказа NEW'!$B$19:$B$201)-COUNT('Бланк OLD 0.8 04'!$B$18:$B$200),'Бланк OLD 2.0 04 '!$B$16:$K$200,4,0)&gt;0,VLOOKUP($A400-COUNT('Шаг2.Бланк заказа NEW'!$B$19:$B$201)-COUNT('Бланк OLD 0.8 04'!$B$18:$B$200),'Бланк OLD 2.0 04 '!$B$16:$K$200,5,0)&gt;0),0.4,""))))</f>
        <v/>
      </c>
      <c r="T400" s="147" t="str">
        <f ca="1">IFERROR(IFERROR(IF(VLOOKUP($A400,'Шаг2.Бланк заказа NEW'!$B$17:$N$201,7,0)="","",VLOOKUP($A400,'Шаг2.Бланк заказа NEW'!$B$17:$N$201,7,0)),
IF(VLOOKUP($A400-COUNT('Шаг2.Бланк заказа NEW'!$B$19:$B$201),'Бланк OLD 0.8 04'!$B$12:$K$200,7,0)&gt;0,0.8,
IF(VLOOKUP($A400-COUNT('Шаг2.Бланк заказа NEW'!$B$19:$B$201),'Бланк OLD 0.8 04'!$B$12:$K$200,8,0)&gt;0,0.4,""))),
IF(VLOOKUP($A400-COUNT('Шаг2.Бланк заказа NEW'!$B$19:$B$201)-COUNT('Бланк OLD 0.8 04'!$B$18:$B$200),'Бланк OLD 2.0 04 '!$B$16:$K$200,7,0)&gt;0,2,IF(VLOOKUP($A400-COUNT('Шаг2.Бланк заказа NEW'!$B$19:$B$201)-COUNT('Бланк OLD 0.8 04'!$B$18:$B$200),'Бланк OLD 2.0 04 '!$B$16:$K$200,8,0)&gt;0,0.4,"")))</f>
        <v/>
      </c>
      <c r="U400" s="147" t="str">
        <f ca="1">IFERROR(IFERROR(IF(VLOOKUP($A400,'Шаг2.Бланк заказа NEW'!$B$17:$N$201,8,0)="","",VLOOKUP($A400,'Шаг2.Бланк заказа NEW'!$B$17:$N$201,8,0)),
IF(VLOOKUP($A400-COUNT('Шаг2.Бланк заказа NEW'!$B$19:$B$201),'Бланк OLD 0.8 04'!$B$12:$K$200,7,0)&gt;1,0.8,
IF(VLOOKUP($A400-COUNT('Шаг2.Бланк заказа NEW'!$B$19:$B$201),'Бланк OLD 0.8 04'!$B$12:$K$200,8,0)&gt;1,0.4,
IF(AND(VLOOKUP($A400-COUNT('Шаг2.Бланк заказа NEW'!$B$19:$B$201),'Бланк OLD 0.8 04'!$B$12:$K$200,7,0)&gt;0,VLOOKUP($A400-COUNT('Шаг2.Бланк заказа NEW'!$B$19:$B$201),'Бланк OLD 0.8 04'!$B$12:$K$200,8,0)&gt;0),0.4,"")))),
IF(VLOOKUP($A400-COUNT('Шаг2.Бланк заказа NEW'!$B$19:$B$201)-COUNT('Бланк OLD 0.8 04'!$B$18:$B$200),'Бланк OLD 2.0 04 '!$B$16:$K$200,7,0)&gt;1,2,
IF(VLOOKUP($A400-COUNT('Шаг2.Бланк заказа NEW'!$B$19:$B$201)-COUNT('Бланк OLD 0.8 04'!$B$18:$B$200),'Бланк OLD 2.0 04 '!$B$16:$K$200,8,0)&gt;1,0.4,
IF(AND(VLOOKUP($A400-COUNT('Шаг2.Бланк заказа NEW'!$B$19:$B$201)-COUNT('Бланк OLD 0.8 04'!$B$18:$B$200),'Бланк OLD 2.0 04 '!$B$16:$K$200,7,0)&gt;0,VLOOKUP($A400-COUNT('Шаг2.Бланк заказа NEW'!$B$19:$B$201)-COUNT('Бланк OLD 0.8 04'!$B$18:$B$200),'Бланк OLD 2.0 04 '!$B$16:$K$200,8,0)&gt;0),0.4,""))))</f>
        <v/>
      </c>
      <c r="V400" s="146" t="str">
        <f ca="1">IFERROR(VLOOKUP(C400,'Шаг1.Выбор плиты'!C:S,12,0),"")</f>
        <v/>
      </c>
      <c r="W400" s="146" t="str">
        <f ca="1">IFERROR(VLOOKUP(C400,'Шаг1.Выбор плиты'!C:S,8,0),"")</f>
        <v/>
      </c>
      <c r="X400" s="146" t="str">
        <f ca="1">IFERROR(VLOOKUP(C400,'Шаг1.Выбор плиты'!C:S,10,0),"")</f>
        <v/>
      </c>
      <c r="Y400" s="147" t="str">
        <f t="shared" ca="1" si="39"/>
        <v/>
      </c>
      <c r="AD400" s="147" t="str">
        <f t="shared" ca="1" si="37"/>
        <v/>
      </c>
      <c r="AE400" s="147" t="str">
        <f t="shared" ca="1" si="40"/>
        <v/>
      </c>
      <c r="AF400" s="25"/>
      <c r="AH400" s="147" t="str">
        <f ca="1">IF(C400="","",VLOOKUP(C400,'Шаг1.Выбор плиты'!C:Q,7,0))</f>
        <v/>
      </c>
      <c r="AI400" s="147" t="str">
        <f t="shared" ca="1" si="38"/>
        <v/>
      </c>
    </row>
    <row r="401" spans="1:35" x14ac:dyDescent="0.2">
      <c r="A401" s="151" t="str">
        <f ca="1">IF(C401="","",MAX($A$1:OFFSET(C401,-1,0))+1)</f>
        <v/>
      </c>
      <c r="B401" s="151" t="str">
        <f ca="1">IFERROR(IFERROR(IFERROR("Шаг2.Бланк заказа NEW №"&amp;VLOOKUP(A400+1,CHOOSE({1,2},'Шаг2.Бланк заказа NEW'!$B$19:$B$201,'Шаг2.Бланк заказа NEW'!$A$19:$A$201),1,0),
"Бланк OLD 0.8 04 №"&amp;VLOOKUP(A400+1-COUNT('Шаг2.Бланк заказа NEW'!$B$19:$B$201),CHOOSE({1,2},'Бланк OLD 0.8 04'!$B$18:$B$200,'Бланк OLD 0.8 04'!$A$18:$A$200),1,0)),
"Бланк OLD 2.0 04 №"&amp;VLOOKUP(A400+1-COUNT('Шаг2.Бланк заказа NEW'!$B$19:$B$201)-COUNT('Бланк OLD 0.8 04'!$B$18:$B$200),CHOOSE({1,2},'Бланк OLD 2.0 04 '!$B$18:$B$200,'Бланк OLD 2.0 04 '!$A$18:$A$200),1,0)),"")</f>
        <v/>
      </c>
      <c r="C401" s="152" t="str">
        <f ca="1">IFERROR(IFERROR(IFERROR(VLOOKUP(A400+1,CHOOSE({1,2},'Шаг2.Бланк заказа NEW'!$B$19:$B$201,'Шаг2.Бланк заказа NEW'!$A$19:$A$201),2,0),
VLOOKUP(A400+1-COUNT('Шаг2.Бланк заказа NEW'!$B$19:$B$201),CHOOSE({1,2},'Бланк OLD 0.8 04'!$B$18:$B$200,'Бланк OLD 0.8 04'!$A$18:$A$200),2,0)),
VLOOKUP(A400+1-COUNT('Шаг2.Бланк заказа NEW'!$B$19:$B$201)-COUNT('Бланк OLD 0.8 04'!$B$18:$B$200),CHOOSE({1,2},'Бланк OLD 2.0 04 '!$B$18:$B$200,'Бланк OLD 2.0 04 '!$A$18:$A$200),2,0)),"")</f>
        <v/>
      </c>
      <c r="D401" s="150" t="str">
        <f ca="1">IFERROR(VLOOKUP(C401,'Шаг1.Выбор плиты'!C:G,5,0),"")</f>
        <v/>
      </c>
      <c r="E401" s="147" t="str">
        <f ca="1">IFERROR(IFERROR(IF(VLOOKUP($A401,'Шаг2.Бланк заказа NEW'!$B$17:$N$201,2,0)="","",VLOOKUP($A401,'Шаг2.Бланк заказа NEW'!$B$17:$N$201,2,0)),
IF(VLOOKUP($A401-COUNT('Шаг2.Бланк заказа NEW'!$B$19:$B$201),'Бланк OLD 0.8 04'!$B$12:$K$200,2,0)="","",VLOOKUP($A401-COUNT('Шаг2.Бланк заказа NEW'!$B$19:$B$201),'Бланк OLD 0.8 04'!$B$12:$K$200,2,0))),
IF(VLOOKUP($A401-COUNT('Шаг2.Бланк заказа NEW'!$B$19:$B$201)-COUNT('Бланк OLD 0.8 04'!$B$18:$B$200),'Бланк OLD 2.0 04 '!$B$16:$K$200,2,0)="","",VLOOKUP($A401-COUNT('Шаг2.Бланк заказа NEW'!$B$19:$B$201)-COUNT('Бланк OLD 0.8 04'!$B$18:$B$200),'Бланк OLD 2.0 04 '!$B$16:$K$200,2,0)))</f>
        <v/>
      </c>
      <c r="F401" s="147" t="str">
        <f ca="1">IFERROR(IFERROR(IF(VLOOKUP($A401,'Шаг2.Бланк заказа NEW'!$B$17:$N$201,3,0)="","",VLOOKUP($A401,'Шаг2.Бланк заказа NEW'!$B$17:$N$201,3,0)),
IF(VLOOKUP($A401-COUNT('Шаг2.Бланк заказа NEW'!$B$19:$B$201),'Бланк OLD 0.8 04'!$B$12:$K$200,3,0)="","",VLOOKUP($A401-COUNT('Шаг2.Бланк заказа NEW'!$B$19:$B$201),'Бланк OLD 0.8 04'!$B$12:$K$200,3,0))),
IF(VLOOKUP($A401-COUNT('Шаг2.Бланк заказа NEW'!$B$19:$B$201)-COUNT('Бланк OLD 0.8 04'!$B$18:$B$200),'Бланк OLD 2.0 04 '!$B$16:$K$200,3,0)="","",VLOOKUP($A401-COUNT('Шаг2.Бланк заказа NEW'!$B$19:$B$201)-COUNT('Бланк OLD 0.8 04'!$B$18:$B$200),'Бланк OLD 2.0 04 '!$B$16:$K$200,3,0)))</f>
        <v/>
      </c>
      <c r="G401" s="176" t="str">
        <f ca="1">IF(IF(R401="","",IF(R401=1,SUMIFS('Шаг1.Выбор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плиты'!C:Q,12,0)),1))))))=0,
R401,
IF(R401="","",IF(R401=1,SUMIFS('Шаг1.Выбор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плиты'!N:N,R401,'Шаг1.Выбор плиты'!M:M,SMALL(INDIRECT("мм"&amp;VLOOKUP(C401,'Шаг1.Выбор плиты'!C:Q,12,0)),1)))))))</f>
        <v/>
      </c>
      <c r="H401" s="177" t="str">
        <f ca="1">IF(IF(S401="","",IF(S401=1,SUMIFS('Шаг1.Выбор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плиты'!C:Q,12,0)),1))))))=0,
S401,
IF(S401="","",IF(S401=1,SUMIFS('Шаг1.Выбор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плиты'!N:N,S401,'Шаг1.Выбор плиты'!M:M,SMALL(INDIRECT("мм"&amp;VLOOKUP(C401,'Шаг1.Выбор плиты'!C:Q,12,0)),1)))))))</f>
        <v/>
      </c>
      <c r="I401" s="147" t="str">
        <f ca="1">IFERROR(IFERROR(IF(VLOOKUP($A401,'Шаг2.Бланк заказа NEW'!$B$17:$N$201,6,0)="","",VLOOKUP($A401,'Шаг2.Бланк заказа NEW'!$B$17:$N$201,6,0)),
IF(VLOOKUP($A401-COUNT('Шаг2.Бланк заказа NEW'!$B$19:$B$201),'Бланк OLD 0.8 04'!$B$12:$K$200,6,0)="","",VLOOKUP($A401-COUNT('Шаг2.Бланк заказа NEW'!$B$19:$B$201),'Бланк OLD 0.8 04'!$B$12:$K$200,6,0))),
IF(VLOOKUP($A401-COUNT('Шаг2.Бланк заказа NEW'!$B$19:$B$201)-COUNT('Бланк OLD 0.8 04'!$B$18:$B$200),'Бланк OLD 2.0 04 '!$B$16:$K$200,6,0)="","",VLOOKUP($A401-COUNT('Шаг2.Бланк заказа NEW'!$B$19:$B$201)-COUNT('Бланк OLD 0.8 04'!$B$18:$B$200),'Бланк OLD 2.0 04 '!$B$16:$K$200,6,0)))</f>
        <v/>
      </c>
      <c r="J401" s="177" t="str">
        <f ca="1">IF(IF(T401="","",IF(T401=1,SUMIFS('Шаг1.Выбор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плиты'!C:Q,12,0)),1))))))=0,
T401,
IF(T401="","",IF(T401=1,SUMIFS('Шаг1.Выбор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плиты'!N:N,T401,'Шаг1.Выбор плиты'!M:M,SMALL(INDIRECT("мм"&amp;VLOOKUP(C401,'Шаг1.Выбор плиты'!C:Q,12,0)),1)))))))</f>
        <v/>
      </c>
      <c r="K401" s="177" t="str">
        <f ca="1">IF(IF(U401="","",IF(U401=1,SUMIFS('Шаг1.Выбор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плиты'!C:Q,12,0)),1))))))=0,
U401,
IF(U401="","",IF(U401=1,SUMIFS('Шаг1.Выбор плиты'!$G:$G,'Шаг1.Выбор плиты'!J:J,"*"&amp;RIGHT(VLOOKUP(C401,'Шаг1.Выбор плиты'!C:Q,8,0),4),'Шаг1.Выбор плиты'!L:L,IF(MID(C401,1,6)="ЛДСП P","TM"&amp;MID(VLOOKUP(C401,'Шаг1.Выбор плиты'!C:Q,10,0),3,2),MID(VLOOKUP(C401,'Шаг1.Выбор плиты'!C:Q,10,0),1,2)),
'Шаг1.Выбор плиты'!N:N,1),IF(SUMIFS('Шаг1.Выбор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плиты'!C:Q,12,0)),1))=0,
IF(SUMIFS('Шаг1.Выбор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плиты'!C:Q,12,0)),2))=0,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плиты'!C:Q,12,0)),3)),
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плиты'!C:Q,12,0)),2))),
(SUMIFS('Шаг1.Выбор плиты'!$G:$G,'Шаг1.Выбор плиты'!J:J,"*"&amp;RIGHT(VLOOKUP(C401,'Шаг1.Выбор плиты'!C:Q,8,0),4),'Шаг1.Выбор плиты'!L:L,VLOOKUP(C401,'Шаг1.Выбор плиты'!C:Q,10,0),'Шаг1.Выбор плиты'!N:N,U401,'Шаг1.Выбор плиты'!M:M,SMALL(INDIRECT("мм"&amp;VLOOKUP(C401,'Шаг1.Выбор плиты'!C:Q,12,0)),1)))))))</f>
        <v/>
      </c>
      <c r="L401" s="147" t="str">
        <f ca="1">IFERROR(IFERROR(IF(VLOOKUP($A401,'Шаг2.Бланк заказа NEW'!$B$17:$N$201,9,0)="","",VLOOKUP($A401,'Шаг2.Бланк заказа NEW'!$B$17:$N$201,9,0)),
IF(VLOOKUP($A401-COUNT('Шаг2.Бланк заказа NEW'!$B$19:$B$201),'Бланк OLD 0.8 04'!$B$12:$K$200,9,0)="","",VLOOKUP($A401-COUNT('Шаг2.Бланк заказа NEW'!$B$19:$B$201),'Бланк OLD 0.8 04'!$B$12:$K$200,9,0))),
IF(VLOOKUP($A401-COUNT('Шаг2.Бланк заказа NEW'!$B$19:$B$201)-COUNT('Бланк OLD 0.8 04'!$B$18:$B$200),'Бланк OLD 2.0 04 '!$B$16:$K$200,9,0)="","",VLOOKUP($A401-COUNT('Шаг2.Бланк заказа NEW'!$B$19:$B$201)-COUNT('Бланк OLD 0.8 04'!$B$18:$B$200),'Бланк OLD 2.0 04 '!$B$16:$K$200,9,0)))</f>
        <v/>
      </c>
      <c r="M401" s="154" t="str">
        <f t="shared" ca="1" si="36"/>
        <v/>
      </c>
      <c r="N401" s="153" t="str">
        <f ca="1">IFERROR(IF(VLOOKUP($A401,'Шаг2.Бланк заказа NEW'!$B$17:$N$201,11,0)="","",VLOOKUP($A401,'Шаг2.Бланк заказа NEW'!$B$17:$N$201,11,0)),
"Нет")</f>
        <v/>
      </c>
      <c r="O401" s="147" t="str">
        <f ca="1">IFERROR(IF(VLOOKUP($A401,'Шаг2.Бланк заказа NEW'!$B$17:$N$201,11,0)="","",VLOOKUP($A401,'Шаг2.Бланк заказа NEW'!$B$17:$N$201,12,0)),
"Нет")</f>
        <v/>
      </c>
      <c r="P401" s="153" t="str">
        <f ca="1">IFERROR(IF(VLOOKUP($A401,'Шаг2.Бланк заказа NEW'!$B$17:$N$201,13,0)="","",VLOOKUP($A401,'Шаг2.Бланк заказа NEW'!$B$17:$N$201,13,0)),
"Нет")</f>
        <v/>
      </c>
      <c r="Q401" s="147" t="str">
        <f ca="1">IFERROR(IF(VLOOKUP($A401,'Шаг2.Бланк заказа NEW'!$B$17:$O$201,14,0)="","",VLOOKUP($A401,'Шаг2.Бланк заказа NEW'!$B$17:$O$201,14,0)),"")</f>
        <v/>
      </c>
      <c r="R401" s="147" t="str">
        <f ca="1">IFERROR(IFERROR(IF(VLOOKUP($A401,'Шаг2.Бланк заказа NEW'!$B$17:$N$201,4,0)="","",VLOOKUP($A401,'Шаг2.Бланк заказа NEW'!$B$17:$N$201,4,0)),
IF(VLOOKUP($A401-COUNT('Шаг2.Бланк заказа NEW'!$B$19:$B$201),'Бланк OLD 0.8 04'!$B$12:$K$200,4,0)&gt;0,0.8,
IF(VLOOKUP($A401-COUNT('Шаг2.Бланк заказа NEW'!$B$19:$B$201),'Бланк OLD 0.8 04'!$B$12:$K$200,5,0)&gt;0,0.4,""))),
IF(VLOOKUP($A401-COUNT('Шаг2.Бланк заказа NEW'!$B$19:$B$201)-COUNT('Бланк OLD 0.8 04'!$B$18:$B$200),'Бланк OLD 2.0 04 '!$B$16:$K$200,4,0)&gt;0,2,IF(VLOOKUP($A401-COUNT('Шаг2.Бланк заказа NEW'!$B$19:$B$201)-COUNT('Бланк OLD 0.8 04'!$B$18:$B$200),'Бланк OLD 2.0 04 '!$B$16:$K$200,5,0)&gt;0,0.4,"")))</f>
        <v/>
      </c>
      <c r="S401" s="147" t="str">
        <f ca="1">IFERROR(IFERROR(IF(VLOOKUP($A401,'Шаг2.Бланк заказа NEW'!$B$17:$N$201,5,0)="","",VLOOKUP($A401,'Шаг2.Бланк заказа NEW'!$B$17:$N$201,5,0)),
IF(VLOOKUP($A401-COUNT('Шаг2.Бланк заказа NEW'!$B$19:$B$201),'Бланк OLD 0.8 04'!$B$12:$K$200,4,0)&gt;1,0.8,
IF(VLOOKUP($A401-COUNT('Шаг2.Бланк заказа NEW'!$B$19:$B$201),'Бланк OLD 0.8 04'!$B$12:$K$200,5,0)&gt;1,0.4,
IF(AND(VLOOKUP($A401-COUNT('Шаг2.Бланк заказа NEW'!$B$19:$B$201),'Бланк OLD 0.8 04'!$B$12:$K$200,4,0)&gt;0,VLOOKUP($A401-COUNT('Шаг2.Бланк заказа NEW'!$B$19:$B$201),'Бланк OLD 0.8 04'!$B$12:$K$200,5,0)&gt;0),0.4,"")))),
IF(VLOOKUP($A401-COUNT('Шаг2.Бланк заказа NEW'!$B$19:$B$201)-COUNT('Бланк OLD 0.8 04'!$B$18:$B$200),'Бланк OLD 2.0 04 '!$B$16:$K$200,4,0)&gt;1,2,
IF(VLOOKUP($A401-COUNT('Шаг2.Бланк заказа NEW'!$B$19:$B$201)-COUNT('Бланк OLD 0.8 04'!$B$18:$B$200),'Бланк OLD 2.0 04 '!$B$16:$K$200,5,0)&gt;1,0.4,IF(AND(VLOOKUP($A401-COUNT('Шаг2.Бланк заказа NEW'!$B$19:$B$201)-COUNT('Бланк OLD 0.8 04'!$B$18:$B$200),'Бланк OLD 2.0 04 '!$B$16:$K$200,4,0)&gt;0,VLOOKUP($A401-COUNT('Шаг2.Бланк заказа NEW'!$B$19:$B$201)-COUNT('Бланк OLD 0.8 04'!$B$18:$B$200),'Бланк OLD 2.0 04 '!$B$16:$K$200,5,0)&gt;0),0.4,""))))</f>
        <v/>
      </c>
      <c r="T401" s="147" t="str">
        <f ca="1">IFERROR(IFERROR(IF(VLOOKUP($A401,'Шаг2.Бланк заказа NEW'!$B$17:$N$201,7,0)="","",VLOOKUP($A401,'Шаг2.Бланк заказа NEW'!$B$17:$N$201,7,0)),
IF(VLOOKUP($A401-COUNT('Шаг2.Бланк заказа NEW'!$B$19:$B$201),'Бланк OLD 0.8 04'!$B$12:$K$200,7,0)&gt;0,0.8,
IF(VLOOKUP($A401-COUNT('Шаг2.Бланк заказа NEW'!$B$19:$B$201),'Бланк OLD 0.8 04'!$B$12:$K$200,8,0)&gt;0,0.4,""))),
IF(VLOOKUP($A401-COUNT('Шаг2.Бланк заказа NEW'!$B$19:$B$201)-COUNT('Бланк OLD 0.8 04'!$B$18:$B$200),'Бланк OLD 2.0 04 '!$B$16:$K$200,7,0)&gt;0,2,IF(VLOOKUP($A401-COUNT('Шаг2.Бланк заказа NEW'!$B$19:$B$201)-COUNT('Бланк OLD 0.8 04'!$B$18:$B$200),'Бланк OLD 2.0 04 '!$B$16:$K$200,8,0)&gt;0,0.4,"")))</f>
        <v/>
      </c>
      <c r="U401" s="147" t="str">
        <f ca="1">IFERROR(IFERROR(IF(VLOOKUP($A401,'Шаг2.Бланк заказа NEW'!$B$17:$N$201,8,0)="","",VLOOKUP($A401,'Шаг2.Бланк заказа NEW'!$B$17:$N$201,8,0)),
IF(VLOOKUP($A401-COUNT('Шаг2.Бланк заказа NEW'!$B$19:$B$201),'Бланк OLD 0.8 04'!$B$12:$K$200,7,0)&gt;1,0.8,
IF(VLOOKUP($A401-COUNT('Шаг2.Бланк заказа NEW'!$B$19:$B$201),'Бланк OLD 0.8 04'!$B$12:$K$200,8,0)&gt;1,0.4,
IF(AND(VLOOKUP($A401-COUNT('Шаг2.Бланк заказа NEW'!$B$19:$B$201),'Бланк OLD 0.8 04'!$B$12:$K$200,7,0)&gt;0,VLOOKUP($A401-COUNT('Шаг2.Бланк заказа NEW'!$B$19:$B$201),'Бланк OLD 0.8 04'!$B$12:$K$200,8,0)&gt;0),0.4,"")))),
IF(VLOOKUP($A401-COUNT('Шаг2.Бланк заказа NEW'!$B$19:$B$201)-COUNT('Бланк OLD 0.8 04'!$B$18:$B$200),'Бланк OLD 2.0 04 '!$B$16:$K$200,7,0)&gt;1,2,
IF(VLOOKUP($A401-COUNT('Шаг2.Бланк заказа NEW'!$B$19:$B$201)-COUNT('Бланк OLD 0.8 04'!$B$18:$B$200),'Бланк OLD 2.0 04 '!$B$16:$K$200,8,0)&gt;1,0.4,
IF(AND(VLOOKUP($A401-COUNT('Шаг2.Бланк заказа NEW'!$B$19:$B$201)-COUNT('Бланк OLD 0.8 04'!$B$18:$B$200),'Бланк OLD 2.0 04 '!$B$16:$K$200,7,0)&gt;0,VLOOKUP($A401-COUNT('Шаг2.Бланк заказа NEW'!$B$19:$B$201)-COUNT('Бланк OLD 0.8 04'!$B$18:$B$200),'Бланк OLD 2.0 04 '!$B$16:$K$200,8,0)&gt;0),0.4,""))))</f>
        <v/>
      </c>
      <c r="V401" s="146" t="str">
        <f ca="1">IFERROR(VLOOKUP(C401,'Шаг1.Выбор плиты'!C:S,12,0),"")</f>
        <v/>
      </c>
      <c r="W401" s="146" t="str">
        <f ca="1">IFERROR(VLOOKUP(C401,'Шаг1.Выбор плиты'!C:S,8,0),"")</f>
        <v/>
      </c>
      <c r="X401" s="146" t="str">
        <f ca="1">IFERROR(VLOOKUP(C401,'Шаг1.Выбор плиты'!C:S,10,0),"")</f>
        <v/>
      </c>
      <c r="Y401" s="147" t="str">
        <f t="shared" ca="1" si="39"/>
        <v/>
      </c>
      <c r="AD401" s="147" t="str">
        <f t="shared" ca="1" si="37"/>
        <v/>
      </c>
      <c r="AE401" s="147" t="str">
        <f t="shared" ca="1" si="40"/>
        <v/>
      </c>
      <c r="AF401" s="25"/>
      <c r="AH401" s="147" t="str">
        <f ca="1">IF(C401="","",VLOOKUP(C401,'Шаг1.Выбор плиты'!C:Q,7,0))</f>
        <v/>
      </c>
      <c r="AI401" s="147" t="str">
        <f t="shared" ca="1" si="38"/>
        <v/>
      </c>
    </row>
    <row r="402" spans="1:35" x14ac:dyDescent="0.2">
      <c r="A402" s="151" t="str">
        <f ca="1">IF(C402="","",MAX($A$1:OFFSET(C402,-1,0))+1)</f>
        <v/>
      </c>
      <c r="B402" s="151" t="str">
        <f ca="1">IFERROR(IFERROR(IFERROR("Шаг2.Бланк заказа NEW №"&amp;VLOOKUP(A401+1,CHOOSE({1,2},'Шаг2.Бланк заказа NEW'!$B$19:$B$201,'Шаг2.Бланк заказа NEW'!$A$19:$A$201),1,0),
"Бланк OLD 0.8 04 №"&amp;VLOOKUP(A401+1-COUNT('Шаг2.Бланк заказа NEW'!$B$19:$B$201),CHOOSE({1,2},'Бланк OLD 0.8 04'!$B$18:$B$200,'Бланк OLD 0.8 04'!$A$18:$A$200),1,0)),
"Бланк OLD 2.0 04 №"&amp;VLOOKUP(A401+1-COUNT('Шаг2.Бланк заказа NEW'!$B$19:$B$201)-COUNT('Бланк OLD 0.8 04'!$B$18:$B$200),CHOOSE({1,2},'Бланк OLD 2.0 04 '!$B$18:$B$200,'Бланк OLD 2.0 04 '!$A$18:$A$200),1,0)),"")</f>
        <v/>
      </c>
      <c r="C402" s="152" t="str">
        <f ca="1">IFERROR(IFERROR(IFERROR(VLOOKUP(A401+1,CHOOSE({1,2},'Шаг2.Бланк заказа NEW'!$B$19:$B$201,'Шаг2.Бланк заказа NEW'!$A$19:$A$201),2,0),
VLOOKUP(A401+1-COUNT('Шаг2.Бланк заказа NEW'!$B$19:$B$201),CHOOSE({1,2},'Бланк OLD 0.8 04'!$B$18:$B$200,'Бланк OLD 0.8 04'!$A$18:$A$200),2,0)),
VLOOKUP(A401+1-COUNT('Шаг2.Бланк заказа NEW'!$B$19:$B$201)-COUNT('Бланк OLD 0.8 04'!$B$18:$B$200),CHOOSE({1,2},'Бланк OLD 2.0 04 '!$B$18:$B$200,'Бланк OLD 2.0 04 '!$A$18:$A$200),2,0)),"")</f>
        <v/>
      </c>
      <c r="D402" s="150" t="str">
        <f ca="1">IFERROR(VLOOKUP(C402,'Шаг1.Выбор плиты'!C:G,5,0),"")</f>
        <v/>
      </c>
      <c r="E402" s="147" t="str">
        <f ca="1">IFERROR(IFERROR(IF(VLOOKUP($A402,'Шаг2.Бланк заказа NEW'!$B$17:$N$201,2,0)="","",VLOOKUP($A402,'Шаг2.Бланк заказа NEW'!$B$17:$N$201,2,0)),
IF(VLOOKUP($A402-COUNT('Шаг2.Бланк заказа NEW'!$B$19:$B$201),'Бланк OLD 0.8 04'!$B$12:$K$200,2,0)="","",VLOOKUP($A402-COUNT('Шаг2.Бланк заказа NEW'!$B$19:$B$201),'Бланк OLD 0.8 04'!$B$12:$K$200,2,0))),
IF(VLOOKUP($A402-COUNT('Шаг2.Бланк заказа NEW'!$B$19:$B$201)-COUNT('Бланк OLD 0.8 04'!$B$18:$B$200),'Бланк OLD 2.0 04 '!$B$16:$K$200,2,0)="","",VLOOKUP($A402-COUNT('Шаг2.Бланк заказа NEW'!$B$19:$B$201)-COUNT('Бланк OLD 0.8 04'!$B$18:$B$200),'Бланк OLD 2.0 04 '!$B$16:$K$200,2,0)))</f>
        <v/>
      </c>
      <c r="F402" s="147" t="str">
        <f ca="1">IFERROR(IFERROR(IF(VLOOKUP($A402,'Шаг2.Бланк заказа NEW'!$B$17:$N$201,3,0)="","",VLOOKUP($A402,'Шаг2.Бланк заказа NEW'!$B$17:$N$201,3,0)),
IF(VLOOKUP($A402-COUNT('Шаг2.Бланк заказа NEW'!$B$19:$B$201),'Бланк OLD 0.8 04'!$B$12:$K$200,3,0)="","",VLOOKUP($A402-COUNT('Шаг2.Бланк заказа NEW'!$B$19:$B$201),'Бланк OLD 0.8 04'!$B$12:$K$200,3,0))),
IF(VLOOKUP($A402-COUNT('Шаг2.Бланк заказа NEW'!$B$19:$B$201)-COUNT('Бланк OLD 0.8 04'!$B$18:$B$200),'Бланк OLD 2.0 04 '!$B$16:$K$200,3,0)="","",VLOOKUP($A402-COUNT('Шаг2.Бланк заказа NEW'!$B$19:$B$201)-COUNT('Бланк OLD 0.8 04'!$B$18:$B$200),'Бланк OLD 2.0 04 '!$B$16:$K$200,3,0)))</f>
        <v/>
      </c>
      <c r="G402" s="176" t="str">
        <f ca="1">IF(IF(R402="","",IF(R402=1,SUMIFS('Шаг1.Выбор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плиты'!C:Q,12,0)),1))))))=0,
R402,
IF(R402="","",IF(R402=1,SUMIFS('Шаг1.Выбор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плиты'!N:N,R402,'Шаг1.Выбор плиты'!M:M,SMALL(INDIRECT("мм"&amp;VLOOKUP(C402,'Шаг1.Выбор плиты'!C:Q,12,0)),1)))))))</f>
        <v/>
      </c>
      <c r="H402" s="177" t="str">
        <f ca="1">IF(IF(S402="","",IF(S402=1,SUMIFS('Шаг1.Выбор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плиты'!C:Q,12,0)),1))))))=0,
S402,
IF(S402="","",IF(S402=1,SUMIFS('Шаг1.Выбор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плиты'!N:N,S402,'Шаг1.Выбор плиты'!M:M,SMALL(INDIRECT("мм"&amp;VLOOKUP(C402,'Шаг1.Выбор плиты'!C:Q,12,0)),1)))))))</f>
        <v/>
      </c>
      <c r="I402" s="147" t="str">
        <f ca="1">IFERROR(IFERROR(IF(VLOOKUP($A402,'Шаг2.Бланк заказа NEW'!$B$17:$N$201,6,0)="","",VLOOKUP($A402,'Шаг2.Бланк заказа NEW'!$B$17:$N$201,6,0)),
IF(VLOOKUP($A402-COUNT('Шаг2.Бланк заказа NEW'!$B$19:$B$201),'Бланк OLD 0.8 04'!$B$12:$K$200,6,0)="","",VLOOKUP($A402-COUNT('Шаг2.Бланк заказа NEW'!$B$19:$B$201),'Бланк OLD 0.8 04'!$B$12:$K$200,6,0))),
IF(VLOOKUP($A402-COUNT('Шаг2.Бланк заказа NEW'!$B$19:$B$201)-COUNT('Бланк OLD 0.8 04'!$B$18:$B$200),'Бланк OLD 2.0 04 '!$B$16:$K$200,6,0)="","",VLOOKUP($A402-COUNT('Шаг2.Бланк заказа NEW'!$B$19:$B$201)-COUNT('Бланк OLD 0.8 04'!$B$18:$B$200),'Бланк OLD 2.0 04 '!$B$16:$K$200,6,0)))</f>
        <v/>
      </c>
      <c r="J402" s="177" t="str">
        <f ca="1">IF(IF(T402="","",IF(T402=1,SUMIFS('Шаг1.Выбор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плиты'!C:Q,12,0)),1))))))=0,
T402,
IF(T402="","",IF(T402=1,SUMIFS('Шаг1.Выбор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плиты'!N:N,T402,'Шаг1.Выбор плиты'!M:M,SMALL(INDIRECT("мм"&amp;VLOOKUP(C402,'Шаг1.Выбор плиты'!C:Q,12,0)),1)))))))</f>
        <v/>
      </c>
      <c r="K402" s="177" t="str">
        <f ca="1">IF(IF(U402="","",IF(U402=1,SUMIFS('Шаг1.Выбор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плиты'!C:Q,12,0)),1))))))=0,
U402,
IF(U402="","",IF(U402=1,SUMIFS('Шаг1.Выбор плиты'!$G:$G,'Шаг1.Выбор плиты'!J:J,"*"&amp;RIGHT(VLOOKUP(C402,'Шаг1.Выбор плиты'!C:Q,8,0),4),'Шаг1.Выбор плиты'!L:L,IF(MID(C402,1,6)="ЛДСП P","TM"&amp;MID(VLOOKUP(C402,'Шаг1.Выбор плиты'!C:Q,10,0),3,2),MID(VLOOKUP(C402,'Шаг1.Выбор плиты'!C:Q,10,0),1,2)),
'Шаг1.Выбор плиты'!N:N,1),IF(SUMIFS('Шаг1.Выбор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плиты'!C:Q,12,0)),1))=0,
IF(SUMIFS('Шаг1.Выбор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плиты'!C:Q,12,0)),2))=0,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плиты'!C:Q,12,0)),3)),
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плиты'!C:Q,12,0)),2))),
(SUMIFS('Шаг1.Выбор плиты'!$G:$G,'Шаг1.Выбор плиты'!J:J,"*"&amp;RIGHT(VLOOKUP(C402,'Шаг1.Выбор плиты'!C:Q,8,0),4),'Шаг1.Выбор плиты'!L:L,VLOOKUP(C402,'Шаг1.Выбор плиты'!C:Q,10,0),'Шаг1.Выбор плиты'!N:N,U402,'Шаг1.Выбор плиты'!M:M,SMALL(INDIRECT("мм"&amp;VLOOKUP(C402,'Шаг1.Выбор плиты'!C:Q,12,0)),1)))))))</f>
        <v/>
      </c>
      <c r="L402" s="147" t="str">
        <f ca="1">IFERROR(IFERROR(IF(VLOOKUP($A402,'Шаг2.Бланк заказа NEW'!$B$17:$N$201,9,0)="","",VLOOKUP($A402,'Шаг2.Бланк заказа NEW'!$B$17:$N$201,9,0)),
IF(VLOOKUP($A402-COUNT('Шаг2.Бланк заказа NEW'!$B$19:$B$201),'Бланк OLD 0.8 04'!$B$12:$K$200,9,0)="","",VLOOKUP($A402-COUNT('Шаг2.Бланк заказа NEW'!$B$19:$B$201),'Бланк OLD 0.8 04'!$B$12:$K$200,9,0))),
IF(VLOOKUP($A402-COUNT('Шаг2.Бланк заказа NEW'!$B$19:$B$201)-COUNT('Бланк OLD 0.8 04'!$B$18:$B$200),'Бланк OLD 2.0 04 '!$B$16:$K$200,9,0)="","",VLOOKUP($A402-COUNT('Шаг2.Бланк заказа NEW'!$B$19:$B$201)-COUNT('Бланк OLD 0.8 04'!$B$18:$B$200),'Бланк OLD 2.0 04 '!$B$16:$K$200,9,0)))</f>
        <v/>
      </c>
      <c r="M402" s="154" t="str">
        <f t="shared" ca="1" si="36"/>
        <v/>
      </c>
      <c r="N402" s="153" t="str">
        <f ca="1">IFERROR(IF(VLOOKUP($A402,'Шаг2.Бланк заказа NEW'!$B$17:$N$201,11,0)="","",VLOOKUP($A402,'Шаг2.Бланк заказа NEW'!$B$17:$N$201,11,0)),
"Нет")</f>
        <v/>
      </c>
      <c r="O402" s="147" t="str">
        <f ca="1">IFERROR(IF(VLOOKUP($A402,'Шаг2.Бланк заказа NEW'!$B$17:$N$201,11,0)="","",VLOOKUP($A402,'Шаг2.Бланк заказа NEW'!$B$17:$N$201,12,0)),
"Нет")</f>
        <v/>
      </c>
      <c r="P402" s="153" t="str">
        <f ca="1">IFERROR(IF(VLOOKUP($A402,'Шаг2.Бланк заказа NEW'!$B$17:$N$201,13,0)="","",VLOOKUP($A402,'Шаг2.Бланк заказа NEW'!$B$17:$N$201,13,0)),
"Нет")</f>
        <v/>
      </c>
      <c r="Q402" s="147" t="str">
        <f ca="1">IFERROR(IF(VLOOKUP($A402,'Шаг2.Бланк заказа NEW'!$B$17:$O$201,14,0)="","",VLOOKUP($A402,'Шаг2.Бланк заказа NEW'!$B$17:$O$201,14,0)),"")</f>
        <v/>
      </c>
      <c r="R402" s="147" t="str">
        <f ca="1">IFERROR(IFERROR(IF(VLOOKUP($A402,'Шаг2.Бланк заказа NEW'!$B$17:$N$201,4,0)="","",VLOOKUP($A402,'Шаг2.Бланк заказа NEW'!$B$17:$N$201,4,0)),
IF(VLOOKUP($A402-COUNT('Шаг2.Бланк заказа NEW'!$B$19:$B$201),'Бланк OLD 0.8 04'!$B$12:$K$200,4,0)&gt;0,0.8,
IF(VLOOKUP($A402-COUNT('Шаг2.Бланк заказа NEW'!$B$19:$B$201),'Бланк OLD 0.8 04'!$B$12:$K$200,5,0)&gt;0,0.4,""))),
IF(VLOOKUP($A402-COUNT('Шаг2.Бланк заказа NEW'!$B$19:$B$201)-COUNT('Бланк OLD 0.8 04'!$B$18:$B$200),'Бланк OLD 2.0 04 '!$B$16:$K$200,4,0)&gt;0,2,IF(VLOOKUP($A402-COUNT('Шаг2.Бланк заказа NEW'!$B$19:$B$201)-COUNT('Бланк OLD 0.8 04'!$B$18:$B$200),'Бланк OLD 2.0 04 '!$B$16:$K$200,5,0)&gt;0,0.4,"")))</f>
        <v/>
      </c>
      <c r="S402" s="147" t="str">
        <f ca="1">IFERROR(IFERROR(IF(VLOOKUP($A402,'Шаг2.Бланк заказа NEW'!$B$17:$N$201,5,0)="","",VLOOKUP($A402,'Шаг2.Бланк заказа NEW'!$B$17:$N$201,5,0)),
IF(VLOOKUP($A402-COUNT('Шаг2.Бланк заказа NEW'!$B$19:$B$201),'Бланк OLD 0.8 04'!$B$12:$K$200,4,0)&gt;1,0.8,
IF(VLOOKUP($A402-COUNT('Шаг2.Бланк заказа NEW'!$B$19:$B$201),'Бланк OLD 0.8 04'!$B$12:$K$200,5,0)&gt;1,0.4,
IF(AND(VLOOKUP($A402-COUNT('Шаг2.Бланк заказа NEW'!$B$19:$B$201),'Бланк OLD 0.8 04'!$B$12:$K$200,4,0)&gt;0,VLOOKUP($A402-COUNT('Шаг2.Бланк заказа NEW'!$B$19:$B$201),'Бланк OLD 0.8 04'!$B$12:$K$200,5,0)&gt;0),0.4,"")))),
IF(VLOOKUP($A402-COUNT('Шаг2.Бланк заказа NEW'!$B$19:$B$201)-COUNT('Бланк OLD 0.8 04'!$B$18:$B$200),'Бланк OLD 2.0 04 '!$B$16:$K$200,4,0)&gt;1,2,
IF(VLOOKUP($A402-COUNT('Шаг2.Бланк заказа NEW'!$B$19:$B$201)-COUNT('Бланк OLD 0.8 04'!$B$18:$B$200),'Бланк OLD 2.0 04 '!$B$16:$K$200,5,0)&gt;1,0.4,IF(AND(VLOOKUP($A402-COUNT('Шаг2.Бланк заказа NEW'!$B$19:$B$201)-COUNT('Бланк OLD 0.8 04'!$B$18:$B$200),'Бланк OLD 2.0 04 '!$B$16:$K$200,4,0)&gt;0,VLOOKUP($A402-COUNT('Шаг2.Бланк заказа NEW'!$B$19:$B$201)-COUNT('Бланк OLD 0.8 04'!$B$18:$B$200),'Бланк OLD 2.0 04 '!$B$16:$K$200,5,0)&gt;0),0.4,""))))</f>
        <v/>
      </c>
      <c r="T402" s="147" t="str">
        <f ca="1">IFERROR(IFERROR(IF(VLOOKUP($A402,'Шаг2.Бланк заказа NEW'!$B$17:$N$201,7,0)="","",VLOOKUP($A402,'Шаг2.Бланк заказа NEW'!$B$17:$N$201,7,0)),
IF(VLOOKUP($A402-COUNT('Шаг2.Бланк заказа NEW'!$B$19:$B$201),'Бланк OLD 0.8 04'!$B$12:$K$200,7,0)&gt;0,0.8,
IF(VLOOKUP($A402-COUNT('Шаг2.Бланк заказа NEW'!$B$19:$B$201),'Бланк OLD 0.8 04'!$B$12:$K$200,8,0)&gt;0,0.4,""))),
IF(VLOOKUP($A402-COUNT('Шаг2.Бланк заказа NEW'!$B$19:$B$201)-COUNT('Бланк OLD 0.8 04'!$B$18:$B$200),'Бланк OLD 2.0 04 '!$B$16:$K$200,7,0)&gt;0,2,IF(VLOOKUP($A402-COUNT('Шаг2.Бланк заказа NEW'!$B$19:$B$201)-COUNT('Бланк OLD 0.8 04'!$B$18:$B$200),'Бланк OLD 2.0 04 '!$B$16:$K$200,8,0)&gt;0,0.4,"")))</f>
        <v/>
      </c>
      <c r="U402" s="147" t="str">
        <f ca="1">IFERROR(IFERROR(IF(VLOOKUP($A402,'Шаг2.Бланк заказа NEW'!$B$17:$N$201,8,0)="","",VLOOKUP($A402,'Шаг2.Бланк заказа NEW'!$B$17:$N$201,8,0)),
IF(VLOOKUP($A402-COUNT('Шаг2.Бланк заказа NEW'!$B$19:$B$201),'Бланк OLD 0.8 04'!$B$12:$K$200,7,0)&gt;1,0.8,
IF(VLOOKUP($A402-COUNT('Шаг2.Бланк заказа NEW'!$B$19:$B$201),'Бланк OLD 0.8 04'!$B$12:$K$200,8,0)&gt;1,0.4,
IF(AND(VLOOKUP($A402-COUNT('Шаг2.Бланк заказа NEW'!$B$19:$B$201),'Бланк OLD 0.8 04'!$B$12:$K$200,7,0)&gt;0,VLOOKUP($A402-COUNT('Шаг2.Бланк заказа NEW'!$B$19:$B$201),'Бланк OLD 0.8 04'!$B$12:$K$200,8,0)&gt;0),0.4,"")))),
IF(VLOOKUP($A402-COUNT('Шаг2.Бланк заказа NEW'!$B$19:$B$201)-COUNT('Бланк OLD 0.8 04'!$B$18:$B$200),'Бланк OLD 2.0 04 '!$B$16:$K$200,7,0)&gt;1,2,
IF(VLOOKUP($A402-COUNT('Шаг2.Бланк заказа NEW'!$B$19:$B$201)-COUNT('Бланк OLD 0.8 04'!$B$18:$B$200),'Бланк OLD 2.0 04 '!$B$16:$K$200,8,0)&gt;1,0.4,
IF(AND(VLOOKUP($A402-COUNT('Шаг2.Бланк заказа NEW'!$B$19:$B$201)-COUNT('Бланк OLD 0.8 04'!$B$18:$B$200),'Бланк OLD 2.0 04 '!$B$16:$K$200,7,0)&gt;0,VLOOKUP($A402-COUNT('Шаг2.Бланк заказа NEW'!$B$19:$B$201)-COUNT('Бланк OLD 0.8 04'!$B$18:$B$200),'Бланк OLD 2.0 04 '!$B$16:$K$200,8,0)&gt;0),0.4,""))))</f>
        <v/>
      </c>
      <c r="V402" s="146" t="str">
        <f ca="1">IFERROR(VLOOKUP(C402,'Шаг1.Выбор плиты'!C:S,12,0),"")</f>
        <v/>
      </c>
      <c r="W402" s="146" t="str">
        <f ca="1">IFERROR(VLOOKUP(C402,'Шаг1.Выбор плиты'!C:S,8,0),"")</f>
        <v/>
      </c>
      <c r="X402" s="146" t="str">
        <f ca="1">IFERROR(VLOOKUP(C402,'Шаг1.Выбор плиты'!C:S,10,0),"")</f>
        <v/>
      </c>
      <c r="Y402" s="147" t="str">
        <f t="shared" ca="1" si="39"/>
        <v/>
      </c>
      <c r="AD402" s="147" t="str">
        <f t="shared" ca="1" si="37"/>
        <v/>
      </c>
      <c r="AE402" s="147" t="str">
        <f t="shared" ca="1" si="40"/>
        <v/>
      </c>
      <c r="AF402" s="25"/>
      <c r="AH402" s="147" t="str">
        <f ca="1">IF(C402="","",VLOOKUP(C402,'Шаг1.Выбор плиты'!C:Q,7,0))</f>
        <v/>
      </c>
      <c r="AI402" s="147" t="str">
        <f t="shared" ca="1" si="38"/>
        <v/>
      </c>
    </row>
    <row r="403" spans="1:35" x14ac:dyDescent="0.2">
      <c r="A403" s="151" t="str">
        <f ca="1">IF(C403="","",MAX($A$1:OFFSET(C403,-1,0))+1)</f>
        <v/>
      </c>
      <c r="B403" s="151" t="str">
        <f ca="1">IFERROR(IFERROR(IFERROR("Шаг2.Бланк заказа NEW №"&amp;VLOOKUP(A402+1,CHOOSE({1,2},'Шаг2.Бланк заказа NEW'!$B$19:$B$201,'Шаг2.Бланк заказа NEW'!$A$19:$A$201),1,0),
"Бланк OLD 0.8 04 №"&amp;VLOOKUP(A402+1-COUNT('Шаг2.Бланк заказа NEW'!$B$19:$B$201),CHOOSE({1,2},'Бланк OLD 0.8 04'!$B$18:$B$200,'Бланк OLD 0.8 04'!$A$18:$A$200),1,0)),
"Бланк OLD 2.0 04 №"&amp;VLOOKUP(A402+1-COUNT('Шаг2.Бланк заказа NEW'!$B$19:$B$201)-COUNT('Бланк OLD 0.8 04'!$B$18:$B$200),CHOOSE({1,2},'Бланк OLD 2.0 04 '!$B$18:$B$200,'Бланк OLD 2.0 04 '!$A$18:$A$200),1,0)),"")</f>
        <v/>
      </c>
      <c r="C403" s="152" t="str">
        <f ca="1">IFERROR(IFERROR(IFERROR(VLOOKUP(A402+1,CHOOSE({1,2},'Шаг2.Бланк заказа NEW'!$B$19:$B$201,'Шаг2.Бланк заказа NEW'!$A$19:$A$201),2,0),
VLOOKUP(A402+1-COUNT('Шаг2.Бланк заказа NEW'!$B$19:$B$201),CHOOSE({1,2},'Бланк OLD 0.8 04'!$B$18:$B$200,'Бланк OLD 0.8 04'!$A$18:$A$200),2,0)),
VLOOKUP(A402+1-COUNT('Шаг2.Бланк заказа NEW'!$B$19:$B$201)-COUNT('Бланк OLD 0.8 04'!$B$18:$B$200),CHOOSE({1,2},'Бланк OLD 2.0 04 '!$B$18:$B$200,'Бланк OLD 2.0 04 '!$A$18:$A$200),2,0)),"")</f>
        <v/>
      </c>
      <c r="D403" s="150" t="str">
        <f ca="1">IFERROR(VLOOKUP(C403,'Шаг1.Выбор плиты'!C:G,5,0),"")</f>
        <v/>
      </c>
      <c r="E403" s="147" t="str">
        <f ca="1">IFERROR(IFERROR(IF(VLOOKUP($A403,'Шаг2.Бланк заказа NEW'!$B$17:$N$201,2,0)="","",VLOOKUP($A403,'Шаг2.Бланк заказа NEW'!$B$17:$N$201,2,0)),
IF(VLOOKUP($A403-COUNT('Шаг2.Бланк заказа NEW'!$B$19:$B$201),'Бланк OLD 0.8 04'!$B$12:$K$200,2,0)="","",VLOOKUP($A403-COUNT('Шаг2.Бланк заказа NEW'!$B$19:$B$201),'Бланк OLD 0.8 04'!$B$12:$K$200,2,0))),
IF(VLOOKUP($A403-COUNT('Шаг2.Бланк заказа NEW'!$B$19:$B$201)-COUNT('Бланк OLD 0.8 04'!$B$18:$B$200),'Бланк OLD 2.0 04 '!$B$16:$K$200,2,0)="","",VLOOKUP($A403-COUNT('Шаг2.Бланк заказа NEW'!$B$19:$B$201)-COUNT('Бланк OLD 0.8 04'!$B$18:$B$200),'Бланк OLD 2.0 04 '!$B$16:$K$200,2,0)))</f>
        <v/>
      </c>
      <c r="F403" s="147" t="str">
        <f ca="1">IFERROR(IFERROR(IF(VLOOKUP($A403,'Шаг2.Бланк заказа NEW'!$B$17:$N$201,3,0)="","",VLOOKUP($A403,'Шаг2.Бланк заказа NEW'!$B$17:$N$201,3,0)),
IF(VLOOKUP($A403-COUNT('Шаг2.Бланк заказа NEW'!$B$19:$B$201),'Бланк OLD 0.8 04'!$B$12:$K$200,3,0)="","",VLOOKUP($A403-COUNT('Шаг2.Бланк заказа NEW'!$B$19:$B$201),'Бланк OLD 0.8 04'!$B$12:$K$200,3,0))),
IF(VLOOKUP($A403-COUNT('Шаг2.Бланк заказа NEW'!$B$19:$B$201)-COUNT('Бланк OLD 0.8 04'!$B$18:$B$200),'Бланк OLD 2.0 04 '!$B$16:$K$200,3,0)="","",VLOOKUP($A403-COUNT('Шаг2.Бланк заказа NEW'!$B$19:$B$201)-COUNT('Бланк OLD 0.8 04'!$B$18:$B$200),'Бланк OLD 2.0 04 '!$B$16:$K$200,3,0)))</f>
        <v/>
      </c>
      <c r="G403" s="176" t="str">
        <f ca="1">IF(IF(R403="","",IF(R403=1,SUMIFS('Шаг1.Выбор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плиты'!C:Q,12,0)),1))))))=0,
R403,
IF(R403="","",IF(R403=1,SUMIFS('Шаг1.Выбор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плиты'!N:N,R403,'Шаг1.Выбор плиты'!M:M,SMALL(INDIRECT("мм"&amp;VLOOKUP(C403,'Шаг1.Выбор плиты'!C:Q,12,0)),1)))))))</f>
        <v/>
      </c>
      <c r="H403" s="177" t="str">
        <f ca="1">IF(IF(S403="","",IF(S403=1,SUMIFS('Шаг1.Выбор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плиты'!C:Q,12,0)),1))))))=0,
S403,
IF(S403="","",IF(S403=1,SUMIFS('Шаг1.Выбор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плиты'!N:N,S403,'Шаг1.Выбор плиты'!M:M,SMALL(INDIRECT("мм"&amp;VLOOKUP(C403,'Шаг1.Выбор плиты'!C:Q,12,0)),1)))))))</f>
        <v/>
      </c>
      <c r="I403" s="147" t="str">
        <f ca="1">IFERROR(IFERROR(IF(VLOOKUP($A403,'Шаг2.Бланк заказа NEW'!$B$17:$N$201,6,0)="","",VLOOKUP($A403,'Шаг2.Бланк заказа NEW'!$B$17:$N$201,6,0)),
IF(VLOOKUP($A403-COUNT('Шаг2.Бланк заказа NEW'!$B$19:$B$201),'Бланк OLD 0.8 04'!$B$12:$K$200,6,0)="","",VLOOKUP($A403-COUNT('Шаг2.Бланк заказа NEW'!$B$19:$B$201),'Бланк OLD 0.8 04'!$B$12:$K$200,6,0))),
IF(VLOOKUP($A403-COUNT('Шаг2.Бланк заказа NEW'!$B$19:$B$201)-COUNT('Бланк OLD 0.8 04'!$B$18:$B$200),'Бланк OLD 2.0 04 '!$B$16:$K$200,6,0)="","",VLOOKUP($A403-COUNT('Шаг2.Бланк заказа NEW'!$B$19:$B$201)-COUNT('Бланк OLD 0.8 04'!$B$18:$B$200),'Бланк OLD 2.0 04 '!$B$16:$K$200,6,0)))</f>
        <v/>
      </c>
      <c r="J403" s="177" t="str">
        <f ca="1">IF(IF(T403="","",IF(T403=1,SUMIFS('Шаг1.Выбор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плиты'!C:Q,12,0)),1))))))=0,
T403,
IF(T403="","",IF(T403=1,SUMIFS('Шаг1.Выбор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плиты'!N:N,T403,'Шаг1.Выбор плиты'!M:M,SMALL(INDIRECT("мм"&amp;VLOOKUP(C403,'Шаг1.Выбор плиты'!C:Q,12,0)),1)))))))</f>
        <v/>
      </c>
      <c r="K403" s="177" t="str">
        <f ca="1">IF(IF(U403="","",IF(U403=1,SUMIFS('Шаг1.Выбор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плиты'!C:Q,12,0)),1))))))=0,
U403,
IF(U403="","",IF(U403=1,SUMIFS('Шаг1.Выбор плиты'!$G:$G,'Шаг1.Выбор плиты'!J:J,"*"&amp;RIGHT(VLOOKUP(C403,'Шаг1.Выбор плиты'!C:Q,8,0),4),'Шаг1.Выбор плиты'!L:L,IF(MID(C403,1,6)="ЛДСП P","TM"&amp;MID(VLOOKUP(C403,'Шаг1.Выбор плиты'!C:Q,10,0),3,2),MID(VLOOKUP(C403,'Шаг1.Выбор плиты'!C:Q,10,0),1,2)),
'Шаг1.Выбор плиты'!N:N,1),IF(SUMIFS('Шаг1.Выбор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плиты'!C:Q,12,0)),1))=0,
IF(SUMIFS('Шаг1.Выбор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плиты'!C:Q,12,0)),2))=0,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плиты'!C:Q,12,0)),3)),
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плиты'!C:Q,12,0)),2))),
(SUMIFS('Шаг1.Выбор плиты'!$G:$G,'Шаг1.Выбор плиты'!J:J,"*"&amp;RIGHT(VLOOKUP(C403,'Шаг1.Выбор плиты'!C:Q,8,0),4),'Шаг1.Выбор плиты'!L:L,VLOOKUP(C403,'Шаг1.Выбор плиты'!C:Q,10,0),'Шаг1.Выбор плиты'!N:N,U403,'Шаг1.Выбор плиты'!M:M,SMALL(INDIRECT("мм"&amp;VLOOKUP(C403,'Шаг1.Выбор плиты'!C:Q,12,0)),1)))))))</f>
        <v/>
      </c>
      <c r="L403" s="147" t="str">
        <f ca="1">IFERROR(IFERROR(IF(VLOOKUP($A403,'Шаг2.Бланк заказа NEW'!$B$17:$N$201,9,0)="","",VLOOKUP($A403,'Шаг2.Бланк заказа NEW'!$B$17:$N$201,9,0)),
IF(VLOOKUP($A403-COUNT('Шаг2.Бланк заказа NEW'!$B$19:$B$201),'Бланк OLD 0.8 04'!$B$12:$K$200,9,0)="","",VLOOKUP($A403-COUNT('Шаг2.Бланк заказа NEW'!$B$19:$B$201),'Бланк OLD 0.8 04'!$B$12:$K$200,9,0))),
IF(VLOOKUP($A403-COUNT('Шаг2.Бланк заказа NEW'!$B$19:$B$201)-COUNT('Бланк OLD 0.8 04'!$B$18:$B$200),'Бланк OLD 2.0 04 '!$B$16:$K$200,9,0)="","",VLOOKUP($A403-COUNT('Шаг2.Бланк заказа NEW'!$B$19:$B$201)-COUNT('Бланк OLD 0.8 04'!$B$18:$B$200),'Бланк OLD 2.0 04 '!$B$16:$K$200,9,0)))</f>
        <v/>
      </c>
      <c r="M403" s="154" t="str">
        <f t="shared" ca="1" si="36"/>
        <v/>
      </c>
      <c r="N403" s="153" t="str">
        <f ca="1">IFERROR(IF(VLOOKUP($A403,'Шаг2.Бланк заказа NEW'!$B$17:$N$201,11,0)="","",VLOOKUP($A403,'Шаг2.Бланк заказа NEW'!$B$17:$N$201,11,0)),
"Нет")</f>
        <v/>
      </c>
      <c r="O403" s="147" t="str">
        <f ca="1">IFERROR(IF(VLOOKUP($A403,'Шаг2.Бланк заказа NEW'!$B$17:$N$201,11,0)="","",VLOOKUP($A403,'Шаг2.Бланк заказа NEW'!$B$17:$N$201,12,0)),
"Нет")</f>
        <v/>
      </c>
      <c r="P403" s="153" t="str">
        <f ca="1">IFERROR(IF(VLOOKUP($A403,'Шаг2.Бланк заказа NEW'!$B$17:$N$201,13,0)="","",VLOOKUP($A403,'Шаг2.Бланк заказа NEW'!$B$17:$N$201,13,0)),
"Нет")</f>
        <v/>
      </c>
      <c r="Q403" s="147" t="str">
        <f ca="1">IFERROR(IF(VLOOKUP($A403,'Шаг2.Бланк заказа NEW'!$B$17:$O$201,14,0)="","",VLOOKUP($A403,'Шаг2.Бланк заказа NEW'!$B$17:$O$201,14,0)),"")</f>
        <v/>
      </c>
      <c r="R403" s="147" t="str">
        <f ca="1">IFERROR(IFERROR(IF(VLOOKUP($A403,'Шаг2.Бланк заказа NEW'!$B$17:$N$201,4,0)="","",VLOOKUP($A403,'Шаг2.Бланк заказа NEW'!$B$17:$N$201,4,0)),
IF(VLOOKUP($A403-COUNT('Шаг2.Бланк заказа NEW'!$B$19:$B$201),'Бланк OLD 0.8 04'!$B$12:$K$200,4,0)&gt;0,0.8,
IF(VLOOKUP($A403-COUNT('Шаг2.Бланк заказа NEW'!$B$19:$B$201),'Бланк OLD 0.8 04'!$B$12:$K$200,5,0)&gt;0,0.4,""))),
IF(VLOOKUP($A403-COUNT('Шаг2.Бланк заказа NEW'!$B$19:$B$201)-COUNT('Бланк OLD 0.8 04'!$B$18:$B$200),'Бланк OLD 2.0 04 '!$B$16:$K$200,4,0)&gt;0,2,IF(VLOOKUP($A403-COUNT('Шаг2.Бланк заказа NEW'!$B$19:$B$201)-COUNT('Бланк OLD 0.8 04'!$B$18:$B$200),'Бланк OLD 2.0 04 '!$B$16:$K$200,5,0)&gt;0,0.4,"")))</f>
        <v/>
      </c>
      <c r="S403" s="147" t="str">
        <f ca="1">IFERROR(IFERROR(IF(VLOOKUP($A403,'Шаг2.Бланк заказа NEW'!$B$17:$N$201,5,0)="","",VLOOKUP($A403,'Шаг2.Бланк заказа NEW'!$B$17:$N$201,5,0)),
IF(VLOOKUP($A403-COUNT('Шаг2.Бланк заказа NEW'!$B$19:$B$201),'Бланк OLD 0.8 04'!$B$12:$K$200,4,0)&gt;1,0.8,
IF(VLOOKUP($A403-COUNT('Шаг2.Бланк заказа NEW'!$B$19:$B$201),'Бланк OLD 0.8 04'!$B$12:$K$200,5,0)&gt;1,0.4,
IF(AND(VLOOKUP($A403-COUNT('Шаг2.Бланк заказа NEW'!$B$19:$B$201),'Бланк OLD 0.8 04'!$B$12:$K$200,4,0)&gt;0,VLOOKUP($A403-COUNT('Шаг2.Бланк заказа NEW'!$B$19:$B$201),'Бланк OLD 0.8 04'!$B$12:$K$200,5,0)&gt;0),0.4,"")))),
IF(VLOOKUP($A403-COUNT('Шаг2.Бланк заказа NEW'!$B$19:$B$201)-COUNT('Бланк OLD 0.8 04'!$B$18:$B$200),'Бланк OLD 2.0 04 '!$B$16:$K$200,4,0)&gt;1,2,
IF(VLOOKUP($A403-COUNT('Шаг2.Бланк заказа NEW'!$B$19:$B$201)-COUNT('Бланк OLD 0.8 04'!$B$18:$B$200),'Бланк OLD 2.0 04 '!$B$16:$K$200,5,0)&gt;1,0.4,IF(AND(VLOOKUP($A403-COUNT('Шаг2.Бланк заказа NEW'!$B$19:$B$201)-COUNT('Бланк OLD 0.8 04'!$B$18:$B$200),'Бланк OLD 2.0 04 '!$B$16:$K$200,4,0)&gt;0,VLOOKUP($A403-COUNT('Шаг2.Бланк заказа NEW'!$B$19:$B$201)-COUNT('Бланк OLD 0.8 04'!$B$18:$B$200),'Бланк OLD 2.0 04 '!$B$16:$K$200,5,0)&gt;0),0.4,""))))</f>
        <v/>
      </c>
      <c r="T403" s="147" t="str">
        <f ca="1">IFERROR(IFERROR(IF(VLOOKUP($A403,'Шаг2.Бланк заказа NEW'!$B$17:$N$201,7,0)="","",VLOOKUP($A403,'Шаг2.Бланк заказа NEW'!$B$17:$N$201,7,0)),
IF(VLOOKUP($A403-COUNT('Шаг2.Бланк заказа NEW'!$B$19:$B$201),'Бланк OLD 0.8 04'!$B$12:$K$200,7,0)&gt;0,0.8,
IF(VLOOKUP($A403-COUNT('Шаг2.Бланк заказа NEW'!$B$19:$B$201),'Бланк OLD 0.8 04'!$B$12:$K$200,8,0)&gt;0,0.4,""))),
IF(VLOOKUP($A403-COUNT('Шаг2.Бланк заказа NEW'!$B$19:$B$201)-COUNT('Бланк OLD 0.8 04'!$B$18:$B$200),'Бланк OLD 2.0 04 '!$B$16:$K$200,7,0)&gt;0,2,IF(VLOOKUP($A403-COUNT('Шаг2.Бланк заказа NEW'!$B$19:$B$201)-COUNT('Бланк OLD 0.8 04'!$B$18:$B$200),'Бланк OLD 2.0 04 '!$B$16:$K$200,8,0)&gt;0,0.4,"")))</f>
        <v/>
      </c>
      <c r="U403" s="147" t="str">
        <f ca="1">IFERROR(IFERROR(IF(VLOOKUP($A403,'Шаг2.Бланк заказа NEW'!$B$17:$N$201,8,0)="","",VLOOKUP($A403,'Шаг2.Бланк заказа NEW'!$B$17:$N$201,8,0)),
IF(VLOOKUP($A403-COUNT('Шаг2.Бланк заказа NEW'!$B$19:$B$201),'Бланк OLD 0.8 04'!$B$12:$K$200,7,0)&gt;1,0.8,
IF(VLOOKUP($A403-COUNT('Шаг2.Бланк заказа NEW'!$B$19:$B$201),'Бланк OLD 0.8 04'!$B$12:$K$200,8,0)&gt;1,0.4,
IF(AND(VLOOKUP($A403-COUNT('Шаг2.Бланк заказа NEW'!$B$19:$B$201),'Бланк OLD 0.8 04'!$B$12:$K$200,7,0)&gt;0,VLOOKUP($A403-COUNT('Шаг2.Бланк заказа NEW'!$B$19:$B$201),'Бланк OLD 0.8 04'!$B$12:$K$200,8,0)&gt;0),0.4,"")))),
IF(VLOOKUP($A403-COUNT('Шаг2.Бланк заказа NEW'!$B$19:$B$201)-COUNT('Бланк OLD 0.8 04'!$B$18:$B$200),'Бланк OLD 2.0 04 '!$B$16:$K$200,7,0)&gt;1,2,
IF(VLOOKUP($A403-COUNT('Шаг2.Бланк заказа NEW'!$B$19:$B$201)-COUNT('Бланк OLD 0.8 04'!$B$18:$B$200),'Бланк OLD 2.0 04 '!$B$16:$K$200,8,0)&gt;1,0.4,
IF(AND(VLOOKUP($A403-COUNT('Шаг2.Бланк заказа NEW'!$B$19:$B$201)-COUNT('Бланк OLD 0.8 04'!$B$18:$B$200),'Бланк OLD 2.0 04 '!$B$16:$K$200,7,0)&gt;0,VLOOKUP($A403-COUNT('Шаг2.Бланк заказа NEW'!$B$19:$B$201)-COUNT('Бланк OLD 0.8 04'!$B$18:$B$200),'Бланк OLD 2.0 04 '!$B$16:$K$200,8,0)&gt;0),0.4,""))))</f>
        <v/>
      </c>
      <c r="V403" s="146" t="str">
        <f ca="1">IFERROR(VLOOKUP(C403,'Шаг1.Выбор плиты'!C:S,12,0),"")</f>
        <v/>
      </c>
      <c r="W403" s="146" t="str">
        <f ca="1">IFERROR(VLOOKUP(C403,'Шаг1.Выбор плиты'!C:S,8,0),"")</f>
        <v/>
      </c>
      <c r="X403" s="146" t="str">
        <f ca="1">IFERROR(VLOOKUP(C403,'Шаг1.Выбор плиты'!C:S,10,0),"")</f>
        <v/>
      </c>
      <c r="Y403" s="147" t="str">
        <f t="shared" ca="1" si="39"/>
        <v/>
      </c>
      <c r="AD403" s="147" t="str">
        <f t="shared" ca="1" si="37"/>
        <v/>
      </c>
      <c r="AE403" s="147" t="str">
        <f t="shared" ca="1" si="40"/>
        <v/>
      </c>
      <c r="AF403" s="25"/>
      <c r="AH403" s="147" t="str">
        <f ca="1">IF(C403="","",VLOOKUP(C403,'Шаг1.Выбор плиты'!C:Q,7,0))</f>
        <v/>
      </c>
      <c r="AI403" s="147" t="str">
        <f t="shared" ca="1" si="38"/>
        <v/>
      </c>
    </row>
    <row r="404" spans="1:35" x14ac:dyDescent="0.2">
      <c r="A404" s="151" t="str">
        <f ca="1">IF(C404="","",MAX($A$1:OFFSET(C404,-1,0))+1)</f>
        <v/>
      </c>
      <c r="B404" s="151" t="str">
        <f ca="1">IFERROR(IFERROR(IFERROR("Шаг2.Бланк заказа NEW №"&amp;VLOOKUP(A403+1,CHOOSE({1,2},'Шаг2.Бланк заказа NEW'!$B$19:$B$201,'Шаг2.Бланк заказа NEW'!$A$19:$A$201),1,0),
"Бланк OLD 0.8 04 №"&amp;VLOOKUP(A403+1-COUNT('Шаг2.Бланк заказа NEW'!$B$19:$B$201),CHOOSE({1,2},'Бланк OLD 0.8 04'!$B$18:$B$200,'Бланк OLD 0.8 04'!$A$18:$A$200),1,0)),
"Бланк OLD 2.0 04 №"&amp;VLOOKUP(A403+1-COUNT('Шаг2.Бланк заказа NEW'!$B$19:$B$201)-COUNT('Бланк OLD 0.8 04'!$B$18:$B$200),CHOOSE({1,2},'Бланк OLD 2.0 04 '!$B$18:$B$200,'Бланк OLD 2.0 04 '!$A$18:$A$200),1,0)),"")</f>
        <v/>
      </c>
      <c r="C404" s="152" t="str">
        <f ca="1">IFERROR(IFERROR(IFERROR(VLOOKUP(A403+1,CHOOSE({1,2},'Шаг2.Бланк заказа NEW'!$B$19:$B$201,'Шаг2.Бланк заказа NEW'!$A$19:$A$201),2,0),
VLOOKUP(A403+1-COUNT('Шаг2.Бланк заказа NEW'!$B$19:$B$201),CHOOSE({1,2},'Бланк OLD 0.8 04'!$B$18:$B$200,'Бланк OLD 0.8 04'!$A$18:$A$200),2,0)),
VLOOKUP(A403+1-COUNT('Шаг2.Бланк заказа NEW'!$B$19:$B$201)-COUNT('Бланк OLD 0.8 04'!$B$18:$B$200),CHOOSE({1,2},'Бланк OLD 2.0 04 '!$B$18:$B$200,'Бланк OLD 2.0 04 '!$A$18:$A$200),2,0)),"")</f>
        <v/>
      </c>
      <c r="D404" s="150" t="str">
        <f ca="1">IFERROR(VLOOKUP(C404,'Шаг1.Выбор плиты'!C:G,5,0),"")</f>
        <v/>
      </c>
      <c r="E404" s="147" t="str">
        <f ca="1">IFERROR(IFERROR(IF(VLOOKUP($A404,'Шаг2.Бланк заказа NEW'!$B$17:$N$201,2,0)="","",VLOOKUP($A404,'Шаг2.Бланк заказа NEW'!$B$17:$N$201,2,0)),
IF(VLOOKUP($A404-COUNT('Шаг2.Бланк заказа NEW'!$B$19:$B$201),'Бланк OLD 0.8 04'!$B$12:$K$200,2,0)="","",VLOOKUP($A404-COUNT('Шаг2.Бланк заказа NEW'!$B$19:$B$201),'Бланк OLD 0.8 04'!$B$12:$K$200,2,0))),
IF(VLOOKUP($A404-COUNT('Шаг2.Бланк заказа NEW'!$B$19:$B$201)-COUNT('Бланк OLD 0.8 04'!$B$18:$B$200),'Бланк OLD 2.0 04 '!$B$16:$K$200,2,0)="","",VLOOKUP($A404-COUNT('Шаг2.Бланк заказа NEW'!$B$19:$B$201)-COUNT('Бланк OLD 0.8 04'!$B$18:$B$200),'Бланк OLD 2.0 04 '!$B$16:$K$200,2,0)))</f>
        <v/>
      </c>
      <c r="F404" s="147" t="str">
        <f ca="1">IFERROR(IFERROR(IF(VLOOKUP($A404,'Шаг2.Бланк заказа NEW'!$B$17:$N$201,3,0)="","",VLOOKUP($A404,'Шаг2.Бланк заказа NEW'!$B$17:$N$201,3,0)),
IF(VLOOKUP($A404-COUNT('Шаг2.Бланк заказа NEW'!$B$19:$B$201),'Бланк OLD 0.8 04'!$B$12:$K$200,3,0)="","",VLOOKUP($A404-COUNT('Шаг2.Бланк заказа NEW'!$B$19:$B$201),'Бланк OLD 0.8 04'!$B$12:$K$200,3,0))),
IF(VLOOKUP($A404-COUNT('Шаг2.Бланк заказа NEW'!$B$19:$B$201)-COUNT('Бланк OLD 0.8 04'!$B$18:$B$200),'Бланк OLD 2.0 04 '!$B$16:$K$200,3,0)="","",VLOOKUP($A404-COUNT('Шаг2.Бланк заказа NEW'!$B$19:$B$201)-COUNT('Бланк OLD 0.8 04'!$B$18:$B$200),'Бланк OLD 2.0 04 '!$B$16:$K$200,3,0)))</f>
        <v/>
      </c>
      <c r="G404" s="176" t="str">
        <f ca="1">IF(IF(R404="","",IF(R404=1,SUMIFS('Шаг1.Выбор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плиты'!C:Q,12,0)),1))))))=0,
R404,
IF(R404="","",IF(R404=1,SUMIFS('Шаг1.Выбор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плиты'!N:N,R404,'Шаг1.Выбор плиты'!M:M,SMALL(INDIRECT("мм"&amp;VLOOKUP(C404,'Шаг1.Выбор плиты'!C:Q,12,0)),1)))))))</f>
        <v/>
      </c>
      <c r="H404" s="177" t="str">
        <f ca="1">IF(IF(S404="","",IF(S404=1,SUMIFS('Шаг1.Выбор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плиты'!C:Q,12,0)),1))))))=0,
S404,
IF(S404="","",IF(S404=1,SUMIFS('Шаг1.Выбор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плиты'!N:N,S404,'Шаг1.Выбор плиты'!M:M,SMALL(INDIRECT("мм"&amp;VLOOKUP(C404,'Шаг1.Выбор плиты'!C:Q,12,0)),1)))))))</f>
        <v/>
      </c>
      <c r="I404" s="147" t="str">
        <f ca="1">IFERROR(IFERROR(IF(VLOOKUP($A404,'Шаг2.Бланк заказа NEW'!$B$17:$N$201,6,0)="","",VLOOKUP($A404,'Шаг2.Бланк заказа NEW'!$B$17:$N$201,6,0)),
IF(VLOOKUP($A404-COUNT('Шаг2.Бланк заказа NEW'!$B$19:$B$201),'Бланк OLD 0.8 04'!$B$12:$K$200,6,0)="","",VLOOKUP($A404-COUNT('Шаг2.Бланк заказа NEW'!$B$19:$B$201),'Бланк OLD 0.8 04'!$B$12:$K$200,6,0))),
IF(VLOOKUP($A404-COUNT('Шаг2.Бланк заказа NEW'!$B$19:$B$201)-COUNT('Бланк OLD 0.8 04'!$B$18:$B$200),'Бланк OLD 2.0 04 '!$B$16:$K$200,6,0)="","",VLOOKUP($A404-COUNT('Шаг2.Бланк заказа NEW'!$B$19:$B$201)-COUNT('Бланк OLD 0.8 04'!$B$18:$B$200),'Бланк OLD 2.0 04 '!$B$16:$K$200,6,0)))</f>
        <v/>
      </c>
      <c r="J404" s="177" t="str">
        <f ca="1">IF(IF(T404="","",IF(T404=1,SUMIFS('Шаг1.Выбор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плиты'!C:Q,12,0)),1))))))=0,
T404,
IF(T404="","",IF(T404=1,SUMIFS('Шаг1.Выбор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плиты'!N:N,T404,'Шаг1.Выбор плиты'!M:M,SMALL(INDIRECT("мм"&amp;VLOOKUP(C404,'Шаг1.Выбор плиты'!C:Q,12,0)),1)))))))</f>
        <v/>
      </c>
      <c r="K404" s="177" t="str">
        <f ca="1">IF(IF(U404="","",IF(U404=1,SUMIFS('Шаг1.Выбор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плиты'!C:Q,12,0)),1))))))=0,
U404,
IF(U404="","",IF(U404=1,SUMIFS('Шаг1.Выбор плиты'!$G:$G,'Шаг1.Выбор плиты'!J:J,"*"&amp;RIGHT(VLOOKUP(C404,'Шаг1.Выбор плиты'!C:Q,8,0),4),'Шаг1.Выбор плиты'!L:L,IF(MID(C404,1,6)="ЛДСП P","TM"&amp;MID(VLOOKUP(C404,'Шаг1.Выбор плиты'!C:Q,10,0),3,2),MID(VLOOKUP(C404,'Шаг1.Выбор плиты'!C:Q,10,0),1,2)),
'Шаг1.Выбор плиты'!N:N,1),IF(SUMIFS('Шаг1.Выбор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плиты'!C:Q,12,0)),1))=0,
IF(SUMIFS('Шаг1.Выбор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плиты'!C:Q,12,0)),2))=0,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плиты'!C:Q,12,0)),3)),
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плиты'!C:Q,12,0)),2))),
(SUMIFS('Шаг1.Выбор плиты'!$G:$G,'Шаг1.Выбор плиты'!J:J,"*"&amp;RIGHT(VLOOKUP(C404,'Шаг1.Выбор плиты'!C:Q,8,0),4),'Шаг1.Выбор плиты'!L:L,VLOOKUP(C404,'Шаг1.Выбор плиты'!C:Q,10,0),'Шаг1.Выбор плиты'!N:N,U404,'Шаг1.Выбор плиты'!M:M,SMALL(INDIRECT("мм"&amp;VLOOKUP(C404,'Шаг1.Выбор плиты'!C:Q,12,0)),1)))))))</f>
        <v/>
      </c>
      <c r="L404" s="147" t="str">
        <f ca="1">IFERROR(IFERROR(IF(VLOOKUP($A404,'Шаг2.Бланк заказа NEW'!$B$17:$N$201,9,0)="","",VLOOKUP($A404,'Шаг2.Бланк заказа NEW'!$B$17:$N$201,9,0)),
IF(VLOOKUP($A404-COUNT('Шаг2.Бланк заказа NEW'!$B$19:$B$201),'Бланк OLD 0.8 04'!$B$12:$K$200,9,0)="","",VLOOKUP($A404-COUNT('Шаг2.Бланк заказа NEW'!$B$19:$B$201),'Бланк OLD 0.8 04'!$B$12:$K$200,9,0))),
IF(VLOOKUP($A404-COUNT('Шаг2.Бланк заказа NEW'!$B$19:$B$201)-COUNT('Бланк OLD 0.8 04'!$B$18:$B$200),'Бланк OLD 2.0 04 '!$B$16:$K$200,9,0)="","",VLOOKUP($A404-COUNT('Шаг2.Бланк заказа NEW'!$B$19:$B$201)-COUNT('Бланк OLD 0.8 04'!$B$18:$B$200),'Бланк OLD 2.0 04 '!$B$16:$K$200,9,0)))</f>
        <v/>
      </c>
      <c r="M404" s="154" t="str">
        <f t="shared" ca="1" si="36"/>
        <v/>
      </c>
      <c r="N404" s="153" t="str">
        <f ca="1">IFERROR(IF(VLOOKUP($A404,'Шаг2.Бланк заказа NEW'!$B$17:$N$201,11,0)="","",VLOOKUP($A404,'Шаг2.Бланк заказа NEW'!$B$17:$N$201,11,0)),
"Нет")</f>
        <v/>
      </c>
      <c r="O404" s="147" t="str">
        <f ca="1">IFERROR(IF(VLOOKUP($A404,'Шаг2.Бланк заказа NEW'!$B$17:$N$201,11,0)="","",VLOOKUP($A404,'Шаг2.Бланк заказа NEW'!$B$17:$N$201,12,0)),
"Нет")</f>
        <v/>
      </c>
      <c r="P404" s="153" t="str">
        <f ca="1">IFERROR(IF(VLOOKUP($A404,'Шаг2.Бланк заказа NEW'!$B$17:$N$201,13,0)="","",VLOOKUP($A404,'Шаг2.Бланк заказа NEW'!$B$17:$N$201,13,0)),
"Нет")</f>
        <v/>
      </c>
      <c r="Q404" s="147" t="str">
        <f ca="1">IFERROR(IF(VLOOKUP($A404,'Шаг2.Бланк заказа NEW'!$B$17:$O$201,14,0)="","",VLOOKUP($A404,'Шаг2.Бланк заказа NEW'!$B$17:$O$201,14,0)),"")</f>
        <v/>
      </c>
      <c r="R404" s="147" t="str">
        <f ca="1">IFERROR(IFERROR(IF(VLOOKUP($A404,'Шаг2.Бланк заказа NEW'!$B$17:$N$201,4,0)="","",VLOOKUP($A404,'Шаг2.Бланк заказа NEW'!$B$17:$N$201,4,0)),
IF(VLOOKUP($A404-COUNT('Шаг2.Бланк заказа NEW'!$B$19:$B$201),'Бланк OLD 0.8 04'!$B$12:$K$200,4,0)&gt;0,0.8,
IF(VLOOKUP($A404-COUNT('Шаг2.Бланк заказа NEW'!$B$19:$B$201),'Бланк OLD 0.8 04'!$B$12:$K$200,5,0)&gt;0,0.4,""))),
IF(VLOOKUP($A404-COUNT('Шаг2.Бланк заказа NEW'!$B$19:$B$201)-COUNT('Бланк OLD 0.8 04'!$B$18:$B$200),'Бланк OLD 2.0 04 '!$B$16:$K$200,4,0)&gt;0,2,IF(VLOOKUP($A404-COUNT('Шаг2.Бланк заказа NEW'!$B$19:$B$201)-COUNT('Бланк OLD 0.8 04'!$B$18:$B$200),'Бланк OLD 2.0 04 '!$B$16:$K$200,5,0)&gt;0,0.4,"")))</f>
        <v/>
      </c>
      <c r="S404" s="147" t="str">
        <f ca="1">IFERROR(IFERROR(IF(VLOOKUP($A404,'Шаг2.Бланк заказа NEW'!$B$17:$N$201,5,0)="","",VLOOKUP($A404,'Шаг2.Бланк заказа NEW'!$B$17:$N$201,5,0)),
IF(VLOOKUP($A404-COUNT('Шаг2.Бланк заказа NEW'!$B$19:$B$201),'Бланк OLD 0.8 04'!$B$12:$K$200,4,0)&gt;1,0.8,
IF(VLOOKUP($A404-COUNT('Шаг2.Бланк заказа NEW'!$B$19:$B$201),'Бланк OLD 0.8 04'!$B$12:$K$200,5,0)&gt;1,0.4,
IF(AND(VLOOKUP($A404-COUNT('Шаг2.Бланк заказа NEW'!$B$19:$B$201),'Бланк OLD 0.8 04'!$B$12:$K$200,4,0)&gt;0,VLOOKUP($A404-COUNT('Шаг2.Бланк заказа NEW'!$B$19:$B$201),'Бланк OLD 0.8 04'!$B$12:$K$200,5,0)&gt;0),0.4,"")))),
IF(VLOOKUP($A404-COUNT('Шаг2.Бланк заказа NEW'!$B$19:$B$201)-COUNT('Бланк OLD 0.8 04'!$B$18:$B$200),'Бланк OLD 2.0 04 '!$B$16:$K$200,4,0)&gt;1,2,
IF(VLOOKUP($A404-COUNT('Шаг2.Бланк заказа NEW'!$B$19:$B$201)-COUNT('Бланк OLD 0.8 04'!$B$18:$B$200),'Бланк OLD 2.0 04 '!$B$16:$K$200,5,0)&gt;1,0.4,IF(AND(VLOOKUP($A404-COUNT('Шаг2.Бланк заказа NEW'!$B$19:$B$201)-COUNT('Бланк OLD 0.8 04'!$B$18:$B$200),'Бланк OLD 2.0 04 '!$B$16:$K$200,4,0)&gt;0,VLOOKUP($A404-COUNT('Шаг2.Бланк заказа NEW'!$B$19:$B$201)-COUNT('Бланк OLD 0.8 04'!$B$18:$B$200),'Бланк OLD 2.0 04 '!$B$16:$K$200,5,0)&gt;0),0.4,""))))</f>
        <v/>
      </c>
      <c r="T404" s="147" t="str">
        <f ca="1">IFERROR(IFERROR(IF(VLOOKUP($A404,'Шаг2.Бланк заказа NEW'!$B$17:$N$201,7,0)="","",VLOOKUP($A404,'Шаг2.Бланк заказа NEW'!$B$17:$N$201,7,0)),
IF(VLOOKUP($A404-COUNT('Шаг2.Бланк заказа NEW'!$B$19:$B$201),'Бланк OLD 0.8 04'!$B$12:$K$200,7,0)&gt;0,0.8,
IF(VLOOKUP($A404-COUNT('Шаг2.Бланк заказа NEW'!$B$19:$B$201),'Бланк OLD 0.8 04'!$B$12:$K$200,8,0)&gt;0,0.4,""))),
IF(VLOOKUP($A404-COUNT('Шаг2.Бланк заказа NEW'!$B$19:$B$201)-COUNT('Бланк OLD 0.8 04'!$B$18:$B$200),'Бланк OLD 2.0 04 '!$B$16:$K$200,7,0)&gt;0,2,IF(VLOOKUP($A404-COUNT('Шаг2.Бланк заказа NEW'!$B$19:$B$201)-COUNT('Бланк OLD 0.8 04'!$B$18:$B$200),'Бланк OLD 2.0 04 '!$B$16:$K$200,8,0)&gt;0,0.4,"")))</f>
        <v/>
      </c>
      <c r="U404" s="147" t="str">
        <f ca="1">IFERROR(IFERROR(IF(VLOOKUP($A404,'Шаг2.Бланк заказа NEW'!$B$17:$N$201,8,0)="","",VLOOKUP($A404,'Шаг2.Бланк заказа NEW'!$B$17:$N$201,8,0)),
IF(VLOOKUP($A404-COUNT('Шаг2.Бланк заказа NEW'!$B$19:$B$201),'Бланк OLD 0.8 04'!$B$12:$K$200,7,0)&gt;1,0.8,
IF(VLOOKUP($A404-COUNT('Шаг2.Бланк заказа NEW'!$B$19:$B$201),'Бланк OLD 0.8 04'!$B$12:$K$200,8,0)&gt;1,0.4,
IF(AND(VLOOKUP($A404-COUNT('Шаг2.Бланк заказа NEW'!$B$19:$B$201),'Бланк OLD 0.8 04'!$B$12:$K$200,7,0)&gt;0,VLOOKUP($A404-COUNT('Шаг2.Бланк заказа NEW'!$B$19:$B$201),'Бланк OLD 0.8 04'!$B$12:$K$200,8,0)&gt;0),0.4,"")))),
IF(VLOOKUP($A404-COUNT('Шаг2.Бланк заказа NEW'!$B$19:$B$201)-COUNT('Бланк OLD 0.8 04'!$B$18:$B$200),'Бланк OLD 2.0 04 '!$B$16:$K$200,7,0)&gt;1,2,
IF(VLOOKUP($A404-COUNT('Шаг2.Бланк заказа NEW'!$B$19:$B$201)-COUNT('Бланк OLD 0.8 04'!$B$18:$B$200),'Бланк OLD 2.0 04 '!$B$16:$K$200,8,0)&gt;1,0.4,
IF(AND(VLOOKUP($A404-COUNT('Шаг2.Бланк заказа NEW'!$B$19:$B$201)-COUNT('Бланк OLD 0.8 04'!$B$18:$B$200),'Бланк OLD 2.0 04 '!$B$16:$K$200,7,0)&gt;0,VLOOKUP($A404-COUNT('Шаг2.Бланк заказа NEW'!$B$19:$B$201)-COUNT('Бланк OLD 0.8 04'!$B$18:$B$200),'Бланк OLD 2.0 04 '!$B$16:$K$200,8,0)&gt;0),0.4,""))))</f>
        <v/>
      </c>
      <c r="V404" s="146" t="str">
        <f ca="1">IFERROR(VLOOKUP(C404,'Шаг1.Выбор плиты'!C:S,12,0),"")</f>
        <v/>
      </c>
      <c r="W404" s="146" t="str">
        <f ca="1">IFERROR(VLOOKUP(C404,'Шаг1.Выбор плиты'!C:S,8,0),"")</f>
        <v/>
      </c>
      <c r="X404" s="146" t="str">
        <f ca="1">IFERROR(VLOOKUP(C404,'Шаг1.Выбор плиты'!C:S,10,0),"")</f>
        <v/>
      </c>
      <c r="Y404" s="147" t="str">
        <f t="shared" ca="1" si="39"/>
        <v/>
      </c>
      <c r="AD404" s="147" t="str">
        <f t="shared" ca="1" si="37"/>
        <v/>
      </c>
      <c r="AE404" s="147" t="str">
        <f t="shared" ca="1" si="40"/>
        <v/>
      </c>
      <c r="AF404" s="25"/>
      <c r="AH404" s="147" t="str">
        <f ca="1">IF(C404="","",VLOOKUP(C404,'Шаг1.Выбор плиты'!C:Q,7,0))</f>
        <v/>
      </c>
      <c r="AI404" s="147" t="str">
        <f t="shared" ca="1" si="38"/>
        <v/>
      </c>
    </row>
    <row r="405" spans="1:35" x14ac:dyDescent="0.2">
      <c r="A405" s="151" t="str">
        <f ca="1">IF(C405="","",MAX($A$1:OFFSET(C405,-1,0))+1)</f>
        <v/>
      </c>
      <c r="B405" s="151" t="str">
        <f ca="1">IFERROR(IFERROR(IFERROR("Шаг2.Бланк заказа NEW №"&amp;VLOOKUP(A404+1,CHOOSE({1,2},'Шаг2.Бланк заказа NEW'!$B$19:$B$201,'Шаг2.Бланк заказа NEW'!$A$19:$A$201),1,0),
"Бланк OLD 0.8 04 №"&amp;VLOOKUP(A404+1-COUNT('Шаг2.Бланк заказа NEW'!$B$19:$B$201),CHOOSE({1,2},'Бланк OLD 0.8 04'!$B$18:$B$200,'Бланк OLD 0.8 04'!$A$18:$A$200),1,0)),
"Бланк OLD 2.0 04 №"&amp;VLOOKUP(A404+1-COUNT('Шаг2.Бланк заказа NEW'!$B$19:$B$201)-COUNT('Бланк OLD 0.8 04'!$B$18:$B$200),CHOOSE({1,2},'Бланк OLD 2.0 04 '!$B$18:$B$200,'Бланк OLD 2.0 04 '!$A$18:$A$200),1,0)),"")</f>
        <v/>
      </c>
      <c r="C405" s="152" t="str">
        <f ca="1">IFERROR(IFERROR(IFERROR(VLOOKUP(A404+1,CHOOSE({1,2},'Шаг2.Бланк заказа NEW'!$B$19:$B$201,'Шаг2.Бланк заказа NEW'!$A$19:$A$201),2,0),
VLOOKUP(A404+1-COUNT('Шаг2.Бланк заказа NEW'!$B$19:$B$201),CHOOSE({1,2},'Бланк OLD 0.8 04'!$B$18:$B$200,'Бланк OLD 0.8 04'!$A$18:$A$200),2,0)),
VLOOKUP(A404+1-COUNT('Шаг2.Бланк заказа NEW'!$B$19:$B$201)-COUNT('Бланк OLD 0.8 04'!$B$18:$B$200),CHOOSE({1,2},'Бланк OLD 2.0 04 '!$B$18:$B$200,'Бланк OLD 2.0 04 '!$A$18:$A$200),2,0)),"")</f>
        <v/>
      </c>
      <c r="D405" s="150" t="str">
        <f ca="1">IFERROR(VLOOKUP(C405,'Шаг1.Выбор плиты'!C:G,5,0),"")</f>
        <v/>
      </c>
      <c r="E405" s="147" t="str">
        <f ca="1">IFERROR(IFERROR(IF(VLOOKUP($A405,'Шаг2.Бланк заказа NEW'!$B$17:$N$201,2,0)="","",VLOOKUP($A405,'Шаг2.Бланк заказа NEW'!$B$17:$N$201,2,0)),
IF(VLOOKUP($A405-COUNT('Шаг2.Бланк заказа NEW'!$B$19:$B$201),'Бланк OLD 0.8 04'!$B$12:$K$200,2,0)="","",VLOOKUP($A405-COUNT('Шаг2.Бланк заказа NEW'!$B$19:$B$201),'Бланк OLD 0.8 04'!$B$12:$K$200,2,0))),
IF(VLOOKUP($A405-COUNT('Шаг2.Бланк заказа NEW'!$B$19:$B$201)-COUNT('Бланк OLD 0.8 04'!$B$18:$B$200),'Бланк OLD 2.0 04 '!$B$16:$K$200,2,0)="","",VLOOKUP($A405-COUNT('Шаг2.Бланк заказа NEW'!$B$19:$B$201)-COUNT('Бланк OLD 0.8 04'!$B$18:$B$200),'Бланк OLD 2.0 04 '!$B$16:$K$200,2,0)))</f>
        <v/>
      </c>
      <c r="F405" s="147" t="str">
        <f ca="1">IFERROR(IFERROR(IF(VLOOKUP($A405,'Шаг2.Бланк заказа NEW'!$B$17:$N$201,3,0)="","",VLOOKUP($A405,'Шаг2.Бланк заказа NEW'!$B$17:$N$201,3,0)),
IF(VLOOKUP($A405-COUNT('Шаг2.Бланк заказа NEW'!$B$19:$B$201),'Бланк OLD 0.8 04'!$B$12:$K$200,3,0)="","",VLOOKUP($A405-COUNT('Шаг2.Бланк заказа NEW'!$B$19:$B$201),'Бланк OLD 0.8 04'!$B$12:$K$200,3,0))),
IF(VLOOKUP($A405-COUNT('Шаг2.Бланк заказа NEW'!$B$19:$B$201)-COUNT('Бланк OLD 0.8 04'!$B$18:$B$200),'Бланк OLD 2.0 04 '!$B$16:$K$200,3,0)="","",VLOOKUP($A405-COUNT('Шаг2.Бланк заказа NEW'!$B$19:$B$201)-COUNT('Бланк OLD 0.8 04'!$B$18:$B$200),'Бланк OLD 2.0 04 '!$B$16:$K$200,3,0)))</f>
        <v/>
      </c>
      <c r="G405" s="176" t="str">
        <f ca="1">IF(IF(R405="","",IF(R405=1,SUMIFS('Шаг1.Выбор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плиты'!C:Q,12,0)),1))))))=0,
R405,
IF(R405="","",IF(R405=1,SUMIFS('Шаг1.Выбор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плиты'!N:N,R405,'Шаг1.Выбор плиты'!M:M,SMALL(INDIRECT("мм"&amp;VLOOKUP(C405,'Шаг1.Выбор плиты'!C:Q,12,0)),1)))))))</f>
        <v/>
      </c>
      <c r="H405" s="177" t="str">
        <f ca="1">IF(IF(S405="","",IF(S405=1,SUMIFS('Шаг1.Выбор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плиты'!C:Q,12,0)),1))))))=0,
S405,
IF(S405="","",IF(S405=1,SUMIFS('Шаг1.Выбор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плиты'!N:N,S405,'Шаг1.Выбор плиты'!M:M,SMALL(INDIRECT("мм"&amp;VLOOKUP(C405,'Шаг1.Выбор плиты'!C:Q,12,0)),1)))))))</f>
        <v/>
      </c>
      <c r="I405" s="147" t="str">
        <f ca="1">IFERROR(IFERROR(IF(VLOOKUP($A405,'Шаг2.Бланк заказа NEW'!$B$17:$N$201,6,0)="","",VLOOKUP($A405,'Шаг2.Бланк заказа NEW'!$B$17:$N$201,6,0)),
IF(VLOOKUP($A405-COUNT('Шаг2.Бланк заказа NEW'!$B$19:$B$201),'Бланк OLD 0.8 04'!$B$12:$K$200,6,0)="","",VLOOKUP($A405-COUNT('Шаг2.Бланк заказа NEW'!$B$19:$B$201),'Бланк OLD 0.8 04'!$B$12:$K$200,6,0))),
IF(VLOOKUP($A405-COUNT('Шаг2.Бланк заказа NEW'!$B$19:$B$201)-COUNT('Бланк OLD 0.8 04'!$B$18:$B$200),'Бланк OLD 2.0 04 '!$B$16:$K$200,6,0)="","",VLOOKUP($A405-COUNT('Шаг2.Бланк заказа NEW'!$B$19:$B$201)-COUNT('Бланк OLD 0.8 04'!$B$18:$B$200),'Бланк OLD 2.0 04 '!$B$16:$K$200,6,0)))</f>
        <v/>
      </c>
      <c r="J405" s="177" t="str">
        <f ca="1">IF(IF(T405="","",IF(T405=1,SUMIFS('Шаг1.Выбор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плиты'!C:Q,12,0)),1))))))=0,
T405,
IF(T405="","",IF(T405=1,SUMIFS('Шаг1.Выбор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плиты'!N:N,T405,'Шаг1.Выбор плиты'!M:M,SMALL(INDIRECT("мм"&amp;VLOOKUP(C405,'Шаг1.Выбор плиты'!C:Q,12,0)),1)))))))</f>
        <v/>
      </c>
      <c r="K405" s="177" t="str">
        <f ca="1">IF(IF(U405="","",IF(U405=1,SUMIFS('Шаг1.Выбор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плиты'!C:Q,12,0)),1))))))=0,
U405,
IF(U405="","",IF(U405=1,SUMIFS('Шаг1.Выбор плиты'!$G:$G,'Шаг1.Выбор плиты'!J:J,"*"&amp;RIGHT(VLOOKUP(C405,'Шаг1.Выбор плиты'!C:Q,8,0),4),'Шаг1.Выбор плиты'!L:L,IF(MID(C405,1,6)="ЛДСП P","TM"&amp;MID(VLOOKUP(C405,'Шаг1.Выбор плиты'!C:Q,10,0),3,2),MID(VLOOKUP(C405,'Шаг1.Выбор плиты'!C:Q,10,0),1,2)),
'Шаг1.Выбор плиты'!N:N,1),IF(SUMIFS('Шаг1.Выбор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плиты'!C:Q,12,0)),1))=0,
IF(SUMIFS('Шаг1.Выбор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плиты'!C:Q,12,0)),2))=0,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плиты'!C:Q,12,0)),3)),
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плиты'!C:Q,12,0)),2))),
(SUMIFS('Шаг1.Выбор плиты'!$G:$G,'Шаг1.Выбор плиты'!J:J,"*"&amp;RIGHT(VLOOKUP(C405,'Шаг1.Выбор плиты'!C:Q,8,0),4),'Шаг1.Выбор плиты'!L:L,VLOOKUP(C405,'Шаг1.Выбор плиты'!C:Q,10,0),'Шаг1.Выбор плиты'!N:N,U405,'Шаг1.Выбор плиты'!M:M,SMALL(INDIRECT("мм"&amp;VLOOKUP(C405,'Шаг1.Выбор плиты'!C:Q,12,0)),1)))))))</f>
        <v/>
      </c>
      <c r="L405" s="147" t="str">
        <f ca="1">IFERROR(IFERROR(IF(VLOOKUP($A405,'Шаг2.Бланк заказа NEW'!$B$17:$N$201,9,0)="","",VLOOKUP($A405,'Шаг2.Бланк заказа NEW'!$B$17:$N$201,9,0)),
IF(VLOOKUP($A405-COUNT('Шаг2.Бланк заказа NEW'!$B$19:$B$201),'Бланк OLD 0.8 04'!$B$12:$K$200,9,0)="","",VLOOKUP($A405-COUNT('Шаг2.Бланк заказа NEW'!$B$19:$B$201),'Бланк OLD 0.8 04'!$B$12:$K$200,9,0))),
IF(VLOOKUP($A405-COUNT('Шаг2.Бланк заказа NEW'!$B$19:$B$201)-COUNT('Бланк OLD 0.8 04'!$B$18:$B$200),'Бланк OLD 2.0 04 '!$B$16:$K$200,9,0)="","",VLOOKUP($A405-COUNT('Шаг2.Бланк заказа NEW'!$B$19:$B$201)-COUNT('Бланк OLD 0.8 04'!$B$18:$B$200),'Бланк OLD 2.0 04 '!$B$16:$K$200,9,0)))</f>
        <v/>
      </c>
      <c r="M405" s="154" t="str">
        <f t="shared" ca="1" si="36"/>
        <v/>
      </c>
      <c r="N405" s="153" t="str">
        <f ca="1">IFERROR(IF(VLOOKUP($A405,'Шаг2.Бланк заказа NEW'!$B$17:$N$201,11,0)="","",VLOOKUP($A405,'Шаг2.Бланк заказа NEW'!$B$17:$N$201,11,0)),
"Нет")</f>
        <v/>
      </c>
      <c r="O405" s="147" t="str">
        <f ca="1">IFERROR(IF(VLOOKUP($A405,'Шаг2.Бланк заказа NEW'!$B$17:$N$201,11,0)="","",VLOOKUP($A405,'Шаг2.Бланк заказа NEW'!$B$17:$N$201,12,0)),
"Нет")</f>
        <v/>
      </c>
      <c r="P405" s="153" t="str">
        <f ca="1">IFERROR(IF(VLOOKUP($A405,'Шаг2.Бланк заказа NEW'!$B$17:$N$201,13,0)="","",VLOOKUP($A405,'Шаг2.Бланк заказа NEW'!$B$17:$N$201,13,0)),
"Нет")</f>
        <v/>
      </c>
      <c r="Q405" s="147" t="str">
        <f ca="1">IFERROR(IF(VLOOKUP($A405,'Шаг2.Бланк заказа NEW'!$B$17:$O$201,14,0)="","",VLOOKUP($A405,'Шаг2.Бланк заказа NEW'!$B$17:$O$201,14,0)),"")</f>
        <v/>
      </c>
      <c r="R405" s="147" t="str">
        <f ca="1">IFERROR(IFERROR(IF(VLOOKUP($A405,'Шаг2.Бланк заказа NEW'!$B$17:$N$201,4,0)="","",VLOOKUP($A405,'Шаг2.Бланк заказа NEW'!$B$17:$N$201,4,0)),
IF(VLOOKUP($A405-COUNT('Шаг2.Бланк заказа NEW'!$B$19:$B$201),'Бланк OLD 0.8 04'!$B$12:$K$200,4,0)&gt;0,0.8,
IF(VLOOKUP($A405-COUNT('Шаг2.Бланк заказа NEW'!$B$19:$B$201),'Бланк OLD 0.8 04'!$B$12:$K$200,5,0)&gt;0,0.4,""))),
IF(VLOOKUP($A405-COUNT('Шаг2.Бланк заказа NEW'!$B$19:$B$201)-COUNT('Бланк OLD 0.8 04'!$B$18:$B$200),'Бланк OLD 2.0 04 '!$B$16:$K$200,4,0)&gt;0,2,IF(VLOOKUP($A405-COUNT('Шаг2.Бланк заказа NEW'!$B$19:$B$201)-COUNT('Бланк OLD 0.8 04'!$B$18:$B$200),'Бланк OLD 2.0 04 '!$B$16:$K$200,5,0)&gt;0,0.4,"")))</f>
        <v/>
      </c>
      <c r="S405" s="147" t="str">
        <f ca="1">IFERROR(IFERROR(IF(VLOOKUP($A405,'Шаг2.Бланк заказа NEW'!$B$17:$N$201,5,0)="","",VLOOKUP($A405,'Шаг2.Бланк заказа NEW'!$B$17:$N$201,5,0)),
IF(VLOOKUP($A405-COUNT('Шаг2.Бланк заказа NEW'!$B$19:$B$201),'Бланк OLD 0.8 04'!$B$12:$K$200,4,0)&gt;1,0.8,
IF(VLOOKUP($A405-COUNT('Шаг2.Бланк заказа NEW'!$B$19:$B$201),'Бланк OLD 0.8 04'!$B$12:$K$200,5,0)&gt;1,0.4,
IF(AND(VLOOKUP($A405-COUNT('Шаг2.Бланк заказа NEW'!$B$19:$B$201),'Бланк OLD 0.8 04'!$B$12:$K$200,4,0)&gt;0,VLOOKUP($A405-COUNT('Шаг2.Бланк заказа NEW'!$B$19:$B$201),'Бланк OLD 0.8 04'!$B$12:$K$200,5,0)&gt;0),0.4,"")))),
IF(VLOOKUP($A405-COUNT('Шаг2.Бланк заказа NEW'!$B$19:$B$201)-COUNT('Бланк OLD 0.8 04'!$B$18:$B$200),'Бланк OLD 2.0 04 '!$B$16:$K$200,4,0)&gt;1,2,
IF(VLOOKUP($A405-COUNT('Шаг2.Бланк заказа NEW'!$B$19:$B$201)-COUNT('Бланк OLD 0.8 04'!$B$18:$B$200),'Бланк OLD 2.0 04 '!$B$16:$K$200,5,0)&gt;1,0.4,IF(AND(VLOOKUP($A405-COUNT('Шаг2.Бланк заказа NEW'!$B$19:$B$201)-COUNT('Бланк OLD 0.8 04'!$B$18:$B$200),'Бланк OLD 2.0 04 '!$B$16:$K$200,4,0)&gt;0,VLOOKUP($A405-COUNT('Шаг2.Бланк заказа NEW'!$B$19:$B$201)-COUNT('Бланк OLD 0.8 04'!$B$18:$B$200),'Бланк OLD 2.0 04 '!$B$16:$K$200,5,0)&gt;0),0.4,""))))</f>
        <v/>
      </c>
      <c r="T405" s="147" t="str">
        <f ca="1">IFERROR(IFERROR(IF(VLOOKUP($A405,'Шаг2.Бланк заказа NEW'!$B$17:$N$201,7,0)="","",VLOOKUP($A405,'Шаг2.Бланк заказа NEW'!$B$17:$N$201,7,0)),
IF(VLOOKUP($A405-COUNT('Шаг2.Бланк заказа NEW'!$B$19:$B$201),'Бланк OLD 0.8 04'!$B$12:$K$200,7,0)&gt;0,0.8,
IF(VLOOKUP($A405-COUNT('Шаг2.Бланк заказа NEW'!$B$19:$B$201),'Бланк OLD 0.8 04'!$B$12:$K$200,8,0)&gt;0,0.4,""))),
IF(VLOOKUP($A405-COUNT('Шаг2.Бланк заказа NEW'!$B$19:$B$201)-COUNT('Бланк OLD 0.8 04'!$B$18:$B$200),'Бланк OLD 2.0 04 '!$B$16:$K$200,7,0)&gt;0,2,IF(VLOOKUP($A405-COUNT('Шаг2.Бланк заказа NEW'!$B$19:$B$201)-COUNT('Бланк OLD 0.8 04'!$B$18:$B$200),'Бланк OLD 2.0 04 '!$B$16:$K$200,8,0)&gt;0,0.4,"")))</f>
        <v/>
      </c>
      <c r="U405" s="147" t="str">
        <f ca="1">IFERROR(IFERROR(IF(VLOOKUP($A405,'Шаг2.Бланк заказа NEW'!$B$17:$N$201,8,0)="","",VLOOKUP($A405,'Шаг2.Бланк заказа NEW'!$B$17:$N$201,8,0)),
IF(VLOOKUP($A405-COUNT('Шаг2.Бланк заказа NEW'!$B$19:$B$201),'Бланк OLD 0.8 04'!$B$12:$K$200,7,0)&gt;1,0.8,
IF(VLOOKUP($A405-COUNT('Шаг2.Бланк заказа NEW'!$B$19:$B$201),'Бланк OLD 0.8 04'!$B$12:$K$200,8,0)&gt;1,0.4,
IF(AND(VLOOKUP($A405-COUNT('Шаг2.Бланк заказа NEW'!$B$19:$B$201),'Бланк OLD 0.8 04'!$B$12:$K$200,7,0)&gt;0,VLOOKUP($A405-COUNT('Шаг2.Бланк заказа NEW'!$B$19:$B$201),'Бланк OLD 0.8 04'!$B$12:$K$200,8,0)&gt;0),0.4,"")))),
IF(VLOOKUP($A405-COUNT('Шаг2.Бланк заказа NEW'!$B$19:$B$201)-COUNT('Бланк OLD 0.8 04'!$B$18:$B$200),'Бланк OLD 2.0 04 '!$B$16:$K$200,7,0)&gt;1,2,
IF(VLOOKUP($A405-COUNT('Шаг2.Бланк заказа NEW'!$B$19:$B$201)-COUNT('Бланк OLD 0.8 04'!$B$18:$B$200),'Бланк OLD 2.0 04 '!$B$16:$K$200,8,0)&gt;1,0.4,
IF(AND(VLOOKUP($A405-COUNT('Шаг2.Бланк заказа NEW'!$B$19:$B$201)-COUNT('Бланк OLD 0.8 04'!$B$18:$B$200),'Бланк OLD 2.0 04 '!$B$16:$K$200,7,0)&gt;0,VLOOKUP($A405-COUNT('Шаг2.Бланк заказа NEW'!$B$19:$B$201)-COUNT('Бланк OLD 0.8 04'!$B$18:$B$200),'Бланк OLD 2.0 04 '!$B$16:$K$200,8,0)&gt;0),0.4,""))))</f>
        <v/>
      </c>
      <c r="V405" s="146" t="str">
        <f ca="1">IFERROR(VLOOKUP(C405,'Шаг1.Выбор плиты'!C:S,12,0),"")</f>
        <v/>
      </c>
      <c r="W405" s="146" t="str">
        <f ca="1">IFERROR(VLOOKUP(C405,'Шаг1.Выбор плиты'!C:S,8,0),"")</f>
        <v/>
      </c>
      <c r="X405" s="146" t="str">
        <f ca="1">IFERROR(VLOOKUP(C405,'Шаг1.Выбор плиты'!C:S,10,0),"")</f>
        <v/>
      </c>
      <c r="Y405" s="147" t="str">
        <f t="shared" ca="1" si="39"/>
        <v/>
      </c>
      <c r="AD405" s="147" t="str">
        <f t="shared" ca="1" si="37"/>
        <v/>
      </c>
      <c r="AE405" s="147" t="str">
        <f t="shared" ca="1" si="40"/>
        <v/>
      </c>
      <c r="AF405" s="25"/>
      <c r="AH405" s="147" t="str">
        <f ca="1">IF(C405="","",VLOOKUP(C405,'Шаг1.Выбор плиты'!C:Q,7,0))</f>
        <v/>
      </c>
      <c r="AI405" s="147" t="str">
        <f t="shared" ca="1" si="38"/>
        <v/>
      </c>
    </row>
    <row r="406" spans="1:35" x14ac:dyDescent="0.2">
      <c r="A406" s="151" t="str">
        <f ca="1">IF(C406="","",MAX($A$1:OFFSET(C406,-1,0))+1)</f>
        <v/>
      </c>
      <c r="B406" s="151" t="str">
        <f ca="1">IFERROR(IFERROR(IFERROR("Шаг2.Бланк заказа NEW №"&amp;VLOOKUP(A405+1,CHOOSE({1,2},'Шаг2.Бланк заказа NEW'!$B$19:$B$201,'Шаг2.Бланк заказа NEW'!$A$19:$A$201),1,0),
"Бланк OLD 0.8 04 №"&amp;VLOOKUP(A405+1-COUNT('Шаг2.Бланк заказа NEW'!$B$19:$B$201),CHOOSE({1,2},'Бланк OLD 0.8 04'!$B$18:$B$200,'Бланк OLD 0.8 04'!$A$18:$A$200),1,0)),
"Бланк OLD 2.0 04 №"&amp;VLOOKUP(A405+1-COUNT('Шаг2.Бланк заказа NEW'!$B$19:$B$201)-COUNT('Бланк OLD 0.8 04'!$B$18:$B$200),CHOOSE({1,2},'Бланк OLD 2.0 04 '!$B$18:$B$200,'Бланк OLD 2.0 04 '!$A$18:$A$200),1,0)),"")</f>
        <v/>
      </c>
      <c r="C406" s="152" t="str">
        <f ca="1">IFERROR(IFERROR(IFERROR(VLOOKUP(A405+1,CHOOSE({1,2},'Шаг2.Бланк заказа NEW'!$B$19:$B$201,'Шаг2.Бланк заказа NEW'!$A$19:$A$201),2,0),
VLOOKUP(A405+1-COUNT('Шаг2.Бланк заказа NEW'!$B$19:$B$201),CHOOSE({1,2},'Бланк OLD 0.8 04'!$B$18:$B$200,'Бланк OLD 0.8 04'!$A$18:$A$200),2,0)),
VLOOKUP(A405+1-COUNT('Шаг2.Бланк заказа NEW'!$B$19:$B$201)-COUNT('Бланк OLD 0.8 04'!$B$18:$B$200),CHOOSE({1,2},'Бланк OLD 2.0 04 '!$B$18:$B$200,'Бланк OLD 2.0 04 '!$A$18:$A$200),2,0)),"")</f>
        <v/>
      </c>
      <c r="D406" s="150" t="str">
        <f ca="1">IFERROR(VLOOKUP(C406,'Шаг1.Выбор плиты'!C:G,5,0),"")</f>
        <v/>
      </c>
      <c r="E406" s="147" t="str">
        <f ca="1">IFERROR(IFERROR(IF(VLOOKUP($A406,'Шаг2.Бланк заказа NEW'!$B$17:$N$201,2,0)="","",VLOOKUP($A406,'Шаг2.Бланк заказа NEW'!$B$17:$N$201,2,0)),
IF(VLOOKUP($A406-COUNT('Шаг2.Бланк заказа NEW'!$B$19:$B$201),'Бланк OLD 0.8 04'!$B$12:$K$200,2,0)="","",VLOOKUP($A406-COUNT('Шаг2.Бланк заказа NEW'!$B$19:$B$201),'Бланк OLD 0.8 04'!$B$12:$K$200,2,0))),
IF(VLOOKUP($A406-COUNT('Шаг2.Бланк заказа NEW'!$B$19:$B$201)-COUNT('Бланк OLD 0.8 04'!$B$18:$B$200),'Бланк OLD 2.0 04 '!$B$16:$K$200,2,0)="","",VLOOKUP($A406-COUNT('Шаг2.Бланк заказа NEW'!$B$19:$B$201)-COUNT('Бланк OLD 0.8 04'!$B$18:$B$200),'Бланк OLD 2.0 04 '!$B$16:$K$200,2,0)))</f>
        <v/>
      </c>
      <c r="F406" s="147" t="str">
        <f ca="1">IFERROR(IFERROR(IF(VLOOKUP($A406,'Шаг2.Бланк заказа NEW'!$B$17:$N$201,3,0)="","",VLOOKUP($A406,'Шаг2.Бланк заказа NEW'!$B$17:$N$201,3,0)),
IF(VLOOKUP($A406-COUNT('Шаг2.Бланк заказа NEW'!$B$19:$B$201),'Бланк OLD 0.8 04'!$B$12:$K$200,3,0)="","",VLOOKUP($A406-COUNT('Шаг2.Бланк заказа NEW'!$B$19:$B$201),'Бланк OLD 0.8 04'!$B$12:$K$200,3,0))),
IF(VLOOKUP($A406-COUNT('Шаг2.Бланк заказа NEW'!$B$19:$B$201)-COUNT('Бланк OLD 0.8 04'!$B$18:$B$200),'Бланк OLD 2.0 04 '!$B$16:$K$200,3,0)="","",VLOOKUP($A406-COUNT('Шаг2.Бланк заказа NEW'!$B$19:$B$201)-COUNT('Бланк OLD 0.8 04'!$B$18:$B$200),'Бланк OLD 2.0 04 '!$B$16:$K$200,3,0)))</f>
        <v/>
      </c>
      <c r="G406" s="176" t="str">
        <f ca="1">IF(IF(R406="","",IF(R406=1,SUMIFS('Шаг1.Выбор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плиты'!C:Q,12,0)),1))))))=0,
R406,
IF(R406="","",IF(R406=1,SUMIFS('Шаг1.Выбор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плиты'!N:N,R406,'Шаг1.Выбор плиты'!M:M,SMALL(INDIRECT("мм"&amp;VLOOKUP(C406,'Шаг1.Выбор плиты'!C:Q,12,0)),1)))))))</f>
        <v/>
      </c>
      <c r="H406" s="177" t="str">
        <f ca="1">IF(IF(S406="","",IF(S406=1,SUMIFS('Шаг1.Выбор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плиты'!C:Q,12,0)),1))))))=0,
S406,
IF(S406="","",IF(S406=1,SUMIFS('Шаг1.Выбор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плиты'!N:N,S406,'Шаг1.Выбор плиты'!M:M,SMALL(INDIRECT("мм"&amp;VLOOKUP(C406,'Шаг1.Выбор плиты'!C:Q,12,0)),1)))))))</f>
        <v/>
      </c>
      <c r="I406" s="147" t="str">
        <f ca="1">IFERROR(IFERROR(IF(VLOOKUP($A406,'Шаг2.Бланк заказа NEW'!$B$17:$N$201,6,0)="","",VLOOKUP($A406,'Шаг2.Бланк заказа NEW'!$B$17:$N$201,6,0)),
IF(VLOOKUP($A406-COUNT('Шаг2.Бланк заказа NEW'!$B$19:$B$201),'Бланк OLD 0.8 04'!$B$12:$K$200,6,0)="","",VLOOKUP($A406-COUNT('Шаг2.Бланк заказа NEW'!$B$19:$B$201),'Бланк OLD 0.8 04'!$B$12:$K$200,6,0))),
IF(VLOOKUP($A406-COUNT('Шаг2.Бланк заказа NEW'!$B$19:$B$201)-COUNT('Бланк OLD 0.8 04'!$B$18:$B$200),'Бланк OLD 2.0 04 '!$B$16:$K$200,6,0)="","",VLOOKUP($A406-COUNT('Шаг2.Бланк заказа NEW'!$B$19:$B$201)-COUNT('Бланк OLD 0.8 04'!$B$18:$B$200),'Бланк OLD 2.0 04 '!$B$16:$K$200,6,0)))</f>
        <v/>
      </c>
      <c r="J406" s="177" t="str">
        <f ca="1">IF(IF(T406="","",IF(T406=1,SUMIFS('Шаг1.Выбор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плиты'!C:Q,12,0)),1))))))=0,
T406,
IF(T406="","",IF(T406=1,SUMIFS('Шаг1.Выбор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плиты'!N:N,T406,'Шаг1.Выбор плиты'!M:M,SMALL(INDIRECT("мм"&amp;VLOOKUP(C406,'Шаг1.Выбор плиты'!C:Q,12,0)),1)))))))</f>
        <v/>
      </c>
      <c r="K406" s="177" t="str">
        <f ca="1">IF(IF(U406="","",IF(U406=1,SUMIFS('Шаг1.Выбор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плиты'!C:Q,12,0)),1))))))=0,
U406,
IF(U406="","",IF(U406=1,SUMIFS('Шаг1.Выбор плиты'!$G:$G,'Шаг1.Выбор плиты'!J:J,"*"&amp;RIGHT(VLOOKUP(C406,'Шаг1.Выбор плиты'!C:Q,8,0),4),'Шаг1.Выбор плиты'!L:L,IF(MID(C406,1,6)="ЛДСП P","TM"&amp;MID(VLOOKUP(C406,'Шаг1.Выбор плиты'!C:Q,10,0),3,2),MID(VLOOKUP(C406,'Шаг1.Выбор плиты'!C:Q,10,0),1,2)),
'Шаг1.Выбор плиты'!N:N,1),IF(SUMIFS('Шаг1.Выбор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плиты'!C:Q,12,0)),1))=0,
IF(SUMIFS('Шаг1.Выбор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плиты'!C:Q,12,0)),2))=0,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плиты'!C:Q,12,0)),3)),
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плиты'!C:Q,12,0)),2))),
(SUMIFS('Шаг1.Выбор плиты'!$G:$G,'Шаг1.Выбор плиты'!J:J,"*"&amp;RIGHT(VLOOKUP(C406,'Шаг1.Выбор плиты'!C:Q,8,0),4),'Шаг1.Выбор плиты'!L:L,VLOOKUP(C406,'Шаг1.Выбор плиты'!C:Q,10,0),'Шаг1.Выбор плиты'!N:N,U406,'Шаг1.Выбор плиты'!M:M,SMALL(INDIRECT("мм"&amp;VLOOKUP(C406,'Шаг1.Выбор плиты'!C:Q,12,0)),1)))))))</f>
        <v/>
      </c>
      <c r="L406" s="147" t="str">
        <f ca="1">IFERROR(IFERROR(IF(VLOOKUP($A406,'Шаг2.Бланк заказа NEW'!$B$17:$N$201,9,0)="","",VLOOKUP($A406,'Шаг2.Бланк заказа NEW'!$B$17:$N$201,9,0)),
IF(VLOOKUP($A406-COUNT('Шаг2.Бланк заказа NEW'!$B$19:$B$201),'Бланк OLD 0.8 04'!$B$12:$K$200,9,0)="","",VLOOKUP($A406-COUNT('Шаг2.Бланк заказа NEW'!$B$19:$B$201),'Бланк OLD 0.8 04'!$B$12:$K$200,9,0))),
IF(VLOOKUP($A406-COUNT('Шаг2.Бланк заказа NEW'!$B$19:$B$201)-COUNT('Бланк OLD 0.8 04'!$B$18:$B$200),'Бланк OLD 2.0 04 '!$B$16:$K$200,9,0)="","",VLOOKUP($A406-COUNT('Шаг2.Бланк заказа NEW'!$B$19:$B$201)-COUNT('Бланк OLD 0.8 04'!$B$18:$B$200),'Бланк OLD 2.0 04 '!$B$16:$K$200,9,0)))</f>
        <v/>
      </c>
      <c r="M406" s="154" t="str">
        <f t="shared" ca="1" si="36"/>
        <v/>
      </c>
      <c r="N406" s="153" t="str">
        <f ca="1">IFERROR(IF(VLOOKUP($A406,'Шаг2.Бланк заказа NEW'!$B$17:$N$201,11,0)="","",VLOOKUP($A406,'Шаг2.Бланк заказа NEW'!$B$17:$N$201,11,0)),
"Нет")</f>
        <v/>
      </c>
      <c r="O406" s="147" t="str">
        <f ca="1">IFERROR(IF(VLOOKUP($A406,'Шаг2.Бланк заказа NEW'!$B$17:$N$201,11,0)="","",VLOOKUP($A406,'Шаг2.Бланк заказа NEW'!$B$17:$N$201,12,0)),
"Нет")</f>
        <v/>
      </c>
      <c r="P406" s="153" t="str">
        <f ca="1">IFERROR(IF(VLOOKUP($A406,'Шаг2.Бланк заказа NEW'!$B$17:$N$201,13,0)="","",VLOOKUP($A406,'Шаг2.Бланк заказа NEW'!$B$17:$N$201,13,0)),
"Нет")</f>
        <v/>
      </c>
      <c r="Q406" s="147" t="str">
        <f ca="1">IFERROR(IF(VLOOKUP($A406,'Шаг2.Бланк заказа NEW'!$B$17:$O$201,14,0)="","",VLOOKUP($A406,'Шаг2.Бланк заказа NEW'!$B$17:$O$201,14,0)),"")</f>
        <v/>
      </c>
      <c r="R406" s="147" t="str">
        <f ca="1">IFERROR(IFERROR(IF(VLOOKUP($A406,'Шаг2.Бланк заказа NEW'!$B$17:$N$201,4,0)="","",VLOOKUP($A406,'Шаг2.Бланк заказа NEW'!$B$17:$N$201,4,0)),
IF(VLOOKUP($A406-COUNT('Шаг2.Бланк заказа NEW'!$B$19:$B$201),'Бланк OLD 0.8 04'!$B$12:$K$200,4,0)&gt;0,0.8,
IF(VLOOKUP($A406-COUNT('Шаг2.Бланк заказа NEW'!$B$19:$B$201),'Бланк OLD 0.8 04'!$B$12:$K$200,5,0)&gt;0,0.4,""))),
IF(VLOOKUP($A406-COUNT('Шаг2.Бланк заказа NEW'!$B$19:$B$201)-COUNT('Бланк OLD 0.8 04'!$B$18:$B$200),'Бланк OLD 2.0 04 '!$B$16:$K$200,4,0)&gt;0,2,IF(VLOOKUP($A406-COUNT('Шаг2.Бланк заказа NEW'!$B$19:$B$201)-COUNT('Бланк OLD 0.8 04'!$B$18:$B$200),'Бланк OLD 2.0 04 '!$B$16:$K$200,5,0)&gt;0,0.4,"")))</f>
        <v/>
      </c>
      <c r="S406" s="147" t="str">
        <f ca="1">IFERROR(IFERROR(IF(VLOOKUP($A406,'Шаг2.Бланк заказа NEW'!$B$17:$N$201,5,0)="","",VLOOKUP($A406,'Шаг2.Бланк заказа NEW'!$B$17:$N$201,5,0)),
IF(VLOOKUP($A406-COUNT('Шаг2.Бланк заказа NEW'!$B$19:$B$201),'Бланк OLD 0.8 04'!$B$12:$K$200,4,0)&gt;1,0.8,
IF(VLOOKUP($A406-COUNT('Шаг2.Бланк заказа NEW'!$B$19:$B$201),'Бланк OLD 0.8 04'!$B$12:$K$200,5,0)&gt;1,0.4,
IF(AND(VLOOKUP($A406-COUNT('Шаг2.Бланк заказа NEW'!$B$19:$B$201),'Бланк OLD 0.8 04'!$B$12:$K$200,4,0)&gt;0,VLOOKUP($A406-COUNT('Шаг2.Бланк заказа NEW'!$B$19:$B$201),'Бланк OLD 0.8 04'!$B$12:$K$200,5,0)&gt;0),0.4,"")))),
IF(VLOOKUP($A406-COUNT('Шаг2.Бланк заказа NEW'!$B$19:$B$201)-COUNT('Бланк OLD 0.8 04'!$B$18:$B$200),'Бланк OLD 2.0 04 '!$B$16:$K$200,4,0)&gt;1,2,
IF(VLOOKUP($A406-COUNT('Шаг2.Бланк заказа NEW'!$B$19:$B$201)-COUNT('Бланк OLD 0.8 04'!$B$18:$B$200),'Бланк OLD 2.0 04 '!$B$16:$K$200,5,0)&gt;1,0.4,IF(AND(VLOOKUP($A406-COUNT('Шаг2.Бланк заказа NEW'!$B$19:$B$201)-COUNT('Бланк OLD 0.8 04'!$B$18:$B$200),'Бланк OLD 2.0 04 '!$B$16:$K$200,4,0)&gt;0,VLOOKUP($A406-COUNT('Шаг2.Бланк заказа NEW'!$B$19:$B$201)-COUNT('Бланк OLD 0.8 04'!$B$18:$B$200),'Бланк OLD 2.0 04 '!$B$16:$K$200,5,0)&gt;0),0.4,""))))</f>
        <v/>
      </c>
      <c r="T406" s="147" t="str">
        <f ca="1">IFERROR(IFERROR(IF(VLOOKUP($A406,'Шаг2.Бланк заказа NEW'!$B$17:$N$201,7,0)="","",VLOOKUP($A406,'Шаг2.Бланк заказа NEW'!$B$17:$N$201,7,0)),
IF(VLOOKUP($A406-COUNT('Шаг2.Бланк заказа NEW'!$B$19:$B$201),'Бланк OLD 0.8 04'!$B$12:$K$200,7,0)&gt;0,0.8,
IF(VLOOKUP($A406-COUNT('Шаг2.Бланк заказа NEW'!$B$19:$B$201),'Бланк OLD 0.8 04'!$B$12:$K$200,8,0)&gt;0,0.4,""))),
IF(VLOOKUP($A406-COUNT('Шаг2.Бланк заказа NEW'!$B$19:$B$201)-COUNT('Бланк OLD 0.8 04'!$B$18:$B$200),'Бланк OLD 2.0 04 '!$B$16:$K$200,7,0)&gt;0,2,IF(VLOOKUP($A406-COUNT('Шаг2.Бланк заказа NEW'!$B$19:$B$201)-COUNT('Бланк OLD 0.8 04'!$B$18:$B$200),'Бланк OLD 2.0 04 '!$B$16:$K$200,8,0)&gt;0,0.4,"")))</f>
        <v/>
      </c>
      <c r="U406" s="147" t="str">
        <f ca="1">IFERROR(IFERROR(IF(VLOOKUP($A406,'Шаг2.Бланк заказа NEW'!$B$17:$N$201,8,0)="","",VLOOKUP($A406,'Шаг2.Бланк заказа NEW'!$B$17:$N$201,8,0)),
IF(VLOOKUP($A406-COUNT('Шаг2.Бланк заказа NEW'!$B$19:$B$201),'Бланк OLD 0.8 04'!$B$12:$K$200,7,0)&gt;1,0.8,
IF(VLOOKUP($A406-COUNT('Шаг2.Бланк заказа NEW'!$B$19:$B$201),'Бланк OLD 0.8 04'!$B$12:$K$200,8,0)&gt;1,0.4,
IF(AND(VLOOKUP($A406-COUNT('Шаг2.Бланк заказа NEW'!$B$19:$B$201),'Бланк OLD 0.8 04'!$B$12:$K$200,7,0)&gt;0,VLOOKUP($A406-COUNT('Шаг2.Бланк заказа NEW'!$B$19:$B$201),'Бланк OLD 0.8 04'!$B$12:$K$200,8,0)&gt;0),0.4,"")))),
IF(VLOOKUP($A406-COUNT('Шаг2.Бланк заказа NEW'!$B$19:$B$201)-COUNT('Бланк OLD 0.8 04'!$B$18:$B$200),'Бланк OLD 2.0 04 '!$B$16:$K$200,7,0)&gt;1,2,
IF(VLOOKUP($A406-COUNT('Шаг2.Бланк заказа NEW'!$B$19:$B$201)-COUNT('Бланк OLD 0.8 04'!$B$18:$B$200),'Бланк OLD 2.0 04 '!$B$16:$K$200,8,0)&gt;1,0.4,
IF(AND(VLOOKUP($A406-COUNT('Шаг2.Бланк заказа NEW'!$B$19:$B$201)-COUNT('Бланк OLD 0.8 04'!$B$18:$B$200),'Бланк OLD 2.0 04 '!$B$16:$K$200,7,0)&gt;0,VLOOKUP($A406-COUNT('Шаг2.Бланк заказа NEW'!$B$19:$B$201)-COUNT('Бланк OLD 0.8 04'!$B$18:$B$200),'Бланк OLD 2.0 04 '!$B$16:$K$200,8,0)&gt;0),0.4,""))))</f>
        <v/>
      </c>
      <c r="V406" s="146" t="str">
        <f ca="1">IFERROR(VLOOKUP(C406,'Шаг1.Выбор плиты'!C:S,12,0),"")</f>
        <v/>
      </c>
      <c r="W406" s="146" t="str">
        <f ca="1">IFERROR(VLOOKUP(C406,'Шаг1.Выбор плиты'!C:S,8,0),"")</f>
        <v/>
      </c>
      <c r="X406" s="146" t="str">
        <f ca="1">IFERROR(VLOOKUP(C406,'Шаг1.Выбор плиты'!C:S,10,0),"")</f>
        <v/>
      </c>
      <c r="Y406" s="147" t="str">
        <f t="shared" ca="1" si="39"/>
        <v/>
      </c>
      <c r="AD406" s="147" t="str">
        <f t="shared" ca="1" si="37"/>
        <v/>
      </c>
      <c r="AE406" s="147" t="str">
        <f t="shared" ca="1" si="40"/>
        <v/>
      </c>
      <c r="AF406" s="25"/>
      <c r="AH406" s="147" t="str">
        <f ca="1">IF(C406="","",VLOOKUP(C406,'Шаг1.Выбор плиты'!C:Q,7,0))</f>
        <v/>
      </c>
      <c r="AI406" s="147" t="str">
        <f t="shared" ca="1" si="38"/>
        <v/>
      </c>
    </row>
    <row r="407" spans="1:35" x14ac:dyDescent="0.2">
      <c r="A407" s="151" t="str">
        <f ca="1">IF(C407="","",MAX($A$1:OFFSET(C407,-1,0))+1)</f>
        <v/>
      </c>
      <c r="B407" s="151" t="str">
        <f ca="1">IFERROR(IFERROR(IFERROR("Шаг2.Бланк заказа NEW №"&amp;VLOOKUP(A406+1,CHOOSE({1,2},'Шаг2.Бланк заказа NEW'!$B$19:$B$201,'Шаг2.Бланк заказа NEW'!$A$19:$A$201),1,0),
"Бланк OLD 0.8 04 №"&amp;VLOOKUP(A406+1-COUNT('Шаг2.Бланк заказа NEW'!$B$19:$B$201),CHOOSE({1,2},'Бланк OLD 0.8 04'!$B$18:$B$200,'Бланк OLD 0.8 04'!$A$18:$A$200),1,0)),
"Бланк OLD 2.0 04 №"&amp;VLOOKUP(A406+1-COUNT('Шаг2.Бланк заказа NEW'!$B$19:$B$201)-COUNT('Бланк OLD 0.8 04'!$B$18:$B$200),CHOOSE({1,2},'Бланк OLD 2.0 04 '!$B$18:$B$200,'Бланк OLD 2.0 04 '!$A$18:$A$200),1,0)),"")</f>
        <v/>
      </c>
      <c r="C407" s="152" t="str">
        <f ca="1">IFERROR(IFERROR(IFERROR(VLOOKUP(A406+1,CHOOSE({1,2},'Шаг2.Бланк заказа NEW'!$B$19:$B$201,'Шаг2.Бланк заказа NEW'!$A$19:$A$201),2,0),
VLOOKUP(A406+1-COUNT('Шаг2.Бланк заказа NEW'!$B$19:$B$201),CHOOSE({1,2},'Бланк OLD 0.8 04'!$B$18:$B$200,'Бланк OLD 0.8 04'!$A$18:$A$200),2,0)),
VLOOKUP(A406+1-COUNT('Шаг2.Бланк заказа NEW'!$B$19:$B$201)-COUNT('Бланк OLD 0.8 04'!$B$18:$B$200),CHOOSE({1,2},'Бланк OLD 2.0 04 '!$B$18:$B$200,'Бланк OLD 2.0 04 '!$A$18:$A$200),2,0)),"")</f>
        <v/>
      </c>
      <c r="D407" s="150" t="str">
        <f ca="1">IFERROR(VLOOKUP(C407,'Шаг1.Выбор плиты'!C:G,5,0),"")</f>
        <v/>
      </c>
      <c r="E407" s="147" t="str">
        <f ca="1">IFERROR(IFERROR(IF(VLOOKUP($A407,'Шаг2.Бланк заказа NEW'!$B$17:$N$201,2,0)="","",VLOOKUP($A407,'Шаг2.Бланк заказа NEW'!$B$17:$N$201,2,0)),
IF(VLOOKUP($A407-COUNT('Шаг2.Бланк заказа NEW'!$B$19:$B$201),'Бланк OLD 0.8 04'!$B$12:$K$200,2,0)="","",VLOOKUP($A407-COUNT('Шаг2.Бланк заказа NEW'!$B$19:$B$201),'Бланк OLD 0.8 04'!$B$12:$K$200,2,0))),
IF(VLOOKUP($A407-COUNT('Шаг2.Бланк заказа NEW'!$B$19:$B$201)-COUNT('Бланк OLD 0.8 04'!$B$18:$B$200),'Бланк OLD 2.0 04 '!$B$16:$K$200,2,0)="","",VLOOKUP($A407-COUNT('Шаг2.Бланк заказа NEW'!$B$19:$B$201)-COUNT('Бланк OLD 0.8 04'!$B$18:$B$200),'Бланк OLD 2.0 04 '!$B$16:$K$200,2,0)))</f>
        <v/>
      </c>
      <c r="F407" s="147" t="str">
        <f ca="1">IFERROR(IFERROR(IF(VLOOKUP($A407,'Шаг2.Бланк заказа NEW'!$B$17:$N$201,3,0)="","",VLOOKUP($A407,'Шаг2.Бланк заказа NEW'!$B$17:$N$201,3,0)),
IF(VLOOKUP($A407-COUNT('Шаг2.Бланк заказа NEW'!$B$19:$B$201),'Бланк OLD 0.8 04'!$B$12:$K$200,3,0)="","",VLOOKUP($A407-COUNT('Шаг2.Бланк заказа NEW'!$B$19:$B$201),'Бланк OLD 0.8 04'!$B$12:$K$200,3,0))),
IF(VLOOKUP($A407-COUNT('Шаг2.Бланк заказа NEW'!$B$19:$B$201)-COUNT('Бланк OLD 0.8 04'!$B$18:$B$200),'Бланк OLD 2.0 04 '!$B$16:$K$200,3,0)="","",VLOOKUP($A407-COUNT('Шаг2.Бланк заказа NEW'!$B$19:$B$201)-COUNT('Бланк OLD 0.8 04'!$B$18:$B$200),'Бланк OLD 2.0 04 '!$B$16:$K$200,3,0)))</f>
        <v/>
      </c>
      <c r="G407" s="176" t="str">
        <f ca="1">IF(IF(R407="","",IF(R407=1,SUMIFS('Шаг1.Выбор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плиты'!C:Q,12,0)),1))))))=0,
R407,
IF(R407="","",IF(R407=1,SUMIFS('Шаг1.Выбор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плиты'!N:N,R407,'Шаг1.Выбор плиты'!M:M,SMALL(INDIRECT("мм"&amp;VLOOKUP(C407,'Шаг1.Выбор плиты'!C:Q,12,0)),1)))))))</f>
        <v/>
      </c>
      <c r="H407" s="177" t="str">
        <f ca="1">IF(IF(S407="","",IF(S407=1,SUMIFS('Шаг1.Выбор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плиты'!C:Q,12,0)),1))))))=0,
S407,
IF(S407="","",IF(S407=1,SUMIFS('Шаг1.Выбор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плиты'!N:N,S407,'Шаг1.Выбор плиты'!M:M,SMALL(INDIRECT("мм"&amp;VLOOKUP(C407,'Шаг1.Выбор плиты'!C:Q,12,0)),1)))))))</f>
        <v/>
      </c>
      <c r="I407" s="147" t="str">
        <f ca="1">IFERROR(IFERROR(IF(VLOOKUP($A407,'Шаг2.Бланк заказа NEW'!$B$17:$N$201,6,0)="","",VLOOKUP($A407,'Шаг2.Бланк заказа NEW'!$B$17:$N$201,6,0)),
IF(VLOOKUP($A407-COUNT('Шаг2.Бланк заказа NEW'!$B$19:$B$201),'Бланк OLD 0.8 04'!$B$12:$K$200,6,0)="","",VLOOKUP($A407-COUNT('Шаг2.Бланк заказа NEW'!$B$19:$B$201),'Бланк OLD 0.8 04'!$B$12:$K$200,6,0))),
IF(VLOOKUP($A407-COUNT('Шаг2.Бланк заказа NEW'!$B$19:$B$201)-COUNT('Бланк OLD 0.8 04'!$B$18:$B$200),'Бланк OLD 2.0 04 '!$B$16:$K$200,6,0)="","",VLOOKUP($A407-COUNT('Шаг2.Бланк заказа NEW'!$B$19:$B$201)-COUNT('Бланк OLD 0.8 04'!$B$18:$B$200),'Бланк OLD 2.0 04 '!$B$16:$K$200,6,0)))</f>
        <v/>
      </c>
      <c r="J407" s="177" t="str">
        <f ca="1">IF(IF(T407="","",IF(T407=1,SUMIFS('Шаг1.Выбор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плиты'!C:Q,12,0)),1))))))=0,
T407,
IF(T407="","",IF(T407=1,SUMIFS('Шаг1.Выбор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плиты'!N:N,T407,'Шаг1.Выбор плиты'!M:M,SMALL(INDIRECT("мм"&amp;VLOOKUP(C407,'Шаг1.Выбор плиты'!C:Q,12,0)),1)))))))</f>
        <v/>
      </c>
      <c r="K407" s="177" t="str">
        <f ca="1">IF(IF(U407="","",IF(U407=1,SUMIFS('Шаг1.Выбор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плиты'!C:Q,12,0)),1))))))=0,
U407,
IF(U407="","",IF(U407=1,SUMIFS('Шаг1.Выбор плиты'!$G:$G,'Шаг1.Выбор плиты'!J:J,"*"&amp;RIGHT(VLOOKUP(C407,'Шаг1.Выбор плиты'!C:Q,8,0),4),'Шаг1.Выбор плиты'!L:L,IF(MID(C407,1,6)="ЛДСП P","TM"&amp;MID(VLOOKUP(C407,'Шаг1.Выбор плиты'!C:Q,10,0),3,2),MID(VLOOKUP(C407,'Шаг1.Выбор плиты'!C:Q,10,0),1,2)),
'Шаг1.Выбор плиты'!N:N,1),IF(SUMIFS('Шаг1.Выбор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плиты'!C:Q,12,0)),1))=0,
IF(SUMIFS('Шаг1.Выбор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плиты'!C:Q,12,0)),2))=0,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плиты'!C:Q,12,0)),3)),
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плиты'!C:Q,12,0)),2))),
(SUMIFS('Шаг1.Выбор плиты'!$G:$G,'Шаг1.Выбор плиты'!J:J,"*"&amp;RIGHT(VLOOKUP(C407,'Шаг1.Выбор плиты'!C:Q,8,0),4),'Шаг1.Выбор плиты'!L:L,VLOOKUP(C407,'Шаг1.Выбор плиты'!C:Q,10,0),'Шаг1.Выбор плиты'!N:N,U407,'Шаг1.Выбор плиты'!M:M,SMALL(INDIRECT("мм"&amp;VLOOKUP(C407,'Шаг1.Выбор плиты'!C:Q,12,0)),1)))))))</f>
        <v/>
      </c>
      <c r="L407" s="147" t="str">
        <f ca="1">IFERROR(IFERROR(IF(VLOOKUP($A407,'Шаг2.Бланк заказа NEW'!$B$17:$N$201,9,0)="","",VLOOKUP($A407,'Шаг2.Бланк заказа NEW'!$B$17:$N$201,9,0)),
IF(VLOOKUP($A407-COUNT('Шаг2.Бланк заказа NEW'!$B$19:$B$201),'Бланк OLD 0.8 04'!$B$12:$K$200,9,0)="","",VLOOKUP($A407-COUNT('Шаг2.Бланк заказа NEW'!$B$19:$B$201),'Бланк OLD 0.8 04'!$B$12:$K$200,9,0))),
IF(VLOOKUP($A407-COUNT('Шаг2.Бланк заказа NEW'!$B$19:$B$201)-COUNT('Бланк OLD 0.8 04'!$B$18:$B$200),'Бланк OLD 2.0 04 '!$B$16:$K$200,9,0)="","",VLOOKUP($A407-COUNT('Шаг2.Бланк заказа NEW'!$B$19:$B$201)-COUNT('Бланк OLD 0.8 04'!$B$18:$B$200),'Бланк OLD 2.0 04 '!$B$16:$K$200,9,0)))</f>
        <v/>
      </c>
      <c r="M407" s="154" t="str">
        <f t="shared" ca="1" si="36"/>
        <v/>
      </c>
      <c r="N407" s="153" t="str">
        <f ca="1">IFERROR(IF(VLOOKUP($A407,'Шаг2.Бланк заказа NEW'!$B$17:$N$201,11,0)="","",VLOOKUP($A407,'Шаг2.Бланк заказа NEW'!$B$17:$N$201,11,0)),
"Нет")</f>
        <v/>
      </c>
      <c r="O407" s="147" t="str">
        <f ca="1">IFERROR(IF(VLOOKUP($A407,'Шаг2.Бланк заказа NEW'!$B$17:$N$201,11,0)="","",VLOOKUP($A407,'Шаг2.Бланк заказа NEW'!$B$17:$N$201,12,0)),
"Нет")</f>
        <v/>
      </c>
      <c r="P407" s="153" t="str">
        <f ca="1">IFERROR(IF(VLOOKUP($A407,'Шаг2.Бланк заказа NEW'!$B$17:$N$201,13,0)="","",VLOOKUP($A407,'Шаг2.Бланк заказа NEW'!$B$17:$N$201,13,0)),
"Нет")</f>
        <v/>
      </c>
      <c r="Q407" s="147" t="str">
        <f ca="1">IFERROR(IF(VLOOKUP($A407,'Шаг2.Бланк заказа NEW'!$B$17:$O$201,14,0)="","",VLOOKUP($A407,'Шаг2.Бланк заказа NEW'!$B$17:$O$201,14,0)),"")</f>
        <v/>
      </c>
      <c r="R407" s="147" t="str">
        <f ca="1">IFERROR(IFERROR(IF(VLOOKUP($A407,'Шаг2.Бланк заказа NEW'!$B$17:$N$201,4,0)="","",VLOOKUP($A407,'Шаг2.Бланк заказа NEW'!$B$17:$N$201,4,0)),
IF(VLOOKUP($A407-COUNT('Шаг2.Бланк заказа NEW'!$B$19:$B$201),'Бланк OLD 0.8 04'!$B$12:$K$200,4,0)&gt;0,0.8,
IF(VLOOKUP($A407-COUNT('Шаг2.Бланк заказа NEW'!$B$19:$B$201),'Бланк OLD 0.8 04'!$B$12:$K$200,5,0)&gt;0,0.4,""))),
IF(VLOOKUP($A407-COUNT('Шаг2.Бланк заказа NEW'!$B$19:$B$201)-COUNT('Бланк OLD 0.8 04'!$B$18:$B$200),'Бланк OLD 2.0 04 '!$B$16:$K$200,4,0)&gt;0,2,IF(VLOOKUP($A407-COUNT('Шаг2.Бланк заказа NEW'!$B$19:$B$201)-COUNT('Бланк OLD 0.8 04'!$B$18:$B$200),'Бланк OLD 2.0 04 '!$B$16:$K$200,5,0)&gt;0,0.4,"")))</f>
        <v/>
      </c>
      <c r="S407" s="147" t="str">
        <f ca="1">IFERROR(IFERROR(IF(VLOOKUP($A407,'Шаг2.Бланк заказа NEW'!$B$17:$N$201,5,0)="","",VLOOKUP($A407,'Шаг2.Бланк заказа NEW'!$B$17:$N$201,5,0)),
IF(VLOOKUP($A407-COUNT('Шаг2.Бланк заказа NEW'!$B$19:$B$201),'Бланк OLD 0.8 04'!$B$12:$K$200,4,0)&gt;1,0.8,
IF(VLOOKUP($A407-COUNT('Шаг2.Бланк заказа NEW'!$B$19:$B$201),'Бланк OLD 0.8 04'!$B$12:$K$200,5,0)&gt;1,0.4,
IF(AND(VLOOKUP($A407-COUNT('Шаг2.Бланк заказа NEW'!$B$19:$B$201),'Бланк OLD 0.8 04'!$B$12:$K$200,4,0)&gt;0,VLOOKUP($A407-COUNT('Шаг2.Бланк заказа NEW'!$B$19:$B$201),'Бланк OLD 0.8 04'!$B$12:$K$200,5,0)&gt;0),0.4,"")))),
IF(VLOOKUP($A407-COUNT('Шаг2.Бланк заказа NEW'!$B$19:$B$201)-COUNT('Бланк OLD 0.8 04'!$B$18:$B$200),'Бланк OLD 2.0 04 '!$B$16:$K$200,4,0)&gt;1,2,
IF(VLOOKUP($A407-COUNT('Шаг2.Бланк заказа NEW'!$B$19:$B$201)-COUNT('Бланк OLD 0.8 04'!$B$18:$B$200),'Бланк OLD 2.0 04 '!$B$16:$K$200,5,0)&gt;1,0.4,IF(AND(VLOOKUP($A407-COUNT('Шаг2.Бланк заказа NEW'!$B$19:$B$201)-COUNT('Бланк OLD 0.8 04'!$B$18:$B$200),'Бланк OLD 2.0 04 '!$B$16:$K$200,4,0)&gt;0,VLOOKUP($A407-COUNT('Шаг2.Бланк заказа NEW'!$B$19:$B$201)-COUNT('Бланк OLD 0.8 04'!$B$18:$B$200),'Бланк OLD 2.0 04 '!$B$16:$K$200,5,0)&gt;0),0.4,""))))</f>
        <v/>
      </c>
      <c r="T407" s="147" t="str">
        <f ca="1">IFERROR(IFERROR(IF(VLOOKUP($A407,'Шаг2.Бланк заказа NEW'!$B$17:$N$201,7,0)="","",VLOOKUP($A407,'Шаг2.Бланк заказа NEW'!$B$17:$N$201,7,0)),
IF(VLOOKUP($A407-COUNT('Шаг2.Бланк заказа NEW'!$B$19:$B$201),'Бланк OLD 0.8 04'!$B$12:$K$200,7,0)&gt;0,0.8,
IF(VLOOKUP($A407-COUNT('Шаг2.Бланк заказа NEW'!$B$19:$B$201),'Бланк OLD 0.8 04'!$B$12:$K$200,8,0)&gt;0,0.4,""))),
IF(VLOOKUP($A407-COUNT('Шаг2.Бланк заказа NEW'!$B$19:$B$201)-COUNT('Бланк OLD 0.8 04'!$B$18:$B$200),'Бланк OLD 2.0 04 '!$B$16:$K$200,7,0)&gt;0,2,IF(VLOOKUP($A407-COUNT('Шаг2.Бланк заказа NEW'!$B$19:$B$201)-COUNT('Бланк OLD 0.8 04'!$B$18:$B$200),'Бланк OLD 2.0 04 '!$B$16:$K$200,8,0)&gt;0,0.4,"")))</f>
        <v/>
      </c>
      <c r="U407" s="147" t="str">
        <f ca="1">IFERROR(IFERROR(IF(VLOOKUP($A407,'Шаг2.Бланк заказа NEW'!$B$17:$N$201,8,0)="","",VLOOKUP($A407,'Шаг2.Бланк заказа NEW'!$B$17:$N$201,8,0)),
IF(VLOOKUP($A407-COUNT('Шаг2.Бланк заказа NEW'!$B$19:$B$201),'Бланк OLD 0.8 04'!$B$12:$K$200,7,0)&gt;1,0.8,
IF(VLOOKUP($A407-COUNT('Шаг2.Бланк заказа NEW'!$B$19:$B$201),'Бланк OLD 0.8 04'!$B$12:$K$200,8,0)&gt;1,0.4,
IF(AND(VLOOKUP($A407-COUNT('Шаг2.Бланк заказа NEW'!$B$19:$B$201),'Бланк OLD 0.8 04'!$B$12:$K$200,7,0)&gt;0,VLOOKUP($A407-COUNT('Шаг2.Бланк заказа NEW'!$B$19:$B$201),'Бланк OLD 0.8 04'!$B$12:$K$200,8,0)&gt;0),0.4,"")))),
IF(VLOOKUP($A407-COUNT('Шаг2.Бланк заказа NEW'!$B$19:$B$201)-COUNT('Бланк OLD 0.8 04'!$B$18:$B$200),'Бланк OLD 2.0 04 '!$B$16:$K$200,7,0)&gt;1,2,
IF(VLOOKUP($A407-COUNT('Шаг2.Бланк заказа NEW'!$B$19:$B$201)-COUNT('Бланк OLD 0.8 04'!$B$18:$B$200),'Бланк OLD 2.0 04 '!$B$16:$K$200,8,0)&gt;1,0.4,
IF(AND(VLOOKUP($A407-COUNT('Шаг2.Бланк заказа NEW'!$B$19:$B$201)-COUNT('Бланк OLD 0.8 04'!$B$18:$B$200),'Бланк OLD 2.0 04 '!$B$16:$K$200,7,0)&gt;0,VLOOKUP($A407-COUNT('Шаг2.Бланк заказа NEW'!$B$19:$B$201)-COUNT('Бланк OLD 0.8 04'!$B$18:$B$200),'Бланк OLD 2.0 04 '!$B$16:$K$200,8,0)&gt;0),0.4,""))))</f>
        <v/>
      </c>
      <c r="V407" s="146" t="str">
        <f ca="1">IFERROR(VLOOKUP(C407,'Шаг1.Выбор плиты'!C:S,12,0),"")</f>
        <v/>
      </c>
      <c r="W407" s="146" t="str">
        <f ca="1">IFERROR(VLOOKUP(C407,'Шаг1.Выбор плиты'!C:S,8,0),"")</f>
        <v/>
      </c>
      <c r="X407" s="146" t="str">
        <f ca="1">IFERROR(VLOOKUP(C407,'Шаг1.Выбор плиты'!C:S,10,0),"")</f>
        <v/>
      </c>
      <c r="Y407" s="147" t="str">
        <f t="shared" ca="1" si="39"/>
        <v/>
      </c>
      <c r="AD407" s="147" t="str">
        <f t="shared" ca="1" si="37"/>
        <v/>
      </c>
      <c r="AE407" s="147" t="str">
        <f t="shared" ca="1" si="40"/>
        <v/>
      </c>
      <c r="AF407" s="25"/>
      <c r="AH407" s="147" t="str">
        <f ca="1">IF(C407="","",VLOOKUP(C407,'Шаг1.Выбор плиты'!C:Q,7,0))</f>
        <v/>
      </c>
      <c r="AI407" s="147" t="str">
        <f t="shared" ca="1" si="38"/>
        <v/>
      </c>
    </row>
    <row r="408" spans="1:35" x14ac:dyDescent="0.2">
      <c r="A408" s="151" t="str">
        <f ca="1">IF(C408="","",MAX($A$1:OFFSET(C408,-1,0))+1)</f>
        <v/>
      </c>
      <c r="B408" s="151" t="str">
        <f ca="1">IFERROR(IFERROR(IFERROR("Шаг2.Бланк заказа NEW №"&amp;VLOOKUP(A407+1,CHOOSE({1,2},'Шаг2.Бланк заказа NEW'!$B$19:$B$201,'Шаг2.Бланк заказа NEW'!$A$19:$A$201),1,0),
"Бланк OLD 0.8 04 №"&amp;VLOOKUP(A407+1-COUNT('Шаг2.Бланк заказа NEW'!$B$19:$B$201),CHOOSE({1,2},'Бланк OLD 0.8 04'!$B$18:$B$200,'Бланк OLD 0.8 04'!$A$18:$A$200),1,0)),
"Бланк OLD 2.0 04 №"&amp;VLOOKUP(A407+1-COUNT('Шаг2.Бланк заказа NEW'!$B$19:$B$201)-COUNT('Бланк OLD 0.8 04'!$B$18:$B$200),CHOOSE({1,2},'Бланк OLD 2.0 04 '!$B$18:$B$200,'Бланк OLD 2.0 04 '!$A$18:$A$200),1,0)),"")</f>
        <v/>
      </c>
      <c r="C408" s="152" t="str">
        <f ca="1">IFERROR(IFERROR(IFERROR(VLOOKUP(A407+1,CHOOSE({1,2},'Шаг2.Бланк заказа NEW'!$B$19:$B$201,'Шаг2.Бланк заказа NEW'!$A$19:$A$201),2,0),
VLOOKUP(A407+1-COUNT('Шаг2.Бланк заказа NEW'!$B$19:$B$201),CHOOSE({1,2},'Бланк OLD 0.8 04'!$B$18:$B$200,'Бланк OLD 0.8 04'!$A$18:$A$200),2,0)),
VLOOKUP(A407+1-COUNT('Шаг2.Бланк заказа NEW'!$B$19:$B$201)-COUNT('Бланк OLD 0.8 04'!$B$18:$B$200),CHOOSE({1,2},'Бланк OLD 2.0 04 '!$B$18:$B$200,'Бланк OLD 2.0 04 '!$A$18:$A$200),2,0)),"")</f>
        <v/>
      </c>
      <c r="D408" s="150" t="str">
        <f ca="1">IFERROR(VLOOKUP(C408,'Шаг1.Выбор плиты'!C:G,5,0),"")</f>
        <v/>
      </c>
      <c r="E408" s="147" t="str">
        <f ca="1">IFERROR(IFERROR(IF(VLOOKUP($A408,'Шаг2.Бланк заказа NEW'!$B$17:$N$201,2,0)="","",VLOOKUP($A408,'Шаг2.Бланк заказа NEW'!$B$17:$N$201,2,0)),
IF(VLOOKUP($A408-COUNT('Шаг2.Бланк заказа NEW'!$B$19:$B$201),'Бланк OLD 0.8 04'!$B$12:$K$200,2,0)="","",VLOOKUP($A408-COUNT('Шаг2.Бланк заказа NEW'!$B$19:$B$201),'Бланк OLD 0.8 04'!$B$12:$K$200,2,0))),
IF(VLOOKUP($A408-COUNT('Шаг2.Бланк заказа NEW'!$B$19:$B$201)-COUNT('Бланк OLD 0.8 04'!$B$18:$B$200),'Бланк OLD 2.0 04 '!$B$16:$K$200,2,0)="","",VLOOKUP($A408-COUNT('Шаг2.Бланк заказа NEW'!$B$19:$B$201)-COUNT('Бланк OLD 0.8 04'!$B$18:$B$200),'Бланк OLD 2.0 04 '!$B$16:$K$200,2,0)))</f>
        <v/>
      </c>
      <c r="F408" s="147" t="str">
        <f ca="1">IFERROR(IFERROR(IF(VLOOKUP($A408,'Шаг2.Бланк заказа NEW'!$B$17:$N$201,3,0)="","",VLOOKUP($A408,'Шаг2.Бланк заказа NEW'!$B$17:$N$201,3,0)),
IF(VLOOKUP($A408-COUNT('Шаг2.Бланк заказа NEW'!$B$19:$B$201),'Бланк OLD 0.8 04'!$B$12:$K$200,3,0)="","",VLOOKUP($A408-COUNT('Шаг2.Бланк заказа NEW'!$B$19:$B$201),'Бланк OLD 0.8 04'!$B$12:$K$200,3,0))),
IF(VLOOKUP($A408-COUNT('Шаг2.Бланк заказа NEW'!$B$19:$B$201)-COUNT('Бланк OLD 0.8 04'!$B$18:$B$200),'Бланк OLD 2.0 04 '!$B$16:$K$200,3,0)="","",VLOOKUP($A408-COUNT('Шаг2.Бланк заказа NEW'!$B$19:$B$201)-COUNT('Бланк OLD 0.8 04'!$B$18:$B$200),'Бланк OLD 2.0 04 '!$B$16:$K$200,3,0)))</f>
        <v/>
      </c>
      <c r="G408" s="176" t="str">
        <f ca="1">IF(IF(R408="","",IF(R408=1,SUMIFS('Шаг1.Выбор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плиты'!C:Q,12,0)),1))))))=0,
R408,
IF(R408="","",IF(R408=1,SUMIFS('Шаг1.Выбор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плиты'!N:N,R408,'Шаг1.Выбор плиты'!M:M,SMALL(INDIRECT("мм"&amp;VLOOKUP(C408,'Шаг1.Выбор плиты'!C:Q,12,0)),1)))))))</f>
        <v/>
      </c>
      <c r="H408" s="177" t="str">
        <f ca="1">IF(IF(S408="","",IF(S408=1,SUMIFS('Шаг1.Выбор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плиты'!C:Q,12,0)),1))))))=0,
S408,
IF(S408="","",IF(S408=1,SUMIFS('Шаг1.Выбор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плиты'!N:N,S408,'Шаг1.Выбор плиты'!M:M,SMALL(INDIRECT("мм"&amp;VLOOKUP(C408,'Шаг1.Выбор плиты'!C:Q,12,0)),1)))))))</f>
        <v/>
      </c>
      <c r="I408" s="147" t="str">
        <f ca="1">IFERROR(IFERROR(IF(VLOOKUP($A408,'Шаг2.Бланк заказа NEW'!$B$17:$N$201,6,0)="","",VLOOKUP($A408,'Шаг2.Бланк заказа NEW'!$B$17:$N$201,6,0)),
IF(VLOOKUP($A408-COUNT('Шаг2.Бланк заказа NEW'!$B$19:$B$201),'Бланк OLD 0.8 04'!$B$12:$K$200,6,0)="","",VLOOKUP($A408-COUNT('Шаг2.Бланк заказа NEW'!$B$19:$B$201),'Бланк OLD 0.8 04'!$B$12:$K$200,6,0))),
IF(VLOOKUP($A408-COUNT('Шаг2.Бланк заказа NEW'!$B$19:$B$201)-COUNT('Бланк OLD 0.8 04'!$B$18:$B$200),'Бланк OLD 2.0 04 '!$B$16:$K$200,6,0)="","",VLOOKUP($A408-COUNT('Шаг2.Бланк заказа NEW'!$B$19:$B$201)-COUNT('Бланк OLD 0.8 04'!$B$18:$B$200),'Бланк OLD 2.0 04 '!$B$16:$K$200,6,0)))</f>
        <v/>
      </c>
      <c r="J408" s="177" t="str">
        <f ca="1">IF(IF(T408="","",IF(T408=1,SUMIFS('Шаг1.Выбор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плиты'!C:Q,12,0)),1))))))=0,
T408,
IF(T408="","",IF(T408=1,SUMIFS('Шаг1.Выбор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плиты'!N:N,T408,'Шаг1.Выбор плиты'!M:M,SMALL(INDIRECT("мм"&amp;VLOOKUP(C408,'Шаг1.Выбор плиты'!C:Q,12,0)),1)))))))</f>
        <v/>
      </c>
      <c r="K408" s="177" t="str">
        <f ca="1">IF(IF(U408="","",IF(U408=1,SUMIFS('Шаг1.Выбор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плиты'!C:Q,12,0)),1))))))=0,
U408,
IF(U408="","",IF(U408=1,SUMIFS('Шаг1.Выбор плиты'!$G:$G,'Шаг1.Выбор плиты'!J:J,"*"&amp;RIGHT(VLOOKUP(C408,'Шаг1.Выбор плиты'!C:Q,8,0),4),'Шаг1.Выбор плиты'!L:L,IF(MID(C408,1,6)="ЛДСП P","TM"&amp;MID(VLOOKUP(C408,'Шаг1.Выбор плиты'!C:Q,10,0),3,2),MID(VLOOKUP(C408,'Шаг1.Выбор плиты'!C:Q,10,0),1,2)),
'Шаг1.Выбор плиты'!N:N,1),IF(SUMIFS('Шаг1.Выбор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плиты'!C:Q,12,0)),1))=0,
IF(SUMIFS('Шаг1.Выбор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плиты'!C:Q,12,0)),2))=0,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плиты'!C:Q,12,0)),3)),
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плиты'!C:Q,12,0)),2))),
(SUMIFS('Шаг1.Выбор плиты'!$G:$G,'Шаг1.Выбор плиты'!J:J,"*"&amp;RIGHT(VLOOKUP(C408,'Шаг1.Выбор плиты'!C:Q,8,0),4),'Шаг1.Выбор плиты'!L:L,VLOOKUP(C408,'Шаг1.Выбор плиты'!C:Q,10,0),'Шаг1.Выбор плиты'!N:N,U408,'Шаг1.Выбор плиты'!M:M,SMALL(INDIRECT("мм"&amp;VLOOKUP(C408,'Шаг1.Выбор плиты'!C:Q,12,0)),1)))))))</f>
        <v/>
      </c>
      <c r="L408" s="147" t="str">
        <f ca="1">IFERROR(IFERROR(IF(VLOOKUP($A408,'Шаг2.Бланк заказа NEW'!$B$17:$N$201,9,0)="","",VLOOKUP($A408,'Шаг2.Бланк заказа NEW'!$B$17:$N$201,9,0)),
IF(VLOOKUP($A408-COUNT('Шаг2.Бланк заказа NEW'!$B$19:$B$201),'Бланк OLD 0.8 04'!$B$12:$K$200,9,0)="","",VLOOKUP($A408-COUNT('Шаг2.Бланк заказа NEW'!$B$19:$B$201),'Бланк OLD 0.8 04'!$B$12:$K$200,9,0))),
IF(VLOOKUP($A408-COUNT('Шаг2.Бланк заказа NEW'!$B$19:$B$201)-COUNT('Бланк OLD 0.8 04'!$B$18:$B$200),'Бланк OLD 2.0 04 '!$B$16:$K$200,9,0)="","",VLOOKUP($A408-COUNT('Шаг2.Бланк заказа NEW'!$B$19:$B$201)-COUNT('Бланк OLD 0.8 04'!$B$18:$B$200),'Бланк OLD 2.0 04 '!$B$16:$K$200,9,0)))</f>
        <v/>
      </c>
      <c r="M408" s="154" t="str">
        <f t="shared" ca="1" si="36"/>
        <v/>
      </c>
      <c r="N408" s="153" t="str">
        <f ca="1">IFERROR(IF(VLOOKUP($A408,'Шаг2.Бланк заказа NEW'!$B$17:$N$201,11,0)="","",VLOOKUP($A408,'Шаг2.Бланк заказа NEW'!$B$17:$N$201,11,0)),
"Нет")</f>
        <v/>
      </c>
      <c r="O408" s="147" t="str">
        <f ca="1">IFERROR(IF(VLOOKUP($A408,'Шаг2.Бланк заказа NEW'!$B$17:$N$201,11,0)="","",VLOOKUP($A408,'Шаг2.Бланк заказа NEW'!$B$17:$N$201,12,0)),
"Нет")</f>
        <v/>
      </c>
      <c r="P408" s="153" t="str">
        <f ca="1">IFERROR(IF(VLOOKUP($A408,'Шаг2.Бланк заказа NEW'!$B$17:$N$201,13,0)="","",VLOOKUP($A408,'Шаг2.Бланк заказа NEW'!$B$17:$N$201,13,0)),
"Нет")</f>
        <v/>
      </c>
      <c r="Q408" s="147" t="str">
        <f ca="1">IFERROR(IF(VLOOKUP($A408,'Шаг2.Бланк заказа NEW'!$B$17:$O$201,14,0)="","",VLOOKUP($A408,'Шаг2.Бланк заказа NEW'!$B$17:$O$201,14,0)),"")</f>
        <v/>
      </c>
      <c r="R408" s="147" t="str">
        <f ca="1">IFERROR(IFERROR(IF(VLOOKUP($A408,'Шаг2.Бланк заказа NEW'!$B$17:$N$201,4,0)="","",VLOOKUP($A408,'Шаг2.Бланк заказа NEW'!$B$17:$N$201,4,0)),
IF(VLOOKUP($A408-COUNT('Шаг2.Бланк заказа NEW'!$B$19:$B$201),'Бланк OLD 0.8 04'!$B$12:$K$200,4,0)&gt;0,0.8,
IF(VLOOKUP($A408-COUNT('Шаг2.Бланк заказа NEW'!$B$19:$B$201),'Бланк OLD 0.8 04'!$B$12:$K$200,5,0)&gt;0,0.4,""))),
IF(VLOOKUP($A408-COUNT('Шаг2.Бланк заказа NEW'!$B$19:$B$201)-COUNT('Бланк OLD 0.8 04'!$B$18:$B$200),'Бланк OLD 2.0 04 '!$B$16:$K$200,4,0)&gt;0,2,IF(VLOOKUP($A408-COUNT('Шаг2.Бланк заказа NEW'!$B$19:$B$201)-COUNT('Бланк OLD 0.8 04'!$B$18:$B$200),'Бланк OLD 2.0 04 '!$B$16:$K$200,5,0)&gt;0,0.4,"")))</f>
        <v/>
      </c>
      <c r="S408" s="147" t="str">
        <f ca="1">IFERROR(IFERROR(IF(VLOOKUP($A408,'Шаг2.Бланк заказа NEW'!$B$17:$N$201,5,0)="","",VLOOKUP($A408,'Шаг2.Бланк заказа NEW'!$B$17:$N$201,5,0)),
IF(VLOOKUP($A408-COUNT('Шаг2.Бланк заказа NEW'!$B$19:$B$201),'Бланк OLD 0.8 04'!$B$12:$K$200,4,0)&gt;1,0.8,
IF(VLOOKUP($A408-COUNT('Шаг2.Бланк заказа NEW'!$B$19:$B$201),'Бланк OLD 0.8 04'!$B$12:$K$200,5,0)&gt;1,0.4,
IF(AND(VLOOKUP($A408-COUNT('Шаг2.Бланк заказа NEW'!$B$19:$B$201),'Бланк OLD 0.8 04'!$B$12:$K$200,4,0)&gt;0,VLOOKUP($A408-COUNT('Шаг2.Бланк заказа NEW'!$B$19:$B$201),'Бланк OLD 0.8 04'!$B$12:$K$200,5,0)&gt;0),0.4,"")))),
IF(VLOOKUP($A408-COUNT('Шаг2.Бланк заказа NEW'!$B$19:$B$201)-COUNT('Бланк OLD 0.8 04'!$B$18:$B$200),'Бланк OLD 2.0 04 '!$B$16:$K$200,4,0)&gt;1,2,
IF(VLOOKUP($A408-COUNT('Шаг2.Бланк заказа NEW'!$B$19:$B$201)-COUNT('Бланк OLD 0.8 04'!$B$18:$B$200),'Бланк OLD 2.0 04 '!$B$16:$K$200,5,0)&gt;1,0.4,IF(AND(VLOOKUP($A408-COUNT('Шаг2.Бланк заказа NEW'!$B$19:$B$201)-COUNT('Бланк OLD 0.8 04'!$B$18:$B$200),'Бланк OLD 2.0 04 '!$B$16:$K$200,4,0)&gt;0,VLOOKUP($A408-COUNT('Шаг2.Бланк заказа NEW'!$B$19:$B$201)-COUNT('Бланк OLD 0.8 04'!$B$18:$B$200),'Бланк OLD 2.0 04 '!$B$16:$K$200,5,0)&gt;0),0.4,""))))</f>
        <v/>
      </c>
      <c r="T408" s="147" t="str">
        <f ca="1">IFERROR(IFERROR(IF(VLOOKUP($A408,'Шаг2.Бланк заказа NEW'!$B$17:$N$201,7,0)="","",VLOOKUP($A408,'Шаг2.Бланк заказа NEW'!$B$17:$N$201,7,0)),
IF(VLOOKUP($A408-COUNT('Шаг2.Бланк заказа NEW'!$B$19:$B$201),'Бланк OLD 0.8 04'!$B$12:$K$200,7,0)&gt;0,0.8,
IF(VLOOKUP($A408-COUNT('Шаг2.Бланк заказа NEW'!$B$19:$B$201),'Бланк OLD 0.8 04'!$B$12:$K$200,8,0)&gt;0,0.4,""))),
IF(VLOOKUP($A408-COUNT('Шаг2.Бланк заказа NEW'!$B$19:$B$201)-COUNT('Бланк OLD 0.8 04'!$B$18:$B$200),'Бланк OLD 2.0 04 '!$B$16:$K$200,7,0)&gt;0,2,IF(VLOOKUP($A408-COUNT('Шаг2.Бланк заказа NEW'!$B$19:$B$201)-COUNT('Бланк OLD 0.8 04'!$B$18:$B$200),'Бланк OLD 2.0 04 '!$B$16:$K$200,8,0)&gt;0,0.4,"")))</f>
        <v/>
      </c>
      <c r="U408" s="147" t="str">
        <f ca="1">IFERROR(IFERROR(IF(VLOOKUP($A408,'Шаг2.Бланк заказа NEW'!$B$17:$N$201,8,0)="","",VLOOKUP($A408,'Шаг2.Бланк заказа NEW'!$B$17:$N$201,8,0)),
IF(VLOOKUP($A408-COUNT('Шаг2.Бланк заказа NEW'!$B$19:$B$201),'Бланк OLD 0.8 04'!$B$12:$K$200,7,0)&gt;1,0.8,
IF(VLOOKUP($A408-COUNT('Шаг2.Бланк заказа NEW'!$B$19:$B$201),'Бланк OLD 0.8 04'!$B$12:$K$200,8,0)&gt;1,0.4,
IF(AND(VLOOKUP($A408-COUNT('Шаг2.Бланк заказа NEW'!$B$19:$B$201),'Бланк OLD 0.8 04'!$B$12:$K$200,7,0)&gt;0,VLOOKUP($A408-COUNT('Шаг2.Бланк заказа NEW'!$B$19:$B$201),'Бланк OLD 0.8 04'!$B$12:$K$200,8,0)&gt;0),0.4,"")))),
IF(VLOOKUP($A408-COUNT('Шаг2.Бланк заказа NEW'!$B$19:$B$201)-COUNT('Бланк OLD 0.8 04'!$B$18:$B$200),'Бланк OLD 2.0 04 '!$B$16:$K$200,7,0)&gt;1,2,
IF(VLOOKUP($A408-COUNT('Шаг2.Бланк заказа NEW'!$B$19:$B$201)-COUNT('Бланк OLD 0.8 04'!$B$18:$B$200),'Бланк OLD 2.0 04 '!$B$16:$K$200,8,0)&gt;1,0.4,
IF(AND(VLOOKUP($A408-COUNT('Шаг2.Бланк заказа NEW'!$B$19:$B$201)-COUNT('Бланк OLD 0.8 04'!$B$18:$B$200),'Бланк OLD 2.0 04 '!$B$16:$K$200,7,0)&gt;0,VLOOKUP($A408-COUNT('Шаг2.Бланк заказа NEW'!$B$19:$B$201)-COUNT('Бланк OLD 0.8 04'!$B$18:$B$200),'Бланк OLD 2.0 04 '!$B$16:$K$200,8,0)&gt;0),0.4,""))))</f>
        <v/>
      </c>
      <c r="V408" s="146" t="str">
        <f ca="1">IFERROR(VLOOKUP(C408,'Шаг1.Выбор плиты'!C:S,12,0),"")</f>
        <v/>
      </c>
      <c r="W408" s="146" t="str">
        <f ca="1">IFERROR(VLOOKUP(C408,'Шаг1.Выбор плиты'!C:S,8,0),"")</f>
        <v/>
      </c>
      <c r="X408" s="146" t="str">
        <f ca="1">IFERROR(VLOOKUP(C408,'Шаг1.Выбор плиты'!C:S,10,0),"")</f>
        <v/>
      </c>
      <c r="Y408" s="147" t="str">
        <f t="shared" ca="1" si="39"/>
        <v/>
      </c>
      <c r="AD408" s="147" t="str">
        <f t="shared" ca="1" si="37"/>
        <v/>
      </c>
      <c r="AE408" s="147" t="str">
        <f t="shared" ca="1" si="40"/>
        <v/>
      </c>
      <c r="AF408" s="25"/>
      <c r="AH408" s="147" t="str">
        <f ca="1">IF(C408="","",VLOOKUP(C408,'Шаг1.Выбор плиты'!C:Q,7,0))</f>
        <v/>
      </c>
      <c r="AI408" s="147" t="str">
        <f t="shared" ca="1" si="38"/>
        <v/>
      </c>
    </row>
    <row r="409" spans="1:35" x14ac:dyDescent="0.2">
      <c r="A409" s="151" t="str">
        <f ca="1">IF(C409="","",MAX($A$1:OFFSET(C409,-1,0))+1)</f>
        <v/>
      </c>
      <c r="B409" s="151" t="str">
        <f ca="1">IFERROR(IFERROR(IFERROR("Шаг2.Бланк заказа NEW №"&amp;VLOOKUP(A408+1,CHOOSE({1,2},'Шаг2.Бланк заказа NEW'!$B$19:$B$201,'Шаг2.Бланк заказа NEW'!$A$19:$A$201),1,0),
"Бланк OLD 0.8 04 №"&amp;VLOOKUP(A408+1-COUNT('Шаг2.Бланк заказа NEW'!$B$19:$B$201),CHOOSE({1,2},'Бланк OLD 0.8 04'!$B$18:$B$200,'Бланк OLD 0.8 04'!$A$18:$A$200),1,0)),
"Бланк OLD 2.0 04 №"&amp;VLOOKUP(A408+1-COUNT('Шаг2.Бланк заказа NEW'!$B$19:$B$201)-COUNT('Бланк OLD 0.8 04'!$B$18:$B$200),CHOOSE({1,2},'Бланк OLD 2.0 04 '!$B$18:$B$200,'Бланк OLD 2.0 04 '!$A$18:$A$200),1,0)),"")</f>
        <v/>
      </c>
      <c r="C409" s="152" t="str">
        <f ca="1">IFERROR(IFERROR(IFERROR(VLOOKUP(A408+1,CHOOSE({1,2},'Шаг2.Бланк заказа NEW'!$B$19:$B$201,'Шаг2.Бланк заказа NEW'!$A$19:$A$201),2,0),
VLOOKUP(A408+1-COUNT('Шаг2.Бланк заказа NEW'!$B$19:$B$201),CHOOSE({1,2},'Бланк OLD 0.8 04'!$B$18:$B$200,'Бланк OLD 0.8 04'!$A$18:$A$200),2,0)),
VLOOKUP(A408+1-COUNT('Шаг2.Бланк заказа NEW'!$B$19:$B$201)-COUNT('Бланк OLD 0.8 04'!$B$18:$B$200),CHOOSE({1,2},'Бланк OLD 2.0 04 '!$B$18:$B$200,'Бланк OLD 2.0 04 '!$A$18:$A$200),2,0)),"")</f>
        <v/>
      </c>
      <c r="D409" s="150" t="str">
        <f ca="1">IFERROR(VLOOKUP(C409,'Шаг1.Выбор плиты'!C:G,5,0),"")</f>
        <v/>
      </c>
      <c r="E409" s="147" t="str">
        <f ca="1">IFERROR(IFERROR(IF(VLOOKUP($A409,'Шаг2.Бланк заказа NEW'!$B$17:$N$201,2,0)="","",VLOOKUP($A409,'Шаг2.Бланк заказа NEW'!$B$17:$N$201,2,0)),
IF(VLOOKUP($A409-COUNT('Шаг2.Бланк заказа NEW'!$B$19:$B$201),'Бланк OLD 0.8 04'!$B$12:$K$200,2,0)="","",VLOOKUP($A409-COUNT('Шаг2.Бланк заказа NEW'!$B$19:$B$201),'Бланк OLD 0.8 04'!$B$12:$K$200,2,0))),
IF(VLOOKUP($A409-COUNT('Шаг2.Бланк заказа NEW'!$B$19:$B$201)-COUNT('Бланк OLD 0.8 04'!$B$18:$B$200),'Бланк OLD 2.0 04 '!$B$16:$K$200,2,0)="","",VLOOKUP($A409-COUNT('Шаг2.Бланк заказа NEW'!$B$19:$B$201)-COUNT('Бланк OLD 0.8 04'!$B$18:$B$200),'Бланк OLD 2.0 04 '!$B$16:$K$200,2,0)))</f>
        <v/>
      </c>
      <c r="F409" s="147" t="str">
        <f ca="1">IFERROR(IFERROR(IF(VLOOKUP($A409,'Шаг2.Бланк заказа NEW'!$B$17:$N$201,3,0)="","",VLOOKUP($A409,'Шаг2.Бланк заказа NEW'!$B$17:$N$201,3,0)),
IF(VLOOKUP($A409-COUNT('Шаг2.Бланк заказа NEW'!$B$19:$B$201),'Бланк OLD 0.8 04'!$B$12:$K$200,3,0)="","",VLOOKUP($A409-COUNT('Шаг2.Бланк заказа NEW'!$B$19:$B$201),'Бланк OLD 0.8 04'!$B$12:$K$200,3,0))),
IF(VLOOKUP($A409-COUNT('Шаг2.Бланк заказа NEW'!$B$19:$B$201)-COUNT('Бланк OLD 0.8 04'!$B$18:$B$200),'Бланк OLD 2.0 04 '!$B$16:$K$200,3,0)="","",VLOOKUP($A409-COUNT('Шаг2.Бланк заказа NEW'!$B$19:$B$201)-COUNT('Бланк OLD 0.8 04'!$B$18:$B$200),'Бланк OLD 2.0 04 '!$B$16:$K$200,3,0)))</f>
        <v/>
      </c>
      <c r="G409" s="176" t="str">
        <f ca="1">IF(IF(R409="","",IF(R409=1,SUMIFS('Шаг1.Выбор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плиты'!C:Q,12,0)),1))))))=0,
R409,
IF(R409="","",IF(R409=1,SUMIFS('Шаг1.Выбор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плиты'!N:N,R409,'Шаг1.Выбор плиты'!M:M,SMALL(INDIRECT("мм"&amp;VLOOKUP(C409,'Шаг1.Выбор плиты'!C:Q,12,0)),1)))))))</f>
        <v/>
      </c>
      <c r="H409" s="177" t="str">
        <f ca="1">IF(IF(S409="","",IF(S409=1,SUMIFS('Шаг1.Выбор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плиты'!C:Q,12,0)),1))))))=0,
S409,
IF(S409="","",IF(S409=1,SUMIFS('Шаг1.Выбор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плиты'!N:N,S409,'Шаг1.Выбор плиты'!M:M,SMALL(INDIRECT("мм"&amp;VLOOKUP(C409,'Шаг1.Выбор плиты'!C:Q,12,0)),1)))))))</f>
        <v/>
      </c>
      <c r="I409" s="147" t="str">
        <f ca="1">IFERROR(IFERROR(IF(VLOOKUP($A409,'Шаг2.Бланк заказа NEW'!$B$17:$N$201,6,0)="","",VLOOKUP($A409,'Шаг2.Бланк заказа NEW'!$B$17:$N$201,6,0)),
IF(VLOOKUP($A409-COUNT('Шаг2.Бланк заказа NEW'!$B$19:$B$201),'Бланк OLD 0.8 04'!$B$12:$K$200,6,0)="","",VLOOKUP($A409-COUNT('Шаг2.Бланк заказа NEW'!$B$19:$B$201),'Бланк OLD 0.8 04'!$B$12:$K$200,6,0))),
IF(VLOOKUP($A409-COUNT('Шаг2.Бланк заказа NEW'!$B$19:$B$201)-COUNT('Бланк OLD 0.8 04'!$B$18:$B$200),'Бланк OLD 2.0 04 '!$B$16:$K$200,6,0)="","",VLOOKUP($A409-COUNT('Шаг2.Бланк заказа NEW'!$B$19:$B$201)-COUNT('Бланк OLD 0.8 04'!$B$18:$B$200),'Бланк OLD 2.0 04 '!$B$16:$K$200,6,0)))</f>
        <v/>
      </c>
      <c r="J409" s="177" t="str">
        <f ca="1">IF(IF(T409="","",IF(T409=1,SUMIFS('Шаг1.Выбор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плиты'!C:Q,12,0)),1))))))=0,
T409,
IF(T409="","",IF(T409=1,SUMIFS('Шаг1.Выбор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плиты'!N:N,T409,'Шаг1.Выбор плиты'!M:M,SMALL(INDIRECT("мм"&amp;VLOOKUP(C409,'Шаг1.Выбор плиты'!C:Q,12,0)),1)))))))</f>
        <v/>
      </c>
      <c r="K409" s="177" t="str">
        <f ca="1">IF(IF(U409="","",IF(U409=1,SUMIFS('Шаг1.Выбор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плиты'!C:Q,12,0)),1))))))=0,
U409,
IF(U409="","",IF(U409=1,SUMIFS('Шаг1.Выбор плиты'!$G:$G,'Шаг1.Выбор плиты'!J:J,"*"&amp;RIGHT(VLOOKUP(C409,'Шаг1.Выбор плиты'!C:Q,8,0),4),'Шаг1.Выбор плиты'!L:L,IF(MID(C409,1,6)="ЛДСП P","TM"&amp;MID(VLOOKUP(C409,'Шаг1.Выбор плиты'!C:Q,10,0),3,2),MID(VLOOKUP(C409,'Шаг1.Выбор плиты'!C:Q,10,0),1,2)),
'Шаг1.Выбор плиты'!N:N,1),IF(SUMIFS('Шаг1.Выбор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плиты'!C:Q,12,0)),1))=0,
IF(SUMIFS('Шаг1.Выбор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плиты'!C:Q,12,0)),2))=0,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плиты'!C:Q,12,0)),3)),
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плиты'!C:Q,12,0)),2))),
(SUMIFS('Шаг1.Выбор плиты'!$G:$G,'Шаг1.Выбор плиты'!J:J,"*"&amp;RIGHT(VLOOKUP(C409,'Шаг1.Выбор плиты'!C:Q,8,0),4),'Шаг1.Выбор плиты'!L:L,VLOOKUP(C409,'Шаг1.Выбор плиты'!C:Q,10,0),'Шаг1.Выбор плиты'!N:N,U409,'Шаг1.Выбор плиты'!M:M,SMALL(INDIRECT("мм"&amp;VLOOKUP(C409,'Шаг1.Выбор плиты'!C:Q,12,0)),1)))))))</f>
        <v/>
      </c>
      <c r="L409" s="147" t="str">
        <f ca="1">IFERROR(IFERROR(IF(VLOOKUP($A409,'Шаг2.Бланк заказа NEW'!$B$17:$N$201,9,0)="","",VLOOKUP($A409,'Шаг2.Бланк заказа NEW'!$B$17:$N$201,9,0)),
IF(VLOOKUP($A409-COUNT('Шаг2.Бланк заказа NEW'!$B$19:$B$201),'Бланк OLD 0.8 04'!$B$12:$K$200,9,0)="","",VLOOKUP($A409-COUNT('Шаг2.Бланк заказа NEW'!$B$19:$B$201),'Бланк OLD 0.8 04'!$B$12:$K$200,9,0))),
IF(VLOOKUP($A409-COUNT('Шаг2.Бланк заказа NEW'!$B$19:$B$201)-COUNT('Бланк OLD 0.8 04'!$B$18:$B$200),'Бланк OLD 2.0 04 '!$B$16:$K$200,9,0)="","",VLOOKUP($A409-COUNT('Шаг2.Бланк заказа NEW'!$B$19:$B$201)-COUNT('Бланк OLD 0.8 04'!$B$18:$B$200),'Бланк OLD 2.0 04 '!$B$16:$K$200,9,0)))</f>
        <v/>
      </c>
      <c r="M409" s="154" t="str">
        <f t="shared" ca="1" si="36"/>
        <v/>
      </c>
      <c r="N409" s="153" t="str">
        <f ca="1">IFERROR(IF(VLOOKUP($A409,'Шаг2.Бланк заказа NEW'!$B$17:$N$201,11,0)="","",VLOOKUP($A409,'Шаг2.Бланк заказа NEW'!$B$17:$N$201,11,0)),
"Нет")</f>
        <v/>
      </c>
      <c r="O409" s="147" t="str">
        <f ca="1">IFERROR(IF(VLOOKUP($A409,'Шаг2.Бланк заказа NEW'!$B$17:$N$201,11,0)="","",VLOOKUP($A409,'Шаг2.Бланк заказа NEW'!$B$17:$N$201,12,0)),
"Нет")</f>
        <v/>
      </c>
      <c r="P409" s="153" t="str">
        <f ca="1">IFERROR(IF(VLOOKUP($A409,'Шаг2.Бланк заказа NEW'!$B$17:$N$201,13,0)="","",VLOOKUP($A409,'Шаг2.Бланк заказа NEW'!$B$17:$N$201,13,0)),
"Нет")</f>
        <v/>
      </c>
      <c r="Q409" s="147" t="str">
        <f ca="1">IFERROR(IF(VLOOKUP($A409,'Шаг2.Бланк заказа NEW'!$B$17:$O$201,14,0)="","",VLOOKUP($A409,'Шаг2.Бланк заказа NEW'!$B$17:$O$201,14,0)),"")</f>
        <v/>
      </c>
      <c r="R409" s="147" t="str">
        <f ca="1">IFERROR(IFERROR(IF(VLOOKUP($A409,'Шаг2.Бланк заказа NEW'!$B$17:$N$201,4,0)="","",VLOOKUP($A409,'Шаг2.Бланк заказа NEW'!$B$17:$N$201,4,0)),
IF(VLOOKUP($A409-COUNT('Шаг2.Бланк заказа NEW'!$B$19:$B$201),'Бланк OLD 0.8 04'!$B$12:$K$200,4,0)&gt;0,0.8,
IF(VLOOKUP($A409-COUNT('Шаг2.Бланк заказа NEW'!$B$19:$B$201),'Бланк OLD 0.8 04'!$B$12:$K$200,5,0)&gt;0,0.4,""))),
IF(VLOOKUP($A409-COUNT('Шаг2.Бланк заказа NEW'!$B$19:$B$201)-COUNT('Бланк OLD 0.8 04'!$B$18:$B$200),'Бланк OLD 2.0 04 '!$B$16:$K$200,4,0)&gt;0,2,IF(VLOOKUP($A409-COUNT('Шаг2.Бланк заказа NEW'!$B$19:$B$201)-COUNT('Бланк OLD 0.8 04'!$B$18:$B$200),'Бланк OLD 2.0 04 '!$B$16:$K$200,5,0)&gt;0,0.4,"")))</f>
        <v/>
      </c>
      <c r="S409" s="147" t="str">
        <f ca="1">IFERROR(IFERROR(IF(VLOOKUP($A409,'Шаг2.Бланк заказа NEW'!$B$17:$N$201,5,0)="","",VLOOKUP($A409,'Шаг2.Бланк заказа NEW'!$B$17:$N$201,5,0)),
IF(VLOOKUP($A409-COUNT('Шаг2.Бланк заказа NEW'!$B$19:$B$201),'Бланк OLD 0.8 04'!$B$12:$K$200,4,0)&gt;1,0.8,
IF(VLOOKUP($A409-COUNT('Шаг2.Бланк заказа NEW'!$B$19:$B$201),'Бланк OLD 0.8 04'!$B$12:$K$200,5,0)&gt;1,0.4,
IF(AND(VLOOKUP($A409-COUNT('Шаг2.Бланк заказа NEW'!$B$19:$B$201),'Бланк OLD 0.8 04'!$B$12:$K$200,4,0)&gt;0,VLOOKUP($A409-COUNT('Шаг2.Бланк заказа NEW'!$B$19:$B$201),'Бланк OLD 0.8 04'!$B$12:$K$200,5,0)&gt;0),0.4,"")))),
IF(VLOOKUP($A409-COUNT('Шаг2.Бланк заказа NEW'!$B$19:$B$201)-COUNT('Бланк OLD 0.8 04'!$B$18:$B$200),'Бланк OLD 2.0 04 '!$B$16:$K$200,4,0)&gt;1,2,
IF(VLOOKUP($A409-COUNT('Шаг2.Бланк заказа NEW'!$B$19:$B$201)-COUNT('Бланк OLD 0.8 04'!$B$18:$B$200),'Бланк OLD 2.0 04 '!$B$16:$K$200,5,0)&gt;1,0.4,IF(AND(VLOOKUP($A409-COUNT('Шаг2.Бланк заказа NEW'!$B$19:$B$201)-COUNT('Бланк OLD 0.8 04'!$B$18:$B$200),'Бланк OLD 2.0 04 '!$B$16:$K$200,4,0)&gt;0,VLOOKUP($A409-COUNT('Шаг2.Бланк заказа NEW'!$B$19:$B$201)-COUNT('Бланк OLD 0.8 04'!$B$18:$B$200),'Бланк OLD 2.0 04 '!$B$16:$K$200,5,0)&gt;0),0.4,""))))</f>
        <v/>
      </c>
      <c r="T409" s="147" t="str">
        <f ca="1">IFERROR(IFERROR(IF(VLOOKUP($A409,'Шаг2.Бланк заказа NEW'!$B$17:$N$201,7,0)="","",VLOOKUP($A409,'Шаг2.Бланк заказа NEW'!$B$17:$N$201,7,0)),
IF(VLOOKUP($A409-COUNT('Шаг2.Бланк заказа NEW'!$B$19:$B$201),'Бланк OLD 0.8 04'!$B$12:$K$200,7,0)&gt;0,0.8,
IF(VLOOKUP($A409-COUNT('Шаг2.Бланк заказа NEW'!$B$19:$B$201),'Бланк OLD 0.8 04'!$B$12:$K$200,8,0)&gt;0,0.4,""))),
IF(VLOOKUP($A409-COUNT('Шаг2.Бланк заказа NEW'!$B$19:$B$201)-COUNT('Бланк OLD 0.8 04'!$B$18:$B$200),'Бланк OLD 2.0 04 '!$B$16:$K$200,7,0)&gt;0,2,IF(VLOOKUP($A409-COUNT('Шаг2.Бланк заказа NEW'!$B$19:$B$201)-COUNT('Бланк OLD 0.8 04'!$B$18:$B$200),'Бланк OLD 2.0 04 '!$B$16:$K$200,8,0)&gt;0,0.4,"")))</f>
        <v/>
      </c>
      <c r="U409" s="147" t="str">
        <f ca="1">IFERROR(IFERROR(IF(VLOOKUP($A409,'Шаг2.Бланк заказа NEW'!$B$17:$N$201,8,0)="","",VLOOKUP($A409,'Шаг2.Бланк заказа NEW'!$B$17:$N$201,8,0)),
IF(VLOOKUP($A409-COUNT('Шаг2.Бланк заказа NEW'!$B$19:$B$201),'Бланк OLD 0.8 04'!$B$12:$K$200,7,0)&gt;1,0.8,
IF(VLOOKUP($A409-COUNT('Шаг2.Бланк заказа NEW'!$B$19:$B$201),'Бланк OLD 0.8 04'!$B$12:$K$200,8,0)&gt;1,0.4,
IF(AND(VLOOKUP($A409-COUNT('Шаг2.Бланк заказа NEW'!$B$19:$B$201),'Бланк OLD 0.8 04'!$B$12:$K$200,7,0)&gt;0,VLOOKUP($A409-COUNT('Шаг2.Бланк заказа NEW'!$B$19:$B$201),'Бланк OLD 0.8 04'!$B$12:$K$200,8,0)&gt;0),0.4,"")))),
IF(VLOOKUP($A409-COUNT('Шаг2.Бланк заказа NEW'!$B$19:$B$201)-COUNT('Бланк OLD 0.8 04'!$B$18:$B$200),'Бланк OLD 2.0 04 '!$B$16:$K$200,7,0)&gt;1,2,
IF(VLOOKUP($A409-COUNT('Шаг2.Бланк заказа NEW'!$B$19:$B$201)-COUNT('Бланк OLD 0.8 04'!$B$18:$B$200),'Бланк OLD 2.0 04 '!$B$16:$K$200,8,0)&gt;1,0.4,
IF(AND(VLOOKUP($A409-COUNT('Шаг2.Бланк заказа NEW'!$B$19:$B$201)-COUNT('Бланк OLD 0.8 04'!$B$18:$B$200),'Бланк OLD 2.0 04 '!$B$16:$K$200,7,0)&gt;0,VLOOKUP($A409-COUNT('Шаг2.Бланк заказа NEW'!$B$19:$B$201)-COUNT('Бланк OLD 0.8 04'!$B$18:$B$200),'Бланк OLD 2.0 04 '!$B$16:$K$200,8,0)&gt;0),0.4,""))))</f>
        <v/>
      </c>
      <c r="V409" s="146" t="str">
        <f ca="1">IFERROR(VLOOKUP(C409,'Шаг1.Выбор плиты'!C:S,12,0),"")</f>
        <v/>
      </c>
      <c r="W409" s="146" t="str">
        <f ca="1">IFERROR(VLOOKUP(C409,'Шаг1.Выбор плиты'!C:S,8,0),"")</f>
        <v/>
      </c>
      <c r="X409" s="146" t="str">
        <f ca="1">IFERROR(VLOOKUP(C409,'Шаг1.Выбор плиты'!C:S,10,0),"")</f>
        <v/>
      </c>
      <c r="Y409" s="147" t="str">
        <f t="shared" ca="1" si="39"/>
        <v/>
      </c>
      <c r="AD409" s="147" t="str">
        <f t="shared" ca="1" si="37"/>
        <v/>
      </c>
      <c r="AE409" s="147" t="str">
        <f t="shared" ca="1" si="40"/>
        <v/>
      </c>
      <c r="AF409" s="25"/>
      <c r="AH409" s="147" t="str">
        <f ca="1">IF(C409="","",VLOOKUP(C409,'Шаг1.Выбор плиты'!C:Q,7,0))</f>
        <v/>
      </c>
      <c r="AI409" s="147" t="str">
        <f t="shared" ca="1" si="38"/>
        <v/>
      </c>
    </row>
    <row r="410" spans="1:35" x14ac:dyDescent="0.2">
      <c r="A410" s="151" t="str">
        <f ca="1">IF(C410="","",MAX($A$1:OFFSET(C410,-1,0))+1)</f>
        <v/>
      </c>
      <c r="B410" s="151" t="str">
        <f ca="1">IFERROR(IFERROR(IFERROR("Шаг2.Бланк заказа NEW №"&amp;VLOOKUP(A409+1,CHOOSE({1,2},'Шаг2.Бланк заказа NEW'!$B$19:$B$201,'Шаг2.Бланк заказа NEW'!$A$19:$A$201),1,0),
"Бланк OLD 0.8 04 №"&amp;VLOOKUP(A409+1-COUNT('Шаг2.Бланк заказа NEW'!$B$19:$B$201),CHOOSE({1,2},'Бланк OLD 0.8 04'!$B$18:$B$200,'Бланк OLD 0.8 04'!$A$18:$A$200),1,0)),
"Бланк OLD 2.0 04 №"&amp;VLOOKUP(A409+1-COUNT('Шаг2.Бланк заказа NEW'!$B$19:$B$201)-COUNT('Бланк OLD 0.8 04'!$B$18:$B$200),CHOOSE({1,2},'Бланк OLD 2.0 04 '!$B$18:$B$200,'Бланк OLD 2.0 04 '!$A$18:$A$200),1,0)),"")</f>
        <v/>
      </c>
      <c r="C410" s="152" t="str">
        <f ca="1">IFERROR(IFERROR(IFERROR(VLOOKUP(A409+1,CHOOSE({1,2},'Шаг2.Бланк заказа NEW'!$B$19:$B$201,'Шаг2.Бланк заказа NEW'!$A$19:$A$201),2,0),
VLOOKUP(A409+1-COUNT('Шаг2.Бланк заказа NEW'!$B$19:$B$201),CHOOSE({1,2},'Бланк OLD 0.8 04'!$B$18:$B$200,'Бланк OLD 0.8 04'!$A$18:$A$200),2,0)),
VLOOKUP(A409+1-COUNT('Шаг2.Бланк заказа NEW'!$B$19:$B$201)-COUNT('Бланк OLD 0.8 04'!$B$18:$B$200),CHOOSE({1,2},'Бланк OLD 2.0 04 '!$B$18:$B$200,'Бланк OLD 2.0 04 '!$A$18:$A$200),2,0)),"")</f>
        <v/>
      </c>
      <c r="D410" s="150" t="str">
        <f ca="1">IFERROR(VLOOKUP(C410,'Шаг1.Выбор плиты'!C:G,5,0),"")</f>
        <v/>
      </c>
      <c r="E410" s="147" t="str">
        <f ca="1">IFERROR(IFERROR(IF(VLOOKUP($A410,'Шаг2.Бланк заказа NEW'!$B$17:$N$201,2,0)="","",VLOOKUP($A410,'Шаг2.Бланк заказа NEW'!$B$17:$N$201,2,0)),
IF(VLOOKUP($A410-COUNT('Шаг2.Бланк заказа NEW'!$B$19:$B$201),'Бланк OLD 0.8 04'!$B$12:$K$200,2,0)="","",VLOOKUP($A410-COUNT('Шаг2.Бланк заказа NEW'!$B$19:$B$201),'Бланк OLD 0.8 04'!$B$12:$K$200,2,0))),
IF(VLOOKUP($A410-COUNT('Шаг2.Бланк заказа NEW'!$B$19:$B$201)-COUNT('Бланк OLD 0.8 04'!$B$18:$B$200),'Бланк OLD 2.0 04 '!$B$16:$K$200,2,0)="","",VLOOKUP($A410-COUNT('Шаг2.Бланк заказа NEW'!$B$19:$B$201)-COUNT('Бланк OLD 0.8 04'!$B$18:$B$200),'Бланк OLD 2.0 04 '!$B$16:$K$200,2,0)))</f>
        <v/>
      </c>
      <c r="F410" s="147" t="str">
        <f ca="1">IFERROR(IFERROR(IF(VLOOKUP($A410,'Шаг2.Бланк заказа NEW'!$B$17:$N$201,3,0)="","",VLOOKUP($A410,'Шаг2.Бланк заказа NEW'!$B$17:$N$201,3,0)),
IF(VLOOKUP($A410-COUNT('Шаг2.Бланк заказа NEW'!$B$19:$B$201),'Бланк OLD 0.8 04'!$B$12:$K$200,3,0)="","",VLOOKUP($A410-COUNT('Шаг2.Бланк заказа NEW'!$B$19:$B$201),'Бланк OLD 0.8 04'!$B$12:$K$200,3,0))),
IF(VLOOKUP($A410-COUNT('Шаг2.Бланк заказа NEW'!$B$19:$B$201)-COUNT('Бланк OLD 0.8 04'!$B$18:$B$200),'Бланк OLD 2.0 04 '!$B$16:$K$200,3,0)="","",VLOOKUP($A410-COUNT('Шаг2.Бланк заказа NEW'!$B$19:$B$201)-COUNT('Бланк OLD 0.8 04'!$B$18:$B$200),'Бланк OLD 2.0 04 '!$B$16:$K$200,3,0)))</f>
        <v/>
      </c>
      <c r="G410" s="176" t="str">
        <f ca="1">IF(IF(R410="","",IF(R410=1,SUMIFS('Шаг1.Выбор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плиты'!C:Q,12,0)),1))))))=0,
R410,
IF(R410="","",IF(R410=1,SUMIFS('Шаг1.Выбор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плиты'!N:N,R410,'Шаг1.Выбор плиты'!M:M,SMALL(INDIRECT("мм"&amp;VLOOKUP(C410,'Шаг1.Выбор плиты'!C:Q,12,0)),1)))))))</f>
        <v/>
      </c>
      <c r="H410" s="177" t="str">
        <f ca="1">IF(IF(S410="","",IF(S410=1,SUMIFS('Шаг1.Выбор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плиты'!C:Q,12,0)),1))))))=0,
S410,
IF(S410="","",IF(S410=1,SUMIFS('Шаг1.Выбор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плиты'!N:N,S410,'Шаг1.Выбор плиты'!M:M,SMALL(INDIRECT("мм"&amp;VLOOKUP(C410,'Шаг1.Выбор плиты'!C:Q,12,0)),1)))))))</f>
        <v/>
      </c>
      <c r="I410" s="147" t="str">
        <f ca="1">IFERROR(IFERROR(IF(VLOOKUP($A410,'Шаг2.Бланк заказа NEW'!$B$17:$N$201,6,0)="","",VLOOKUP($A410,'Шаг2.Бланк заказа NEW'!$B$17:$N$201,6,0)),
IF(VLOOKUP($A410-COUNT('Шаг2.Бланк заказа NEW'!$B$19:$B$201),'Бланк OLD 0.8 04'!$B$12:$K$200,6,0)="","",VLOOKUP($A410-COUNT('Шаг2.Бланк заказа NEW'!$B$19:$B$201),'Бланк OLD 0.8 04'!$B$12:$K$200,6,0))),
IF(VLOOKUP($A410-COUNT('Шаг2.Бланк заказа NEW'!$B$19:$B$201)-COUNT('Бланк OLD 0.8 04'!$B$18:$B$200),'Бланк OLD 2.0 04 '!$B$16:$K$200,6,0)="","",VLOOKUP($A410-COUNT('Шаг2.Бланк заказа NEW'!$B$19:$B$201)-COUNT('Бланк OLD 0.8 04'!$B$18:$B$200),'Бланк OLD 2.0 04 '!$B$16:$K$200,6,0)))</f>
        <v/>
      </c>
      <c r="J410" s="177" t="str">
        <f ca="1">IF(IF(T410="","",IF(T410=1,SUMIFS('Шаг1.Выбор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плиты'!C:Q,12,0)),1))))))=0,
T410,
IF(T410="","",IF(T410=1,SUMIFS('Шаг1.Выбор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плиты'!N:N,T410,'Шаг1.Выбор плиты'!M:M,SMALL(INDIRECT("мм"&amp;VLOOKUP(C410,'Шаг1.Выбор плиты'!C:Q,12,0)),1)))))))</f>
        <v/>
      </c>
      <c r="K410" s="177" t="str">
        <f ca="1">IF(IF(U410="","",IF(U410=1,SUMIFS('Шаг1.Выбор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плиты'!C:Q,12,0)),1))))))=0,
U410,
IF(U410="","",IF(U410=1,SUMIFS('Шаг1.Выбор плиты'!$G:$G,'Шаг1.Выбор плиты'!J:J,"*"&amp;RIGHT(VLOOKUP(C410,'Шаг1.Выбор плиты'!C:Q,8,0),4),'Шаг1.Выбор плиты'!L:L,IF(MID(C410,1,6)="ЛДСП P","TM"&amp;MID(VLOOKUP(C410,'Шаг1.Выбор плиты'!C:Q,10,0),3,2),MID(VLOOKUP(C410,'Шаг1.Выбор плиты'!C:Q,10,0),1,2)),
'Шаг1.Выбор плиты'!N:N,1),IF(SUMIFS('Шаг1.Выбор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плиты'!C:Q,12,0)),1))=0,
IF(SUMIFS('Шаг1.Выбор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плиты'!C:Q,12,0)),2))=0,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плиты'!C:Q,12,0)),3)),
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плиты'!C:Q,12,0)),2))),
(SUMIFS('Шаг1.Выбор плиты'!$G:$G,'Шаг1.Выбор плиты'!J:J,"*"&amp;RIGHT(VLOOKUP(C410,'Шаг1.Выбор плиты'!C:Q,8,0),4),'Шаг1.Выбор плиты'!L:L,VLOOKUP(C410,'Шаг1.Выбор плиты'!C:Q,10,0),'Шаг1.Выбор плиты'!N:N,U410,'Шаг1.Выбор плиты'!M:M,SMALL(INDIRECT("мм"&amp;VLOOKUP(C410,'Шаг1.Выбор плиты'!C:Q,12,0)),1)))))))</f>
        <v/>
      </c>
      <c r="L410" s="147" t="str">
        <f ca="1">IFERROR(IFERROR(IF(VLOOKUP($A410,'Шаг2.Бланк заказа NEW'!$B$17:$N$201,9,0)="","",VLOOKUP($A410,'Шаг2.Бланк заказа NEW'!$B$17:$N$201,9,0)),
IF(VLOOKUP($A410-COUNT('Шаг2.Бланк заказа NEW'!$B$19:$B$201),'Бланк OLD 0.8 04'!$B$12:$K$200,9,0)="","",VLOOKUP($A410-COUNT('Шаг2.Бланк заказа NEW'!$B$19:$B$201),'Бланк OLD 0.8 04'!$B$12:$K$200,9,0))),
IF(VLOOKUP($A410-COUNT('Шаг2.Бланк заказа NEW'!$B$19:$B$201)-COUNT('Бланк OLD 0.8 04'!$B$18:$B$200),'Бланк OLD 2.0 04 '!$B$16:$K$200,9,0)="","",VLOOKUP($A410-COUNT('Шаг2.Бланк заказа NEW'!$B$19:$B$201)-COUNT('Бланк OLD 0.8 04'!$B$18:$B$200),'Бланк OLD 2.0 04 '!$B$16:$K$200,9,0)))</f>
        <v/>
      </c>
      <c r="M410" s="154" t="str">
        <f t="shared" ca="1" si="36"/>
        <v/>
      </c>
      <c r="N410" s="153" t="str">
        <f ca="1">IFERROR(IF(VLOOKUP($A410,'Шаг2.Бланк заказа NEW'!$B$17:$N$201,11,0)="","",VLOOKUP($A410,'Шаг2.Бланк заказа NEW'!$B$17:$N$201,11,0)),
"Нет")</f>
        <v/>
      </c>
      <c r="O410" s="147" t="str">
        <f ca="1">IFERROR(IF(VLOOKUP($A410,'Шаг2.Бланк заказа NEW'!$B$17:$N$201,11,0)="","",VLOOKUP($A410,'Шаг2.Бланк заказа NEW'!$B$17:$N$201,12,0)),
"Нет")</f>
        <v/>
      </c>
      <c r="P410" s="153" t="str">
        <f ca="1">IFERROR(IF(VLOOKUP($A410,'Шаг2.Бланк заказа NEW'!$B$17:$N$201,13,0)="","",VLOOKUP($A410,'Шаг2.Бланк заказа NEW'!$B$17:$N$201,13,0)),
"Нет")</f>
        <v/>
      </c>
      <c r="Q410" s="147" t="str">
        <f ca="1">IFERROR(IF(VLOOKUP($A410,'Шаг2.Бланк заказа NEW'!$B$17:$O$201,14,0)="","",VLOOKUP($A410,'Шаг2.Бланк заказа NEW'!$B$17:$O$201,14,0)),"")</f>
        <v/>
      </c>
      <c r="R410" s="147" t="str">
        <f ca="1">IFERROR(IFERROR(IF(VLOOKUP($A410,'Шаг2.Бланк заказа NEW'!$B$17:$N$201,4,0)="","",VLOOKUP($A410,'Шаг2.Бланк заказа NEW'!$B$17:$N$201,4,0)),
IF(VLOOKUP($A410-COUNT('Шаг2.Бланк заказа NEW'!$B$19:$B$201),'Бланк OLD 0.8 04'!$B$12:$K$200,4,0)&gt;0,0.8,
IF(VLOOKUP($A410-COUNT('Шаг2.Бланк заказа NEW'!$B$19:$B$201),'Бланк OLD 0.8 04'!$B$12:$K$200,5,0)&gt;0,0.4,""))),
IF(VLOOKUP($A410-COUNT('Шаг2.Бланк заказа NEW'!$B$19:$B$201)-COUNT('Бланк OLD 0.8 04'!$B$18:$B$200),'Бланк OLD 2.0 04 '!$B$16:$K$200,4,0)&gt;0,2,IF(VLOOKUP($A410-COUNT('Шаг2.Бланк заказа NEW'!$B$19:$B$201)-COUNT('Бланк OLD 0.8 04'!$B$18:$B$200),'Бланк OLD 2.0 04 '!$B$16:$K$200,5,0)&gt;0,0.4,"")))</f>
        <v/>
      </c>
      <c r="S410" s="147" t="str">
        <f ca="1">IFERROR(IFERROR(IF(VLOOKUP($A410,'Шаг2.Бланк заказа NEW'!$B$17:$N$201,5,0)="","",VLOOKUP($A410,'Шаг2.Бланк заказа NEW'!$B$17:$N$201,5,0)),
IF(VLOOKUP($A410-COUNT('Шаг2.Бланк заказа NEW'!$B$19:$B$201),'Бланк OLD 0.8 04'!$B$12:$K$200,4,0)&gt;1,0.8,
IF(VLOOKUP($A410-COUNT('Шаг2.Бланк заказа NEW'!$B$19:$B$201),'Бланк OLD 0.8 04'!$B$12:$K$200,5,0)&gt;1,0.4,
IF(AND(VLOOKUP($A410-COUNT('Шаг2.Бланк заказа NEW'!$B$19:$B$201),'Бланк OLD 0.8 04'!$B$12:$K$200,4,0)&gt;0,VLOOKUP($A410-COUNT('Шаг2.Бланк заказа NEW'!$B$19:$B$201),'Бланк OLD 0.8 04'!$B$12:$K$200,5,0)&gt;0),0.4,"")))),
IF(VLOOKUP($A410-COUNT('Шаг2.Бланк заказа NEW'!$B$19:$B$201)-COUNT('Бланк OLD 0.8 04'!$B$18:$B$200),'Бланк OLD 2.0 04 '!$B$16:$K$200,4,0)&gt;1,2,
IF(VLOOKUP($A410-COUNT('Шаг2.Бланк заказа NEW'!$B$19:$B$201)-COUNT('Бланк OLD 0.8 04'!$B$18:$B$200),'Бланк OLD 2.0 04 '!$B$16:$K$200,5,0)&gt;1,0.4,IF(AND(VLOOKUP($A410-COUNT('Шаг2.Бланк заказа NEW'!$B$19:$B$201)-COUNT('Бланк OLD 0.8 04'!$B$18:$B$200),'Бланк OLD 2.0 04 '!$B$16:$K$200,4,0)&gt;0,VLOOKUP($A410-COUNT('Шаг2.Бланк заказа NEW'!$B$19:$B$201)-COUNT('Бланк OLD 0.8 04'!$B$18:$B$200),'Бланк OLD 2.0 04 '!$B$16:$K$200,5,0)&gt;0),0.4,""))))</f>
        <v/>
      </c>
      <c r="T410" s="147" t="str">
        <f ca="1">IFERROR(IFERROR(IF(VLOOKUP($A410,'Шаг2.Бланк заказа NEW'!$B$17:$N$201,7,0)="","",VLOOKUP($A410,'Шаг2.Бланк заказа NEW'!$B$17:$N$201,7,0)),
IF(VLOOKUP($A410-COUNT('Шаг2.Бланк заказа NEW'!$B$19:$B$201),'Бланк OLD 0.8 04'!$B$12:$K$200,7,0)&gt;0,0.8,
IF(VLOOKUP($A410-COUNT('Шаг2.Бланк заказа NEW'!$B$19:$B$201),'Бланк OLD 0.8 04'!$B$12:$K$200,8,0)&gt;0,0.4,""))),
IF(VLOOKUP($A410-COUNT('Шаг2.Бланк заказа NEW'!$B$19:$B$201)-COUNT('Бланк OLD 0.8 04'!$B$18:$B$200),'Бланк OLD 2.0 04 '!$B$16:$K$200,7,0)&gt;0,2,IF(VLOOKUP($A410-COUNT('Шаг2.Бланк заказа NEW'!$B$19:$B$201)-COUNT('Бланк OLD 0.8 04'!$B$18:$B$200),'Бланк OLD 2.0 04 '!$B$16:$K$200,8,0)&gt;0,0.4,"")))</f>
        <v/>
      </c>
      <c r="U410" s="147" t="str">
        <f ca="1">IFERROR(IFERROR(IF(VLOOKUP($A410,'Шаг2.Бланк заказа NEW'!$B$17:$N$201,8,0)="","",VLOOKUP($A410,'Шаг2.Бланк заказа NEW'!$B$17:$N$201,8,0)),
IF(VLOOKUP($A410-COUNT('Шаг2.Бланк заказа NEW'!$B$19:$B$201),'Бланк OLD 0.8 04'!$B$12:$K$200,7,0)&gt;1,0.8,
IF(VLOOKUP($A410-COUNT('Шаг2.Бланк заказа NEW'!$B$19:$B$201),'Бланк OLD 0.8 04'!$B$12:$K$200,8,0)&gt;1,0.4,
IF(AND(VLOOKUP($A410-COUNT('Шаг2.Бланк заказа NEW'!$B$19:$B$201),'Бланк OLD 0.8 04'!$B$12:$K$200,7,0)&gt;0,VLOOKUP($A410-COUNT('Шаг2.Бланк заказа NEW'!$B$19:$B$201),'Бланк OLD 0.8 04'!$B$12:$K$200,8,0)&gt;0),0.4,"")))),
IF(VLOOKUP($A410-COUNT('Шаг2.Бланк заказа NEW'!$B$19:$B$201)-COUNT('Бланк OLD 0.8 04'!$B$18:$B$200),'Бланк OLD 2.0 04 '!$B$16:$K$200,7,0)&gt;1,2,
IF(VLOOKUP($A410-COUNT('Шаг2.Бланк заказа NEW'!$B$19:$B$201)-COUNT('Бланк OLD 0.8 04'!$B$18:$B$200),'Бланк OLD 2.0 04 '!$B$16:$K$200,8,0)&gt;1,0.4,
IF(AND(VLOOKUP($A410-COUNT('Шаг2.Бланк заказа NEW'!$B$19:$B$201)-COUNT('Бланк OLD 0.8 04'!$B$18:$B$200),'Бланк OLD 2.0 04 '!$B$16:$K$200,7,0)&gt;0,VLOOKUP($A410-COUNT('Шаг2.Бланк заказа NEW'!$B$19:$B$201)-COUNT('Бланк OLD 0.8 04'!$B$18:$B$200),'Бланк OLD 2.0 04 '!$B$16:$K$200,8,0)&gt;0),0.4,""))))</f>
        <v/>
      </c>
      <c r="V410" s="146" t="str">
        <f ca="1">IFERROR(VLOOKUP(C410,'Шаг1.Выбор плиты'!C:S,12,0),"")</f>
        <v/>
      </c>
      <c r="W410" s="146" t="str">
        <f ca="1">IFERROR(VLOOKUP(C410,'Шаг1.Выбор плиты'!C:S,8,0),"")</f>
        <v/>
      </c>
      <c r="X410" s="146" t="str">
        <f ca="1">IFERROR(VLOOKUP(C410,'Шаг1.Выбор плиты'!C:S,10,0),"")</f>
        <v/>
      </c>
      <c r="Y410" s="147" t="str">
        <f t="shared" ca="1" si="39"/>
        <v/>
      </c>
      <c r="AD410" s="147" t="str">
        <f t="shared" ca="1" si="37"/>
        <v/>
      </c>
      <c r="AE410" s="147" t="str">
        <f t="shared" ca="1" si="40"/>
        <v/>
      </c>
      <c r="AF410" s="25"/>
      <c r="AH410" s="147" t="str">
        <f ca="1">IF(C410="","",VLOOKUP(C410,'Шаг1.Выбор плиты'!C:Q,7,0))</f>
        <v/>
      </c>
      <c r="AI410" s="147" t="str">
        <f t="shared" ca="1" si="38"/>
        <v/>
      </c>
    </row>
    <row r="411" spans="1:35" x14ac:dyDescent="0.2">
      <c r="A411" s="151" t="str">
        <f ca="1">IF(C411="","",MAX($A$1:OFFSET(C411,-1,0))+1)</f>
        <v/>
      </c>
      <c r="B411" s="151" t="str">
        <f ca="1">IFERROR(IFERROR(IFERROR("Шаг2.Бланк заказа NEW №"&amp;VLOOKUP(A410+1,CHOOSE({1,2},'Шаг2.Бланк заказа NEW'!$B$19:$B$201,'Шаг2.Бланк заказа NEW'!$A$19:$A$201),1,0),
"Бланк OLD 0.8 04 №"&amp;VLOOKUP(A410+1-COUNT('Шаг2.Бланк заказа NEW'!$B$19:$B$201),CHOOSE({1,2},'Бланк OLD 0.8 04'!$B$18:$B$200,'Бланк OLD 0.8 04'!$A$18:$A$200),1,0)),
"Бланк OLD 2.0 04 №"&amp;VLOOKUP(A410+1-COUNT('Шаг2.Бланк заказа NEW'!$B$19:$B$201)-COUNT('Бланк OLD 0.8 04'!$B$18:$B$200),CHOOSE({1,2},'Бланк OLD 2.0 04 '!$B$18:$B$200,'Бланк OLD 2.0 04 '!$A$18:$A$200),1,0)),"")</f>
        <v/>
      </c>
      <c r="C411" s="152" t="str">
        <f ca="1">IFERROR(IFERROR(IFERROR(VLOOKUP(A410+1,CHOOSE({1,2},'Шаг2.Бланк заказа NEW'!$B$19:$B$201,'Шаг2.Бланк заказа NEW'!$A$19:$A$201),2,0),
VLOOKUP(A410+1-COUNT('Шаг2.Бланк заказа NEW'!$B$19:$B$201),CHOOSE({1,2},'Бланк OLD 0.8 04'!$B$18:$B$200,'Бланк OLD 0.8 04'!$A$18:$A$200),2,0)),
VLOOKUP(A410+1-COUNT('Шаг2.Бланк заказа NEW'!$B$19:$B$201)-COUNT('Бланк OLD 0.8 04'!$B$18:$B$200),CHOOSE({1,2},'Бланк OLD 2.0 04 '!$B$18:$B$200,'Бланк OLD 2.0 04 '!$A$18:$A$200),2,0)),"")</f>
        <v/>
      </c>
      <c r="D411" s="150" t="str">
        <f ca="1">IFERROR(VLOOKUP(C411,'Шаг1.Выбор плиты'!C:G,5,0),"")</f>
        <v/>
      </c>
      <c r="E411" s="147" t="str">
        <f ca="1">IFERROR(IFERROR(IF(VLOOKUP($A411,'Шаг2.Бланк заказа NEW'!$B$17:$N$201,2,0)="","",VLOOKUP($A411,'Шаг2.Бланк заказа NEW'!$B$17:$N$201,2,0)),
IF(VLOOKUP($A411-COUNT('Шаг2.Бланк заказа NEW'!$B$19:$B$201),'Бланк OLD 0.8 04'!$B$12:$K$200,2,0)="","",VLOOKUP($A411-COUNT('Шаг2.Бланк заказа NEW'!$B$19:$B$201),'Бланк OLD 0.8 04'!$B$12:$K$200,2,0))),
IF(VLOOKUP($A411-COUNT('Шаг2.Бланк заказа NEW'!$B$19:$B$201)-COUNT('Бланк OLD 0.8 04'!$B$18:$B$200),'Бланк OLD 2.0 04 '!$B$16:$K$200,2,0)="","",VLOOKUP($A411-COUNT('Шаг2.Бланк заказа NEW'!$B$19:$B$201)-COUNT('Бланк OLD 0.8 04'!$B$18:$B$200),'Бланк OLD 2.0 04 '!$B$16:$K$200,2,0)))</f>
        <v/>
      </c>
      <c r="F411" s="147" t="str">
        <f ca="1">IFERROR(IFERROR(IF(VLOOKUP($A411,'Шаг2.Бланк заказа NEW'!$B$17:$N$201,3,0)="","",VLOOKUP($A411,'Шаг2.Бланк заказа NEW'!$B$17:$N$201,3,0)),
IF(VLOOKUP($A411-COUNT('Шаг2.Бланк заказа NEW'!$B$19:$B$201),'Бланк OLD 0.8 04'!$B$12:$K$200,3,0)="","",VLOOKUP($A411-COUNT('Шаг2.Бланк заказа NEW'!$B$19:$B$201),'Бланк OLD 0.8 04'!$B$12:$K$200,3,0))),
IF(VLOOKUP($A411-COUNT('Шаг2.Бланк заказа NEW'!$B$19:$B$201)-COUNT('Бланк OLD 0.8 04'!$B$18:$B$200),'Бланк OLD 2.0 04 '!$B$16:$K$200,3,0)="","",VLOOKUP($A411-COUNT('Шаг2.Бланк заказа NEW'!$B$19:$B$201)-COUNT('Бланк OLD 0.8 04'!$B$18:$B$200),'Бланк OLD 2.0 04 '!$B$16:$K$200,3,0)))</f>
        <v/>
      </c>
      <c r="G411" s="176" t="str">
        <f ca="1">IF(IF(R411="","",IF(R411=1,SUMIFS('Шаг1.Выбор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плиты'!C:Q,12,0)),1))))))=0,
R411,
IF(R411="","",IF(R411=1,SUMIFS('Шаг1.Выбор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плиты'!N:N,R411,'Шаг1.Выбор плиты'!M:M,SMALL(INDIRECT("мм"&amp;VLOOKUP(C411,'Шаг1.Выбор плиты'!C:Q,12,0)),1)))))))</f>
        <v/>
      </c>
      <c r="H411" s="177" t="str">
        <f ca="1">IF(IF(S411="","",IF(S411=1,SUMIFS('Шаг1.Выбор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плиты'!C:Q,12,0)),1))))))=0,
S411,
IF(S411="","",IF(S411=1,SUMIFS('Шаг1.Выбор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плиты'!N:N,S411,'Шаг1.Выбор плиты'!M:M,SMALL(INDIRECT("мм"&amp;VLOOKUP(C411,'Шаг1.Выбор плиты'!C:Q,12,0)),1)))))))</f>
        <v/>
      </c>
      <c r="I411" s="147" t="str">
        <f ca="1">IFERROR(IFERROR(IF(VLOOKUP($A411,'Шаг2.Бланк заказа NEW'!$B$17:$N$201,6,0)="","",VLOOKUP($A411,'Шаг2.Бланк заказа NEW'!$B$17:$N$201,6,0)),
IF(VLOOKUP($A411-COUNT('Шаг2.Бланк заказа NEW'!$B$19:$B$201),'Бланк OLD 0.8 04'!$B$12:$K$200,6,0)="","",VLOOKUP($A411-COUNT('Шаг2.Бланк заказа NEW'!$B$19:$B$201),'Бланк OLD 0.8 04'!$B$12:$K$200,6,0))),
IF(VLOOKUP($A411-COUNT('Шаг2.Бланк заказа NEW'!$B$19:$B$201)-COUNT('Бланк OLD 0.8 04'!$B$18:$B$200),'Бланк OLD 2.0 04 '!$B$16:$K$200,6,0)="","",VLOOKUP($A411-COUNT('Шаг2.Бланк заказа NEW'!$B$19:$B$201)-COUNT('Бланк OLD 0.8 04'!$B$18:$B$200),'Бланк OLD 2.0 04 '!$B$16:$K$200,6,0)))</f>
        <v/>
      </c>
      <c r="J411" s="177" t="str">
        <f ca="1">IF(IF(T411="","",IF(T411=1,SUMIFS('Шаг1.Выбор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плиты'!C:Q,12,0)),1))))))=0,
T411,
IF(T411="","",IF(T411=1,SUMIFS('Шаг1.Выбор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плиты'!N:N,T411,'Шаг1.Выбор плиты'!M:M,SMALL(INDIRECT("мм"&amp;VLOOKUP(C411,'Шаг1.Выбор плиты'!C:Q,12,0)),1)))))))</f>
        <v/>
      </c>
      <c r="K411" s="177" t="str">
        <f ca="1">IF(IF(U411="","",IF(U411=1,SUMIFS('Шаг1.Выбор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плиты'!C:Q,12,0)),1))))))=0,
U411,
IF(U411="","",IF(U411=1,SUMIFS('Шаг1.Выбор плиты'!$G:$G,'Шаг1.Выбор плиты'!J:J,"*"&amp;RIGHT(VLOOKUP(C411,'Шаг1.Выбор плиты'!C:Q,8,0),4),'Шаг1.Выбор плиты'!L:L,IF(MID(C411,1,6)="ЛДСП P","TM"&amp;MID(VLOOKUP(C411,'Шаг1.Выбор плиты'!C:Q,10,0),3,2),MID(VLOOKUP(C411,'Шаг1.Выбор плиты'!C:Q,10,0),1,2)),
'Шаг1.Выбор плиты'!N:N,1),IF(SUMIFS('Шаг1.Выбор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плиты'!C:Q,12,0)),1))=0,
IF(SUMIFS('Шаг1.Выбор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плиты'!C:Q,12,0)),2))=0,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плиты'!C:Q,12,0)),3)),
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плиты'!C:Q,12,0)),2))),
(SUMIFS('Шаг1.Выбор плиты'!$G:$G,'Шаг1.Выбор плиты'!J:J,"*"&amp;RIGHT(VLOOKUP(C411,'Шаг1.Выбор плиты'!C:Q,8,0),4),'Шаг1.Выбор плиты'!L:L,VLOOKUP(C411,'Шаг1.Выбор плиты'!C:Q,10,0),'Шаг1.Выбор плиты'!N:N,U411,'Шаг1.Выбор плиты'!M:M,SMALL(INDIRECT("мм"&amp;VLOOKUP(C411,'Шаг1.Выбор плиты'!C:Q,12,0)),1)))))))</f>
        <v/>
      </c>
      <c r="L411" s="147" t="str">
        <f ca="1">IFERROR(IFERROR(IF(VLOOKUP($A411,'Шаг2.Бланк заказа NEW'!$B$17:$N$201,9,0)="","",VLOOKUP($A411,'Шаг2.Бланк заказа NEW'!$B$17:$N$201,9,0)),
IF(VLOOKUP($A411-COUNT('Шаг2.Бланк заказа NEW'!$B$19:$B$201),'Бланк OLD 0.8 04'!$B$12:$K$200,9,0)="","",VLOOKUP($A411-COUNT('Шаг2.Бланк заказа NEW'!$B$19:$B$201),'Бланк OLD 0.8 04'!$B$12:$K$200,9,0))),
IF(VLOOKUP($A411-COUNT('Шаг2.Бланк заказа NEW'!$B$19:$B$201)-COUNT('Бланк OLD 0.8 04'!$B$18:$B$200),'Бланк OLD 2.0 04 '!$B$16:$K$200,9,0)="","",VLOOKUP($A411-COUNT('Шаг2.Бланк заказа NEW'!$B$19:$B$201)-COUNT('Бланк OLD 0.8 04'!$B$18:$B$200),'Бланк OLD 2.0 04 '!$B$16:$K$200,9,0)))</f>
        <v/>
      </c>
      <c r="M411" s="154" t="str">
        <f t="shared" ca="1" si="36"/>
        <v/>
      </c>
      <c r="N411" s="153" t="str">
        <f ca="1">IFERROR(IF(VLOOKUP($A411,'Шаг2.Бланк заказа NEW'!$B$17:$N$201,11,0)="","",VLOOKUP($A411,'Шаг2.Бланк заказа NEW'!$B$17:$N$201,11,0)),
"Нет")</f>
        <v/>
      </c>
      <c r="O411" s="147" t="str">
        <f ca="1">IFERROR(IF(VLOOKUP($A411,'Шаг2.Бланк заказа NEW'!$B$17:$N$201,11,0)="","",VLOOKUP($A411,'Шаг2.Бланк заказа NEW'!$B$17:$N$201,12,0)),
"Нет")</f>
        <v/>
      </c>
      <c r="P411" s="153" t="str">
        <f ca="1">IFERROR(IF(VLOOKUP($A411,'Шаг2.Бланк заказа NEW'!$B$17:$N$201,13,0)="","",VLOOKUP($A411,'Шаг2.Бланк заказа NEW'!$B$17:$N$201,13,0)),
"Нет")</f>
        <v/>
      </c>
      <c r="Q411" s="147" t="str">
        <f ca="1">IFERROR(IF(VLOOKUP($A411,'Шаг2.Бланк заказа NEW'!$B$17:$O$201,14,0)="","",VLOOKUP($A411,'Шаг2.Бланк заказа NEW'!$B$17:$O$201,14,0)),"")</f>
        <v/>
      </c>
      <c r="R411" s="147" t="str">
        <f ca="1">IFERROR(IFERROR(IF(VLOOKUP($A411,'Шаг2.Бланк заказа NEW'!$B$17:$N$201,4,0)="","",VLOOKUP($A411,'Шаг2.Бланк заказа NEW'!$B$17:$N$201,4,0)),
IF(VLOOKUP($A411-COUNT('Шаг2.Бланк заказа NEW'!$B$19:$B$201),'Бланк OLD 0.8 04'!$B$12:$K$200,4,0)&gt;0,0.8,
IF(VLOOKUP($A411-COUNT('Шаг2.Бланк заказа NEW'!$B$19:$B$201),'Бланк OLD 0.8 04'!$B$12:$K$200,5,0)&gt;0,0.4,""))),
IF(VLOOKUP($A411-COUNT('Шаг2.Бланк заказа NEW'!$B$19:$B$201)-COUNT('Бланк OLD 0.8 04'!$B$18:$B$200),'Бланк OLD 2.0 04 '!$B$16:$K$200,4,0)&gt;0,2,IF(VLOOKUP($A411-COUNT('Шаг2.Бланк заказа NEW'!$B$19:$B$201)-COUNT('Бланк OLD 0.8 04'!$B$18:$B$200),'Бланк OLD 2.0 04 '!$B$16:$K$200,5,0)&gt;0,0.4,"")))</f>
        <v/>
      </c>
      <c r="S411" s="147" t="str">
        <f ca="1">IFERROR(IFERROR(IF(VLOOKUP($A411,'Шаг2.Бланк заказа NEW'!$B$17:$N$201,5,0)="","",VLOOKUP($A411,'Шаг2.Бланк заказа NEW'!$B$17:$N$201,5,0)),
IF(VLOOKUP($A411-COUNT('Шаг2.Бланк заказа NEW'!$B$19:$B$201),'Бланк OLD 0.8 04'!$B$12:$K$200,4,0)&gt;1,0.8,
IF(VLOOKUP($A411-COUNT('Шаг2.Бланк заказа NEW'!$B$19:$B$201),'Бланк OLD 0.8 04'!$B$12:$K$200,5,0)&gt;1,0.4,
IF(AND(VLOOKUP($A411-COUNT('Шаг2.Бланк заказа NEW'!$B$19:$B$201),'Бланк OLD 0.8 04'!$B$12:$K$200,4,0)&gt;0,VLOOKUP($A411-COUNT('Шаг2.Бланк заказа NEW'!$B$19:$B$201),'Бланк OLD 0.8 04'!$B$12:$K$200,5,0)&gt;0),0.4,"")))),
IF(VLOOKUP($A411-COUNT('Шаг2.Бланк заказа NEW'!$B$19:$B$201)-COUNT('Бланк OLD 0.8 04'!$B$18:$B$200),'Бланк OLD 2.0 04 '!$B$16:$K$200,4,0)&gt;1,2,
IF(VLOOKUP($A411-COUNT('Шаг2.Бланк заказа NEW'!$B$19:$B$201)-COUNT('Бланк OLD 0.8 04'!$B$18:$B$200),'Бланк OLD 2.0 04 '!$B$16:$K$200,5,0)&gt;1,0.4,IF(AND(VLOOKUP($A411-COUNT('Шаг2.Бланк заказа NEW'!$B$19:$B$201)-COUNT('Бланк OLD 0.8 04'!$B$18:$B$200),'Бланк OLD 2.0 04 '!$B$16:$K$200,4,0)&gt;0,VLOOKUP($A411-COUNT('Шаг2.Бланк заказа NEW'!$B$19:$B$201)-COUNT('Бланк OLD 0.8 04'!$B$18:$B$200),'Бланк OLD 2.0 04 '!$B$16:$K$200,5,0)&gt;0),0.4,""))))</f>
        <v/>
      </c>
      <c r="T411" s="147" t="str">
        <f ca="1">IFERROR(IFERROR(IF(VLOOKUP($A411,'Шаг2.Бланк заказа NEW'!$B$17:$N$201,7,0)="","",VLOOKUP($A411,'Шаг2.Бланк заказа NEW'!$B$17:$N$201,7,0)),
IF(VLOOKUP($A411-COUNT('Шаг2.Бланк заказа NEW'!$B$19:$B$201),'Бланк OLD 0.8 04'!$B$12:$K$200,7,0)&gt;0,0.8,
IF(VLOOKUP($A411-COUNT('Шаг2.Бланк заказа NEW'!$B$19:$B$201),'Бланк OLD 0.8 04'!$B$12:$K$200,8,0)&gt;0,0.4,""))),
IF(VLOOKUP($A411-COUNT('Шаг2.Бланк заказа NEW'!$B$19:$B$201)-COUNT('Бланк OLD 0.8 04'!$B$18:$B$200),'Бланк OLD 2.0 04 '!$B$16:$K$200,7,0)&gt;0,2,IF(VLOOKUP($A411-COUNT('Шаг2.Бланк заказа NEW'!$B$19:$B$201)-COUNT('Бланк OLD 0.8 04'!$B$18:$B$200),'Бланк OLD 2.0 04 '!$B$16:$K$200,8,0)&gt;0,0.4,"")))</f>
        <v/>
      </c>
      <c r="U411" s="147" t="str">
        <f ca="1">IFERROR(IFERROR(IF(VLOOKUP($A411,'Шаг2.Бланк заказа NEW'!$B$17:$N$201,8,0)="","",VLOOKUP($A411,'Шаг2.Бланк заказа NEW'!$B$17:$N$201,8,0)),
IF(VLOOKUP($A411-COUNT('Шаг2.Бланк заказа NEW'!$B$19:$B$201),'Бланк OLD 0.8 04'!$B$12:$K$200,7,0)&gt;1,0.8,
IF(VLOOKUP($A411-COUNT('Шаг2.Бланк заказа NEW'!$B$19:$B$201),'Бланк OLD 0.8 04'!$B$12:$K$200,8,0)&gt;1,0.4,
IF(AND(VLOOKUP($A411-COUNT('Шаг2.Бланк заказа NEW'!$B$19:$B$201),'Бланк OLD 0.8 04'!$B$12:$K$200,7,0)&gt;0,VLOOKUP($A411-COUNT('Шаг2.Бланк заказа NEW'!$B$19:$B$201),'Бланк OLD 0.8 04'!$B$12:$K$200,8,0)&gt;0),0.4,"")))),
IF(VLOOKUP($A411-COUNT('Шаг2.Бланк заказа NEW'!$B$19:$B$201)-COUNT('Бланк OLD 0.8 04'!$B$18:$B$200),'Бланк OLD 2.0 04 '!$B$16:$K$200,7,0)&gt;1,2,
IF(VLOOKUP($A411-COUNT('Шаг2.Бланк заказа NEW'!$B$19:$B$201)-COUNT('Бланк OLD 0.8 04'!$B$18:$B$200),'Бланк OLD 2.0 04 '!$B$16:$K$200,8,0)&gt;1,0.4,
IF(AND(VLOOKUP($A411-COUNT('Шаг2.Бланк заказа NEW'!$B$19:$B$201)-COUNT('Бланк OLD 0.8 04'!$B$18:$B$200),'Бланк OLD 2.0 04 '!$B$16:$K$200,7,0)&gt;0,VLOOKUP($A411-COUNT('Шаг2.Бланк заказа NEW'!$B$19:$B$201)-COUNT('Бланк OLD 0.8 04'!$B$18:$B$200),'Бланк OLD 2.0 04 '!$B$16:$K$200,8,0)&gt;0),0.4,""))))</f>
        <v/>
      </c>
      <c r="V411" s="146" t="str">
        <f ca="1">IFERROR(VLOOKUP(C411,'Шаг1.Выбор плиты'!C:S,12,0),"")</f>
        <v/>
      </c>
      <c r="W411" s="146" t="str">
        <f ca="1">IFERROR(VLOOKUP(C411,'Шаг1.Выбор плиты'!C:S,8,0),"")</f>
        <v/>
      </c>
      <c r="X411" s="146" t="str">
        <f ca="1">IFERROR(VLOOKUP(C411,'Шаг1.Выбор плиты'!C:S,10,0),"")</f>
        <v/>
      </c>
      <c r="Y411" s="147" t="str">
        <f t="shared" ca="1" si="39"/>
        <v/>
      </c>
      <c r="AD411" s="147" t="str">
        <f t="shared" ca="1" si="37"/>
        <v/>
      </c>
      <c r="AE411" s="147" t="str">
        <f t="shared" ca="1" si="40"/>
        <v/>
      </c>
      <c r="AF411" s="25"/>
      <c r="AH411" s="147" t="str">
        <f ca="1">IF(C411="","",VLOOKUP(C411,'Шаг1.Выбор плиты'!C:Q,7,0))</f>
        <v/>
      </c>
      <c r="AI411" s="147" t="str">
        <f t="shared" ca="1" si="38"/>
        <v/>
      </c>
    </row>
    <row r="412" spans="1:35" x14ac:dyDescent="0.2">
      <c r="A412" s="151" t="str">
        <f ca="1">IF(C412="","",MAX($A$1:OFFSET(C412,-1,0))+1)</f>
        <v/>
      </c>
      <c r="B412" s="151" t="str">
        <f ca="1">IFERROR(IFERROR(IFERROR("Шаг2.Бланк заказа NEW №"&amp;VLOOKUP(A411+1,CHOOSE({1,2},'Шаг2.Бланк заказа NEW'!$B$19:$B$201,'Шаг2.Бланк заказа NEW'!$A$19:$A$201),1,0),
"Бланк OLD 0.8 04 №"&amp;VLOOKUP(A411+1-COUNT('Шаг2.Бланк заказа NEW'!$B$19:$B$201),CHOOSE({1,2},'Бланк OLD 0.8 04'!$B$18:$B$200,'Бланк OLD 0.8 04'!$A$18:$A$200),1,0)),
"Бланк OLD 2.0 04 №"&amp;VLOOKUP(A411+1-COUNT('Шаг2.Бланк заказа NEW'!$B$19:$B$201)-COUNT('Бланк OLD 0.8 04'!$B$18:$B$200),CHOOSE({1,2},'Бланк OLD 2.0 04 '!$B$18:$B$200,'Бланк OLD 2.0 04 '!$A$18:$A$200),1,0)),"")</f>
        <v/>
      </c>
      <c r="C412" s="152" t="str">
        <f ca="1">IFERROR(IFERROR(IFERROR(VLOOKUP(A411+1,CHOOSE({1,2},'Шаг2.Бланк заказа NEW'!$B$19:$B$201,'Шаг2.Бланк заказа NEW'!$A$19:$A$201),2,0),
VLOOKUP(A411+1-COUNT('Шаг2.Бланк заказа NEW'!$B$19:$B$201),CHOOSE({1,2},'Бланк OLD 0.8 04'!$B$18:$B$200,'Бланк OLD 0.8 04'!$A$18:$A$200),2,0)),
VLOOKUP(A411+1-COUNT('Шаг2.Бланк заказа NEW'!$B$19:$B$201)-COUNT('Бланк OLD 0.8 04'!$B$18:$B$200),CHOOSE({1,2},'Бланк OLD 2.0 04 '!$B$18:$B$200,'Бланк OLD 2.0 04 '!$A$18:$A$200),2,0)),"")</f>
        <v/>
      </c>
      <c r="D412" s="150" t="str">
        <f ca="1">IFERROR(VLOOKUP(C412,'Шаг1.Выбор плиты'!C:G,5,0),"")</f>
        <v/>
      </c>
      <c r="E412" s="147" t="str">
        <f ca="1">IFERROR(IFERROR(IF(VLOOKUP($A412,'Шаг2.Бланк заказа NEW'!$B$17:$N$201,2,0)="","",VLOOKUP($A412,'Шаг2.Бланк заказа NEW'!$B$17:$N$201,2,0)),
IF(VLOOKUP($A412-COUNT('Шаг2.Бланк заказа NEW'!$B$19:$B$201),'Бланк OLD 0.8 04'!$B$12:$K$200,2,0)="","",VLOOKUP($A412-COUNT('Шаг2.Бланк заказа NEW'!$B$19:$B$201),'Бланк OLD 0.8 04'!$B$12:$K$200,2,0))),
IF(VLOOKUP($A412-COUNT('Шаг2.Бланк заказа NEW'!$B$19:$B$201)-COUNT('Бланк OLD 0.8 04'!$B$18:$B$200),'Бланк OLD 2.0 04 '!$B$16:$K$200,2,0)="","",VLOOKUP($A412-COUNT('Шаг2.Бланк заказа NEW'!$B$19:$B$201)-COUNT('Бланк OLD 0.8 04'!$B$18:$B$200),'Бланк OLD 2.0 04 '!$B$16:$K$200,2,0)))</f>
        <v/>
      </c>
      <c r="F412" s="147" t="str">
        <f ca="1">IFERROR(IFERROR(IF(VLOOKUP($A412,'Шаг2.Бланк заказа NEW'!$B$17:$N$201,3,0)="","",VLOOKUP($A412,'Шаг2.Бланк заказа NEW'!$B$17:$N$201,3,0)),
IF(VLOOKUP($A412-COUNT('Шаг2.Бланк заказа NEW'!$B$19:$B$201),'Бланк OLD 0.8 04'!$B$12:$K$200,3,0)="","",VLOOKUP($A412-COUNT('Шаг2.Бланк заказа NEW'!$B$19:$B$201),'Бланк OLD 0.8 04'!$B$12:$K$200,3,0))),
IF(VLOOKUP($A412-COUNT('Шаг2.Бланк заказа NEW'!$B$19:$B$201)-COUNT('Бланк OLD 0.8 04'!$B$18:$B$200),'Бланк OLD 2.0 04 '!$B$16:$K$200,3,0)="","",VLOOKUP($A412-COUNT('Шаг2.Бланк заказа NEW'!$B$19:$B$201)-COUNT('Бланк OLD 0.8 04'!$B$18:$B$200),'Бланк OLD 2.0 04 '!$B$16:$K$200,3,0)))</f>
        <v/>
      </c>
      <c r="G412" s="176" t="str">
        <f ca="1">IF(IF(R412="","",IF(R412=1,SUMIFS('Шаг1.Выбор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плиты'!C:Q,12,0)),1))))))=0,
R412,
IF(R412="","",IF(R412=1,SUMIFS('Шаг1.Выбор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плиты'!N:N,R412,'Шаг1.Выбор плиты'!M:M,SMALL(INDIRECT("мм"&amp;VLOOKUP(C412,'Шаг1.Выбор плиты'!C:Q,12,0)),1)))))))</f>
        <v/>
      </c>
      <c r="H412" s="177" t="str">
        <f ca="1">IF(IF(S412="","",IF(S412=1,SUMIFS('Шаг1.Выбор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плиты'!C:Q,12,0)),1))))))=0,
S412,
IF(S412="","",IF(S412=1,SUMIFS('Шаг1.Выбор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плиты'!N:N,S412,'Шаг1.Выбор плиты'!M:M,SMALL(INDIRECT("мм"&amp;VLOOKUP(C412,'Шаг1.Выбор плиты'!C:Q,12,0)),1)))))))</f>
        <v/>
      </c>
      <c r="I412" s="147" t="str">
        <f ca="1">IFERROR(IFERROR(IF(VLOOKUP($A412,'Шаг2.Бланк заказа NEW'!$B$17:$N$201,6,0)="","",VLOOKUP($A412,'Шаг2.Бланк заказа NEW'!$B$17:$N$201,6,0)),
IF(VLOOKUP($A412-COUNT('Шаг2.Бланк заказа NEW'!$B$19:$B$201),'Бланк OLD 0.8 04'!$B$12:$K$200,6,0)="","",VLOOKUP($A412-COUNT('Шаг2.Бланк заказа NEW'!$B$19:$B$201),'Бланк OLD 0.8 04'!$B$12:$K$200,6,0))),
IF(VLOOKUP($A412-COUNT('Шаг2.Бланк заказа NEW'!$B$19:$B$201)-COUNT('Бланк OLD 0.8 04'!$B$18:$B$200),'Бланк OLD 2.0 04 '!$B$16:$K$200,6,0)="","",VLOOKUP($A412-COUNT('Шаг2.Бланк заказа NEW'!$B$19:$B$201)-COUNT('Бланк OLD 0.8 04'!$B$18:$B$200),'Бланк OLD 2.0 04 '!$B$16:$K$200,6,0)))</f>
        <v/>
      </c>
      <c r="J412" s="177" t="str">
        <f ca="1">IF(IF(T412="","",IF(T412=1,SUMIFS('Шаг1.Выбор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плиты'!C:Q,12,0)),1))))))=0,
T412,
IF(T412="","",IF(T412=1,SUMIFS('Шаг1.Выбор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плиты'!N:N,T412,'Шаг1.Выбор плиты'!M:M,SMALL(INDIRECT("мм"&amp;VLOOKUP(C412,'Шаг1.Выбор плиты'!C:Q,12,0)),1)))))))</f>
        <v/>
      </c>
      <c r="K412" s="177" t="str">
        <f ca="1">IF(IF(U412="","",IF(U412=1,SUMIFS('Шаг1.Выбор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плиты'!C:Q,12,0)),1))))))=0,
U412,
IF(U412="","",IF(U412=1,SUMIFS('Шаг1.Выбор плиты'!$G:$G,'Шаг1.Выбор плиты'!J:J,"*"&amp;RIGHT(VLOOKUP(C412,'Шаг1.Выбор плиты'!C:Q,8,0),4),'Шаг1.Выбор плиты'!L:L,IF(MID(C412,1,6)="ЛДСП P","TM"&amp;MID(VLOOKUP(C412,'Шаг1.Выбор плиты'!C:Q,10,0),3,2),MID(VLOOKUP(C412,'Шаг1.Выбор плиты'!C:Q,10,0),1,2)),
'Шаг1.Выбор плиты'!N:N,1),IF(SUMIFS('Шаг1.Выбор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плиты'!C:Q,12,0)),1))=0,
IF(SUMIFS('Шаг1.Выбор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плиты'!C:Q,12,0)),2))=0,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плиты'!C:Q,12,0)),3)),
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плиты'!C:Q,12,0)),2))),
(SUMIFS('Шаг1.Выбор плиты'!$G:$G,'Шаг1.Выбор плиты'!J:J,"*"&amp;RIGHT(VLOOKUP(C412,'Шаг1.Выбор плиты'!C:Q,8,0),4),'Шаг1.Выбор плиты'!L:L,VLOOKUP(C412,'Шаг1.Выбор плиты'!C:Q,10,0),'Шаг1.Выбор плиты'!N:N,U412,'Шаг1.Выбор плиты'!M:M,SMALL(INDIRECT("мм"&amp;VLOOKUP(C412,'Шаг1.Выбор плиты'!C:Q,12,0)),1)))))))</f>
        <v/>
      </c>
      <c r="L412" s="147" t="str">
        <f ca="1">IFERROR(IFERROR(IF(VLOOKUP($A412,'Шаг2.Бланк заказа NEW'!$B$17:$N$201,9,0)="","",VLOOKUP($A412,'Шаг2.Бланк заказа NEW'!$B$17:$N$201,9,0)),
IF(VLOOKUP($A412-COUNT('Шаг2.Бланк заказа NEW'!$B$19:$B$201),'Бланк OLD 0.8 04'!$B$12:$K$200,9,0)="","",VLOOKUP($A412-COUNT('Шаг2.Бланк заказа NEW'!$B$19:$B$201),'Бланк OLD 0.8 04'!$B$12:$K$200,9,0))),
IF(VLOOKUP($A412-COUNT('Шаг2.Бланк заказа NEW'!$B$19:$B$201)-COUNT('Бланк OLD 0.8 04'!$B$18:$B$200),'Бланк OLD 2.0 04 '!$B$16:$K$200,9,0)="","",VLOOKUP($A412-COUNT('Шаг2.Бланк заказа NEW'!$B$19:$B$201)-COUNT('Бланк OLD 0.8 04'!$B$18:$B$200),'Бланк OLD 2.0 04 '!$B$16:$K$200,9,0)))</f>
        <v/>
      </c>
      <c r="M412" s="154" t="str">
        <f t="shared" ca="1" si="36"/>
        <v/>
      </c>
      <c r="N412" s="153" t="str">
        <f ca="1">IFERROR(IF(VLOOKUP($A412,'Шаг2.Бланк заказа NEW'!$B$17:$N$201,11,0)="","",VLOOKUP($A412,'Шаг2.Бланк заказа NEW'!$B$17:$N$201,11,0)),
"Нет")</f>
        <v/>
      </c>
      <c r="O412" s="147" t="str">
        <f ca="1">IFERROR(IF(VLOOKUP($A412,'Шаг2.Бланк заказа NEW'!$B$17:$N$201,11,0)="","",VLOOKUP($A412,'Шаг2.Бланк заказа NEW'!$B$17:$N$201,12,0)),
"Нет")</f>
        <v/>
      </c>
      <c r="P412" s="153" t="str">
        <f ca="1">IFERROR(IF(VLOOKUP($A412,'Шаг2.Бланк заказа NEW'!$B$17:$N$201,13,0)="","",VLOOKUP($A412,'Шаг2.Бланк заказа NEW'!$B$17:$N$201,13,0)),
"Нет")</f>
        <v/>
      </c>
      <c r="Q412" s="147" t="str">
        <f ca="1">IFERROR(IF(VLOOKUP($A412,'Шаг2.Бланк заказа NEW'!$B$17:$O$201,14,0)="","",VLOOKUP($A412,'Шаг2.Бланк заказа NEW'!$B$17:$O$201,14,0)),"")</f>
        <v/>
      </c>
      <c r="R412" s="147" t="str">
        <f ca="1">IFERROR(IFERROR(IF(VLOOKUP($A412,'Шаг2.Бланк заказа NEW'!$B$17:$N$201,4,0)="","",VLOOKUP($A412,'Шаг2.Бланк заказа NEW'!$B$17:$N$201,4,0)),
IF(VLOOKUP($A412-COUNT('Шаг2.Бланк заказа NEW'!$B$19:$B$201),'Бланк OLD 0.8 04'!$B$12:$K$200,4,0)&gt;0,0.8,
IF(VLOOKUP($A412-COUNT('Шаг2.Бланк заказа NEW'!$B$19:$B$201),'Бланк OLD 0.8 04'!$B$12:$K$200,5,0)&gt;0,0.4,""))),
IF(VLOOKUP($A412-COUNT('Шаг2.Бланк заказа NEW'!$B$19:$B$201)-COUNT('Бланк OLD 0.8 04'!$B$18:$B$200),'Бланк OLD 2.0 04 '!$B$16:$K$200,4,0)&gt;0,2,IF(VLOOKUP($A412-COUNT('Шаг2.Бланк заказа NEW'!$B$19:$B$201)-COUNT('Бланк OLD 0.8 04'!$B$18:$B$200),'Бланк OLD 2.0 04 '!$B$16:$K$200,5,0)&gt;0,0.4,"")))</f>
        <v/>
      </c>
      <c r="S412" s="147" t="str">
        <f ca="1">IFERROR(IFERROR(IF(VLOOKUP($A412,'Шаг2.Бланк заказа NEW'!$B$17:$N$201,5,0)="","",VLOOKUP($A412,'Шаг2.Бланк заказа NEW'!$B$17:$N$201,5,0)),
IF(VLOOKUP($A412-COUNT('Шаг2.Бланк заказа NEW'!$B$19:$B$201),'Бланк OLD 0.8 04'!$B$12:$K$200,4,0)&gt;1,0.8,
IF(VLOOKUP($A412-COUNT('Шаг2.Бланк заказа NEW'!$B$19:$B$201),'Бланк OLD 0.8 04'!$B$12:$K$200,5,0)&gt;1,0.4,
IF(AND(VLOOKUP($A412-COUNT('Шаг2.Бланк заказа NEW'!$B$19:$B$201),'Бланк OLD 0.8 04'!$B$12:$K$200,4,0)&gt;0,VLOOKUP($A412-COUNT('Шаг2.Бланк заказа NEW'!$B$19:$B$201),'Бланк OLD 0.8 04'!$B$12:$K$200,5,0)&gt;0),0.4,"")))),
IF(VLOOKUP($A412-COUNT('Шаг2.Бланк заказа NEW'!$B$19:$B$201)-COUNT('Бланк OLD 0.8 04'!$B$18:$B$200),'Бланк OLD 2.0 04 '!$B$16:$K$200,4,0)&gt;1,2,
IF(VLOOKUP($A412-COUNT('Шаг2.Бланк заказа NEW'!$B$19:$B$201)-COUNT('Бланк OLD 0.8 04'!$B$18:$B$200),'Бланк OLD 2.0 04 '!$B$16:$K$200,5,0)&gt;1,0.4,IF(AND(VLOOKUP($A412-COUNT('Шаг2.Бланк заказа NEW'!$B$19:$B$201)-COUNT('Бланк OLD 0.8 04'!$B$18:$B$200),'Бланк OLD 2.0 04 '!$B$16:$K$200,4,0)&gt;0,VLOOKUP($A412-COUNT('Шаг2.Бланк заказа NEW'!$B$19:$B$201)-COUNT('Бланк OLD 0.8 04'!$B$18:$B$200),'Бланк OLD 2.0 04 '!$B$16:$K$200,5,0)&gt;0),0.4,""))))</f>
        <v/>
      </c>
      <c r="T412" s="147" t="str">
        <f ca="1">IFERROR(IFERROR(IF(VLOOKUP($A412,'Шаг2.Бланк заказа NEW'!$B$17:$N$201,7,0)="","",VLOOKUP($A412,'Шаг2.Бланк заказа NEW'!$B$17:$N$201,7,0)),
IF(VLOOKUP($A412-COUNT('Шаг2.Бланк заказа NEW'!$B$19:$B$201),'Бланк OLD 0.8 04'!$B$12:$K$200,7,0)&gt;0,0.8,
IF(VLOOKUP($A412-COUNT('Шаг2.Бланк заказа NEW'!$B$19:$B$201),'Бланк OLD 0.8 04'!$B$12:$K$200,8,0)&gt;0,0.4,""))),
IF(VLOOKUP($A412-COUNT('Шаг2.Бланк заказа NEW'!$B$19:$B$201)-COUNT('Бланк OLD 0.8 04'!$B$18:$B$200),'Бланк OLD 2.0 04 '!$B$16:$K$200,7,0)&gt;0,2,IF(VLOOKUP($A412-COUNT('Шаг2.Бланк заказа NEW'!$B$19:$B$201)-COUNT('Бланк OLD 0.8 04'!$B$18:$B$200),'Бланк OLD 2.0 04 '!$B$16:$K$200,8,0)&gt;0,0.4,"")))</f>
        <v/>
      </c>
      <c r="U412" s="147" t="str">
        <f ca="1">IFERROR(IFERROR(IF(VLOOKUP($A412,'Шаг2.Бланк заказа NEW'!$B$17:$N$201,8,0)="","",VLOOKUP($A412,'Шаг2.Бланк заказа NEW'!$B$17:$N$201,8,0)),
IF(VLOOKUP($A412-COUNT('Шаг2.Бланк заказа NEW'!$B$19:$B$201),'Бланк OLD 0.8 04'!$B$12:$K$200,7,0)&gt;1,0.8,
IF(VLOOKUP($A412-COUNT('Шаг2.Бланк заказа NEW'!$B$19:$B$201),'Бланк OLD 0.8 04'!$B$12:$K$200,8,0)&gt;1,0.4,
IF(AND(VLOOKUP($A412-COUNT('Шаг2.Бланк заказа NEW'!$B$19:$B$201),'Бланк OLD 0.8 04'!$B$12:$K$200,7,0)&gt;0,VLOOKUP($A412-COUNT('Шаг2.Бланк заказа NEW'!$B$19:$B$201),'Бланк OLD 0.8 04'!$B$12:$K$200,8,0)&gt;0),0.4,"")))),
IF(VLOOKUP($A412-COUNT('Шаг2.Бланк заказа NEW'!$B$19:$B$201)-COUNT('Бланк OLD 0.8 04'!$B$18:$B$200),'Бланк OLD 2.0 04 '!$B$16:$K$200,7,0)&gt;1,2,
IF(VLOOKUP($A412-COUNT('Шаг2.Бланк заказа NEW'!$B$19:$B$201)-COUNT('Бланк OLD 0.8 04'!$B$18:$B$200),'Бланк OLD 2.0 04 '!$B$16:$K$200,8,0)&gt;1,0.4,
IF(AND(VLOOKUP($A412-COUNT('Шаг2.Бланк заказа NEW'!$B$19:$B$201)-COUNT('Бланк OLD 0.8 04'!$B$18:$B$200),'Бланк OLD 2.0 04 '!$B$16:$K$200,7,0)&gt;0,VLOOKUP($A412-COUNT('Шаг2.Бланк заказа NEW'!$B$19:$B$201)-COUNT('Бланк OLD 0.8 04'!$B$18:$B$200),'Бланк OLD 2.0 04 '!$B$16:$K$200,8,0)&gt;0),0.4,""))))</f>
        <v/>
      </c>
      <c r="V412" s="146" t="str">
        <f ca="1">IFERROR(VLOOKUP(C412,'Шаг1.Выбор плиты'!C:S,12,0),"")</f>
        <v/>
      </c>
      <c r="W412" s="146" t="str">
        <f ca="1">IFERROR(VLOOKUP(C412,'Шаг1.Выбор плиты'!C:S,8,0),"")</f>
        <v/>
      </c>
      <c r="X412" s="146" t="str">
        <f ca="1">IFERROR(VLOOKUP(C412,'Шаг1.Выбор плиты'!C:S,10,0),"")</f>
        <v/>
      </c>
      <c r="Y412" s="147" t="str">
        <f t="shared" ca="1" si="39"/>
        <v/>
      </c>
      <c r="AD412" s="147" t="str">
        <f t="shared" ca="1" si="37"/>
        <v/>
      </c>
      <c r="AE412" s="147" t="str">
        <f t="shared" ca="1" si="40"/>
        <v/>
      </c>
      <c r="AF412" s="25"/>
      <c r="AH412" s="147" t="str">
        <f ca="1">IF(C412="","",VLOOKUP(C412,'Шаг1.Выбор плиты'!C:Q,7,0))</f>
        <v/>
      </c>
      <c r="AI412" s="147" t="str">
        <f t="shared" ca="1" si="38"/>
        <v/>
      </c>
    </row>
    <row r="413" spans="1:35" x14ac:dyDescent="0.2">
      <c r="A413" s="151" t="str">
        <f ca="1">IF(C413="","",MAX($A$1:OFFSET(C413,-1,0))+1)</f>
        <v/>
      </c>
      <c r="B413" s="151" t="str">
        <f ca="1">IFERROR(IFERROR(IFERROR("Шаг2.Бланк заказа NEW №"&amp;VLOOKUP(A412+1,CHOOSE({1,2},'Шаг2.Бланк заказа NEW'!$B$19:$B$201,'Шаг2.Бланк заказа NEW'!$A$19:$A$201),1,0),
"Бланк OLD 0.8 04 №"&amp;VLOOKUP(A412+1-COUNT('Шаг2.Бланк заказа NEW'!$B$19:$B$201),CHOOSE({1,2},'Бланк OLD 0.8 04'!$B$18:$B$200,'Бланк OLD 0.8 04'!$A$18:$A$200),1,0)),
"Бланк OLD 2.0 04 №"&amp;VLOOKUP(A412+1-COUNT('Шаг2.Бланк заказа NEW'!$B$19:$B$201)-COUNT('Бланк OLD 0.8 04'!$B$18:$B$200),CHOOSE({1,2},'Бланк OLD 2.0 04 '!$B$18:$B$200,'Бланк OLD 2.0 04 '!$A$18:$A$200),1,0)),"")</f>
        <v/>
      </c>
      <c r="C413" s="152" t="str">
        <f ca="1">IFERROR(IFERROR(IFERROR(VLOOKUP(A412+1,CHOOSE({1,2},'Шаг2.Бланк заказа NEW'!$B$19:$B$201,'Шаг2.Бланк заказа NEW'!$A$19:$A$201),2,0),
VLOOKUP(A412+1-COUNT('Шаг2.Бланк заказа NEW'!$B$19:$B$201),CHOOSE({1,2},'Бланк OLD 0.8 04'!$B$18:$B$200,'Бланк OLD 0.8 04'!$A$18:$A$200),2,0)),
VLOOKUP(A412+1-COUNT('Шаг2.Бланк заказа NEW'!$B$19:$B$201)-COUNT('Бланк OLD 0.8 04'!$B$18:$B$200),CHOOSE({1,2},'Бланк OLD 2.0 04 '!$B$18:$B$200,'Бланк OLD 2.0 04 '!$A$18:$A$200),2,0)),"")</f>
        <v/>
      </c>
      <c r="D413" s="150" t="str">
        <f ca="1">IFERROR(VLOOKUP(C413,'Шаг1.Выбор плиты'!C:G,5,0),"")</f>
        <v/>
      </c>
      <c r="E413" s="147" t="str">
        <f ca="1">IFERROR(IFERROR(IF(VLOOKUP($A413,'Шаг2.Бланк заказа NEW'!$B$17:$N$201,2,0)="","",VLOOKUP($A413,'Шаг2.Бланк заказа NEW'!$B$17:$N$201,2,0)),
IF(VLOOKUP($A413-COUNT('Шаг2.Бланк заказа NEW'!$B$19:$B$201),'Бланк OLD 0.8 04'!$B$12:$K$200,2,0)="","",VLOOKUP($A413-COUNT('Шаг2.Бланк заказа NEW'!$B$19:$B$201),'Бланк OLD 0.8 04'!$B$12:$K$200,2,0))),
IF(VLOOKUP($A413-COUNT('Шаг2.Бланк заказа NEW'!$B$19:$B$201)-COUNT('Бланк OLD 0.8 04'!$B$18:$B$200),'Бланк OLD 2.0 04 '!$B$16:$K$200,2,0)="","",VLOOKUP($A413-COUNT('Шаг2.Бланк заказа NEW'!$B$19:$B$201)-COUNT('Бланк OLD 0.8 04'!$B$18:$B$200),'Бланк OLD 2.0 04 '!$B$16:$K$200,2,0)))</f>
        <v/>
      </c>
      <c r="F413" s="147" t="str">
        <f ca="1">IFERROR(IFERROR(IF(VLOOKUP($A413,'Шаг2.Бланк заказа NEW'!$B$17:$N$201,3,0)="","",VLOOKUP($A413,'Шаг2.Бланк заказа NEW'!$B$17:$N$201,3,0)),
IF(VLOOKUP($A413-COUNT('Шаг2.Бланк заказа NEW'!$B$19:$B$201),'Бланк OLD 0.8 04'!$B$12:$K$200,3,0)="","",VLOOKUP($A413-COUNT('Шаг2.Бланк заказа NEW'!$B$19:$B$201),'Бланк OLD 0.8 04'!$B$12:$K$200,3,0))),
IF(VLOOKUP($A413-COUNT('Шаг2.Бланк заказа NEW'!$B$19:$B$201)-COUNT('Бланк OLD 0.8 04'!$B$18:$B$200),'Бланк OLD 2.0 04 '!$B$16:$K$200,3,0)="","",VLOOKUP($A413-COUNT('Шаг2.Бланк заказа NEW'!$B$19:$B$201)-COUNT('Бланк OLD 0.8 04'!$B$18:$B$200),'Бланк OLD 2.0 04 '!$B$16:$K$200,3,0)))</f>
        <v/>
      </c>
      <c r="G413" s="176" t="str">
        <f ca="1">IF(IF(R413="","",IF(R413=1,SUMIFS('Шаг1.Выбор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плиты'!C:Q,12,0)),1))))))=0,
R413,
IF(R413="","",IF(R413=1,SUMIFS('Шаг1.Выбор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плиты'!N:N,R413,'Шаг1.Выбор плиты'!M:M,SMALL(INDIRECT("мм"&amp;VLOOKUP(C413,'Шаг1.Выбор плиты'!C:Q,12,0)),1)))))))</f>
        <v/>
      </c>
      <c r="H413" s="177" t="str">
        <f ca="1">IF(IF(S413="","",IF(S413=1,SUMIFS('Шаг1.Выбор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плиты'!C:Q,12,0)),1))))))=0,
S413,
IF(S413="","",IF(S413=1,SUMIFS('Шаг1.Выбор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плиты'!N:N,S413,'Шаг1.Выбор плиты'!M:M,SMALL(INDIRECT("мм"&amp;VLOOKUP(C413,'Шаг1.Выбор плиты'!C:Q,12,0)),1)))))))</f>
        <v/>
      </c>
      <c r="I413" s="147" t="str">
        <f ca="1">IFERROR(IFERROR(IF(VLOOKUP($A413,'Шаг2.Бланк заказа NEW'!$B$17:$N$201,6,0)="","",VLOOKUP($A413,'Шаг2.Бланк заказа NEW'!$B$17:$N$201,6,0)),
IF(VLOOKUP($A413-COUNT('Шаг2.Бланк заказа NEW'!$B$19:$B$201),'Бланк OLD 0.8 04'!$B$12:$K$200,6,0)="","",VLOOKUP($A413-COUNT('Шаг2.Бланк заказа NEW'!$B$19:$B$201),'Бланк OLD 0.8 04'!$B$12:$K$200,6,0))),
IF(VLOOKUP($A413-COUNT('Шаг2.Бланк заказа NEW'!$B$19:$B$201)-COUNT('Бланк OLD 0.8 04'!$B$18:$B$200),'Бланк OLD 2.0 04 '!$B$16:$K$200,6,0)="","",VLOOKUP($A413-COUNT('Шаг2.Бланк заказа NEW'!$B$19:$B$201)-COUNT('Бланк OLD 0.8 04'!$B$18:$B$200),'Бланк OLD 2.0 04 '!$B$16:$K$200,6,0)))</f>
        <v/>
      </c>
      <c r="J413" s="177" t="str">
        <f ca="1">IF(IF(T413="","",IF(T413=1,SUMIFS('Шаг1.Выбор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плиты'!C:Q,12,0)),1))))))=0,
T413,
IF(T413="","",IF(T413=1,SUMIFS('Шаг1.Выбор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плиты'!N:N,T413,'Шаг1.Выбор плиты'!M:M,SMALL(INDIRECT("мм"&amp;VLOOKUP(C413,'Шаг1.Выбор плиты'!C:Q,12,0)),1)))))))</f>
        <v/>
      </c>
      <c r="K413" s="177" t="str">
        <f ca="1">IF(IF(U413="","",IF(U413=1,SUMIFS('Шаг1.Выбор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плиты'!C:Q,12,0)),1))))))=0,
U413,
IF(U413="","",IF(U413=1,SUMIFS('Шаг1.Выбор плиты'!$G:$G,'Шаг1.Выбор плиты'!J:J,"*"&amp;RIGHT(VLOOKUP(C413,'Шаг1.Выбор плиты'!C:Q,8,0),4),'Шаг1.Выбор плиты'!L:L,IF(MID(C413,1,6)="ЛДСП P","TM"&amp;MID(VLOOKUP(C413,'Шаг1.Выбор плиты'!C:Q,10,0),3,2),MID(VLOOKUP(C413,'Шаг1.Выбор плиты'!C:Q,10,0),1,2)),
'Шаг1.Выбор плиты'!N:N,1),IF(SUMIFS('Шаг1.Выбор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плиты'!C:Q,12,0)),1))=0,
IF(SUMIFS('Шаг1.Выбор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плиты'!C:Q,12,0)),2))=0,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плиты'!C:Q,12,0)),3)),
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плиты'!C:Q,12,0)),2))),
(SUMIFS('Шаг1.Выбор плиты'!$G:$G,'Шаг1.Выбор плиты'!J:J,"*"&amp;RIGHT(VLOOKUP(C413,'Шаг1.Выбор плиты'!C:Q,8,0),4),'Шаг1.Выбор плиты'!L:L,VLOOKUP(C413,'Шаг1.Выбор плиты'!C:Q,10,0),'Шаг1.Выбор плиты'!N:N,U413,'Шаг1.Выбор плиты'!M:M,SMALL(INDIRECT("мм"&amp;VLOOKUP(C413,'Шаг1.Выбор плиты'!C:Q,12,0)),1)))))))</f>
        <v/>
      </c>
      <c r="L413" s="147" t="str">
        <f ca="1">IFERROR(IFERROR(IF(VLOOKUP($A413,'Шаг2.Бланк заказа NEW'!$B$17:$N$201,9,0)="","",VLOOKUP($A413,'Шаг2.Бланк заказа NEW'!$B$17:$N$201,9,0)),
IF(VLOOKUP($A413-COUNT('Шаг2.Бланк заказа NEW'!$B$19:$B$201),'Бланк OLD 0.8 04'!$B$12:$K$200,9,0)="","",VLOOKUP($A413-COUNT('Шаг2.Бланк заказа NEW'!$B$19:$B$201),'Бланк OLD 0.8 04'!$B$12:$K$200,9,0))),
IF(VLOOKUP($A413-COUNT('Шаг2.Бланк заказа NEW'!$B$19:$B$201)-COUNT('Бланк OLD 0.8 04'!$B$18:$B$200),'Бланк OLD 2.0 04 '!$B$16:$K$200,9,0)="","",VLOOKUP($A413-COUNT('Шаг2.Бланк заказа NEW'!$B$19:$B$201)-COUNT('Бланк OLD 0.8 04'!$B$18:$B$200),'Бланк OLD 2.0 04 '!$B$16:$K$200,9,0)))</f>
        <v/>
      </c>
      <c r="M413" s="154" t="str">
        <f t="shared" ca="1" si="36"/>
        <v/>
      </c>
      <c r="N413" s="153" t="str">
        <f ca="1">IFERROR(IF(VLOOKUP($A413,'Шаг2.Бланк заказа NEW'!$B$17:$N$201,11,0)="","",VLOOKUP($A413,'Шаг2.Бланк заказа NEW'!$B$17:$N$201,11,0)),
"Нет")</f>
        <v/>
      </c>
      <c r="O413" s="147" t="str">
        <f ca="1">IFERROR(IF(VLOOKUP($A413,'Шаг2.Бланк заказа NEW'!$B$17:$N$201,11,0)="","",VLOOKUP($A413,'Шаг2.Бланк заказа NEW'!$B$17:$N$201,12,0)),
"Нет")</f>
        <v/>
      </c>
      <c r="P413" s="153" t="str">
        <f ca="1">IFERROR(IF(VLOOKUP($A413,'Шаг2.Бланк заказа NEW'!$B$17:$N$201,13,0)="","",VLOOKUP($A413,'Шаг2.Бланк заказа NEW'!$B$17:$N$201,13,0)),
"Нет")</f>
        <v/>
      </c>
      <c r="Q413" s="147" t="str">
        <f ca="1">IFERROR(IF(VLOOKUP($A413,'Шаг2.Бланк заказа NEW'!$B$17:$O$201,14,0)="","",VLOOKUP($A413,'Шаг2.Бланк заказа NEW'!$B$17:$O$201,14,0)),"")</f>
        <v/>
      </c>
      <c r="R413" s="147" t="str">
        <f ca="1">IFERROR(IFERROR(IF(VLOOKUP($A413,'Шаг2.Бланк заказа NEW'!$B$17:$N$201,4,0)="","",VLOOKUP($A413,'Шаг2.Бланк заказа NEW'!$B$17:$N$201,4,0)),
IF(VLOOKUP($A413-COUNT('Шаг2.Бланк заказа NEW'!$B$19:$B$201),'Бланк OLD 0.8 04'!$B$12:$K$200,4,0)&gt;0,0.8,
IF(VLOOKUP($A413-COUNT('Шаг2.Бланк заказа NEW'!$B$19:$B$201),'Бланк OLD 0.8 04'!$B$12:$K$200,5,0)&gt;0,0.4,""))),
IF(VLOOKUP($A413-COUNT('Шаг2.Бланк заказа NEW'!$B$19:$B$201)-COUNT('Бланк OLD 0.8 04'!$B$18:$B$200),'Бланк OLD 2.0 04 '!$B$16:$K$200,4,0)&gt;0,2,IF(VLOOKUP($A413-COUNT('Шаг2.Бланк заказа NEW'!$B$19:$B$201)-COUNT('Бланк OLD 0.8 04'!$B$18:$B$200),'Бланк OLD 2.0 04 '!$B$16:$K$200,5,0)&gt;0,0.4,"")))</f>
        <v/>
      </c>
      <c r="S413" s="147" t="str">
        <f ca="1">IFERROR(IFERROR(IF(VLOOKUP($A413,'Шаг2.Бланк заказа NEW'!$B$17:$N$201,5,0)="","",VLOOKUP($A413,'Шаг2.Бланк заказа NEW'!$B$17:$N$201,5,0)),
IF(VLOOKUP($A413-COUNT('Шаг2.Бланк заказа NEW'!$B$19:$B$201),'Бланк OLD 0.8 04'!$B$12:$K$200,4,0)&gt;1,0.8,
IF(VLOOKUP($A413-COUNT('Шаг2.Бланк заказа NEW'!$B$19:$B$201),'Бланк OLD 0.8 04'!$B$12:$K$200,5,0)&gt;1,0.4,
IF(AND(VLOOKUP($A413-COUNT('Шаг2.Бланк заказа NEW'!$B$19:$B$201),'Бланк OLD 0.8 04'!$B$12:$K$200,4,0)&gt;0,VLOOKUP($A413-COUNT('Шаг2.Бланк заказа NEW'!$B$19:$B$201),'Бланк OLD 0.8 04'!$B$12:$K$200,5,0)&gt;0),0.4,"")))),
IF(VLOOKUP($A413-COUNT('Шаг2.Бланк заказа NEW'!$B$19:$B$201)-COUNT('Бланк OLD 0.8 04'!$B$18:$B$200),'Бланк OLD 2.0 04 '!$B$16:$K$200,4,0)&gt;1,2,
IF(VLOOKUP($A413-COUNT('Шаг2.Бланк заказа NEW'!$B$19:$B$201)-COUNT('Бланк OLD 0.8 04'!$B$18:$B$200),'Бланк OLD 2.0 04 '!$B$16:$K$200,5,0)&gt;1,0.4,IF(AND(VLOOKUP($A413-COUNT('Шаг2.Бланк заказа NEW'!$B$19:$B$201)-COUNT('Бланк OLD 0.8 04'!$B$18:$B$200),'Бланк OLD 2.0 04 '!$B$16:$K$200,4,0)&gt;0,VLOOKUP($A413-COUNT('Шаг2.Бланк заказа NEW'!$B$19:$B$201)-COUNT('Бланк OLD 0.8 04'!$B$18:$B$200),'Бланк OLD 2.0 04 '!$B$16:$K$200,5,0)&gt;0),0.4,""))))</f>
        <v/>
      </c>
      <c r="T413" s="147" t="str">
        <f ca="1">IFERROR(IFERROR(IF(VLOOKUP($A413,'Шаг2.Бланк заказа NEW'!$B$17:$N$201,7,0)="","",VLOOKUP($A413,'Шаг2.Бланк заказа NEW'!$B$17:$N$201,7,0)),
IF(VLOOKUP($A413-COUNT('Шаг2.Бланк заказа NEW'!$B$19:$B$201),'Бланк OLD 0.8 04'!$B$12:$K$200,7,0)&gt;0,0.8,
IF(VLOOKUP($A413-COUNT('Шаг2.Бланк заказа NEW'!$B$19:$B$201),'Бланк OLD 0.8 04'!$B$12:$K$200,8,0)&gt;0,0.4,""))),
IF(VLOOKUP($A413-COUNT('Шаг2.Бланк заказа NEW'!$B$19:$B$201)-COUNT('Бланк OLD 0.8 04'!$B$18:$B$200),'Бланк OLD 2.0 04 '!$B$16:$K$200,7,0)&gt;0,2,IF(VLOOKUP($A413-COUNT('Шаг2.Бланк заказа NEW'!$B$19:$B$201)-COUNT('Бланк OLD 0.8 04'!$B$18:$B$200),'Бланк OLD 2.0 04 '!$B$16:$K$200,8,0)&gt;0,0.4,"")))</f>
        <v/>
      </c>
      <c r="U413" s="147" t="str">
        <f ca="1">IFERROR(IFERROR(IF(VLOOKUP($A413,'Шаг2.Бланк заказа NEW'!$B$17:$N$201,8,0)="","",VLOOKUP($A413,'Шаг2.Бланк заказа NEW'!$B$17:$N$201,8,0)),
IF(VLOOKUP($A413-COUNT('Шаг2.Бланк заказа NEW'!$B$19:$B$201),'Бланк OLD 0.8 04'!$B$12:$K$200,7,0)&gt;1,0.8,
IF(VLOOKUP($A413-COUNT('Шаг2.Бланк заказа NEW'!$B$19:$B$201),'Бланк OLD 0.8 04'!$B$12:$K$200,8,0)&gt;1,0.4,
IF(AND(VLOOKUP($A413-COUNT('Шаг2.Бланк заказа NEW'!$B$19:$B$201),'Бланк OLD 0.8 04'!$B$12:$K$200,7,0)&gt;0,VLOOKUP($A413-COUNT('Шаг2.Бланк заказа NEW'!$B$19:$B$201),'Бланк OLD 0.8 04'!$B$12:$K$200,8,0)&gt;0),0.4,"")))),
IF(VLOOKUP($A413-COUNT('Шаг2.Бланк заказа NEW'!$B$19:$B$201)-COUNT('Бланк OLD 0.8 04'!$B$18:$B$200),'Бланк OLD 2.0 04 '!$B$16:$K$200,7,0)&gt;1,2,
IF(VLOOKUP($A413-COUNT('Шаг2.Бланк заказа NEW'!$B$19:$B$201)-COUNT('Бланк OLD 0.8 04'!$B$18:$B$200),'Бланк OLD 2.0 04 '!$B$16:$K$200,8,0)&gt;1,0.4,
IF(AND(VLOOKUP($A413-COUNT('Шаг2.Бланк заказа NEW'!$B$19:$B$201)-COUNT('Бланк OLD 0.8 04'!$B$18:$B$200),'Бланк OLD 2.0 04 '!$B$16:$K$200,7,0)&gt;0,VLOOKUP($A413-COUNT('Шаг2.Бланк заказа NEW'!$B$19:$B$201)-COUNT('Бланк OLD 0.8 04'!$B$18:$B$200),'Бланк OLD 2.0 04 '!$B$16:$K$200,8,0)&gt;0),0.4,""))))</f>
        <v/>
      </c>
      <c r="V413" s="146" t="str">
        <f ca="1">IFERROR(VLOOKUP(C413,'Шаг1.Выбор плиты'!C:S,12,0),"")</f>
        <v/>
      </c>
      <c r="W413" s="146" t="str">
        <f ca="1">IFERROR(VLOOKUP(C413,'Шаг1.Выбор плиты'!C:S,8,0),"")</f>
        <v/>
      </c>
      <c r="X413" s="146" t="str">
        <f ca="1">IFERROR(VLOOKUP(C413,'Шаг1.Выбор плиты'!C:S,10,0),"")</f>
        <v/>
      </c>
      <c r="Y413" s="147" t="str">
        <f t="shared" ca="1" si="39"/>
        <v/>
      </c>
      <c r="AD413" s="147" t="str">
        <f t="shared" ca="1" si="37"/>
        <v/>
      </c>
      <c r="AE413" s="147" t="str">
        <f t="shared" ca="1" si="40"/>
        <v/>
      </c>
      <c r="AF413" s="25"/>
      <c r="AH413" s="147" t="str">
        <f ca="1">IF(C413="","",VLOOKUP(C413,'Шаг1.Выбор плиты'!C:Q,7,0))</f>
        <v/>
      </c>
      <c r="AI413" s="147" t="str">
        <f t="shared" ca="1" si="38"/>
        <v/>
      </c>
    </row>
    <row r="414" spans="1:35" x14ac:dyDescent="0.2">
      <c r="A414" s="151" t="str">
        <f ca="1">IF(C414="","",MAX($A$1:OFFSET(C414,-1,0))+1)</f>
        <v/>
      </c>
      <c r="B414" s="151" t="str">
        <f ca="1">IFERROR(IFERROR(IFERROR("Шаг2.Бланк заказа NEW №"&amp;VLOOKUP(A413+1,CHOOSE({1,2},'Шаг2.Бланк заказа NEW'!$B$19:$B$201,'Шаг2.Бланк заказа NEW'!$A$19:$A$201),1,0),
"Бланк OLD 0.8 04 №"&amp;VLOOKUP(A413+1-COUNT('Шаг2.Бланк заказа NEW'!$B$19:$B$201),CHOOSE({1,2},'Бланк OLD 0.8 04'!$B$18:$B$200,'Бланк OLD 0.8 04'!$A$18:$A$200),1,0)),
"Бланк OLD 2.0 04 №"&amp;VLOOKUP(A413+1-COUNT('Шаг2.Бланк заказа NEW'!$B$19:$B$201)-COUNT('Бланк OLD 0.8 04'!$B$18:$B$200),CHOOSE({1,2},'Бланк OLD 2.0 04 '!$B$18:$B$200,'Бланк OLD 2.0 04 '!$A$18:$A$200),1,0)),"")</f>
        <v/>
      </c>
      <c r="C414" s="152" t="str">
        <f ca="1">IFERROR(IFERROR(IFERROR(VLOOKUP(A413+1,CHOOSE({1,2},'Шаг2.Бланк заказа NEW'!$B$19:$B$201,'Шаг2.Бланк заказа NEW'!$A$19:$A$201),2,0),
VLOOKUP(A413+1-COUNT('Шаг2.Бланк заказа NEW'!$B$19:$B$201),CHOOSE({1,2},'Бланк OLD 0.8 04'!$B$18:$B$200,'Бланк OLD 0.8 04'!$A$18:$A$200),2,0)),
VLOOKUP(A413+1-COUNT('Шаг2.Бланк заказа NEW'!$B$19:$B$201)-COUNT('Бланк OLD 0.8 04'!$B$18:$B$200),CHOOSE({1,2},'Бланк OLD 2.0 04 '!$B$18:$B$200,'Бланк OLD 2.0 04 '!$A$18:$A$200),2,0)),"")</f>
        <v/>
      </c>
      <c r="D414" s="150" t="str">
        <f ca="1">IFERROR(VLOOKUP(C414,'Шаг1.Выбор плиты'!C:G,5,0),"")</f>
        <v/>
      </c>
      <c r="E414" s="147" t="str">
        <f ca="1">IFERROR(IFERROR(IF(VLOOKUP($A414,'Шаг2.Бланк заказа NEW'!$B$17:$N$201,2,0)="","",VLOOKUP($A414,'Шаг2.Бланк заказа NEW'!$B$17:$N$201,2,0)),
IF(VLOOKUP($A414-COUNT('Шаг2.Бланк заказа NEW'!$B$19:$B$201),'Бланк OLD 0.8 04'!$B$12:$K$200,2,0)="","",VLOOKUP($A414-COUNT('Шаг2.Бланк заказа NEW'!$B$19:$B$201),'Бланк OLD 0.8 04'!$B$12:$K$200,2,0))),
IF(VLOOKUP($A414-COUNT('Шаг2.Бланк заказа NEW'!$B$19:$B$201)-COUNT('Бланк OLD 0.8 04'!$B$18:$B$200),'Бланк OLD 2.0 04 '!$B$16:$K$200,2,0)="","",VLOOKUP($A414-COUNT('Шаг2.Бланк заказа NEW'!$B$19:$B$201)-COUNT('Бланк OLD 0.8 04'!$B$18:$B$200),'Бланк OLD 2.0 04 '!$B$16:$K$200,2,0)))</f>
        <v/>
      </c>
      <c r="F414" s="147" t="str">
        <f ca="1">IFERROR(IFERROR(IF(VLOOKUP($A414,'Шаг2.Бланк заказа NEW'!$B$17:$N$201,3,0)="","",VLOOKUP($A414,'Шаг2.Бланк заказа NEW'!$B$17:$N$201,3,0)),
IF(VLOOKUP($A414-COUNT('Шаг2.Бланк заказа NEW'!$B$19:$B$201),'Бланк OLD 0.8 04'!$B$12:$K$200,3,0)="","",VLOOKUP($A414-COUNT('Шаг2.Бланк заказа NEW'!$B$19:$B$201),'Бланк OLD 0.8 04'!$B$12:$K$200,3,0))),
IF(VLOOKUP($A414-COUNT('Шаг2.Бланк заказа NEW'!$B$19:$B$201)-COUNT('Бланк OLD 0.8 04'!$B$18:$B$200),'Бланк OLD 2.0 04 '!$B$16:$K$200,3,0)="","",VLOOKUP($A414-COUNT('Шаг2.Бланк заказа NEW'!$B$19:$B$201)-COUNT('Бланк OLD 0.8 04'!$B$18:$B$200),'Бланк OLD 2.0 04 '!$B$16:$K$200,3,0)))</f>
        <v/>
      </c>
      <c r="G414" s="176" t="str">
        <f ca="1">IF(IF(R414="","",IF(R414=1,SUMIFS('Шаг1.Выбор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плиты'!C:Q,12,0)),1))))))=0,
R414,
IF(R414="","",IF(R414=1,SUMIFS('Шаг1.Выбор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плиты'!N:N,R414,'Шаг1.Выбор плиты'!M:M,SMALL(INDIRECT("мм"&amp;VLOOKUP(C414,'Шаг1.Выбор плиты'!C:Q,12,0)),1)))))))</f>
        <v/>
      </c>
      <c r="H414" s="177" t="str">
        <f ca="1">IF(IF(S414="","",IF(S414=1,SUMIFS('Шаг1.Выбор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плиты'!C:Q,12,0)),1))))))=0,
S414,
IF(S414="","",IF(S414=1,SUMIFS('Шаг1.Выбор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плиты'!N:N,S414,'Шаг1.Выбор плиты'!M:M,SMALL(INDIRECT("мм"&amp;VLOOKUP(C414,'Шаг1.Выбор плиты'!C:Q,12,0)),1)))))))</f>
        <v/>
      </c>
      <c r="I414" s="147" t="str">
        <f ca="1">IFERROR(IFERROR(IF(VLOOKUP($A414,'Шаг2.Бланк заказа NEW'!$B$17:$N$201,6,0)="","",VLOOKUP($A414,'Шаг2.Бланк заказа NEW'!$B$17:$N$201,6,0)),
IF(VLOOKUP($A414-COUNT('Шаг2.Бланк заказа NEW'!$B$19:$B$201),'Бланк OLD 0.8 04'!$B$12:$K$200,6,0)="","",VLOOKUP($A414-COUNT('Шаг2.Бланк заказа NEW'!$B$19:$B$201),'Бланк OLD 0.8 04'!$B$12:$K$200,6,0))),
IF(VLOOKUP($A414-COUNT('Шаг2.Бланк заказа NEW'!$B$19:$B$201)-COUNT('Бланк OLD 0.8 04'!$B$18:$B$200),'Бланк OLD 2.0 04 '!$B$16:$K$200,6,0)="","",VLOOKUP($A414-COUNT('Шаг2.Бланк заказа NEW'!$B$19:$B$201)-COUNT('Бланк OLD 0.8 04'!$B$18:$B$200),'Бланк OLD 2.0 04 '!$B$16:$K$200,6,0)))</f>
        <v/>
      </c>
      <c r="J414" s="177" t="str">
        <f ca="1">IF(IF(T414="","",IF(T414=1,SUMIFS('Шаг1.Выбор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плиты'!C:Q,12,0)),1))))))=0,
T414,
IF(T414="","",IF(T414=1,SUMIFS('Шаг1.Выбор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плиты'!N:N,T414,'Шаг1.Выбор плиты'!M:M,SMALL(INDIRECT("мм"&amp;VLOOKUP(C414,'Шаг1.Выбор плиты'!C:Q,12,0)),1)))))))</f>
        <v/>
      </c>
      <c r="K414" s="177" t="str">
        <f ca="1">IF(IF(U414="","",IF(U414=1,SUMIFS('Шаг1.Выбор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плиты'!C:Q,12,0)),1))))))=0,
U414,
IF(U414="","",IF(U414=1,SUMIFS('Шаг1.Выбор плиты'!$G:$G,'Шаг1.Выбор плиты'!J:J,"*"&amp;RIGHT(VLOOKUP(C414,'Шаг1.Выбор плиты'!C:Q,8,0),4),'Шаг1.Выбор плиты'!L:L,IF(MID(C414,1,6)="ЛДСП P","TM"&amp;MID(VLOOKUP(C414,'Шаг1.Выбор плиты'!C:Q,10,0),3,2),MID(VLOOKUP(C414,'Шаг1.Выбор плиты'!C:Q,10,0),1,2)),
'Шаг1.Выбор плиты'!N:N,1),IF(SUMIFS('Шаг1.Выбор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плиты'!C:Q,12,0)),1))=0,
IF(SUMIFS('Шаг1.Выбор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плиты'!C:Q,12,0)),2))=0,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плиты'!C:Q,12,0)),3)),
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плиты'!C:Q,12,0)),2))),
(SUMIFS('Шаг1.Выбор плиты'!$G:$G,'Шаг1.Выбор плиты'!J:J,"*"&amp;RIGHT(VLOOKUP(C414,'Шаг1.Выбор плиты'!C:Q,8,0),4),'Шаг1.Выбор плиты'!L:L,VLOOKUP(C414,'Шаг1.Выбор плиты'!C:Q,10,0),'Шаг1.Выбор плиты'!N:N,U414,'Шаг1.Выбор плиты'!M:M,SMALL(INDIRECT("мм"&amp;VLOOKUP(C414,'Шаг1.Выбор плиты'!C:Q,12,0)),1)))))))</f>
        <v/>
      </c>
      <c r="L414" s="147" t="str">
        <f ca="1">IFERROR(IFERROR(IF(VLOOKUP($A414,'Шаг2.Бланк заказа NEW'!$B$17:$N$201,9,0)="","",VLOOKUP($A414,'Шаг2.Бланк заказа NEW'!$B$17:$N$201,9,0)),
IF(VLOOKUP($A414-COUNT('Шаг2.Бланк заказа NEW'!$B$19:$B$201),'Бланк OLD 0.8 04'!$B$12:$K$200,9,0)="","",VLOOKUP($A414-COUNT('Шаг2.Бланк заказа NEW'!$B$19:$B$201),'Бланк OLD 0.8 04'!$B$12:$K$200,9,0))),
IF(VLOOKUP($A414-COUNT('Шаг2.Бланк заказа NEW'!$B$19:$B$201)-COUNT('Бланк OLD 0.8 04'!$B$18:$B$200),'Бланк OLD 2.0 04 '!$B$16:$K$200,9,0)="","",VLOOKUP($A414-COUNT('Шаг2.Бланк заказа NEW'!$B$19:$B$201)-COUNT('Бланк OLD 0.8 04'!$B$18:$B$200),'Бланк OLD 2.0 04 '!$B$16:$K$200,9,0)))</f>
        <v/>
      </c>
      <c r="M414" s="154" t="str">
        <f t="shared" ca="1" si="36"/>
        <v/>
      </c>
      <c r="N414" s="153" t="str">
        <f ca="1">IFERROR(IF(VLOOKUP($A414,'Шаг2.Бланк заказа NEW'!$B$17:$N$201,11,0)="","",VLOOKUP($A414,'Шаг2.Бланк заказа NEW'!$B$17:$N$201,11,0)),
"Нет")</f>
        <v/>
      </c>
      <c r="O414" s="147" t="str">
        <f ca="1">IFERROR(IF(VLOOKUP($A414,'Шаг2.Бланк заказа NEW'!$B$17:$N$201,11,0)="","",VLOOKUP($A414,'Шаг2.Бланк заказа NEW'!$B$17:$N$201,12,0)),
"Нет")</f>
        <v/>
      </c>
      <c r="P414" s="153" t="str">
        <f ca="1">IFERROR(IF(VLOOKUP($A414,'Шаг2.Бланк заказа NEW'!$B$17:$N$201,13,0)="","",VLOOKUP($A414,'Шаг2.Бланк заказа NEW'!$B$17:$N$201,13,0)),
"Нет")</f>
        <v/>
      </c>
      <c r="Q414" s="147" t="str">
        <f ca="1">IFERROR(IF(VLOOKUP($A414,'Шаг2.Бланк заказа NEW'!$B$17:$O$201,14,0)="","",VLOOKUP($A414,'Шаг2.Бланк заказа NEW'!$B$17:$O$201,14,0)),"")</f>
        <v/>
      </c>
      <c r="R414" s="147" t="str">
        <f ca="1">IFERROR(IFERROR(IF(VLOOKUP($A414,'Шаг2.Бланк заказа NEW'!$B$17:$N$201,4,0)="","",VLOOKUP($A414,'Шаг2.Бланк заказа NEW'!$B$17:$N$201,4,0)),
IF(VLOOKUP($A414-COUNT('Шаг2.Бланк заказа NEW'!$B$19:$B$201),'Бланк OLD 0.8 04'!$B$12:$K$200,4,0)&gt;0,0.8,
IF(VLOOKUP($A414-COUNT('Шаг2.Бланк заказа NEW'!$B$19:$B$201),'Бланк OLD 0.8 04'!$B$12:$K$200,5,0)&gt;0,0.4,""))),
IF(VLOOKUP($A414-COUNT('Шаг2.Бланк заказа NEW'!$B$19:$B$201)-COUNT('Бланк OLD 0.8 04'!$B$18:$B$200),'Бланк OLD 2.0 04 '!$B$16:$K$200,4,0)&gt;0,2,IF(VLOOKUP($A414-COUNT('Шаг2.Бланк заказа NEW'!$B$19:$B$201)-COUNT('Бланк OLD 0.8 04'!$B$18:$B$200),'Бланк OLD 2.0 04 '!$B$16:$K$200,5,0)&gt;0,0.4,"")))</f>
        <v/>
      </c>
      <c r="S414" s="147" t="str">
        <f ca="1">IFERROR(IFERROR(IF(VLOOKUP($A414,'Шаг2.Бланк заказа NEW'!$B$17:$N$201,5,0)="","",VLOOKUP($A414,'Шаг2.Бланк заказа NEW'!$B$17:$N$201,5,0)),
IF(VLOOKUP($A414-COUNT('Шаг2.Бланк заказа NEW'!$B$19:$B$201),'Бланк OLD 0.8 04'!$B$12:$K$200,4,0)&gt;1,0.8,
IF(VLOOKUP($A414-COUNT('Шаг2.Бланк заказа NEW'!$B$19:$B$201),'Бланк OLD 0.8 04'!$B$12:$K$200,5,0)&gt;1,0.4,
IF(AND(VLOOKUP($A414-COUNT('Шаг2.Бланк заказа NEW'!$B$19:$B$201),'Бланк OLD 0.8 04'!$B$12:$K$200,4,0)&gt;0,VLOOKUP($A414-COUNT('Шаг2.Бланк заказа NEW'!$B$19:$B$201),'Бланк OLD 0.8 04'!$B$12:$K$200,5,0)&gt;0),0.4,"")))),
IF(VLOOKUP($A414-COUNT('Шаг2.Бланк заказа NEW'!$B$19:$B$201)-COUNT('Бланк OLD 0.8 04'!$B$18:$B$200),'Бланк OLD 2.0 04 '!$B$16:$K$200,4,0)&gt;1,2,
IF(VLOOKUP($A414-COUNT('Шаг2.Бланк заказа NEW'!$B$19:$B$201)-COUNT('Бланк OLD 0.8 04'!$B$18:$B$200),'Бланк OLD 2.0 04 '!$B$16:$K$200,5,0)&gt;1,0.4,IF(AND(VLOOKUP($A414-COUNT('Шаг2.Бланк заказа NEW'!$B$19:$B$201)-COUNT('Бланк OLD 0.8 04'!$B$18:$B$200),'Бланк OLD 2.0 04 '!$B$16:$K$200,4,0)&gt;0,VLOOKUP($A414-COUNT('Шаг2.Бланк заказа NEW'!$B$19:$B$201)-COUNT('Бланк OLD 0.8 04'!$B$18:$B$200),'Бланк OLD 2.0 04 '!$B$16:$K$200,5,0)&gt;0),0.4,""))))</f>
        <v/>
      </c>
      <c r="T414" s="147" t="str">
        <f ca="1">IFERROR(IFERROR(IF(VLOOKUP($A414,'Шаг2.Бланк заказа NEW'!$B$17:$N$201,7,0)="","",VLOOKUP($A414,'Шаг2.Бланк заказа NEW'!$B$17:$N$201,7,0)),
IF(VLOOKUP($A414-COUNT('Шаг2.Бланк заказа NEW'!$B$19:$B$201),'Бланк OLD 0.8 04'!$B$12:$K$200,7,0)&gt;0,0.8,
IF(VLOOKUP($A414-COUNT('Шаг2.Бланк заказа NEW'!$B$19:$B$201),'Бланк OLD 0.8 04'!$B$12:$K$200,8,0)&gt;0,0.4,""))),
IF(VLOOKUP($A414-COUNT('Шаг2.Бланк заказа NEW'!$B$19:$B$201)-COUNT('Бланк OLD 0.8 04'!$B$18:$B$200),'Бланк OLD 2.0 04 '!$B$16:$K$200,7,0)&gt;0,2,IF(VLOOKUP($A414-COUNT('Шаг2.Бланк заказа NEW'!$B$19:$B$201)-COUNT('Бланк OLD 0.8 04'!$B$18:$B$200),'Бланк OLD 2.0 04 '!$B$16:$K$200,8,0)&gt;0,0.4,"")))</f>
        <v/>
      </c>
      <c r="U414" s="147" t="str">
        <f ca="1">IFERROR(IFERROR(IF(VLOOKUP($A414,'Шаг2.Бланк заказа NEW'!$B$17:$N$201,8,0)="","",VLOOKUP($A414,'Шаг2.Бланк заказа NEW'!$B$17:$N$201,8,0)),
IF(VLOOKUP($A414-COUNT('Шаг2.Бланк заказа NEW'!$B$19:$B$201),'Бланк OLD 0.8 04'!$B$12:$K$200,7,0)&gt;1,0.8,
IF(VLOOKUP($A414-COUNT('Шаг2.Бланк заказа NEW'!$B$19:$B$201),'Бланк OLD 0.8 04'!$B$12:$K$200,8,0)&gt;1,0.4,
IF(AND(VLOOKUP($A414-COUNT('Шаг2.Бланк заказа NEW'!$B$19:$B$201),'Бланк OLD 0.8 04'!$B$12:$K$200,7,0)&gt;0,VLOOKUP($A414-COUNT('Шаг2.Бланк заказа NEW'!$B$19:$B$201),'Бланк OLD 0.8 04'!$B$12:$K$200,8,0)&gt;0),0.4,"")))),
IF(VLOOKUP($A414-COUNT('Шаг2.Бланк заказа NEW'!$B$19:$B$201)-COUNT('Бланк OLD 0.8 04'!$B$18:$B$200),'Бланк OLD 2.0 04 '!$B$16:$K$200,7,0)&gt;1,2,
IF(VLOOKUP($A414-COUNT('Шаг2.Бланк заказа NEW'!$B$19:$B$201)-COUNT('Бланк OLD 0.8 04'!$B$18:$B$200),'Бланк OLD 2.0 04 '!$B$16:$K$200,8,0)&gt;1,0.4,
IF(AND(VLOOKUP($A414-COUNT('Шаг2.Бланк заказа NEW'!$B$19:$B$201)-COUNT('Бланк OLD 0.8 04'!$B$18:$B$200),'Бланк OLD 2.0 04 '!$B$16:$K$200,7,0)&gt;0,VLOOKUP($A414-COUNT('Шаг2.Бланк заказа NEW'!$B$19:$B$201)-COUNT('Бланк OLD 0.8 04'!$B$18:$B$200),'Бланк OLD 2.0 04 '!$B$16:$K$200,8,0)&gt;0),0.4,""))))</f>
        <v/>
      </c>
      <c r="V414" s="146" t="str">
        <f ca="1">IFERROR(VLOOKUP(C414,'Шаг1.Выбор плиты'!C:S,12,0),"")</f>
        <v/>
      </c>
      <c r="W414" s="146" t="str">
        <f ca="1">IFERROR(VLOOKUP(C414,'Шаг1.Выбор плиты'!C:S,8,0),"")</f>
        <v/>
      </c>
      <c r="X414" s="146" t="str">
        <f ca="1">IFERROR(VLOOKUP(C414,'Шаг1.Выбор плиты'!C:S,10,0),"")</f>
        <v/>
      </c>
      <c r="Y414" s="147" t="str">
        <f t="shared" ca="1" si="39"/>
        <v/>
      </c>
      <c r="AD414" s="147" t="str">
        <f t="shared" ca="1" si="37"/>
        <v/>
      </c>
      <c r="AE414" s="147" t="str">
        <f t="shared" ca="1" si="40"/>
        <v/>
      </c>
      <c r="AF414" s="25"/>
      <c r="AH414" s="147" t="str">
        <f ca="1">IF(C414="","",VLOOKUP(C414,'Шаг1.Выбор плиты'!C:Q,7,0))</f>
        <v/>
      </c>
      <c r="AI414" s="147" t="str">
        <f t="shared" ca="1" si="38"/>
        <v/>
      </c>
    </row>
    <row r="415" spans="1:35" x14ac:dyDescent="0.2">
      <c r="A415" s="151" t="str">
        <f ca="1">IF(C415="","",MAX($A$1:OFFSET(C415,-1,0))+1)</f>
        <v/>
      </c>
      <c r="B415" s="151" t="str">
        <f ca="1">IFERROR(IFERROR(IFERROR("Шаг2.Бланк заказа NEW №"&amp;VLOOKUP(A414+1,CHOOSE({1,2},'Шаг2.Бланк заказа NEW'!$B$19:$B$201,'Шаг2.Бланк заказа NEW'!$A$19:$A$201),1,0),
"Бланк OLD 0.8 04 №"&amp;VLOOKUP(A414+1-COUNT('Шаг2.Бланк заказа NEW'!$B$19:$B$201),CHOOSE({1,2},'Бланк OLD 0.8 04'!$B$18:$B$200,'Бланк OLD 0.8 04'!$A$18:$A$200),1,0)),
"Бланк OLD 2.0 04 №"&amp;VLOOKUP(A414+1-COUNT('Шаг2.Бланк заказа NEW'!$B$19:$B$201)-COUNT('Бланк OLD 0.8 04'!$B$18:$B$200),CHOOSE({1,2},'Бланк OLD 2.0 04 '!$B$18:$B$200,'Бланк OLD 2.0 04 '!$A$18:$A$200),1,0)),"")</f>
        <v/>
      </c>
      <c r="C415" s="152" t="str">
        <f ca="1">IFERROR(IFERROR(IFERROR(VLOOKUP(A414+1,CHOOSE({1,2},'Шаг2.Бланк заказа NEW'!$B$19:$B$201,'Шаг2.Бланк заказа NEW'!$A$19:$A$201),2,0),
VLOOKUP(A414+1-COUNT('Шаг2.Бланк заказа NEW'!$B$19:$B$201),CHOOSE({1,2},'Бланк OLD 0.8 04'!$B$18:$B$200,'Бланк OLD 0.8 04'!$A$18:$A$200),2,0)),
VLOOKUP(A414+1-COUNT('Шаг2.Бланк заказа NEW'!$B$19:$B$201)-COUNT('Бланк OLD 0.8 04'!$B$18:$B$200),CHOOSE({1,2},'Бланк OLD 2.0 04 '!$B$18:$B$200,'Бланк OLD 2.0 04 '!$A$18:$A$200),2,0)),"")</f>
        <v/>
      </c>
      <c r="D415" s="150" t="str">
        <f ca="1">IFERROR(VLOOKUP(C415,'Шаг1.Выбор плиты'!C:G,5,0),"")</f>
        <v/>
      </c>
      <c r="E415" s="147" t="str">
        <f ca="1">IFERROR(IFERROR(IF(VLOOKUP($A415,'Шаг2.Бланк заказа NEW'!$B$17:$N$201,2,0)="","",VLOOKUP($A415,'Шаг2.Бланк заказа NEW'!$B$17:$N$201,2,0)),
IF(VLOOKUP($A415-COUNT('Шаг2.Бланк заказа NEW'!$B$19:$B$201),'Бланк OLD 0.8 04'!$B$12:$K$200,2,0)="","",VLOOKUP($A415-COUNT('Шаг2.Бланк заказа NEW'!$B$19:$B$201),'Бланк OLD 0.8 04'!$B$12:$K$200,2,0))),
IF(VLOOKUP($A415-COUNT('Шаг2.Бланк заказа NEW'!$B$19:$B$201)-COUNT('Бланк OLD 0.8 04'!$B$18:$B$200),'Бланк OLD 2.0 04 '!$B$16:$K$200,2,0)="","",VLOOKUP($A415-COUNT('Шаг2.Бланк заказа NEW'!$B$19:$B$201)-COUNT('Бланк OLD 0.8 04'!$B$18:$B$200),'Бланк OLD 2.0 04 '!$B$16:$K$200,2,0)))</f>
        <v/>
      </c>
      <c r="F415" s="147" t="str">
        <f ca="1">IFERROR(IFERROR(IF(VLOOKUP($A415,'Шаг2.Бланк заказа NEW'!$B$17:$N$201,3,0)="","",VLOOKUP($A415,'Шаг2.Бланк заказа NEW'!$B$17:$N$201,3,0)),
IF(VLOOKUP($A415-COUNT('Шаг2.Бланк заказа NEW'!$B$19:$B$201),'Бланк OLD 0.8 04'!$B$12:$K$200,3,0)="","",VLOOKUP($A415-COUNT('Шаг2.Бланк заказа NEW'!$B$19:$B$201),'Бланк OLD 0.8 04'!$B$12:$K$200,3,0))),
IF(VLOOKUP($A415-COUNT('Шаг2.Бланк заказа NEW'!$B$19:$B$201)-COUNT('Бланк OLD 0.8 04'!$B$18:$B$200),'Бланк OLD 2.0 04 '!$B$16:$K$200,3,0)="","",VLOOKUP($A415-COUNT('Шаг2.Бланк заказа NEW'!$B$19:$B$201)-COUNT('Бланк OLD 0.8 04'!$B$18:$B$200),'Бланк OLD 2.0 04 '!$B$16:$K$200,3,0)))</f>
        <v/>
      </c>
      <c r="G415" s="176" t="str">
        <f ca="1">IF(IF(R415="","",IF(R415=1,SUMIFS('Шаг1.Выбор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плиты'!C:Q,12,0)),1))))))=0,
R415,
IF(R415="","",IF(R415=1,SUMIFS('Шаг1.Выбор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плиты'!N:N,R415,'Шаг1.Выбор плиты'!M:M,SMALL(INDIRECT("мм"&amp;VLOOKUP(C415,'Шаг1.Выбор плиты'!C:Q,12,0)),1)))))))</f>
        <v/>
      </c>
      <c r="H415" s="177" t="str">
        <f ca="1">IF(IF(S415="","",IF(S415=1,SUMIFS('Шаг1.Выбор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плиты'!C:Q,12,0)),1))))))=0,
S415,
IF(S415="","",IF(S415=1,SUMIFS('Шаг1.Выбор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плиты'!N:N,S415,'Шаг1.Выбор плиты'!M:M,SMALL(INDIRECT("мм"&amp;VLOOKUP(C415,'Шаг1.Выбор плиты'!C:Q,12,0)),1)))))))</f>
        <v/>
      </c>
      <c r="I415" s="147" t="str">
        <f ca="1">IFERROR(IFERROR(IF(VLOOKUP($A415,'Шаг2.Бланк заказа NEW'!$B$17:$N$201,6,0)="","",VLOOKUP($A415,'Шаг2.Бланк заказа NEW'!$B$17:$N$201,6,0)),
IF(VLOOKUP($A415-COUNT('Шаг2.Бланк заказа NEW'!$B$19:$B$201),'Бланк OLD 0.8 04'!$B$12:$K$200,6,0)="","",VLOOKUP($A415-COUNT('Шаг2.Бланк заказа NEW'!$B$19:$B$201),'Бланк OLD 0.8 04'!$B$12:$K$200,6,0))),
IF(VLOOKUP($A415-COUNT('Шаг2.Бланк заказа NEW'!$B$19:$B$201)-COUNT('Бланк OLD 0.8 04'!$B$18:$B$200),'Бланк OLD 2.0 04 '!$B$16:$K$200,6,0)="","",VLOOKUP($A415-COUNT('Шаг2.Бланк заказа NEW'!$B$19:$B$201)-COUNT('Бланк OLD 0.8 04'!$B$18:$B$200),'Бланк OLD 2.0 04 '!$B$16:$K$200,6,0)))</f>
        <v/>
      </c>
      <c r="J415" s="177" t="str">
        <f ca="1">IF(IF(T415="","",IF(T415=1,SUMIFS('Шаг1.Выбор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плиты'!C:Q,12,0)),1))))))=0,
T415,
IF(T415="","",IF(T415=1,SUMIFS('Шаг1.Выбор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плиты'!N:N,T415,'Шаг1.Выбор плиты'!M:M,SMALL(INDIRECT("мм"&amp;VLOOKUP(C415,'Шаг1.Выбор плиты'!C:Q,12,0)),1)))))))</f>
        <v/>
      </c>
      <c r="K415" s="177" t="str">
        <f ca="1">IF(IF(U415="","",IF(U415=1,SUMIFS('Шаг1.Выбор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плиты'!C:Q,12,0)),1))))))=0,
U415,
IF(U415="","",IF(U415=1,SUMIFS('Шаг1.Выбор плиты'!$G:$G,'Шаг1.Выбор плиты'!J:J,"*"&amp;RIGHT(VLOOKUP(C415,'Шаг1.Выбор плиты'!C:Q,8,0),4),'Шаг1.Выбор плиты'!L:L,IF(MID(C415,1,6)="ЛДСП P","TM"&amp;MID(VLOOKUP(C415,'Шаг1.Выбор плиты'!C:Q,10,0),3,2),MID(VLOOKUP(C415,'Шаг1.Выбор плиты'!C:Q,10,0),1,2)),
'Шаг1.Выбор плиты'!N:N,1),IF(SUMIFS('Шаг1.Выбор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плиты'!C:Q,12,0)),1))=0,
IF(SUMIFS('Шаг1.Выбор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плиты'!C:Q,12,0)),2))=0,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плиты'!C:Q,12,0)),3)),
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плиты'!C:Q,12,0)),2))),
(SUMIFS('Шаг1.Выбор плиты'!$G:$G,'Шаг1.Выбор плиты'!J:J,"*"&amp;RIGHT(VLOOKUP(C415,'Шаг1.Выбор плиты'!C:Q,8,0),4),'Шаг1.Выбор плиты'!L:L,VLOOKUP(C415,'Шаг1.Выбор плиты'!C:Q,10,0),'Шаг1.Выбор плиты'!N:N,U415,'Шаг1.Выбор плиты'!M:M,SMALL(INDIRECT("мм"&amp;VLOOKUP(C415,'Шаг1.Выбор плиты'!C:Q,12,0)),1)))))))</f>
        <v/>
      </c>
      <c r="L415" s="147" t="str">
        <f ca="1">IFERROR(IFERROR(IF(VLOOKUP($A415,'Шаг2.Бланк заказа NEW'!$B$17:$N$201,9,0)="","",VLOOKUP($A415,'Шаг2.Бланк заказа NEW'!$B$17:$N$201,9,0)),
IF(VLOOKUP($A415-COUNT('Шаг2.Бланк заказа NEW'!$B$19:$B$201),'Бланк OLD 0.8 04'!$B$12:$K$200,9,0)="","",VLOOKUP($A415-COUNT('Шаг2.Бланк заказа NEW'!$B$19:$B$201),'Бланк OLD 0.8 04'!$B$12:$K$200,9,0))),
IF(VLOOKUP($A415-COUNT('Шаг2.Бланк заказа NEW'!$B$19:$B$201)-COUNT('Бланк OLD 0.8 04'!$B$18:$B$200),'Бланк OLD 2.0 04 '!$B$16:$K$200,9,0)="","",VLOOKUP($A415-COUNT('Шаг2.Бланк заказа NEW'!$B$19:$B$201)-COUNT('Бланк OLD 0.8 04'!$B$18:$B$200),'Бланк OLD 2.0 04 '!$B$16:$K$200,9,0)))</f>
        <v/>
      </c>
      <c r="M415" s="154" t="str">
        <f t="shared" ca="1" si="36"/>
        <v/>
      </c>
      <c r="N415" s="153" t="str">
        <f ca="1">IFERROR(IF(VLOOKUP($A415,'Шаг2.Бланк заказа NEW'!$B$17:$N$201,11,0)="","",VLOOKUP($A415,'Шаг2.Бланк заказа NEW'!$B$17:$N$201,11,0)),
"Нет")</f>
        <v/>
      </c>
      <c r="O415" s="147" t="str">
        <f ca="1">IFERROR(IF(VLOOKUP($A415,'Шаг2.Бланк заказа NEW'!$B$17:$N$201,11,0)="","",VLOOKUP($A415,'Шаг2.Бланк заказа NEW'!$B$17:$N$201,12,0)),
"Нет")</f>
        <v/>
      </c>
      <c r="P415" s="153" t="str">
        <f ca="1">IFERROR(IF(VLOOKUP($A415,'Шаг2.Бланк заказа NEW'!$B$17:$N$201,13,0)="","",VLOOKUP($A415,'Шаг2.Бланк заказа NEW'!$B$17:$N$201,13,0)),
"Нет")</f>
        <v/>
      </c>
      <c r="Q415" s="147" t="str">
        <f ca="1">IFERROR(IF(VLOOKUP($A415,'Шаг2.Бланк заказа NEW'!$B$17:$O$201,14,0)="","",VLOOKUP($A415,'Шаг2.Бланк заказа NEW'!$B$17:$O$201,14,0)),"")</f>
        <v/>
      </c>
      <c r="R415" s="147" t="str">
        <f ca="1">IFERROR(IFERROR(IF(VLOOKUP($A415,'Шаг2.Бланк заказа NEW'!$B$17:$N$201,4,0)="","",VLOOKUP($A415,'Шаг2.Бланк заказа NEW'!$B$17:$N$201,4,0)),
IF(VLOOKUP($A415-COUNT('Шаг2.Бланк заказа NEW'!$B$19:$B$201),'Бланк OLD 0.8 04'!$B$12:$K$200,4,0)&gt;0,0.8,
IF(VLOOKUP($A415-COUNT('Шаг2.Бланк заказа NEW'!$B$19:$B$201),'Бланк OLD 0.8 04'!$B$12:$K$200,5,0)&gt;0,0.4,""))),
IF(VLOOKUP($A415-COUNT('Шаг2.Бланк заказа NEW'!$B$19:$B$201)-COUNT('Бланк OLD 0.8 04'!$B$18:$B$200),'Бланк OLD 2.0 04 '!$B$16:$K$200,4,0)&gt;0,2,IF(VLOOKUP($A415-COUNT('Шаг2.Бланк заказа NEW'!$B$19:$B$201)-COUNT('Бланк OLD 0.8 04'!$B$18:$B$200),'Бланк OLD 2.0 04 '!$B$16:$K$200,5,0)&gt;0,0.4,"")))</f>
        <v/>
      </c>
      <c r="S415" s="147" t="str">
        <f ca="1">IFERROR(IFERROR(IF(VLOOKUP($A415,'Шаг2.Бланк заказа NEW'!$B$17:$N$201,5,0)="","",VLOOKUP($A415,'Шаг2.Бланк заказа NEW'!$B$17:$N$201,5,0)),
IF(VLOOKUP($A415-COUNT('Шаг2.Бланк заказа NEW'!$B$19:$B$201),'Бланк OLD 0.8 04'!$B$12:$K$200,4,0)&gt;1,0.8,
IF(VLOOKUP($A415-COUNT('Шаг2.Бланк заказа NEW'!$B$19:$B$201),'Бланк OLD 0.8 04'!$B$12:$K$200,5,0)&gt;1,0.4,
IF(AND(VLOOKUP($A415-COUNT('Шаг2.Бланк заказа NEW'!$B$19:$B$201),'Бланк OLD 0.8 04'!$B$12:$K$200,4,0)&gt;0,VLOOKUP($A415-COUNT('Шаг2.Бланк заказа NEW'!$B$19:$B$201),'Бланк OLD 0.8 04'!$B$12:$K$200,5,0)&gt;0),0.4,"")))),
IF(VLOOKUP($A415-COUNT('Шаг2.Бланк заказа NEW'!$B$19:$B$201)-COUNT('Бланк OLD 0.8 04'!$B$18:$B$200),'Бланк OLD 2.0 04 '!$B$16:$K$200,4,0)&gt;1,2,
IF(VLOOKUP($A415-COUNT('Шаг2.Бланк заказа NEW'!$B$19:$B$201)-COUNT('Бланк OLD 0.8 04'!$B$18:$B$200),'Бланк OLD 2.0 04 '!$B$16:$K$200,5,0)&gt;1,0.4,IF(AND(VLOOKUP($A415-COUNT('Шаг2.Бланк заказа NEW'!$B$19:$B$201)-COUNT('Бланк OLD 0.8 04'!$B$18:$B$200),'Бланк OLD 2.0 04 '!$B$16:$K$200,4,0)&gt;0,VLOOKUP($A415-COUNT('Шаг2.Бланк заказа NEW'!$B$19:$B$201)-COUNT('Бланк OLD 0.8 04'!$B$18:$B$200),'Бланк OLD 2.0 04 '!$B$16:$K$200,5,0)&gt;0),0.4,""))))</f>
        <v/>
      </c>
      <c r="T415" s="147" t="str">
        <f ca="1">IFERROR(IFERROR(IF(VLOOKUP($A415,'Шаг2.Бланк заказа NEW'!$B$17:$N$201,7,0)="","",VLOOKUP($A415,'Шаг2.Бланк заказа NEW'!$B$17:$N$201,7,0)),
IF(VLOOKUP($A415-COUNT('Шаг2.Бланк заказа NEW'!$B$19:$B$201),'Бланк OLD 0.8 04'!$B$12:$K$200,7,0)&gt;0,0.8,
IF(VLOOKUP($A415-COUNT('Шаг2.Бланк заказа NEW'!$B$19:$B$201),'Бланк OLD 0.8 04'!$B$12:$K$200,8,0)&gt;0,0.4,""))),
IF(VLOOKUP($A415-COUNT('Шаг2.Бланк заказа NEW'!$B$19:$B$201)-COUNT('Бланк OLD 0.8 04'!$B$18:$B$200),'Бланк OLD 2.0 04 '!$B$16:$K$200,7,0)&gt;0,2,IF(VLOOKUP($A415-COUNT('Шаг2.Бланк заказа NEW'!$B$19:$B$201)-COUNT('Бланк OLD 0.8 04'!$B$18:$B$200),'Бланк OLD 2.0 04 '!$B$16:$K$200,8,0)&gt;0,0.4,"")))</f>
        <v/>
      </c>
      <c r="U415" s="147" t="str">
        <f ca="1">IFERROR(IFERROR(IF(VLOOKUP($A415,'Шаг2.Бланк заказа NEW'!$B$17:$N$201,8,0)="","",VLOOKUP($A415,'Шаг2.Бланк заказа NEW'!$B$17:$N$201,8,0)),
IF(VLOOKUP($A415-COUNT('Шаг2.Бланк заказа NEW'!$B$19:$B$201),'Бланк OLD 0.8 04'!$B$12:$K$200,7,0)&gt;1,0.8,
IF(VLOOKUP($A415-COUNT('Шаг2.Бланк заказа NEW'!$B$19:$B$201),'Бланк OLD 0.8 04'!$B$12:$K$200,8,0)&gt;1,0.4,
IF(AND(VLOOKUP($A415-COUNT('Шаг2.Бланк заказа NEW'!$B$19:$B$201),'Бланк OLD 0.8 04'!$B$12:$K$200,7,0)&gt;0,VLOOKUP($A415-COUNT('Шаг2.Бланк заказа NEW'!$B$19:$B$201),'Бланк OLD 0.8 04'!$B$12:$K$200,8,0)&gt;0),0.4,"")))),
IF(VLOOKUP($A415-COUNT('Шаг2.Бланк заказа NEW'!$B$19:$B$201)-COUNT('Бланк OLD 0.8 04'!$B$18:$B$200),'Бланк OLD 2.0 04 '!$B$16:$K$200,7,0)&gt;1,2,
IF(VLOOKUP($A415-COUNT('Шаг2.Бланк заказа NEW'!$B$19:$B$201)-COUNT('Бланк OLD 0.8 04'!$B$18:$B$200),'Бланк OLD 2.0 04 '!$B$16:$K$200,8,0)&gt;1,0.4,
IF(AND(VLOOKUP($A415-COUNT('Шаг2.Бланк заказа NEW'!$B$19:$B$201)-COUNT('Бланк OLD 0.8 04'!$B$18:$B$200),'Бланк OLD 2.0 04 '!$B$16:$K$200,7,0)&gt;0,VLOOKUP($A415-COUNT('Шаг2.Бланк заказа NEW'!$B$19:$B$201)-COUNT('Бланк OLD 0.8 04'!$B$18:$B$200),'Бланк OLD 2.0 04 '!$B$16:$K$200,8,0)&gt;0),0.4,""))))</f>
        <v/>
      </c>
      <c r="V415" s="146" t="str">
        <f ca="1">IFERROR(VLOOKUP(C415,'Шаг1.Выбор плиты'!C:S,12,0),"")</f>
        <v/>
      </c>
      <c r="W415" s="146" t="str">
        <f ca="1">IFERROR(VLOOKUP(C415,'Шаг1.Выбор плиты'!C:S,8,0),"")</f>
        <v/>
      </c>
      <c r="X415" s="146" t="str">
        <f ca="1">IFERROR(VLOOKUP(C415,'Шаг1.Выбор плиты'!C:S,10,0),"")</f>
        <v/>
      </c>
      <c r="Y415" s="147" t="str">
        <f t="shared" ca="1" si="39"/>
        <v/>
      </c>
      <c r="AD415" s="147" t="str">
        <f t="shared" ca="1" si="37"/>
        <v/>
      </c>
      <c r="AE415" s="147" t="str">
        <f t="shared" ca="1" si="40"/>
        <v/>
      </c>
      <c r="AF415" s="25"/>
      <c r="AH415" s="147" t="str">
        <f ca="1">IF(C415="","",VLOOKUP(C415,'Шаг1.Выбор плиты'!C:Q,7,0))</f>
        <v/>
      </c>
      <c r="AI415" s="147" t="str">
        <f t="shared" ca="1" si="38"/>
        <v/>
      </c>
    </row>
    <row r="416" spans="1:35" x14ac:dyDescent="0.2">
      <c r="A416" s="151" t="str">
        <f ca="1">IF(C416="","",MAX($A$1:OFFSET(C416,-1,0))+1)</f>
        <v/>
      </c>
      <c r="B416" s="151" t="str">
        <f ca="1">IFERROR(IFERROR(IFERROR("Шаг2.Бланк заказа NEW №"&amp;VLOOKUP(A415+1,CHOOSE({1,2},'Шаг2.Бланк заказа NEW'!$B$19:$B$201,'Шаг2.Бланк заказа NEW'!$A$19:$A$201),1,0),
"Бланк OLD 0.8 04 №"&amp;VLOOKUP(A415+1-COUNT('Шаг2.Бланк заказа NEW'!$B$19:$B$201),CHOOSE({1,2},'Бланк OLD 0.8 04'!$B$18:$B$200,'Бланк OLD 0.8 04'!$A$18:$A$200),1,0)),
"Бланк OLD 2.0 04 №"&amp;VLOOKUP(A415+1-COUNT('Шаг2.Бланк заказа NEW'!$B$19:$B$201)-COUNT('Бланк OLD 0.8 04'!$B$18:$B$200),CHOOSE({1,2},'Бланк OLD 2.0 04 '!$B$18:$B$200,'Бланк OLD 2.0 04 '!$A$18:$A$200),1,0)),"")</f>
        <v/>
      </c>
      <c r="C416" s="152" t="str">
        <f ca="1">IFERROR(IFERROR(IFERROR(VLOOKUP(A415+1,CHOOSE({1,2},'Шаг2.Бланк заказа NEW'!$B$19:$B$201,'Шаг2.Бланк заказа NEW'!$A$19:$A$201),2,0),
VLOOKUP(A415+1-COUNT('Шаг2.Бланк заказа NEW'!$B$19:$B$201),CHOOSE({1,2},'Бланк OLD 0.8 04'!$B$18:$B$200,'Бланк OLD 0.8 04'!$A$18:$A$200),2,0)),
VLOOKUP(A415+1-COUNT('Шаг2.Бланк заказа NEW'!$B$19:$B$201)-COUNT('Бланк OLD 0.8 04'!$B$18:$B$200),CHOOSE({1,2},'Бланк OLD 2.0 04 '!$B$18:$B$200,'Бланк OLD 2.0 04 '!$A$18:$A$200),2,0)),"")</f>
        <v/>
      </c>
      <c r="D416" s="150" t="str">
        <f ca="1">IFERROR(VLOOKUP(C416,'Шаг1.Выбор плиты'!C:G,5,0),"")</f>
        <v/>
      </c>
      <c r="E416" s="147" t="str">
        <f ca="1">IFERROR(IFERROR(IF(VLOOKUP($A416,'Шаг2.Бланк заказа NEW'!$B$17:$N$201,2,0)="","",VLOOKUP($A416,'Шаг2.Бланк заказа NEW'!$B$17:$N$201,2,0)),
IF(VLOOKUP($A416-COUNT('Шаг2.Бланк заказа NEW'!$B$19:$B$201),'Бланк OLD 0.8 04'!$B$12:$K$200,2,0)="","",VLOOKUP($A416-COUNT('Шаг2.Бланк заказа NEW'!$B$19:$B$201),'Бланк OLD 0.8 04'!$B$12:$K$200,2,0))),
IF(VLOOKUP($A416-COUNT('Шаг2.Бланк заказа NEW'!$B$19:$B$201)-COUNT('Бланк OLD 0.8 04'!$B$18:$B$200),'Бланк OLD 2.0 04 '!$B$16:$K$200,2,0)="","",VLOOKUP($A416-COUNT('Шаг2.Бланк заказа NEW'!$B$19:$B$201)-COUNT('Бланк OLD 0.8 04'!$B$18:$B$200),'Бланк OLD 2.0 04 '!$B$16:$K$200,2,0)))</f>
        <v/>
      </c>
      <c r="F416" s="147" t="str">
        <f ca="1">IFERROR(IFERROR(IF(VLOOKUP($A416,'Шаг2.Бланк заказа NEW'!$B$17:$N$201,3,0)="","",VLOOKUP($A416,'Шаг2.Бланк заказа NEW'!$B$17:$N$201,3,0)),
IF(VLOOKUP($A416-COUNT('Шаг2.Бланк заказа NEW'!$B$19:$B$201),'Бланк OLD 0.8 04'!$B$12:$K$200,3,0)="","",VLOOKUP($A416-COUNT('Шаг2.Бланк заказа NEW'!$B$19:$B$201),'Бланк OLD 0.8 04'!$B$12:$K$200,3,0))),
IF(VLOOKUP($A416-COUNT('Шаг2.Бланк заказа NEW'!$B$19:$B$201)-COUNT('Бланк OLD 0.8 04'!$B$18:$B$200),'Бланк OLD 2.0 04 '!$B$16:$K$200,3,0)="","",VLOOKUP($A416-COUNT('Шаг2.Бланк заказа NEW'!$B$19:$B$201)-COUNT('Бланк OLD 0.8 04'!$B$18:$B$200),'Бланк OLD 2.0 04 '!$B$16:$K$200,3,0)))</f>
        <v/>
      </c>
      <c r="G416" s="176" t="str">
        <f ca="1">IF(IF(R416="","",IF(R416=1,SUMIFS('Шаг1.Выбор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плиты'!C:Q,12,0)),1))))))=0,
R416,
IF(R416="","",IF(R416=1,SUMIFS('Шаг1.Выбор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плиты'!N:N,R416,'Шаг1.Выбор плиты'!M:M,SMALL(INDIRECT("мм"&amp;VLOOKUP(C416,'Шаг1.Выбор плиты'!C:Q,12,0)),1)))))))</f>
        <v/>
      </c>
      <c r="H416" s="177" t="str">
        <f ca="1">IF(IF(S416="","",IF(S416=1,SUMIFS('Шаг1.Выбор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плиты'!C:Q,12,0)),1))))))=0,
S416,
IF(S416="","",IF(S416=1,SUMIFS('Шаг1.Выбор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плиты'!N:N,S416,'Шаг1.Выбор плиты'!M:M,SMALL(INDIRECT("мм"&amp;VLOOKUP(C416,'Шаг1.Выбор плиты'!C:Q,12,0)),1)))))))</f>
        <v/>
      </c>
      <c r="I416" s="147" t="str">
        <f ca="1">IFERROR(IFERROR(IF(VLOOKUP($A416,'Шаг2.Бланк заказа NEW'!$B$17:$N$201,6,0)="","",VLOOKUP($A416,'Шаг2.Бланк заказа NEW'!$B$17:$N$201,6,0)),
IF(VLOOKUP($A416-COUNT('Шаг2.Бланк заказа NEW'!$B$19:$B$201),'Бланк OLD 0.8 04'!$B$12:$K$200,6,0)="","",VLOOKUP($A416-COUNT('Шаг2.Бланк заказа NEW'!$B$19:$B$201),'Бланк OLD 0.8 04'!$B$12:$K$200,6,0))),
IF(VLOOKUP($A416-COUNT('Шаг2.Бланк заказа NEW'!$B$19:$B$201)-COUNT('Бланк OLD 0.8 04'!$B$18:$B$200),'Бланк OLD 2.0 04 '!$B$16:$K$200,6,0)="","",VLOOKUP($A416-COUNT('Шаг2.Бланк заказа NEW'!$B$19:$B$201)-COUNT('Бланк OLD 0.8 04'!$B$18:$B$200),'Бланк OLD 2.0 04 '!$B$16:$K$200,6,0)))</f>
        <v/>
      </c>
      <c r="J416" s="177" t="str">
        <f ca="1">IF(IF(T416="","",IF(T416=1,SUMIFS('Шаг1.Выбор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плиты'!C:Q,12,0)),1))))))=0,
T416,
IF(T416="","",IF(T416=1,SUMIFS('Шаг1.Выбор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плиты'!N:N,T416,'Шаг1.Выбор плиты'!M:M,SMALL(INDIRECT("мм"&amp;VLOOKUP(C416,'Шаг1.Выбор плиты'!C:Q,12,0)),1)))))))</f>
        <v/>
      </c>
      <c r="K416" s="177" t="str">
        <f ca="1">IF(IF(U416="","",IF(U416=1,SUMIFS('Шаг1.Выбор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плиты'!C:Q,12,0)),1))))))=0,
U416,
IF(U416="","",IF(U416=1,SUMIFS('Шаг1.Выбор плиты'!$G:$G,'Шаг1.Выбор плиты'!J:J,"*"&amp;RIGHT(VLOOKUP(C416,'Шаг1.Выбор плиты'!C:Q,8,0),4),'Шаг1.Выбор плиты'!L:L,IF(MID(C416,1,6)="ЛДСП P","TM"&amp;MID(VLOOKUP(C416,'Шаг1.Выбор плиты'!C:Q,10,0),3,2),MID(VLOOKUP(C416,'Шаг1.Выбор плиты'!C:Q,10,0),1,2)),
'Шаг1.Выбор плиты'!N:N,1),IF(SUMIFS('Шаг1.Выбор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плиты'!C:Q,12,0)),1))=0,
IF(SUMIFS('Шаг1.Выбор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плиты'!C:Q,12,0)),2))=0,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плиты'!C:Q,12,0)),3)),
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плиты'!C:Q,12,0)),2))),
(SUMIFS('Шаг1.Выбор плиты'!$G:$G,'Шаг1.Выбор плиты'!J:J,"*"&amp;RIGHT(VLOOKUP(C416,'Шаг1.Выбор плиты'!C:Q,8,0),4),'Шаг1.Выбор плиты'!L:L,VLOOKUP(C416,'Шаг1.Выбор плиты'!C:Q,10,0),'Шаг1.Выбор плиты'!N:N,U416,'Шаг1.Выбор плиты'!M:M,SMALL(INDIRECT("мм"&amp;VLOOKUP(C416,'Шаг1.Выбор плиты'!C:Q,12,0)),1)))))))</f>
        <v/>
      </c>
      <c r="L416" s="147" t="str">
        <f ca="1">IFERROR(IFERROR(IF(VLOOKUP($A416,'Шаг2.Бланк заказа NEW'!$B$17:$N$201,9,0)="","",VLOOKUP($A416,'Шаг2.Бланк заказа NEW'!$B$17:$N$201,9,0)),
IF(VLOOKUP($A416-COUNT('Шаг2.Бланк заказа NEW'!$B$19:$B$201),'Бланк OLD 0.8 04'!$B$12:$K$200,9,0)="","",VLOOKUP($A416-COUNT('Шаг2.Бланк заказа NEW'!$B$19:$B$201),'Бланк OLD 0.8 04'!$B$12:$K$200,9,0))),
IF(VLOOKUP($A416-COUNT('Шаг2.Бланк заказа NEW'!$B$19:$B$201)-COUNT('Бланк OLD 0.8 04'!$B$18:$B$200),'Бланк OLD 2.0 04 '!$B$16:$K$200,9,0)="","",VLOOKUP($A416-COUNT('Шаг2.Бланк заказа NEW'!$B$19:$B$201)-COUNT('Бланк OLD 0.8 04'!$B$18:$B$200),'Бланк OLD 2.0 04 '!$B$16:$K$200,9,0)))</f>
        <v/>
      </c>
      <c r="M416" s="154" t="str">
        <f t="shared" ca="1" si="36"/>
        <v/>
      </c>
      <c r="N416" s="153" t="str">
        <f ca="1">IFERROR(IF(VLOOKUP($A416,'Шаг2.Бланк заказа NEW'!$B$17:$N$201,11,0)="","",VLOOKUP($A416,'Шаг2.Бланк заказа NEW'!$B$17:$N$201,11,0)),
"Нет")</f>
        <v/>
      </c>
      <c r="O416" s="147" t="str">
        <f ca="1">IFERROR(IF(VLOOKUP($A416,'Шаг2.Бланк заказа NEW'!$B$17:$N$201,11,0)="","",VLOOKUP($A416,'Шаг2.Бланк заказа NEW'!$B$17:$N$201,12,0)),
"Нет")</f>
        <v/>
      </c>
      <c r="P416" s="153" t="str">
        <f ca="1">IFERROR(IF(VLOOKUP($A416,'Шаг2.Бланк заказа NEW'!$B$17:$N$201,13,0)="","",VLOOKUP($A416,'Шаг2.Бланк заказа NEW'!$B$17:$N$201,13,0)),
"Нет")</f>
        <v/>
      </c>
      <c r="Q416" s="147" t="str">
        <f ca="1">IFERROR(IF(VLOOKUP($A416,'Шаг2.Бланк заказа NEW'!$B$17:$O$201,14,0)="","",VLOOKUP($A416,'Шаг2.Бланк заказа NEW'!$B$17:$O$201,14,0)),"")</f>
        <v/>
      </c>
      <c r="R416" s="147" t="str">
        <f ca="1">IFERROR(IFERROR(IF(VLOOKUP($A416,'Шаг2.Бланк заказа NEW'!$B$17:$N$201,4,0)="","",VLOOKUP($A416,'Шаг2.Бланк заказа NEW'!$B$17:$N$201,4,0)),
IF(VLOOKUP($A416-COUNT('Шаг2.Бланк заказа NEW'!$B$19:$B$201),'Бланк OLD 0.8 04'!$B$12:$K$200,4,0)&gt;0,0.8,
IF(VLOOKUP($A416-COUNT('Шаг2.Бланк заказа NEW'!$B$19:$B$201),'Бланк OLD 0.8 04'!$B$12:$K$200,5,0)&gt;0,0.4,""))),
IF(VLOOKUP($A416-COUNT('Шаг2.Бланк заказа NEW'!$B$19:$B$201)-COUNT('Бланк OLD 0.8 04'!$B$18:$B$200),'Бланк OLD 2.0 04 '!$B$16:$K$200,4,0)&gt;0,2,IF(VLOOKUP($A416-COUNT('Шаг2.Бланк заказа NEW'!$B$19:$B$201)-COUNT('Бланк OLD 0.8 04'!$B$18:$B$200),'Бланк OLD 2.0 04 '!$B$16:$K$200,5,0)&gt;0,0.4,"")))</f>
        <v/>
      </c>
      <c r="S416" s="147" t="str">
        <f ca="1">IFERROR(IFERROR(IF(VLOOKUP($A416,'Шаг2.Бланк заказа NEW'!$B$17:$N$201,5,0)="","",VLOOKUP($A416,'Шаг2.Бланк заказа NEW'!$B$17:$N$201,5,0)),
IF(VLOOKUP($A416-COUNT('Шаг2.Бланк заказа NEW'!$B$19:$B$201),'Бланк OLD 0.8 04'!$B$12:$K$200,4,0)&gt;1,0.8,
IF(VLOOKUP($A416-COUNT('Шаг2.Бланк заказа NEW'!$B$19:$B$201),'Бланк OLD 0.8 04'!$B$12:$K$200,5,0)&gt;1,0.4,
IF(AND(VLOOKUP($A416-COUNT('Шаг2.Бланк заказа NEW'!$B$19:$B$201),'Бланк OLD 0.8 04'!$B$12:$K$200,4,0)&gt;0,VLOOKUP($A416-COUNT('Шаг2.Бланк заказа NEW'!$B$19:$B$201),'Бланк OLD 0.8 04'!$B$12:$K$200,5,0)&gt;0),0.4,"")))),
IF(VLOOKUP($A416-COUNT('Шаг2.Бланк заказа NEW'!$B$19:$B$201)-COUNT('Бланк OLD 0.8 04'!$B$18:$B$200),'Бланк OLD 2.0 04 '!$B$16:$K$200,4,0)&gt;1,2,
IF(VLOOKUP($A416-COUNT('Шаг2.Бланк заказа NEW'!$B$19:$B$201)-COUNT('Бланк OLD 0.8 04'!$B$18:$B$200),'Бланк OLD 2.0 04 '!$B$16:$K$200,5,0)&gt;1,0.4,IF(AND(VLOOKUP($A416-COUNT('Шаг2.Бланк заказа NEW'!$B$19:$B$201)-COUNT('Бланк OLD 0.8 04'!$B$18:$B$200),'Бланк OLD 2.0 04 '!$B$16:$K$200,4,0)&gt;0,VLOOKUP($A416-COUNT('Шаг2.Бланк заказа NEW'!$B$19:$B$201)-COUNT('Бланк OLD 0.8 04'!$B$18:$B$200),'Бланк OLD 2.0 04 '!$B$16:$K$200,5,0)&gt;0),0.4,""))))</f>
        <v/>
      </c>
      <c r="T416" s="147" t="str">
        <f ca="1">IFERROR(IFERROR(IF(VLOOKUP($A416,'Шаг2.Бланк заказа NEW'!$B$17:$N$201,7,0)="","",VLOOKUP($A416,'Шаг2.Бланк заказа NEW'!$B$17:$N$201,7,0)),
IF(VLOOKUP($A416-COUNT('Шаг2.Бланк заказа NEW'!$B$19:$B$201),'Бланк OLD 0.8 04'!$B$12:$K$200,7,0)&gt;0,0.8,
IF(VLOOKUP($A416-COUNT('Шаг2.Бланк заказа NEW'!$B$19:$B$201),'Бланк OLD 0.8 04'!$B$12:$K$200,8,0)&gt;0,0.4,""))),
IF(VLOOKUP($A416-COUNT('Шаг2.Бланк заказа NEW'!$B$19:$B$201)-COUNT('Бланк OLD 0.8 04'!$B$18:$B$200),'Бланк OLD 2.0 04 '!$B$16:$K$200,7,0)&gt;0,2,IF(VLOOKUP($A416-COUNT('Шаг2.Бланк заказа NEW'!$B$19:$B$201)-COUNT('Бланк OLD 0.8 04'!$B$18:$B$200),'Бланк OLD 2.0 04 '!$B$16:$K$200,8,0)&gt;0,0.4,"")))</f>
        <v/>
      </c>
      <c r="U416" s="147" t="str">
        <f ca="1">IFERROR(IFERROR(IF(VLOOKUP($A416,'Шаг2.Бланк заказа NEW'!$B$17:$N$201,8,0)="","",VLOOKUP($A416,'Шаг2.Бланк заказа NEW'!$B$17:$N$201,8,0)),
IF(VLOOKUP($A416-COUNT('Шаг2.Бланк заказа NEW'!$B$19:$B$201),'Бланк OLD 0.8 04'!$B$12:$K$200,7,0)&gt;1,0.8,
IF(VLOOKUP($A416-COUNT('Шаг2.Бланк заказа NEW'!$B$19:$B$201),'Бланк OLD 0.8 04'!$B$12:$K$200,8,0)&gt;1,0.4,
IF(AND(VLOOKUP($A416-COUNT('Шаг2.Бланк заказа NEW'!$B$19:$B$201),'Бланк OLD 0.8 04'!$B$12:$K$200,7,0)&gt;0,VLOOKUP($A416-COUNT('Шаг2.Бланк заказа NEW'!$B$19:$B$201),'Бланк OLD 0.8 04'!$B$12:$K$200,8,0)&gt;0),0.4,"")))),
IF(VLOOKUP($A416-COUNT('Шаг2.Бланк заказа NEW'!$B$19:$B$201)-COUNT('Бланк OLD 0.8 04'!$B$18:$B$200),'Бланк OLD 2.0 04 '!$B$16:$K$200,7,0)&gt;1,2,
IF(VLOOKUP($A416-COUNT('Шаг2.Бланк заказа NEW'!$B$19:$B$201)-COUNT('Бланк OLD 0.8 04'!$B$18:$B$200),'Бланк OLD 2.0 04 '!$B$16:$K$200,8,0)&gt;1,0.4,
IF(AND(VLOOKUP($A416-COUNT('Шаг2.Бланк заказа NEW'!$B$19:$B$201)-COUNT('Бланк OLD 0.8 04'!$B$18:$B$200),'Бланк OLD 2.0 04 '!$B$16:$K$200,7,0)&gt;0,VLOOKUP($A416-COUNT('Шаг2.Бланк заказа NEW'!$B$19:$B$201)-COUNT('Бланк OLD 0.8 04'!$B$18:$B$200),'Бланк OLD 2.0 04 '!$B$16:$K$200,8,0)&gt;0),0.4,""))))</f>
        <v/>
      </c>
      <c r="V416" s="146" t="str">
        <f ca="1">IFERROR(VLOOKUP(C416,'Шаг1.Выбор плиты'!C:S,12,0),"")</f>
        <v/>
      </c>
      <c r="W416" s="146" t="str">
        <f ca="1">IFERROR(VLOOKUP(C416,'Шаг1.Выбор плиты'!C:S,8,0),"")</f>
        <v/>
      </c>
      <c r="X416" s="146" t="str">
        <f ca="1">IFERROR(VLOOKUP(C416,'Шаг1.Выбор плиты'!C:S,10,0),"")</f>
        <v/>
      </c>
      <c r="Y416" s="147" t="str">
        <f t="shared" ca="1" si="39"/>
        <v/>
      </c>
      <c r="AD416" s="147" t="str">
        <f t="shared" ca="1" si="37"/>
        <v/>
      </c>
      <c r="AE416" s="147" t="str">
        <f t="shared" ca="1" si="40"/>
        <v/>
      </c>
      <c r="AF416" s="25"/>
      <c r="AH416" s="147" t="str">
        <f ca="1">IF(C416="","",VLOOKUP(C416,'Шаг1.Выбор плиты'!C:Q,7,0))</f>
        <v/>
      </c>
      <c r="AI416" s="147" t="str">
        <f t="shared" ca="1" si="38"/>
        <v/>
      </c>
    </row>
    <row r="417" spans="1:35" x14ac:dyDescent="0.2">
      <c r="A417" s="151" t="str">
        <f ca="1">IF(C417="","",MAX($A$1:OFFSET(C417,-1,0))+1)</f>
        <v/>
      </c>
      <c r="B417" s="151" t="str">
        <f ca="1">IFERROR(IFERROR(IFERROR("Шаг2.Бланк заказа NEW №"&amp;VLOOKUP(A416+1,CHOOSE({1,2},'Шаг2.Бланк заказа NEW'!$B$19:$B$201,'Шаг2.Бланк заказа NEW'!$A$19:$A$201),1,0),
"Бланк OLD 0.8 04 №"&amp;VLOOKUP(A416+1-COUNT('Шаг2.Бланк заказа NEW'!$B$19:$B$201),CHOOSE({1,2},'Бланк OLD 0.8 04'!$B$18:$B$200,'Бланк OLD 0.8 04'!$A$18:$A$200),1,0)),
"Бланк OLD 2.0 04 №"&amp;VLOOKUP(A416+1-COUNT('Шаг2.Бланк заказа NEW'!$B$19:$B$201)-COUNT('Бланк OLD 0.8 04'!$B$18:$B$200),CHOOSE({1,2},'Бланк OLD 2.0 04 '!$B$18:$B$200,'Бланк OLD 2.0 04 '!$A$18:$A$200),1,0)),"")</f>
        <v/>
      </c>
      <c r="C417" s="152" t="str">
        <f ca="1">IFERROR(IFERROR(IFERROR(VLOOKUP(A416+1,CHOOSE({1,2},'Шаг2.Бланк заказа NEW'!$B$19:$B$201,'Шаг2.Бланк заказа NEW'!$A$19:$A$201),2,0),
VLOOKUP(A416+1-COUNT('Шаг2.Бланк заказа NEW'!$B$19:$B$201),CHOOSE({1,2},'Бланк OLD 0.8 04'!$B$18:$B$200,'Бланк OLD 0.8 04'!$A$18:$A$200),2,0)),
VLOOKUP(A416+1-COUNT('Шаг2.Бланк заказа NEW'!$B$19:$B$201)-COUNT('Бланк OLD 0.8 04'!$B$18:$B$200),CHOOSE({1,2},'Бланк OLD 2.0 04 '!$B$18:$B$200,'Бланк OLD 2.0 04 '!$A$18:$A$200),2,0)),"")</f>
        <v/>
      </c>
      <c r="D417" s="150" t="str">
        <f ca="1">IFERROR(VLOOKUP(C417,'Шаг1.Выбор плиты'!C:G,5,0),"")</f>
        <v/>
      </c>
      <c r="E417" s="147" t="str">
        <f ca="1">IFERROR(IFERROR(IF(VLOOKUP($A417,'Шаг2.Бланк заказа NEW'!$B$17:$N$201,2,0)="","",VLOOKUP($A417,'Шаг2.Бланк заказа NEW'!$B$17:$N$201,2,0)),
IF(VLOOKUP($A417-COUNT('Шаг2.Бланк заказа NEW'!$B$19:$B$201),'Бланк OLD 0.8 04'!$B$12:$K$200,2,0)="","",VLOOKUP($A417-COUNT('Шаг2.Бланк заказа NEW'!$B$19:$B$201),'Бланк OLD 0.8 04'!$B$12:$K$200,2,0))),
IF(VLOOKUP($A417-COUNT('Шаг2.Бланк заказа NEW'!$B$19:$B$201)-COUNT('Бланк OLD 0.8 04'!$B$18:$B$200),'Бланк OLD 2.0 04 '!$B$16:$K$200,2,0)="","",VLOOKUP($A417-COUNT('Шаг2.Бланк заказа NEW'!$B$19:$B$201)-COUNT('Бланк OLD 0.8 04'!$B$18:$B$200),'Бланк OLD 2.0 04 '!$B$16:$K$200,2,0)))</f>
        <v/>
      </c>
      <c r="F417" s="147" t="str">
        <f ca="1">IFERROR(IFERROR(IF(VLOOKUP($A417,'Шаг2.Бланк заказа NEW'!$B$17:$N$201,3,0)="","",VLOOKUP($A417,'Шаг2.Бланк заказа NEW'!$B$17:$N$201,3,0)),
IF(VLOOKUP($A417-COUNT('Шаг2.Бланк заказа NEW'!$B$19:$B$201),'Бланк OLD 0.8 04'!$B$12:$K$200,3,0)="","",VLOOKUP($A417-COUNT('Шаг2.Бланк заказа NEW'!$B$19:$B$201),'Бланк OLD 0.8 04'!$B$12:$K$200,3,0))),
IF(VLOOKUP($A417-COUNT('Шаг2.Бланк заказа NEW'!$B$19:$B$201)-COUNT('Бланк OLD 0.8 04'!$B$18:$B$200),'Бланк OLD 2.0 04 '!$B$16:$K$200,3,0)="","",VLOOKUP($A417-COUNT('Шаг2.Бланк заказа NEW'!$B$19:$B$201)-COUNT('Бланк OLD 0.8 04'!$B$18:$B$200),'Бланк OLD 2.0 04 '!$B$16:$K$200,3,0)))</f>
        <v/>
      </c>
      <c r="G417" s="176" t="str">
        <f ca="1">IF(IF(R417="","",IF(R417=1,SUMIFS('Шаг1.Выбор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плиты'!C:Q,12,0)),1))))))=0,
R417,
IF(R417="","",IF(R417=1,SUMIFS('Шаг1.Выбор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плиты'!N:N,R417,'Шаг1.Выбор плиты'!M:M,SMALL(INDIRECT("мм"&amp;VLOOKUP(C417,'Шаг1.Выбор плиты'!C:Q,12,0)),1)))))))</f>
        <v/>
      </c>
      <c r="H417" s="177" t="str">
        <f ca="1">IF(IF(S417="","",IF(S417=1,SUMIFS('Шаг1.Выбор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плиты'!C:Q,12,0)),1))))))=0,
S417,
IF(S417="","",IF(S417=1,SUMIFS('Шаг1.Выбор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плиты'!N:N,S417,'Шаг1.Выбор плиты'!M:M,SMALL(INDIRECT("мм"&amp;VLOOKUP(C417,'Шаг1.Выбор плиты'!C:Q,12,0)),1)))))))</f>
        <v/>
      </c>
      <c r="I417" s="147" t="str">
        <f ca="1">IFERROR(IFERROR(IF(VLOOKUP($A417,'Шаг2.Бланк заказа NEW'!$B$17:$N$201,6,0)="","",VLOOKUP($A417,'Шаг2.Бланк заказа NEW'!$B$17:$N$201,6,0)),
IF(VLOOKUP($A417-COUNT('Шаг2.Бланк заказа NEW'!$B$19:$B$201),'Бланк OLD 0.8 04'!$B$12:$K$200,6,0)="","",VLOOKUP($A417-COUNT('Шаг2.Бланк заказа NEW'!$B$19:$B$201),'Бланк OLD 0.8 04'!$B$12:$K$200,6,0))),
IF(VLOOKUP($A417-COUNT('Шаг2.Бланк заказа NEW'!$B$19:$B$201)-COUNT('Бланк OLD 0.8 04'!$B$18:$B$200),'Бланк OLD 2.0 04 '!$B$16:$K$200,6,0)="","",VLOOKUP($A417-COUNT('Шаг2.Бланк заказа NEW'!$B$19:$B$201)-COUNT('Бланк OLD 0.8 04'!$B$18:$B$200),'Бланк OLD 2.0 04 '!$B$16:$K$200,6,0)))</f>
        <v/>
      </c>
      <c r="J417" s="177" t="str">
        <f ca="1">IF(IF(T417="","",IF(T417=1,SUMIFS('Шаг1.Выбор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плиты'!C:Q,12,0)),1))))))=0,
T417,
IF(T417="","",IF(T417=1,SUMIFS('Шаг1.Выбор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плиты'!N:N,T417,'Шаг1.Выбор плиты'!M:M,SMALL(INDIRECT("мм"&amp;VLOOKUP(C417,'Шаг1.Выбор плиты'!C:Q,12,0)),1)))))))</f>
        <v/>
      </c>
      <c r="K417" s="177" t="str">
        <f ca="1">IF(IF(U417="","",IF(U417=1,SUMIFS('Шаг1.Выбор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плиты'!C:Q,12,0)),1))))))=0,
U417,
IF(U417="","",IF(U417=1,SUMIFS('Шаг1.Выбор плиты'!$G:$G,'Шаг1.Выбор плиты'!J:J,"*"&amp;RIGHT(VLOOKUP(C417,'Шаг1.Выбор плиты'!C:Q,8,0),4),'Шаг1.Выбор плиты'!L:L,IF(MID(C417,1,6)="ЛДСП P","TM"&amp;MID(VLOOKUP(C417,'Шаг1.Выбор плиты'!C:Q,10,0),3,2),MID(VLOOKUP(C417,'Шаг1.Выбор плиты'!C:Q,10,0),1,2)),
'Шаг1.Выбор плиты'!N:N,1),IF(SUMIFS('Шаг1.Выбор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плиты'!C:Q,12,0)),1))=0,
IF(SUMIFS('Шаг1.Выбор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плиты'!C:Q,12,0)),2))=0,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плиты'!C:Q,12,0)),3)),
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плиты'!C:Q,12,0)),2))),
(SUMIFS('Шаг1.Выбор плиты'!$G:$G,'Шаг1.Выбор плиты'!J:J,"*"&amp;RIGHT(VLOOKUP(C417,'Шаг1.Выбор плиты'!C:Q,8,0),4),'Шаг1.Выбор плиты'!L:L,VLOOKUP(C417,'Шаг1.Выбор плиты'!C:Q,10,0),'Шаг1.Выбор плиты'!N:N,U417,'Шаг1.Выбор плиты'!M:M,SMALL(INDIRECT("мм"&amp;VLOOKUP(C417,'Шаг1.Выбор плиты'!C:Q,12,0)),1)))))))</f>
        <v/>
      </c>
      <c r="L417" s="147" t="str">
        <f ca="1">IFERROR(IFERROR(IF(VLOOKUP($A417,'Шаг2.Бланк заказа NEW'!$B$17:$N$201,9,0)="","",VLOOKUP($A417,'Шаг2.Бланк заказа NEW'!$B$17:$N$201,9,0)),
IF(VLOOKUP($A417-COUNT('Шаг2.Бланк заказа NEW'!$B$19:$B$201),'Бланк OLD 0.8 04'!$B$12:$K$200,9,0)="","",VLOOKUP($A417-COUNT('Шаг2.Бланк заказа NEW'!$B$19:$B$201),'Бланк OLD 0.8 04'!$B$12:$K$200,9,0))),
IF(VLOOKUP($A417-COUNT('Шаг2.Бланк заказа NEW'!$B$19:$B$201)-COUNT('Бланк OLD 0.8 04'!$B$18:$B$200),'Бланк OLD 2.0 04 '!$B$16:$K$200,9,0)="","",VLOOKUP($A417-COUNT('Шаг2.Бланк заказа NEW'!$B$19:$B$201)-COUNT('Бланк OLD 0.8 04'!$B$18:$B$200),'Бланк OLD 2.0 04 '!$B$16:$K$200,9,0)))</f>
        <v/>
      </c>
      <c r="M417" s="154" t="str">
        <f t="shared" ca="1" si="36"/>
        <v/>
      </c>
      <c r="N417" s="153" t="str">
        <f ca="1">IFERROR(IF(VLOOKUP($A417,'Шаг2.Бланк заказа NEW'!$B$17:$N$201,11,0)="","",VLOOKUP($A417,'Шаг2.Бланк заказа NEW'!$B$17:$N$201,11,0)),
"Нет")</f>
        <v/>
      </c>
      <c r="O417" s="147" t="str">
        <f ca="1">IFERROR(IF(VLOOKUP($A417,'Шаг2.Бланк заказа NEW'!$B$17:$N$201,11,0)="","",VLOOKUP($A417,'Шаг2.Бланк заказа NEW'!$B$17:$N$201,12,0)),
"Нет")</f>
        <v/>
      </c>
      <c r="P417" s="153" t="str">
        <f ca="1">IFERROR(IF(VLOOKUP($A417,'Шаг2.Бланк заказа NEW'!$B$17:$N$201,13,0)="","",VLOOKUP($A417,'Шаг2.Бланк заказа NEW'!$B$17:$N$201,13,0)),
"Нет")</f>
        <v/>
      </c>
      <c r="Q417" s="147" t="str">
        <f ca="1">IFERROR(IF(VLOOKUP($A417,'Шаг2.Бланк заказа NEW'!$B$17:$O$201,14,0)="","",VLOOKUP($A417,'Шаг2.Бланк заказа NEW'!$B$17:$O$201,14,0)),"")</f>
        <v/>
      </c>
      <c r="R417" s="147" t="str">
        <f ca="1">IFERROR(IFERROR(IF(VLOOKUP($A417,'Шаг2.Бланк заказа NEW'!$B$17:$N$201,4,0)="","",VLOOKUP($A417,'Шаг2.Бланк заказа NEW'!$B$17:$N$201,4,0)),
IF(VLOOKUP($A417-COUNT('Шаг2.Бланк заказа NEW'!$B$19:$B$201),'Бланк OLD 0.8 04'!$B$12:$K$200,4,0)&gt;0,0.8,
IF(VLOOKUP($A417-COUNT('Шаг2.Бланк заказа NEW'!$B$19:$B$201),'Бланк OLD 0.8 04'!$B$12:$K$200,5,0)&gt;0,0.4,""))),
IF(VLOOKUP($A417-COUNT('Шаг2.Бланк заказа NEW'!$B$19:$B$201)-COUNT('Бланк OLD 0.8 04'!$B$18:$B$200),'Бланк OLD 2.0 04 '!$B$16:$K$200,4,0)&gt;0,2,IF(VLOOKUP($A417-COUNT('Шаг2.Бланк заказа NEW'!$B$19:$B$201)-COUNT('Бланк OLD 0.8 04'!$B$18:$B$200),'Бланк OLD 2.0 04 '!$B$16:$K$200,5,0)&gt;0,0.4,"")))</f>
        <v/>
      </c>
      <c r="S417" s="147" t="str">
        <f ca="1">IFERROR(IFERROR(IF(VLOOKUP($A417,'Шаг2.Бланк заказа NEW'!$B$17:$N$201,5,0)="","",VLOOKUP($A417,'Шаг2.Бланк заказа NEW'!$B$17:$N$201,5,0)),
IF(VLOOKUP($A417-COUNT('Шаг2.Бланк заказа NEW'!$B$19:$B$201),'Бланк OLD 0.8 04'!$B$12:$K$200,4,0)&gt;1,0.8,
IF(VLOOKUP($A417-COUNT('Шаг2.Бланк заказа NEW'!$B$19:$B$201),'Бланк OLD 0.8 04'!$B$12:$K$200,5,0)&gt;1,0.4,
IF(AND(VLOOKUP($A417-COUNT('Шаг2.Бланк заказа NEW'!$B$19:$B$201),'Бланк OLD 0.8 04'!$B$12:$K$200,4,0)&gt;0,VLOOKUP($A417-COUNT('Шаг2.Бланк заказа NEW'!$B$19:$B$201),'Бланк OLD 0.8 04'!$B$12:$K$200,5,0)&gt;0),0.4,"")))),
IF(VLOOKUP($A417-COUNT('Шаг2.Бланк заказа NEW'!$B$19:$B$201)-COUNT('Бланк OLD 0.8 04'!$B$18:$B$200),'Бланк OLD 2.0 04 '!$B$16:$K$200,4,0)&gt;1,2,
IF(VLOOKUP($A417-COUNT('Шаг2.Бланк заказа NEW'!$B$19:$B$201)-COUNT('Бланк OLD 0.8 04'!$B$18:$B$200),'Бланк OLD 2.0 04 '!$B$16:$K$200,5,0)&gt;1,0.4,IF(AND(VLOOKUP($A417-COUNT('Шаг2.Бланк заказа NEW'!$B$19:$B$201)-COUNT('Бланк OLD 0.8 04'!$B$18:$B$200),'Бланк OLD 2.0 04 '!$B$16:$K$200,4,0)&gt;0,VLOOKUP($A417-COUNT('Шаг2.Бланк заказа NEW'!$B$19:$B$201)-COUNT('Бланк OLD 0.8 04'!$B$18:$B$200),'Бланк OLD 2.0 04 '!$B$16:$K$200,5,0)&gt;0),0.4,""))))</f>
        <v/>
      </c>
      <c r="T417" s="147" t="str">
        <f ca="1">IFERROR(IFERROR(IF(VLOOKUP($A417,'Шаг2.Бланк заказа NEW'!$B$17:$N$201,7,0)="","",VLOOKUP($A417,'Шаг2.Бланк заказа NEW'!$B$17:$N$201,7,0)),
IF(VLOOKUP($A417-COUNT('Шаг2.Бланк заказа NEW'!$B$19:$B$201),'Бланк OLD 0.8 04'!$B$12:$K$200,7,0)&gt;0,0.8,
IF(VLOOKUP($A417-COUNT('Шаг2.Бланк заказа NEW'!$B$19:$B$201),'Бланк OLD 0.8 04'!$B$12:$K$200,8,0)&gt;0,0.4,""))),
IF(VLOOKUP($A417-COUNT('Шаг2.Бланк заказа NEW'!$B$19:$B$201)-COUNT('Бланк OLD 0.8 04'!$B$18:$B$200),'Бланк OLD 2.0 04 '!$B$16:$K$200,7,0)&gt;0,2,IF(VLOOKUP($A417-COUNT('Шаг2.Бланк заказа NEW'!$B$19:$B$201)-COUNT('Бланк OLD 0.8 04'!$B$18:$B$200),'Бланк OLD 2.0 04 '!$B$16:$K$200,8,0)&gt;0,0.4,"")))</f>
        <v/>
      </c>
      <c r="U417" s="147" t="str">
        <f ca="1">IFERROR(IFERROR(IF(VLOOKUP($A417,'Шаг2.Бланк заказа NEW'!$B$17:$N$201,8,0)="","",VLOOKUP($A417,'Шаг2.Бланк заказа NEW'!$B$17:$N$201,8,0)),
IF(VLOOKUP($A417-COUNT('Шаг2.Бланк заказа NEW'!$B$19:$B$201),'Бланк OLD 0.8 04'!$B$12:$K$200,7,0)&gt;1,0.8,
IF(VLOOKUP($A417-COUNT('Шаг2.Бланк заказа NEW'!$B$19:$B$201),'Бланк OLD 0.8 04'!$B$12:$K$200,8,0)&gt;1,0.4,
IF(AND(VLOOKUP($A417-COUNT('Шаг2.Бланк заказа NEW'!$B$19:$B$201),'Бланк OLD 0.8 04'!$B$12:$K$200,7,0)&gt;0,VLOOKUP($A417-COUNT('Шаг2.Бланк заказа NEW'!$B$19:$B$201),'Бланк OLD 0.8 04'!$B$12:$K$200,8,0)&gt;0),0.4,"")))),
IF(VLOOKUP($A417-COUNT('Шаг2.Бланк заказа NEW'!$B$19:$B$201)-COUNT('Бланк OLD 0.8 04'!$B$18:$B$200),'Бланк OLD 2.0 04 '!$B$16:$K$200,7,0)&gt;1,2,
IF(VLOOKUP($A417-COUNT('Шаг2.Бланк заказа NEW'!$B$19:$B$201)-COUNT('Бланк OLD 0.8 04'!$B$18:$B$200),'Бланк OLD 2.0 04 '!$B$16:$K$200,8,0)&gt;1,0.4,
IF(AND(VLOOKUP($A417-COUNT('Шаг2.Бланк заказа NEW'!$B$19:$B$201)-COUNT('Бланк OLD 0.8 04'!$B$18:$B$200),'Бланк OLD 2.0 04 '!$B$16:$K$200,7,0)&gt;0,VLOOKUP($A417-COUNT('Шаг2.Бланк заказа NEW'!$B$19:$B$201)-COUNT('Бланк OLD 0.8 04'!$B$18:$B$200),'Бланк OLD 2.0 04 '!$B$16:$K$200,8,0)&gt;0),0.4,""))))</f>
        <v/>
      </c>
      <c r="V417" s="146" t="str">
        <f ca="1">IFERROR(VLOOKUP(C417,'Шаг1.Выбор плиты'!C:S,12,0),"")</f>
        <v/>
      </c>
      <c r="W417" s="146" t="str">
        <f ca="1">IFERROR(VLOOKUP(C417,'Шаг1.Выбор плиты'!C:S,8,0),"")</f>
        <v/>
      </c>
      <c r="X417" s="146" t="str">
        <f ca="1">IFERROR(VLOOKUP(C417,'Шаг1.Выбор плиты'!C:S,10,0),"")</f>
        <v/>
      </c>
      <c r="Y417" s="147" t="str">
        <f t="shared" ca="1" si="39"/>
        <v/>
      </c>
      <c r="AD417" s="147" t="str">
        <f t="shared" ca="1" si="37"/>
        <v/>
      </c>
      <c r="AE417" s="147" t="str">
        <f t="shared" ca="1" si="40"/>
        <v/>
      </c>
      <c r="AF417" s="25"/>
      <c r="AH417" s="147" t="str">
        <f ca="1">IF(C417="","",VLOOKUP(C417,'Шаг1.Выбор плиты'!C:Q,7,0))</f>
        <v/>
      </c>
      <c r="AI417" s="147" t="str">
        <f t="shared" ca="1" si="38"/>
        <v/>
      </c>
    </row>
    <row r="418" spans="1:35" x14ac:dyDescent="0.2">
      <c r="A418" s="151" t="str">
        <f ca="1">IF(C418="","",MAX($A$1:OFFSET(C418,-1,0))+1)</f>
        <v/>
      </c>
      <c r="B418" s="151" t="str">
        <f ca="1">IFERROR(IFERROR(IFERROR("Шаг2.Бланк заказа NEW №"&amp;VLOOKUP(A417+1,CHOOSE({1,2},'Шаг2.Бланк заказа NEW'!$B$19:$B$201,'Шаг2.Бланк заказа NEW'!$A$19:$A$201),1,0),
"Бланк OLD 0.8 04 №"&amp;VLOOKUP(A417+1-COUNT('Шаг2.Бланк заказа NEW'!$B$19:$B$201),CHOOSE({1,2},'Бланк OLD 0.8 04'!$B$18:$B$200,'Бланк OLD 0.8 04'!$A$18:$A$200),1,0)),
"Бланк OLD 2.0 04 №"&amp;VLOOKUP(A417+1-COUNT('Шаг2.Бланк заказа NEW'!$B$19:$B$201)-COUNT('Бланк OLD 0.8 04'!$B$18:$B$200),CHOOSE({1,2},'Бланк OLD 2.0 04 '!$B$18:$B$200,'Бланк OLD 2.0 04 '!$A$18:$A$200),1,0)),"")</f>
        <v/>
      </c>
      <c r="C418" s="152" t="str">
        <f ca="1">IFERROR(IFERROR(IFERROR(VLOOKUP(A417+1,CHOOSE({1,2},'Шаг2.Бланк заказа NEW'!$B$19:$B$201,'Шаг2.Бланк заказа NEW'!$A$19:$A$201),2,0),
VLOOKUP(A417+1-COUNT('Шаг2.Бланк заказа NEW'!$B$19:$B$201),CHOOSE({1,2},'Бланк OLD 0.8 04'!$B$18:$B$200,'Бланк OLD 0.8 04'!$A$18:$A$200),2,0)),
VLOOKUP(A417+1-COUNT('Шаг2.Бланк заказа NEW'!$B$19:$B$201)-COUNT('Бланк OLD 0.8 04'!$B$18:$B$200),CHOOSE({1,2},'Бланк OLD 2.0 04 '!$B$18:$B$200,'Бланк OLD 2.0 04 '!$A$18:$A$200),2,0)),"")</f>
        <v/>
      </c>
      <c r="D418" s="150" t="str">
        <f ca="1">IFERROR(VLOOKUP(C418,'Шаг1.Выбор плиты'!C:G,5,0),"")</f>
        <v/>
      </c>
      <c r="E418" s="147" t="str">
        <f ca="1">IFERROR(IFERROR(IF(VLOOKUP($A418,'Шаг2.Бланк заказа NEW'!$B$17:$N$201,2,0)="","",VLOOKUP($A418,'Шаг2.Бланк заказа NEW'!$B$17:$N$201,2,0)),
IF(VLOOKUP($A418-COUNT('Шаг2.Бланк заказа NEW'!$B$19:$B$201),'Бланк OLD 0.8 04'!$B$12:$K$200,2,0)="","",VLOOKUP($A418-COUNT('Шаг2.Бланк заказа NEW'!$B$19:$B$201),'Бланк OLD 0.8 04'!$B$12:$K$200,2,0))),
IF(VLOOKUP($A418-COUNT('Шаг2.Бланк заказа NEW'!$B$19:$B$201)-COUNT('Бланк OLD 0.8 04'!$B$18:$B$200),'Бланк OLD 2.0 04 '!$B$16:$K$200,2,0)="","",VLOOKUP($A418-COUNT('Шаг2.Бланк заказа NEW'!$B$19:$B$201)-COUNT('Бланк OLD 0.8 04'!$B$18:$B$200),'Бланк OLD 2.0 04 '!$B$16:$K$200,2,0)))</f>
        <v/>
      </c>
      <c r="F418" s="147" t="str">
        <f ca="1">IFERROR(IFERROR(IF(VLOOKUP($A418,'Шаг2.Бланк заказа NEW'!$B$17:$N$201,3,0)="","",VLOOKUP($A418,'Шаг2.Бланк заказа NEW'!$B$17:$N$201,3,0)),
IF(VLOOKUP($A418-COUNT('Шаг2.Бланк заказа NEW'!$B$19:$B$201),'Бланк OLD 0.8 04'!$B$12:$K$200,3,0)="","",VLOOKUP($A418-COUNT('Шаг2.Бланк заказа NEW'!$B$19:$B$201),'Бланк OLD 0.8 04'!$B$12:$K$200,3,0))),
IF(VLOOKUP($A418-COUNT('Шаг2.Бланк заказа NEW'!$B$19:$B$201)-COUNT('Бланк OLD 0.8 04'!$B$18:$B$200),'Бланк OLD 2.0 04 '!$B$16:$K$200,3,0)="","",VLOOKUP($A418-COUNT('Шаг2.Бланк заказа NEW'!$B$19:$B$201)-COUNT('Бланк OLD 0.8 04'!$B$18:$B$200),'Бланк OLD 2.0 04 '!$B$16:$K$200,3,0)))</f>
        <v/>
      </c>
      <c r="G418" s="176" t="str">
        <f ca="1">IF(IF(R418="","",IF(R418=1,SUMIFS('Шаг1.Выбор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плиты'!C:Q,12,0)),1))))))=0,
R418,
IF(R418="","",IF(R418=1,SUMIFS('Шаг1.Выбор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плиты'!N:N,R418,'Шаг1.Выбор плиты'!M:M,SMALL(INDIRECT("мм"&amp;VLOOKUP(C418,'Шаг1.Выбор плиты'!C:Q,12,0)),1)))))))</f>
        <v/>
      </c>
      <c r="H418" s="177" t="str">
        <f ca="1">IF(IF(S418="","",IF(S418=1,SUMIFS('Шаг1.Выбор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плиты'!C:Q,12,0)),1))))))=0,
S418,
IF(S418="","",IF(S418=1,SUMIFS('Шаг1.Выбор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плиты'!N:N,S418,'Шаг1.Выбор плиты'!M:M,SMALL(INDIRECT("мм"&amp;VLOOKUP(C418,'Шаг1.Выбор плиты'!C:Q,12,0)),1)))))))</f>
        <v/>
      </c>
      <c r="I418" s="147" t="str">
        <f ca="1">IFERROR(IFERROR(IF(VLOOKUP($A418,'Шаг2.Бланк заказа NEW'!$B$17:$N$201,6,0)="","",VLOOKUP($A418,'Шаг2.Бланк заказа NEW'!$B$17:$N$201,6,0)),
IF(VLOOKUP($A418-COUNT('Шаг2.Бланк заказа NEW'!$B$19:$B$201),'Бланк OLD 0.8 04'!$B$12:$K$200,6,0)="","",VLOOKUP($A418-COUNT('Шаг2.Бланк заказа NEW'!$B$19:$B$201),'Бланк OLD 0.8 04'!$B$12:$K$200,6,0))),
IF(VLOOKUP($A418-COUNT('Шаг2.Бланк заказа NEW'!$B$19:$B$201)-COUNT('Бланк OLD 0.8 04'!$B$18:$B$200),'Бланк OLD 2.0 04 '!$B$16:$K$200,6,0)="","",VLOOKUP($A418-COUNT('Шаг2.Бланк заказа NEW'!$B$19:$B$201)-COUNT('Бланк OLD 0.8 04'!$B$18:$B$200),'Бланк OLD 2.0 04 '!$B$16:$K$200,6,0)))</f>
        <v/>
      </c>
      <c r="J418" s="177" t="str">
        <f ca="1">IF(IF(T418="","",IF(T418=1,SUMIFS('Шаг1.Выбор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плиты'!C:Q,12,0)),1))))))=0,
T418,
IF(T418="","",IF(T418=1,SUMIFS('Шаг1.Выбор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плиты'!N:N,T418,'Шаг1.Выбор плиты'!M:M,SMALL(INDIRECT("мм"&amp;VLOOKUP(C418,'Шаг1.Выбор плиты'!C:Q,12,0)),1)))))))</f>
        <v/>
      </c>
      <c r="K418" s="177" t="str">
        <f ca="1">IF(IF(U418="","",IF(U418=1,SUMIFS('Шаг1.Выбор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плиты'!C:Q,12,0)),1))))))=0,
U418,
IF(U418="","",IF(U418=1,SUMIFS('Шаг1.Выбор плиты'!$G:$G,'Шаг1.Выбор плиты'!J:J,"*"&amp;RIGHT(VLOOKUP(C418,'Шаг1.Выбор плиты'!C:Q,8,0),4),'Шаг1.Выбор плиты'!L:L,IF(MID(C418,1,6)="ЛДСП P","TM"&amp;MID(VLOOKUP(C418,'Шаг1.Выбор плиты'!C:Q,10,0),3,2),MID(VLOOKUP(C418,'Шаг1.Выбор плиты'!C:Q,10,0),1,2)),
'Шаг1.Выбор плиты'!N:N,1),IF(SUMIFS('Шаг1.Выбор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плиты'!C:Q,12,0)),1))=0,
IF(SUMIFS('Шаг1.Выбор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плиты'!C:Q,12,0)),2))=0,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плиты'!C:Q,12,0)),3)),
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плиты'!C:Q,12,0)),2))),
(SUMIFS('Шаг1.Выбор плиты'!$G:$G,'Шаг1.Выбор плиты'!J:J,"*"&amp;RIGHT(VLOOKUP(C418,'Шаг1.Выбор плиты'!C:Q,8,0),4),'Шаг1.Выбор плиты'!L:L,VLOOKUP(C418,'Шаг1.Выбор плиты'!C:Q,10,0),'Шаг1.Выбор плиты'!N:N,U418,'Шаг1.Выбор плиты'!M:M,SMALL(INDIRECT("мм"&amp;VLOOKUP(C418,'Шаг1.Выбор плиты'!C:Q,12,0)),1)))))))</f>
        <v/>
      </c>
      <c r="L418" s="147" t="str">
        <f ca="1">IFERROR(IFERROR(IF(VLOOKUP($A418,'Шаг2.Бланк заказа NEW'!$B$17:$N$201,9,0)="","",VLOOKUP($A418,'Шаг2.Бланк заказа NEW'!$B$17:$N$201,9,0)),
IF(VLOOKUP($A418-COUNT('Шаг2.Бланк заказа NEW'!$B$19:$B$201),'Бланк OLD 0.8 04'!$B$12:$K$200,9,0)="","",VLOOKUP($A418-COUNT('Шаг2.Бланк заказа NEW'!$B$19:$B$201),'Бланк OLD 0.8 04'!$B$12:$K$200,9,0))),
IF(VLOOKUP($A418-COUNT('Шаг2.Бланк заказа NEW'!$B$19:$B$201)-COUNT('Бланк OLD 0.8 04'!$B$18:$B$200),'Бланк OLD 2.0 04 '!$B$16:$K$200,9,0)="","",VLOOKUP($A418-COUNT('Шаг2.Бланк заказа NEW'!$B$19:$B$201)-COUNT('Бланк OLD 0.8 04'!$B$18:$B$200),'Бланк OLD 2.0 04 '!$B$16:$K$200,9,0)))</f>
        <v/>
      </c>
      <c r="M418" s="154" t="str">
        <f t="shared" ca="1" si="36"/>
        <v/>
      </c>
      <c r="N418" s="153" t="str">
        <f ca="1">IFERROR(IF(VLOOKUP($A418,'Шаг2.Бланк заказа NEW'!$B$17:$N$201,11,0)="","",VLOOKUP($A418,'Шаг2.Бланк заказа NEW'!$B$17:$N$201,11,0)),
"Нет")</f>
        <v/>
      </c>
      <c r="O418" s="147" t="str">
        <f ca="1">IFERROR(IF(VLOOKUP($A418,'Шаг2.Бланк заказа NEW'!$B$17:$N$201,11,0)="","",VLOOKUP($A418,'Шаг2.Бланк заказа NEW'!$B$17:$N$201,12,0)),
"Нет")</f>
        <v/>
      </c>
      <c r="P418" s="153" t="str">
        <f ca="1">IFERROR(IF(VLOOKUP($A418,'Шаг2.Бланк заказа NEW'!$B$17:$N$201,13,0)="","",VLOOKUP($A418,'Шаг2.Бланк заказа NEW'!$B$17:$N$201,13,0)),
"Нет")</f>
        <v/>
      </c>
      <c r="Q418" s="147" t="str">
        <f ca="1">IFERROR(IF(VLOOKUP($A418,'Шаг2.Бланк заказа NEW'!$B$17:$O$201,14,0)="","",VLOOKUP($A418,'Шаг2.Бланк заказа NEW'!$B$17:$O$201,14,0)),"")</f>
        <v/>
      </c>
      <c r="R418" s="147" t="str">
        <f ca="1">IFERROR(IFERROR(IF(VLOOKUP($A418,'Шаг2.Бланк заказа NEW'!$B$17:$N$201,4,0)="","",VLOOKUP($A418,'Шаг2.Бланк заказа NEW'!$B$17:$N$201,4,0)),
IF(VLOOKUP($A418-COUNT('Шаг2.Бланк заказа NEW'!$B$19:$B$201),'Бланк OLD 0.8 04'!$B$12:$K$200,4,0)&gt;0,0.8,
IF(VLOOKUP($A418-COUNT('Шаг2.Бланк заказа NEW'!$B$19:$B$201),'Бланк OLD 0.8 04'!$B$12:$K$200,5,0)&gt;0,0.4,""))),
IF(VLOOKUP($A418-COUNT('Шаг2.Бланк заказа NEW'!$B$19:$B$201)-COUNT('Бланк OLD 0.8 04'!$B$18:$B$200),'Бланк OLD 2.0 04 '!$B$16:$K$200,4,0)&gt;0,2,IF(VLOOKUP($A418-COUNT('Шаг2.Бланк заказа NEW'!$B$19:$B$201)-COUNT('Бланк OLD 0.8 04'!$B$18:$B$200),'Бланк OLD 2.0 04 '!$B$16:$K$200,5,0)&gt;0,0.4,"")))</f>
        <v/>
      </c>
      <c r="S418" s="147" t="str">
        <f ca="1">IFERROR(IFERROR(IF(VLOOKUP($A418,'Шаг2.Бланк заказа NEW'!$B$17:$N$201,5,0)="","",VLOOKUP($A418,'Шаг2.Бланк заказа NEW'!$B$17:$N$201,5,0)),
IF(VLOOKUP($A418-COUNT('Шаг2.Бланк заказа NEW'!$B$19:$B$201),'Бланк OLD 0.8 04'!$B$12:$K$200,4,0)&gt;1,0.8,
IF(VLOOKUP($A418-COUNT('Шаг2.Бланк заказа NEW'!$B$19:$B$201),'Бланк OLD 0.8 04'!$B$12:$K$200,5,0)&gt;1,0.4,
IF(AND(VLOOKUP($A418-COUNT('Шаг2.Бланк заказа NEW'!$B$19:$B$201),'Бланк OLD 0.8 04'!$B$12:$K$200,4,0)&gt;0,VLOOKUP($A418-COUNT('Шаг2.Бланк заказа NEW'!$B$19:$B$201),'Бланк OLD 0.8 04'!$B$12:$K$200,5,0)&gt;0),0.4,"")))),
IF(VLOOKUP($A418-COUNT('Шаг2.Бланк заказа NEW'!$B$19:$B$201)-COUNT('Бланк OLD 0.8 04'!$B$18:$B$200),'Бланк OLD 2.0 04 '!$B$16:$K$200,4,0)&gt;1,2,
IF(VLOOKUP($A418-COUNT('Шаг2.Бланк заказа NEW'!$B$19:$B$201)-COUNT('Бланк OLD 0.8 04'!$B$18:$B$200),'Бланк OLD 2.0 04 '!$B$16:$K$200,5,0)&gt;1,0.4,IF(AND(VLOOKUP($A418-COUNT('Шаг2.Бланк заказа NEW'!$B$19:$B$201)-COUNT('Бланк OLD 0.8 04'!$B$18:$B$200),'Бланк OLD 2.0 04 '!$B$16:$K$200,4,0)&gt;0,VLOOKUP($A418-COUNT('Шаг2.Бланк заказа NEW'!$B$19:$B$201)-COUNT('Бланк OLD 0.8 04'!$B$18:$B$200),'Бланк OLD 2.0 04 '!$B$16:$K$200,5,0)&gt;0),0.4,""))))</f>
        <v/>
      </c>
      <c r="T418" s="147" t="str">
        <f ca="1">IFERROR(IFERROR(IF(VLOOKUP($A418,'Шаг2.Бланк заказа NEW'!$B$17:$N$201,7,0)="","",VLOOKUP($A418,'Шаг2.Бланк заказа NEW'!$B$17:$N$201,7,0)),
IF(VLOOKUP($A418-COUNT('Шаг2.Бланк заказа NEW'!$B$19:$B$201),'Бланк OLD 0.8 04'!$B$12:$K$200,7,0)&gt;0,0.8,
IF(VLOOKUP($A418-COUNT('Шаг2.Бланк заказа NEW'!$B$19:$B$201),'Бланк OLD 0.8 04'!$B$12:$K$200,8,0)&gt;0,0.4,""))),
IF(VLOOKUP($A418-COUNT('Шаг2.Бланк заказа NEW'!$B$19:$B$201)-COUNT('Бланк OLD 0.8 04'!$B$18:$B$200),'Бланк OLD 2.0 04 '!$B$16:$K$200,7,0)&gt;0,2,IF(VLOOKUP($A418-COUNT('Шаг2.Бланк заказа NEW'!$B$19:$B$201)-COUNT('Бланк OLD 0.8 04'!$B$18:$B$200),'Бланк OLD 2.0 04 '!$B$16:$K$200,8,0)&gt;0,0.4,"")))</f>
        <v/>
      </c>
      <c r="U418" s="147" t="str">
        <f ca="1">IFERROR(IFERROR(IF(VLOOKUP($A418,'Шаг2.Бланк заказа NEW'!$B$17:$N$201,8,0)="","",VLOOKUP($A418,'Шаг2.Бланк заказа NEW'!$B$17:$N$201,8,0)),
IF(VLOOKUP($A418-COUNT('Шаг2.Бланк заказа NEW'!$B$19:$B$201),'Бланк OLD 0.8 04'!$B$12:$K$200,7,0)&gt;1,0.8,
IF(VLOOKUP($A418-COUNT('Шаг2.Бланк заказа NEW'!$B$19:$B$201),'Бланк OLD 0.8 04'!$B$12:$K$200,8,0)&gt;1,0.4,
IF(AND(VLOOKUP($A418-COUNT('Шаг2.Бланк заказа NEW'!$B$19:$B$201),'Бланк OLD 0.8 04'!$B$12:$K$200,7,0)&gt;0,VLOOKUP($A418-COUNT('Шаг2.Бланк заказа NEW'!$B$19:$B$201),'Бланк OLD 0.8 04'!$B$12:$K$200,8,0)&gt;0),0.4,"")))),
IF(VLOOKUP($A418-COUNT('Шаг2.Бланк заказа NEW'!$B$19:$B$201)-COUNT('Бланк OLD 0.8 04'!$B$18:$B$200),'Бланк OLD 2.0 04 '!$B$16:$K$200,7,0)&gt;1,2,
IF(VLOOKUP($A418-COUNT('Шаг2.Бланк заказа NEW'!$B$19:$B$201)-COUNT('Бланк OLD 0.8 04'!$B$18:$B$200),'Бланк OLD 2.0 04 '!$B$16:$K$200,8,0)&gt;1,0.4,
IF(AND(VLOOKUP($A418-COUNT('Шаг2.Бланк заказа NEW'!$B$19:$B$201)-COUNT('Бланк OLD 0.8 04'!$B$18:$B$200),'Бланк OLD 2.0 04 '!$B$16:$K$200,7,0)&gt;0,VLOOKUP($A418-COUNT('Шаг2.Бланк заказа NEW'!$B$19:$B$201)-COUNT('Бланк OLD 0.8 04'!$B$18:$B$200),'Бланк OLD 2.0 04 '!$B$16:$K$200,8,0)&gt;0),0.4,""))))</f>
        <v/>
      </c>
      <c r="V418" s="146" t="str">
        <f ca="1">IFERROR(VLOOKUP(C418,'Шаг1.Выбор плиты'!C:S,12,0),"")</f>
        <v/>
      </c>
      <c r="W418" s="146" t="str">
        <f ca="1">IFERROR(VLOOKUP(C418,'Шаг1.Выбор плиты'!C:S,8,0),"")</f>
        <v/>
      </c>
      <c r="X418" s="146" t="str">
        <f ca="1">IFERROR(VLOOKUP(C418,'Шаг1.Выбор плиты'!C:S,10,0),"")</f>
        <v/>
      </c>
      <c r="Y418" s="147" t="str">
        <f t="shared" ca="1" si="39"/>
        <v/>
      </c>
      <c r="AD418" s="147" t="str">
        <f t="shared" ca="1" si="37"/>
        <v/>
      </c>
      <c r="AE418" s="147" t="str">
        <f t="shared" ca="1" si="40"/>
        <v/>
      </c>
      <c r="AF418" s="25"/>
      <c r="AH418" s="147" t="str">
        <f ca="1">IF(C418="","",VLOOKUP(C418,'Шаг1.Выбор плиты'!C:Q,7,0))</f>
        <v/>
      </c>
      <c r="AI418" s="147" t="str">
        <f t="shared" ca="1" si="38"/>
        <v/>
      </c>
    </row>
    <row r="419" spans="1:35" x14ac:dyDescent="0.2">
      <c r="A419" s="151" t="str">
        <f ca="1">IF(C419="","",MAX($A$1:OFFSET(C419,-1,0))+1)</f>
        <v/>
      </c>
      <c r="B419" s="151" t="str">
        <f ca="1">IFERROR(IFERROR(IFERROR("Шаг2.Бланк заказа NEW №"&amp;VLOOKUP(A418+1,CHOOSE({1,2},'Шаг2.Бланк заказа NEW'!$B$19:$B$201,'Шаг2.Бланк заказа NEW'!$A$19:$A$201),1,0),
"Бланк OLD 0.8 04 №"&amp;VLOOKUP(A418+1-COUNT('Шаг2.Бланк заказа NEW'!$B$19:$B$201),CHOOSE({1,2},'Бланк OLD 0.8 04'!$B$18:$B$200,'Бланк OLD 0.8 04'!$A$18:$A$200),1,0)),
"Бланк OLD 2.0 04 №"&amp;VLOOKUP(A418+1-COUNT('Шаг2.Бланк заказа NEW'!$B$19:$B$201)-COUNT('Бланк OLD 0.8 04'!$B$18:$B$200),CHOOSE({1,2},'Бланк OLD 2.0 04 '!$B$18:$B$200,'Бланк OLD 2.0 04 '!$A$18:$A$200),1,0)),"")</f>
        <v/>
      </c>
      <c r="C419" s="152" t="str">
        <f ca="1">IFERROR(IFERROR(IFERROR(VLOOKUP(A418+1,CHOOSE({1,2},'Шаг2.Бланк заказа NEW'!$B$19:$B$201,'Шаг2.Бланк заказа NEW'!$A$19:$A$201),2,0),
VLOOKUP(A418+1-COUNT('Шаг2.Бланк заказа NEW'!$B$19:$B$201),CHOOSE({1,2},'Бланк OLD 0.8 04'!$B$18:$B$200,'Бланк OLD 0.8 04'!$A$18:$A$200),2,0)),
VLOOKUP(A418+1-COUNT('Шаг2.Бланк заказа NEW'!$B$19:$B$201)-COUNT('Бланк OLD 0.8 04'!$B$18:$B$200),CHOOSE({1,2},'Бланк OLD 2.0 04 '!$B$18:$B$200,'Бланк OLD 2.0 04 '!$A$18:$A$200),2,0)),"")</f>
        <v/>
      </c>
      <c r="D419" s="150" t="str">
        <f ca="1">IFERROR(VLOOKUP(C419,'Шаг1.Выбор плиты'!C:G,5,0),"")</f>
        <v/>
      </c>
      <c r="E419" s="147" t="str">
        <f ca="1">IFERROR(IFERROR(IF(VLOOKUP($A419,'Шаг2.Бланк заказа NEW'!$B$17:$N$201,2,0)="","",VLOOKUP($A419,'Шаг2.Бланк заказа NEW'!$B$17:$N$201,2,0)),
IF(VLOOKUP($A419-COUNT('Шаг2.Бланк заказа NEW'!$B$19:$B$201),'Бланк OLD 0.8 04'!$B$12:$K$200,2,0)="","",VLOOKUP($A419-COUNT('Шаг2.Бланк заказа NEW'!$B$19:$B$201),'Бланк OLD 0.8 04'!$B$12:$K$200,2,0))),
IF(VLOOKUP($A419-COUNT('Шаг2.Бланк заказа NEW'!$B$19:$B$201)-COUNT('Бланк OLD 0.8 04'!$B$18:$B$200),'Бланк OLD 2.0 04 '!$B$16:$K$200,2,0)="","",VLOOKUP($A419-COUNT('Шаг2.Бланк заказа NEW'!$B$19:$B$201)-COUNT('Бланк OLD 0.8 04'!$B$18:$B$200),'Бланк OLD 2.0 04 '!$B$16:$K$200,2,0)))</f>
        <v/>
      </c>
      <c r="F419" s="147" t="str">
        <f ca="1">IFERROR(IFERROR(IF(VLOOKUP($A419,'Шаг2.Бланк заказа NEW'!$B$17:$N$201,3,0)="","",VLOOKUP($A419,'Шаг2.Бланк заказа NEW'!$B$17:$N$201,3,0)),
IF(VLOOKUP($A419-COUNT('Шаг2.Бланк заказа NEW'!$B$19:$B$201),'Бланк OLD 0.8 04'!$B$12:$K$200,3,0)="","",VLOOKUP($A419-COUNT('Шаг2.Бланк заказа NEW'!$B$19:$B$201),'Бланк OLD 0.8 04'!$B$12:$K$200,3,0))),
IF(VLOOKUP($A419-COUNT('Шаг2.Бланк заказа NEW'!$B$19:$B$201)-COUNT('Бланк OLD 0.8 04'!$B$18:$B$200),'Бланк OLD 2.0 04 '!$B$16:$K$200,3,0)="","",VLOOKUP($A419-COUNT('Шаг2.Бланк заказа NEW'!$B$19:$B$201)-COUNT('Бланк OLD 0.8 04'!$B$18:$B$200),'Бланк OLD 2.0 04 '!$B$16:$K$200,3,0)))</f>
        <v/>
      </c>
      <c r="G419" s="176" t="str">
        <f ca="1">IF(IF(R419="","",IF(R419=1,SUMIFS('Шаг1.Выбор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плиты'!C:Q,12,0)),1))))))=0,
R419,
IF(R419="","",IF(R419=1,SUMIFS('Шаг1.Выбор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плиты'!N:N,R419,'Шаг1.Выбор плиты'!M:M,SMALL(INDIRECT("мм"&amp;VLOOKUP(C419,'Шаг1.Выбор плиты'!C:Q,12,0)),1)))))))</f>
        <v/>
      </c>
      <c r="H419" s="177" t="str">
        <f ca="1">IF(IF(S419="","",IF(S419=1,SUMIFS('Шаг1.Выбор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плиты'!C:Q,12,0)),1))))))=0,
S419,
IF(S419="","",IF(S419=1,SUMIFS('Шаг1.Выбор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плиты'!N:N,S419,'Шаг1.Выбор плиты'!M:M,SMALL(INDIRECT("мм"&amp;VLOOKUP(C419,'Шаг1.Выбор плиты'!C:Q,12,0)),1)))))))</f>
        <v/>
      </c>
      <c r="I419" s="147" t="str">
        <f ca="1">IFERROR(IFERROR(IF(VLOOKUP($A419,'Шаг2.Бланк заказа NEW'!$B$17:$N$201,6,0)="","",VLOOKUP($A419,'Шаг2.Бланк заказа NEW'!$B$17:$N$201,6,0)),
IF(VLOOKUP($A419-COUNT('Шаг2.Бланк заказа NEW'!$B$19:$B$201),'Бланк OLD 0.8 04'!$B$12:$K$200,6,0)="","",VLOOKUP($A419-COUNT('Шаг2.Бланк заказа NEW'!$B$19:$B$201),'Бланк OLD 0.8 04'!$B$12:$K$200,6,0))),
IF(VLOOKUP($A419-COUNT('Шаг2.Бланк заказа NEW'!$B$19:$B$201)-COUNT('Бланк OLD 0.8 04'!$B$18:$B$200),'Бланк OLD 2.0 04 '!$B$16:$K$200,6,0)="","",VLOOKUP($A419-COUNT('Шаг2.Бланк заказа NEW'!$B$19:$B$201)-COUNT('Бланк OLD 0.8 04'!$B$18:$B$200),'Бланк OLD 2.0 04 '!$B$16:$K$200,6,0)))</f>
        <v/>
      </c>
      <c r="J419" s="177" t="str">
        <f ca="1">IF(IF(T419="","",IF(T419=1,SUMIFS('Шаг1.Выбор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плиты'!C:Q,12,0)),1))))))=0,
T419,
IF(T419="","",IF(T419=1,SUMIFS('Шаг1.Выбор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плиты'!N:N,T419,'Шаг1.Выбор плиты'!M:M,SMALL(INDIRECT("мм"&amp;VLOOKUP(C419,'Шаг1.Выбор плиты'!C:Q,12,0)),1)))))))</f>
        <v/>
      </c>
      <c r="K419" s="177" t="str">
        <f ca="1">IF(IF(U419="","",IF(U419=1,SUMIFS('Шаг1.Выбор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плиты'!C:Q,12,0)),1))))))=0,
U419,
IF(U419="","",IF(U419=1,SUMIFS('Шаг1.Выбор плиты'!$G:$G,'Шаг1.Выбор плиты'!J:J,"*"&amp;RIGHT(VLOOKUP(C419,'Шаг1.Выбор плиты'!C:Q,8,0),4),'Шаг1.Выбор плиты'!L:L,IF(MID(C419,1,6)="ЛДСП P","TM"&amp;MID(VLOOKUP(C419,'Шаг1.Выбор плиты'!C:Q,10,0),3,2),MID(VLOOKUP(C419,'Шаг1.Выбор плиты'!C:Q,10,0),1,2)),
'Шаг1.Выбор плиты'!N:N,1),IF(SUMIFS('Шаг1.Выбор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плиты'!C:Q,12,0)),1))=0,
IF(SUMIFS('Шаг1.Выбор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плиты'!C:Q,12,0)),2))=0,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плиты'!C:Q,12,0)),3)),
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плиты'!C:Q,12,0)),2))),
(SUMIFS('Шаг1.Выбор плиты'!$G:$G,'Шаг1.Выбор плиты'!J:J,"*"&amp;RIGHT(VLOOKUP(C419,'Шаг1.Выбор плиты'!C:Q,8,0),4),'Шаг1.Выбор плиты'!L:L,VLOOKUP(C419,'Шаг1.Выбор плиты'!C:Q,10,0),'Шаг1.Выбор плиты'!N:N,U419,'Шаг1.Выбор плиты'!M:M,SMALL(INDIRECT("мм"&amp;VLOOKUP(C419,'Шаг1.Выбор плиты'!C:Q,12,0)),1)))))))</f>
        <v/>
      </c>
      <c r="L419" s="147" t="str">
        <f ca="1">IFERROR(IFERROR(IF(VLOOKUP($A419,'Шаг2.Бланк заказа NEW'!$B$17:$N$201,9,0)="","",VLOOKUP($A419,'Шаг2.Бланк заказа NEW'!$B$17:$N$201,9,0)),
IF(VLOOKUP($A419-COUNT('Шаг2.Бланк заказа NEW'!$B$19:$B$201),'Бланк OLD 0.8 04'!$B$12:$K$200,9,0)="","",VLOOKUP($A419-COUNT('Шаг2.Бланк заказа NEW'!$B$19:$B$201),'Бланк OLD 0.8 04'!$B$12:$K$200,9,0))),
IF(VLOOKUP($A419-COUNT('Шаг2.Бланк заказа NEW'!$B$19:$B$201)-COUNT('Бланк OLD 0.8 04'!$B$18:$B$200),'Бланк OLD 2.0 04 '!$B$16:$K$200,9,0)="","",VLOOKUP($A419-COUNT('Шаг2.Бланк заказа NEW'!$B$19:$B$201)-COUNT('Бланк OLD 0.8 04'!$B$18:$B$200),'Бланк OLD 2.0 04 '!$B$16:$K$200,9,0)))</f>
        <v/>
      </c>
      <c r="M419" s="154" t="str">
        <f t="shared" ca="1" si="36"/>
        <v/>
      </c>
      <c r="N419" s="153" t="str">
        <f ca="1">IFERROR(IF(VLOOKUP($A419,'Шаг2.Бланк заказа NEW'!$B$17:$N$201,11,0)="","",VLOOKUP($A419,'Шаг2.Бланк заказа NEW'!$B$17:$N$201,11,0)),
"Нет")</f>
        <v/>
      </c>
      <c r="O419" s="147" t="str">
        <f ca="1">IFERROR(IF(VLOOKUP($A419,'Шаг2.Бланк заказа NEW'!$B$17:$N$201,11,0)="","",VLOOKUP($A419,'Шаг2.Бланк заказа NEW'!$B$17:$N$201,12,0)),
"Нет")</f>
        <v/>
      </c>
      <c r="P419" s="153" t="str">
        <f ca="1">IFERROR(IF(VLOOKUP($A419,'Шаг2.Бланк заказа NEW'!$B$17:$N$201,13,0)="","",VLOOKUP($A419,'Шаг2.Бланк заказа NEW'!$B$17:$N$201,13,0)),
"Нет")</f>
        <v/>
      </c>
      <c r="Q419" s="147" t="str">
        <f ca="1">IFERROR(IF(VLOOKUP($A419,'Шаг2.Бланк заказа NEW'!$B$17:$O$201,14,0)="","",VLOOKUP($A419,'Шаг2.Бланк заказа NEW'!$B$17:$O$201,14,0)),"")</f>
        <v/>
      </c>
      <c r="R419" s="147" t="str">
        <f ca="1">IFERROR(IFERROR(IF(VLOOKUP($A419,'Шаг2.Бланк заказа NEW'!$B$17:$N$201,4,0)="","",VLOOKUP($A419,'Шаг2.Бланк заказа NEW'!$B$17:$N$201,4,0)),
IF(VLOOKUP($A419-COUNT('Шаг2.Бланк заказа NEW'!$B$19:$B$201),'Бланк OLD 0.8 04'!$B$12:$K$200,4,0)&gt;0,0.8,
IF(VLOOKUP($A419-COUNT('Шаг2.Бланк заказа NEW'!$B$19:$B$201),'Бланк OLD 0.8 04'!$B$12:$K$200,5,0)&gt;0,0.4,""))),
IF(VLOOKUP($A419-COUNT('Шаг2.Бланк заказа NEW'!$B$19:$B$201)-COUNT('Бланк OLD 0.8 04'!$B$18:$B$200),'Бланк OLD 2.0 04 '!$B$16:$K$200,4,0)&gt;0,2,IF(VLOOKUP($A419-COUNT('Шаг2.Бланк заказа NEW'!$B$19:$B$201)-COUNT('Бланк OLD 0.8 04'!$B$18:$B$200),'Бланк OLD 2.0 04 '!$B$16:$K$200,5,0)&gt;0,0.4,"")))</f>
        <v/>
      </c>
      <c r="S419" s="147" t="str">
        <f ca="1">IFERROR(IFERROR(IF(VLOOKUP($A419,'Шаг2.Бланк заказа NEW'!$B$17:$N$201,5,0)="","",VLOOKUP($A419,'Шаг2.Бланк заказа NEW'!$B$17:$N$201,5,0)),
IF(VLOOKUP($A419-COUNT('Шаг2.Бланк заказа NEW'!$B$19:$B$201),'Бланк OLD 0.8 04'!$B$12:$K$200,4,0)&gt;1,0.8,
IF(VLOOKUP($A419-COUNT('Шаг2.Бланк заказа NEW'!$B$19:$B$201),'Бланк OLD 0.8 04'!$B$12:$K$200,5,0)&gt;1,0.4,
IF(AND(VLOOKUP($A419-COUNT('Шаг2.Бланк заказа NEW'!$B$19:$B$201),'Бланк OLD 0.8 04'!$B$12:$K$200,4,0)&gt;0,VLOOKUP($A419-COUNT('Шаг2.Бланк заказа NEW'!$B$19:$B$201),'Бланк OLD 0.8 04'!$B$12:$K$200,5,0)&gt;0),0.4,"")))),
IF(VLOOKUP($A419-COUNT('Шаг2.Бланк заказа NEW'!$B$19:$B$201)-COUNT('Бланк OLD 0.8 04'!$B$18:$B$200),'Бланк OLD 2.0 04 '!$B$16:$K$200,4,0)&gt;1,2,
IF(VLOOKUP($A419-COUNT('Шаг2.Бланк заказа NEW'!$B$19:$B$201)-COUNT('Бланк OLD 0.8 04'!$B$18:$B$200),'Бланк OLD 2.0 04 '!$B$16:$K$200,5,0)&gt;1,0.4,IF(AND(VLOOKUP($A419-COUNT('Шаг2.Бланк заказа NEW'!$B$19:$B$201)-COUNT('Бланк OLD 0.8 04'!$B$18:$B$200),'Бланк OLD 2.0 04 '!$B$16:$K$200,4,0)&gt;0,VLOOKUP($A419-COUNT('Шаг2.Бланк заказа NEW'!$B$19:$B$201)-COUNT('Бланк OLD 0.8 04'!$B$18:$B$200),'Бланк OLD 2.0 04 '!$B$16:$K$200,5,0)&gt;0),0.4,""))))</f>
        <v/>
      </c>
      <c r="T419" s="147" t="str">
        <f ca="1">IFERROR(IFERROR(IF(VLOOKUP($A419,'Шаг2.Бланк заказа NEW'!$B$17:$N$201,7,0)="","",VLOOKUP($A419,'Шаг2.Бланк заказа NEW'!$B$17:$N$201,7,0)),
IF(VLOOKUP($A419-COUNT('Шаг2.Бланк заказа NEW'!$B$19:$B$201),'Бланк OLD 0.8 04'!$B$12:$K$200,7,0)&gt;0,0.8,
IF(VLOOKUP($A419-COUNT('Шаг2.Бланк заказа NEW'!$B$19:$B$201),'Бланк OLD 0.8 04'!$B$12:$K$200,8,0)&gt;0,0.4,""))),
IF(VLOOKUP($A419-COUNT('Шаг2.Бланк заказа NEW'!$B$19:$B$201)-COUNT('Бланк OLD 0.8 04'!$B$18:$B$200),'Бланк OLD 2.0 04 '!$B$16:$K$200,7,0)&gt;0,2,IF(VLOOKUP($A419-COUNT('Шаг2.Бланк заказа NEW'!$B$19:$B$201)-COUNT('Бланк OLD 0.8 04'!$B$18:$B$200),'Бланк OLD 2.0 04 '!$B$16:$K$200,8,0)&gt;0,0.4,"")))</f>
        <v/>
      </c>
      <c r="U419" s="147" t="str">
        <f ca="1">IFERROR(IFERROR(IF(VLOOKUP($A419,'Шаг2.Бланк заказа NEW'!$B$17:$N$201,8,0)="","",VLOOKUP($A419,'Шаг2.Бланк заказа NEW'!$B$17:$N$201,8,0)),
IF(VLOOKUP($A419-COUNT('Шаг2.Бланк заказа NEW'!$B$19:$B$201),'Бланк OLD 0.8 04'!$B$12:$K$200,7,0)&gt;1,0.8,
IF(VLOOKUP($A419-COUNT('Шаг2.Бланк заказа NEW'!$B$19:$B$201),'Бланк OLD 0.8 04'!$B$12:$K$200,8,0)&gt;1,0.4,
IF(AND(VLOOKUP($A419-COUNT('Шаг2.Бланк заказа NEW'!$B$19:$B$201),'Бланк OLD 0.8 04'!$B$12:$K$200,7,0)&gt;0,VLOOKUP($A419-COUNT('Шаг2.Бланк заказа NEW'!$B$19:$B$201),'Бланк OLD 0.8 04'!$B$12:$K$200,8,0)&gt;0),0.4,"")))),
IF(VLOOKUP($A419-COUNT('Шаг2.Бланк заказа NEW'!$B$19:$B$201)-COUNT('Бланк OLD 0.8 04'!$B$18:$B$200),'Бланк OLD 2.0 04 '!$B$16:$K$200,7,0)&gt;1,2,
IF(VLOOKUP($A419-COUNT('Шаг2.Бланк заказа NEW'!$B$19:$B$201)-COUNT('Бланк OLD 0.8 04'!$B$18:$B$200),'Бланк OLD 2.0 04 '!$B$16:$K$200,8,0)&gt;1,0.4,
IF(AND(VLOOKUP($A419-COUNT('Шаг2.Бланк заказа NEW'!$B$19:$B$201)-COUNT('Бланк OLD 0.8 04'!$B$18:$B$200),'Бланк OLD 2.0 04 '!$B$16:$K$200,7,0)&gt;0,VLOOKUP($A419-COUNT('Шаг2.Бланк заказа NEW'!$B$19:$B$201)-COUNT('Бланк OLD 0.8 04'!$B$18:$B$200),'Бланк OLD 2.0 04 '!$B$16:$K$200,8,0)&gt;0),0.4,""))))</f>
        <v/>
      </c>
      <c r="V419" s="146" t="str">
        <f ca="1">IFERROR(VLOOKUP(C419,'Шаг1.Выбор плиты'!C:S,12,0),"")</f>
        <v/>
      </c>
      <c r="W419" s="146" t="str">
        <f ca="1">IFERROR(VLOOKUP(C419,'Шаг1.Выбор плиты'!C:S,8,0),"")</f>
        <v/>
      </c>
      <c r="X419" s="146" t="str">
        <f ca="1">IFERROR(VLOOKUP(C419,'Шаг1.Выбор плиты'!C:S,10,0),"")</f>
        <v/>
      </c>
      <c r="Y419" s="147" t="str">
        <f t="shared" ca="1" si="39"/>
        <v/>
      </c>
      <c r="AD419" s="147" t="str">
        <f t="shared" ca="1" si="37"/>
        <v/>
      </c>
      <c r="AE419" s="147" t="str">
        <f t="shared" ca="1" si="40"/>
        <v/>
      </c>
      <c r="AF419" s="25"/>
      <c r="AH419" s="147" t="str">
        <f ca="1">IF(C419="","",VLOOKUP(C419,'Шаг1.Выбор плиты'!C:Q,7,0))</f>
        <v/>
      </c>
      <c r="AI419" s="147" t="str">
        <f t="shared" ca="1" si="38"/>
        <v/>
      </c>
    </row>
    <row r="420" spans="1:35" x14ac:dyDescent="0.2">
      <c r="A420" s="151" t="str">
        <f ca="1">IF(C420="","",MAX($A$1:OFFSET(C420,-1,0))+1)</f>
        <v/>
      </c>
      <c r="B420" s="151" t="str">
        <f ca="1">IFERROR(IFERROR(IFERROR("Шаг2.Бланк заказа NEW №"&amp;VLOOKUP(A419+1,CHOOSE({1,2},'Шаг2.Бланк заказа NEW'!$B$19:$B$201,'Шаг2.Бланк заказа NEW'!$A$19:$A$201),1,0),
"Бланк OLD 0.8 04 №"&amp;VLOOKUP(A419+1-COUNT('Шаг2.Бланк заказа NEW'!$B$19:$B$201),CHOOSE({1,2},'Бланк OLD 0.8 04'!$B$18:$B$200,'Бланк OLD 0.8 04'!$A$18:$A$200),1,0)),
"Бланк OLD 2.0 04 №"&amp;VLOOKUP(A419+1-COUNT('Шаг2.Бланк заказа NEW'!$B$19:$B$201)-COUNT('Бланк OLD 0.8 04'!$B$18:$B$200),CHOOSE({1,2},'Бланк OLD 2.0 04 '!$B$18:$B$200,'Бланк OLD 2.0 04 '!$A$18:$A$200),1,0)),"")</f>
        <v/>
      </c>
      <c r="C420" s="152" t="str">
        <f ca="1">IFERROR(IFERROR(IFERROR(VLOOKUP(A419+1,CHOOSE({1,2},'Шаг2.Бланк заказа NEW'!$B$19:$B$201,'Шаг2.Бланк заказа NEW'!$A$19:$A$201),2,0),
VLOOKUP(A419+1-COUNT('Шаг2.Бланк заказа NEW'!$B$19:$B$201),CHOOSE({1,2},'Бланк OLD 0.8 04'!$B$18:$B$200,'Бланк OLD 0.8 04'!$A$18:$A$200),2,0)),
VLOOKUP(A419+1-COUNT('Шаг2.Бланк заказа NEW'!$B$19:$B$201)-COUNT('Бланк OLD 0.8 04'!$B$18:$B$200),CHOOSE({1,2},'Бланк OLD 2.0 04 '!$B$18:$B$200,'Бланк OLD 2.0 04 '!$A$18:$A$200),2,0)),"")</f>
        <v/>
      </c>
      <c r="D420" s="150" t="str">
        <f ca="1">IFERROR(VLOOKUP(C420,'Шаг1.Выбор плиты'!C:G,5,0),"")</f>
        <v/>
      </c>
      <c r="E420" s="147" t="str">
        <f ca="1">IFERROR(IFERROR(IF(VLOOKUP($A420,'Шаг2.Бланк заказа NEW'!$B$17:$N$201,2,0)="","",VLOOKUP($A420,'Шаг2.Бланк заказа NEW'!$B$17:$N$201,2,0)),
IF(VLOOKUP($A420-COUNT('Шаг2.Бланк заказа NEW'!$B$19:$B$201),'Бланк OLD 0.8 04'!$B$12:$K$200,2,0)="","",VLOOKUP($A420-COUNT('Шаг2.Бланк заказа NEW'!$B$19:$B$201),'Бланк OLD 0.8 04'!$B$12:$K$200,2,0))),
IF(VLOOKUP($A420-COUNT('Шаг2.Бланк заказа NEW'!$B$19:$B$201)-COUNT('Бланк OLD 0.8 04'!$B$18:$B$200),'Бланк OLD 2.0 04 '!$B$16:$K$200,2,0)="","",VLOOKUP($A420-COUNT('Шаг2.Бланк заказа NEW'!$B$19:$B$201)-COUNT('Бланк OLD 0.8 04'!$B$18:$B$200),'Бланк OLD 2.0 04 '!$B$16:$K$200,2,0)))</f>
        <v/>
      </c>
      <c r="F420" s="147" t="str">
        <f ca="1">IFERROR(IFERROR(IF(VLOOKUP($A420,'Шаг2.Бланк заказа NEW'!$B$17:$N$201,3,0)="","",VLOOKUP($A420,'Шаг2.Бланк заказа NEW'!$B$17:$N$201,3,0)),
IF(VLOOKUP($A420-COUNT('Шаг2.Бланк заказа NEW'!$B$19:$B$201),'Бланк OLD 0.8 04'!$B$12:$K$200,3,0)="","",VLOOKUP($A420-COUNT('Шаг2.Бланк заказа NEW'!$B$19:$B$201),'Бланк OLD 0.8 04'!$B$12:$K$200,3,0))),
IF(VLOOKUP($A420-COUNT('Шаг2.Бланк заказа NEW'!$B$19:$B$201)-COUNT('Бланк OLD 0.8 04'!$B$18:$B$200),'Бланк OLD 2.0 04 '!$B$16:$K$200,3,0)="","",VLOOKUP($A420-COUNT('Шаг2.Бланк заказа NEW'!$B$19:$B$201)-COUNT('Бланк OLD 0.8 04'!$B$18:$B$200),'Бланк OLD 2.0 04 '!$B$16:$K$200,3,0)))</f>
        <v/>
      </c>
      <c r="G420" s="176" t="str">
        <f ca="1">IF(IF(R420="","",IF(R420=1,SUMIFS('Шаг1.Выбор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плиты'!C:Q,12,0)),1))))))=0,
R420,
IF(R420="","",IF(R420=1,SUMIFS('Шаг1.Выбор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плиты'!N:N,R420,'Шаг1.Выбор плиты'!M:M,SMALL(INDIRECT("мм"&amp;VLOOKUP(C420,'Шаг1.Выбор плиты'!C:Q,12,0)),1)))))))</f>
        <v/>
      </c>
      <c r="H420" s="177" t="str">
        <f ca="1">IF(IF(S420="","",IF(S420=1,SUMIFS('Шаг1.Выбор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плиты'!C:Q,12,0)),1))))))=0,
S420,
IF(S420="","",IF(S420=1,SUMIFS('Шаг1.Выбор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плиты'!N:N,S420,'Шаг1.Выбор плиты'!M:M,SMALL(INDIRECT("мм"&amp;VLOOKUP(C420,'Шаг1.Выбор плиты'!C:Q,12,0)),1)))))))</f>
        <v/>
      </c>
      <c r="I420" s="147" t="str">
        <f ca="1">IFERROR(IFERROR(IF(VLOOKUP($A420,'Шаг2.Бланк заказа NEW'!$B$17:$N$201,6,0)="","",VLOOKUP($A420,'Шаг2.Бланк заказа NEW'!$B$17:$N$201,6,0)),
IF(VLOOKUP($A420-COUNT('Шаг2.Бланк заказа NEW'!$B$19:$B$201),'Бланк OLD 0.8 04'!$B$12:$K$200,6,0)="","",VLOOKUP($A420-COUNT('Шаг2.Бланк заказа NEW'!$B$19:$B$201),'Бланк OLD 0.8 04'!$B$12:$K$200,6,0))),
IF(VLOOKUP($A420-COUNT('Шаг2.Бланк заказа NEW'!$B$19:$B$201)-COUNT('Бланк OLD 0.8 04'!$B$18:$B$200),'Бланк OLD 2.0 04 '!$B$16:$K$200,6,0)="","",VLOOKUP($A420-COUNT('Шаг2.Бланк заказа NEW'!$B$19:$B$201)-COUNT('Бланк OLD 0.8 04'!$B$18:$B$200),'Бланк OLD 2.0 04 '!$B$16:$K$200,6,0)))</f>
        <v/>
      </c>
      <c r="J420" s="177" t="str">
        <f ca="1">IF(IF(T420="","",IF(T420=1,SUMIFS('Шаг1.Выбор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плиты'!C:Q,12,0)),1))))))=0,
T420,
IF(T420="","",IF(T420=1,SUMIFS('Шаг1.Выбор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плиты'!N:N,T420,'Шаг1.Выбор плиты'!M:M,SMALL(INDIRECT("мм"&amp;VLOOKUP(C420,'Шаг1.Выбор плиты'!C:Q,12,0)),1)))))))</f>
        <v/>
      </c>
      <c r="K420" s="177" t="str">
        <f ca="1">IF(IF(U420="","",IF(U420=1,SUMIFS('Шаг1.Выбор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плиты'!C:Q,12,0)),1))))))=0,
U420,
IF(U420="","",IF(U420=1,SUMIFS('Шаг1.Выбор плиты'!$G:$G,'Шаг1.Выбор плиты'!J:J,"*"&amp;RIGHT(VLOOKUP(C420,'Шаг1.Выбор плиты'!C:Q,8,0),4),'Шаг1.Выбор плиты'!L:L,IF(MID(C420,1,6)="ЛДСП P","TM"&amp;MID(VLOOKUP(C420,'Шаг1.Выбор плиты'!C:Q,10,0),3,2),MID(VLOOKUP(C420,'Шаг1.Выбор плиты'!C:Q,10,0),1,2)),
'Шаг1.Выбор плиты'!N:N,1),IF(SUMIFS('Шаг1.Выбор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плиты'!C:Q,12,0)),1))=0,
IF(SUMIFS('Шаг1.Выбор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плиты'!C:Q,12,0)),2))=0,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плиты'!C:Q,12,0)),3)),
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плиты'!C:Q,12,0)),2))),
(SUMIFS('Шаг1.Выбор плиты'!$G:$G,'Шаг1.Выбор плиты'!J:J,"*"&amp;RIGHT(VLOOKUP(C420,'Шаг1.Выбор плиты'!C:Q,8,0),4),'Шаг1.Выбор плиты'!L:L,VLOOKUP(C420,'Шаг1.Выбор плиты'!C:Q,10,0),'Шаг1.Выбор плиты'!N:N,U420,'Шаг1.Выбор плиты'!M:M,SMALL(INDIRECT("мм"&amp;VLOOKUP(C420,'Шаг1.Выбор плиты'!C:Q,12,0)),1)))))))</f>
        <v/>
      </c>
      <c r="L420" s="147" t="str">
        <f ca="1">IFERROR(IFERROR(IF(VLOOKUP($A420,'Шаг2.Бланк заказа NEW'!$B$17:$N$201,9,0)="","",VLOOKUP($A420,'Шаг2.Бланк заказа NEW'!$B$17:$N$201,9,0)),
IF(VLOOKUP($A420-COUNT('Шаг2.Бланк заказа NEW'!$B$19:$B$201),'Бланк OLD 0.8 04'!$B$12:$K$200,9,0)="","",VLOOKUP($A420-COUNT('Шаг2.Бланк заказа NEW'!$B$19:$B$201),'Бланк OLD 0.8 04'!$B$12:$K$200,9,0))),
IF(VLOOKUP($A420-COUNT('Шаг2.Бланк заказа NEW'!$B$19:$B$201)-COUNT('Бланк OLD 0.8 04'!$B$18:$B$200),'Бланк OLD 2.0 04 '!$B$16:$K$200,9,0)="","",VLOOKUP($A420-COUNT('Шаг2.Бланк заказа NEW'!$B$19:$B$201)-COUNT('Бланк OLD 0.8 04'!$B$18:$B$200),'Бланк OLD 2.0 04 '!$B$16:$K$200,9,0)))</f>
        <v/>
      </c>
      <c r="M420" s="154" t="str">
        <f t="shared" ca="1" si="36"/>
        <v/>
      </c>
      <c r="N420" s="153" t="str">
        <f ca="1">IFERROR(IF(VLOOKUP($A420,'Шаг2.Бланк заказа NEW'!$B$17:$N$201,11,0)="","",VLOOKUP($A420,'Шаг2.Бланк заказа NEW'!$B$17:$N$201,11,0)),
"Нет")</f>
        <v/>
      </c>
      <c r="O420" s="147" t="str">
        <f ca="1">IFERROR(IF(VLOOKUP($A420,'Шаг2.Бланк заказа NEW'!$B$17:$N$201,11,0)="","",VLOOKUP($A420,'Шаг2.Бланк заказа NEW'!$B$17:$N$201,12,0)),
"Нет")</f>
        <v/>
      </c>
      <c r="P420" s="153" t="str">
        <f ca="1">IFERROR(IF(VLOOKUP($A420,'Шаг2.Бланк заказа NEW'!$B$17:$N$201,13,0)="","",VLOOKUP($A420,'Шаг2.Бланк заказа NEW'!$B$17:$N$201,13,0)),
"Нет")</f>
        <v/>
      </c>
      <c r="Q420" s="147" t="str">
        <f ca="1">IFERROR(IF(VLOOKUP($A420,'Шаг2.Бланк заказа NEW'!$B$17:$O$201,14,0)="","",VLOOKUP($A420,'Шаг2.Бланк заказа NEW'!$B$17:$O$201,14,0)),"")</f>
        <v/>
      </c>
      <c r="R420" s="147" t="str">
        <f ca="1">IFERROR(IFERROR(IF(VLOOKUP($A420,'Шаг2.Бланк заказа NEW'!$B$17:$N$201,4,0)="","",VLOOKUP($A420,'Шаг2.Бланк заказа NEW'!$B$17:$N$201,4,0)),
IF(VLOOKUP($A420-COUNT('Шаг2.Бланк заказа NEW'!$B$19:$B$201),'Бланк OLD 0.8 04'!$B$12:$K$200,4,0)&gt;0,0.8,
IF(VLOOKUP($A420-COUNT('Шаг2.Бланк заказа NEW'!$B$19:$B$201),'Бланк OLD 0.8 04'!$B$12:$K$200,5,0)&gt;0,0.4,""))),
IF(VLOOKUP($A420-COUNT('Шаг2.Бланк заказа NEW'!$B$19:$B$201)-COUNT('Бланк OLD 0.8 04'!$B$18:$B$200),'Бланк OLD 2.0 04 '!$B$16:$K$200,4,0)&gt;0,2,IF(VLOOKUP($A420-COUNT('Шаг2.Бланк заказа NEW'!$B$19:$B$201)-COUNT('Бланк OLD 0.8 04'!$B$18:$B$200),'Бланк OLD 2.0 04 '!$B$16:$K$200,5,0)&gt;0,0.4,"")))</f>
        <v/>
      </c>
      <c r="S420" s="147" t="str">
        <f ca="1">IFERROR(IFERROR(IF(VLOOKUP($A420,'Шаг2.Бланк заказа NEW'!$B$17:$N$201,5,0)="","",VLOOKUP($A420,'Шаг2.Бланк заказа NEW'!$B$17:$N$201,5,0)),
IF(VLOOKUP($A420-COUNT('Шаг2.Бланк заказа NEW'!$B$19:$B$201),'Бланк OLD 0.8 04'!$B$12:$K$200,4,0)&gt;1,0.8,
IF(VLOOKUP($A420-COUNT('Шаг2.Бланк заказа NEW'!$B$19:$B$201),'Бланк OLD 0.8 04'!$B$12:$K$200,5,0)&gt;1,0.4,
IF(AND(VLOOKUP($A420-COUNT('Шаг2.Бланк заказа NEW'!$B$19:$B$201),'Бланк OLD 0.8 04'!$B$12:$K$200,4,0)&gt;0,VLOOKUP($A420-COUNT('Шаг2.Бланк заказа NEW'!$B$19:$B$201),'Бланк OLD 0.8 04'!$B$12:$K$200,5,0)&gt;0),0.4,"")))),
IF(VLOOKUP($A420-COUNT('Шаг2.Бланк заказа NEW'!$B$19:$B$201)-COUNT('Бланк OLD 0.8 04'!$B$18:$B$200),'Бланк OLD 2.0 04 '!$B$16:$K$200,4,0)&gt;1,2,
IF(VLOOKUP($A420-COUNT('Шаг2.Бланк заказа NEW'!$B$19:$B$201)-COUNT('Бланк OLD 0.8 04'!$B$18:$B$200),'Бланк OLD 2.0 04 '!$B$16:$K$200,5,0)&gt;1,0.4,IF(AND(VLOOKUP($A420-COUNT('Шаг2.Бланк заказа NEW'!$B$19:$B$201)-COUNT('Бланк OLD 0.8 04'!$B$18:$B$200),'Бланк OLD 2.0 04 '!$B$16:$K$200,4,0)&gt;0,VLOOKUP($A420-COUNT('Шаг2.Бланк заказа NEW'!$B$19:$B$201)-COUNT('Бланк OLD 0.8 04'!$B$18:$B$200),'Бланк OLD 2.0 04 '!$B$16:$K$200,5,0)&gt;0),0.4,""))))</f>
        <v/>
      </c>
      <c r="T420" s="147" t="str">
        <f ca="1">IFERROR(IFERROR(IF(VLOOKUP($A420,'Шаг2.Бланк заказа NEW'!$B$17:$N$201,7,0)="","",VLOOKUP($A420,'Шаг2.Бланк заказа NEW'!$B$17:$N$201,7,0)),
IF(VLOOKUP($A420-COUNT('Шаг2.Бланк заказа NEW'!$B$19:$B$201),'Бланк OLD 0.8 04'!$B$12:$K$200,7,0)&gt;0,0.8,
IF(VLOOKUP($A420-COUNT('Шаг2.Бланк заказа NEW'!$B$19:$B$201),'Бланк OLD 0.8 04'!$B$12:$K$200,8,0)&gt;0,0.4,""))),
IF(VLOOKUP($A420-COUNT('Шаг2.Бланк заказа NEW'!$B$19:$B$201)-COUNT('Бланк OLD 0.8 04'!$B$18:$B$200),'Бланк OLD 2.0 04 '!$B$16:$K$200,7,0)&gt;0,2,IF(VLOOKUP($A420-COUNT('Шаг2.Бланк заказа NEW'!$B$19:$B$201)-COUNT('Бланк OLD 0.8 04'!$B$18:$B$200),'Бланк OLD 2.0 04 '!$B$16:$K$200,8,0)&gt;0,0.4,"")))</f>
        <v/>
      </c>
      <c r="U420" s="147" t="str">
        <f ca="1">IFERROR(IFERROR(IF(VLOOKUP($A420,'Шаг2.Бланк заказа NEW'!$B$17:$N$201,8,0)="","",VLOOKUP($A420,'Шаг2.Бланк заказа NEW'!$B$17:$N$201,8,0)),
IF(VLOOKUP($A420-COUNT('Шаг2.Бланк заказа NEW'!$B$19:$B$201),'Бланк OLD 0.8 04'!$B$12:$K$200,7,0)&gt;1,0.8,
IF(VLOOKUP($A420-COUNT('Шаг2.Бланк заказа NEW'!$B$19:$B$201),'Бланк OLD 0.8 04'!$B$12:$K$200,8,0)&gt;1,0.4,
IF(AND(VLOOKUP($A420-COUNT('Шаг2.Бланк заказа NEW'!$B$19:$B$201),'Бланк OLD 0.8 04'!$B$12:$K$200,7,0)&gt;0,VLOOKUP($A420-COUNT('Шаг2.Бланк заказа NEW'!$B$19:$B$201),'Бланк OLD 0.8 04'!$B$12:$K$200,8,0)&gt;0),0.4,"")))),
IF(VLOOKUP($A420-COUNT('Шаг2.Бланк заказа NEW'!$B$19:$B$201)-COUNT('Бланк OLD 0.8 04'!$B$18:$B$200),'Бланк OLD 2.0 04 '!$B$16:$K$200,7,0)&gt;1,2,
IF(VLOOKUP($A420-COUNT('Шаг2.Бланк заказа NEW'!$B$19:$B$201)-COUNT('Бланк OLD 0.8 04'!$B$18:$B$200),'Бланк OLD 2.0 04 '!$B$16:$K$200,8,0)&gt;1,0.4,
IF(AND(VLOOKUP($A420-COUNT('Шаг2.Бланк заказа NEW'!$B$19:$B$201)-COUNT('Бланк OLD 0.8 04'!$B$18:$B$200),'Бланк OLD 2.0 04 '!$B$16:$K$200,7,0)&gt;0,VLOOKUP($A420-COUNT('Шаг2.Бланк заказа NEW'!$B$19:$B$201)-COUNT('Бланк OLD 0.8 04'!$B$18:$B$200),'Бланк OLD 2.0 04 '!$B$16:$K$200,8,0)&gt;0),0.4,""))))</f>
        <v/>
      </c>
      <c r="V420" s="146" t="str">
        <f ca="1">IFERROR(VLOOKUP(C420,'Шаг1.Выбор плиты'!C:S,12,0),"")</f>
        <v/>
      </c>
      <c r="W420" s="146" t="str">
        <f ca="1">IFERROR(VLOOKUP(C420,'Шаг1.Выбор плиты'!C:S,8,0),"")</f>
        <v/>
      </c>
      <c r="X420" s="146" t="str">
        <f ca="1">IFERROR(VLOOKUP(C420,'Шаг1.Выбор плиты'!C:S,10,0),"")</f>
        <v/>
      </c>
      <c r="Y420" s="147" t="str">
        <f t="shared" ca="1" si="39"/>
        <v/>
      </c>
      <c r="AD420" s="147" t="str">
        <f t="shared" ca="1" si="37"/>
        <v/>
      </c>
      <c r="AE420" s="147" t="str">
        <f t="shared" ca="1" si="40"/>
        <v/>
      </c>
      <c r="AF420" s="25"/>
      <c r="AH420" s="147" t="str">
        <f ca="1">IF(C420="","",VLOOKUP(C420,'Шаг1.Выбор плиты'!C:Q,7,0))</f>
        <v/>
      </c>
      <c r="AI420" s="147" t="str">
        <f t="shared" ca="1" si="38"/>
        <v/>
      </c>
    </row>
    <row r="421" spans="1:35" x14ac:dyDescent="0.2">
      <c r="A421" s="151" t="str">
        <f ca="1">IF(C421="","",MAX($A$1:OFFSET(C421,-1,0))+1)</f>
        <v/>
      </c>
      <c r="B421" s="151" t="str">
        <f ca="1">IFERROR(IFERROR(IFERROR("Шаг2.Бланк заказа NEW №"&amp;VLOOKUP(A420+1,CHOOSE({1,2},'Шаг2.Бланк заказа NEW'!$B$19:$B$201,'Шаг2.Бланк заказа NEW'!$A$19:$A$201),1,0),
"Бланк OLD 0.8 04 №"&amp;VLOOKUP(A420+1-COUNT('Шаг2.Бланк заказа NEW'!$B$19:$B$201),CHOOSE({1,2},'Бланк OLD 0.8 04'!$B$18:$B$200,'Бланк OLD 0.8 04'!$A$18:$A$200),1,0)),
"Бланк OLD 2.0 04 №"&amp;VLOOKUP(A420+1-COUNT('Шаг2.Бланк заказа NEW'!$B$19:$B$201)-COUNT('Бланк OLD 0.8 04'!$B$18:$B$200),CHOOSE({1,2},'Бланк OLD 2.0 04 '!$B$18:$B$200,'Бланк OLD 2.0 04 '!$A$18:$A$200),1,0)),"")</f>
        <v/>
      </c>
      <c r="C421" s="152" t="str">
        <f ca="1">IFERROR(IFERROR(IFERROR(VLOOKUP(A420+1,CHOOSE({1,2},'Шаг2.Бланк заказа NEW'!$B$19:$B$201,'Шаг2.Бланк заказа NEW'!$A$19:$A$201),2,0),
VLOOKUP(A420+1-COUNT('Шаг2.Бланк заказа NEW'!$B$19:$B$201),CHOOSE({1,2},'Бланк OLD 0.8 04'!$B$18:$B$200,'Бланк OLD 0.8 04'!$A$18:$A$200),2,0)),
VLOOKUP(A420+1-COUNT('Шаг2.Бланк заказа NEW'!$B$19:$B$201)-COUNT('Бланк OLD 0.8 04'!$B$18:$B$200),CHOOSE({1,2},'Бланк OLD 2.0 04 '!$B$18:$B$200,'Бланк OLD 2.0 04 '!$A$18:$A$200),2,0)),"")</f>
        <v/>
      </c>
      <c r="D421" s="150" t="str">
        <f ca="1">IFERROR(VLOOKUP(C421,'Шаг1.Выбор плиты'!C:G,5,0),"")</f>
        <v/>
      </c>
      <c r="E421" s="147" t="str">
        <f ca="1">IFERROR(IFERROR(IF(VLOOKUP($A421,'Шаг2.Бланк заказа NEW'!$B$17:$N$201,2,0)="","",VLOOKUP($A421,'Шаг2.Бланк заказа NEW'!$B$17:$N$201,2,0)),
IF(VLOOKUP($A421-COUNT('Шаг2.Бланк заказа NEW'!$B$19:$B$201),'Бланк OLD 0.8 04'!$B$12:$K$200,2,0)="","",VLOOKUP($A421-COUNT('Шаг2.Бланк заказа NEW'!$B$19:$B$201),'Бланк OLD 0.8 04'!$B$12:$K$200,2,0))),
IF(VLOOKUP($A421-COUNT('Шаг2.Бланк заказа NEW'!$B$19:$B$201)-COUNT('Бланк OLD 0.8 04'!$B$18:$B$200),'Бланк OLD 2.0 04 '!$B$16:$K$200,2,0)="","",VLOOKUP($A421-COUNT('Шаг2.Бланк заказа NEW'!$B$19:$B$201)-COUNT('Бланк OLD 0.8 04'!$B$18:$B$200),'Бланк OLD 2.0 04 '!$B$16:$K$200,2,0)))</f>
        <v/>
      </c>
      <c r="F421" s="147" t="str">
        <f ca="1">IFERROR(IFERROR(IF(VLOOKUP($A421,'Шаг2.Бланк заказа NEW'!$B$17:$N$201,3,0)="","",VLOOKUP($A421,'Шаг2.Бланк заказа NEW'!$B$17:$N$201,3,0)),
IF(VLOOKUP($A421-COUNT('Шаг2.Бланк заказа NEW'!$B$19:$B$201),'Бланк OLD 0.8 04'!$B$12:$K$200,3,0)="","",VLOOKUP($A421-COUNT('Шаг2.Бланк заказа NEW'!$B$19:$B$201),'Бланк OLD 0.8 04'!$B$12:$K$200,3,0))),
IF(VLOOKUP($A421-COUNT('Шаг2.Бланк заказа NEW'!$B$19:$B$201)-COUNT('Бланк OLD 0.8 04'!$B$18:$B$200),'Бланк OLD 2.0 04 '!$B$16:$K$200,3,0)="","",VLOOKUP($A421-COUNT('Шаг2.Бланк заказа NEW'!$B$19:$B$201)-COUNT('Бланк OLD 0.8 04'!$B$18:$B$200),'Бланк OLD 2.0 04 '!$B$16:$K$200,3,0)))</f>
        <v/>
      </c>
      <c r="G421" s="176" t="str">
        <f ca="1">IF(IF(R421="","",IF(R421=1,SUMIFS('Шаг1.Выбор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плиты'!C:Q,12,0)),1))))))=0,
R421,
IF(R421="","",IF(R421=1,SUMIFS('Шаг1.Выбор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плиты'!N:N,R421,'Шаг1.Выбор плиты'!M:M,SMALL(INDIRECT("мм"&amp;VLOOKUP(C421,'Шаг1.Выбор плиты'!C:Q,12,0)),1)))))))</f>
        <v/>
      </c>
      <c r="H421" s="177" t="str">
        <f ca="1">IF(IF(S421="","",IF(S421=1,SUMIFS('Шаг1.Выбор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плиты'!C:Q,12,0)),1))))))=0,
S421,
IF(S421="","",IF(S421=1,SUMIFS('Шаг1.Выбор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плиты'!N:N,S421,'Шаг1.Выбор плиты'!M:M,SMALL(INDIRECT("мм"&amp;VLOOKUP(C421,'Шаг1.Выбор плиты'!C:Q,12,0)),1)))))))</f>
        <v/>
      </c>
      <c r="I421" s="147" t="str">
        <f ca="1">IFERROR(IFERROR(IF(VLOOKUP($A421,'Шаг2.Бланк заказа NEW'!$B$17:$N$201,6,0)="","",VLOOKUP($A421,'Шаг2.Бланк заказа NEW'!$B$17:$N$201,6,0)),
IF(VLOOKUP($A421-COUNT('Шаг2.Бланк заказа NEW'!$B$19:$B$201),'Бланк OLD 0.8 04'!$B$12:$K$200,6,0)="","",VLOOKUP($A421-COUNT('Шаг2.Бланк заказа NEW'!$B$19:$B$201),'Бланк OLD 0.8 04'!$B$12:$K$200,6,0))),
IF(VLOOKUP($A421-COUNT('Шаг2.Бланк заказа NEW'!$B$19:$B$201)-COUNT('Бланк OLD 0.8 04'!$B$18:$B$200),'Бланк OLD 2.0 04 '!$B$16:$K$200,6,0)="","",VLOOKUP($A421-COUNT('Шаг2.Бланк заказа NEW'!$B$19:$B$201)-COUNT('Бланк OLD 0.8 04'!$B$18:$B$200),'Бланк OLD 2.0 04 '!$B$16:$K$200,6,0)))</f>
        <v/>
      </c>
      <c r="J421" s="177" t="str">
        <f ca="1">IF(IF(T421="","",IF(T421=1,SUMIFS('Шаг1.Выбор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плиты'!C:Q,12,0)),1))))))=0,
T421,
IF(T421="","",IF(T421=1,SUMIFS('Шаг1.Выбор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плиты'!N:N,T421,'Шаг1.Выбор плиты'!M:M,SMALL(INDIRECT("мм"&amp;VLOOKUP(C421,'Шаг1.Выбор плиты'!C:Q,12,0)),1)))))))</f>
        <v/>
      </c>
      <c r="K421" s="177" t="str">
        <f ca="1">IF(IF(U421="","",IF(U421=1,SUMIFS('Шаг1.Выбор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плиты'!C:Q,12,0)),1))))))=0,
U421,
IF(U421="","",IF(U421=1,SUMIFS('Шаг1.Выбор плиты'!$G:$G,'Шаг1.Выбор плиты'!J:J,"*"&amp;RIGHT(VLOOKUP(C421,'Шаг1.Выбор плиты'!C:Q,8,0),4),'Шаг1.Выбор плиты'!L:L,IF(MID(C421,1,6)="ЛДСП P","TM"&amp;MID(VLOOKUP(C421,'Шаг1.Выбор плиты'!C:Q,10,0),3,2),MID(VLOOKUP(C421,'Шаг1.Выбор плиты'!C:Q,10,0),1,2)),
'Шаг1.Выбор плиты'!N:N,1),IF(SUMIFS('Шаг1.Выбор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плиты'!C:Q,12,0)),1))=0,
IF(SUMIFS('Шаг1.Выбор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плиты'!C:Q,12,0)),2))=0,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плиты'!C:Q,12,0)),3)),
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плиты'!C:Q,12,0)),2))),
(SUMIFS('Шаг1.Выбор плиты'!$G:$G,'Шаг1.Выбор плиты'!J:J,"*"&amp;RIGHT(VLOOKUP(C421,'Шаг1.Выбор плиты'!C:Q,8,0),4),'Шаг1.Выбор плиты'!L:L,VLOOKUP(C421,'Шаг1.Выбор плиты'!C:Q,10,0),'Шаг1.Выбор плиты'!N:N,U421,'Шаг1.Выбор плиты'!M:M,SMALL(INDIRECT("мм"&amp;VLOOKUP(C421,'Шаг1.Выбор плиты'!C:Q,12,0)),1)))))))</f>
        <v/>
      </c>
      <c r="L421" s="147" t="str">
        <f ca="1">IFERROR(IFERROR(IF(VLOOKUP($A421,'Шаг2.Бланк заказа NEW'!$B$17:$N$201,9,0)="","",VLOOKUP($A421,'Шаг2.Бланк заказа NEW'!$B$17:$N$201,9,0)),
IF(VLOOKUP($A421-COUNT('Шаг2.Бланк заказа NEW'!$B$19:$B$201),'Бланк OLD 0.8 04'!$B$12:$K$200,9,0)="","",VLOOKUP($A421-COUNT('Шаг2.Бланк заказа NEW'!$B$19:$B$201),'Бланк OLD 0.8 04'!$B$12:$K$200,9,0))),
IF(VLOOKUP($A421-COUNT('Шаг2.Бланк заказа NEW'!$B$19:$B$201)-COUNT('Бланк OLD 0.8 04'!$B$18:$B$200),'Бланк OLD 2.0 04 '!$B$16:$K$200,9,0)="","",VLOOKUP($A421-COUNT('Шаг2.Бланк заказа NEW'!$B$19:$B$201)-COUNT('Бланк OLD 0.8 04'!$B$18:$B$200),'Бланк OLD 2.0 04 '!$B$16:$K$200,9,0)))</f>
        <v/>
      </c>
      <c r="M421" s="154" t="str">
        <f t="shared" ca="1" si="36"/>
        <v/>
      </c>
      <c r="N421" s="153" t="str">
        <f ca="1">IFERROR(IF(VLOOKUP($A421,'Шаг2.Бланк заказа NEW'!$B$17:$N$201,11,0)="","",VLOOKUP($A421,'Шаг2.Бланк заказа NEW'!$B$17:$N$201,11,0)),
"Нет")</f>
        <v/>
      </c>
      <c r="O421" s="147" t="str">
        <f ca="1">IFERROR(IF(VLOOKUP($A421,'Шаг2.Бланк заказа NEW'!$B$17:$N$201,11,0)="","",VLOOKUP($A421,'Шаг2.Бланк заказа NEW'!$B$17:$N$201,12,0)),
"Нет")</f>
        <v/>
      </c>
      <c r="P421" s="153" t="str">
        <f ca="1">IFERROR(IF(VLOOKUP($A421,'Шаг2.Бланк заказа NEW'!$B$17:$N$201,13,0)="","",VLOOKUP($A421,'Шаг2.Бланк заказа NEW'!$B$17:$N$201,13,0)),
"Нет")</f>
        <v/>
      </c>
      <c r="Q421" s="147" t="str">
        <f ca="1">IFERROR(IF(VLOOKUP($A421,'Шаг2.Бланк заказа NEW'!$B$17:$O$201,14,0)="","",VLOOKUP($A421,'Шаг2.Бланк заказа NEW'!$B$17:$O$201,14,0)),"")</f>
        <v/>
      </c>
      <c r="R421" s="147" t="str">
        <f ca="1">IFERROR(IFERROR(IF(VLOOKUP($A421,'Шаг2.Бланк заказа NEW'!$B$17:$N$201,4,0)="","",VLOOKUP($A421,'Шаг2.Бланк заказа NEW'!$B$17:$N$201,4,0)),
IF(VLOOKUP($A421-COUNT('Шаг2.Бланк заказа NEW'!$B$19:$B$201),'Бланк OLD 0.8 04'!$B$12:$K$200,4,0)&gt;0,0.8,
IF(VLOOKUP($A421-COUNT('Шаг2.Бланк заказа NEW'!$B$19:$B$201),'Бланк OLD 0.8 04'!$B$12:$K$200,5,0)&gt;0,0.4,""))),
IF(VLOOKUP($A421-COUNT('Шаг2.Бланк заказа NEW'!$B$19:$B$201)-COUNT('Бланк OLD 0.8 04'!$B$18:$B$200),'Бланк OLD 2.0 04 '!$B$16:$K$200,4,0)&gt;0,2,IF(VLOOKUP($A421-COUNT('Шаг2.Бланк заказа NEW'!$B$19:$B$201)-COUNT('Бланк OLD 0.8 04'!$B$18:$B$200),'Бланк OLD 2.0 04 '!$B$16:$K$200,5,0)&gt;0,0.4,"")))</f>
        <v/>
      </c>
      <c r="S421" s="147" t="str">
        <f ca="1">IFERROR(IFERROR(IF(VLOOKUP($A421,'Шаг2.Бланк заказа NEW'!$B$17:$N$201,5,0)="","",VLOOKUP($A421,'Шаг2.Бланк заказа NEW'!$B$17:$N$201,5,0)),
IF(VLOOKUP($A421-COUNT('Шаг2.Бланк заказа NEW'!$B$19:$B$201),'Бланк OLD 0.8 04'!$B$12:$K$200,4,0)&gt;1,0.8,
IF(VLOOKUP($A421-COUNT('Шаг2.Бланк заказа NEW'!$B$19:$B$201),'Бланк OLD 0.8 04'!$B$12:$K$200,5,0)&gt;1,0.4,
IF(AND(VLOOKUP($A421-COUNT('Шаг2.Бланк заказа NEW'!$B$19:$B$201),'Бланк OLD 0.8 04'!$B$12:$K$200,4,0)&gt;0,VLOOKUP($A421-COUNT('Шаг2.Бланк заказа NEW'!$B$19:$B$201),'Бланк OLD 0.8 04'!$B$12:$K$200,5,0)&gt;0),0.4,"")))),
IF(VLOOKUP($A421-COUNT('Шаг2.Бланк заказа NEW'!$B$19:$B$201)-COUNT('Бланк OLD 0.8 04'!$B$18:$B$200),'Бланк OLD 2.0 04 '!$B$16:$K$200,4,0)&gt;1,2,
IF(VLOOKUP($A421-COUNT('Шаг2.Бланк заказа NEW'!$B$19:$B$201)-COUNT('Бланк OLD 0.8 04'!$B$18:$B$200),'Бланк OLD 2.0 04 '!$B$16:$K$200,5,0)&gt;1,0.4,IF(AND(VLOOKUP($A421-COUNT('Шаг2.Бланк заказа NEW'!$B$19:$B$201)-COUNT('Бланк OLD 0.8 04'!$B$18:$B$200),'Бланк OLD 2.0 04 '!$B$16:$K$200,4,0)&gt;0,VLOOKUP($A421-COUNT('Шаг2.Бланк заказа NEW'!$B$19:$B$201)-COUNT('Бланк OLD 0.8 04'!$B$18:$B$200),'Бланк OLD 2.0 04 '!$B$16:$K$200,5,0)&gt;0),0.4,""))))</f>
        <v/>
      </c>
      <c r="T421" s="147" t="str">
        <f ca="1">IFERROR(IFERROR(IF(VLOOKUP($A421,'Шаг2.Бланк заказа NEW'!$B$17:$N$201,7,0)="","",VLOOKUP($A421,'Шаг2.Бланк заказа NEW'!$B$17:$N$201,7,0)),
IF(VLOOKUP($A421-COUNT('Шаг2.Бланк заказа NEW'!$B$19:$B$201),'Бланк OLD 0.8 04'!$B$12:$K$200,7,0)&gt;0,0.8,
IF(VLOOKUP($A421-COUNT('Шаг2.Бланк заказа NEW'!$B$19:$B$201),'Бланк OLD 0.8 04'!$B$12:$K$200,8,0)&gt;0,0.4,""))),
IF(VLOOKUP($A421-COUNT('Шаг2.Бланк заказа NEW'!$B$19:$B$201)-COUNT('Бланк OLD 0.8 04'!$B$18:$B$200),'Бланк OLD 2.0 04 '!$B$16:$K$200,7,0)&gt;0,2,IF(VLOOKUP($A421-COUNT('Шаг2.Бланк заказа NEW'!$B$19:$B$201)-COUNT('Бланк OLD 0.8 04'!$B$18:$B$200),'Бланк OLD 2.0 04 '!$B$16:$K$200,8,0)&gt;0,0.4,"")))</f>
        <v/>
      </c>
      <c r="U421" s="147" t="str">
        <f ca="1">IFERROR(IFERROR(IF(VLOOKUP($A421,'Шаг2.Бланк заказа NEW'!$B$17:$N$201,8,0)="","",VLOOKUP($A421,'Шаг2.Бланк заказа NEW'!$B$17:$N$201,8,0)),
IF(VLOOKUP($A421-COUNT('Шаг2.Бланк заказа NEW'!$B$19:$B$201),'Бланк OLD 0.8 04'!$B$12:$K$200,7,0)&gt;1,0.8,
IF(VLOOKUP($A421-COUNT('Шаг2.Бланк заказа NEW'!$B$19:$B$201),'Бланк OLD 0.8 04'!$B$12:$K$200,8,0)&gt;1,0.4,
IF(AND(VLOOKUP($A421-COUNT('Шаг2.Бланк заказа NEW'!$B$19:$B$201),'Бланк OLD 0.8 04'!$B$12:$K$200,7,0)&gt;0,VLOOKUP($A421-COUNT('Шаг2.Бланк заказа NEW'!$B$19:$B$201),'Бланк OLD 0.8 04'!$B$12:$K$200,8,0)&gt;0),0.4,"")))),
IF(VLOOKUP($A421-COUNT('Шаг2.Бланк заказа NEW'!$B$19:$B$201)-COUNT('Бланк OLD 0.8 04'!$B$18:$B$200),'Бланк OLD 2.0 04 '!$B$16:$K$200,7,0)&gt;1,2,
IF(VLOOKUP($A421-COUNT('Шаг2.Бланк заказа NEW'!$B$19:$B$201)-COUNT('Бланк OLD 0.8 04'!$B$18:$B$200),'Бланк OLD 2.0 04 '!$B$16:$K$200,8,0)&gt;1,0.4,
IF(AND(VLOOKUP($A421-COUNT('Шаг2.Бланк заказа NEW'!$B$19:$B$201)-COUNT('Бланк OLD 0.8 04'!$B$18:$B$200),'Бланк OLD 2.0 04 '!$B$16:$K$200,7,0)&gt;0,VLOOKUP($A421-COUNT('Шаг2.Бланк заказа NEW'!$B$19:$B$201)-COUNT('Бланк OLD 0.8 04'!$B$18:$B$200),'Бланк OLD 2.0 04 '!$B$16:$K$200,8,0)&gt;0),0.4,""))))</f>
        <v/>
      </c>
      <c r="V421" s="146" t="str">
        <f ca="1">IFERROR(VLOOKUP(C421,'Шаг1.Выбор плиты'!C:S,12,0),"")</f>
        <v/>
      </c>
      <c r="W421" s="146" t="str">
        <f ca="1">IFERROR(VLOOKUP(C421,'Шаг1.Выбор плиты'!C:S,8,0),"")</f>
        <v/>
      </c>
      <c r="X421" s="146" t="str">
        <f ca="1">IFERROR(VLOOKUP(C421,'Шаг1.Выбор плиты'!C:S,10,0),"")</f>
        <v/>
      </c>
      <c r="Y421" s="147" t="str">
        <f t="shared" ca="1" si="39"/>
        <v/>
      </c>
      <c r="AD421" s="147" t="str">
        <f t="shared" ca="1" si="37"/>
        <v/>
      </c>
      <c r="AE421" s="147" t="str">
        <f t="shared" ca="1" si="40"/>
        <v/>
      </c>
      <c r="AF421" s="25"/>
      <c r="AH421" s="147" t="str">
        <f ca="1">IF(C421="","",VLOOKUP(C421,'Шаг1.Выбор плиты'!C:Q,7,0))</f>
        <v/>
      </c>
      <c r="AI421" s="147" t="str">
        <f t="shared" ca="1" si="38"/>
        <v/>
      </c>
    </row>
    <row r="422" spans="1:35" x14ac:dyDescent="0.2">
      <c r="A422" s="151" t="str">
        <f ca="1">IF(C422="","",MAX($A$1:OFFSET(C422,-1,0))+1)</f>
        <v/>
      </c>
      <c r="B422" s="151" t="str">
        <f ca="1">IFERROR(IFERROR(IFERROR("Шаг2.Бланк заказа NEW №"&amp;VLOOKUP(A421+1,CHOOSE({1,2},'Шаг2.Бланк заказа NEW'!$B$19:$B$201,'Шаг2.Бланк заказа NEW'!$A$19:$A$201),1,0),
"Бланк OLD 0.8 04 №"&amp;VLOOKUP(A421+1-COUNT('Шаг2.Бланк заказа NEW'!$B$19:$B$201),CHOOSE({1,2},'Бланк OLD 0.8 04'!$B$18:$B$200,'Бланк OLD 0.8 04'!$A$18:$A$200),1,0)),
"Бланк OLD 2.0 04 №"&amp;VLOOKUP(A421+1-COUNT('Шаг2.Бланк заказа NEW'!$B$19:$B$201)-COUNT('Бланк OLD 0.8 04'!$B$18:$B$200),CHOOSE({1,2},'Бланк OLD 2.0 04 '!$B$18:$B$200,'Бланк OLD 2.0 04 '!$A$18:$A$200),1,0)),"")</f>
        <v/>
      </c>
      <c r="C422" s="152" t="str">
        <f ca="1">IFERROR(IFERROR(IFERROR(VLOOKUP(A421+1,CHOOSE({1,2},'Шаг2.Бланк заказа NEW'!$B$19:$B$201,'Шаг2.Бланк заказа NEW'!$A$19:$A$201),2,0),
VLOOKUP(A421+1-COUNT('Шаг2.Бланк заказа NEW'!$B$19:$B$201),CHOOSE({1,2},'Бланк OLD 0.8 04'!$B$18:$B$200,'Бланк OLD 0.8 04'!$A$18:$A$200),2,0)),
VLOOKUP(A421+1-COUNT('Шаг2.Бланк заказа NEW'!$B$19:$B$201)-COUNT('Бланк OLD 0.8 04'!$B$18:$B$200),CHOOSE({1,2},'Бланк OLD 2.0 04 '!$B$18:$B$200,'Бланк OLD 2.0 04 '!$A$18:$A$200),2,0)),"")</f>
        <v/>
      </c>
      <c r="D422" s="150" t="str">
        <f ca="1">IFERROR(VLOOKUP(C422,'Шаг1.Выбор плиты'!C:G,5,0),"")</f>
        <v/>
      </c>
      <c r="E422" s="147" t="str">
        <f ca="1">IFERROR(IFERROR(IF(VLOOKUP($A422,'Шаг2.Бланк заказа NEW'!$B$17:$N$201,2,0)="","",VLOOKUP($A422,'Шаг2.Бланк заказа NEW'!$B$17:$N$201,2,0)),
IF(VLOOKUP($A422-COUNT('Шаг2.Бланк заказа NEW'!$B$19:$B$201),'Бланк OLD 0.8 04'!$B$12:$K$200,2,0)="","",VLOOKUP($A422-COUNT('Шаг2.Бланк заказа NEW'!$B$19:$B$201),'Бланк OLD 0.8 04'!$B$12:$K$200,2,0))),
IF(VLOOKUP($A422-COUNT('Шаг2.Бланк заказа NEW'!$B$19:$B$201)-COUNT('Бланк OLD 0.8 04'!$B$18:$B$200),'Бланк OLD 2.0 04 '!$B$16:$K$200,2,0)="","",VLOOKUP($A422-COUNT('Шаг2.Бланк заказа NEW'!$B$19:$B$201)-COUNT('Бланк OLD 0.8 04'!$B$18:$B$200),'Бланк OLD 2.0 04 '!$B$16:$K$200,2,0)))</f>
        <v/>
      </c>
      <c r="F422" s="147" t="str">
        <f ca="1">IFERROR(IFERROR(IF(VLOOKUP($A422,'Шаг2.Бланк заказа NEW'!$B$17:$N$201,3,0)="","",VLOOKUP($A422,'Шаг2.Бланк заказа NEW'!$B$17:$N$201,3,0)),
IF(VLOOKUP($A422-COUNT('Шаг2.Бланк заказа NEW'!$B$19:$B$201),'Бланк OLD 0.8 04'!$B$12:$K$200,3,0)="","",VLOOKUP($A422-COUNT('Шаг2.Бланк заказа NEW'!$B$19:$B$201),'Бланк OLD 0.8 04'!$B$12:$K$200,3,0))),
IF(VLOOKUP($A422-COUNT('Шаг2.Бланк заказа NEW'!$B$19:$B$201)-COUNT('Бланк OLD 0.8 04'!$B$18:$B$200),'Бланк OLD 2.0 04 '!$B$16:$K$200,3,0)="","",VLOOKUP($A422-COUNT('Шаг2.Бланк заказа NEW'!$B$19:$B$201)-COUNT('Бланк OLD 0.8 04'!$B$18:$B$200),'Бланк OLD 2.0 04 '!$B$16:$K$200,3,0)))</f>
        <v/>
      </c>
      <c r="G422" s="176" t="str">
        <f ca="1">IF(IF(R422="","",IF(R422=1,SUMIFS('Шаг1.Выбор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плиты'!C:Q,12,0)),1))))))=0,
R422,
IF(R422="","",IF(R422=1,SUMIFS('Шаг1.Выбор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плиты'!N:N,R422,'Шаг1.Выбор плиты'!M:M,SMALL(INDIRECT("мм"&amp;VLOOKUP(C422,'Шаг1.Выбор плиты'!C:Q,12,0)),1)))))))</f>
        <v/>
      </c>
      <c r="H422" s="177" t="str">
        <f ca="1">IF(IF(S422="","",IF(S422=1,SUMIFS('Шаг1.Выбор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плиты'!C:Q,12,0)),1))))))=0,
S422,
IF(S422="","",IF(S422=1,SUMIFS('Шаг1.Выбор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плиты'!N:N,S422,'Шаг1.Выбор плиты'!M:M,SMALL(INDIRECT("мм"&amp;VLOOKUP(C422,'Шаг1.Выбор плиты'!C:Q,12,0)),1)))))))</f>
        <v/>
      </c>
      <c r="I422" s="147" t="str">
        <f ca="1">IFERROR(IFERROR(IF(VLOOKUP($A422,'Шаг2.Бланк заказа NEW'!$B$17:$N$201,6,0)="","",VLOOKUP($A422,'Шаг2.Бланк заказа NEW'!$B$17:$N$201,6,0)),
IF(VLOOKUP($A422-COUNT('Шаг2.Бланк заказа NEW'!$B$19:$B$201),'Бланк OLD 0.8 04'!$B$12:$K$200,6,0)="","",VLOOKUP($A422-COUNT('Шаг2.Бланк заказа NEW'!$B$19:$B$201),'Бланк OLD 0.8 04'!$B$12:$K$200,6,0))),
IF(VLOOKUP($A422-COUNT('Шаг2.Бланк заказа NEW'!$B$19:$B$201)-COUNT('Бланк OLD 0.8 04'!$B$18:$B$200),'Бланк OLD 2.0 04 '!$B$16:$K$200,6,0)="","",VLOOKUP($A422-COUNT('Шаг2.Бланк заказа NEW'!$B$19:$B$201)-COUNT('Бланк OLD 0.8 04'!$B$18:$B$200),'Бланк OLD 2.0 04 '!$B$16:$K$200,6,0)))</f>
        <v/>
      </c>
      <c r="J422" s="177" t="str">
        <f ca="1">IF(IF(T422="","",IF(T422=1,SUMIFS('Шаг1.Выбор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плиты'!C:Q,12,0)),1))))))=0,
T422,
IF(T422="","",IF(T422=1,SUMIFS('Шаг1.Выбор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плиты'!N:N,T422,'Шаг1.Выбор плиты'!M:M,SMALL(INDIRECT("мм"&amp;VLOOKUP(C422,'Шаг1.Выбор плиты'!C:Q,12,0)),1)))))))</f>
        <v/>
      </c>
      <c r="K422" s="177" t="str">
        <f ca="1">IF(IF(U422="","",IF(U422=1,SUMIFS('Шаг1.Выбор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плиты'!C:Q,12,0)),1))))))=0,
U422,
IF(U422="","",IF(U422=1,SUMIFS('Шаг1.Выбор плиты'!$G:$G,'Шаг1.Выбор плиты'!J:J,"*"&amp;RIGHT(VLOOKUP(C422,'Шаг1.Выбор плиты'!C:Q,8,0),4),'Шаг1.Выбор плиты'!L:L,IF(MID(C422,1,6)="ЛДСП P","TM"&amp;MID(VLOOKUP(C422,'Шаг1.Выбор плиты'!C:Q,10,0),3,2),MID(VLOOKUP(C422,'Шаг1.Выбор плиты'!C:Q,10,0),1,2)),
'Шаг1.Выбор плиты'!N:N,1),IF(SUMIFS('Шаг1.Выбор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плиты'!C:Q,12,0)),1))=0,
IF(SUMIFS('Шаг1.Выбор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плиты'!C:Q,12,0)),2))=0,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плиты'!C:Q,12,0)),3)),
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плиты'!C:Q,12,0)),2))),
(SUMIFS('Шаг1.Выбор плиты'!$G:$G,'Шаг1.Выбор плиты'!J:J,"*"&amp;RIGHT(VLOOKUP(C422,'Шаг1.Выбор плиты'!C:Q,8,0),4),'Шаг1.Выбор плиты'!L:L,VLOOKUP(C422,'Шаг1.Выбор плиты'!C:Q,10,0),'Шаг1.Выбор плиты'!N:N,U422,'Шаг1.Выбор плиты'!M:M,SMALL(INDIRECT("мм"&amp;VLOOKUP(C422,'Шаг1.Выбор плиты'!C:Q,12,0)),1)))))))</f>
        <v/>
      </c>
      <c r="L422" s="147" t="str">
        <f ca="1">IFERROR(IFERROR(IF(VLOOKUP($A422,'Шаг2.Бланк заказа NEW'!$B$17:$N$201,9,0)="","",VLOOKUP($A422,'Шаг2.Бланк заказа NEW'!$B$17:$N$201,9,0)),
IF(VLOOKUP($A422-COUNT('Шаг2.Бланк заказа NEW'!$B$19:$B$201),'Бланк OLD 0.8 04'!$B$12:$K$200,9,0)="","",VLOOKUP($A422-COUNT('Шаг2.Бланк заказа NEW'!$B$19:$B$201),'Бланк OLD 0.8 04'!$B$12:$K$200,9,0))),
IF(VLOOKUP($A422-COUNT('Шаг2.Бланк заказа NEW'!$B$19:$B$201)-COUNT('Бланк OLD 0.8 04'!$B$18:$B$200),'Бланк OLD 2.0 04 '!$B$16:$K$200,9,0)="","",VLOOKUP($A422-COUNT('Шаг2.Бланк заказа NEW'!$B$19:$B$201)-COUNT('Бланк OLD 0.8 04'!$B$18:$B$200),'Бланк OLD 2.0 04 '!$B$16:$K$200,9,0)))</f>
        <v/>
      </c>
      <c r="M422" s="154" t="str">
        <f t="shared" ca="1" si="36"/>
        <v/>
      </c>
      <c r="N422" s="153" t="str">
        <f ca="1">IFERROR(IF(VLOOKUP($A422,'Шаг2.Бланк заказа NEW'!$B$17:$N$201,11,0)="","",VLOOKUP($A422,'Шаг2.Бланк заказа NEW'!$B$17:$N$201,11,0)),
"Нет")</f>
        <v/>
      </c>
      <c r="O422" s="147" t="str">
        <f ca="1">IFERROR(IF(VLOOKUP($A422,'Шаг2.Бланк заказа NEW'!$B$17:$N$201,11,0)="","",VLOOKUP($A422,'Шаг2.Бланк заказа NEW'!$B$17:$N$201,12,0)),
"Нет")</f>
        <v/>
      </c>
      <c r="P422" s="153" t="str">
        <f ca="1">IFERROR(IF(VLOOKUP($A422,'Шаг2.Бланк заказа NEW'!$B$17:$N$201,13,0)="","",VLOOKUP($A422,'Шаг2.Бланк заказа NEW'!$B$17:$N$201,13,0)),
"Нет")</f>
        <v/>
      </c>
      <c r="Q422" s="147" t="str">
        <f ca="1">IFERROR(IF(VLOOKUP($A422,'Шаг2.Бланк заказа NEW'!$B$17:$O$201,14,0)="","",VLOOKUP($A422,'Шаг2.Бланк заказа NEW'!$B$17:$O$201,14,0)),"")</f>
        <v/>
      </c>
      <c r="R422" s="147" t="str">
        <f ca="1">IFERROR(IFERROR(IF(VLOOKUP($A422,'Шаг2.Бланк заказа NEW'!$B$17:$N$201,4,0)="","",VLOOKUP($A422,'Шаг2.Бланк заказа NEW'!$B$17:$N$201,4,0)),
IF(VLOOKUP($A422-COUNT('Шаг2.Бланк заказа NEW'!$B$19:$B$201),'Бланк OLD 0.8 04'!$B$12:$K$200,4,0)&gt;0,0.8,
IF(VLOOKUP($A422-COUNT('Шаг2.Бланк заказа NEW'!$B$19:$B$201),'Бланк OLD 0.8 04'!$B$12:$K$200,5,0)&gt;0,0.4,""))),
IF(VLOOKUP($A422-COUNT('Шаг2.Бланк заказа NEW'!$B$19:$B$201)-COUNT('Бланк OLD 0.8 04'!$B$18:$B$200),'Бланк OLD 2.0 04 '!$B$16:$K$200,4,0)&gt;0,2,IF(VLOOKUP($A422-COUNT('Шаг2.Бланк заказа NEW'!$B$19:$B$201)-COUNT('Бланк OLD 0.8 04'!$B$18:$B$200),'Бланк OLD 2.0 04 '!$B$16:$K$200,5,0)&gt;0,0.4,"")))</f>
        <v/>
      </c>
      <c r="S422" s="147" t="str">
        <f ca="1">IFERROR(IFERROR(IF(VLOOKUP($A422,'Шаг2.Бланк заказа NEW'!$B$17:$N$201,5,0)="","",VLOOKUP($A422,'Шаг2.Бланк заказа NEW'!$B$17:$N$201,5,0)),
IF(VLOOKUP($A422-COUNT('Шаг2.Бланк заказа NEW'!$B$19:$B$201),'Бланк OLD 0.8 04'!$B$12:$K$200,4,0)&gt;1,0.8,
IF(VLOOKUP($A422-COUNT('Шаг2.Бланк заказа NEW'!$B$19:$B$201),'Бланк OLD 0.8 04'!$B$12:$K$200,5,0)&gt;1,0.4,
IF(AND(VLOOKUP($A422-COUNT('Шаг2.Бланк заказа NEW'!$B$19:$B$201),'Бланк OLD 0.8 04'!$B$12:$K$200,4,0)&gt;0,VLOOKUP($A422-COUNT('Шаг2.Бланк заказа NEW'!$B$19:$B$201),'Бланк OLD 0.8 04'!$B$12:$K$200,5,0)&gt;0),0.4,"")))),
IF(VLOOKUP($A422-COUNT('Шаг2.Бланк заказа NEW'!$B$19:$B$201)-COUNT('Бланк OLD 0.8 04'!$B$18:$B$200),'Бланк OLD 2.0 04 '!$B$16:$K$200,4,0)&gt;1,2,
IF(VLOOKUP($A422-COUNT('Шаг2.Бланк заказа NEW'!$B$19:$B$201)-COUNT('Бланк OLD 0.8 04'!$B$18:$B$200),'Бланк OLD 2.0 04 '!$B$16:$K$200,5,0)&gt;1,0.4,IF(AND(VLOOKUP($A422-COUNT('Шаг2.Бланк заказа NEW'!$B$19:$B$201)-COUNT('Бланк OLD 0.8 04'!$B$18:$B$200),'Бланк OLD 2.0 04 '!$B$16:$K$200,4,0)&gt;0,VLOOKUP($A422-COUNT('Шаг2.Бланк заказа NEW'!$B$19:$B$201)-COUNT('Бланк OLD 0.8 04'!$B$18:$B$200),'Бланк OLD 2.0 04 '!$B$16:$K$200,5,0)&gt;0),0.4,""))))</f>
        <v/>
      </c>
      <c r="T422" s="147" t="str">
        <f ca="1">IFERROR(IFERROR(IF(VLOOKUP($A422,'Шаг2.Бланк заказа NEW'!$B$17:$N$201,7,0)="","",VLOOKUP($A422,'Шаг2.Бланк заказа NEW'!$B$17:$N$201,7,0)),
IF(VLOOKUP($A422-COUNT('Шаг2.Бланк заказа NEW'!$B$19:$B$201),'Бланк OLD 0.8 04'!$B$12:$K$200,7,0)&gt;0,0.8,
IF(VLOOKUP($A422-COUNT('Шаг2.Бланк заказа NEW'!$B$19:$B$201),'Бланк OLD 0.8 04'!$B$12:$K$200,8,0)&gt;0,0.4,""))),
IF(VLOOKUP($A422-COUNT('Шаг2.Бланк заказа NEW'!$B$19:$B$201)-COUNT('Бланк OLD 0.8 04'!$B$18:$B$200),'Бланк OLD 2.0 04 '!$B$16:$K$200,7,0)&gt;0,2,IF(VLOOKUP($A422-COUNT('Шаг2.Бланк заказа NEW'!$B$19:$B$201)-COUNT('Бланк OLD 0.8 04'!$B$18:$B$200),'Бланк OLD 2.0 04 '!$B$16:$K$200,8,0)&gt;0,0.4,"")))</f>
        <v/>
      </c>
      <c r="U422" s="147" t="str">
        <f ca="1">IFERROR(IFERROR(IF(VLOOKUP($A422,'Шаг2.Бланк заказа NEW'!$B$17:$N$201,8,0)="","",VLOOKUP($A422,'Шаг2.Бланк заказа NEW'!$B$17:$N$201,8,0)),
IF(VLOOKUP($A422-COUNT('Шаг2.Бланк заказа NEW'!$B$19:$B$201),'Бланк OLD 0.8 04'!$B$12:$K$200,7,0)&gt;1,0.8,
IF(VLOOKUP($A422-COUNT('Шаг2.Бланк заказа NEW'!$B$19:$B$201),'Бланк OLD 0.8 04'!$B$12:$K$200,8,0)&gt;1,0.4,
IF(AND(VLOOKUP($A422-COUNT('Шаг2.Бланк заказа NEW'!$B$19:$B$201),'Бланк OLD 0.8 04'!$B$12:$K$200,7,0)&gt;0,VLOOKUP($A422-COUNT('Шаг2.Бланк заказа NEW'!$B$19:$B$201),'Бланк OLD 0.8 04'!$B$12:$K$200,8,0)&gt;0),0.4,"")))),
IF(VLOOKUP($A422-COUNT('Шаг2.Бланк заказа NEW'!$B$19:$B$201)-COUNT('Бланк OLD 0.8 04'!$B$18:$B$200),'Бланк OLD 2.0 04 '!$B$16:$K$200,7,0)&gt;1,2,
IF(VLOOKUP($A422-COUNT('Шаг2.Бланк заказа NEW'!$B$19:$B$201)-COUNT('Бланк OLD 0.8 04'!$B$18:$B$200),'Бланк OLD 2.0 04 '!$B$16:$K$200,8,0)&gt;1,0.4,
IF(AND(VLOOKUP($A422-COUNT('Шаг2.Бланк заказа NEW'!$B$19:$B$201)-COUNT('Бланк OLD 0.8 04'!$B$18:$B$200),'Бланк OLD 2.0 04 '!$B$16:$K$200,7,0)&gt;0,VLOOKUP($A422-COUNT('Шаг2.Бланк заказа NEW'!$B$19:$B$201)-COUNT('Бланк OLD 0.8 04'!$B$18:$B$200),'Бланк OLD 2.0 04 '!$B$16:$K$200,8,0)&gt;0),0.4,""))))</f>
        <v/>
      </c>
      <c r="V422" s="146" t="str">
        <f ca="1">IFERROR(VLOOKUP(C422,'Шаг1.Выбор плиты'!C:S,12,0),"")</f>
        <v/>
      </c>
      <c r="W422" s="146" t="str">
        <f ca="1">IFERROR(VLOOKUP(C422,'Шаг1.Выбор плиты'!C:S,8,0),"")</f>
        <v/>
      </c>
      <c r="X422" s="146" t="str">
        <f ca="1">IFERROR(VLOOKUP(C422,'Шаг1.Выбор плиты'!C:S,10,0),"")</f>
        <v/>
      </c>
      <c r="Y422" s="147" t="str">
        <f t="shared" ca="1" si="39"/>
        <v/>
      </c>
      <c r="AD422" s="147" t="str">
        <f t="shared" ca="1" si="37"/>
        <v/>
      </c>
      <c r="AE422" s="147" t="str">
        <f t="shared" ca="1" si="40"/>
        <v/>
      </c>
      <c r="AF422" s="25"/>
      <c r="AH422" s="147" t="str">
        <f ca="1">IF(C422="","",VLOOKUP(C422,'Шаг1.Выбор плиты'!C:Q,7,0))</f>
        <v/>
      </c>
      <c r="AI422" s="147" t="str">
        <f t="shared" ca="1" si="38"/>
        <v/>
      </c>
    </row>
    <row r="423" spans="1:35" x14ac:dyDescent="0.2">
      <c r="A423" s="151" t="str">
        <f ca="1">IF(C423="","",MAX($A$1:OFFSET(C423,-1,0))+1)</f>
        <v/>
      </c>
      <c r="B423" s="151" t="str">
        <f ca="1">IFERROR(IFERROR(IFERROR("Шаг2.Бланк заказа NEW №"&amp;VLOOKUP(A422+1,CHOOSE({1,2},'Шаг2.Бланк заказа NEW'!$B$19:$B$201,'Шаг2.Бланк заказа NEW'!$A$19:$A$201),1,0),
"Бланк OLD 0.8 04 №"&amp;VLOOKUP(A422+1-COUNT('Шаг2.Бланк заказа NEW'!$B$19:$B$201),CHOOSE({1,2},'Бланк OLD 0.8 04'!$B$18:$B$200,'Бланк OLD 0.8 04'!$A$18:$A$200),1,0)),
"Бланк OLD 2.0 04 №"&amp;VLOOKUP(A422+1-COUNT('Шаг2.Бланк заказа NEW'!$B$19:$B$201)-COUNT('Бланк OLD 0.8 04'!$B$18:$B$200),CHOOSE({1,2},'Бланк OLD 2.0 04 '!$B$18:$B$200,'Бланк OLD 2.0 04 '!$A$18:$A$200),1,0)),"")</f>
        <v/>
      </c>
      <c r="C423" s="152" t="str">
        <f ca="1">IFERROR(IFERROR(IFERROR(VLOOKUP(A422+1,CHOOSE({1,2},'Шаг2.Бланк заказа NEW'!$B$19:$B$201,'Шаг2.Бланк заказа NEW'!$A$19:$A$201),2,0),
VLOOKUP(A422+1-COUNT('Шаг2.Бланк заказа NEW'!$B$19:$B$201),CHOOSE({1,2},'Бланк OLD 0.8 04'!$B$18:$B$200,'Бланк OLD 0.8 04'!$A$18:$A$200),2,0)),
VLOOKUP(A422+1-COUNT('Шаг2.Бланк заказа NEW'!$B$19:$B$201)-COUNT('Бланк OLD 0.8 04'!$B$18:$B$200),CHOOSE({1,2},'Бланк OLD 2.0 04 '!$B$18:$B$200,'Бланк OLD 2.0 04 '!$A$18:$A$200),2,0)),"")</f>
        <v/>
      </c>
      <c r="D423" s="150" t="str">
        <f ca="1">IFERROR(VLOOKUP(C423,'Шаг1.Выбор плиты'!C:G,5,0),"")</f>
        <v/>
      </c>
      <c r="E423" s="147" t="str">
        <f ca="1">IFERROR(IFERROR(IF(VLOOKUP($A423,'Шаг2.Бланк заказа NEW'!$B$17:$N$201,2,0)="","",VLOOKUP($A423,'Шаг2.Бланк заказа NEW'!$B$17:$N$201,2,0)),
IF(VLOOKUP($A423-COUNT('Шаг2.Бланк заказа NEW'!$B$19:$B$201),'Бланк OLD 0.8 04'!$B$12:$K$200,2,0)="","",VLOOKUP($A423-COUNT('Шаг2.Бланк заказа NEW'!$B$19:$B$201),'Бланк OLD 0.8 04'!$B$12:$K$200,2,0))),
IF(VLOOKUP($A423-COUNT('Шаг2.Бланк заказа NEW'!$B$19:$B$201)-COUNT('Бланк OLD 0.8 04'!$B$18:$B$200),'Бланк OLD 2.0 04 '!$B$16:$K$200,2,0)="","",VLOOKUP($A423-COUNT('Шаг2.Бланк заказа NEW'!$B$19:$B$201)-COUNT('Бланк OLD 0.8 04'!$B$18:$B$200),'Бланк OLD 2.0 04 '!$B$16:$K$200,2,0)))</f>
        <v/>
      </c>
      <c r="F423" s="147" t="str">
        <f ca="1">IFERROR(IFERROR(IF(VLOOKUP($A423,'Шаг2.Бланк заказа NEW'!$B$17:$N$201,3,0)="","",VLOOKUP($A423,'Шаг2.Бланк заказа NEW'!$B$17:$N$201,3,0)),
IF(VLOOKUP($A423-COUNT('Шаг2.Бланк заказа NEW'!$B$19:$B$201),'Бланк OLD 0.8 04'!$B$12:$K$200,3,0)="","",VLOOKUP($A423-COUNT('Шаг2.Бланк заказа NEW'!$B$19:$B$201),'Бланк OLD 0.8 04'!$B$12:$K$200,3,0))),
IF(VLOOKUP($A423-COUNT('Шаг2.Бланк заказа NEW'!$B$19:$B$201)-COUNT('Бланк OLD 0.8 04'!$B$18:$B$200),'Бланк OLD 2.0 04 '!$B$16:$K$200,3,0)="","",VLOOKUP($A423-COUNT('Шаг2.Бланк заказа NEW'!$B$19:$B$201)-COUNT('Бланк OLD 0.8 04'!$B$18:$B$200),'Бланк OLD 2.0 04 '!$B$16:$K$200,3,0)))</f>
        <v/>
      </c>
      <c r="G423" s="176" t="str">
        <f ca="1">IF(IF(R423="","",IF(R423=1,SUMIFS('Шаг1.Выбор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плиты'!C:Q,12,0)),1))))))=0,
R423,
IF(R423="","",IF(R423=1,SUMIFS('Шаг1.Выбор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плиты'!N:N,R423,'Шаг1.Выбор плиты'!M:M,SMALL(INDIRECT("мм"&amp;VLOOKUP(C423,'Шаг1.Выбор плиты'!C:Q,12,0)),1)))))))</f>
        <v/>
      </c>
      <c r="H423" s="177" t="str">
        <f ca="1">IF(IF(S423="","",IF(S423=1,SUMIFS('Шаг1.Выбор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плиты'!C:Q,12,0)),1))))))=0,
S423,
IF(S423="","",IF(S423=1,SUMIFS('Шаг1.Выбор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плиты'!N:N,S423,'Шаг1.Выбор плиты'!M:M,SMALL(INDIRECT("мм"&amp;VLOOKUP(C423,'Шаг1.Выбор плиты'!C:Q,12,0)),1)))))))</f>
        <v/>
      </c>
      <c r="I423" s="147" t="str">
        <f ca="1">IFERROR(IFERROR(IF(VLOOKUP($A423,'Шаг2.Бланк заказа NEW'!$B$17:$N$201,6,0)="","",VLOOKUP($A423,'Шаг2.Бланк заказа NEW'!$B$17:$N$201,6,0)),
IF(VLOOKUP($A423-COUNT('Шаг2.Бланк заказа NEW'!$B$19:$B$201),'Бланк OLD 0.8 04'!$B$12:$K$200,6,0)="","",VLOOKUP($A423-COUNT('Шаг2.Бланк заказа NEW'!$B$19:$B$201),'Бланк OLD 0.8 04'!$B$12:$K$200,6,0))),
IF(VLOOKUP($A423-COUNT('Шаг2.Бланк заказа NEW'!$B$19:$B$201)-COUNT('Бланк OLD 0.8 04'!$B$18:$B$200),'Бланк OLD 2.0 04 '!$B$16:$K$200,6,0)="","",VLOOKUP($A423-COUNT('Шаг2.Бланк заказа NEW'!$B$19:$B$201)-COUNT('Бланк OLD 0.8 04'!$B$18:$B$200),'Бланк OLD 2.0 04 '!$B$16:$K$200,6,0)))</f>
        <v/>
      </c>
      <c r="J423" s="177" t="str">
        <f ca="1">IF(IF(T423="","",IF(T423=1,SUMIFS('Шаг1.Выбор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плиты'!C:Q,12,0)),1))))))=0,
T423,
IF(T423="","",IF(T423=1,SUMIFS('Шаг1.Выбор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плиты'!N:N,T423,'Шаг1.Выбор плиты'!M:M,SMALL(INDIRECT("мм"&amp;VLOOKUP(C423,'Шаг1.Выбор плиты'!C:Q,12,0)),1)))))))</f>
        <v/>
      </c>
      <c r="K423" s="177" t="str">
        <f ca="1">IF(IF(U423="","",IF(U423=1,SUMIFS('Шаг1.Выбор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плиты'!C:Q,12,0)),1))))))=0,
U423,
IF(U423="","",IF(U423=1,SUMIFS('Шаг1.Выбор плиты'!$G:$G,'Шаг1.Выбор плиты'!J:J,"*"&amp;RIGHT(VLOOKUP(C423,'Шаг1.Выбор плиты'!C:Q,8,0),4),'Шаг1.Выбор плиты'!L:L,IF(MID(C423,1,6)="ЛДСП P","TM"&amp;MID(VLOOKUP(C423,'Шаг1.Выбор плиты'!C:Q,10,0),3,2),MID(VLOOKUP(C423,'Шаг1.Выбор плиты'!C:Q,10,0),1,2)),
'Шаг1.Выбор плиты'!N:N,1),IF(SUMIFS('Шаг1.Выбор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плиты'!C:Q,12,0)),1))=0,
IF(SUMIFS('Шаг1.Выбор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плиты'!C:Q,12,0)),2))=0,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плиты'!C:Q,12,0)),3)),
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плиты'!C:Q,12,0)),2))),
(SUMIFS('Шаг1.Выбор плиты'!$G:$G,'Шаг1.Выбор плиты'!J:J,"*"&amp;RIGHT(VLOOKUP(C423,'Шаг1.Выбор плиты'!C:Q,8,0),4),'Шаг1.Выбор плиты'!L:L,VLOOKUP(C423,'Шаг1.Выбор плиты'!C:Q,10,0),'Шаг1.Выбор плиты'!N:N,U423,'Шаг1.Выбор плиты'!M:M,SMALL(INDIRECT("мм"&amp;VLOOKUP(C423,'Шаг1.Выбор плиты'!C:Q,12,0)),1)))))))</f>
        <v/>
      </c>
      <c r="L423" s="147" t="str">
        <f ca="1">IFERROR(IFERROR(IF(VLOOKUP($A423,'Шаг2.Бланк заказа NEW'!$B$17:$N$201,9,0)="","",VLOOKUP($A423,'Шаг2.Бланк заказа NEW'!$B$17:$N$201,9,0)),
IF(VLOOKUP($A423-COUNT('Шаг2.Бланк заказа NEW'!$B$19:$B$201),'Бланк OLD 0.8 04'!$B$12:$K$200,9,0)="","",VLOOKUP($A423-COUNT('Шаг2.Бланк заказа NEW'!$B$19:$B$201),'Бланк OLD 0.8 04'!$B$12:$K$200,9,0))),
IF(VLOOKUP($A423-COUNT('Шаг2.Бланк заказа NEW'!$B$19:$B$201)-COUNT('Бланк OLD 0.8 04'!$B$18:$B$200),'Бланк OLD 2.0 04 '!$B$16:$K$200,9,0)="","",VLOOKUP($A423-COUNT('Шаг2.Бланк заказа NEW'!$B$19:$B$201)-COUNT('Бланк OLD 0.8 04'!$B$18:$B$200),'Бланк OLD 2.0 04 '!$B$16:$K$200,9,0)))</f>
        <v/>
      </c>
      <c r="M423" s="154" t="str">
        <f t="shared" ca="1" si="36"/>
        <v/>
      </c>
      <c r="N423" s="153" t="str">
        <f ca="1">IFERROR(IF(VLOOKUP($A423,'Шаг2.Бланк заказа NEW'!$B$17:$N$201,11,0)="","",VLOOKUP($A423,'Шаг2.Бланк заказа NEW'!$B$17:$N$201,11,0)),
"Нет")</f>
        <v/>
      </c>
      <c r="O423" s="147" t="str">
        <f ca="1">IFERROR(IF(VLOOKUP($A423,'Шаг2.Бланк заказа NEW'!$B$17:$N$201,11,0)="","",VLOOKUP($A423,'Шаг2.Бланк заказа NEW'!$B$17:$N$201,12,0)),
"Нет")</f>
        <v/>
      </c>
      <c r="P423" s="153" t="str">
        <f ca="1">IFERROR(IF(VLOOKUP($A423,'Шаг2.Бланк заказа NEW'!$B$17:$N$201,13,0)="","",VLOOKUP($A423,'Шаг2.Бланк заказа NEW'!$B$17:$N$201,13,0)),
"Нет")</f>
        <v/>
      </c>
      <c r="Q423" s="147" t="str">
        <f ca="1">IFERROR(IF(VLOOKUP($A423,'Шаг2.Бланк заказа NEW'!$B$17:$O$201,14,0)="","",VLOOKUP($A423,'Шаг2.Бланк заказа NEW'!$B$17:$O$201,14,0)),"")</f>
        <v/>
      </c>
      <c r="R423" s="147" t="str">
        <f ca="1">IFERROR(IFERROR(IF(VLOOKUP($A423,'Шаг2.Бланк заказа NEW'!$B$17:$N$201,4,0)="","",VLOOKUP($A423,'Шаг2.Бланк заказа NEW'!$B$17:$N$201,4,0)),
IF(VLOOKUP($A423-COUNT('Шаг2.Бланк заказа NEW'!$B$19:$B$201),'Бланк OLD 0.8 04'!$B$12:$K$200,4,0)&gt;0,0.8,
IF(VLOOKUP($A423-COUNT('Шаг2.Бланк заказа NEW'!$B$19:$B$201),'Бланк OLD 0.8 04'!$B$12:$K$200,5,0)&gt;0,0.4,""))),
IF(VLOOKUP($A423-COUNT('Шаг2.Бланк заказа NEW'!$B$19:$B$201)-COUNT('Бланк OLD 0.8 04'!$B$18:$B$200),'Бланк OLD 2.0 04 '!$B$16:$K$200,4,0)&gt;0,2,IF(VLOOKUP($A423-COUNT('Шаг2.Бланк заказа NEW'!$B$19:$B$201)-COUNT('Бланк OLD 0.8 04'!$B$18:$B$200),'Бланк OLD 2.0 04 '!$B$16:$K$200,5,0)&gt;0,0.4,"")))</f>
        <v/>
      </c>
      <c r="S423" s="147" t="str">
        <f ca="1">IFERROR(IFERROR(IF(VLOOKUP($A423,'Шаг2.Бланк заказа NEW'!$B$17:$N$201,5,0)="","",VLOOKUP($A423,'Шаг2.Бланк заказа NEW'!$B$17:$N$201,5,0)),
IF(VLOOKUP($A423-COUNT('Шаг2.Бланк заказа NEW'!$B$19:$B$201),'Бланк OLD 0.8 04'!$B$12:$K$200,4,0)&gt;1,0.8,
IF(VLOOKUP($A423-COUNT('Шаг2.Бланк заказа NEW'!$B$19:$B$201),'Бланк OLD 0.8 04'!$B$12:$K$200,5,0)&gt;1,0.4,
IF(AND(VLOOKUP($A423-COUNT('Шаг2.Бланк заказа NEW'!$B$19:$B$201),'Бланк OLD 0.8 04'!$B$12:$K$200,4,0)&gt;0,VLOOKUP($A423-COUNT('Шаг2.Бланк заказа NEW'!$B$19:$B$201),'Бланк OLD 0.8 04'!$B$12:$K$200,5,0)&gt;0),0.4,"")))),
IF(VLOOKUP($A423-COUNT('Шаг2.Бланк заказа NEW'!$B$19:$B$201)-COUNT('Бланк OLD 0.8 04'!$B$18:$B$200),'Бланк OLD 2.0 04 '!$B$16:$K$200,4,0)&gt;1,2,
IF(VLOOKUP($A423-COUNT('Шаг2.Бланк заказа NEW'!$B$19:$B$201)-COUNT('Бланк OLD 0.8 04'!$B$18:$B$200),'Бланк OLD 2.0 04 '!$B$16:$K$200,5,0)&gt;1,0.4,IF(AND(VLOOKUP($A423-COUNT('Шаг2.Бланк заказа NEW'!$B$19:$B$201)-COUNT('Бланк OLD 0.8 04'!$B$18:$B$200),'Бланк OLD 2.0 04 '!$B$16:$K$200,4,0)&gt;0,VLOOKUP($A423-COUNT('Шаг2.Бланк заказа NEW'!$B$19:$B$201)-COUNT('Бланк OLD 0.8 04'!$B$18:$B$200),'Бланк OLD 2.0 04 '!$B$16:$K$200,5,0)&gt;0),0.4,""))))</f>
        <v/>
      </c>
      <c r="T423" s="147" t="str">
        <f ca="1">IFERROR(IFERROR(IF(VLOOKUP($A423,'Шаг2.Бланк заказа NEW'!$B$17:$N$201,7,0)="","",VLOOKUP($A423,'Шаг2.Бланк заказа NEW'!$B$17:$N$201,7,0)),
IF(VLOOKUP($A423-COUNT('Шаг2.Бланк заказа NEW'!$B$19:$B$201),'Бланк OLD 0.8 04'!$B$12:$K$200,7,0)&gt;0,0.8,
IF(VLOOKUP($A423-COUNT('Шаг2.Бланк заказа NEW'!$B$19:$B$201),'Бланк OLD 0.8 04'!$B$12:$K$200,8,0)&gt;0,0.4,""))),
IF(VLOOKUP($A423-COUNT('Шаг2.Бланк заказа NEW'!$B$19:$B$201)-COUNT('Бланк OLD 0.8 04'!$B$18:$B$200),'Бланк OLD 2.0 04 '!$B$16:$K$200,7,0)&gt;0,2,IF(VLOOKUP($A423-COUNT('Шаг2.Бланк заказа NEW'!$B$19:$B$201)-COUNT('Бланк OLD 0.8 04'!$B$18:$B$200),'Бланк OLD 2.0 04 '!$B$16:$K$200,8,0)&gt;0,0.4,"")))</f>
        <v/>
      </c>
      <c r="U423" s="147" t="str">
        <f ca="1">IFERROR(IFERROR(IF(VLOOKUP($A423,'Шаг2.Бланк заказа NEW'!$B$17:$N$201,8,0)="","",VLOOKUP($A423,'Шаг2.Бланк заказа NEW'!$B$17:$N$201,8,0)),
IF(VLOOKUP($A423-COUNT('Шаг2.Бланк заказа NEW'!$B$19:$B$201),'Бланк OLD 0.8 04'!$B$12:$K$200,7,0)&gt;1,0.8,
IF(VLOOKUP($A423-COUNT('Шаг2.Бланк заказа NEW'!$B$19:$B$201),'Бланк OLD 0.8 04'!$B$12:$K$200,8,0)&gt;1,0.4,
IF(AND(VLOOKUP($A423-COUNT('Шаг2.Бланк заказа NEW'!$B$19:$B$201),'Бланк OLD 0.8 04'!$B$12:$K$200,7,0)&gt;0,VLOOKUP($A423-COUNT('Шаг2.Бланк заказа NEW'!$B$19:$B$201),'Бланк OLD 0.8 04'!$B$12:$K$200,8,0)&gt;0),0.4,"")))),
IF(VLOOKUP($A423-COUNT('Шаг2.Бланк заказа NEW'!$B$19:$B$201)-COUNT('Бланк OLD 0.8 04'!$B$18:$B$200),'Бланк OLD 2.0 04 '!$B$16:$K$200,7,0)&gt;1,2,
IF(VLOOKUP($A423-COUNT('Шаг2.Бланк заказа NEW'!$B$19:$B$201)-COUNT('Бланк OLD 0.8 04'!$B$18:$B$200),'Бланк OLD 2.0 04 '!$B$16:$K$200,8,0)&gt;1,0.4,
IF(AND(VLOOKUP($A423-COUNT('Шаг2.Бланк заказа NEW'!$B$19:$B$201)-COUNT('Бланк OLD 0.8 04'!$B$18:$B$200),'Бланк OLD 2.0 04 '!$B$16:$K$200,7,0)&gt;0,VLOOKUP($A423-COUNT('Шаг2.Бланк заказа NEW'!$B$19:$B$201)-COUNT('Бланк OLD 0.8 04'!$B$18:$B$200),'Бланк OLD 2.0 04 '!$B$16:$K$200,8,0)&gt;0),0.4,""))))</f>
        <v/>
      </c>
      <c r="V423" s="146" t="str">
        <f ca="1">IFERROR(VLOOKUP(C423,'Шаг1.Выбор плиты'!C:S,12,0),"")</f>
        <v/>
      </c>
      <c r="W423" s="146" t="str">
        <f ca="1">IFERROR(VLOOKUP(C423,'Шаг1.Выбор плиты'!C:S,8,0),"")</f>
        <v/>
      </c>
      <c r="X423" s="146" t="str">
        <f ca="1">IFERROR(VLOOKUP(C423,'Шаг1.Выбор плиты'!C:S,10,0),"")</f>
        <v/>
      </c>
      <c r="Y423" s="147" t="str">
        <f t="shared" ca="1" si="39"/>
        <v/>
      </c>
      <c r="AD423" s="147" t="str">
        <f t="shared" ca="1" si="37"/>
        <v/>
      </c>
      <c r="AE423" s="147" t="str">
        <f t="shared" ca="1" si="40"/>
        <v/>
      </c>
      <c r="AF423" s="25"/>
      <c r="AH423" s="147" t="str">
        <f ca="1">IF(C423="","",VLOOKUP(C423,'Шаг1.Выбор плиты'!C:Q,7,0))</f>
        <v/>
      </c>
      <c r="AI423" s="147" t="str">
        <f t="shared" ca="1" si="38"/>
        <v/>
      </c>
    </row>
    <row r="424" spans="1:35" x14ac:dyDescent="0.2">
      <c r="A424" s="151" t="str">
        <f ca="1">IF(C424="","",MAX($A$1:OFFSET(C424,-1,0))+1)</f>
        <v/>
      </c>
      <c r="B424" s="151" t="str">
        <f ca="1">IFERROR(IFERROR(IFERROR("Шаг2.Бланк заказа NEW №"&amp;VLOOKUP(A423+1,CHOOSE({1,2},'Шаг2.Бланк заказа NEW'!$B$19:$B$201,'Шаг2.Бланк заказа NEW'!$A$19:$A$201),1,0),
"Бланк OLD 0.8 04 №"&amp;VLOOKUP(A423+1-COUNT('Шаг2.Бланк заказа NEW'!$B$19:$B$201),CHOOSE({1,2},'Бланк OLD 0.8 04'!$B$18:$B$200,'Бланк OLD 0.8 04'!$A$18:$A$200),1,0)),
"Бланк OLD 2.0 04 №"&amp;VLOOKUP(A423+1-COUNT('Шаг2.Бланк заказа NEW'!$B$19:$B$201)-COUNT('Бланк OLD 0.8 04'!$B$18:$B$200),CHOOSE({1,2},'Бланк OLD 2.0 04 '!$B$18:$B$200,'Бланк OLD 2.0 04 '!$A$18:$A$200),1,0)),"")</f>
        <v/>
      </c>
      <c r="C424" s="152" t="str">
        <f ca="1">IFERROR(IFERROR(IFERROR(VLOOKUP(A423+1,CHOOSE({1,2},'Шаг2.Бланк заказа NEW'!$B$19:$B$201,'Шаг2.Бланк заказа NEW'!$A$19:$A$201),2,0),
VLOOKUP(A423+1-COUNT('Шаг2.Бланк заказа NEW'!$B$19:$B$201),CHOOSE({1,2},'Бланк OLD 0.8 04'!$B$18:$B$200,'Бланк OLD 0.8 04'!$A$18:$A$200),2,0)),
VLOOKUP(A423+1-COUNT('Шаг2.Бланк заказа NEW'!$B$19:$B$201)-COUNT('Бланк OLD 0.8 04'!$B$18:$B$200),CHOOSE({1,2},'Бланк OLD 2.0 04 '!$B$18:$B$200,'Бланк OLD 2.0 04 '!$A$18:$A$200),2,0)),"")</f>
        <v/>
      </c>
      <c r="D424" s="150" t="str">
        <f ca="1">IFERROR(VLOOKUP(C424,'Шаг1.Выбор плиты'!C:G,5,0),"")</f>
        <v/>
      </c>
      <c r="E424" s="147" t="str">
        <f ca="1">IFERROR(IFERROR(IF(VLOOKUP($A424,'Шаг2.Бланк заказа NEW'!$B$17:$N$201,2,0)="","",VLOOKUP($A424,'Шаг2.Бланк заказа NEW'!$B$17:$N$201,2,0)),
IF(VLOOKUP($A424-COUNT('Шаг2.Бланк заказа NEW'!$B$19:$B$201),'Бланк OLD 0.8 04'!$B$12:$K$200,2,0)="","",VLOOKUP($A424-COUNT('Шаг2.Бланк заказа NEW'!$B$19:$B$201),'Бланк OLD 0.8 04'!$B$12:$K$200,2,0))),
IF(VLOOKUP($A424-COUNT('Шаг2.Бланк заказа NEW'!$B$19:$B$201)-COUNT('Бланк OLD 0.8 04'!$B$18:$B$200),'Бланк OLD 2.0 04 '!$B$16:$K$200,2,0)="","",VLOOKUP($A424-COUNT('Шаг2.Бланк заказа NEW'!$B$19:$B$201)-COUNT('Бланк OLD 0.8 04'!$B$18:$B$200),'Бланк OLD 2.0 04 '!$B$16:$K$200,2,0)))</f>
        <v/>
      </c>
      <c r="F424" s="147" t="str">
        <f ca="1">IFERROR(IFERROR(IF(VLOOKUP($A424,'Шаг2.Бланк заказа NEW'!$B$17:$N$201,3,0)="","",VLOOKUP($A424,'Шаг2.Бланк заказа NEW'!$B$17:$N$201,3,0)),
IF(VLOOKUP($A424-COUNT('Шаг2.Бланк заказа NEW'!$B$19:$B$201),'Бланк OLD 0.8 04'!$B$12:$K$200,3,0)="","",VLOOKUP($A424-COUNT('Шаг2.Бланк заказа NEW'!$B$19:$B$201),'Бланк OLD 0.8 04'!$B$12:$K$200,3,0))),
IF(VLOOKUP($A424-COUNT('Шаг2.Бланк заказа NEW'!$B$19:$B$201)-COUNT('Бланк OLD 0.8 04'!$B$18:$B$200),'Бланк OLD 2.0 04 '!$B$16:$K$200,3,0)="","",VLOOKUP($A424-COUNT('Шаг2.Бланк заказа NEW'!$B$19:$B$201)-COUNT('Бланк OLD 0.8 04'!$B$18:$B$200),'Бланк OLD 2.0 04 '!$B$16:$K$200,3,0)))</f>
        <v/>
      </c>
      <c r="G424" s="176" t="str">
        <f ca="1">IF(IF(R424="","",IF(R424=1,SUMIFS('Шаг1.Выбор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плиты'!C:Q,12,0)),1))))))=0,
R424,
IF(R424="","",IF(R424=1,SUMIFS('Шаг1.Выбор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плиты'!N:N,R424,'Шаг1.Выбор плиты'!M:M,SMALL(INDIRECT("мм"&amp;VLOOKUP(C424,'Шаг1.Выбор плиты'!C:Q,12,0)),1)))))))</f>
        <v/>
      </c>
      <c r="H424" s="177" t="str">
        <f ca="1">IF(IF(S424="","",IF(S424=1,SUMIFS('Шаг1.Выбор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плиты'!C:Q,12,0)),1))))))=0,
S424,
IF(S424="","",IF(S424=1,SUMIFS('Шаг1.Выбор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плиты'!N:N,S424,'Шаг1.Выбор плиты'!M:M,SMALL(INDIRECT("мм"&amp;VLOOKUP(C424,'Шаг1.Выбор плиты'!C:Q,12,0)),1)))))))</f>
        <v/>
      </c>
      <c r="I424" s="147" t="str">
        <f ca="1">IFERROR(IFERROR(IF(VLOOKUP($A424,'Шаг2.Бланк заказа NEW'!$B$17:$N$201,6,0)="","",VLOOKUP($A424,'Шаг2.Бланк заказа NEW'!$B$17:$N$201,6,0)),
IF(VLOOKUP($A424-COUNT('Шаг2.Бланк заказа NEW'!$B$19:$B$201),'Бланк OLD 0.8 04'!$B$12:$K$200,6,0)="","",VLOOKUP($A424-COUNT('Шаг2.Бланк заказа NEW'!$B$19:$B$201),'Бланк OLD 0.8 04'!$B$12:$K$200,6,0))),
IF(VLOOKUP($A424-COUNT('Шаг2.Бланк заказа NEW'!$B$19:$B$201)-COUNT('Бланк OLD 0.8 04'!$B$18:$B$200),'Бланк OLD 2.0 04 '!$B$16:$K$200,6,0)="","",VLOOKUP($A424-COUNT('Шаг2.Бланк заказа NEW'!$B$19:$B$201)-COUNT('Бланк OLD 0.8 04'!$B$18:$B$200),'Бланк OLD 2.0 04 '!$B$16:$K$200,6,0)))</f>
        <v/>
      </c>
      <c r="J424" s="177" t="str">
        <f ca="1">IF(IF(T424="","",IF(T424=1,SUMIFS('Шаг1.Выбор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плиты'!C:Q,12,0)),1))))))=0,
T424,
IF(T424="","",IF(T424=1,SUMIFS('Шаг1.Выбор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плиты'!N:N,T424,'Шаг1.Выбор плиты'!M:M,SMALL(INDIRECT("мм"&amp;VLOOKUP(C424,'Шаг1.Выбор плиты'!C:Q,12,0)),1)))))))</f>
        <v/>
      </c>
      <c r="K424" s="177" t="str">
        <f ca="1">IF(IF(U424="","",IF(U424=1,SUMIFS('Шаг1.Выбор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плиты'!C:Q,12,0)),1))))))=0,
U424,
IF(U424="","",IF(U424=1,SUMIFS('Шаг1.Выбор плиты'!$G:$G,'Шаг1.Выбор плиты'!J:J,"*"&amp;RIGHT(VLOOKUP(C424,'Шаг1.Выбор плиты'!C:Q,8,0),4),'Шаг1.Выбор плиты'!L:L,IF(MID(C424,1,6)="ЛДСП P","TM"&amp;MID(VLOOKUP(C424,'Шаг1.Выбор плиты'!C:Q,10,0),3,2),MID(VLOOKUP(C424,'Шаг1.Выбор плиты'!C:Q,10,0),1,2)),
'Шаг1.Выбор плиты'!N:N,1),IF(SUMIFS('Шаг1.Выбор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плиты'!C:Q,12,0)),1))=0,
IF(SUMIFS('Шаг1.Выбор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плиты'!C:Q,12,0)),2))=0,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плиты'!C:Q,12,0)),3)),
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плиты'!C:Q,12,0)),2))),
(SUMIFS('Шаг1.Выбор плиты'!$G:$G,'Шаг1.Выбор плиты'!J:J,"*"&amp;RIGHT(VLOOKUP(C424,'Шаг1.Выбор плиты'!C:Q,8,0),4),'Шаг1.Выбор плиты'!L:L,VLOOKUP(C424,'Шаг1.Выбор плиты'!C:Q,10,0),'Шаг1.Выбор плиты'!N:N,U424,'Шаг1.Выбор плиты'!M:M,SMALL(INDIRECT("мм"&amp;VLOOKUP(C424,'Шаг1.Выбор плиты'!C:Q,12,0)),1)))))))</f>
        <v/>
      </c>
      <c r="L424" s="147" t="str">
        <f ca="1">IFERROR(IFERROR(IF(VLOOKUP($A424,'Шаг2.Бланк заказа NEW'!$B$17:$N$201,9,0)="","",VLOOKUP($A424,'Шаг2.Бланк заказа NEW'!$B$17:$N$201,9,0)),
IF(VLOOKUP($A424-COUNT('Шаг2.Бланк заказа NEW'!$B$19:$B$201),'Бланк OLD 0.8 04'!$B$12:$K$200,9,0)="","",VLOOKUP($A424-COUNT('Шаг2.Бланк заказа NEW'!$B$19:$B$201),'Бланк OLD 0.8 04'!$B$12:$K$200,9,0))),
IF(VLOOKUP($A424-COUNT('Шаг2.Бланк заказа NEW'!$B$19:$B$201)-COUNT('Бланк OLD 0.8 04'!$B$18:$B$200),'Бланк OLD 2.0 04 '!$B$16:$K$200,9,0)="","",VLOOKUP($A424-COUNT('Шаг2.Бланк заказа NEW'!$B$19:$B$201)-COUNT('Бланк OLD 0.8 04'!$B$18:$B$200),'Бланк OLD 2.0 04 '!$B$16:$K$200,9,0)))</f>
        <v/>
      </c>
      <c r="M424" s="154" t="str">
        <f t="shared" ca="1" si="36"/>
        <v/>
      </c>
      <c r="N424" s="153" t="str">
        <f ca="1">IFERROR(IF(VLOOKUP($A424,'Шаг2.Бланк заказа NEW'!$B$17:$N$201,11,0)="","",VLOOKUP($A424,'Шаг2.Бланк заказа NEW'!$B$17:$N$201,11,0)),
"Нет")</f>
        <v/>
      </c>
      <c r="O424" s="147" t="str">
        <f ca="1">IFERROR(IF(VLOOKUP($A424,'Шаг2.Бланк заказа NEW'!$B$17:$N$201,11,0)="","",VLOOKUP($A424,'Шаг2.Бланк заказа NEW'!$B$17:$N$201,12,0)),
"Нет")</f>
        <v/>
      </c>
      <c r="P424" s="153" t="str">
        <f ca="1">IFERROR(IF(VLOOKUP($A424,'Шаг2.Бланк заказа NEW'!$B$17:$N$201,13,0)="","",VLOOKUP($A424,'Шаг2.Бланк заказа NEW'!$B$17:$N$201,13,0)),
"Нет")</f>
        <v/>
      </c>
      <c r="Q424" s="147" t="str">
        <f ca="1">IFERROR(IF(VLOOKUP($A424,'Шаг2.Бланк заказа NEW'!$B$17:$O$201,14,0)="","",VLOOKUP($A424,'Шаг2.Бланк заказа NEW'!$B$17:$O$201,14,0)),"")</f>
        <v/>
      </c>
      <c r="R424" s="147" t="str">
        <f ca="1">IFERROR(IFERROR(IF(VLOOKUP($A424,'Шаг2.Бланк заказа NEW'!$B$17:$N$201,4,0)="","",VLOOKUP($A424,'Шаг2.Бланк заказа NEW'!$B$17:$N$201,4,0)),
IF(VLOOKUP($A424-COUNT('Шаг2.Бланк заказа NEW'!$B$19:$B$201),'Бланк OLD 0.8 04'!$B$12:$K$200,4,0)&gt;0,0.8,
IF(VLOOKUP($A424-COUNT('Шаг2.Бланк заказа NEW'!$B$19:$B$201),'Бланк OLD 0.8 04'!$B$12:$K$200,5,0)&gt;0,0.4,""))),
IF(VLOOKUP($A424-COUNT('Шаг2.Бланк заказа NEW'!$B$19:$B$201)-COUNT('Бланк OLD 0.8 04'!$B$18:$B$200),'Бланк OLD 2.0 04 '!$B$16:$K$200,4,0)&gt;0,2,IF(VLOOKUP($A424-COUNT('Шаг2.Бланк заказа NEW'!$B$19:$B$201)-COUNT('Бланк OLD 0.8 04'!$B$18:$B$200),'Бланк OLD 2.0 04 '!$B$16:$K$200,5,0)&gt;0,0.4,"")))</f>
        <v/>
      </c>
      <c r="S424" s="147" t="str">
        <f ca="1">IFERROR(IFERROR(IF(VLOOKUP($A424,'Шаг2.Бланк заказа NEW'!$B$17:$N$201,5,0)="","",VLOOKUP($A424,'Шаг2.Бланк заказа NEW'!$B$17:$N$201,5,0)),
IF(VLOOKUP($A424-COUNT('Шаг2.Бланк заказа NEW'!$B$19:$B$201),'Бланк OLD 0.8 04'!$B$12:$K$200,4,0)&gt;1,0.8,
IF(VLOOKUP($A424-COUNT('Шаг2.Бланк заказа NEW'!$B$19:$B$201),'Бланк OLD 0.8 04'!$B$12:$K$200,5,0)&gt;1,0.4,
IF(AND(VLOOKUP($A424-COUNT('Шаг2.Бланк заказа NEW'!$B$19:$B$201),'Бланк OLD 0.8 04'!$B$12:$K$200,4,0)&gt;0,VLOOKUP($A424-COUNT('Шаг2.Бланк заказа NEW'!$B$19:$B$201),'Бланк OLD 0.8 04'!$B$12:$K$200,5,0)&gt;0),0.4,"")))),
IF(VLOOKUP($A424-COUNT('Шаг2.Бланк заказа NEW'!$B$19:$B$201)-COUNT('Бланк OLD 0.8 04'!$B$18:$B$200),'Бланк OLD 2.0 04 '!$B$16:$K$200,4,0)&gt;1,2,
IF(VLOOKUP($A424-COUNT('Шаг2.Бланк заказа NEW'!$B$19:$B$201)-COUNT('Бланк OLD 0.8 04'!$B$18:$B$200),'Бланк OLD 2.0 04 '!$B$16:$K$200,5,0)&gt;1,0.4,IF(AND(VLOOKUP($A424-COUNT('Шаг2.Бланк заказа NEW'!$B$19:$B$201)-COUNT('Бланк OLD 0.8 04'!$B$18:$B$200),'Бланк OLD 2.0 04 '!$B$16:$K$200,4,0)&gt;0,VLOOKUP($A424-COUNT('Шаг2.Бланк заказа NEW'!$B$19:$B$201)-COUNT('Бланк OLD 0.8 04'!$B$18:$B$200),'Бланк OLD 2.0 04 '!$B$16:$K$200,5,0)&gt;0),0.4,""))))</f>
        <v/>
      </c>
      <c r="T424" s="147" t="str">
        <f ca="1">IFERROR(IFERROR(IF(VLOOKUP($A424,'Шаг2.Бланк заказа NEW'!$B$17:$N$201,7,0)="","",VLOOKUP($A424,'Шаг2.Бланк заказа NEW'!$B$17:$N$201,7,0)),
IF(VLOOKUP($A424-COUNT('Шаг2.Бланк заказа NEW'!$B$19:$B$201),'Бланк OLD 0.8 04'!$B$12:$K$200,7,0)&gt;0,0.8,
IF(VLOOKUP($A424-COUNT('Шаг2.Бланк заказа NEW'!$B$19:$B$201),'Бланк OLD 0.8 04'!$B$12:$K$200,8,0)&gt;0,0.4,""))),
IF(VLOOKUP($A424-COUNT('Шаг2.Бланк заказа NEW'!$B$19:$B$201)-COUNT('Бланк OLD 0.8 04'!$B$18:$B$200),'Бланк OLD 2.0 04 '!$B$16:$K$200,7,0)&gt;0,2,IF(VLOOKUP($A424-COUNT('Шаг2.Бланк заказа NEW'!$B$19:$B$201)-COUNT('Бланк OLD 0.8 04'!$B$18:$B$200),'Бланк OLD 2.0 04 '!$B$16:$K$200,8,0)&gt;0,0.4,"")))</f>
        <v/>
      </c>
      <c r="U424" s="147" t="str">
        <f ca="1">IFERROR(IFERROR(IF(VLOOKUP($A424,'Шаг2.Бланк заказа NEW'!$B$17:$N$201,8,0)="","",VLOOKUP($A424,'Шаг2.Бланк заказа NEW'!$B$17:$N$201,8,0)),
IF(VLOOKUP($A424-COUNT('Шаг2.Бланк заказа NEW'!$B$19:$B$201),'Бланк OLD 0.8 04'!$B$12:$K$200,7,0)&gt;1,0.8,
IF(VLOOKUP($A424-COUNT('Шаг2.Бланк заказа NEW'!$B$19:$B$201),'Бланк OLD 0.8 04'!$B$12:$K$200,8,0)&gt;1,0.4,
IF(AND(VLOOKUP($A424-COUNT('Шаг2.Бланк заказа NEW'!$B$19:$B$201),'Бланк OLD 0.8 04'!$B$12:$K$200,7,0)&gt;0,VLOOKUP($A424-COUNT('Шаг2.Бланк заказа NEW'!$B$19:$B$201),'Бланк OLD 0.8 04'!$B$12:$K$200,8,0)&gt;0),0.4,"")))),
IF(VLOOKUP($A424-COUNT('Шаг2.Бланк заказа NEW'!$B$19:$B$201)-COUNT('Бланк OLD 0.8 04'!$B$18:$B$200),'Бланк OLD 2.0 04 '!$B$16:$K$200,7,0)&gt;1,2,
IF(VLOOKUP($A424-COUNT('Шаг2.Бланк заказа NEW'!$B$19:$B$201)-COUNT('Бланк OLD 0.8 04'!$B$18:$B$200),'Бланк OLD 2.0 04 '!$B$16:$K$200,8,0)&gt;1,0.4,
IF(AND(VLOOKUP($A424-COUNT('Шаг2.Бланк заказа NEW'!$B$19:$B$201)-COUNT('Бланк OLD 0.8 04'!$B$18:$B$200),'Бланк OLD 2.0 04 '!$B$16:$K$200,7,0)&gt;0,VLOOKUP($A424-COUNT('Шаг2.Бланк заказа NEW'!$B$19:$B$201)-COUNT('Бланк OLD 0.8 04'!$B$18:$B$200),'Бланк OLD 2.0 04 '!$B$16:$K$200,8,0)&gt;0),0.4,""))))</f>
        <v/>
      </c>
      <c r="V424" s="146" t="str">
        <f ca="1">IFERROR(VLOOKUP(C424,'Шаг1.Выбор плиты'!C:S,12,0),"")</f>
        <v/>
      </c>
      <c r="W424" s="146" t="str">
        <f ca="1">IFERROR(VLOOKUP(C424,'Шаг1.Выбор плиты'!C:S,8,0),"")</f>
        <v/>
      </c>
      <c r="X424" s="146" t="str">
        <f ca="1">IFERROR(VLOOKUP(C424,'Шаг1.Выбор плиты'!C:S,10,0),"")</f>
        <v/>
      </c>
      <c r="Y424" s="147" t="str">
        <f t="shared" ca="1" si="39"/>
        <v/>
      </c>
      <c r="AD424" s="147" t="str">
        <f t="shared" ca="1" si="37"/>
        <v/>
      </c>
      <c r="AE424" s="147" t="str">
        <f t="shared" ca="1" si="40"/>
        <v/>
      </c>
      <c r="AF424" s="25"/>
      <c r="AH424" s="147" t="str">
        <f ca="1">IF(C424="","",VLOOKUP(C424,'Шаг1.Выбор плиты'!C:Q,7,0))</f>
        <v/>
      </c>
      <c r="AI424" s="147" t="str">
        <f t="shared" ca="1" si="38"/>
        <v/>
      </c>
    </row>
    <row r="425" spans="1:35" x14ac:dyDescent="0.2">
      <c r="A425" s="151" t="str">
        <f ca="1">IF(C425="","",MAX($A$1:OFFSET(C425,-1,0))+1)</f>
        <v/>
      </c>
      <c r="B425" s="151" t="str">
        <f ca="1">IFERROR(IFERROR(IFERROR("Шаг2.Бланк заказа NEW №"&amp;VLOOKUP(A424+1,CHOOSE({1,2},'Шаг2.Бланк заказа NEW'!$B$19:$B$201,'Шаг2.Бланк заказа NEW'!$A$19:$A$201),1,0),
"Бланк OLD 0.8 04 №"&amp;VLOOKUP(A424+1-COUNT('Шаг2.Бланк заказа NEW'!$B$19:$B$201),CHOOSE({1,2},'Бланк OLD 0.8 04'!$B$18:$B$200,'Бланк OLD 0.8 04'!$A$18:$A$200),1,0)),
"Бланк OLD 2.0 04 №"&amp;VLOOKUP(A424+1-COUNT('Шаг2.Бланк заказа NEW'!$B$19:$B$201)-COUNT('Бланк OLD 0.8 04'!$B$18:$B$200),CHOOSE({1,2},'Бланк OLD 2.0 04 '!$B$18:$B$200,'Бланк OLD 2.0 04 '!$A$18:$A$200),1,0)),"")</f>
        <v/>
      </c>
      <c r="C425" s="152" t="str">
        <f ca="1">IFERROR(IFERROR(IFERROR(VLOOKUP(A424+1,CHOOSE({1,2},'Шаг2.Бланк заказа NEW'!$B$19:$B$201,'Шаг2.Бланк заказа NEW'!$A$19:$A$201),2,0),
VLOOKUP(A424+1-COUNT('Шаг2.Бланк заказа NEW'!$B$19:$B$201),CHOOSE({1,2},'Бланк OLD 0.8 04'!$B$18:$B$200,'Бланк OLD 0.8 04'!$A$18:$A$200),2,0)),
VLOOKUP(A424+1-COUNT('Шаг2.Бланк заказа NEW'!$B$19:$B$201)-COUNT('Бланк OLD 0.8 04'!$B$18:$B$200),CHOOSE({1,2},'Бланк OLD 2.0 04 '!$B$18:$B$200,'Бланк OLD 2.0 04 '!$A$18:$A$200),2,0)),"")</f>
        <v/>
      </c>
      <c r="D425" s="150" t="str">
        <f ca="1">IFERROR(VLOOKUP(C425,'Шаг1.Выбор плиты'!C:G,5,0),"")</f>
        <v/>
      </c>
      <c r="E425" s="147" t="str">
        <f ca="1">IFERROR(IFERROR(IF(VLOOKUP($A425,'Шаг2.Бланк заказа NEW'!$B$17:$N$201,2,0)="","",VLOOKUP($A425,'Шаг2.Бланк заказа NEW'!$B$17:$N$201,2,0)),
IF(VLOOKUP($A425-COUNT('Шаг2.Бланк заказа NEW'!$B$19:$B$201),'Бланк OLD 0.8 04'!$B$12:$K$200,2,0)="","",VLOOKUP($A425-COUNT('Шаг2.Бланк заказа NEW'!$B$19:$B$201),'Бланк OLD 0.8 04'!$B$12:$K$200,2,0))),
IF(VLOOKUP($A425-COUNT('Шаг2.Бланк заказа NEW'!$B$19:$B$201)-COUNT('Бланк OLD 0.8 04'!$B$18:$B$200),'Бланк OLD 2.0 04 '!$B$16:$K$200,2,0)="","",VLOOKUP($A425-COUNT('Шаг2.Бланк заказа NEW'!$B$19:$B$201)-COUNT('Бланк OLD 0.8 04'!$B$18:$B$200),'Бланк OLD 2.0 04 '!$B$16:$K$200,2,0)))</f>
        <v/>
      </c>
      <c r="F425" s="147" t="str">
        <f ca="1">IFERROR(IFERROR(IF(VLOOKUP($A425,'Шаг2.Бланк заказа NEW'!$B$17:$N$201,3,0)="","",VLOOKUP($A425,'Шаг2.Бланк заказа NEW'!$B$17:$N$201,3,0)),
IF(VLOOKUP($A425-COUNT('Шаг2.Бланк заказа NEW'!$B$19:$B$201),'Бланк OLD 0.8 04'!$B$12:$K$200,3,0)="","",VLOOKUP($A425-COUNT('Шаг2.Бланк заказа NEW'!$B$19:$B$201),'Бланк OLD 0.8 04'!$B$12:$K$200,3,0))),
IF(VLOOKUP($A425-COUNT('Шаг2.Бланк заказа NEW'!$B$19:$B$201)-COUNT('Бланк OLD 0.8 04'!$B$18:$B$200),'Бланк OLD 2.0 04 '!$B$16:$K$200,3,0)="","",VLOOKUP($A425-COUNT('Шаг2.Бланк заказа NEW'!$B$19:$B$201)-COUNT('Бланк OLD 0.8 04'!$B$18:$B$200),'Бланк OLD 2.0 04 '!$B$16:$K$200,3,0)))</f>
        <v/>
      </c>
      <c r="G425" s="176" t="str">
        <f ca="1">IF(IF(R425="","",IF(R425=1,SUMIFS('Шаг1.Выбор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плиты'!C:Q,12,0)),1))))))=0,
R425,
IF(R425="","",IF(R425=1,SUMIFS('Шаг1.Выбор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плиты'!N:N,R425,'Шаг1.Выбор плиты'!M:M,SMALL(INDIRECT("мм"&amp;VLOOKUP(C425,'Шаг1.Выбор плиты'!C:Q,12,0)),1)))))))</f>
        <v/>
      </c>
      <c r="H425" s="177" t="str">
        <f ca="1">IF(IF(S425="","",IF(S425=1,SUMIFS('Шаг1.Выбор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плиты'!C:Q,12,0)),1))))))=0,
S425,
IF(S425="","",IF(S425=1,SUMIFS('Шаг1.Выбор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плиты'!N:N,S425,'Шаг1.Выбор плиты'!M:M,SMALL(INDIRECT("мм"&amp;VLOOKUP(C425,'Шаг1.Выбор плиты'!C:Q,12,0)),1)))))))</f>
        <v/>
      </c>
      <c r="I425" s="147" t="str">
        <f ca="1">IFERROR(IFERROR(IF(VLOOKUP($A425,'Шаг2.Бланк заказа NEW'!$B$17:$N$201,6,0)="","",VLOOKUP($A425,'Шаг2.Бланк заказа NEW'!$B$17:$N$201,6,0)),
IF(VLOOKUP($A425-COUNT('Шаг2.Бланк заказа NEW'!$B$19:$B$201),'Бланк OLD 0.8 04'!$B$12:$K$200,6,0)="","",VLOOKUP($A425-COUNT('Шаг2.Бланк заказа NEW'!$B$19:$B$201),'Бланк OLD 0.8 04'!$B$12:$K$200,6,0))),
IF(VLOOKUP($A425-COUNT('Шаг2.Бланк заказа NEW'!$B$19:$B$201)-COUNT('Бланк OLD 0.8 04'!$B$18:$B$200),'Бланк OLD 2.0 04 '!$B$16:$K$200,6,0)="","",VLOOKUP($A425-COUNT('Шаг2.Бланк заказа NEW'!$B$19:$B$201)-COUNT('Бланк OLD 0.8 04'!$B$18:$B$200),'Бланк OLD 2.0 04 '!$B$16:$K$200,6,0)))</f>
        <v/>
      </c>
      <c r="J425" s="177" t="str">
        <f ca="1">IF(IF(T425="","",IF(T425=1,SUMIFS('Шаг1.Выбор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плиты'!C:Q,12,0)),1))))))=0,
T425,
IF(T425="","",IF(T425=1,SUMIFS('Шаг1.Выбор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плиты'!N:N,T425,'Шаг1.Выбор плиты'!M:M,SMALL(INDIRECT("мм"&amp;VLOOKUP(C425,'Шаг1.Выбор плиты'!C:Q,12,0)),1)))))))</f>
        <v/>
      </c>
      <c r="K425" s="177" t="str">
        <f ca="1">IF(IF(U425="","",IF(U425=1,SUMIFS('Шаг1.Выбор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плиты'!C:Q,12,0)),1))))))=0,
U425,
IF(U425="","",IF(U425=1,SUMIFS('Шаг1.Выбор плиты'!$G:$G,'Шаг1.Выбор плиты'!J:J,"*"&amp;RIGHT(VLOOKUP(C425,'Шаг1.Выбор плиты'!C:Q,8,0),4),'Шаг1.Выбор плиты'!L:L,IF(MID(C425,1,6)="ЛДСП P","TM"&amp;MID(VLOOKUP(C425,'Шаг1.Выбор плиты'!C:Q,10,0),3,2),MID(VLOOKUP(C425,'Шаг1.Выбор плиты'!C:Q,10,0),1,2)),
'Шаг1.Выбор плиты'!N:N,1),IF(SUMIFS('Шаг1.Выбор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плиты'!C:Q,12,0)),1))=0,
IF(SUMIFS('Шаг1.Выбор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плиты'!C:Q,12,0)),2))=0,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плиты'!C:Q,12,0)),3)),
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плиты'!C:Q,12,0)),2))),
(SUMIFS('Шаг1.Выбор плиты'!$G:$G,'Шаг1.Выбор плиты'!J:J,"*"&amp;RIGHT(VLOOKUP(C425,'Шаг1.Выбор плиты'!C:Q,8,0),4),'Шаг1.Выбор плиты'!L:L,VLOOKUP(C425,'Шаг1.Выбор плиты'!C:Q,10,0),'Шаг1.Выбор плиты'!N:N,U425,'Шаг1.Выбор плиты'!M:M,SMALL(INDIRECT("мм"&amp;VLOOKUP(C425,'Шаг1.Выбор плиты'!C:Q,12,0)),1)))))))</f>
        <v/>
      </c>
      <c r="L425" s="147" t="str">
        <f ca="1">IFERROR(IFERROR(IF(VLOOKUP($A425,'Шаг2.Бланк заказа NEW'!$B$17:$N$201,9,0)="","",VLOOKUP($A425,'Шаг2.Бланк заказа NEW'!$B$17:$N$201,9,0)),
IF(VLOOKUP($A425-COUNT('Шаг2.Бланк заказа NEW'!$B$19:$B$201),'Бланк OLD 0.8 04'!$B$12:$K$200,9,0)="","",VLOOKUP($A425-COUNT('Шаг2.Бланк заказа NEW'!$B$19:$B$201),'Бланк OLD 0.8 04'!$B$12:$K$200,9,0))),
IF(VLOOKUP($A425-COUNT('Шаг2.Бланк заказа NEW'!$B$19:$B$201)-COUNT('Бланк OLD 0.8 04'!$B$18:$B$200),'Бланк OLD 2.0 04 '!$B$16:$K$200,9,0)="","",VLOOKUP($A425-COUNT('Шаг2.Бланк заказа NEW'!$B$19:$B$201)-COUNT('Бланк OLD 0.8 04'!$B$18:$B$200),'Бланк OLD 2.0 04 '!$B$16:$K$200,9,0)))</f>
        <v/>
      </c>
      <c r="M425" s="154" t="str">
        <f t="shared" ca="1" si="36"/>
        <v/>
      </c>
      <c r="N425" s="153" t="str">
        <f ca="1">IFERROR(IF(VLOOKUP($A425,'Шаг2.Бланк заказа NEW'!$B$17:$N$201,11,0)="","",VLOOKUP($A425,'Шаг2.Бланк заказа NEW'!$B$17:$N$201,11,0)),
"Нет")</f>
        <v/>
      </c>
      <c r="O425" s="147" t="str">
        <f ca="1">IFERROR(IF(VLOOKUP($A425,'Шаг2.Бланк заказа NEW'!$B$17:$N$201,11,0)="","",VLOOKUP($A425,'Шаг2.Бланк заказа NEW'!$B$17:$N$201,12,0)),
"Нет")</f>
        <v/>
      </c>
      <c r="P425" s="153" t="str">
        <f ca="1">IFERROR(IF(VLOOKUP($A425,'Шаг2.Бланк заказа NEW'!$B$17:$N$201,13,0)="","",VLOOKUP($A425,'Шаг2.Бланк заказа NEW'!$B$17:$N$201,13,0)),
"Нет")</f>
        <v/>
      </c>
      <c r="Q425" s="147" t="str">
        <f ca="1">IFERROR(IF(VLOOKUP($A425,'Шаг2.Бланк заказа NEW'!$B$17:$O$201,14,0)="","",VLOOKUP($A425,'Шаг2.Бланк заказа NEW'!$B$17:$O$201,14,0)),"")</f>
        <v/>
      </c>
      <c r="R425" s="147" t="str">
        <f ca="1">IFERROR(IFERROR(IF(VLOOKUP($A425,'Шаг2.Бланк заказа NEW'!$B$17:$N$201,4,0)="","",VLOOKUP($A425,'Шаг2.Бланк заказа NEW'!$B$17:$N$201,4,0)),
IF(VLOOKUP($A425-COUNT('Шаг2.Бланк заказа NEW'!$B$19:$B$201),'Бланк OLD 0.8 04'!$B$12:$K$200,4,0)&gt;0,0.8,
IF(VLOOKUP($A425-COUNT('Шаг2.Бланк заказа NEW'!$B$19:$B$201),'Бланк OLD 0.8 04'!$B$12:$K$200,5,0)&gt;0,0.4,""))),
IF(VLOOKUP($A425-COUNT('Шаг2.Бланк заказа NEW'!$B$19:$B$201)-COUNT('Бланк OLD 0.8 04'!$B$18:$B$200),'Бланк OLD 2.0 04 '!$B$16:$K$200,4,0)&gt;0,2,IF(VLOOKUP($A425-COUNT('Шаг2.Бланк заказа NEW'!$B$19:$B$201)-COUNT('Бланк OLD 0.8 04'!$B$18:$B$200),'Бланк OLD 2.0 04 '!$B$16:$K$200,5,0)&gt;0,0.4,"")))</f>
        <v/>
      </c>
      <c r="S425" s="147" t="str">
        <f ca="1">IFERROR(IFERROR(IF(VLOOKUP($A425,'Шаг2.Бланк заказа NEW'!$B$17:$N$201,5,0)="","",VLOOKUP($A425,'Шаг2.Бланк заказа NEW'!$B$17:$N$201,5,0)),
IF(VLOOKUP($A425-COUNT('Шаг2.Бланк заказа NEW'!$B$19:$B$201),'Бланк OLD 0.8 04'!$B$12:$K$200,4,0)&gt;1,0.8,
IF(VLOOKUP($A425-COUNT('Шаг2.Бланк заказа NEW'!$B$19:$B$201),'Бланк OLD 0.8 04'!$B$12:$K$200,5,0)&gt;1,0.4,
IF(AND(VLOOKUP($A425-COUNT('Шаг2.Бланк заказа NEW'!$B$19:$B$201),'Бланк OLD 0.8 04'!$B$12:$K$200,4,0)&gt;0,VLOOKUP($A425-COUNT('Шаг2.Бланк заказа NEW'!$B$19:$B$201),'Бланк OLD 0.8 04'!$B$12:$K$200,5,0)&gt;0),0.4,"")))),
IF(VLOOKUP($A425-COUNT('Шаг2.Бланк заказа NEW'!$B$19:$B$201)-COUNT('Бланк OLD 0.8 04'!$B$18:$B$200),'Бланк OLD 2.0 04 '!$B$16:$K$200,4,0)&gt;1,2,
IF(VLOOKUP($A425-COUNT('Шаг2.Бланк заказа NEW'!$B$19:$B$201)-COUNT('Бланк OLD 0.8 04'!$B$18:$B$200),'Бланк OLD 2.0 04 '!$B$16:$K$200,5,0)&gt;1,0.4,IF(AND(VLOOKUP($A425-COUNT('Шаг2.Бланк заказа NEW'!$B$19:$B$201)-COUNT('Бланк OLD 0.8 04'!$B$18:$B$200),'Бланк OLD 2.0 04 '!$B$16:$K$200,4,0)&gt;0,VLOOKUP($A425-COUNT('Шаг2.Бланк заказа NEW'!$B$19:$B$201)-COUNT('Бланк OLD 0.8 04'!$B$18:$B$200),'Бланк OLD 2.0 04 '!$B$16:$K$200,5,0)&gt;0),0.4,""))))</f>
        <v/>
      </c>
      <c r="T425" s="147" t="str">
        <f ca="1">IFERROR(IFERROR(IF(VLOOKUP($A425,'Шаг2.Бланк заказа NEW'!$B$17:$N$201,7,0)="","",VLOOKUP($A425,'Шаг2.Бланк заказа NEW'!$B$17:$N$201,7,0)),
IF(VLOOKUP($A425-COUNT('Шаг2.Бланк заказа NEW'!$B$19:$B$201),'Бланк OLD 0.8 04'!$B$12:$K$200,7,0)&gt;0,0.8,
IF(VLOOKUP($A425-COUNT('Шаг2.Бланк заказа NEW'!$B$19:$B$201),'Бланк OLD 0.8 04'!$B$12:$K$200,8,0)&gt;0,0.4,""))),
IF(VLOOKUP($A425-COUNT('Шаг2.Бланк заказа NEW'!$B$19:$B$201)-COUNT('Бланк OLD 0.8 04'!$B$18:$B$200),'Бланк OLD 2.0 04 '!$B$16:$K$200,7,0)&gt;0,2,IF(VLOOKUP($A425-COUNT('Шаг2.Бланк заказа NEW'!$B$19:$B$201)-COUNT('Бланк OLD 0.8 04'!$B$18:$B$200),'Бланк OLD 2.0 04 '!$B$16:$K$200,8,0)&gt;0,0.4,"")))</f>
        <v/>
      </c>
      <c r="U425" s="147" t="str">
        <f ca="1">IFERROR(IFERROR(IF(VLOOKUP($A425,'Шаг2.Бланк заказа NEW'!$B$17:$N$201,8,0)="","",VLOOKUP($A425,'Шаг2.Бланк заказа NEW'!$B$17:$N$201,8,0)),
IF(VLOOKUP($A425-COUNT('Шаг2.Бланк заказа NEW'!$B$19:$B$201),'Бланк OLD 0.8 04'!$B$12:$K$200,7,0)&gt;1,0.8,
IF(VLOOKUP($A425-COUNT('Шаг2.Бланк заказа NEW'!$B$19:$B$201),'Бланк OLD 0.8 04'!$B$12:$K$200,8,0)&gt;1,0.4,
IF(AND(VLOOKUP($A425-COUNT('Шаг2.Бланк заказа NEW'!$B$19:$B$201),'Бланк OLD 0.8 04'!$B$12:$K$200,7,0)&gt;0,VLOOKUP($A425-COUNT('Шаг2.Бланк заказа NEW'!$B$19:$B$201),'Бланк OLD 0.8 04'!$B$12:$K$200,8,0)&gt;0),0.4,"")))),
IF(VLOOKUP($A425-COUNT('Шаг2.Бланк заказа NEW'!$B$19:$B$201)-COUNT('Бланк OLD 0.8 04'!$B$18:$B$200),'Бланк OLD 2.0 04 '!$B$16:$K$200,7,0)&gt;1,2,
IF(VLOOKUP($A425-COUNT('Шаг2.Бланк заказа NEW'!$B$19:$B$201)-COUNT('Бланк OLD 0.8 04'!$B$18:$B$200),'Бланк OLD 2.0 04 '!$B$16:$K$200,8,0)&gt;1,0.4,
IF(AND(VLOOKUP($A425-COUNT('Шаг2.Бланк заказа NEW'!$B$19:$B$201)-COUNT('Бланк OLD 0.8 04'!$B$18:$B$200),'Бланк OLD 2.0 04 '!$B$16:$K$200,7,0)&gt;0,VLOOKUP($A425-COUNT('Шаг2.Бланк заказа NEW'!$B$19:$B$201)-COUNT('Бланк OLD 0.8 04'!$B$18:$B$200),'Бланк OLD 2.0 04 '!$B$16:$K$200,8,0)&gt;0),0.4,""))))</f>
        <v/>
      </c>
      <c r="V425" s="146" t="str">
        <f ca="1">IFERROR(VLOOKUP(C425,'Шаг1.Выбор плиты'!C:S,12,0),"")</f>
        <v/>
      </c>
      <c r="W425" s="146" t="str">
        <f ca="1">IFERROR(VLOOKUP(C425,'Шаг1.Выбор плиты'!C:S,8,0),"")</f>
        <v/>
      </c>
      <c r="X425" s="146" t="str">
        <f ca="1">IFERROR(VLOOKUP(C425,'Шаг1.Выбор плиты'!C:S,10,0),"")</f>
        <v/>
      </c>
      <c r="Y425" s="147" t="str">
        <f t="shared" ca="1" si="39"/>
        <v/>
      </c>
      <c r="AD425" s="147" t="str">
        <f t="shared" ca="1" si="37"/>
        <v/>
      </c>
      <c r="AE425" s="147" t="str">
        <f t="shared" ca="1" si="40"/>
        <v/>
      </c>
      <c r="AF425" s="25"/>
      <c r="AH425" s="147" t="str">
        <f ca="1">IF(C425="","",VLOOKUP(C425,'Шаг1.Выбор плиты'!C:Q,7,0))</f>
        <v/>
      </c>
      <c r="AI425" s="147" t="str">
        <f t="shared" ca="1" si="38"/>
        <v/>
      </c>
    </row>
    <row r="426" spans="1:35" x14ac:dyDescent="0.2">
      <c r="A426" s="151" t="str">
        <f ca="1">IF(C426="","",MAX($A$1:OFFSET(C426,-1,0))+1)</f>
        <v/>
      </c>
      <c r="B426" s="151" t="str">
        <f ca="1">IFERROR(IFERROR(IFERROR("Шаг2.Бланк заказа NEW №"&amp;VLOOKUP(A425+1,CHOOSE({1,2},'Шаг2.Бланк заказа NEW'!$B$19:$B$201,'Шаг2.Бланк заказа NEW'!$A$19:$A$201),1,0),
"Бланк OLD 0.8 04 №"&amp;VLOOKUP(A425+1-COUNT('Шаг2.Бланк заказа NEW'!$B$19:$B$201),CHOOSE({1,2},'Бланк OLD 0.8 04'!$B$18:$B$200,'Бланк OLD 0.8 04'!$A$18:$A$200),1,0)),
"Бланк OLD 2.0 04 №"&amp;VLOOKUP(A425+1-COUNT('Шаг2.Бланк заказа NEW'!$B$19:$B$201)-COUNT('Бланк OLD 0.8 04'!$B$18:$B$200),CHOOSE({1,2},'Бланк OLD 2.0 04 '!$B$18:$B$200,'Бланк OLD 2.0 04 '!$A$18:$A$200),1,0)),"")</f>
        <v/>
      </c>
      <c r="C426" s="152" t="str">
        <f ca="1">IFERROR(IFERROR(IFERROR(VLOOKUP(A425+1,CHOOSE({1,2},'Шаг2.Бланк заказа NEW'!$B$19:$B$201,'Шаг2.Бланк заказа NEW'!$A$19:$A$201),2,0),
VLOOKUP(A425+1-COUNT('Шаг2.Бланк заказа NEW'!$B$19:$B$201),CHOOSE({1,2},'Бланк OLD 0.8 04'!$B$18:$B$200,'Бланк OLD 0.8 04'!$A$18:$A$200),2,0)),
VLOOKUP(A425+1-COUNT('Шаг2.Бланк заказа NEW'!$B$19:$B$201)-COUNT('Бланк OLD 0.8 04'!$B$18:$B$200),CHOOSE({1,2},'Бланк OLD 2.0 04 '!$B$18:$B$200,'Бланк OLD 2.0 04 '!$A$18:$A$200),2,0)),"")</f>
        <v/>
      </c>
      <c r="D426" s="150" t="str">
        <f ca="1">IFERROR(VLOOKUP(C426,'Шаг1.Выбор плиты'!C:G,5,0),"")</f>
        <v/>
      </c>
      <c r="E426" s="147" t="str">
        <f ca="1">IFERROR(IFERROR(IF(VLOOKUP($A426,'Шаг2.Бланк заказа NEW'!$B$17:$N$201,2,0)="","",VLOOKUP($A426,'Шаг2.Бланк заказа NEW'!$B$17:$N$201,2,0)),
IF(VLOOKUP($A426-COUNT('Шаг2.Бланк заказа NEW'!$B$19:$B$201),'Бланк OLD 0.8 04'!$B$12:$K$200,2,0)="","",VLOOKUP($A426-COUNT('Шаг2.Бланк заказа NEW'!$B$19:$B$201),'Бланк OLD 0.8 04'!$B$12:$K$200,2,0))),
IF(VLOOKUP($A426-COUNT('Шаг2.Бланк заказа NEW'!$B$19:$B$201)-COUNT('Бланк OLD 0.8 04'!$B$18:$B$200),'Бланк OLD 2.0 04 '!$B$16:$K$200,2,0)="","",VLOOKUP($A426-COUNT('Шаг2.Бланк заказа NEW'!$B$19:$B$201)-COUNT('Бланк OLD 0.8 04'!$B$18:$B$200),'Бланк OLD 2.0 04 '!$B$16:$K$200,2,0)))</f>
        <v/>
      </c>
      <c r="F426" s="147" t="str">
        <f ca="1">IFERROR(IFERROR(IF(VLOOKUP($A426,'Шаг2.Бланк заказа NEW'!$B$17:$N$201,3,0)="","",VLOOKUP($A426,'Шаг2.Бланк заказа NEW'!$B$17:$N$201,3,0)),
IF(VLOOKUP($A426-COUNT('Шаг2.Бланк заказа NEW'!$B$19:$B$201),'Бланк OLD 0.8 04'!$B$12:$K$200,3,0)="","",VLOOKUP($A426-COUNT('Шаг2.Бланк заказа NEW'!$B$19:$B$201),'Бланк OLD 0.8 04'!$B$12:$K$200,3,0))),
IF(VLOOKUP($A426-COUNT('Шаг2.Бланк заказа NEW'!$B$19:$B$201)-COUNT('Бланк OLD 0.8 04'!$B$18:$B$200),'Бланк OLD 2.0 04 '!$B$16:$K$200,3,0)="","",VLOOKUP($A426-COUNT('Шаг2.Бланк заказа NEW'!$B$19:$B$201)-COUNT('Бланк OLD 0.8 04'!$B$18:$B$200),'Бланк OLD 2.0 04 '!$B$16:$K$200,3,0)))</f>
        <v/>
      </c>
      <c r="G426" s="176" t="str">
        <f ca="1">IF(IF(R426="","",IF(R426=1,SUMIFS('Шаг1.Выбор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плиты'!C:Q,12,0)),1))))))=0,
R426,
IF(R426="","",IF(R426=1,SUMIFS('Шаг1.Выбор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плиты'!N:N,R426,'Шаг1.Выбор плиты'!M:M,SMALL(INDIRECT("мм"&amp;VLOOKUP(C426,'Шаг1.Выбор плиты'!C:Q,12,0)),1)))))))</f>
        <v/>
      </c>
      <c r="H426" s="177" t="str">
        <f ca="1">IF(IF(S426="","",IF(S426=1,SUMIFS('Шаг1.Выбор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плиты'!C:Q,12,0)),1))))))=0,
S426,
IF(S426="","",IF(S426=1,SUMIFS('Шаг1.Выбор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плиты'!N:N,S426,'Шаг1.Выбор плиты'!M:M,SMALL(INDIRECT("мм"&amp;VLOOKUP(C426,'Шаг1.Выбор плиты'!C:Q,12,0)),1)))))))</f>
        <v/>
      </c>
      <c r="I426" s="147" t="str">
        <f ca="1">IFERROR(IFERROR(IF(VLOOKUP($A426,'Шаг2.Бланк заказа NEW'!$B$17:$N$201,6,0)="","",VLOOKUP($A426,'Шаг2.Бланк заказа NEW'!$B$17:$N$201,6,0)),
IF(VLOOKUP($A426-COUNT('Шаг2.Бланк заказа NEW'!$B$19:$B$201),'Бланк OLD 0.8 04'!$B$12:$K$200,6,0)="","",VLOOKUP($A426-COUNT('Шаг2.Бланк заказа NEW'!$B$19:$B$201),'Бланк OLD 0.8 04'!$B$12:$K$200,6,0))),
IF(VLOOKUP($A426-COUNT('Шаг2.Бланк заказа NEW'!$B$19:$B$201)-COUNT('Бланк OLD 0.8 04'!$B$18:$B$200),'Бланк OLD 2.0 04 '!$B$16:$K$200,6,0)="","",VLOOKUP($A426-COUNT('Шаг2.Бланк заказа NEW'!$B$19:$B$201)-COUNT('Бланк OLD 0.8 04'!$B$18:$B$200),'Бланк OLD 2.0 04 '!$B$16:$K$200,6,0)))</f>
        <v/>
      </c>
      <c r="J426" s="177" t="str">
        <f ca="1">IF(IF(T426="","",IF(T426=1,SUMIFS('Шаг1.Выбор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плиты'!C:Q,12,0)),1))))))=0,
T426,
IF(T426="","",IF(T426=1,SUMIFS('Шаг1.Выбор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плиты'!N:N,T426,'Шаг1.Выбор плиты'!M:M,SMALL(INDIRECT("мм"&amp;VLOOKUP(C426,'Шаг1.Выбор плиты'!C:Q,12,0)),1)))))))</f>
        <v/>
      </c>
      <c r="K426" s="177" t="str">
        <f ca="1">IF(IF(U426="","",IF(U426=1,SUMIFS('Шаг1.Выбор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плиты'!C:Q,12,0)),1))))))=0,
U426,
IF(U426="","",IF(U426=1,SUMIFS('Шаг1.Выбор плиты'!$G:$G,'Шаг1.Выбор плиты'!J:J,"*"&amp;RIGHT(VLOOKUP(C426,'Шаг1.Выбор плиты'!C:Q,8,0),4),'Шаг1.Выбор плиты'!L:L,IF(MID(C426,1,6)="ЛДСП P","TM"&amp;MID(VLOOKUP(C426,'Шаг1.Выбор плиты'!C:Q,10,0),3,2),MID(VLOOKUP(C426,'Шаг1.Выбор плиты'!C:Q,10,0),1,2)),
'Шаг1.Выбор плиты'!N:N,1),IF(SUMIFS('Шаг1.Выбор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плиты'!C:Q,12,0)),1))=0,
IF(SUMIFS('Шаг1.Выбор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плиты'!C:Q,12,0)),2))=0,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плиты'!C:Q,12,0)),3)),
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плиты'!C:Q,12,0)),2))),
(SUMIFS('Шаг1.Выбор плиты'!$G:$G,'Шаг1.Выбор плиты'!J:J,"*"&amp;RIGHT(VLOOKUP(C426,'Шаг1.Выбор плиты'!C:Q,8,0),4),'Шаг1.Выбор плиты'!L:L,VLOOKUP(C426,'Шаг1.Выбор плиты'!C:Q,10,0),'Шаг1.Выбор плиты'!N:N,U426,'Шаг1.Выбор плиты'!M:M,SMALL(INDIRECT("мм"&amp;VLOOKUP(C426,'Шаг1.Выбор плиты'!C:Q,12,0)),1)))))))</f>
        <v/>
      </c>
      <c r="L426" s="147" t="str">
        <f ca="1">IFERROR(IFERROR(IF(VLOOKUP($A426,'Шаг2.Бланк заказа NEW'!$B$17:$N$201,9,0)="","",VLOOKUP($A426,'Шаг2.Бланк заказа NEW'!$B$17:$N$201,9,0)),
IF(VLOOKUP($A426-COUNT('Шаг2.Бланк заказа NEW'!$B$19:$B$201),'Бланк OLD 0.8 04'!$B$12:$K$200,9,0)="","",VLOOKUP($A426-COUNT('Шаг2.Бланк заказа NEW'!$B$19:$B$201),'Бланк OLD 0.8 04'!$B$12:$K$200,9,0))),
IF(VLOOKUP($A426-COUNT('Шаг2.Бланк заказа NEW'!$B$19:$B$201)-COUNT('Бланк OLD 0.8 04'!$B$18:$B$200),'Бланк OLD 2.0 04 '!$B$16:$K$200,9,0)="","",VLOOKUP($A426-COUNT('Шаг2.Бланк заказа NEW'!$B$19:$B$201)-COUNT('Бланк OLD 0.8 04'!$B$18:$B$200),'Бланк OLD 2.0 04 '!$B$16:$K$200,9,0)))</f>
        <v/>
      </c>
      <c r="M426" s="154" t="str">
        <f t="shared" ca="1" si="36"/>
        <v/>
      </c>
      <c r="N426" s="153" t="str">
        <f ca="1">IFERROR(IF(VLOOKUP($A426,'Шаг2.Бланк заказа NEW'!$B$17:$N$201,11,0)="","",VLOOKUP($A426,'Шаг2.Бланк заказа NEW'!$B$17:$N$201,11,0)),
"Нет")</f>
        <v/>
      </c>
      <c r="O426" s="147" t="str">
        <f ca="1">IFERROR(IF(VLOOKUP($A426,'Шаг2.Бланк заказа NEW'!$B$17:$N$201,11,0)="","",VLOOKUP($A426,'Шаг2.Бланк заказа NEW'!$B$17:$N$201,12,0)),
"Нет")</f>
        <v/>
      </c>
      <c r="P426" s="153" t="str">
        <f ca="1">IFERROR(IF(VLOOKUP($A426,'Шаг2.Бланк заказа NEW'!$B$17:$N$201,13,0)="","",VLOOKUP($A426,'Шаг2.Бланк заказа NEW'!$B$17:$N$201,13,0)),
"Нет")</f>
        <v/>
      </c>
      <c r="Q426" s="147" t="str">
        <f ca="1">IFERROR(IF(VLOOKUP($A426,'Шаг2.Бланк заказа NEW'!$B$17:$O$201,14,0)="","",VLOOKUP($A426,'Шаг2.Бланк заказа NEW'!$B$17:$O$201,14,0)),"")</f>
        <v/>
      </c>
      <c r="R426" s="147" t="str">
        <f ca="1">IFERROR(IFERROR(IF(VLOOKUP($A426,'Шаг2.Бланк заказа NEW'!$B$17:$N$201,4,0)="","",VLOOKUP($A426,'Шаг2.Бланк заказа NEW'!$B$17:$N$201,4,0)),
IF(VLOOKUP($A426-COUNT('Шаг2.Бланк заказа NEW'!$B$19:$B$201),'Бланк OLD 0.8 04'!$B$12:$K$200,4,0)&gt;0,0.8,
IF(VLOOKUP($A426-COUNT('Шаг2.Бланк заказа NEW'!$B$19:$B$201),'Бланк OLD 0.8 04'!$B$12:$K$200,5,0)&gt;0,0.4,""))),
IF(VLOOKUP($A426-COUNT('Шаг2.Бланк заказа NEW'!$B$19:$B$201)-COUNT('Бланк OLD 0.8 04'!$B$18:$B$200),'Бланк OLD 2.0 04 '!$B$16:$K$200,4,0)&gt;0,2,IF(VLOOKUP($A426-COUNT('Шаг2.Бланк заказа NEW'!$B$19:$B$201)-COUNT('Бланк OLD 0.8 04'!$B$18:$B$200),'Бланк OLD 2.0 04 '!$B$16:$K$200,5,0)&gt;0,0.4,"")))</f>
        <v/>
      </c>
      <c r="S426" s="147" t="str">
        <f ca="1">IFERROR(IFERROR(IF(VLOOKUP($A426,'Шаг2.Бланк заказа NEW'!$B$17:$N$201,5,0)="","",VLOOKUP($A426,'Шаг2.Бланк заказа NEW'!$B$17:$N$201,5,0)),
IF(VLOOKUP($A426-COUNT('Шаг2.Бланк заказа NEW'!$B$19:$B$201),'Бланк OLD 0.8 04'!$B$12:$K$200,4,0)&gt;1,0.8,
IF(VLOOKUP($A426-COUNT('Шаг2.Бланк заказа NEW'!$B$19:$B$201),'Бланк OLD 0.8 04'!$B$12:$K$200,5,0)&gt;1,0.4,
IF(AND(VLOOKUP($A426-COUNT('Шаг2.Бланк заказа NEW'!$B$19:$B$201),'Бланк OLD 0.8 04'!$B$12:$K$200,4,0)&gt;0,VLOOKUP($A426-COUNT('Шаг2.Бланк заказа NEW'!$B$19:$B$201),'Бланк OLD 0.8 04'!$B$12:$K$200,5,0)&gt;0),0.4,"")))),
IF(VLOOKUP($A426-COUNT('Шаг2.Бланк заказа NEW'!$B$19:$B$201)-COUNT('Бланк OLD 0.8 04'!$B$18:$B$200),'Бланк OLD 2.0 04 '!$B$16:$K$200,4,0)&gt;1,2,
IF(VLOOKUP($A426-COUNT('Шаг2.Бланк заказа NEW'!$B$19:$B$201)-COUNT('Бланк OLD 0.8 04'!$B$18:$B$200),'Бланк OLD 2.0 04 '!$B$16:$K$200,5,0)&gt;1,0.4,IF(AND(VLOOKUP($A426-COUNT('Шаг2.Бланк заказа NEW'!$B$19:$B$201)-COUNT('Бланк OLD 0.8 04'!$B$18:$B$200),'Бланк OLD 2.0 04 '!$B$16:$K$200,4,0)&gt;0,VLOOKUP($A426-COUNT('Шаг2.Бланк заказа NEW'!$B$19:$B$201)-COUNT('Бланк OLD 0.8 04'!$B$18:$B$200),'Бланк OLD 2.0 04 '!$B$16:$K$200,5,0)&gt;0),0.4,""))))</f>
        <v/>
      </c>
      <c r="T426" s="147" t="str">
        <f ca="1">IFERROR(IFERROR(IF(VLOOKUP($A426,'Шаг2.Бланк заказа NEW'!$B$17:$N$201,7,0)="","",VLOOKUP($A426,'Шаг2.Бланк заказа NEW'!$B$17:$N$201,7,0)),
IF(VLOOKUP($A426-COUNT('Шаг2.Бланк заказа NEW'!$B$19:$B$201),'Бланк OLD 0.8 04'!$B$12:$K$200,7,0)&gt;0,0.8,
IF(VLOOKUP($A426-COUNT('Шаг2.Бланк заказа NEW'!$B$19:$B$201),'Бланк OLD 0.8 04'!$B$12:$K$200,8,0)&gt;0,0.4,""))),
IF(VLOOKUP($A426-COUNT('Шаг2.Бланк заказа NEW'!$B$19:$B$201)-COUNT('Бланк OLD 0.8 04'!$B$18:$B$200),'Бланк OLD 2.0 04 '!$B$16:$K$200,7,0)&gt;0,2,IF(VLOOKUP($A426-COUNT('Шаг2.Бланк заказа NEW'!$B$19:$B$201)-COUNT('Бланк OLD 0.8 04'!$B$18:$B$200),'Бланк OLD 2.0 04 '!$B$16:$K$200,8,0)&gt;0,0.4,"")))</f>
        <v/>
      </c>
      <c r="U426" s="147" t="str">
        <f ca="1">IFERROR(IFERROR(IF(VLOOKUP($A426,'Шаг2.Бланк заказа NEW'!$B$17:$N$201,8,0)="","",VLOOKUP($A426,'Шаг2.Бланк заказа NEW'!$B$17:$N$201,8,0)),
IF(VLOOKUP($A426-COUNT('Шаг2.Бланк заказа NEW'!$B$19:$B$201),'Бланк OLD 0.8 04'!$B$12:$K$200,7,0)&gt;1,0.8,
IF(VLOOKUP($A426-COUNT('Шаг2.Бланк заказа NEW'!$B$19:$B$201),'Бланк OLD 0.8 04'!$B$12:$K$200,8,0)&gt;1,0.4,
IF(AND(VLOOKUP($A426-COUNT('Шаг2.Бланк заказа NEW'!$B$19:$B$201),'Бланк OLD 0.8 04'!$B$12:$K$200,7,0)&gt;0,VLOOKUP($A426-COUNT('Шаг2.Бланк заказа NEW'!$B$19:$B$201),'Бланк OLD 0.8 04'!$B$12:$K$200,8,0)&gt;0),0.4,"")))),
IF(VLOOKUP($A426-COUNT('Шаг2.Бланк заказа NEW'!$B$19:$B$201)-COUNT('Бланк OLD 0.8 04'!$B$18:$B$200),'Бланк OLD 2.0 04 '!$B$16:$K$200,7,0)&gt;1,2,
IF(VLOOKUP($A426-COUNT('Шаг2.Бланк заказа NEW'!$B$19:$B$201)-COUNT('Бланк OLD 0.8 04'!$B$18:$B$200),'Бланк OLD 2.0 04 '!$B$16:$K$200,8,0)&gt;1,0.4,
IF(AND(VLOOKUP($A426-COUNT('Шаг2.Бланк заказа NEW'!$B$19:$B$201)-COUNT('Бланк OLD 0.8 04'!$B$18:$B$200),'Бланк OLD 2.0 04 '!$B$16:$K$200,7,0)&gt;0,VLOOKUP($A426-COUNT('Шаг2.Бланк заказа NEW'!$B$19:$B$201)-COUNT('Бланк OLD 0.8 04'!$B$18:$B$200),'Бланк OLD 2.0 04 '!$B$16:$K$200,8,0)&gt;0),0.4,""))))</f>
        <v/>
      </c>
      <c r="V426" s="146" t="str">
        <f ca="1">IFERROR(VLOOKUP(C426,'Шаг1.Выбор плиты'!C:S,12,0),"")</f>
        <v/>
      </c>
      <c r="W426" s="146" t="str">
        <f ca="1">IFERROR(VLOOKUP(C426,'Шаг1.Выбор плиты'!C:S,8,0),"")</f>
        <v/>
      </c>
      <c r="X426" s="146" t="str">
        <f ca="1">IFERROR(VLOOKUP(C426,'Шаг1.Выбор плиты'!C:S,10,0),"")</f>
        <v/>
      </c>
      <c r="Y426" s="147" t="str">
        <f t="shared" ca="1" si="39"/>
        <v/>
      </c>
      <c r="AD426" s="147" t="str">
        <f t="shared" ca="1" si="37"/>
        <v/>
      </c>
      <c r="AE426" s="147" t="str">
        <f t="shared" ca="1" si="40"/>
        <v/>
      </c>
      <c r="AF426" s="25"/>
      <c r="AH426" s="147" t="str">
        <f ca="1">IF(C426="","",VLOOKUP(C426,'Шаг1.Выбор плиты'!C:Q,7,0))</f>
        <v/>
      </c>
      <c r="AI426" s="147" t="str">
        <f t="shared" ca="1" si="38"/>
        <v/>
      </c>
    </row>
    <row r="427" spans="1:35" x14ac:dyDescent="0.2">
      <c r="A427" s="151" t="str">
        <f ca="1">IF(C427="","",MAX($A$1:OFFSET(C427,-1,0))+1)</f>
        <v/>
      </c>
      <c r="B427" s="151" t="str">
        <f ca="1">IFERROR(IFERROR(IFERROR("Шаг2.Бланк заказа NEW №"&amp;VLOOKUP(A426+1,CHOOSE({1,2},'Шаг2.Бланк заказа NEW'!$B$19:$B$201,'Шаг2.Бланк заказа NEW'!$A$19:$A$201),1,0),
"Бланк OLD 0.8 04 №"&amp;VLOOKUP(A426+1-COUNT('Шаг2.Бланк заказа NEW'!$B$19:$B$201),CHOOSE({1,2},'Бланк OLD 0.8 04'!$B$18:$B$200,'Бланк OLD 0.8 04'!$A$18:$A$200),1,0)),
"Бланк OLD 2.0 04 №"&amp;VLOOKUP(A426+1-COUNT('Шаг2.Бланк заказа NEW'!$B$19:$B$201)-COUNT('Бланк OLD 0.8 04'!$B$18:$B$200),CHOOSE({1,2},'Бланк OLD 2.0 04 '!$B$18:$B$200,'Бланк OLD 2.0 04 '!$A$18:$A$200),1,0)),"")</f>
        <v/>
      </c>
      <c r="C427" s="152" t="str">
        <f ca="1">IFERROR(IFERROR(IFERROR(VLOOKUP(A426+1,CHOOSE({1,2},'Шаг2.Бланк заказа NEW'!$B$19:$B$201,'Шаг2.Бланк заказа NEW'!$A$19:$A$201),2,0),
VLOOKUP(A426+1-COUNT('Шаг2.Бланк заказа NEW'!$B$19:$B$201),CHOOSE({1,2},'Бланк OLD 0.8 04'!$B$18:$B$200,'Бланк OLD 0.8 04'!$A$18:$A$200),2,0)),
VLOOKUP(A426+1-COUNT('Шаг2.Бланк заказа NEW'!$B$19:$B$201)-COUNT('Бланк OLD 0.8 04'!$B$18:$B$200),CHOOSE({1,2},'Бланк OLD 2.0 04 '!$B$18:$B$200,'Бланк OLD 2.0 04 '!$A$18:$A$200),2,0)),"")</f>
        <v/>
      </c>
      <c r="D427" s="150" t="str">
        <f ca="1">IFERROR(VLOOKUP(C427,'Шаг1.Выбор плиты'!C:G,5,0),"")</f>
        <v/>
      </c>
      <c r="E427" s="147" t="str">
        <f ca="1">IFERROR(IFERROR(IF(VLOOKUP($A427,'Шаг2.Бланк заказа NEW'!$B$17:$N$201,2,0)="","",VLOOKUP($A427,'Шаг2.Бланк заказа NEW'!$B$17:$N$201,2,0)),
IF(VLOOKUP($A427-COUNT('Шаг2.Бланк заказа NEW'!$B$19:$B$201),'Бланк OLD 0.8 04'!$B$12:$K$200,2,0)="","",VLOOKUP($A427-COUNT('Шаг2.Бланк заказа NEW'!$B$19:$B$201),'Бланк OLD 0.8 04'!$B$12:$K$200,2,0))),
IF(VLOOKUP($A427-COUNT('Шаг2.Бланк заказа NEW'!$B$19:$B$201)-COUNT('Бланк OLD 0.8 04'!$B$18:$B$200),'Бланк OLD 2.0 04 '!$B$16:$K$200,2,0)="","",VLOOKUP($A427-COUNT('Шаг2.Бланк заказа NEW'!$B$19:$B$201)-COUNT('Бланк OLD 0.8 04'!$B$18:$B$200),'Бланк OLD 2.0 04 '!$B$16:$K$200,2,0)))</f>
        <v/>
      </c>
      <c r="F427" s="147" t="str">
        <f ca="1">IFERROR(IFERROR(IF(VLOOKUP($A427,'Шаг2.Бланк заказа NEW'!$B$17:$N$201,3,0)="","",VLOOKUP($A427,'Шаг2.Бланк заказа NEW'!$B$17:$N$201,3,0)),
IF(VLOOKUP($A427-COUNT('Шаг2.Бланк заказа NEW'!$B$19:$B$201),'Бланк OLD 0.8 04'!$B$12:$K$200,3,0)="","",VLOOKUP($A427-COUNT('Шаг2.Бланк заказа NEW'!$B$19:$B$201),'Бланк OLD 0.8 04'!$B$12:$K$200,3,0))),
IF(VLOOKUP($A427-COUNT('Шаг2.Бланк заказа NEW'!$B$19:$B$201)-COUNT('Бланк OLD 0.8 04'!$B$18:$B$200),'Бланк OLD 2.0 04 '!$B$16:$K$200,3,0)="","",VLOOKUP($A427-COUNT('Шаг2.Бланк заказа NEW'!$B$19:$B$201)-COUNT('Бланк OLD 0.8 04'!$B$18:$B$200),'Бланк OLD 2.0 04 '!$B$16:$K$200,3,0)))</f>
        <v/>
      </c>
      <c r="G427" s="176" t="str">
        <f ca="1">IF(IF(R427="","",IF(R427=1,SUMIFS('Шаг1.Выбор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плиты'!C:Q,12,0)),1))))))=0,
R427,
IF(R427="","",IF(R427=1,SUMIFS('Шаг1.Выбор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плиты'!N:N,R427,'Шаг1.Выбор плиты'!M:M,SMALL(INDIRECT("мм"&amp;VLOOKUP(C427,'Шаг1.Выбор плиты'!C:Q,12,0)),1)))))))</f>
        <v/>
      </c>
      <c r="H427" s="177" t="str">
        <f ca="1">IF(IF(S427="","",IF(S427=1,SUMIFS('Шаг1.Выбор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плиты'!C:Q,12,0)),1))))))=0,
S427,
IF(S427="","",IF(S427=1,SUMIFS('Шаг1.Выбор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плиты'!N:N,S427,'Шаг1.Выбор плиты'!M:M,SMALL(INDIRECT("мм"&amp;VLOOKUP(C427,'Шаг1.Выбор плиты'!C:Q,12,0)),1)))))))</f>
        <v/>
      </c>
      <c r="I427" s="147" t="str">
        <f ca="1">IFERROR(IFERROR(IF(VLOOKUP($A427,'Шаг2.Бланк заказа NEW'!$B$17:$N$201,6,0)="","",VLOOKUP($A427,'Шаг2.Бланк заказа NEW'!$B$17:$N$201,6,0)),
IF(VLOOKUP($A427-COUNT('Шаг2.Бланк заказа NEW'!$B$19:$B$201),'Бланк OLD 0.8 04'!$B$12:$K$200,6,0)="","",VLOOKUP($A427-COUNT('Шаг2.Бланк заказа NEW'!$B$19:$B$201),'Бланк OLD 0.8 04'!$B$12:$K$200,6,0))),
IF(VLOOKUP($A427-COUNT('Шаг2.Бланк заказа NEW'!$B$19:$B$201)-COUNT('Бланк OLD 0.8 04'!$B$18:$B$200),'Бланк OLD 2.0 04 '!$B$16:$K$200,6,0)="","",VLOOKUP($A427-COUNT('Шаг2.Бланк заказа NEW'!$B$19:$B$201)-COUNT('Бланк OLD 0.8 04'!$B$18:$B$200),'Бланк OLD 2.0 04 '!$B$16:$K$200,6,0)))</f>
        <v/>
      </c>
      <c r="J427" s="177" t="str">
        <f ca="1">IF(IF(T427="","",IF(T427=1,SUMIFS('Шаг1.Выбор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плиты'!C:Q,12,0)),1))))))=0,
T427,
IF(T427="","",IF(T427=1,SUMIFS('Шаг1.Выбор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плиты'!N:N,T427,'Шаг1.Выбор плиты'!M:M,SMALL(INDIRECT("мм"&amp;VLOOKUP(C427,'Шаг1.Выбор плиты'!C:Q,12,0)),1)))))))</f>
        <v/>
      </c>
      <c r="K427" s="177" t="str">
        <f ca="1">IF(IF(U427="","",IF(U427=1,SUMIFS('Шаг1.Выбор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плиты'!C:Q,12,0)),1))))))=0,
U427,
IF(U427="","",IF(U427=1,SUMIFS('Шаг1.Выбор плиты'!$G:$G,'Шаг1.Выбор плиты'!J:J,"*"&amp;RIGHT(VLOOKUP(C427,'Шаг1.Выбор плиты'!C:Q,8,0),4),'Шаг1.Выбор плиты'!L:L,IF(MID(C427,1,6)="ЛДСП P","TM"&amp;MID(VLOOKUP(C427,'Шаг1.Выбор плиты'!C:Q,10,0),3,2),MID(VLOOKUP(C427,'Шаг1.Выбор плиты'!C:Q,10,0),1,2)),
'Шаг1.Выбор плиты'!N:N,1),IF(SUMIFS('Шаг1.Выбор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плиты'!C:Q,12,0)),1))=0,
IF(SUMIFS('Шаг1.Выбор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плиты'!C:Q,12,0)),2))=0,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плиты'!C:Q,12,0)),3)),
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плиты'!C:Q,12,0)),2))),
(SUMIFS('Шаг1.Выбор плиты'!$G:$G,'Шаг1.Выбор плиты'!J:J,"*"&amp;RIGHT(VLOOKUP(C427,'Шаг1.Выбор плиты'!C:Q,8,0),4),'Шаг1.Выбор плиты'!L:L,VLOOKUP(C427,'Шаг1.Выбор плиты'!C:Q,10,0),'Шаг1.Выбор плиты'!N:N,U427,'Шаг1.Выбор плиты'!M:M,SMALL(INDIRECT("мм"&amp;VLOOKUP(C427,'Шаг1.Выбор плиты'!C:Q,12,0)),1)))))))</f>
        <v/>
      </c>
      <c r="L427" s="147" t="str">
        <f ca="1">IFERROR(IFERROR(IF(VLOOKUP($A427,'Шаг2.Бланк заказа NEW'!$B$17:$N$201,9,0)="","",VLOOKUP($A427,'Шаг2.Бланк заказа NEW'!$B$17:$N$201,9,0)),
IF(VLOOKUP($A427-COUNT('Шаг2.Бланк заказа NEW'!$B$19:$B$201),'Бланк OLD 0.8 04'!$B$12:$K$200,9,0)="","",VLOOKUP($A427-COUNT('Шаг2.Бланк заказа NEW'!$B$19:$B$201),'Бланк OLD 0.8 04'!$B$12:$K$200,9,0))),
IF(VLOOKUP($A427-COUNT('Шаг2.Бланк заказа NEW'!$B$19:$B$201)-COUNT('Бланк OLD 0.8 04'!$B$18:$B$200),'Бланк OLD 2.0 04 '!$B$16:$K$200,9,0)="","",VLOOKUP($A427-COUNT('Шаг2.Бланк заказа NEW'!$B$19:$B$201)-COUNT('Бланк OLD 0.8 04'!$B$18:$B$200),'Бланк OLD 2.0 04 '!$B$16:$K$200,9,0)))</f>
        <v/>
      </c>
      <c r="M427" s="154" t="str">
        <f t="shared" ca="1" si="36"/>
        <v/>
      </c>
      <c r="N427" s="153" t="str">
        <f ca="1">IFERROR(IF(VLOOKUP($A427,'Шаг2.Бланк заказа NEW'!$B$17:$N$201,11,0)="","",VLOOKUP($A427,'Шаг2.Бланк заказа NEW'!$B$17:$N$201,11,0)),
"Нет")</f>
        <v/>
      </c>
      <c r="O427" s="147" t="str">
        <f ca="1">IFERROR(IF(VLOOKUP($A427,'Шаг2.Бланк заказа NEW'!$B$17:$N$201,11,0)="","",VLOOKUP($A427,'Шаг2.Бланк заказа NEW'!$B$17:$N$201,12,0)),
"Нет")</f>
        <v/>
      </c>
      <c r="P427" s="153" t="str">
        <f ca="1">IFERROR(IF(VLOOKUP($A427,'Шаг2.Бланк заказа NEW'!$B$17:$N$201,13,0)="","",VLOOKUP($A427,'Шаг2.Бланк заказа NEW'!$B$17:$N$201,13,0)),
"Нет")</f>
        <v/>
      </c>
      <c r="Q427" s="147" t="str">
        <f ca="1">IFERROR(IF(VLOOKUP($A427,'Шаг2.Бланк заказа NEW'!$B$17:$O$201,14,0)="","",VLOOKUP($A427,'Шаг2.Бланк заказа NEW'!$B$17:$O$201,14,0)),"")</f>
        <v/>
      </c>
      <c r="R427" s="147" t="str">
        <f ca="1">IFERROR(IFERROR(IF(VLOOKUP($A427,'Шаг2.Бланк заказа NEW'!$B$17:$N$201,4,0)="","",VLOOKUP($A427,'Шаг2.Бланк заказа NEW'!$B$17:$N$201,4,0)),
IF(VLOOKUP($A427-COUNT('Шаг2.Бланк заказа NEW'!$B$19:$B$201),'Бланк OLD 0.8 04'!$B$12:$K$200,4,0)&gt;0,0.8,
IF(VLOOKUP($A427-COUNT('Шаг2.Бланк заказа NEW'!$B$19:$B$201),'Бланк OLD 0.8 04'!$B$12:$K$200,5,0)&gt;0,0.4,""))),
IF(VLOOKUP($A427-COUNT('Шаг2.Бланк заказа NEW'!$B$19:$B$201)-COUNT('Бланк OLD 0.8 04'!$B$18:$B$200),'Бланк OLD 2.0 04 '!$B$16:$K$200,4,0)&gt;0,2,IF(VLOOKUP($A427-COUNT('Шаг2.Бланк заказа NEW'!$B$19:$B$201)-COUNT('Бланк OLD 0.8 04'!$B$18:$B$200),'Бланк OLD 2.0 04 '!$B$16:$K$200,5,0)&gt;0,0.4,"")))</f>
        <v/>
      </c>
      <c r="S427" s="147" t="str">
        <f ca="1">IFERROR(IFERROR(IF(VLOOKUP($A427,'Шаг2.Бланк заказа NEW'!$B$17:$N$201,5,0)="","",VLOOKUP($A427,'Шаг2.Бланк заказа NEW'!$B$17:$N$201,5,0)),
IF(VLOOKUP($A427-COUNT('Шаг2.Бланк заказа NEW'!$B$19:$B$201),'Бланк OLD 0.8 04'!$B$12:$K$200,4,0)&gt;1,0.8,
IF(VLOOKUP($A427-COUNT('Шаг2.Бланк заказа NEW'!$B$19:$B$201),'Бланк OLD 0.8 04'!$B$12:$K$200,5,0)&gt;1,0.4,
IF(AND(VLOOKUP($A427-COUNT('Шаг2.Бланк заказа NEW'!$B$19:$B$201),'Бланк OLD 0.8 04'!$B$12:$K$200,4,0)&gt;0,VLOOKUP($A427-COUNT('Шаг2.Бланк заказа NEW'!$B$19:$B$201),'Бланк OLD 0.8 04'!$B$12:$K$200,5,0)&gt;0),0.4,"")))),
IF(VLOOKUP($A427-COUNT('Шаг2.Бланк заказа NEW'!$B$19:$B$201)-COUNT('Бланк OLD 0.8 04'!$B$18:$B$200),'Бланк OLD 2.0 04 '!$B$16:$K$200,4,0)&gt;1,2,
IF(VLOOKUP($A427-COUNT('Шаг2.Бланк заказа NEW'!$B$19:$B$201)-COUNT('Бланк OLD 0.8 04'!$B$18:$B$200),'Бланк OLD 2.0 04 '!$B$16:$K$200,5,0)&gt;1,0.4,IF(AND(VLOOKUP($A427-COUNT('Шаг2.Бланк заказа NEW'!$B$19:$B$201)-COUNT('Бланк OLD 0.8 04'!$B$18:$B$200),'Бланк OLD 2.0 04 '!$B$16:$K$200,4,0)&gt;0,VLOOKUP($A427-COUNT('Шаг2.Бланк заказа NEW'!$B$19:$B$201)-COUNT('Бланк OLD 0.8 04'!$B$18:$B$200),'Бланк OLD 2.0 04 '!$B$16:$K$200,5,0)&gt;0),0.4,""))))</f>
        <v/>
      </c>
      <c r="T427" s="147" t="str">
        <f ca="1">IFERROR(IFERROR(IF(VLOOKUP($A427,'Шаг2.Бланк заказа NEW'!$B$17:$N$201,7,0)="","",VLOOKUP($A427,'Шаг2.Бланк заказа NEW'!$B$17:$N$201,7,0)),
IF(VLOOKUP($A427-COUNT('Шаг2.Бланк заказа NEW'!$B$19:$B$201),'Бланк OLD 0.8 04'!$B$12:$K$200,7,0)&gt;0,0.8,
IF(VLOOKUP($A427-COUNT('Шаг2.Бланк заказа NEW'!$B$19:$B$201),'Бланк OLD 0.8 04'!$B$12:$K$200,8,0)&gt;0,0.4,""))),
IF(VLOOKUP($A427-COUNT('Шаг2.Бланк заказа NEW'!$B$19:$B$201)-COUNT('Бланк OLD 0.8 04'!$B$18:$B$200),'Бланк OLD 2.0 04 '!$B$16:$K$200,7,0)&gt;0,2,IF(VLOOKUP($A427-COUNT('Шаг2.Бланк заказа NEW'!$B$19:$B$201)-COUNT('Бланк OLD 0.8 04'!$B$18:$B$200),'Бланк OLD 2.0 04 '!$B$16:$K$200,8,0)&gt;0,0.4,"")))</f>
        <v/>
      </c>
      <c r="U427" s="147" t="str">
        <f ca="1">IFERROR(IFERROR(IF(VLOOKUP($A427,'Шаг2.Бланк заказа NEW'!$B$17:$N$201,8,0)="","",VLOOKUP($A427,'Шаг2.Бланк заказа NEW'!$B$17:$N$201,8,0)),
IF(VLOOKUP($A427-COUNT('Шаг2.Бланк заказа NEW'!$B$19:$B$201),'Бланк OLD 0.8 04'!$B$12:$K$200,7,0)&gt;1,0.8,
IF(VLOOKUP($A427-COUNT('Шаг2.Бланк заказа NEW'!$B$19:$B$201),'Бланк OLD 0.8 04'!$B$12:$K$200,8,0)&gt;1,0.4,
IF(AND(VLOOKUP($A427-COUNT('Шаг2.Бланк заказа NEW'!$B$19:$B$201),'Бланк OLD 0.8 04'!$B$12:$K$200,7,0)&gt;0,VLOOKUP($A427-COUNT('Шаг2.Бланк заказа NEW'!$B$19:$B$201),'Бланк OLD 0.8 04'!$B$12:$K$200,8,0)&gt;0),0.4,"")))),
IF(VLOOKUP($A427-COUNT('Шаг2.Бланк заказа NEW'!$B$19:$B$201)-COUNT('Бланк OLD 0.8 04'!$B$18:$B$200),'Бланк OLD 2.0 04 '!$B$16:$K$200,7,0)&gt;1,2,
IF(VLOOKUP($A427-COUNT('Шаг2.Бланк заказа NEW'!$B$19:$B$201)-COUNT('Бланк OLD 0.8 04'!$B$18:$B$200),'Бланк OLD 2.0 04 '!$B$16:$K$200,8,0)&gt;1,0.4,
IF(AND(VLOOKUP($A427-COUNT('Шаг2.Бланк заказа NEW'!$B$19:$B$201)-COUNT('Бланк OLD 0.8 04'!$B$18:$B$200),'Бланк OLD 2.0 04 '!$B$16:$K$200,7,0)&gt;0,VLOOKUP($A427-COUNT('Шаг2.Бланк заказа NEW'!$B$19:$B$201)-COUNT('Бланк OLD 0.8 04'!$B$18:$B$200),'Бланк OLD 2.0 04 '!$B$16:$K$200,8,0)&gt;0),0.4,""))))</f>
        <v/>
      </c>
      <c r="V427" s="146" t="str">
        <f ca="1">IFERROR(VLOOKUP(C427,'Шаг1.Выбор плиты'!C:S,12,0),"")</f>
        <v/>
      </c>
      <c r="W427" s="146" t="str">
        <f ca="1">IFERROR(VLOOKUP(C427,'Шаг1.Выбор плиты'!C:S,8,0),"")</f>
        <v/>
      </c>
      <c r="X427" s="146" t="str">
        <f ca="1">IFERROR(VLOOKUP(C427,'Шаг1.Выбор плиты'!C:S,10,0),"")</f>
        <v/>
      </c>
      <c r="Y427" s="147" t="str">
        <f t="shared" ca="1" si="39"/>
        <v/>
      </c>
      <c r="AD427" s="147" t="str">
        <f t="shared" ca="1" si="37"/>
        <v/>
      </c>
      <c r="AE427" s="147" t="str">
        <f t="shared" ca="1" si="40"/>
        <v/>
      </c>
      <c r="AF427" s="25"/>
      <c r="AH427" s="147" t="str">
        <f ca="1">IF(C427="","",VLOOKUP(C427,'Шаг1.Выбор плиты'!C:Q,7,0))</f>
        <v/>
      </c>
      <c r="AI427" s="147" t="str">
        <f t="shared" ca="1" si="38"/>
        <v/>
      </c>
    </row>
    <row r="428" spans="1:35" x14ac:dyDescent="0.2">
      <c r="A428" s="151" t="str">
        <f ca="1">IF(C428="","",MAX($A$1:OFFSET(C428,-1,0))+1)</f>
        <v/>
      </c>
      <c r="B428" s="151" t="str">
        <f ca="1">IFERROR(IFERROR(IFERROR("Шаг2.Бланк заказа NEW №"&amp;VLOOKUP(A427+1,CHOOSE({1,2},'Шаг2.Бланк заказа NEW'!$B$19:$B$201,'Шаг2.Бланк заказа NEW'!$A$19:$A$201),1,0),
"Бланк OLD 0.8 04 №"&amp;VLOOKUP(A427+1-COUNT('Шаг2.Бланк заказа NEW'!$B$19:$B$201),CHOOSE({1,2},'Бланк OLD 0.8 04'!$B$18:$B$200,'Бланк OLD 0.8 04'!$A$18:$A$200),1,0)),
"Бланк OLD 2.0 04 №"&amp;VLOOKUP(A427+1-COUNT('Шаг2.Бланк заказа NEW'!$B$19:$B$201)-COUNT('Бланк OLD 0.8 04'!$B$18:$B$200),CHOOSE({1,2},'Бланк OLD 2.0 04 '!$B$18:$B$200,'Бланк OLD 2.0 04 '!$A$18:$A$200),1,0)),"")</f>
        <v/>
      </c>
      <c r="C428" s="152" t="str">
        <f ca="1">IFERROR(IFERROR(IFERROR(VLOOKUP(A427+1,CHOOSE({1,2},'Шаг2.Бланк заказа NEW'!$B$19:$B$201,'Шаг2.Бланк заказа NEW'!$A$19:$A$201),2,0),
VLOOKUP(A427+1-COUNT('Шаг2.Бланк заказа NEW'!$B$19:$B$201),CHOOSE({1,2},'Бланк OLD 0.8 04'!$B$18:$B$200,'Бланк OLD 0.8 04'!$A$18:$A$200),2,0)),
VLOOKUP(A427+1-COUNT('Шаг2.Бланк заказа NEW'!$B$19:$B$201)-COUNT('Бланк OLD 0.8 04'!$B$18:$B$200),CHOOSE({1,2},'Бланк OLD 2.0 04 '!$B$18:$B$200,'Бланк OLD 2.0 04 '!$A$18:$A$200),2,0)),"")</f>
        <v/>
      </c>
      <c r="D428" s="150" t="str">
        <f ca="1">IFERROR(VLOOKUP(C428,'Шаг1.Выбор плиты'!C:G,5,0),"")</f>
        <v/>
      </c>
      <c r="E428" s="147" t="str">
        <f ca="1">IFERROR(IFERROR(IF(VLOOKUP($A428,'Шаг2.Бланк заказа NEW'!$B$17:$N$201,2,0)="","",VLOOKUP($A428,'Шаг2.Бланк заказа NEW'!$B$17:$N$201,2,0)),
IF(VLOOKUP($A428-COUNT('Шаг2.Бланк заказа NEW'!$B$19:$B$201),'Бланк OLD 0.8 04'!$B$12:$K$200,2,0)="","",VLOOKUP($A428-COUNT('Шаг2.Бланк заказа NEW'!$B$19:$B$201),'Бланк OLD 0.8 04'!$B$12:$K$200,2,0))),
IF(VLOOKUP($A428-COUNT('Шаг2.Бланк заказа NEW'!$B$19:$B$201)-COUNT('Бланк OLD 0.8 04'!$B$18:$B$200),'Бланк OLD 2.0 04 '!$B$16:$K$200,2,0)="","",VLOOKUP($A428-COUNT('Шаг2.Бланк заказа NEW'!$B$19:$B$201)-COUNT('Бланк OLD 0.8 04'!$B$18:$B$200),'Бланк OLD 2.0 04 '!$B$16:$K$200,2,0)))</f>
        <v/>
      </c>
      <c r="F428" s="147" t="str">
        <f ca="1">IFERROR(IFERROR(IF(VLOOKUP($A428,'Шаг2.Бланк заказа NEW'!$B$17:$N$201,3,0)="","",VLOOKUP($A428,'Шаг2.Бланк заказа NEW'!$B$17:$N$201,3,0)),
IF(VLOOKUP($A428-COUNT('Шаг2.Бланк заказа NEW'!$B$19:$B$201),'Бланк OLD 0.8 04'!$B$12:$K$200,3,0)="","",VLOOKUP($A428-COUNT('Шаг2.Бланк заказа NEW'!$B$19:$B$201),'Бланк OLD 0.8 04'!$B$12:$K$200,3,0))),
IF(VLOOKUP($A428-COUNT('Шаг2.Бланк заказа NEW'!$B$19:$B$201)-COUNT('Бланк OLD 0.8 04'!$B$18:$B$200),'Бланк OLD 2.0 04 '!$B$16:$K$200,3,0)="","",VLOOKUP($A428-COUNT('Шаг2.Бланк заказа NEW'!$B$19:$B$201)-COUNT('Бланк OLD 0.8 04'!$B$18:$B$200),'Бланк OLD 2.0 04 '!$B$16:$K$200,3,0)))</f>
        <v/>
      </c>
      <c r="G428" s="176" t="str">
        <f ca="1">IF(IF(R428="","",IF(R428=1,SUMIFS('Шаг1.Выбор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плиты'!C:Q,12,0)),1))))))=0,
R428,
IF(R428="","",IF(R428=1,SUMIFS('Шаг1.Выбор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плиты'!N:N,R428,'Шаг1.Выбор плиты'!M:M,SMALL(INDIRECT("мм"&amp;VLOOKUP(C428,'Шаг1.Выбор плиты'!C:Q,12,0)),1)))))))</f>
        <v/>
      </c>
      <c r="H428" s="177" t="str">
        <f ca="1">IF(IF(S428="","",IF(S428=1,SUMIFS('Шаг1.Выбор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плиты'!C:Q,12,0)),1))))))=0,
S428,
IF(S428="","",IF(S428=1,SUMIFS('Шаг1.Выбор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плиты'!N:N,S428,'Шаг1.Выбор плиты'!M:M,SMALL(INDIRECT("мм"&amp;VLOOKUP(C428,'Шаг1.Выбор плиты'!C:Q,12,0)),1)))))))</f>
        <v/>
      </c>
      <c r="I428" s="147" t="str">
        <f ca="1">IFERROR(IFERROR(IF(VLOOKUP($A428,'Шаг2.Бланк заказа NEW'!$B$17:$N$201,6,0)="","",VLOOKUP($A428,'Шаг2.Бланк заказа NEW'!$B$17:$N$201,6,0)),
IF(VLOOKUP($A428-COUNT('Шаг2.Бланк заказа NEW'!$B$19:$B$201),'Бланк OLD 0.8 04'!$B$12:$K$200,6,0)="","",VLOOKUP($A428-COUNT('Шаг2.Бланк заказа NEW'!$B$19:$B$201),'Бланк OLD 0.8 04'!$B$12:$K$200,6,0))),
IF(VLOOKUP($A428-COUNT('Шаг2.Бланк заказа NEW'!$B$19:$B$201)-COUNT('Бланк OLD 0.8 04'!$B$18:$B$200),'Бланк OLD 2.0 04 '!$B$16:$K$200,6,0)="","",VLOOKUP($A428-COUNT('Шаг2.Бланк заказа NEW'!$B$19:$B$201)-COUNT('Бланк OLD 0.8 04'!$B$18:$B$200),'Бланк OLD 2.0 04 '!$B$16:$K$200,6,0)))</f>
        <v/>
      </c>
      <c r="J428" s="177" t="str">
        <f ca="1">IF(IF(T428="","",IF(T428=1,SUMIFS('Шаг1.Выбор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плиты'!C:Q,12,0)),1))))))=0,
T428,
IF(T428="","",IF(T428=1,SUMIFS('Шаг1.Выбор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плиты'!N:N,T428,'Шаг1.Выбор плиты'!M:M,SMALL(INDIRECT("мм"&amp;VLOOKUP(C428,'Шаг1.Выбор плиты'!C:Q,12,0)),1)))))))</f>
        <v/>
      </c>
      <c r="K428" s="177" t="str">
        <f ca="1">IF(IF(U428="","",IF(U428=1,SUMIFS('Шаг1.Выбор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плиты'!C:Q,12,0)),1))))))=0,
U428,
IF(U428="","",IF(U428=1,SUMIFS('Шаг1.Выбор плиты'!$G:$G,'Шаг1.Выбор плиты'!J:J,"*"&amp;RIGHT(VLOOKUP(C428,'Шаг1.Выбор плиты'!C:Q,8,0),4),'Шаг1.Выбор плиты'!L:L,IF(MID(C428,1,6)="ЛДСП P","TM"&amp;MID(VLOOKUP(C428,'Шаг1.Выбор плиты'!C:Q,10,0),3,2),MID(VLOOKUP(C428,'Шаг1.Выбор плиты'!C:Q,10,0),1,2)),
'Шаг1.Выбор плиты'!N:N,1),IF(SUMIFS('Шаг1.Выбор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плиты'!C:Q,12,0)),1))=0,
IF(SUMIFS('Шаг1.Выбор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плиты'!C:Q,12,0)),2))=0,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плиты'!C:Q,12,0)),3)),
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плиты'!C:Q,12,0)),2))),
(SUMIFS('Шаг1.Выбор плиты'!$G:$G,'Шаг1.Выбор плиты'!J:J,"*"&amp;RIGHT(VLOOKUP(C428,'Шаг1.Выбор плиты'!C:Q,8,0),4),'Шаг1.Выбор плиты'!L:L,VLOOKUP(C428,'Шаг1.Выбор плиты'!C:Q,10,0),'Шаг1.Выбор плиты'!N:N,U428,'Шаг1.Выбор плиты'!M:M,SMALL(INDIRECT("мм"&amp;VLOOKUP(C428,'Шаг1.Выбор плиты'!C:Q,12,0)),1)))))))</f>
        <v/>
      </c>
      <c r="L428" s="147" t="str">
        <f ca="1">IFERROR(IFERROR(IF(VLOOKUP($A428,'Шаг2.Бланк заказа NEW'!$B$17:$N$201,9,0)="","",VLOOKUP($A428,'Шаг2.Бланк заказа NEW'!$B$17:$N$201,9,0)),
IF(VLOOKUP($A428-COUNT('Шаг2.Бланк заказа NEW'!$B$19:$B$201),'Бланк OLD 0.8 04'!$B$12:$K$200,9,0)="","",VLOOKUP($A428-COUNT('Шаг2.Бланк заказа NEW'!$B$19:$B$201),'Бланк OLD 0.8 04'!$B$12:$K$200,9,0))),
IF(VLOOKUP($A428-COUNT('Шаг2.Бланк заказа NEW'!$B$19:$B$201)-COUNT('Бланк OLD 0.8 04'!$B$18:$B$200),'Бланк OLD 2.0 04 '!$B$16:$K$200,9,0)="","",VLOOKUP($A428-COUNT('Шаг2.Бланк заказа NEW'!$B$19:$B$201)-COUNT('Бланк OLD 0.8 04'!$B$18:$B$200),'Бланк OLD 2.0 04 '!$B$16:$K$200,9,0)))</f>
        <v/>
      </c>
      <c r="M428" s="154" t="str">
        <f t="shared" ca="1" si="36"/>
        <v/>
      </c>
      <c r="N428" s="153" t="str">
        <f ca="1">IFERROR(IF(VLOOKUP($A428,'Шаг2.Бланк заказа NEW'!$B$17:$N$201,11,0)="","",VLOOKUP($A428,'Шаг2.Бланк заказа NEW'!$B$17:$N$201,11,0)),
"Нет")</f>
        <v/>
      </c>
      <c r="O428" s="147" t="str">
        <f ca="1">IFERROR(IF(VLOOKUP($A428,'Шаг2.Бланк заказа NEW'!$B$17:$N$201,11,0)="","",VLOOKUP($A428,'Шаг2.Бланк заказа NEW'!$B$17:$N$201,12,0)),
"Нет")</f>
        <v/>
      </c>
      <c r="P428" s="153" t="str">
        <f ca="1">IFERROR(IF(VLOOKUP($A428,'Шаг2.Бланк заказа NEW'!$B$17:$N$201,13,0)="","",VLOOKUP($A428,'Шаг2.Бланк заказа NEW'!$B$17:$N$201,13,0)),
"Нет")</f>
        <v/>
      </c>
      <c r="Q428" s="147" t="str">
        <f ca="1">IFERROR(IF(VLOOKUP($A428,'Шаг2.Бланк заказа NEW'!$B$17:$O$201,14,0)="","",VLOOKUP($A428,'Шаг2.Бланк заказа NEW'!$B$17:$O$201,14,0)),"")</f>
        <v/>
      </c>
      <c r="R428" s="147" t="str">
        <f ca="1">IFERROR(IFERROR(IF(VLOOKUP($A428,'Шаг2.Бланк заказа NEW'!$B$17:$N$201,4,0)="","",VLOOKUP($A428,'Шаг2.Бланк заказа NEW'!$B$17:$N$201,4,0)),
IF(VLOOKUP($A428-COUNT('Шаг2.Бланк заказа NEW'!$B$19:$B$201),'Бланк OLD 0.8 04'!$B$12:$K$200,4,0)&gt;0,0.8,
IF(VLOOKUP($A428-COUNT('Шаг2.Бланк заказа NEW'!$B$19:$B$201),'Бланк OLD 0.8 04'!$B$12:$K$200,5,0)&gt;0,0.4,""))),
IF(VLOOKUP($A428-COUNT('Шаг2.Бланк заказа NEW'!$B$19:$B$201)-COUNT('Бланк OLD 0.8 04'!$B$18:$B$200),'Бланк OLD 2.0 04 '!$B$16:$K$200,4,0)&gt;0,2,IF(VLOOKUP($A428-COUNT('Шаг2.Бланк заказа NEW'!$B$19:$B$201)-COUNT('Бланк OLD 0.8 04'!$B$18:$B$200),'Бланк OLD 2.0 04 '!$B$16:$K$200,5,0)&gt;0,0.4,"")))</f>
        <v/>
      </c>
      <c r="S428" s="147" t="str">
        <f ca="1">IFERROR(IFERROR(IF(VLOOKUP($A428,'Шаг2.Бланк заказа NEW'!$B$17:$N$201,5,0)="","",VLOOKUP($A428,'Шаг2.Бланк заказа NEW'!$B$17:$N$201,5,0)),
IF(VLOOKUP($A428-COUNT('Шаг2.Бланк заказа NEW'!$B$19:$B$201),'Бланк OLD 0.8 04'!$B$12:$K$200,4,0)&gt;1,0.8,
IF(VLOOKUP($A428-COUNT('Шаг2.Бланк заказа NEW'!$B$19:$B$201),'Бланк OLD 0.8 04'!$B$12:$K$200,5,0)&gt;1,0.4,
IF(AND(VLOOKUP($A428-COUNT('Шаг2.Бланк заказа NEW'!$B$19:$B$201),'Бланк OLD 0.8 04'!$B$12:$K$200,4,0)&gt;0,VLOOKUP($A428-COUNT('Шаг2.Бланк заказа NEW'!$B$19:$B$201),'Бланк OLD 0.8 04'!$B$12:$K$200,5,0)&gt;0),0.4,"")))),
IF(VLOOKUP($A428-COUNT('Шаг2.Бланк заказа NEW'!$B$19:$B$201)-COUNT('Бланк OLD 0.8 04'!$B$18:$B$200),'Бланк OLD 2.0 04 '!$B$16:$K$200,4,0)&gt;1,2,
IF(VLOOKUP($A428-COUNT('Шаг2.Бланк заказа NEW'!$B$19:$B$201)-COUNT('Бланк OLD 0.8 04'!$B$18:$B$200),'Бланк OLD 2.0 04 '!$B$16:$K$200,5,0)&gt;1,0.4,IF(AND(VLOOKUP($A428-COUNT('Шаг2.Бланк заказа NEW'!$B$19:$B$201)-COUNT('Бланк OLD 0.8 04'!$B$18:$B$200),'Бланк OLD 2.0 04 '!$B$16:$K$200,4,0)&gt;0,VLOOKUP($A428-COUNT('Шаг2.Бланк заказа NEW'!$B$19:$B$201)-COUNT('Бланк OLD 0.8 04'!$B$18:$B$200),'Бланк OLD 2.0 04 '!$B$16:$K$200,5,0)&gt;0),0.4,""))))</f>
        <v/>
      </c>
      <c r="T428" s="147" t="str">
        <f ca="1">IFERROR(IFERROR(IF(VLOOKUP($A428,'Шаг2.Бланк заказа NEW'!$B$17:$N$201,7,0)="","",VLOOKUP($A428,'Шаг2.Бланк заказа NEW'!$B$17:$N$201,7,0)),
IF(VLOOKUP($A428-COUNT('Шаг2.Бланк заказа NEW'!$B$19:$B$201),'Бланк OLD 0.8 04'!$B$12:$K$200,7,0)&gt;0,0.8,
IF(VLOOKUP($A428-COUNT('Шаг2.Бланк заказа NEW'!$B$19:$B$201),'Бланк OLD 0.8 04'!$B$12:$K$200,8,0)&gt;0,0.4,""))),
IF(VLOOKUP($A428-COUNT('Шаг2.Бланк заказа NEW'!$B$19:$B$201)-COUNT('Бланк OLD 0.8 04'!$B$18:$B$200),'Бланк OLD 2.0 04 '!$B$16:$K$200,7,0)&gt;0,2,IF(VLOOKUP($A428-COUNT('Шаг2.Бланк заказа NEW'!$B$19:$B$201)-COUNT('Бланк OLD 0.8 04'!$B$18:$B$200),'Бланк OLD 2.0 04 '!$B$16:$K$200,8,0)&gt;0,0.4,"")))</f>
        <v/>
      </c>
      <c r="U428" s="147" t="str">
        <f ca="1">IFERROR(IFERROR(IF(VLOOKUP($A428,'Шаг2.Бланк заказа NEW'!$B$17:$N$201,8,0)="","",VLOOKUP($A428,'Шаг2.Бланк заказа NEW'!$B$17:$N$201,8,0)),
IF(VLOOKUP($A428-COUNT('Шаг2.Бланк заказа NEW'!$B$19:$B$201),'Бланк OLD 0.8 04'!$B$12:$K$200,7,0)&gt;1,0.8,
IF(VLOOKUP($A428-COUNT('Шаг2.Бланк заказа NEW'!$B$19:$B$201),'Бланк OLD 0.8 04'!$B$12:$K$200,8,0)&gt;1,0.4,
IF(AND(VLOOKUP($A428-COUNT('Шаг2.Бланк заказа NEW'!$B$19:$B$201),'Бланк OLD 0.8 04'!$B$12:$K$200,7,0)&gt;0,VLOOKUP($A428-COUNT('Шаг2.Бланк заказа NEW'!$B$19:$B$201),'Бланк OLD 0.8 04'!$B$12:$K$200,8,0)&gt;0),0.4,"")))),
IF(VLOOKUP($A428-COUNT('Шаг2.Бланк заказа NEW'!$B$19:$B$201)-COUNT('Бланк OLD 0.8 04'!$B$18:$B$200),'Бланк OLD 2.0 04 '!$B$16:$K$200,7,0)&gt;1,2,
IF(VLOOKUP($A428-COUNT('Шаг2.Бланк заказа NEW'!$B$19:$B$201)-COUNT('Бланк OLD 0.8 04'!$B$18:$B$200),'Бланк OLD 2.0 04 '!$B$16:$K$200,8,0)&gt;1,0.4,
IF(AND(VLOOKUP($A428-COUNT('Шаг2.Бланк заказа NEW'!$B$19:$B$201)-COUNT('Бланк OLD 0.8 04'!$B$18:$B$200),'Бланк OLD 2.0 04 '!$B$16:$K$200,7,0)&gt;0,VLOOKUP($A428-COUNT('Шаг2.Бланк заказа NEW'!$B$19:$B$201)-COUNT('Бланк OLD 0.8 04'!$B$18:$B$200),'Бланк OLD 2.0 04 '!$B$16:$K$200,8,0)&gt;0),0.4,""))))</f>
        <v/>
      </c>
      <c r="V428" s="146" t="str">
        <f ca="1">IFERROR(VLOOKUP(C428,'Шаг1.Выбор плиты'!C:S,12,0),"")</f>
        <v/>
      </c>
      <c r="W428" s="146" t="str">
        <f ca="1">IFERROR(VLOOKUP(C428,'Шаг1.Выбор плиты'!C:S,8,0),"")</f>
        <v/>
      </c>
      <c r="X428" s="146" t="str">
        <f ca="1">IFERROR(VLOOKUP(C428,'Шаг1.Выбор плиты'!C:S,10,0),"")</f>
        <v/>
      </c>
      <c r="Y428" s="147" t="str">
        <f t="shared" ca="1" si="39"/>
        <v/>
      </c>
      <c r="AD428" s="147" t="str">
        <f t="shared" ca="1" si="37"/>
        <v/>
      </c>
      <c r="AE428" s="147" t="str">
        <f t="shared" ca="1" si="40"/>
        <v/>
      </c>
      <c r="AF428" s="25"/>
      <c r="AH428" s="147" t="str">
        <f ca="1">IF(C428="","",VLOOKUP(C428,'Шаг1.Выбор плиты'!C:Q,7,0))</f>
        <v/>
      </c>
      <c r="AI428" s="147" t="str">
        <f t="shared" ca="1" si="38"/>
        <v/>
      </c>
    </row>
    <row r="429" spans="1:35" x14ac:dyDescent="0.2">
      <c r="A429" s="151" t="str">
        <f ca="1">IF(C429="","",MAX($A$1:OFFSET(C429,-1,0))+1)</f>
        <v/>
      </c>
      <c r="B429" s="151" t="str">
        <f ca="1">IFERROR(IFERROR(IFERROR("Шаг2.Бланк заказа NEW №"&amp;VLOOKUP(A428+1,CHOOSE({1,2},'Шаг2.Бланк заказа NEW'!$B$19:$B$201,'Шаг2.Бланк заказа NEW'!$A$19:$A$201),1,0),
"Бланк OLD 0.8 04 №"&amp;VLOOKUP(A428+1-COUNT('Шаг2.Бланк заказа NEW'!$B$19:$B$201),CHOOSE({1,2},'Бланк OLD 0.8 04'!$B$18:$B$200,'Бланк OLD 0.8 04'!$A$18:$A$200),1,0)),
"Бланк OLD 2.0 04 №"&amp;VLOOKUP(A428+1-COUNT('Шаг2.Бланк заказа NEW'!$B$19:$B$201)-COUNT('Бланк OLD 0.8 04'!$B$18:$B$200),CHOOSE({1,2},'Бланк OLD 2.0 04 '!$B$18:$B$200,'Бланк OLD 2.0 04 '!$A$18:$A$200),1,0)),"")</f>
        <v/>
      </c>
      <c r="C429" s="152" t="str">
        <f ca="1">IFERROR(IFERROR(IFERROR(VLOOKUP(A428+1,CHOOSE({1,2},'Шаг2.Бланк заказа NEW'!$B$19:$B$201,'Шаг2.Бланк заказа NEW'!$A$19:$A$201),2,0),
VLOOKUP(A428+1-COUNT('Шаг2.Бланк заказа NEW'!$B$19:$B$201),CHOOSE({1,2},'Бланк OLD 0.8 04'!$B$18:$B$200,'Бланк OLD 0.8 04'!$A$18:$A$200),2,0)),
VLOOKUP(A428+1-COUNT('Шаг2.Бланк заказа NEW'!$B$19:$B$201)-COUNT('Бланк OLD 0.8 04'!$B$18:$B$200),CHOOSE({1,2},'Бланк OLD 2.0 04 '!$B$18:$B$200,'Бланк OLD 2.0 04 '!$A$18:$A$200),2,0)),"")</f>
        <v/>
      </c>
      <c r="D429" s="150" t="str">
        <f ca="1">IFERROR(VLOOKUP(C429,'Шаг1.Выбор плиты'!C:G,5,0),"")</f>
        <v/>
      </c>
      <c r="E429" s="147" t="str">
        <f ca="1">IFERROR(IFERROR(IF(VLOOKUP($A429,'Шаг2.Бланк заказа NEW'!$B$17:$N$201,2,0)="","",VLOOKUP($A429,'Шаг2.Бланк заказа NEW'!$B$17:$N$201,2,0)),
IF(VLOOKUP($A429-COUNT('Шаг2.Бланк заказа NEW'!$B$19:$B$201),'Бланк OLD 0.8 04'!$B$12:$K$200,2,0)="","",VLOOKUP($A429-COUNT('Шаг2.Бланк заказа NEW'!$B$19:$B$201),'Бланк OLD 0.8 04'!$B$12:$K$200,2,0))),
IF(VLOOKUP($A429-COUNT('Шаг2.Бланк заказа NEW'!$B$19:$B$201)-COUNT('Бланк OLD 0.8 04'!$B$18:$B$200),'Бланк OLD 2.0 04 '!$B$16:$K$200,2,0)="","",VLOOKUP($A429-COUNT('Шаг2.Бланк заказа NEW'!$B$19:$B$201)-COUNT('Бланк OLD 0.8 04'!$B$18:$B$200),'Бланк OLD 2.0 04 '!$B$16:$K$200,2,0)))</f>
        <v/>
      </c>
      <c r="F429" s="147" t="str">
        <f ca="1">IFERROR(IFERROR(IF(VLOOKUP($A429,'Шаг2.Бланк заказа NEW'!$B$17:$N$201,3,0)="","",VLOOKUP($A429,'Шаг2.Бланк заказа NEW'!$B$17:$N$201,3,0)),
IF(VLOOKUP($A429-COUNT('Шаг2.Бланк заказа NEW'!$B$19:$B$201),'Бланк OLD 0.8 04'!$B$12:$K$200,3,0)="","",VLOOKUP($A429-COUNT('Шаг2.Бланк заказа NEW'!$B$19:$B$201),'Бланк OLD 0.8 04'!$B$12:$K$200,3,0))),
IF(VLOOKUP($A429-COUNT('Шаг2.Бланк заказа NEW'!$B$19:$B$201)-COUNT('Бланк OLD 0.8 04'!$B$18:$B$200),'Бланк OLD 2.0 04 '!$B$16:$K$200,3,0)="","",VLOOKUP($A429-COUNT('Шаг2.Бланк заказа NEW'!$B$19:$B$201)-COUNT('Бланк OLD 0.8 04'!$B$18:$B$200),'Бланк OLD 2.0 04 '!$B$16:$K$200,3,0)))</f>
        <v/>
      </c>
      <c r="G429" s="176" t="str">
        <f ca="1">IF(IF(R429="","",IF(R429=1,SUMIFS('Шаг1.Выбор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плиты'!C:Q,12,0)),1))))))=0,
R429,
IF(R429="","",IF(R429=1,SUMIFS('Шаг1.Выбор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плиты'!N:N,R429,'Шаг1.Выбор плиты'!M:M,SMALL(INDIRECT("мм"&amp;VLOOKUP(C429,'Шаг1.Выбор плиты'!C:Q,12,0)),1)))))))</f>
        <v/>
      </c>
      <c r="H429" s="177" t="str">
        <f ca="1">IF(IF(S429="","",IF(S429=1,SUMIFS('Шаг1.Выбор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плиты'!C:Q,12,0)),1))))))=0,
S429,
IF(S429="","",IF(S429=1,SUMIFS('Шаг1.Выбор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плиты'!N:N,S429,'Шаг1.Выбор плиты'!M:M,SMALL(INDIRECT("мм"&amp;VLOOKUP(C429,'Шаг1.Выбор плиты'!C:Q,12,0)),1)))))))</f>
        <v/>
      </c>
      <c r="I429" s="147" t="str">
        <f ca="1">IFERROR(IFERROR(IF(VLOOKUP($A429,'Шаг2.Бланк заказа NEW'!$B$17:$N$201,6,0)="","",VLOOKUP($A429,'Шаг2.Бланк заказа NEW'!$B$17:$N$201,6,0)),
IF(VLOOKUP($A429-COUNT('Шаг2.Бланк заказа NEW'!$B$19:$B$201),'Бланк OLD 0.8 04'!$B$12:$K$200,6,0)="","",VLOOKUP($A429-COUNT('Шаг2.Бланк заказа NEW'!$B$19:$B$201),'Бланк OLD 0.8 04'!$B$12:$K$200,6,0))),
IF(VLOOKUP($A429-COUNT('Шаг2.Бланк заказа NEW'!$B$19:$B$201)-COUNT('Бланк OLD 0.8 04'!$B$18:$B$200),'Бланк OLD 2.0 04 '!$B$16:$K$200,6,0)="","",VLOOKUP($A429-COUNT('Шаг2.Бланк заказа NEW'!$B$19:$B$201)-COUNT('Бланк OLD 0.8 04'!$B$18:$B$200),'Бланк OLD 2.0 04 '!$B$16:$K$200,6,0)))</f>
        <v/>
      </c>
      <c r="J429" s="177" t="str">
        <f ca="1">IF(IF(T429="","",IF(T429=1,SUMIFS('Шаг1.Выбор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плиты'!C:Q,12,0)),1))))))=0,
T429,
IF(T429="","",IF(T429=1,SUMIFS('Шаг1.Выбор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плиты'!N:N,T429,'Шаг1.Выбор плиты'!M:M,SMALL(INDIRECT("мм"&amp;VLOOKUP(C429,'Шаг1.Выбор плиты'!C:Q,12,0)),1)))))))</f>
        <v/>
      </c>
      <c r="K429" s="177" t="str">
        <f ca="1">IF(IF(U429="","",IF(U429=1,SUMIFS('Шаг1.Выбор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плиты'!C:Q,12,0)),1))))))=0,
U429,
IF(U429="","",IF(U429=1,SUMIFS('Шаг1.Выбор плиты'!$G:$G,'Шаг1.Выбор плиты'!J:J,"*"&amp;RIGHT(VLOOKUP(C429,'Шаг1.Выбор плиты'!C:Q,8,0),4),'Шаг1.Выбор плиты'!L:L,IF(MID(C429,1,6)="ЛДСП P","TM"&amp;MID(VLOOKUP(C429,'Шаг1.Выбор плиты'!C:Q,10,0),3,2),MID(VLOOKUP(C429,'Шаг1.Выбор плиты'!C:Q,10,0),1,2)),
'Шаг1.Выбор плиты'!N:N,1),IF(SUMIFS('Шаг1.Выбор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плиты'!C:Q,12,0)),1))=0,
IF(SUMIFS('Шаг1.Выбор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плиты'!C:Q,12,0)),2))=0,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плиты'!C:Q,12,0)),3)),
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плиты'!C:Q,12,0)),2))),
(SUMIFS('Шаг1.Выбор плиты'!$G:$G,'Шаг1.Выбор плиты'!J:J,"*"&amp;RIGHT(VLOOKUP(C429,'Шаг1.Выбор плиты'!C:Q,8,0),4),'Шаг1.Выбор плиты'!L:L,VLOOKUP(C429,'Шаг1.Выбор плиты'!C:Q,10,0),'Шаг1.Выбор плиты'!N:N,U429,'Шаг1.Выбор плиты'!M:M,SMALL(INDIRECT("мм"&amp;VLOOKUP(C429,'Шаг1.Выбор плиты'!C:Q,12,0)),1)))))))</f>
        <v/>
      </c>
      <c r="L429" s="147" t="str">
        <f ca="1">IFERROR(IFERROR(IF(VLOOKUP($A429,'Шаг2.Бланк заказа NEW'!$B$17:$N$201,9,0)="","",VLOOKUP($A429,'Шаг2.Бланк заказа NEW'!$B$17:$N$201,9,0)),
IF(VLOOKUP($A429-COUNT('Шаг2.Бланк заказа NEW'!$B$19:$B$201),'Бланк OLD 0.8 04'!$B$12:$K$200,9,0)="","",VLOOKUP($A429-COUNT('Шаг2.Бланк заказа NEW'!$B$19:$B$201),'Бланк OLD 0.8 04'!$B$12:$K$200,9,0))),
IF(VLOOKUP($A429-COUNT('Шаг2.Бланк заказа NEW'!$B$19:$B$201)-COUNT('Бланк OLD 0.8 04'!$B$18:$B$200),'Бланк OLD 2.0 04 '!$B$16:$K$200,9,0)="","",VLOOKUP($A429-COUNT('Шаг2.Бланк заказа NEW'!$B$19:$B$201)-COUNT('Бланк OLD 0.8 04'!$B$18:$B$200),'Бланк OLD 2.0 04 '!$B$16:$K$200,9,0)))</f>
        <v/>
      </c>
      <c r="M429" s="154" t="str">
        <f t="shared" ca="1" si="36"/>
        <v/>
      </c>
      <c r="N429" s="153" t="str">
        <f ca="1">IFERROR(IF(VLOOKUP($A429,'Шаг2.Бланк заказа NEW'!$B$17:$N$201,11,0)="","",VLOOKUP($A429,'Шаг2.Бланк заказа NEW'!$B$17:$N$201,11,0)),
"Нет")</f>
        <v/>
      </c>
      <c r="O429" s="147" t="str">
        <f ca="1">IFERROR(IF(VLOOKUP($A429,'Шаг2.Бланк заказа NEW'!$B$17:$N$201,11,0)="","",VLOOKUP($A429,'Шаг2.Бланк заказа NEW'!$B$17:$N$201,12,0)),
"Нет")</f>
        <v/>
      </c>
      <c r="P429" s="153" t="str">
        <f ca="1">IFERROR(IF(VLOOKUP($A429,'Шаг2.Бланк заказа NEW'!$B$17:$N$201,13,0)="","",VLOOKUP($A429,'Шаг2.Бланк заказа NEW'!$B$17:$N$201,13,0)),
"Нет")</f>
        <v/>
      </c>
      <c r="Q429" s="147" t="str">
        <f ca="1">IFERROR(IF(VLOOKUP($A429,'Шаг2.Бланк заказа NEW'!$B$17:$O$201,14,0)="","",VLOOKUP($A429,'Шаг2.Бланк заказа NEW'!$B$17:$O$201,14,0)),"")</f>
        <v/>
      </c>
      <c r="R429" s="147" t="str">
        <f ca="1">IFERROR(IFERROR(IF(VLOOKUP($A429,'Шаг2.Бланк заказа NEW'!$B$17:$N$201,4,0)="","",VLOOKUP($A429,'Шаг2.Бланк заказа NEW'!$B$17:$N$201,4,0)),
IF(VLOOKUP($A429-COUNT('Шаг2.Бланк заказа NEW'!$B$19:$B$201),'Бланк OLD 0.8 04'!$B$12:$K$200,4,0)&gt;0,0.8,
IF(VLOOKUP($A429-COUNT('Шаг2.Бланк заказа NEW'!$B$19:$B$201),'Бланк OLD 0.8 04'!$B$12:$K$200,5,0)&gt;0,0.4,""))),
IF(VLOOKUP($A429-COUNT('Шаг2.Бланк заказа NEW'!$B$19:$B$201)-COUNT('Бланк OLD 0.8 04'!$B$18:$B$200),'Бланк OLD 2.0 04 '!$B$16:$K$200,4,0)&gt;0,2,IF(VLOOKUP($A429-COUNT('Шаг2.Бланк заказа NEW'!$B$19:$B$201)-COUNT('Бланк OLD 0.8 04'!$B$18:$B$200),'Бланк OLD 2.0 04 '!$B$16:$K$200,5,0)&gt;0,0.4,"")))</f>
        <v/>
      </c>
      <c r="S429" s="147" t="str">
        <f ca="1">IFERROR(IFERROR(IF(VLOOKUP($A429,'Шаг2.Бланк заказа NEW'!$B$17:$N$201,5,0)="","",VLOOKUP($A429,'Шаг2.Бланк заказа NEW'!$B$17:$N$201,5,0)),
IF(VLOOKUP($A429-COUNT('Шаг2.Бланк заказа NEW'!$B$19:$B$201),'Бланк OLD 0.8 04'!$B$12:$K$200,4,0)&gt;1,0.8,
IF(VLOOKUP($A429-COUNT('Шаг2.Бланк заказа NEW'!$B$19:$B$201),'Бланк OLD 0.8 04'!$B$12:$K$200,5,0)&gt;1,0.4,
IF(AND(VLOOKUP($A429-COUNT('Шаг2.Бланк заказа NEW'!$B$19:$B$201),'Бланк OLD 0.8 04'!$B$12:$K$200,4,0)&gt;0,VLOOKUP($A429-COUNT('Шаг2.Бланк заказа NEW'!$B$19:$B$201),'Бланк OLD 0.8 04'!$B$12:$K$200,5,0)&gt;0),0.4,"")))),
IF(VLOOKUP($A429-COUNT('Шаг2.Бланк заказа NEW'!$B$19:$B$201)-COUNT('Бланк OLD 0.8 04'!$B$18:$B$200),'Бланк OLD 2.0 04 '!$B$16:$K$200,4,0)&gt;1,2,
IF(VLOOKUP($A429-COUNT('Шаг2.Бланк заказа NEW'!$B$19:$B$201)-COUNT('Бланк OLD 0.8 04'!$B$18:$B$200),'Бланк OLD 2.0 04 '!$B$16:$K$200,5,0)&gt;1,0.4,IF(AND(VLOOKUP($A429-COUNT('Шаг2.Бланк заказа NEW'!$B$19:$B$201)-COUNT('Бланк OLD 0.8 04'!$B$18:$B$200),'Бланк OLD 2.0 04 '!$B$16:$K$200,4,0)&gt;0,VLOOKUP($A429-COUNT('Шаг2.Бланк заказа NEW'!$B$19:$B$201)-COUNT('Бланк OLD 0.8 04'!$B$18:$B$200),'Бланк OLD 2.0 04 '!$B$16:$K$200,5,0)&gt;0),0.4,""))))</f>
        <v/>
      </c>
      <c r="T429" s="147" t="str">
        <f ca="1">IFERROR(IFERROR(IF(VLOOKUP($A429,'Шаг2.Бланк заказа NEW'!$B$17:$N$201,7,0)="","",VLOOKUP($A429,'Шаг2.Бланк заказа NEW'!$B$17:$N$201,7,0)),
IF(VLOOKUP($A429-COUNT('Шаг2.Бланк заказа NEW'!$B$19:$B$201),'Бланк OLD 0.8 04'!$B$12:$K$200,7,0)&gt;0,0.8,
IF(VLOOKUP($A429-COUNT('Шаг2.Бланк заказа NEW'!$B$19:$B$201),'Бланк OLD 0.8 04'!$B$12:$K$200,8,0)&gt;0,0.4,""))),
IF(VLOOKUP($A429-COUNT('Шаг2.Бланк заказа NEW'!$B$19:$B$201)-COUNT('Бланк OLD 0.8 04'!$B$18:$B$200),'Бланк OLD 2.0 04 '!$B$16:$K$200,7,0)&gt;0,2,IF(VLOOKUP($A429-COUNT('Шаг2.Бланк заказа NEW'!$B$19:$B$201)-COUNT('Бланк OLD 0.8 04'!$B$18:$B$200),'Бланк OLD 2.0 04 '!$B$16:$K$200,8,0)&gt;0,0.4,"")))</f>
        <v/>
      </c>
      <c r="U429" s="147" t="str">
        <f ca="1">IFERROR(IFERROR(IF(VLOOKUP($A429,'Шаг2.Бланк заказа NEW'!$B$17:$N$201,8,0)="","",VLOOKUP($A429,'Шаг2.Бланк заказа NEW'!$B$17:$N$201,8,0)),
IF(VLOOKUP($A429-COUNT('Шаг2.Бланк заказа NEW'!$B$19:$B$201),'Бланк OLD 0.8 04'!$B$12:$K$200,7,0)&gt;1,0.8,
IF(VLOOKUP($A429-COUNT('Шаг2.Бланк заказа NEW'!$B$19:$B$201),'Бланк OLD 0.8 04'!$B$12:$K$200,8,0)&gt;1,0.4,
IF(AND(VLOOKUP($A429-COUNT('Шаг2.Бланк заказа NEW'!$B$19:$B$201),'Бланк OLD 0.8 04'!$B$12:$K$200,7,0)&gt;0,VLOOKUP($A429-COUNT('Шаг2.Бланк заказа NEW'!$B$19:$B$201),'Бланк OLD 0.8 04'!$B$12:$K$200,8,0)&gt;0),0.4,"")))),
IF(VLOOKUP($A429-COUNT('Шаг2.Бланк заказа NEW'!$B$19:$B$201)-COUNT('Бланк OLD 0.8 04'!$B$18:$B$200),'Бланк OLD 2.0 04 '!$B$16:$K$200,7,0)&gt;1,2,
IF(VLOOKUP($A429-COUNT('Шаг2.Бланк заказа NEW'!$B$19:$B$201)-COUNT('Бланк OLD 0.8 04'!$B$18:$B$200),'Бланк OLD 2.0 04 '!$B$16:$K$200,8,0)&gt;1,0.4,
IF(AND(VLOOKUP($A429-COUNT('Шаг2.Бланк заказа NEW'!$B$19:$B$201)-COUNT('Бланк OLD 0.8 04'!$B$18:$B$200),'Бланк OLD 2.0 04 '!$B$16:$K$200,7,0)&gt;0,VLOOKUP($A429-COUNT('Шаг2.Бланк заказа NEW'!$B$19:$B$201)-COUNT('Бланк OLD 0.8 04'!$B$18:$B$200),'Бланк OLD 2.0 04 '!$B$16:$K$200,8,0)&gt;0),0.4,""))))</f>
        <v/>
      </c>
      <c r="V429" s="146" t="str">
        <f ca="1">IFERROR(VLOOKUP(C429,'Шаг1.Выбор плиты'!C:S,12,0),"")</f>
        <v/>
      </c>
      <c r="W429" s="146" t="str">
        <f ca="1">IFERROR(VLOOKUP(C429,'Шаг1.Выбор плиты'!C:S,8,0),"")</f>
        <v/>
      </c>
      <c r="X429" s="146" t="str">
        <f ca="1">IFERROR(VLOOKUP(C429,'Шаг1.Выбор плиты'!C:S,10,0),"")</f>
        <v/>
      </c>
      <c r="Y429" s="147" t="str">
        <f t="shared" ca="1" si="39"/>
        <v/>
      </c>
      <c r="AD429" s="147" t="str">
        <f t="shared" ca="1" si="37"/>
        <v/>
      </c>
      <c r="AE429" s="147" t="str">
        <f t="shared" ca="1" si="40"/>
        <v/>
      </c>
      <c r="AF429" s="25"/>
      <c r="AH429" s="147" t="str">
        <f ca="1">IF(C429="","",VLOOKUP(C429,'Шаг1.Выбор плиты'!C:Q,7,0))</f>
        <v/>
      </c>
      <c r="AI429" s="147" t="str">
        <f t="shared" ca="1" si="38"/>
        <v/>
      </c>
    </row>
    <row r="430" spans="1:35" x14ac:dyDescent="0.2">
      <c r="A430" s="151" t="str">
        <f ca="1">IF(C430="","",MAX($A$1:OFFSET(C430,-1,0))+1)</f>
        <v/>
      </c>
      <c r="B430" s="151" t="str">
        <f ca="1">IFERROR(IFERROR(IFERROR("Шаг2.Бланк заказа NEW №"&amp;VLOOKUP(A429+1,CHOOSE({1,2},'Шаг2.Бланк заказа NEW'!$B$19:$B$201,'Шаг2.Бланк заказа NEW'!$A$19:$A$201),1,0),
"Бланк OLD 0.8 04 №"&amp;VLOOKUP(A429+1-COUNT('Шаг2.Бланк заказа NEW'!$B$19:$B$201),CHOOSE({1,2},'Бланк OLD 0.8 04'!$B$18:$B$200,'Бланк OLD 0.8 04'!$A$18:$A$200),1,0)),
"Бланк OLD 2.0 04 №"&amp;VLOOKUP(A429+1-COUNT('Шаг2.Бланк заказа NEW'!$B$19:$B$201)-COUNT('Бланк OLD 0.8 04'!$B$18:$B$200),CHOOSE({1,2},'Бланк OLD 2.0 04 '!$B$18:$B$200,'Бланк OLD 2.0 04 '!$A$18:$A$200),1,0)),"")</f>
        <v/>
      </c>
      <c r="C430" s="152" t="str">
        <f ca="1">IFERROR(IFERROR(IFERROR(VLOOKUP(A429+1,CHOOSE({1,2},'Шаг2.Бланк заказа NEW'!$B$19:$B$201,'Шаг2.Бланк заказа NEW'!$A$19:$A$201),2,0),
VLOOKUP(A429+1-COUNT('Шаг2.Бланк заказа NEW'!$B$19:$B$201),CHOOSE({1,2},'Бланк OLD 0.8 04'!$B$18:$B$200,'Бланк OLD 0.8 04'!$A$18:$A$200),2,0)),
VLOOKUP(A429+1-COUNT('Шаг2.Бланк заказа NEW'!$B$19:$B$201)-COUNT('Бланк OLD 0.8 04'!$B$18:$B$200),CHOOSE({1,2},'Бланк OLD 2.0 04 '!$B$18:$B$200,'Бланк OLD 2.0 04 '!$A$18:$A$200),2,0)),"")</f>
        <v/>
      </c>
      <c r="D430" s="150" t="str">
        <f ca="1">IFERROR(VLOOKUP(C430,'Шаг1.Выбор плиты'!C:G,5,0),"")</f>
        <v/>
      </c>
      <c r="E430" s="147" t="str">
        <f ca="1">IFERROR(IFERROR(IF(VLOOKUP($A430,'Шаг2.Бланк заказа NEW'!$B$17:$N$201,2,0)="","",VLOOKUP($A430,'Шаг2.Бланк заказа NEW'!$B$17:$N$201,2,0)),
IF(VLOOKUP($A430-COUNT('Шаг2.Бланк заказа NEW'!$B$19:$B$201),'Бланк OLD 0.8 04'!$B$12:$K$200,2,0)="","",VLOOKUP($A430-COUNT('Шаг2.Бланк заказа NEW'!$B$19:$B$201),'Бланк OLD 0.8 04'!$B$12:$K$200,2,0))),
IF(VLOOKUP($A430-COUNT('Шаг2.Бланк заказа NEW'!$B$19:$B$201)-COUNT('Бланк OLD 0.8 04'!$B$18:$B$200),'Бланк OLD 2.0 04 '!$B$16:$K$200,2,0)="","",VLOOKUP($A430-COUNT('Шаг2.Бланк заказа NEW'!$B$19:$B$201)-COUNT('Бланк OLD 0.8 04'!$B$18:$B$200),'Бланк OLD 2.0 04 '!$B$16:$K$200,2,0)))</f>
        <v/>
      </c>
      <c r="F430" s="147" t="str">
        <f ca="1">IFERROR(IFERROR(IF(VLOOKUP($A430,'Шаг2.Бланк заказа NEW'!$B$17:$N$201,3,0)="","",VLOOKUP($A430,'Шаг2.Бланк заказа NEW'!$B$17:$N$201,3,0)),
IF(VLOOKUP($A430-COUNT('Шаг2.Бланк заказа NEW'!$B$19:$B$201),'Бланк OLD 0.8 04'!$B$12:$K$200,3,0)="","",VLOOKUP($A430-COUNT('Шаг2.Бланк заказа NEW'!$B$19:$B$201),'Бланк OLD 0.8 04'!$B$12:$K$200,3,0))),
IF(VLOOKUP($A430-COUNT('Шаг2.Бланк заказа NEW'!$B$19:$B$201)-COUNT('Бланк OLD 0.8 04'!$B$18:$B$200),'Бланк OLD 2.0 04 '!$B$16:$K$200,3,0)="","",VLOOKUP($A430-COUNT('Шаг2.Бланк заказа NEW'!$B$19:$B$201)-COUNT('Бланк OLD 0.8 04'!$B$18:$B$200),'Бланк OLD 2.0 04 '!$B$16:$K$200,3,0)))</f>
        <v/>
      </c>
      <c r="G430" s="176" t="str">
        <f ca="1">IF(IF(R430="","",IF(R430=1,SUMIFS('Шаг1.Выбор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плиты'!C:Q,12,0)),1))))))=0,
R430,
IF(R430="","",IF(R430=1,SUMIFS('Шаг1.Выбор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плиты'!N:N,R430,'Шаг1.Выбор плиты'!M:M,SMALL(INDIRECT("мм"&amp;VLOOKUP(C430,'Шаг1.Выбор плиты'!C:Q,12,0)),1)))))))</f>
        <v/>
      </c>
      <c r="H430" s="177" t="str">
        <f ca="1">IF(IF(S430="","",IF(S430=1,SUMIFS('Шаг1.Выбор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плиты'!C:Q,12,0)),1))))))=0,
S430,
IF(S430="","",IF(S430=1,SUMIFS('Шаг1.Выбор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плиты'!N:N,S430,'Шаг1.Выбор плиты'!M:M,SMALL(INDIRECT("мм"&amp;VLOOKUP(C430,'Шаг1.Выбор плиты'!C:Q,12,0)),1)))))))</f>
        <v/>
      </c>
      <c r="I430" s="147" t="str">
        <f ca="1">IFERROR(IFERROR(IF(VLOOKUP($A430,'Шаг2.Бланк заказа NEW'!$B$17:$N$201,6,0)="","",VLOOKUP($A430,'Шаг2.Бланк заказа NEW'!$B$17:$N$201,6,0)),
IF(VLOOKUP($A430-COUNT('Шаг2.Бланк заказа NEW'!$B$19:$B$201),'Бланк OLD 0.8 04'!$B$12:$K$200,6,0)="","",VLOOKUP($A430-COUNT('Шаг2.Бланк заказа NEW'!$B$19:$B$201),'Бланк OLD 0.8 04'!$B$12:$K$200,6,0))),
IF(VLOOKUP($A430-COUNT('Шаг2.Бланк заказа NEW'!$B$19:$B$201)-COUNT('Бланк OLD 0.8 04'!$B$18:$B$200),'Бланк OLD 2.0 04 '!$B$16:$K$200,6,0)="","",VLOOKUP($A430-COUNT('Шаг2.Бланк заказа NEW'!$B$19:$B$201)-COUNT('Бланк OLD 0.8 04'!$B$18:$B$200),'Бланк OLD 2.0 04 '!$B$16:$K$200,6,0)))</f>
        <v/>
      </c>
      <c r="J430" s="177" t="str">
        <f ca="1">IF(IF(T430="","",IF(T430=1,SUMIFS('Шаг1.Выбор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плиты'!C:Q,12,0)),1))))))=0,
T430,
IF(T430="","",IF(T430=1,SUMIFS('Шаг1.Выбор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плиты'!N:N,T430,'Шаг1.Выбор плиты'!M:M,SMALL(INDIRECT("мм"&amp;VLOOKUP(C430,'Шаг1.Выбор плиты'!C:Q,12,0)),1)))))))</f>
        <v/>
      </c>
      <c r="K430" s="177" t="str">
        <f ca="1">IF(IF(U430="","",IF(U430=1,SUMIFS('Шаг1.Выбор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плиты'!C:Q,12,0)),1))))))=0,
U430,
IF(U430="","",IF(U430=1,SUMIFS('Шаг1.Выбор плиты'!$G:$G,'Шаг1.Выбор плиты'!J:J,"*"&amp;RIGHT(VLOOKUP(C430,'Шаг1.Выбор плиты'!C:Q,8,0),4),'Шаг1.Выбор плиты'!L:L,IF(MID(C430,1,6)="ЛДСП P","TM"&amp;MID(VLOOKUP(C430,'Шаг1.Выбор плиты'!C:Q,10,0),3,2),MID(VLOOKUP(C430,'Шаг1.Выбор плиты'!C:Q,10,0),1,2)),
'Шаг1.Выбор плиты'!N:N,1),IF(SUMIFS('Шаг1.Выбор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плиты'!C:Q,12,0)),1))=0,
IF(SUMIFS('Шаг1.Выбор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плиты'!C:Q,12,0)),2))=0,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плиты'!C:Q,12,0)),3)),
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плиты'!C:Q,12,0)),2))),
(SUMIFS('Шаг1.Выбор плиты'!$G:$G,'Шаг1.Выбор плиты'!J:J,"*"&amp;RIGHT(VLOOKUP(C430,'Шаг1.Выбор плиты'!C:Q,8,0),4),'Шаг1.Выбор плиты'!L:L,VLOOKUP(C430,'Шаг1.Выбор плиты'!C:Q,10,0),'Шаг1.Выбор плиты'!N:N,U430,'Шаг1.Выбор плиты'!M:M,SMALL(INDIRECT("мм"&amp;VLOOKUP(C430,'Шаг1.Выбор плиты'!C:Q,12,0)),1)))))))</f>
        <v/>
      </c>
      <c r="L430" s="147" t="str">
        <f ca="1">IFERROR(IFERROR(IF(VLOOKUP($A430,'Шаг2.Бланк заказа NEW'!$B$17:$N$201,9,0)="","",VLOOKUP($A430,'Шаг2.Бланк заказа NEW'!$B$17:$N$201,9,0)),
IF(VLOOKUP($A430-COUNT('Шаг2.Бланк заказа NEW'!$B$19:$B$201),'Бланк OLD 0.8 04'!$B$12:$K$200,9,0)="","",VLOOKUP($A430-COUNT('Шаг2.Бланк заказа NEW'!$B$19:$B$201),'Бланк OLD 0.8 04'!$B$12:$K$200,9,0))),
IF(VLOOKUP($A430-COUNT('Шаг2.Бланк заказа NEW'!$B$19:$B$201)-COUNT('Бланк OLD 0.8 04'!$B$18:$B$200),'Бланк OLD 2.0 04 '!$B$16:$K$200,9,0)="","",VLOOKUP($A430-COUNT('Шаг2.Бланк заказа NEW'!$B$19:$B$201)-COUNT('Бланк OLD 0.8 04'!$B$18:$B$200),'Бланк OLD 2.0 04 '!$B$16:$K$200,9,0)))</f>
        <v/>
      </c>
      <c r="M430" s="154" t="str">
        <f t="shared" ca="1" si="36"/>
        <v/>
      </c>
      <c r="N430" s="153" t="str">
        <f ca="1">IFERROR(IF(VLOOKUP($A430,'Шаг2.Бланк заказа NEW'!$B$17:$N$201,11,0)="","",VLOOKUP($A430,'Шаг2.Бланк заказа NEW'!$B$17:$N$201,11,0)),
"Нет")</f>
        <v/>
      </c>
      <c r="O430" s="147" t="str">
        <f ca="1">IFERROR(IF(VLOOKUP($A430,'Шаг2.Бланк заказа NEW'!$B$17:$N$201,11,0)="","",VLOOKUP($A430,'Шаг2.Бланк заказа NEW'!$B$17:$N$201,12,0)),
"Нет")</f>
        <v/>
      </c>
      <c r="P430" s="153" t="str">
        <f ca="1">IFERROR(IF(VLOOKUP($A430,'Шаг2.Бланк заказа NEW'!$B$17:$N$201,13,0)="","",VLOOKUP($A430,'Шаг2.Бланк заказа NEW'!$B$17:$N$201,13,0)),
"Нет")</f>
        <v/>
      </c>
      <c r="Q430" s="147" t="str">
        <f ca="1">IFERROR(IF(VLOOKUP($A430,'Шаг2.Бланк заказа NEW'!$B$17:$O$201,14,0)="","",VLOOKUP($A430,'Шаг2.Бланк заказа NEW'!$B$17:$O$201,14,0)),"")</f>
        <v/>
      </c>
      <c r="R430" s="147" t="str">
        <f ca="1">IFERROR(IFERROR(IF(VLOOKUP($A430,'Шаг2.Бланк заказа NEW'!$B$17:$N$201,4,0)="","",VLOOKUP($A430,'Шаг2.Бланк заказа NEW'!$B$17:$N$201,4,0)),
IF(VLOOKUP($A430-COUNT('Шаг2.Бланк заказа NEW'!$B$19:$B$201),'Бланк OLD 0.8 04'!$B$12:$K$200,4,0)&gt;0,0.8,
IF(VLOOKUP($A430-COUNT('Шаг2.Бланк заказа NEW'!$B$19:$B$201),'Бланк OLD 0.8 04'!$B$12:$K$200,5,0)&gt;0,0.4,""))),
IF(VLOOKUP($A430-COUNT('Шаг2.Бланк заказа NEW'!$B$19:$B$201)-COUNT('Бланк OLD 0.8 04'!$B$18:$B$200),'Бланк OLD 2.0 04 '!$B$16:$K$200,4,0)&gt;0,2,IF(VLOOKUP($A430-COUNT('Шаг2.Бланк заказа NEW'!$B$19:$B$201)-COUNT('Бланк OLD 0.8 04'!$B$18:$B$200),'Бланк OLD 2.0 04 '!$B$16:$K$200,5,0)&gt;0,0.4,"")))</f>
        <v/>
      </c>
      <c r="S430" s="147" t="str">
        <f ca="1">IFERROR(IFERROR(IF(VLOOKUP($A430,'Шаг2.Бланк заказа NEW'!$B$17:$N$201,5,0)="","",VLOOKUP($A430,'Шаг2.Бланк заказа NEW'!$B$17:$N$201,5,0)),
IF(VLOOKUP($A430-COUNT('Шаг2.Бланк заказа NEW'!$B$19:$B$201),'Бланк OLD 0.8 04'!$B$12:$K$200,4,0)&gt;1,0.8,
IF(VLOOKUP($A430-COUNT('Шаг2.Бланк заказа NEW'!$B$19:$B$201),'Бланк OLD 0.8 04'!$B$12:$K$200,5,0)&gt;1,0.4,
IF(AND(VLOOKUP($A430-COUNT('Шаг2.Бланк заказа NEW'!$B$19:$B$201),'Бланк OLD 0.8 04'!$B$12:$K$200,4,0)&gt;0,VLOOKUP($A430-COUNT('Шаг2.Бланк заказа NEW'!$B$19:$B$201),'Бланк OLD 0.8 04'!$B$12:$K$200,5,0)&gt;0),0.4,"")))),
IF(VLOOKUP($A430-COUNT('Шаг2.Бланк заказа NEW'!$B$19:$B$201)-COUNT('Бланк OLD 0.8 04'!$B$18:$B$200),'Бланк OLD 2.0 04 '!$B$16:$K$200,4,0)&gt;1,2,
IF(VLOOKUP($A430-COUNT('Шаг2.Бланк заказа NEW'!$B$19:$B$201)-COUNT('Бланк OLD 0.8 04'!$B$18:$B$200),'Бланк OLD 2.0 04 '!$B$16:$K$200,5,0)&gt;1,0.4,IF(AND(VLOOKUP($A430-COUNT('Шаг2.Бланк заказа NEW'!$B$19:$B$201)-COUNT('Бланк OLD 0.8 04'!$B$18:$B$200),'Бланк OLD 2.0 04 '!$B$16:$K$200,4,0)&gt;0,VLOOKUP($A430-COUNT('Шаг2.Бланк заказа NEW'!$B$19:$B$201)-COUNT('Бланк OLD 0.8 04'!$B$18:$B$200),'Бланк OLD 2.0 04 '!$B$16:$K$200,5,0)&gt;0),0.4,""))))</f>
        <v/>
      </c>
      <c r="T430" s="147" t="str">
        <f ca="1">IFERROR(IFERROR(IF(VLOOKUP($A430,'Шаг2.Бланк заказа NEW'!$B$17:$N$201,7,0)="","",VLOOKUP($A430,'Шаг2.Бланк заказа NEW'!$B$17:$N$201,7,0)),
IF(VLOOKUP($A430-COUNT('Шаг2.Бланк заказа NEW'!$B$19:$B$201),'Бланк OLD 0.8 04'!$B$12:$K$200,7,0)&gt;0,0.8,
IF(VLOOKUP($A430-COUNT('Шаг2.Бланк заказа NEW'!$B$19:$B$201),'Бланк OLD 0.8 04'!$B$12:$K$200,8,0)&gt;0,0.4,""))),
IF(VLOOKUP($A430-COUNT('Шаг2.Бланк заказа NEW'!$B$19:$B$201)-COUNT('Бланк OLD 0.8 04'!$B$18:$B$200),'Бланк OLD 2.0 04 '!$B$16:$K$200,7,0)&gt;0,2,IF(VLOOKUP($A430-COUNT('Шаг2.Бланк заказа NEW'!$B$19:$B$201)-COUNT('Бланк OLD 0.8 04'!$B$18:$B$200),'Бланк OLD 2.0 04 '!$B$16:$K$200,8,0)&gt;0,0.4,"")))</f>
        <v/>
      </c>
      <c r="U430" s="147" t="str">
        <f ca="1">IFERROR(IFERROR(IF(VLOOKUP($A430,'Шаг2.Бланк заказа NEW'!$B$17:$N$201,8,0)="","",VLOOKUP($A430,'Шаг2.Бланк заказа NEW'!$B$17:$N$201,8,0)),
IF(VLOOKUP($A430-COUNT('Шаг2.Бланк заказа NEW'!$B$19:$B$201),'Бланк OLD 0.8 04'!$B$12:$K$200,7,0)&gt;1,0.8,
IF(VLOOKUP($A430-COUNT('Шаг2.Бланк заказа NEW'!$B$19:$B$201),'Бланк OLD 0.8 04'!$B$12:$K$200,8,0)&gt;1,0.4,
IF(AND(VLOOKUP($A430-COUNT('Шаг2.Бланк заказа NEW'!$B$19:$B$201),'Бланк OLD 0.8 04'!$B$12:$K$200,7,0)&gt;0,VLOOKUP($A430-COUNT('Шаг2.Бланк заказа NEW'!$B$19:$B$201),'Бланк OLD 0.8 04'!$B$12:$K$200,8,0)&gt;0),0.4,"")))),
IF(VLOOKUP($A430-COUNT('Шаг2.Бланк заказа NEW'!$B$19:$B$201)-COUNT('Бланк OLD 0.8 04'!$B$18:$B$200),'Бланк OLD 2.0 04 '!$B$16:$K$200,7,0)&gt;1,2,
IF(VLOOKUP($A430-COUNT('Шаг2.Бланк заказа NEW'!$B$19:$B$201)-COUNT('Бланк OLD 0.8 04'!$B$18:$B$200),'Бланк OLD 2.0 04 '!$B$16:$K$200,8,0)&gt;1,0.4,
IF(AND(VLOOKUP($A430-COUNT('Шаг2.Бланк заказа NEW'!$B$19:$B$201)-COUNT('Бланк OLD 0.8 04'!$B$18:$B$200),'Бланк OLD 2.0 04 '!$B$16:$K$200,7,0)&gt;0,VLOOKUP($A430-COUNT('Шаг2.Бланк заказа NEW'!$B$19:$B$201)-COUNT('Бланк OLD 0.8 04'!$B$18:$B$200),'Бланк OLD 2.0 04 '!$B$16:$K$200,8,0)&gt;0),0.4,""))))</f>
        <v/>
      </c>
      <c r="V430" s="146" t="str">
        <f ca="1">IFERROR(VLOOKUP(C430,'Шаг1.Выбор плиты'!C:S,12,0),"")</f>
        <v/>
      </c>
      <c r="W430" s="146" t="str">
        <f ca="1">IFERROR(VLOOKUP(C430,'Шаг1.Выбор плиты'!C:S,8,0),"")</f>
        <v/>
      </c>
      <c r="X430" s="146" t="str">
        <f ca="1">IFERROR(VLOOKUP(C430,'Шаг1.Выбор плиты'!C:S,10,0),"")</f>
        <v/>
      </c>
      <c r="Y430" s="147" t="str">
        <f t="shared" ca="1" si="39"/>
        <v/>
      </c>
      <c r="AD430" s="147" t="str">
        <f t="shared" ca="1" si="37"/>
        <v/>
      </c>
      <c r="AE430" s="147" t="str">
        <f t="shared" ca="1" si="40"/>
        <v/>
      </c>
      <c r="AF430" s="25"/>
      <c r="AH430" s="147" t="str">
        <f ca="1">IF(C430="","",VLOOKUP(C430,'Шаг1.Выбор плиты'!C:Q,7,0))</f>
        <v/>
      </c>
      <c r="AI430" s="147" t="str">
        <f t="shared" ca="1" si="38"/>
        <v/>
      </c>
    </row>
    <row r="431" spans="1:35" x14ac:dyDescent="0.2">
      <c r="A431" s="151" t="str">
        <f ca="1">IF(C431="","",MAX($A$1:OFFSET(C431,-1,0))+1)</f>
        <v/>
      </c>
      <c r="B431" s="151" t="str">
        <f ca="1">IFERROR(IFERROR(IFERROR("Шаг2.Бланк заказа NEW №"&amp;VLOOKUP(A430+1,CHOOSE({1,2},'Шаг2.Бланк заказа NEW'!$B$19:$B$201,'Шаг2.Бланк заказа NEW'!$A$19:$A$201),1,0),
"Бланк OLD 0.8 04 №"&amp;VLOOKUP(A430+1-COUNT('Шаг2.Бланк заказа NEW'!$B$19:$B$201),CHOOSE({1,2},'Бланк OLD 0.8 04'!$B$18:$B$200,'Бланк OLD 0.8 04'!$A$18:$A$200),1,0)),
"Бланк OLD 2.0 04 №"&amp;VLOOKUP(A430+1-COUNT('Шаг2.Бланк заказа NEW'!$B$19:$B$201)-COUNT('Бланк OLD 0.8 04'!$B$18:$B$200),CHOOSE({1,2},'Бланк OLD 2.0 04 '!$B$18:$B$200,'Бланк OLD 2.0 04 '!$A$18:$A$200),1,0)),"")</f>
        <v/>
      </c>
      <c r="C431" s="152" t="str">
        <f ca="1">IFERROR(IFERROR(IFERROR(VLOOKUP(A430+1,CHOOSE({1,2},'Шаг2.Бланк заказа NEW'!$B$19:$B$201,'Шаг2.Бланк заказа NEW'!$A$19:$A$201),2,0),
VLOOKUP(A430+1-COUNT('Шаг2.Бланк заказа NEW'!$B$19:$B$201),CHOOSE({1,2},'Бланк OLD 0.8 04'!$B$18:$B$200,'Бланк OLD 0.8 04'!$A$18:$A$200),2,0)),
VLOOKUP(A430+1-COUNT('Шаг2.Бланк заказа NEW'!$B$19:$B$201)-COUNT('Бланк OLD 0.8 04'!$B$18:$B$200),CHOOSE({1,2},'Бланк OLD 2.0 04 '!$B$18:$B$200,'Бланк OLD 2.0 04 '!$A$18:$A$200),2,0)),"")</f>
        <v/>
      </c>
      <c r="D431" s="150" t="str">
        <f ca="1">IFERROR(VLOOKUP(C431,'Шаг1.Выбор плиты'!C:G,5,0),"")</f>
        <v/>
      </c>
      <c r="E431" s="147" t="str">
        <f ca="1">IFERROR(IFERROR(IF(VLOOKUP($A431,'Шаг2.Бланк заказа NEW'!$B$17:$N$201,2,0)="","",VLOOKUP($A431,'Шаг2.Бланк заказа NEW'!$B$17:$N$201,2,0)),
IF(VLOOKUP($A431-COUNT('Шаг2.Бланк заказа NEW'!$B$19:$B$201),'Бланк OLD 0.8 04'!$B$12:$K$200,2,0)="","",VLOOKUP($A431-COUNT('Шаг2.Бланк заказа NEW'!$B$19:$B$201),'Бланк OLD 0.8 04'!$B$12:$K$200,2,0))),
IF(VLOOKUP($A431-COUNT('Шаг2.Бланк заказа NEW'!$B$19:$B$201)-COUNT('Бланк OLD 0.8 04'!$B$18:$B$200),'Бланк OLD 2.0 04 '!$B$16:$K$200,2,0)="","",VLOOKUP($A431-COUNT('Шаг2.Бланк заказа NEW'!$B$19:$B$201)-COUNT('Бланк OLD 0.8 04'!$B$18:$B$200),'Бланк OLD 2.0 04 '!$B$16:$K$200,2,0)))</f>
        <v/>
      </c>
      <c r="F431" s="147" t="str">
        <f ca="1">IFERROR(IFERROR(IF(VLOOKUP($A431,'Шаг2.Бланк заказа NEW'!$B$17:$N$201,3,0)="","",VLOOKUP($A431,'Шаг2.Бланк заказа NEW'!$B$17:$N$201,3,0)),
IF(VLOOKUP($A431-COUNT('Шаг2.Бланк заказа NEW'!$B$19:$B$201),'Бланк OLD 0.8 04'!$B$12:$K$200,3,0)="","",VLOOKUP($A431-COUNT('Шаг2.Бланк заказа NEW'!$B$19:$B$201),'Бланк OLD 0.8 04'!$B$12:$K$200,3,0))),
IF(VLOOKUP($A431-COUNT('Шаг2.Бланк заказа NEW'!$B$19:$B$201)-COUNT('Бланк OLD 0.8 04'!$B$18:$B$200),'Бланк OLD 2.0 04 '!$B$16:$K$200,3,0)="","",VLOOKUP($A431-COUNT('Шаг2.Бланк заказа NEW'!$B$19:$B$201)-COUNT('Бланк OLD 0.8 04'!$B$18:$B$200),'Бланк OLD 2.0 04 '!$B$16:$K$200,3,0)))</f>
        <v/>
      </c>
      <c r="G431" s="176" t="str">
        <f ca="1">IF(IF(R431="","",IF(R431=1,SUMIFS('Шаг1.Выбор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плиты'!C:Q,12,0)),1))))))=0,
R431,
IF(R431="","",IF(R431=1,SUMIFS('Шаг1.Выбор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плиты'!N:N,R431,'Шаг1.Выбор плиты'!M:M,SMALL(INDIRECT("мм"&amp;VLOOKUP(C431,'Шаг1.Выбор плиты'!C:Q,12,0)),1)))))))</f>
        <v/>
      </c>
      <c r="H431" s="177" t="str">
        <f ca="1">IF(IF(S431="","",IF(S431=1,SUMIFS('Шаг1.Выбор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плиты'!C:Q,12,0)),1))))))=0,
S431,
IF(S431="","",IF(S431=1,SUMIFS('Шаг1.Выбор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плиты'!N:N,S431,'Шаг1.Выбор плиты'!M:M,SMALL(INDIRECT("мм"&amp;VLOOKUP(C431,'Шаг1.Выбор плиты'!C:Q,12,0)),1)))))))</f>
        <v/>
      </c>
      <c r="I431" s="147" t="str">
        <f ca="1">IFERROR(IFERROR(IF(VLOOKUP($A431,'Шаг2.Бланк заказа NEW'!$B$17:$N$201,6,0)="","",VLOOKUP($A431,'Шаг2.Бланк заказа NEW'!$B$17:$N$201,6,0)),
IF(VLOOKUP($A431-COUNT('Шаг2.Бланк заказа NEW'!$B$19:$B$201),'Бланк OLD 0.8 04'!$B$12:$K$200,6,0)="","",VLOOKUP($A431-COUNT('Шаг2.Бланк заказа NEW'!$B$19:$B$201),'Бланк OLD 0.8 04'!$B$12:$K$200,6,0))),
IF(VLOOKUP($A431-COUNT('Шаг2.Бланк заказа NEW'!$B$19:$B$201)-COUNT('Бланк OLD 0.8 04'!$B$18:$B$200),'Бланк OLD 2.0 04 '!$B$16:$K$200,6,0)="","",VLOOKUP($A431-COUNT('Шаг2.Бланк заказа NEW'!$B$19:$B$201)-COUNT('Бланк OLD 0.8 04'!$B$18:$B$200),'Бланк OLD 2.0 04 '!$B$16:$K$200,6,0)))</f>
        <v/>
      </c>
      <c r="J431" s="177" t="str">
        <f ca="1">IF(IF(T431="","",IF(T431=1,SUMIFS('Шаг1.Выбор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плиты'!C:Q,12,0)),1))))))=0,
T431,
IF(T431="","",IF(T431=1,SUMIFS('Шаг1.Выбор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плиты'!N:N,T431,'Шаг1.Выбор плиты'!M:M,SMALL(INDIRECT("мм"&amp;VLOOKUP(C431,'Шаг1.Выбор плиты'!C:Q,12,0)),1)))))))</f>
        <v/>
      </c>
      <c r="K431" s="177" t="str">
        <f ca="1">IF(IF(U431="","",IF(U431=1,SUMIFS('Шаг1.Выбор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плиты'!C:Q,12,0)),1))))))=0,
U431,
IF(U431="","",IF(U431=1,SUMIFS('Шаг1.Выбор плиты'!$G:$G,'Шаг1.Выбор плиты'!J:J,"*"&amp;RIGHT(VLOOKUP(C431,'Шаг1.Выбор плиты'!C:Q,8,0),4),'Шаг1.Выбор плиты'!L:L,IF(MID(C431,1,6)="ЛДСП P","TM"&amp;MID(VLOOKUP(C431,'Шаг1.Выбор плиты'!C:Q,10,0),3,2),MID(VLOOKUP(C431,'Шаг1.Выбор плиты'!C:Q,10,0),1,2)),
'Шаг1.Выбор плиты'!N:N,1),IF(SUMIFS('Шаг1.Выбор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плиты'!C:Q,12,0)),1))=0,
IF(SUMIFS('Шаг1.Выбор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плиты'!C:Q,12,0)),2))=0,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плиты'!C:Q,12,0)),3)),
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плиты'!C:Q,12,0)),2))),
(SUMIFS('Шаг1.Выбор плиты'!$G:$G,'Шаг1.Выбор плиты'!J:J,"*"&amp;RIGHT(VLOOKUP(C431,'Шаг1.Выбор плиты'!C:Q,8,0),4),'Шаг1.Выбор плиты'!L:L,VLOOKUP(C431,'Шаг1.Выбор плиты'!C:Q,10,0),'Шаг1.Выбор плиты'!N:N,U431,'Шаг1.Выбор плиты'!M:M,SMALL(INDIRECT("мм"&amp;VLOOKUP(C431,'Шаг1.Выбор плиты'!C:Q,12,0)),1)))))))</f>
        <v/>
      </c>
      <c r="L431" s="147" t="str">
        <f ca="1">IFERROR(IFERROR(IF(VLOOKUP($A431,'Шаг2.Бланк заказа NEW'!$B$17:$N$201,9,0)="","",VLOOKUP($A431,'Шаг2.Бланк заказа NEW'!$B$17:$N$201,9,0)),
IF(VLOOKUP($A431-COUNT('Шаг2.Бланк заказа NEW'!$B$19:$B$201),'Бланк OLD 0.8 04'!$B$12:$K$200,9,0)="","",VLOOKUP($A431-COUNT('Шаг2.Бланк заказа NEW'!$B$19:$B$201),'Бланк OLD 0.8 04'!$B$12:$K$200,9,0))),
IF(VLOOKUP($A431-COUNT('Шаг2.Бланк заказа NEW'!$B$19:$B$201)-COUNT('Бланк OLD 0.8 04'!$B$18:$B$200),'Бланк OLD 2.0 04 '!$B$16:$K$200,9,0)="","",VLOOKUP($A431-COUNT('Шаг2.Бланк заказа NEW'!$B$19:$B$201)-COUNT('Бланк OLD 0.8 04'!$B$18:$B$200),'Бланк OLD 2.0 04 '!$B$16:$K$200,9,0)))</f>
        <v/>
      </c>
      <c r="M431" s="154" t="str">
        <f t="shared" ca="1" si="36"/>
        <v/>
      </c>
      <c r="N431" s="153" t="str">
        <f ca="1">IFERROR(IF(VLOOKUP($A431,'Шаг2.Бланк заказа NEW'!$B$17:$N$201,11,0)="","",VLOOKUP($A431,'Шаг2.Бланк заказа NEW'!$B$17:$N$201,11,0)),
"Нет")</f>
        <v/>
      </c>
      <c r="O431" s="147" t="str">
        <f ca="1">IFERROR(IF(VLOOKUP($A431,'Шаг2.Бланк заказа NEW'!$B$17:$N$201,11,0)="","",VLOOKUP($A431,'Шаг2.Бланк заказа NEW'!$B$17:$N$201,12,0)),
"Нет")</f>
        <v/>
      </c>
      <c r="P431" s="153" t="str">
        <f ca="1">IFERROR(IF(VLOOKUP($A431,'Шаг2.Бланк заказа NEW'!$B$17:$N$201,13,0)="","",VLOOKUP($A431,'Шаг2.Бланк заказа NEW'!$B$17:$N$201,13,0)),
"Нет")</f>
        <v/>
      </c>
      <c r="Q431" s="147" t="str">
        <f ca="1">IFERROR(IF(VLOOKUP($A431,'Шаг2.Бланк заказа NEW'!$B$17:$O$201,14,0)="","",VLOOKUP($A431,'Шаг2.Бланк заказа NEW'!$B$17:$O$201,14,0)),"")</f>
        <v/>
      </c>
      <c r="R431" s="147" t="str">
        <f ca="1">IFERROR(IFERROR(IF(VLOOKUP($A431,'Шаг2.Бланк заказа NEW'!$B$17:$N$201,4,0)="","",VLOOKUP($A431,'Шаг2.Бланк заказа NEW'!$B$17:$N$201,4,0)),
IF(VLOOKUP($A431-COUNT('Шаг2.Бланк заказа NEW'!$B$19:$B$201),'Бланк OLD 0.8 04'!$B$12:$K$200,4,0)&gt;0,0.8,
IF(VLOOKUP($A431-COUNT('Шаг2.Бланк заказа NEW'!$B$19:$B$201),'Бланк OLD 0.8 04'!$B$12:$K$200,5,0)&gt;0,0.4,""))),
IF(VLOOKUP($A431-COUNT('Шаг2.Бланк заказа NEW'!$B$19:$B$201)-COUNT('Бланк OLD 0.8 04'!$B$18:$B$200),'Бланк OLD 2.0 04 '!$B$16:$K$200,4,0)&gt;0,2,IF(VLOOKUP($A431-COUNT('Шаг2.Бланк заказа NEW'!$B$19:$B$201)-COUNT('Бланк OLD 0.8 04'!$B$18:$B$200),'Бланк OLD 2.0 04 '!$B$16:$K$200,5,0)&gt;0,0.4,"")))</f>
        <v/>
      </c>
      <c r="S431" s="147" t="str">
        <f ca="1">IFERROR(IFERROR(IF(VLOOKUP($A431,'Шаг2.Бланк заказа NEW'!$B$17:$N$201,5,0)="","",VLOOKUP($A431,'Шаг2.Бланк заказа NEW'!$B$17:$N$201,5,0)),
IF(VLOOKUP($A431-COUNT('Шаг2.Бланк заказа NEW'!$B$19:$B$201),'Бланк OLD 0.8 04'!$B$12:$K$200,4,0)&gt;1,0.8,
IF(VLOOKUP($A431-COUNT('Шаг2.Бланк заказа NEW'!$B$19:$B$201),'Бланк OLD 0.8 04'!$B$12:$K$200,5,0)&gt;1,0.4,
IF(AND(VLOOKUP($A431-COUNT('Шаг2.Бланк заказа NEW'!$B$19:$B$201),'Бланк OLD 0.8 04'!$B$12:$K$200,4,0)&gt;0,VLOOKUP($A431-COUNT('Шаг2.Бланк заказа NEW'!$B$19:$B$201),'Бланк OLD 0.8 04'!$B$12:$K$200,5,0)&gt;0),0.4,"")))),
IF(VLOOKUP($A431-COUNT('Шаг2.Бланк заказа NEW'!$B$19:$B$201)-COUNT('Бланк OLD 0.8 04'!$B$18:$B$200),'Бланк OLD 2.0 04 '!$B$16:$K$200,4,0)&gt;1,2,
IF(VLOOKUP($A431-COUNT('Шаг2.Бланк заказа NEW'!$B$19:$B$201)-COUNT('Бланк OLD 0.8 04'!$B$18:$B$200),'Бланк OLD 2.0 04 '!$B$16:$K$200,5,0)&gt;1,0.4,IF(AND(VLOOKUP($A431-COUNT('Шаг2.Бланк заказа NEW'!$B$19:$B$201)-COUNT('Бланк OLD 0.8 04'!$B$18:$B$200),'Бланк OLD 2.0 04 '!$B$16:$K$200,4,0)&gt;0,VLOOKUP($A431-COUNT('Шаг2.Бланк заказа NEW'!$B$19:$B$201)-COUNT('Бланк OLD 0.8 04'!$B$18:$B$200),'Бланк OLD 2.0 04 '!$B$16:$K$200,5,0)&gt;0),0.4,""))))</f>
        <v/>
      </c>
      <c r="T431" s="147" t="str">
        <f ca="1">IFERROR(IFERROR(IF(VLOOKUP($A431,'Шаг2.Бланк заказа NEW'!$B$17:$N$201,7,0)="","",VLOOKUP($A431,'Шаг2.Бланк заказа NEW'!$B$17:$N$201,7,0)),
IF(VLOOKUP($A431-COUNT('Шаг2.Бланк заказа NEW'!$B$19:$B$201),'Бланк OLD 0.8 04'!$B$12:$K$200,7,0)&gt;0,0.8,
IF(VLOOKUP($A431-COUNT('Шаг2.Бланк заказа NEW'!$B$19:$B$201),'Бланк OLD 0.8 04'!$B$12:$K$200,8,0)&gt;0,0.4,""))),
IF(VLOOKUP($A431-COUNT('Шаг2.Бланк заказа NEW'!$B$19:$B$201)-COUNT('Бланк OLD 0.8 04'!$B$18:$B$200),'Бланк OLD 2.0 04 '!$B$16:$K$200,7,0)&gt;0,2,IF(VLOOKUP($A431-COUNT('Шаг2.Бланк заказа NEW'!$B$19:$B$201)-COUNT('Бланк OLD 0.8 04'!$B$18:$B$200),'Бланк OLD 2.0 04 '!$B$16:$K$200,8,0)&gt;0,0.4,"")))</f>
        <v/>
      </c>
      <c r="U431" s="147" t="str">
        <f ca="1">IFERROR(IFERROR(IF(VLOOKUP($A431,'Шаг2.Бланк заказа NEW'!$B$17:$N$201,8,0)="","",VLOOKUP($A431,'Шаг2.Бланк заказа NEW'!$B$17:$N$201,8,0)),
IF(VLOOKUP($A431-COUNT('Шаг2.Бланк заказа NEW'!$B$19:$B$201),'Бланк OLD 0.8 04'!$B$12:$K$200,7,0)&gt;1,0.8,
IF(VLOOKUP($A431-COUNT('Шаг2.Бланк заказа NEW'!$B$19:$B$201),'Бланк OLD 0.8 04'!$B$12:$K$200,8,0)&gt;1,0.4,
IF(AND(VLOOKUP($A431-COUNT('Шаг2.Бланк заказа NEW'!$B$19:$B$201),'Бланк OLD 0.8 04'!$B$12:$K$200,7,0)&gt;0,VLOOKUP($A431-COUNT('Шаг2.Бланк заказа NEW'!$B$19:$B$201),'Бланк OLD 0.8 04'!$B$12:$K$200,8,0)&gt;0),0.4,"")))),
IF(VLOOKUP($A431-COUNT('Шаг2.Бланк заказа NEW'!$B$19:$B$201)-COUNT('Бланк OLD 0.8 04'!$B$18:$B$200),'Бланк OLD 2.0 04 '!$B$16:$K$200,7,0)&gt;1,2,
IF(VLOOKUP($A431-COUNT('Шаг2.Бланк заказа NEW'!$B$19:$B$201)-COUNT('Бланк OLD 0.8 04'!$B$18:$B$200),'Бланк OLD 2.0 04 '!$B$16:$K$200,8,0)&gt;1,0.4,
IF(AND(VLOOKUP($A431-COUNT('Шаг2.Бланк заказа NEW'!$B$19:$B$201)-COUNT('Бланк OLD 0.8 04'!$B$18:$B$200),'Бланк OLD 2.0 04 '!$B$16:$K$200,7,0)&gt;0,VLOOKUP($A431-COUNT('Шаг2.Бланк заказа NEW'!$B$19:$B$201)-COUNT('Бланк OLD 0.8 04'!$B$18:$B$200),'Бланк OLD 2.0 04 '!$B$16:$K$200,8,0)&gt;0),0.4,""))))</f>
        <v/>
      </c>
      <c r="V431" s="146" t="str">
        <f ca="1">IFERROR(VLOOKUP(C431,'Шаг1.Выбор плиты'!C:S,12,0),"")</f>
        <v/>
      </c>
      <c r="W431" s="146" t="str">
        <f ca="1">IFERROR(VLOOKUP(C431,'Шаг1.Выбор плиты'!C:S,8,0),"")</f>
        <v/>
      </c>
      <c r="X431" s="146" t="str">
        <f ca="1">IFERROR(VLOOKUP(C431,'Шаг1.Выбор плиты'!C:S,10,0),"")</f>
        <v/>
      </c>
      <c r="Y431" s="147" t="str">
        <f t="shared" ca="1" si="39"/>
        <v/>
      </c>
      <c r="AD431" s="147" t="str">
        <f t="shared" ca="1" si="37"/>
        <v/>
      </c>
      <c r="AE431" s="147" t="str">
        <f t="shared" ca="1" si="40"/>
        <v/>
      </c>
      <c r="AF431" s="25"/>
      <c r="AH431" s="147" t="str">
        <f ca="1">IF(C431="","",VLOOKUP(C431,'Шаг1.Выбор плиты'!C:Q,7,0))</f>
        <v/>
      </c>
      <c r="AI431" s="147" t="str">
        <f t="shared" ca="1" si="38"/>
        <v/>
      </c>
    </row>
    <row r="432" spans="1:35" x14ac:dyDescent="0.2">
      <c r="A432" s="151" t="str">
        <f ca="1">IF(C432="","",MAX($A$1:OFFSET(C432,-1,0))+1)</f>
        <v/>
      </c>
      <c r="B432" s="151" t="str">
        <f ca="1">IFERROR(IFERROR(IFERROR("Шаг2.Бланк заказа NEW №"&amp;VLOOKUP(A431+1,CHOOSE({1,2},'Шаг2.Бланк заказа NEW'!$B$19:$B$201,'Шаг2.Бланк заказа NEW'!$A$19:$A$201),1,0),
"Бланк OLD 0.8 04 №"&amp;VLOOKUP(A431+1-COUNT('Шаг2.Бланк заказа NEW'!$B$19:$B$201),CHOOSE({1,2},'Бланк OLD 0.8 04'!$B$18:$B$200,'Бланк OLD 0.8 04'!$A$18:$A$200),1,0)),
"Бланк OLD 2.0 04 №"&amp;VLOOKUP(A431+1-COUNT('Шаг2.Бланк заказа NEW'!$B$19:$B$201)-COUNT('Бланк OLD 0.8 04'!$B$18:$B$200),CHOOSE({1,2},'Бланк OLD 2.0 04 '!$B$18:$B$200,'Бланк OLD 2.0 04 '!$A$18:$A$200),1,0)),"")</f>
        <v/>
      </c>
      <c r="C432" s="152" t="str">
        <f ca="1">IFERROR(IFERROR(IFERROR(VLOOKUP(A431+1,CHOOSE({1,2},'Шаг2.Бланк заказа NEW'!$B$19:$B$201,'Шаг2.Бланк заказа NEW'!$A$19:$A$201),2,0),
VLOOKUP(A431+1-COUNT('Шаг2.Бланк заказа NEW'!$B$19:$B$201),CHOOSE({1,2},'Бланк OLD 0.8 04'!$B$18:$B$200,'Бланк OLD 0.8 04'!$A$18:$A$200),2,0)),
VLOOKUP(A431+1-COUNT('Шаг2.Бланк заказа NEW'!$B$19:$B$201)-COUNT('Бланк OLD 0.8 04'!$B$18:$B$200),CHOOSE({1,2},'Бланк OLD 2.0 04 '!$B$18:$B$200,'Бланк OLD 2.0 04 '!$A$18:$A$200),2,0)),"")</f>
        <v/>
      </c>
      <c r="D432" s="150" t="str">
        <f ca="1">IFERROR(VLOOKUP(C432,'Шаг1.Выбор плиты'!C:G,5,0),"")</f>
        <v/>
      </c>
      <c r="E432" s="147" t="str">
        <f ca="1">IFERROR(IFERROR(IF(VLOOKUP($A432,'Шаг2.Бланк заказа NEW'!$B$17:$N$201,2,0)="","",VLOOKUP($A432,'Шаг2.Бланк заказа NEW'!$B$17:$N$201,2,0)),
IF(VLOOKUP($A432-COUNT('Шаг2.Бланк заказа NEW'!$B$19:$B$201),'Бланк OLD 0.8 04'!$B$12:$K$200,2,0)="","",VLOOKUP($A432-COUNT('Шаг2.Бланк заказа NEW'!$B$19:$B$201),'Бланк OLD 0.8 04'!$B$12:$K$200,2,0))),
IF(VLOOKUP($A432-COUNT('Шаг2.Бланк заказа NEW'!$B$19:$B$201)-COUNT('Бланк OLD 0.8 04'!$B$18:$B$200),'Бланк OLD 2.0 04 '!$B$16:$K$200,2,0)="","",VLOOKUP($A432-COUNT('Шаг2.Бланк заказа NEW'!$B$19:$B$201)-COUNT('Бланк OLD 0.8 04'!$B$18:$B$200),'Бланк OLD 2.0 04 '!$B$16:$K$200,2,0)))</f>
        <v/>
      </c>
      <c r="F432" s="147" t="str">
        <f ca="1">IFERROR(IFERROR(IF(VLOOKUP($A432,'Шаг2.Бланк заказа NEW'!$B$17:$N$201,3,0)="","",VLOOKUP($A432,'Шаг2.Бланк заказа NEW'!$B$17:$N$201,3,0)),
IF(VLOOKUP($A432-COUNT('Шаг2.Бланк заказа NEW'!$B$19:$B$201),'Бланк OLD 0.8 04'!$B$12:$K$200,3,0)="","",VLOOKUP($A432-COUNT('Шаг2.Бланк заказа NEW'!$B$19:$B$201),'Бланк OLD 0.8 04'!$B$12:$K$200,3,0))),
IF(VLOOKUP($A432-COUNT('Шаг2.Бланк заказа NEW'!$B$19:$B$201)-COUNT('Бланк OLD 0.8 04'!$B$18:$B$200),'Бланк OLD 2.0 04 '!$B$16:$K$200,3,0)="","",VLOOKUP($A432-COUNT('Шаг2.Бланк заказа NEW'!$B$19:$B$201)-COUNT('Бланк OLD 0.8 04'!$B$18:$B$200),'Бланк OLD 2.0 04 '!$B$16:$K$200,3,0)))</f>
        <v/>
      </c>
      <c r="G432" s="176" t="str">
        <f ca="1">IF(IF(R432="","",IF(R432=1,SUMIFS('Шаг1.Выбор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плиты'!C:Q,12,0)),1))))))=0,
R432,
IF(R432="","",IF(R432=1,SUMIFS('Шаг1.Выбор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плиты'!N:N,R432,'Шаг1.Выбор плиты'!M:M,SMALL(INDIRECT("мм"&amp;VLOOKUP(C432,'Шаг1.Выбор плиты'!C:Q,12,0)),1)))))))</f>
        <v/>
      </c>
      <c r="H432" s="177" t="str">
        <f ca="1">IF(IF(S432="","",IF(S432=1,SUMIFS('Шаг1.Выбор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плиты'!C:Q,12,0)),1))))))=0,
S432,
IF(S432="","",IF(S432=1,SUMIFS('Шаг1.Выбор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плиты'!N:N,S432,'Шаг1.Выбор плиты'!M:M,SMALL(INDIRECT("мм"&amp;VLOOKUP(C432,'Шаг1.Выбор плиты'!C:Q,12,0)),1)))))))</f>
        <v/>
      </c>
      <c r="I432" s="147" t="str">
        <f ca="1">IFERROR(IFERROR(IF(VLOOKUP($A432,'Шаг2.Бланк заказа NEW'!$B$17:$N$201,6,0)="","",VLOOKUP($A432,'Шаг2.Бланк заказа NEW'!$B$17:$N$201,6,0)),
IF(VLOOKUP($A432-COUNT('Шаг2.Бланк заказа NEW'!$B$19:$B$201),'Бланк OLD 0.8 04'!$B$12:$K$200,6,0)="","",VLOOKUP($A432-COUNT('Шаг2.Бланк заказа NEW'!$B$19:$B$201),'Бланк OLD 0.8 04'!$B$12:$K$200,6,0))),
IF(VLOOKUP($A432-COUNT('Шаг2.Бланк заказа NEW'!$B$19:$B$201)-COUNT('Бланк OLD 0.8 04'!$B$18:$B$200),'Бланк OLD 2.0 04 '!$B$16:$K$200,6,0)="","",VLOOKUP($A432-COUNT('Шаг2.Бланк заказа NEW'!$B$19:$B$201)-COUNT('Бланк OLD 0.8 04'!$B$18:$B$200),'Бланк OLD 2.0 04 '!$B$16:$K$200,6,0)))</f>
        <v/>
      </c>
      <c r="J432" s="177" t="str">
        <f ca="1">IF(IF(T432="","",IF(T432=1,SUMIFS('Шаг1.Выбор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плиты'!C:Q,12,0)),1))))))=0,
T432,
IF(T432="","",IF(T432=1,SUMIFS('Шаг1.Выбор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плиты'!N:N,T432,'Шаг1.Выбор плиты'!M:M,SMALL(INDIRECT("мм"&amp;VLOOKUP(C432,'Шаг1.Выбор плиты'!C:Q,12,0)),1)))))))</f>
        <v/>
      </c>
      <c r="K432" s="177" t="str">
        <f ca="1">IF(IF(U432="","",IF(U432=1,SUMIFS('Шаг1.Выбор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плиты'!C:Q,12,0)),1))))))=0,
U432,
IF(U432="","",IF(U432=1,SUMIFS('Шаг1.Выбор плиты'!$G:$G,'Шаг1.Выбор плиты'!J:J,"*"&amp;RIGHT(VLOOKUP(C432,'Шаг1.Выбор плиты'!C:Q,8,0),4),'Шаг1.Выбор плиты'!L:L,IF(MID(C432,1,6)="ЛДСП P","TM"&amp;MID(VLOOKUP(C432,'Шаг1.Выбор плиты'!C:Q,10,0),3,2),MID(VLOOKUP(C432,'Шаг1.Выбор плиты'!C:Q,10,0),1,2)),
'Шаг1.Выбор плиты'!N:N,1),IF(SUMIFS('Шаг1.Выбор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плиты'!C:Q,12,0)),1))=0,
IF(SUMIFS('Шаг1.Выбор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плиты'!C:Q,12,0)),2))=0,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плиты'!C:Q,12,0)),3)),
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плиты'!C:Q,12,0)),2))),
(SUMIFS('Шаг1.Выбор плиты'!$G:$G,'Шаг1.Выбор плиты'!J:J,"*"&amp;RIGHT(VLOOKUP(C432,'Шаг1.Выбор плиты'!C:Q,8,0),4),'Шаг1.Выбор плиты'!L:L,VLOOKUP(C432,'Шаг1.Выбор плиты'!C:Q,10,0),'Шаг1.Выбор плиты'!N:N,U432,'Шаг1.Выбор плиты'!M:M,SMALL(INDIRECT("мм"&amp;VLOOKUP(C432,'Шаг1.Выбор плиты'!C:Q,12,0)),1)))))))</f>
        <v/>
      </c>
      <c r="L432" s="147" t="str">
        <f ca="1">IFERROR(IFERROR(IF(VLOOKUP($A432,'Шаг2.Бланк заказа NEW'!$B$17:$N$201,9,0)="","",VLOOKUP($A432,'Шаг2.Бланк заказа NEW'!$B$17:$N$201,9,0)),
IF(VLOOKUP($A432-COUNT('Шаг2.Бланк заказа NEW'!$B$19:$B$201),'Бланк OLD 0.8 04'!$B$12:$K$200,9,0)="","",VLOOKUP($A432-COUNT('Шаг2.Бланк заказа NEW'!$B$19:$B$201),'Бланк OLD 0.8 04'!$B$12:$K$200,9,0))),
IF(VLOOKUP($A432-COUNT('Шаг2.Бланк заказа NEW'!$B$19:$B$201)-COUNT('Бланк OLD 0.8 04'!$B$18:$B$200),'Бланк OLD 2.0 04 '!$B$16:$K$200,9,0)="","",VLOOKUP($A432-COUNT('Шаг2.Бланк заказа NEW'!$B$19:$B$201)-COUNT('Бланк OLD 0.8 04'!$B$18:$B$200),'Бланк OLD 2.0 04 '!$B$16:$K$200,9,0)))</f>
        <v/>
      </c>
      <c r="M432" s="154" t="str">
        <f t="shared" ca="1" si="36"/>
        <v/>
      </c>
      <c r="N432" s="153" t="str">
        <f ca="1">IFERROR(IF(VLOOKUP($A432,'Шаг2.Бланк заказа NEW'!$B$17:$N$201,11,0)="","",VLOOKUP($A432,'Шаг2.Бланк заказа NEW'!$B$17:$N$201,11,0)),
"Нет")</f>
        <v/>
      </c>
      <c r="O432" s="147" t="str">
        <f ca="1">IFERROR(IF(VLOOKUP($A432,'Шаг2.Бланк заказа NEW'!$B$17:$N$201,11,0)="","",VLOOKUP($A432,'Шаг2.Бланк заказа NEW'!$B$17:$N$201,12,0)),
"Нет")</f>
        <v/>
      </c>
      <c r="P432" s="153" t="str">
        <f ca="1">IFERROR(IF(VLOOKUP($A432,'Шаг2.Бланк заказа NEW'!$B$17:$N$201,13,0)="","",VLOOKUP($A432,'Шаг2.Бланк заказа NEW'!$B$17:$N$201,13,0)),
"Нет")</f>
        <v/>
      </c>
      <c r="Q432" s="147" t="str">
        <f ca="1">IFERROR(IF(VLOOKUP($A432,'Шаг2.Бланк заказа NEW'!$B$17:$O$201,14,0)="","",VLOOKUP($A432,'Шаг2.Бланк заказа NEW'!$B$17:$O$201,14,0)),"")</f>
        <v/>
      </c>
      <c r="R432" s="147" t="str">
        <f ca="1">IFERROR(IFERROR(IF(VLOOKUP($A432,'Шаг2.Бланк заказа NEW'!$B$17:$N$201,4,0)="","",VLOOKUP($A432,'Шаг2.Бланк заказа NEW'!$B$17:$N$201,4,0)),
IF(VLOOKUP($A432-COUNT('Шаг2.Бланк заказа NEW'!$B$19:$B$201),'Бланк OLD 0.8 04'!$B$12:$K$200,4,0)&gt;0,0.8,
IF(VLOOKUP($A432-COUNT('Шаг2.Бланк заказа NEW'!$B$19:$B$201),'Бланк OLD 0.8 04'!$B$12:$K$200,5,0)&gt;0,0.4,""))),
IF(VLOOKUP($A432-COUNT('Шаг2.Бланк заказа NEW'!$B$19:$B$201)-COUNT('Бланк OLD 0.8 04'!$B$18:$B$200),'Бланк OLD 2.0 04 '!$B$16:$K$200,4,0)&gt;0,2,IF(VLOOKUP($A432-COUNT('Шаг2.Бланк заказа NEW'!$B$19:$B$201)-COUNT('Бланк OLD 0.8 04'!$B$18:$B$200),'Бланк OLD 2.0 04 '!$B$16:$K$200,5,0)&gt;0,0.4,"")))</f>
        <v/>
      </c>
      <c r="S432" s="147" t="str">
        <f ca="1">IFERROR(IFERROR(IF(VLOOKUP($A432,'Шаг2.Бланк заказа NEW'!$B$17:$N$201,5,0)="","",VLOOKUP($A432,'Шаг2.Бланк заказа NEW'!$B$17:$N$201,5,0)),
IF(VLOOKUP($A432-COUNT('Шаг2.Бланк заказа NEW'!$B$19:$B$201),'Бланк OLD 0.8 04'!$B$12:$K$200,4,0)&gt;1,0.8,
IF(VLOOKUP($A432-COUNT('Шаг2.Бланк заказа NEW'!$B$19:$B$201),'Бланк OLD 0.8 04'!$B$12:$K$200,5,0)&gt;1,0.4,
IF(AND(VLOOKUP($A432-COUNT('Шаг2.Бланк заказа NEW'!$B$19:$B$201),'Бланк OLD 0.8 04'!$B$12:$K$200,4,0)&gt;0,VLOOKUP($A432-COUNT('Шаг2.Бланк заказа NEW'!$B$19:$B$201),'Бланк OLD 0.8 04'!$B$12:$K$200,5,0)&gt;0),0.4,"")))),
IF(VLOOKUP($A432-COUNT('Шаг2.Бланк заказа NEW'!$B$19:$B$201)-COUNT('Бланк OLD 0.8 04'!$B$18:$B$200),'Бланк OLD 2.0 04 '!$B$16:$K$200,4,0)&gt;1,2,
IF(VLOOKUP($A432-COUNT('Шаг2.Бланк заказа NEW'!$B$19:$B$201)-COUNT('Бланк OLD 0.8 04'!$B$18:$B$200),'Бланк OLD 2.0 04 '!$B$16:$K$200,5,0)&gt;1,0.4,IF(AND(VLOOKUP($A432-COUNT('Шаг2.Бланк заказа NEW'!$B$19:$B$201)-COUNT('Бланк OLD 0.8 04'!$B$18:$B$200),'Бланк OLD 2.0 04 '!$B$16:$K$200,4,0)&gt;0,VLOOKUP($A432-COUNT('Шаг2.Бланк заказа NEW'!$B$19:$B$201)-COUNT('Бланк OLD 0.8 04'!$B$18:$B$200),'Бланк OLD 2.0 04 '!$B$16:$K$200,5,0)&gt;0),0.4,""))))</f>
        <v/>
      </c>
      <c r="T432" s="147" t="str">
        <f ca="1">IFERROR(IFERROR(IF(VLOOKUP($A432,'Шаг2.Бланк заказа NEW'!$B$17:$N$201,7,0)="","",VLOOKUP($A432,'Шаг2.Бланк заказа NEW'!$B$17:$N$201,7,0)),
IF(VLOOKUP($A432-COUNT('Шаг2.Бланк заказа NEW'!$B$19:$B$201),'Бланк OLD 0.8 04'!$B$12:$K$200,7,0)&gt;0,0.8,
IF(VLOOKUP($A432-COUNT('Шаг2.Бланк заказа NEW'!$B$19:$B$201),'Бланк OLD 0.8 04'!$B$12:$K$200,8,0)&gt;0,0.4,""))),
IF(VLOOKUP($A432-COUNT('Шаг2.Бланк заказа NEW'!$B$19:$B$201)-COUNT('Бланк OLD 0.8 04'!$B$18:$B$200),'Бланк OLD 2.0 04 '!$B$16:$K$200,7,0)&gt;0,2,IF(VLOOKUP($A432-COUNT('Шаг2.Бланк заказа NEW'!$B$19:$B$201)-COUNT('Бланк OLD 0.8 04'!$B$18:$B$200),'Бланк OLD 2.0 04 '!$B$16:$K$200,8,0)&gt;0,0.4,"")))</f>
        <v/>
      </c>
      <c r="U432" s="147" t="str">
        <f ca="1">IFERROR(IFERROR(IF(VLOOKUP($A432,'Шаг2.Бланк заказа NEW'!$B$17:$N$201,8,0)="","",VLOOKUP($A432,'Шаг2.Бланк заказа NEW'!$B$17:$N$201,8,0)),
IF(VLOOKUP($A432-COUNT('Шаг2.Бланк заказа NEW'!$B$19:$B$201),'Бланк OLD 0.8 04'!$B$12:$K$200,7,0)&gt;1,0.8,
IF(VLOOKUP($A432-COUNT('Шаг2.Бланк заказа NEW'!$B$19:$B$201),'Бланк OLD 0.8 04'!$B$12:$K$200,8,0)&gt;1,0.4,
IF(AND(VLOOKUP($A432-COUNT('Шаг2.Бланк заказа NEW'!$B$19:$B$201),'Бланк OLD 0.8 04'!$B$12:$K$200,7,0)&gt;0,VLOOKUP($A432-COUNT('Шаг2.Бланк заказа NEW'!$B$19:$B$201),'Бланк OLD 0.8 04'!$B$12:$K$200,8,0)&gt;0),0.4,"")))),
IF(VLOOKUP($A432-COUNT('Шаг2.Бланк заказа NEW'!$B$19:$B$201)-COUNT('Бланк OLD 0.8 04'!$B$18:$B$200),'Бланк OLD 2.0 04 '!$B$16:$K$200,7,0)&gt;1,2,
IF(VLOOKUP($A432-COUNT('Шаг2.Бланк заказа NEW'!$B$19:$B$201)-COUNT('Бланк OLD 0.8 04'!$B$18:$B$200),'Бланк OLD 2.0 04 '!$B$16:$K$200,8,0)&gt;1,0.4,
IF(AND(VLOOKUP($A432-COUNT('Шаг2.Бланк заказа NEW'!$B$19:$B$201)-COUNT('Бланк OLD 0.8 04'!$B$18:$B$200),'Бланк OLD 2.0 04 '!$B$16:$K$200,7,0)&gt;0,VLOOKUP($A432-COUNT('Шаг2.Бланк заказа NEW'!$B$19:$B$201)-COUNT('Бланк OLD 0.8 04'!$B$18:$B$200),'Бланк OLD 2.0 04 '!$B$16:$K$200,8,0)&gt;0),0.4,""))))</f>
        <v/>
      </c>
      <c r="V432" s="146" t="str">
        <f ca="1">IFERROR(VLOOKUP(C432,'Шаг1.Выбор плиты'!C:S,12,0),"")</f>
        <v/>
      </c>
      <c r="W432" s="146" t="str">
        <f ca="1">IFERROR(VLOOKUP(C432,'Шаг1.Выбор плиты'!C:S,8,0),"")</f>
        <v/>
      </c>
      <c r="X432" s="146" t="str">
        <f ca="1">IFERROR(VLOOKUP(C432,'Шаг1.Выбор плиты'!C:S,10,0),"")</f>
        <v/>
      </c>
      <c r="Y432" s="147" t="str">
        <f t="shared" ca="1" si="39"/>
        <v/>
      </c>
      <c r="AD432" s="147" t="str">
        <f t="shared" ca="1" si="37"/>
        <v/>
      </c>
      <c r="AE432" s="147" t="str">
        <f t="shared" ca="1" si="40"/>
        <v/>
      </c>
      <c r="AF432" s="25"/>
      <c r="AH432" s="147" t="str">
        <f ca="1">IF(C432="","",VLOOKUP(C432,'Шаг1.Выбор плиты'!C:Q,7,0))</f>
        <v/>
      </c>
      <c r="AI432" s="147" t="str">
        <f t="shared" ca="1" si="38"/>
        <v/>
      </c>
    </row>
    <row r="433" spans="1:35" x14ac:dyDescent="0.2">
      <c r="A433" s="151" t="str">
        <f ca="1">IF(C433="","",MAX($A$1:OFFSET(C433,-1,0))+1)</f>
        <v/>
      </c>
      <c r="B433" s="151" t="str">
        <f ca="1">IFERROR(IFERROR(IFERROR("Шаг2.Бланк заказа NEW №"&amp;VLOOKUP(A432+1,CHOOSE({1,2},'Шаг2.Бланк заказа NEW'!$B$19:$B$201,'Шаг2.Бланк заказа NEW'!$A$19:$A$201),1,0),
"Бланк OLD 0.8 04 №"&amp;VLOOKUP(A432+1-COUNT('Шаг2.Бланк заказа NEW'!$B$19:$B$201),CHOOSE({1,2},'Бланк OLD 0.8 04'!$B$18:$B$200,'Бланк OLD 0.8 04'!$A$18:$A$200),1,0)),
"Бланк OLD 2.0 04 №"&amp;VLOOKUP(A432+1-COUNT('Шаг2.Бланк заказа NEW'!$B$19:$B$201)-COUNT('Бланк OLD 0.8 04'!$B$18:$B$200),CHOOSE({1,2},'Бланк OLD 2.0 04 '!$B$18:$B$200,'Бланк OLD 2.0 04 '!$A$18:$A$200),1,0)),"")</f>
        <v/>
      </c>
      <c r="C433" s="152" t="str">
        <f ca="1">IFERROR(IFERROR(IFERROR(VLOOKUP(A432+1,CHOOSE({1,2},'Шаг2.Бланк заказа NEW'!$B$19:$B$201,'Шаг2.Бланк заказа NEW'!$A$19:$A$201),2,0),
VLOOKUP(A432+1-COUNT('Шаг2.Бланк заказа NEW'!$B$19:$B$201),CHOOSE({1,2},'Бланк OLD 0.8 04'!$B$18:$B$200,'Бланк OLD 0.8 04'!$A$18:$A$200),2,0)),
VLOOKUP(A432+1-COUNT('Шаг2.Бланк заказа NEW'!$B$19:$B$201)-COUNT('Бланк OLD 0.8 04'!$B$18:$B$200),CHOOSE({1,2},'Бланк OLD 2.0 04 '!$B$18:$B$200,'Бланк OLD 2.0 04 '!$A$18:$A$200),2,0)),"")</f>
        <v/>
      </c>
      <c r="D433" s="150" t="str">
        <f ca="1">IFERROR(VLOOKUP(C433,'Шаг1.Выбор плиты'!C:G,5,0),"")</f>
        <v/>
      </c>
      <c r="E433" s="147" t="str">
        <f ca="1">IFERROR(IFERROR(IF(VLOOKUP($A433,'Шаг2.Бланк заказа NEW'!$B$17:$N$201,2,0)="","",VLOOKUP($A433,'Шаг2.Бланк заказа NEW'!$B$17:$N$201,2,0)),
IF(VLOOKUP($A433-COUNT('Шаг2.Бланк заказа NEW'!$B$19:$B$201),'Бланк OLD 0.8 04'!$B$12:$K$200,2,0)="","",VLOOKUP($A433-COUNT('Шаг2.Бланк заказа NEW'!$B$19:$B$201),'Бланк OLD 0.8 04'!$B$12:$K$200,2,0))),
IF(VLOOKUP($A433-COUNT('Шаг2.Бланк заказа NEW'!$B$19:$B$201)-COUNT('Бланк OLD 0.8 04'!$B$18:$B$200),'Бланк OLD 2.0 04 '!$B$16:$K$200,2,0)="","",VLOOKUP($A433-COUNT('Шаг2.Бланк заказа NEW'!$B$19:$B$201)-COUNT('Бланк OLD 0.8 04'!$B$18:$B$200),'Бланк OLD 2.0 04 '!$B$16:$K$200,2,0)))</f>
        <v/>
      </c>
      <c r="F433" s="147" t="str">
        <f ca="1">IFERROR(IFERROR(IF(VLOOKUP($A433,'Шаг2.Бланк заказа NEW'!$B$17:$N$201,3,0)="","",VLOOKUP($A433,'Шаг2.Бланк заказа NEW'!$B$17:$N$201,3,0)),
IF(VLOOKUP($A433-COUNT('Шаг2.Бланк заказа NEW'!$B$19:$B$201),'Бланк OLD 0.8 04'!$B$12:$K$200,3,0)="","",VLOOKUP($A433-COUNT('Шаг2.Бланк заказа NEW'!$B$19:$B$201),'Бланк OLD 0.8 04'!$B$12:$K$200,3,0))),
IF(VLOOKUP($A433-COUNT('Шаг2.Бланк заказа NEW'!$B$19:$B$201)-COUNT('Бланк OLD 0.8 04'!$B$18:$B$200),'Бланк OLD 2.0 04 '!$B$16:$K$200,3,0)="","",VLOOKUP($A433-COUNT('Шаг2.Бланк заказа NEW'!$B$19:$B$201)-COUNT('Бланк OLD 0.8 04'!$B$18:$B$200),'Бланк OLD 2.0 04 '!$B$16:$K$200,3,0)))</f>
        <v/>
      </c>
      <c r="G433" s="176" t="str">
        <f ca="1">IF(IF(R433="","",IF(R433=1,SUMIFS('Шаг1.Выбор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плиты'!C:Q,12,0)),1))))))=0,
R433,
IF(R433="","",IF(R433=1,SUMIFS('Шаг1.Выбор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плиты'!N:N,R433,'Шаг1.Выбор плиты'!M:M,SMALL(INDIRECT("мм"&amp;VLOOKUP(C433,'Шаг1.Выбор плиты'!C:Q,12,0)),1)))))))</f>
        <v/>
      </c>
      <c r="H433" s="177" t="str">
        <f ca="1">IF(IF(S433="","",IF(S433=1,SUMIFS('Шаг1.Выбор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плиты'!C:Q,12,0)),1))))))=0,
S433,
IF(S433="","",IF(S433=1,SUMIFS('Шаг1.Выбор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плиты'!N:N,S433,'Шаг1.Выбор плиты'!M:M,SMALL(INDIRECT("мм"&amp;VLOOKUP(C433,'Шаг1.Выбор плиты'!C:Q,12,0)),1)))))))</f>
        <v/>
      </c>
      <c r="I433" s="147" t="str">
        <f ca="1">IFERROR(IFERROR(IF(VLOOKUP($A433,'Шаг2.Бланк заказа NEW'!$B$17:$N$201,6,0)="","",VLOOKUP($A433,'Шаг2.Бланк заказа NEW'!$B$17:$N$201,6,0)),
IF(VLOOKUP($A433-COUNT('Шаг2.Бланк заказа NEW'!$B$19:$B$201),'Бланк OLD 0.8 04'!$B$12:$K$200,6,0)="","",VLOOKUP($A433-COUNT('Шаг2.Бланк заказа NEW'!$B$19:$B$201),'Бланк OLD 0.8 04'!$B$12:$K$200,6,0))),
IF(VLOOKUP($A433-COUNT('Шаг2.Бланк заказа NEW'!$B$19:$B$201)-COUNT('Бланк OLD 0.8 04'!$B$18:$B$200),'Бланк OLD 2.0 04 '!$B$16:$K$200,6,0)="","",VLOOKUP($A433-COUNT('Шаг2.Бланк заказа NEW'!$B$19:$B$201)-COUNT('Бланк OLD 0.8 04'!$B$18:$B$200),'Бланк OLD 2.0 04 '!$B$16:$K$200,6,0)))</f>
        <v/>
      </c>
      <c r="J433" s="177" t="str">
        <f ca="1">IF(IF(T433="","",IF(T433=1,SUMIFS('Шаг1.Выбор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плиты'!C:Q,12,0)),1))))))=0,
T433,
IF(T433="","",IF(T433=1,SUMIFS('Шаг1.Выбор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плиты'!N:N,T433,'Шаг1.Выбор плиты'!M:M,SMALL(INDIRECT("мм"&amp;VLOOKUP(C433,'Шаг1.Выбор плиты'!C:Q,12,0)),1)))))))</f>
        <v/>
      </c>
      <c r="K433" s="177" t="str">
        <f ca="1">IF(IF(U433="","",IF(U433=1,SUMIFS('Шаг1.Выбор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плиты'!C:Q,12,0)),1))))))=0,
U433,
IF(U433="","",IF(U433=1,SUMIFS('Шаг1.Выбор плиты'!$G:$G,'Шаг1.Выбор плиты'!J:J,"*"&amp;RIGHT(VLOOKUP(C433,'Шаг1.Выбор плиты'!C:Q,8,0),4),'Шаг1.Выбор плиты'!L:L,IF(MID(C433,1,6)="ЛДСП P","TM"&amp;MID(VLOOKUP(C433,'Шаг1.Выбор плиты'!C:Q,10,0),3,2),MID(VLOOKUP(C433,'Шаг1.Выбор плиты'!C:Q,10,0),1,2)),
'Шаг1.Выбор плиты'!N:N,1),IF(SUMIFS('Шаг1.Выбор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плиты'!C:Q,12,0)),1))=0,
IF(SUMIFS('Шаг1.Выбор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плиты'!C:Q,12,0)),2))=0,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плиты'!C:Q,12,0)),3)),
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плиты'!C:Q,12,0)),2))),
(SUMIFS('Шаг1.Выбор плиты'!$G:$G,'Шаг1.Выбор плиты'!J:J,"*"&amp;RIGHT(VLOOKUP(C433,'Шаг1.Выбор плиты'!C:Q,8,0),4),'Шаг1.Выбор плиты'!L:L,VLOOKUP(C433,'Шаг1.Выбор плиты'!C:Q,10,0),'Шаг1.Выбор плиты'!N:N,U433,'Шаг1.Выбор плиты'!M:M,SMALL(INDIRECT("мм"&amp;VLOOKUP(C433,'Шаг1.Выбор плиты'!C:Q,12,0)),1)))))))</f>
        <v/>
      </c>
      <c r="L433" s="147" t="str">
        <f ca="1">IFERROR(IFERROR(IF(VLOOKUP($A433,'Шаг2.Бланк заказа NEW'!$B$17:$N$201,9,0)="","",VLOOKUP($A433,'Шаг2.Бланк заказа NEW'!$B$17:$N$201,9,0)),
IF(VLOOKUP($A433-COUNT('Шаг2.Бланк заказа NEW'!$B$19:$B$201),'Бланк OLD 0.8 04'!$B$12:$K$200,9,0)="","",VLOOKUP($A433-COUNT('Шаг2.Бланк заказа NEW'!$B$19:$B$201),'Бланк OLD 0.8 04'!$B$12:$K$200,9,0))),
IF(VLOOKUP($A433-COUNT('Шаг2.Бланк заказа NEW'!$B$19:$B$201)-COUNT('Бланк OLD 0.8 04'!$B$18:$B$200),'Бланк OLD 2.0 04 '!$B$16:$K$200,9,0)="","",VLOOKUP($A433-COUNT('Шаг2.Бланк заказа NEW'!$B$19:$B$201)-COUNT('Бланк OLD 0.8 04'!$B$18:$B$200),'Бланк OLD 2.0 04 '!$B$16:$K$200,9,0)))</f>
        <v/>
      </c>
      <c r="M433" s="154" t="str">
        <f t="shared" ca="1" si="36"/>
        <v/>
      </c>
      <c r="N433" s="153" t="str">
        <f ca="1">IFERROR(IF(VLOOKUP($A433,'Шаг2.Бланк заказа NEW'!$B$17:$N$201,11,0)="","",VLOOKUP($A433,'Шаг2.Бланк заказа NEW'!$B$17:$N$201,11,0)),
"Нет")</f>
        <v/>
      </c>
      <c r="O433" s="147" t="str">
        <f ca="1">IFERROR(IF(VLOOKUP($A433,'Шаг2.Бланк заказа NEW'!$B$17:$N$201,11,0)="","",VLOOKUP($A433,'Шаг2.Бланк заказа NEW'!$B$17:$N$201,12,0)),
"Нет")</f>
        <v/>
      </c>
      <c r="P433" s="153" t="str">
        <f ca="1">IFERROR(IF(VLOOKUP($A433,'Шаг2.Бланк заказа NEW'!$B$17:$N$201,13,0)="","",VLOOKUP($A433,'Шаг2.Бланк заказа NEW'!$B$17:$N$201,13,0)),
"Нет")</f>
        <v/>
      </c>
      <c r="Q433" s="147" t="str">
        <f ca="1">IFERROR(IF(VLOOKUP($A433,'Шаг2.Бланк заказа NEW'!$B$17:$O$201,14,0)="","",VLOOKUP($A433,'Шаг2.Бланк заказа NEW'!$B$17:$O$201,14,0)),"")</f>
        <v/>
      </c>
      <c r="R433" s="147" t="str">
        <f ca="1">IFERROR(IFERROR(IF(VLOOKUP($A433,'Шаг2.Бланк заказа NEW'!$B$17:$N$201,4,0)="","",VLOOKUP($A433,'Шаг2.Бланк заказа NEW'!$B$17:$N$201,4,0)),
IF(VLOOKUP($A433-COUNT('Шаг2.Бланк заказа NEW'!$B$19:$B$201),'Бланк OLD 0.8 04'!$B$12:$K$200,4,0)&gt;0,0.8,
IF(VLOOKUP($A433-COUNT('Шаг2.Бланк заказа NEW'!$B$19:$B$201),'Бланк OLD 0.8 04'!$B$12:$K$200,5,0)&gt;0,0.4,""))),
IF(VLOOKUP($A433-COUNT('Шаг2.Бланк заказа NEW'!$B$19:$B$201)-COUNT('Бланк OLD 0.8 04'!$B$18:$B$200),'Бланк OLD 2.0 04 '!$B$16:$K$200,4,0)&gt;0,2,IF(VLOOKUP($A433-COUNT('Шаг2.Бланк заказа NEW'!$B$19:$B$201)-COUNT('Бланк OLD 0.8 04'!$B$18:$B$200),'Бланк OLD 2.0 04 '!$B$16:$K$200,5,0)&gt;0,0.4,"")))</f>
        <v/>
      </c>
      <c r="S433" s="147" t="str">
        <f ca="1">IFERROR(IFERROR(IF(VLOOKUP($A433,'Шаг2.Бланк заказа NEW'!$B$17:$N$201,5,0)="","",VLOOKUP($A433,'Шаг2.Бланк заказа NEW'!$B$17:$N$201,5,0)),
IF(VLOOKUP($A433-COUNT('Шаг2.Бланк заказа NEW'!$B$19:$B$201),'Бланк OLD 0.8 04'!$B$12:$K$200,4,0)&gt;1,0.8,
IF(VLOOKUP($A433-COUNT('Шаг2.Бланк заказа NEW'!$B$19:$B$201),'Бланк OLD 0.8 04'!$B$12:$K$200,5,0)&gt;1,0.4,
IF(AND(VLOOKUP($A433-COUNT('Шаг2.Бланк заказа NEW'!$B$19:$B$201),'Бланк OLD 0.8 04'!$B$12:$K$200,4,0)&gt;0,VLOOKUP($A433-COUNT('Шаг2.Бланк заказа NEW'!$B$19:$B$201),'Бланк OLD 0.8 04'!$B$12:$K$200,5,0)&gt;0),0.4,"")))),
IF(VLOOKUP($A433-COUNT('Шаг2.Бланк заказа NEW'!$B$19:$B$201)-COUNT('Бланк OLD 0.8 04'!$B$18:$B$200),'Бланк OLD 2.0 04 '!$B$16:$K$200,4,0)&gt;1,2,
IF(VLOOKUP($A433-COUNT('Шаг2.Бланк заказа NEW'!$B$19:$B$201)-COUNT('Бланк OLD 0.8 04'!$B$18:$B$200),'Бланк OLD 2.0 04 '!$B$16:$K$200,5,0)&gt;1,0.4,IF(AND(VLOOKUP($A433-COUNT('Шаг2.Бланк заказа NEW'!$B$19:$B$201)-COUNT('Бланк OLD 0.8 04'!$B$18:$B$200),'Бланк OLD 2.0 04 '!$B$16:$K$200,4,0)&gt;0,VLOOKUP($A433-COUNT('Шаг2.Бланк заказа NEW'!$B$19:$B$201)-COUNT('Бланк OLD 0.8 04'!$B$18:$B$200),'Бланк OLD 2.0 04 '!$B$16:$K$200,5,0)&gt;0),0.4,""))))</f>
        <v/>
      </c>
      <c r="T433" s="147" t="str">
        <f ca="1">IFERROR(IFERROR(IF(VLOOKUP($A433,'Шаг2.Бланк заказа NEW'!$B$17:$N$201,7,0)="","",VLOOKUP($A433,'Шаг2.Бланк заказа NEW'!$B$17:$N$201,7,0)),
IF(VLOOKUP($A433-COUNT('Шаг2.Бланк заказа NEW'!$B$19:$B$201),'Бланк OLD 0.8 04'!$B$12:$K$200,7,0)&gt;0,0.8,
IF(VLOOKUP($A433-COUNT('Шаг2.Бланк заказа NEW'!$B$19:$B$201),'Бланк OLD 0.8 04'!$B$12:$K$200,8,0)&gt;0,0.4,""))),
IF(VLOOKUP($A433-COUNT('Шаг2.Бланк заказа NEW'!$B$19:$B$201)-COUNT('Бланк OLD 0.8 04'!$B$18:$B$200),'Бланк OLD 2.0 04 '!$B$16:$K$200,7,0)&gt;0,2,IF(VLOOKUP($A433-COUNT('Шаг2.Бланк заказа NEW'!$B$19:$B$201)-COUNT('Бланк OLD 0.8 04'!$B$18:$B$200),'Бланк OLD 2.0 04 '!$B$16:$K$200,8,0)&gt;0,0.4,"")))</f>
        <v/>
      </c>
      <c r="U433" s="147" t="str">
        <f ca="1">IFERROR(IFERROR(IF(VLOOKUP($A433,'Шаг2.Бланк заказа NEW'!$B$17:$N$201,8,0)="","",VLOOKUP($A433,'Шаг2.Бланк заказа NEW'!$B$17:$N$201,8,0)),
IF(VLOOKUP($A433-COUNT('Шаг2.Бланк заказа NEW'!$B$19:$B$201),'Бланк OLD 0.8 04'!$B$12:$K$200,7,0)&gt;1,0.8,
IF(VLOOKUP($A433-COUNT('Шаг2.Бланк заказа NEW'!$B$19:$B$201),'Бланк OLD 0.8 04'!$B$12:$K$200,8,0)&gt;1,0.4,
IF(AND(VLOOKUP($A433-COUNT('Шаг2.Бланк заказа NEW'!$B$19:$B$201),'Бланк OLD 0.8 04'!$B$12:$K$200,7,0)&gt;0,VLOOKUP($A433-COUNT('Шаг2.Бланк заказа NEW'!$B$19:$B$201),'Бланк OLD 0.8 04'!$B$12:$K$200,8,0)&gt;0),0.4,"")))),
IF(VLOOKUP($A433-COUNT('Шаг2.Бланк заказа NEW'!$B$19:$B$201)-COUNT('Бланк OLD 0.8 04'!$B$18:$B$200),'Бланк OLD 2.0 04 '!$B$16:$K$200,7,0)&gt;1,2,
IF(VLOOKUP($A433-COUNT('Шаг2.Бланк заказа NEW'!$B$19:$B$201)-COUNT('Бланк OLD 0.8 04'!$B$18:$B$200),'Бланк OLD 2.0 04 '!$B$16:$K$200,8,0)&gt;1,0.4,
IF(AND(VLOOKUP($A433-COUNT('Шаг2.Бланк заказа NEW'!$B$19:$B$201)-COUNT('Бланк OLD 0.8 04'!$B$18:$B$200),'Бланк OLD 2.0 04 '!$B$16:$K$200,7,0)&gt;0,VLOOKUP($A433-COUNT('Шаг2.Бланк заказа NEW'!$B$19:$B$201)-COUNT('Бланк OLD 0.8 04'!$B$18:$B$200),'Бланк OLD 2.0 04 '!$B$16:$K$200,8,0)&gt;0),0.4,""))))</f>
        <v/>
      </c>
      <c r="V433" s="146" t="str">
        <f ca="1">IFERROR(VLOOKUP(C433,'Шаг1.Выбор плиты'!C:S,12,0),"")</f>
        <v/>
      </c>
      <c r="W433" s="146" t="str">
        <f ca="1">IFERROR(VLOOKUP(C433,'Шаг1.Выбор плиты'!C:S,8,0),"")</f>
        <v/>
      </c>
      <c r="X433" s="146" t="str">
        <f ca="1">IFERROR(VLOOKUP(C433,'Шаг1.Выбор плиты'!C:S,10,0),"")</f>
        <v/>
      </c>
      <c r="Y433" s="147" t="str">
        <f t="shared" ca="1" si="39"/>
        <v/>
      </c>
      <c r="AD433" s="147" t="str">
        <f t="shared" ca="1" si="37"/>
        <v/>
      </c>
      <c r="AE433" s="147" t="str">
        <f t="shared" ca="1" si="40"/>
        <v/>
      </c>
      <c r="AF433" s="25"/>
      <c r="AH433" s="147" t="str">
        <f ca="1">IF(C433="","",VLOOKUP(C433,'Шаг1.Выбор плиты'!C:Q,7,0))</f>
        <v/>
      </c>
      <c r="AI433" s="147" t="str">
        <f t="shared" ca="1" si="38"/>
        <v/>
      </c>
    </row>
    <row r="434" spans="1:35" x14ac:dyDescent="0.2">
      <c r="A434" s="151" t="str">
        <f ca="1">IF(C434="","",MAX($A$1:OFFSET(C434,-1,0))+1)</f>
        <v/>
      </c>
      <c r="B434" s="151" t="str">
        <f ca="1">IFERROR(IFERROR(IFERROR("Шаг2.Бланк заказа NEW №"&amp;VLOOKUP(A433+1,CHOOSE({1,2},'Шаг2.Бланк заказа NEW'!$B$19:$B$201,'Шаг2.Бланк заказа NEW'!$A$19:$A$201),1,0),
"Бланк OLD 0.8 04 №"&amp;VLOOKUP(A433+1-COUNT('Шаг2.Бланк заказа NEW'!$B$19:$B$201),CHOOSE({1,2},'Бланк OLD 0.8 04'!$B$18:$B$200,'Бланк OLD 0.8 04'!$A$18:$A$200),1,0)),
"Бланк OLD 2.0 04 №"&amp;VLOOKUP(A433+1-COUNT('Шаг2.Бланк заказа NEW'!$B$19:$B$201)-COUNT('Бланк OLD 0.8 04'!$B$18:$B$200),CHOOSE({1,2},'Бланк OLD 2.0 04 '!$B$18:$B$200,'Бланк OLD 2.0 04 '!$A$18:$A$200),1,0)),"")</f>
        <v/>
      </c>
      <c r="C434" s="152" t="str">
        <f ca="1">IFERROR(IFERROR(IFERROR(VLOOKUP(A433+1,CHOOSE({1,2},'Шаг2.Бланк заказа NEW'!$B$19:$B$201,'Шаг2.Бланк заказа NEW'!$A$19:$A$201),2,0),
VLOOKUP(A433+1-COUNT('Шаг2.Бланк заказа NEW'!$B$19:$B$201),CHOOSE({1,2},'Бланк OLD 0.8 04'!$B$18:$B$200,'Бланк OLD 0.8 04'!$A$18:$A$200),2,0)),
VLOOKUP(A433+1-COUNT('Шаг2.Бланк заказа NEW'!$B$19:$B$201)-COUNT('Бланк OLD 0.8 04'!$B$18:$B$200),CHOOSE({1,2},'Бланк OLD 2.0 04 '!$B$18:$B$200,'Бланк OLD 2.0 04 '!$A$18:$A$200),2,0)),"")</f>
        <v/>
      </c>
      <c r="D434" s="150" t="str">
        <f ca="1">IFERROR(VLOOKUP(C434,'Шаг1.Выбор плиты'!C:G,5,0),"")</f>
        <v/>
      </c>
      <c r="E434" s="147" t="str">
        <f ca="1">IFERROR(IFERROR(IF(VLOOKUP($A434,'Шаг2.Бланк заказа NEW'!$B$17:$N$201,2,0)="","",VLOOKUP($A434,'Шаг2.Бланк заказа NEW'!$B$17:$N$201,2,0)),
IF(VLOOKUP($A434-COUNT('Шаг2.Бланк заказа NEW'!$B$19:$B$201),'Бланк OLD 0.8 04'!$B$12:$K$200,2,0)="","",VLOOKUP($A434-COUNT('Шаг2.Бланк заказа NEW'!$B$19:$B$201),'Бланк OLD 0.8 04'!$B$12:$K$200,2,0))),
IF(VLOOKUP($A434-COUNT('Шаг2.Бланк заказа NEW'!$B$19:$B$201)-COUNT('Бланк OLD 0.8 04'!$B$18:$B$200),'Бланк OLD 2.0 04 '!$B$16:$K$200,2,0)="","",VLOOKUP($A434-COUNT('Шаг2.Бланк заказа NEW'!$B$19:$B$201)-COUNT('Бланк OLD 0.8 04'!$B$18:$B$200),'Бланк OLD 2.0 04 '!$B$16:$K$200,2,0)))</f>
        <v/>
      </c>
      <c r="F434" s="147" t="str">
        <f ca="1">IFERROR(IFERROR(IF(VLOOKUP($A434,'Шаг2.Бланк заказа NEW'!$B$17:$N$201,3,0)="","",VLOOKUP($A434,'Шаг2.Бланк заказа NEW'!$B$17:$N$201,3,0)),
IF(VLOOKUP($A434-COUNT('Шаг2.Бланк заказа NEW'!$B$19:$B$201),'Бланк OLD 0.8 04'!$B$12:$K$200,3,0)="","",VLOOKUP($A434-COUNT('Шаг2.Бланк заказа NEW'!$B$19:$B$201),'Бланк OLD 0.8 04'!$B$12:$K$200,3,0))),
IF(VLOOKUP($A434-COUNT('Шаг2.Бланк заказа NEW'!$B$19:$B$201)-COUNT('Бланк OLD 0.8 04'!$B$18:$B$200),'Бланк OLD 2.0 04 '!$B$16:$K$200,3,0)="","",VLOOKUP($A434-COUNT('Шаг2.Бланк заказа NEW'!$B$19:$B$201)-COUNT('Бланк OLD 0.8 04'!$B$18:$B$200),'Бланк OLD 2.0 04 '!$B$16:$K$200,3,0)))</f>
        <v/>
      </c>
      <c r="G434" s="176" t="str">
        <f ca="1">IF(IF(R434="","",IF(R434=1,SUMIFS('Шаг1.Выбор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плиты'!C:Q,12,0)),1))))))=0,
R434,
IF(R434="","",IF(R434=1,SUMIFS('Шаг1.Выбор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плиты'!N:N,R434,'Шаг1.Выбор плиты'!M:M,SMALL(INDIRECT("мм"&amp;VLOOKUP(C434,'Шаг1.Выбор плиты'!C:Q,12,0)),1)))))))</f>
        <v/>
      </c>
      <c r="H434" s="177" t="str">
        <f ca="1">IF(IF(S434="","",IF(S434=1,SUMIFS('Шаг1.Выбор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плиты'!C:Q,12,0)),1))))))=0,
S434,
IF(S434="","",IF(S434=1,SUMIFS('Шаг1.Выбор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плиты'!N:N,S434,'Шаг1.Выбор плиты'!M:M,SMALL(INDIRECT("мм"&amp;VLOOKUP(C434,'Шаг1.Выбор плиты'!C:Q,12,0)),1)))))))</f>
        <v/>
      </c>
      <c r="I434" s="147" t="str">
        <f ca="1">IFERROR(IFERROR(IF(VLOOKUP($A434,'Шаг2.Бланк заказа NEW'!$B$17:$N$201,6,0)="","",VLOOKUP($A434,'Шаг2.Бланк заказа NEW'!$B$17:$N$201,6,0)),
IF(VLOOKUP($A434-COUNT('Шаг2.Бланк заказа NEW'!$B$19:$B$201),'Бланк OLD 0.8 04'!$B$12:$K$200,6,0)="","",VLOOKUP($A434-COUNT('Шаг2.Бланк заказа NEW'!$B$19:$B$201),'Бланк OLD 0.8 04'!$B$12:$K$200,6,0))),
IF(VLOOKUP($A434-COUNT('Шаг2.Бланк заказа NEW'!$B$19:$B$201)-COUNT('Бланк OLD 0.8 04'!$B$18:$B$200),'Бланк OLD 2.0 04 '!$B$16:$K$200,6,0)="","",VLOOKUP($A434-COUNT('Шаг2.Бланк заказа NEW'!$B$19:$B$201)-COUNT('Бланк OLD 0.8 04'!$B$18:$B$200),'Бланк OLD 2.0 04 '!$B$16:$K$200,6,0)))</f>
        <v/>
      </c>
      <c r="J434" s="177" t="str">
        <f ca="1">IF(IF(T434="","",IF(T434=1,SUMIFS('Шаг1.Выбор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плиты'!C:Q,12,0)),1))))))=0,
T434,
IF(T434="","",IF(T434=1,SUMIFS('Шаг1.Выбор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плиты'!N:N,T434,'Шаг1.Выбор плиты'!M:M,SMALL(INDIRECT("мм"&amp;VLOOKUP(C434,'Шаг1.Выбор плиты'!C:Q,12,0)),1)))))))</f>
        <v/>
      </c>
      <c r="K434" s="177" t="str">
        <f ca="1">IF(IF(U434="","",IF(U434=1,SUMIFS('Шаг1.Выбор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плиты'!C:Q,12,0)),1))))))=0,
U434,
IF(U434="","",IF(U434=1,SUMIFS('Шаг1.Выбор плиты'!$G:$G,'Шаг1.Выбор плиты'!J:J,"*"&amp;RIGHT(VLOOKUP(C434,'Шаг1.Выбор плиты'!C:Q,8,0),4),'Шаг1.Выбор плиты'!L:L,IF(MID(C434,1,6)="ЛДСП P","TM"&amp;MID(VLOOKUP(C434,'Шаг1.Выбор плиты'!C:Q,10,0),3,2),MID(VLOOKUP(C434,'Шаг1.Выбор плиты'!C:Q,10,0),1,2)),
'Шаг1.Выбор плиты'!N:N,1),IF(SUMIFS('Шаг1.Выбор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плиты'!C:Q,12,0)),1))=0,
IF(SUMIFS('Шаг1.Выбор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плиты'!C:Q,12,0)),2))=0,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плиты'!C:Q,12,0)),3)),
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плиты'!C:Q,12,0)),2))),
(SUMIFS('Шаг1.Выбор плиты'!$G:$G,'Шаг1.Выбор плиты'!J:J,"*"&amp;RIGHT(VLOOKUP(C434,'Шаг1.Выбор плиты'!C:Q,8,0),4),'Шаг1.Выбор плиты'!L:L,VLOOKUP(C434,'Шаг1.Выбор плиты'!C:Q,10,0),'Шаг1.Выбор плиты'!N:N,U434,'Шаг1.Выбор плиты'!M:M,SMALL(INDIRECT("мм"&amp;VLOOKUP(C434,'Шаг1.Выбор плиты'!C:Q,12,0)),1)))))))</f>
        <v/>
      </c>
      <c r="L434" s="147" t="str">
        <f ca="1">IFERROR(IFERROR(IF(VLOOKUP($A434,'Шаг2.Бланк заказа NEW'!$B$17:$N$201,9,0)="","",VLOOKUP($A434,'Шаг2.Бланк заказа NEW'!$B$17:$N$201,9,0)),
IF(VLOOKUP($A434-COUNT('Шаг2.Бланк заказа NEW'!$B$19:$B$201),'Бланк OLD 0.8 04'!$B$12:$K$200,9,0)="","",VLOOKUP($A434-COUNT('Шаг2.Бланк заказа NEW'!$B$19:$B$201),'Бланк OLD 0.8 04'!$B$12:$K$200,9,0))),
IF(VLOOKUP($A434-COUNT('Шаг2.Бланк заказа NEW'!$B$19:$B$201)-COUNT('Бланк OLD 0.8 04'!$B$18:$B$200),'Бланк OLD 2.0 04 '!$B$16:$K$200,9,0)="","",VLOOKUP($A434-COUNT('Шаг2.Бланк заказа NEW'!$B$19:$B$201)-COUNT('Бланк OLD 0.8 04'!$B$18:$B$200),'Бланк OLD 2.0 04 '!$B$16:$K$200,9,0)))</f>
        <v/>
      </c>
      <c r="M434" s="154" t="str">
        <f t="shared" ca="1" si="36"/>
        <v/>
      </c>
      <c r="N434" s="153" t="str">
        <f ca="1">IFERROR(IF(VLOOKUP($A434,'Шаг2.Бланк заказа NEW'!$B$17:$N$201,11,0)="","",VLOOKUP($A434,'Шаг2.Бланк заказа NEW'!$B$17:$N$201,11,0)),
"Нет")</f>
        <v/>
      </c>
      <c r="O434" s="147" t="str">
        <f ca="1">IFERROR(IF(VLOOKUP($A434,'Шаг2.Бланк заказа NEW'!$B$17:$N$201,11,0)="","",VLOOKUP($A434,'Шаг2.Бланк заказа NEW'!$B$17:$N$201,12,0)),
"Нет")</f>
        <v/>
      </c>
      <c r="P434" s="153" t="str">
        <f ca="1">IFERROR(IF(VLOOKUP($A434,'Шаг2.Бланк заказа NEW'!$B$17:$N$201,13,0)="","",VLOOKUP($A434,'Шаг2.Бланк заказа NEW'!$B$17:$N$201,13,0)),
"Нет")</f>
        <v/>
      </c>
      <c r="Q434" s="147" t="str">
        <f ca="1">IFERROR(IF(VLOOKUP($A434,'Шаг2.Бланк заказа NEW'!$B$17:$O$201,14,0)="","",VLOOKUP($A434,'Шаг2.Бланк заказа NEW'!$B$17:$O$201,14,0)),"")</f>
        <v/>
      </c>
      <c r="R434" s="147" t="str">
        <f ca="1">IFERROR(IFERROR(IF(VLOOKUP($A434,'Шаг2.Бланк заказа NEW'!$B$17:$N$201,4,0)="","",VLOOKUP($A434,'Шаг2.Бланк заказа NEW'!$B$17:$N$201,4,0)),
IF(VLOOKUP($A434-COUNT('Шаг2.Бланк заказа NEW'!$B$19:$B$201),'Бланк OLD 0.8 04'!$B$12:$K$200,4,0)&gt;0,0.8,
IF(VLOOKUP($A434-COUNT('Шаг2.Бланк заказа NEW'!$B$19:$B$201),'Бланк OLD 0.8 04'!$B$12:$K$200,5,0)&gt;0,0.4,""))),
IF(VLOOKUP($A434-COUNT('Шаг2.Бланк заказа NEW'!$B$19:$B$201)-COUNT('Бланк OLD 0.8 04'!$B$18:$B$200),'Бланк OLD 2.0 04 '!$B$16:$K$200,4,0)&gt;0,2,IF(VLOOKUP($A434-COUNT('Шаг2.Бланк заказа NEW'!$B$19:$B$201)-COUNT('Бланк OLD 0.8 04'!$B$18:$B$200),'Бланк OLD 2.0 04 '!$B$16:$K$200,5,0)&gt;0,0.4,"")))</f>
        <v/>
      </c>
      <c r="S434" s="147" t="str">
        <f ca="1">IFERROR(IFERROR(IF(VLOOKUP($A434,'Шаг2.Бланк заказа NEW'!$B$17:$N$201,5,0)="","",VLOOKUP($A434,'Шаг2.Бланк заказа NEW'!$B$17:$N$201,5,0)),
IF(VLOOKUP($A434-COUNT('Шаг2.Бланк заказа NEW'!$B$19:$B$201),'Бланк OLD 0.8 04'!$B$12:$K$200,4,0)&gt;1,0.8,
IF(VLOOKUP($A434-COUNT('Шаг2.Бланк заказа NEW'!$B$19:$B$201),'Бланк OLD 0.8 04'!$B$12:$K$200,5,0)&gt;1,0.4,
IF(AND(VLOOKUP($A434-COUNT('Шаг2.Бланк заказа NEW'!$B$19:$B$201),'Бланк OLD 0.8 04'!$B$12:$K$200,4,0)&gt;0,VLOOKUP($A434-COUNT('Шаг2.Бланк заказа NEW'!$B$19:$B$201),'Бланк OLD 0.8 04'!$B$12:$K$200,5,0)&gt;0),0.4,"")))),
IF(VLOOKUP($A434-COUNT('Шаг2.Бланк заказа NEW'!$B$19:$B$201)-COUNT('Бланк OLD 0.8 04'!$B$18:$B$200),'Бланк OLD 2.0 04 '!$B$16:$K$200,4,0)&gt;1,2,
IF(VLOOKUP($A434-COUNT('Шаг2.Бланк заказа NEW'!$B$19:$B$201)-COUNT('Бланк OLD 0.8 04'!$B$18:$B$200),'Бланк OLD 2.0 04 '!$B$16:$K$200,5,0)&gt;1,0.4,IF(AND(VLOOKUP($A434-COUNT('Шаг2.Бланк заказа NEW'!$B$19:$B$201)-COUNT('Бланк OLD 0.8 04'!$B$18:$B$200),'Бланк OLD 2.0 04 '!$B$16:$K$200,4,0)&gt;0,VLOOKUP($A434-COUNT('Шаг2.Бланк заказа NEW'!$B$19:$B$201)-COUNT('Бланк OLD 0.8 04'!$B$18:$B$200),'Бланк OLD 2.0 04 '!$B$16:$K$200,5,0)&gt;0),0.4,""))))</f>
        <v/>
      </c>
      <c r="T434" s="147" t="str">
        <f ca="1">IFERROR(IFERROR(IF(VLOOKUP($A434,'Шаг2.Бланк заказа NEW'!$B$17:$N$201,7,0)="","",VLOOKUP($A434,'Шаг2.Бланк заказа NEW'!$B$17:$N$201,7,0)),
IF(VLOOKUP($A434-COUNT('Шаг2.Бланк заказа NEW'!$B$19:$B$201),'Бланк OLD 0.8 04'!$B$12:$K$200,7,0)&gt;0,0.8,
IF(VLOOKUP($A434-COUNT('Шаг2.Бланк заказа NEW'!$B$19:$B$201),'Бланк OLD 0.8 04'!$B$12:$K$200,8,0)&gt;0,0.4,""))),
IF(VLOOKUP($A434-COUNT('Шаг2.Бланк заказа NEW'!$B$19:$B$201)-COUNT('Бланк OLD 0.8 04'!$B$18:$B$200),'Бланк OLD 2.0 04 '!$B$16:$K$200,7,0)&gt;0,2,IF(VLOOKUP($A434-COUNT('Шаг2.Бланк заказа NEW'!$B$19:$B$201)-COUNT('Бланк OLD 0.8 04'!$B$18:$B$200),'Бланк OLD 2.0 04 '!$B$16:$K$200,8,0)&gt;0,0.4,"")))</f>
        <v/>
      </c>
      <c r="U434" s="147" t="str">
        <f ca="1">IFERROR(IFERROR(IF(VLOOKUP($A434,'Шаг2.Бланк заказа NEW'!$B$17:$N$201,8,0)="","",VLOOKUP($A434,'Шаг2.Бланк заказа NEW'!$B$17:$N$201,8,0)),
IF(VLOOKUP($A434-COUNT('Шаг2.Бланк заказа NEW'!$B$19:$B$201),'Бланк OLD 0.8 04'!$B$12:$K$200,7,0)&gt;1,0.8,
IF(VLOOKUP($A434-COUNT('Шаг2.Бланк заказа NEW'!$B$19:$B$201),'Бланк OLD 0.8 04'!$B$12:$K$200,8,0)&gt;1,0.4,
IF(AND(VLOOKUP($A434-COUNT('Шаг2.Бланк заказа NEW'!$B$19:$B$201),'Бланк OLD 0.8 04'!$B$12:$K$200,7,0)&gt;0,VLOOKUP($A434-COUNT('Шаг2.Бланк заказа NEW'!$B$19:$B$201),'Бланк OLD 0.8 04'!$B$12:$K$200,8,0)&gt;0),0.4,"")))),
IF(VLOOKUP($A434-COUNT('Шаг2.Бланк заказа NEW'!$B$19:$B$201)-COUNT('Бланк OLD 0.8 04'!$B$18:$B$200),'Бланк OLD 2.0 04 '!$B$16:$K$200,7,0)&gt;1,2,
IF(VLOOKUP($A434-COUNT('Шаг2.Бланк заказа NEW'!$B$19:$B$201)-COUNT('Бланк OLD 0.8 04'!$B$18:$B$200),'Бланк OLD 2.0 04 '!$B$16:$K$200,8,0)&gt;1,0.4,
IF(AND(VLOOKUP($A434-COUNT('Шаг2.Бланк заказа NEW'!$B$19:$B$201)-COUNT('Бланк OLD 0.8 04'!$B$18:$B$200),'Бланк OLD 2.0 04 '!$B$16:$K$200,7,0)&gt;0,VLOOKUP($A434-COUNT('Шаг2.Бланк заказа NEW'!$B$19:$B$201)-COUNT('Бланк OLD 0.8 04'!$B$18:$B$200),'Бланк OLD 2.0 04 '!$B$16:$K$200,8,0)&gt;0),0.4,""))))</f>
        <v/>
      </c>
      <c r="V434" s="146" t="str">
        <f ca="1">IFERROR(VLOOKUP(C434,'Шаг1.Выбор плиты'!C:S,12,0),"")</f>
        <v/>
      </c>
      <c r="W434" s="146" t="str">
        <f ca="1">IFERROR(VLOOKUP(C434,'Шаг1.Выбор плиты'!C:S,8,0),"")</f>
        <v/>
      </c>
      <c r="X434" s="146" t="str">
        <f ca="1">IFERROR(VLOOKUP(C434,'Шаг1.Выбор плиты'!C:S,10,0),"")</f>
        <v/>
      </c>
      <c r="Y434" s="147" t="str">
        <f t="shared" ca="1" si="39"/>
        <v/>
      </c>
      <c r="AD434" s="147" t="str">
        <f t="shared" ca="1" si="37"/>
        <v/>
      </c>
      <c r="AE434" s="147" t="str">
        <f t="shared" ca="1" si="40"/>
        <v/>
      </c>
      <c r="AF434" s="25"/>
      <c r="AH434" s="147" t="str">
        <f ca="1">IF(C434="","",VLOOKUP(C434,'Шаг1.Выбор плиты'!C:Q,7,0))</f>
        <v/>
      </c>
      <c r="AI434" s="147" t="str">
        <f t="shared" ca="1" si="38"/>
        <v/>
      </c>
    </row>
    <row r="435" spans="1:35" x14ac:dyDescent="0.2">
      <c r="A435" s="151" t="str">
        <f ca="1">IF(C435="","",MAX($A$1:OFFSET(C435,-1,0))+1)</f>
        <v/>
      </c>
      <c r="B435" s="151" t="str">
        <f ca="1">IFERROR(IFERROR(IFERROR("Шаг2.Бланк заказа NEW №"&amp;VLOOKUP(A434+1,CHOOSE({1,2},'Шаг2.Бланк заказа NEW'!$B$19:$B$201,'Шаг2.Бланк заказа NEW'!$A$19:$A$201),1,0),
"Бланк OLD 0.8 04 №"&amp;VLOOKUP(A434+1-COUNT('Шаг2.Бланк заказа NEW'!$B$19:$B$201),CHOOSE({1,2},'Бланк OLD 0.8 04'!$B$18:$B$200,'Бланк OLD 0.8 04'!$A$18:$A$200),1,0)),
"Бланк OLD 2.0 04 №"&amp;VLOOKUP(A434+1-COUNT('Шаг2.Бланк заказа NEW'!$B$19:$B$201)-COUNT('Бланк OLD 0.8 04'!$B$18:$B$200),CHOOSE({1,2},'Бланк OLD 2.0 04 '!$B$18:$B$200,'Бланк OLD 2.0 04 '!$A$18:$A$200),1,0)),"")</f>
        <v/>
      </c>
      <c r="C435" s="152" t="str">
        <f ca="1">IFERROR(IFERROR(IFERROR(VLOOKUP(A434+1,CHOOSE({1,2},'Шаг2.Бланк заказа NEW'!$B$19:$B$201,'Шаг2.Бланк заказа NEW'!$A$19:$A$201),2,0),
VLOOKUP(A434+1-COUNT('Шаг2.Бланк заказа NEW'!$B$19:$B$201),CHOOSE({1,2},'Бланк OLD 0.8 04'!$B$18:$B$200,'Бланк OLD 0.8 04'!$A$18:$A$200),2,0)),
VLOOKUP(A434+1-COUNT('Шаг2.Бланк заказа NEW'!$B$19:$B$201)-COUNT('Бланк OLD 0.8 04'!$B$18:$B$200),CHOOSE({1,2},'Бланк OLD 2.0 04 '!$B$18:$B$200,'Бланк OLD 2.0 04 '!$A$18:$A$200),2,0)),"")</f>
        <v/>
      </c>
      <c r="D435" s="150" t="str">
        <f ca="1">IFERROR(VLOOKUP(C435,'Шаг1.Выбор плиты'!C:G,5,0),"")</f>
        <v/>
      </c>
      <c r="E435" s="147" t="str">
        <f ca="1">IFERROR(IFERROR(IF(VLOOKUP($A435,'Шаг2.Бланк заказа NEW'!$B$17:$N$201,2,0)="","",VLOOKUP($A435,'Шаг2.Бланк заказа NEW'!$B$17:$N$201,2,0)),
IF(VLOOKUP($A435-COUNT('Шаг2.Бланк заказа NEW'!$B$19:$B$201),'Бланк OLD 0.8 04'!$B$12:$K$200,2,0)="","",VLOOKUP($A435-COUNT('Шаг2.Бланк заказа NEW'!$B$19:$B$201),'Бланк OLD 0.8 04'!$B$12:$K$200,2,0))),
IF(VLOOKUP($A435-COUNT('Шаг2.Бланк заказа NEW'!$B$19:$B$201)-COUNT('Бланк OLD 0.8 04'!$B$18:$B$200),'Бланк OLD 2.0 04 '!$B$16:$K$200,2,0)="","",VLOOKUP($A435-COUNT('Шаг2.Бланк заказа NEW'!$B$19:$B$201)-COUNT('Бланк OLD 0.8 04'!$B$18:$B$200),'Бланк OLD 2.0 04 '!$B$16:$K$200,2,0)))</f>
        <v/>
      </c>
      <c r="F435" s="147" t="str">
        <f ca="1">IFERROR(IFERROR(IF(VLOOKUP($A435,'Шаг2.Бланк заказа NEW'!$B$17:$N$201,3,0)="","",VLOOKUP($A435,'Шаг2.Бланк заказа NEW'!$B$17:$N$201,3,0)),
IF(VLOOKUP($A435-COUNT('Шаг2.Бланк заказа NEW'!$B$19:$B$201),'Бланк OLD 0.8 04'!$B$12:$K$200,3,0)="","",VLOOKUP($A435-COUNT('Шаг2.Бланк заказа NEW'!$B$19:$B$201),'Бланк OLD 0.8 04'!$B$12:$K$200,3,0))),
IF(VLOOKUP($A435-COUNT('Шаг2.Бланк заказа NEW'!$B$19:$B$201)-COUNT('Бланк OLD 0.8 04'!$B$18:$B$200),'Бланк OLD 2.0 04 '!$B$16:$K$200,3,0)="","",VLOOKUP($A435-COUNT('Шаг2.Бланк заказа NEW'!$B$19:$B$201)-COUNT('Бланк OLD 0.8 04'!$B$18:$B$200),'Бланк OLD 2.0 04 '!$B$16:$K$200,3,0)))</f>
        <v/>
      </c>
      <c r="G435" s="176" t="str">
        <f ca="1">IF(IF(R435="","",IF(R435=1,SUMIFS('Шаг1.Выбор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плиты'!C:Q,12,0)),1))))))=0,
R435,
IF(R435="","",IF(R435=1,SUMIFS('Шаг1.Выбор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плиты'!N:N,R435,'Шаг1.Выбор плиты'!M:M,SMALL(INDIRECT("мм"&amp;VLOOKUP(C435,'Шаг1.Выбор плиты'!C:Q,12,0)),1)))))))</f>
        <v/>
      </c>
      <c r="H435" s="177" t="str">
        <f ca="1">IF(IF(S435="","",IF(S435=1,SUMIFS('Шаг1.Выбор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плиты'!C:Q,12,0)),1))))))=0,
S435,
IF(S435="","",IF(S435=1,SUMIFS('Шаг1.Выбор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плиты'!N:N,S435,'Шаг1.Выбор плиты'!M:M,SMALL(INDIRECT("мм"&amp;VLOOKUP(C435,'Шаг1.Выбор плиты'!C:Q,12,0)),1)))))))</f>
        <v/>
      </c>
      <c r="I435" s="147" t="str">
        <f ca="1">IFERROR(IFERROR(IF(VLOOKUP($A435,'Шаг2.Бланк заказа NEW'!$B$17:$N$201,6,0)="","",VLOOKUP($A435,'Шаг2.Бланк заказа NEW'!$B$17:$N$201,6,0)),
IF(VLOOKUP($A435-COUNT('Шаг2.Бланк заказа NEW'!$B$19:$B$201),'Бланк OLD 0.8 04'!$B$12:$K$200,6,0)="","",VLOOKUP($A435-COUNT('Шаг2.Бланк заказа NEW'!$B$19:$B$201),'Бланк OLD 0.8 04'!$B$12:$K$200,6,0))),
IF(VLOOKUP($A435-COUNT('Шаг2.Бланк заказа NEW'!$B$19:$B$201)-COUNT('Бланк OLD 0.8 04'!$B$18:$B$200),'Бланк OLD 2.0 04 '!$B$16:$K$200,6,0)="","",VLOOKUP($A435-COUNT('Шаг2.Бланк заказа NEW'!$B$19:$B$201)-COUNT('Бланк OLD 0.8 04'!$B$18:$B$200),'Бланк OLD 2.0 04 '!$B$16:$K$200,6,0)))</f>
        <v/>
      </c>
      <c r="J435" s="177" t="str">
        <f ca="1">IF(IF(T435="","",IF(T435=1,SUMIFS('Шаг1.Выбор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плиты'!C:Q,12,0)),1))))))=0,
T435,
IF(T435="","",IF(T435=1,SUMIFS('Шаг1.Выбор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плиты'!N:N,T435,'Шаг1.Выбор плиты'!M:M,SMALL(INDIRECT("мм"&amp;VLOOKUP(C435,'Шаг1.Выбор плиты'!C:Q,12,0)),1)))))))</f>
        <v/>
      </c>
      <c r="K435" s="177" t="str">
        <f ca="1">IF(IF(U435="","",IF(U435=1,SUMIFS('Шаг1.Выбор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плиты'!C:Q,12,0)),1))))))=0,
U435,
IF(U435="","",IF(U435=1,SUMIFS('Шаг1.Выбор плиты'!$G:$G,'Шаг1.Выбор плиты'!J:J,"*"&amp;RIGHT(VLOOKUP(C435,'Шаг1.Выбор плиты'!C:Q,8,0),4),'Шаг1.Выбор плиты'!L:L,IF(MID(C435,1,6)="ЛДСП P","TM"&amp;MID(VLOOKUP(C435,'Шаг1.Выбор плиты'!C:Q,10,0),3,2),MID(VLOOKUP(C435,'Шаг1.Выбор плиты'!C:Q,10,0),1,2)),
'Шаг1.Выбор плиты'!N:N,1),IF(SUMIFS('Шаг1.Выбор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плиты'!C:Q,12,0)),1))=0,
IF(SUMIFS('Шаг1.Выбор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плиты'!C:Q,12,0)),2))=0,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плиты'!C:Q,12,0)),3)),
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плиты'!C:Q,12,0)),2))),
(SUMIFS('Шаг1.Выбор плиты'!$G:$G,'Шаг1.Выбор плиты'!J:J,"*"&amp;RIGHT(VLOOKUP(C435,'Шаг1.Выбор плиты'!C:Q,8,0),4),'Шаг1.Выбор плиты'!L:L,VLOOKUP(C435,'Шаг1.Выбор плиты'!C:Q,10,0),'Шаг1.Выбор плиты'!N:N,U435,'Шаг1.Выбор плиты'!M:M,SMALL(INDIRECT("мм"&amp;VLOOKUP(C435,'Шаг1.Выбор плиты'!C:Q,12,0)),1)))))))</f>
        <v/>
      </c>
      <c r="L435" s="147" t="str">
        <f ca="1">IFERROR(IFERROR(IF(VLOOKUP($A435,'Шаг2.Бланк заказа NEW'!$B$17:$N$201,9,0)="","",VLOOKUP($A435,'Шаг2.Бланк заказа NEW'!$B$17:$N$201,9,0)),
IF(VLOOKUP($A435-COUNT('Шаг2.Бланк заказа NEW'!$B$19:$B$201),'Бланк OLD 0.8 04'!$B$12:$K$200,9,0)="","",VLOOKUP($A435-COUNT('Шаг2.Бланк заказа NEW'!$B$19:$B$201),'Бланк OLD 0.8 04'!$B$12:$K$200,9,0))),
IF(VLOOKUP($A435-COUNT('Шаг2.Бланк заказа NEW'!$B$19:$B$201)-COUNT('Бланк OLD 0.8 04'!$B$18:$B$200),'Бланк OLD 2.0 04 '!$B$16:$K$200,9,0)="","",VLOOKUP($A435-COUNT('Шаг2.Бланк заказа NEW'!$B$19:$B$201)-COUNT('Бланк OLD 0.8 04'!$B$18:$B$200),'Бланк OLD 2.0 04 '!$B$16:$K$200,9,0)))</f>
        <v/>
      </c>
      <c r="M435" s="154" t="str">
        <f t="shared" ca="1" si="36"/>
        <v/>
      </c>
      <c r="N435" s="153" t="str">
        <f ca="1">IFERROR(IF(VLOOKUP($A435,'Шаг2.Бланк заказа NEW'!$B$17:$N$201,11,0)="","",VLOOKUP($A435,'Шаг2.Бланк заказа NEW'!$B$17:$N$201,11,0)),
"Нет")</f>
        <v/>
      </c>
      <c r="O435" s="147" t="str">
        <f ca="1">IFERROR(IF(VLOOKUP($A435,'Шаг2.Бланк заказа NEW'!$B$17:$N$201,11,0)="","",VLOOKUP($A435,'Шаг2.Бланк заказа NEW'!$B$17:$N$201,12,0)),
"Нет")</f>
        <v/>
      </c>
      <c r="P435" s="153" t="str">
        <f ca="1">IFERROR(IF(VLOOKUP($A435,'Шаг2.Бланк заказа NEW'!$B$17:$N$201,13,0)="","",VLOOKUP($A435,'Шаг2.Бланк заказа NEW'!$B$17:$N$201,13,0)),
"Нет")</f>
        <v/>
      </c>
      <c r="Q435" s="147" t="str">
        <f ca="1">IFERROR(IF(VLOOKUP($A435,'Шаг2.Бланк заказа NEW'!$B$17:$O$201,14,0)="","",VLOOKUP($A435,'Шаг2.Бланк заказа NEW'!$B$17:$O$201,14,0)),"")</f>
        <v/>
      </c>
      <c r="R435" s="147" t="str">
        <f ca="1">IFERROR(IFERROR(IF(VLOOKUP($A435,'Шаг2.Бланк заказа NEW'!$B$17:$N$201,4,0)="","",VLOOKUP($A435,'Шаг2.Бланк заказа NEW'!$B$17:$N$201,4,0)),
IF(VLOOKUP($A435-COUNT('Шаг2.Бланк заказа NEW'!$B$19:$B$201),'Бланк OLD 0.8 04'!$B$12:$K$200,4,0)&gt;0,0.8,
IF(VLOOKUP($A435-COUNT('Шаг2.Бланк заказа NEW'!$B$19:$B$201),'Бланк OLD 0.8 04'!$B$12:$K$200,5,0)&gt;0,0.4,""))),
IF(VLOOKUP($A435-COUNT('Шаг2.Бланк заказа NEW'!$B$19:$B$201)-COUNT('Бланк OLD 0.8 04'!$B$18:$B$200),'Бланк OLD 2.0 04 '!$B$16:$K$200,4,0)&gt;0,2,IF(VLOOKUP($A435-COUNT('Шаг2.Бланк заказа NEW'!$B$19:$B$201)-COUNT('Бланк OLD 0.8 04'!$B$18:$B$200),'Бланк OLD 2.0 04 '!$B$16:$K$200,5,0)&gt;0,0.4,"")))</f>
        <v/>
      </c>
      <c r="S435" s="147" t="str">
        <f ca="1">IFERROR(IFERROR(IF(VLOOKUP($A435,'Шаг2.Бланк заказа NEW'!$B$17:$N$201,5,0)="","",VLOOKUP($A435,'Шаг2.Бланк заказа NEW'!$B$17:$N$201,5,0)),
IF(VLOOKUP($A435-COUNT('Шаг2.Бланк заказа NEW'!$B$19:$B$201),'Бланк OLD 0.8 04'!$B$12:$K$200,4,0)&gt;1,0.8,
IF(VLOOKUP($A435-COUNT('Шаг2.Бланк заказа NEW'!$B$19:$B$201),'Бланк OLD 0.8 04'!$B$12:$K$200,5,0)&gt;1,0.4,
IF(AND(VLOOKUP($A435-COUNT('Шаг2.Бланк заказа NEW'!$B$19:$B$201),'Бланк OLD 0.8 04'!$B$12:$K$200,4,0)&gt;0,VLOOKUP($A435-COUNT('Шаг2.Бланк заказа NEW'!$B$19:$B$201),'Бланк OLD 0.8 04'!$B$12:$K$200,5,0)&gt;0),0.4,"")))),
IF(VLOOKUP($A435-COUNT('Шаг2.Бланк заказа NEW'!$B$19:$B$201)-COUNT('Бланк OLD 0.8 04'!$B$18:$B$200),'Бланк OLD 2.0 04 '!$B$16:$K$200,4,0)&gt;1,2,
IF(VLOOKUP($A435-COUNT('Шаг2.Бланк заказа NEW'!$B$19:$B$201)-COUNT('Бланк OLD 0.8 04'!$B$18:$B$200),'Бланк OLD 2.0 04 '!$B$16:$K$200,5,0)&gt;1,0.4,IF(AND(VLOOKUP($A435-COUNT('Шаг2.Бланк заказа NEW'!$B$19:$B$201)-COUNT('Бланк OLD 0.8 04'!$B$18:$B$200),'Бланк OLD 2.0 04 '!$B$16:$K$200,4,0)&gt;0,VLOOKUP($A435-COUNT('Шаг2.Бланк заказа NEW'!$B$19:$B$201)-COUNT('Бланк OLD 0.8 04'!$B$18:$B$200),'Бланк OLD 2.0 04 '!$B$16:$K$200,5,0)&gt;0),0.4,""))))</f>
        <v/>
      </c>
      <c r="T435" s="147" t="str">
        <f ca="1">IFERROR(IFERROR(IF(VLOOKUP($A435,'Шаг2.Бланк заказа NEW'!$B$17:$N$201,7,0)="","",VLOOKUP($A435,'Шаг2.Бланк заказа NEW'!$B$17:$N$201,7,0)),
IF(VLOOKUP($A435-COUNT('Шаг2.Бланк заказа NEW'!$B$19:$B$201),'Бланк OLD 0.8 04'!$B$12:$K$200,7,0)&gt;0,0.8,
IF(VLOOKUP($A435-COUNT('Шаг2.Бланк заказа NEW'!$B$19:$B$201),'Бланк OLD 0.8 04'!$B$12:$K$200,8,0)&gt;0,0.4,""))),
IF(VLOOKUP($A435-COUNT('Шаг2.Бланк заказа NEW'!$B$19:$B$201)-COUNT('Бланк OLD 0.8 04'!$B$18:$B$200),'Бланк OLD 2.0 04 '!$B$16:$K$200,7,0)&gt;0,2,IF(VLOOKUP($A435-COUNT('Шаг2.Бланк заказа NEW'!$B$19:$B$201)-COUNT('Бланк OLD 0.8 04'!$B$18:$B$200),'Бланк OLD 2.0 04 '!$B$16:$K$200,8,0)&gt;0,0.4,"")))</f>
        <v/>
      </c>
      <c r="U435" s="147" t="str">
        <f ca="1">IFERROR(IFERROR(IF(VLOOKUP($A435,'Шаг2.Бланк заказа NEW'!$B$17:$N$201,8,0)="","",VLOOKUP($A435,'Шаг2.Бланк заказа NEW'!$B$17:$N$201,8,0)),
IF(VLOOKUP($A435-COUNT('Шаг2.Бланк заказа NEW'!$B$19:$B$201),'Бланк OLD 0.8 04'!$B$12:$K$200,7,0)&gt;1,0.8,
IF(VLOOKUP($A435-COUNT('Шаг2.Бланк заказа NEW'!$B$19:$B$201),'Бланк OLD 0.8 04'!$B$12:$K$200,8,0)&gt;1,0.4,
IF(AND(VLOOKUP($A435-COUNT('Шаг2.Бланк заказа NEW'!$B$19:$B$201),'Бланк OLD 0.8 04'!$B$12:$K$200,7,0)&gt;0,VLOOKUP($A435-COUNT('Шаг2.Бланк заказа NEW'!$B$19:$B$201),'Бланк OLD 0.8 04'!$B$12:$K$200,8,0)&gt;0),0.4,"")))),
IF(VLOOKUP($A435-COUNT('Шаг2.Бланк заказа NEW'!$B$19:$B$201)-COUNT('Бланк OLD 0.8 04'!$B$18:$B$200),'Бланк OLD 2.0 04 '!$B$16:$K$200,7,0)&gt;1,2,
IF(VLOOKUP($A435-COUNT('Шаг2.Бланк заказа NEW'!$B$19:$B$201)-COUNT('Бланк OLD 0.8 04'!$B$18:$B$200),'Бланк OLD 2.0 04 '!$B$16:$K$200,8,0)&gt;1,0.4,
IF(AND(VLOOKUP($A435-COUNT('Шаг2.Бланк заказа NEW'!$B$19:$B$201)-COUNT('Бланк OLD 0.8 04'!$B$18:$B$200),'Бланк OLD 2.0 04 '!$B$16:$K$200,7,0)&gt;0,VLOOKUP($A435-COUNT('Шаг2.Бланк заказа NEW'!$B$19:$B$201)-COUNT('Бланк OLD 0.8 04'!$B$18:$B$200),'Бланк OLD 2.0 04 '!$B$16:$K$200,8,0)&gt;0),0.4,""))))</f>
        <v/>
      </c>
      <c r="V435" s="146" t="str">
        <f ca="1">IFERROR(VLOOKUP(C435,'Шаг1.Выбор плиты'!C:S,12,0),"")</f>
        <v/>
      </c>
      <c r="W435" s="146" t="str">
        <f ca="1">IFERROR(VLOOKUP(C435,'Шаг1.Выбор плиты'!C:S,8,0),"")</f>
        <v/>
      </c>
      <c r="X435" s="146" t="str">
        <f ca="1">IFERROR(VLOOKUP(C435,'Шаг1.Выбор плиты'!C:S,10,0),"")</f>
        <v/>
      </c>
      <c r="Y435" s="147" t="str">
        <f t="shared" ca="1" si="39"/>
        <v/>
      </c>
      <c r="AD435" s="147" t="str">
        <f t="shared" ca="1" si="37"/>
        <v/>
      </c>
      <c r="AE435" s="147" t="str">
        <f t="shared" ca="1" si="40"/>
        <v/>
      </c>
      <c r="AF435" s="25"/>
      <c r="AH435" s="147" t="str">
        <f ca="1">IF(C435="","",VLOOKUP(C435,'Шаг1.Выбор плиты'!C:Q,7,0))</f>
        <v/>
      </c>
      <c r="AI435" s="147" t="str">
        <f t="shared" ca="1" si="38"/>
        <v/>
      </c>
    </row>
    <row r="436" spans="1:35" x14ac:dyDescent="0.2">
      <c r="A436" s="151" t="str">
        <f ca="1">IF(C436="","",MAX($A$1:OFFSET(C436,-1,0))+1)</f>
        <v/>
      </c>
      <c r="B436" s="151" t="str">
        <f ca="1">IFERROR(IFERROR(IFERROR("Шаг2.Бланк заказа NEW №"&amp;VLOOKUP(A435+1,CHOOSE({1,2},'Шаг2.Бланк заказа NEW'!$B$19:$B$201,'Шаг2.Бланк заказа NEW'!$A$19:$A$201),1,0),
"Бланк OLD 0.8 04 №"&amp;VLOOKUP(A435+1-COUNT('Шаг2.Бланк заказа NEW'!$B$19:$B$201),CHOOSE({1,2},'Бланк OLD 0.8 04'!$B$18:$B$200,'Бланк OLD 0.8 04'!$A$18:$A$200),1,0)),
"Бланк OLD 2.0 04 №"&amp;VLOOKUP(A435+1-COUNT('Шаг2.Бланк заказа NEW'!$B$19:$B$201)-COUNT('Бланк OLD 0.8 04'!$B$18:$B$200),CHOOSE({1,2},'Бланк OLD 2.0 04 '!$B$18:$B$200,'Бланк OLD 2.0 04 '!$A$18:$A$200),1,0)),"")</f>
        <v/>
      </c>
      <c r="C436" s="152" t="str">
        <f ca="1">IFERROR(IFERROR(IFERROR(VLOOKUP(A435+1,CHOOSE({1,2},'Шаг2.Бланк заказа NEW'!$B$19:$B$201,'Шаг2.Бланк заказа NEW'!$A$19:$A$201),2,0),
VLOOKUP(A435+1-COUNT('Шаг2.Бланк заказа NEW'!$B$19:$B$201),CHOOSE({1,2},'Бланк OLD 0.8 04'!$B$18:$B$200,'Бланк OLD 0.8 04'!$A$18:$A$200),2,0)),
VLOOKUP(A435+1-COUNT('Шаг2.Бланк заказа NEW'!$B$19:$B$201)-COUNT('Бланк OLD 0.8 04'!$B$18:$B$200),CHOOSE({1,2},'Бланк OLD 2.0 04 '!$B$18:$B$200,'Бланк OLD 2.0 04 '!$A$18:$A$200),2,0)),"")</f>
        <v/>
      </c>
      <c r="D436" s="150" t="str">
        <f ca="1">IFERROR(VLOOKUP(C436,'Шаг1.Выбор плиты'!C:G,5,0),"")</f>
        <v/>
      </c>
      <c r="E436" s="147" t="str">
        <f ca="1">IFERROR(IFERROR(IF(VLOOKUP($A436,'Шаг2.Бланк заказа NEW'!$B$17:$N$201,2,0)="","",VLOOKUP($A436,'Шаг2.Бланк заказа NEW'!$B$17:$N$201,2,0)),
IF(VLOOKUP($A436-COUNT('Шаг2.Бланк заказа NEW'!$B$19:$B$201),'Бланк OLD 0.8 04'!$B$12:$K$200,2,0)="","",VLOOKUP($A436-COUNT('Шаг2.Бланк заказа NEW'!$B$19:$B$201),'Бланк OLD 0.8 04'!$B$12:$K$200,2,0))),
IF(VLOOKUP($A436-COUNT('Шаг2.Бланк заказа NEW'!$B$19:$B$201)-COUNT('Бланк OLD 0.8 04'!$B$18:$B$200),'Бланк OLD 2.0 04 '!$B$16:$K$200,2,0)="","",VLOOKUP($A436-COUNT('Шаг2.Бланк заказа NEW'!$B$19:$B$201)-COUNT('Бланк OLD 0.8 04'!$B$18:$B$200),'Бланк OLD 2.0 04 '!$B$16:$K$200,2,0)))</f>
        <v/>
      </c>
      <c r="F436" s="147" t="str">
        <f ca="1">IFERROR(IFERROR(IF(VLOOKUP($A436,'Шаг2.Бланк заказа NEW'!$B$17:$N$201,3,0)="","",VLOOKUP($A436,'Шаг2.Бланк заказа NEW'!$B$17:$N$201,3,0)),
IF(VLOOKUP($A436-COUNT('Шаг2.Бланк заказа NEW'!$B$19:$B$201),'Бланк OLD 0.8 04'!$B$12:$K$200,3,0)="","",VLOOKUP($A436-COUNT('Шаг2.Бланк заказа NEW'!$B$19:$B$201),'Бланк OLD 0.8 04'!$B$12:$K$200,3,0))),
IF(VLOOKUP($A436-COUNT('Шаг2.Бланк заказа NEW'!$B$19:$B$201)-COUNT('Бланк OLD 0.8 04'!$B$18:$B$200),'Бланк OLD 2.0 04 '!$B$16:$K$200,3,0)="","",VLOOKUP($A436-COUNT('Шаг2.Бланк заказа NEW'!$B$19:$B$201)-COUNT('Бланк OLD 0.8 04'!$B$18:$B$200),'Бланк OLD 2.0 04 '!$B$16:$K$200,3,0)))</f>
        <v/>
      </c>
      <c r="G436" s="176" t="str">
        <f ca="1">IF(IF(R436="","",IF(R436=1,SUMIFS('Шаг1.Выбор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плиты'!C:Q,12,0)),1))))))=0,
R436,
IF(R436="","",IF(R436=1,SUMIFS('Шаг1.Выбор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плиты'!N:N,R436,'Шаг1.Выбор плиты'!M:M,SMALL(INDIRECT("мм"&amp;VLOOKUP(C436,'Шаг1.Выбор плиты'!C:Q,12,0)),1)))))))</f>
        <v/>
      </c>
      <c r="H436" s="177" t="str">
        <f ca="1">IF(IF(S436="","",IF(S436=1,SUMIFS('Шаг1.Выбор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плиты'!C:Q,12,0)),1))))))=0,
S436,
IF(S436="","",IF(S436=1,SUMIFS('Шаг1.Выбор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плиты'!N:N,S436,'Шаг1.Выбор плиты'!M:M,SMALL(INDIRECT("мм"&amp;VLOOKUP(C436,'Шаг1.Выбор плиты'!C:Q,12,0)),1)))))))</f>
        <v/>
      </c>
      <c r="I436" s="147" t="str">
        <f ca="1">IFERROR(IFERROR(IF(VLOOKUP($A436,'Шаг2.Бланк заказа NEW'!$B$17:$N$201,6,0)="","",VLOOKUP($A436,'Шаг2.Бланк заказа NEW'!$B$17:$N$201,6,0)),
IF(VLOOKUP($A436-COUNT('Шаг2.Бланк заказа NEW'!$B$19:$B$201),'Бланк OLD 0.8 04'!$B$12:$K$200,6,0)="","",VLOOKUP($A436-COUNT('Шаг2.Бланк заказа NEW'!$B$19:$B$201),'Бланк OLD 0.8 04'!$B$12:$K$200,6,0))),
IF(VLOOKUP($A436-COUNT('Шаг2.Бланк заказа NEW'!$B$19:$B$201)-COUNT('Бланк OLD 0.8 04'!$B$18:$B$200),'Бланк OLD 2.0 04 '!$B$16:$K$200,6,0)="","",VLOOKUP($A436-COUNT('Шаг2.Бланк заказа NEW'!$B$19:$B$201)-COUNT('Бланк OLD 0.8 04'!$B$18:$B$200),'Бланк OLD 2.0 04 '!$B$16:$K$200,6,0)))</f>
        <v/>
      </c>
      <c r="J436" s="177" t="str">
        <f ca="1">IF(IF(T436="","",IF(T436=1,SUMIFS('Шаг1.Выбор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плиты'!C:Q,12,0)),1))))))=0,
T436,
IF(T436="","",IF(T436=1,SUMIFS('Шаг1.Выбор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плиты'!N:N,T436,'Шаг1.Выбор плиты'!M:M,SMALL(INDIRECT("мм"&amp;VLOOKUP(C436,'Шаг1.Выбор плиты'!C:Q,12,0)),1)))))))</f>
        <v/>
      </c>
      <c r="K436" s="177" t="str">
        <f ca="1">IF(IF(U436="","",IF(U436=1,SUMIFS('Шаг1.Выбор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плиты'!C:Q,12,0)),1))))))=0,
U436,
IF(U436="","",IF(U436=1,SUMIFS('Шаг1.Выбор плиты'!$G:$G,'Шаг1.Выбор плиты'!J:J,"*"&amp;RIGHT(VLOOKUP(C436,'Шаг1.Выбор плиты'!C:Q,8,0),4),'Шаг1.Выбор плиты'!L:L,IF(MID(C436,1,6)="ЛДСП P","TM"&amp;MID(VLOOKUP(C436,'Шаг1.Выбор плиты'!C:Q,10,0),3,2),MID(VLOOKUP(C436,'Шаг1.Выбор плиты'!C:Q,10,0),1,2)),
'Шаг1.Выбор плиты'!N:N,1),IF(SUMIFS('Шаг1.Выбор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плиты'!C:Q,12,0)),1))=0,
IF(SUMIFS('Шаг1.Выбор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плиты'!C:Q,12,0)),2))=0,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плиты'!C:Q,12,0)),3)),
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плиты'!C:Q,12,0)),2))),
(SUMIFS('Шаг1.Выбор плиты'!$G:$G,'Шаг1.Выбор плиты'!J:J,"*"&amp;RIGHT(VLOOKUP(C436,'Шаг1.Выбор плиты'!C:Q,8,0),4),'Шаг1.Выбор плиты'!L:L,VLOOKUP(C436,'Шаг1.Выбор плиты'!C:Q,10,0),'Шаг1.Выбор плиты'!N:N,U436,'Шаг1.Выбор плиты'!M:M,SMALL(INDIRECT("мм"&amp;VLOOKUP(C436,'Шаг1.Выбор плиты'!C:Q,12,0)),1)))))))</f>
        <v/>
      </c>
      <c r="L436" s="147" t="str">
        <f ca="1">IFERROR(IFERROR(IF(VLOOKUP($A436,'Шаг2.Бланк заказа NEW'!$B$17:$N$201,9,0)="","",VLOOKUP($A436,'Шаг2.Бланк заказа NEW'!$B$17:$N$201,9,0)),
IF(VLOOKUP($A436-COUNT('Шаг2.Бланк заказа NEW'!$B$19:$B$201),'Бланк OLD 0.8 04'!$B$12:$K$200,9,0)="","",VLOOKUP($A436-COUNT('Шаг2.Бланк заказа NEW'!$B$19:$B$201),'Бланк OLD 0.8 04'!$B$12:$K$200,9,0))),
IF(VLOOKUP($A436-COUNT('Шаг2.Бланк заказа NEW'!$B$19:$B$201)-COUNT('Бланк OLD 0.8 04'!$B$18:$B$200),'Бланк OLD 2.0 04 '!$B$16:$K$200,9,0)="","",VLOOKUP($A436-COUNT('Шаг2.Бланк заказа NEW'!$B$19:$B$201)-COUNT('Бланк OLD 0.8 04'!$B$18:$B$200),'Бланк OLD 2.0 04 '!$B$16:$K$200,9,0)))</f>
        <v/>
      </c>
      <c r="M436" s="154" t="str">
        <f t="shared" ca="1" si="36"/>
        <v/>
      </c>
      <c r="N436" s="153" t="str">
        <f ca="1">IFERROR(IF(VLOOKUP($A436,'Шаг2.Бланк заказа NEW'!$B$17:$N$201,11,0)="","",VLOOKUP($A436,'Шаг2.Бланк заказа NEW'!$B$17:$N$201,11,0)),
"Нет")</f>
        <v/>
      </c>
      <c r="O436" s="147" t="str">
        <f ca="1">IFERROR(IF(VLOOKUP($A436,'Шаг2.Бланк заказа NEW'!$B$17:$N$201,11,0)="","",VLOOKUP($A436,'Шаг2.Бланк заказа NEW'!$B$17:$N$201,12,0)),
"Нет")</f>
        <v/>
      </c>
      <c r="P436" s="153" t="str">
        <f ca="1">IFERROR(IF(VLOOKUP($A436,'Шаг2.Бланк заказа NEW'!$B$17:$N$201,13,0)="","",VLOOKUP($A436,'Шаг2.Бланк заказа NEW'!$B$17:$N$201,13,0)),
"Нет")</f>
        <v/>
      </c>
      <c r="Q436" s="147" t="str">
        <f ca="1">IFERROR(IF(VLOOKUP($A436,'Шаг2.Бланк заказа NEW'!$B$17:$O$201,14,0)="","",VLOOKUP($A436,'Шаг2.Бланк заказа NEW'!$B$17:$O$201,14,0)),"")</f>
        <v/>
      </c>
      <c r="R436" s="147" t="str">
        <f ca="1">IFERROR(IFERROR(IF(VLOOKUP($A436,'Шаг2.Бланк заказа NEW'!$B$17:$N$201,4,0)="","",VLOOKUP($A436,'Шаг2.Бланк заказа NEW'!$B$17:$N$201,4,0)),
IF(VLOOKUP($A436-COUNT('Шаг2.Бланк заказа NEW'!$B$19:$B$201),'Бланк OLD 0.8 04'!$B$12:$K$200,4,0)&gt;0,0.8,
IF(VLOOKUP($A436-COUNT('Шаг2.Бланк заказа NEW'!$B$19:$B$201),'Бланк OLD 0.8 04'!$B$12:$K$200,5,0)&gt;0,0.4,""))),
IF(VLOOKUP($A436-COUNT('Шаг2.Бланк заказа NEW'!$B$19:$B$201)-COUNT('Бланк OLD 0.8 04'!$B$18:$B$200),'Бланк OLD 2.0 04 '!$B$16:$K$200,4,0)&gt;0,2,IF(VLOOKUP($A436-COUNT('Шаг2.Бланк заказа NEW'!$B$19:$B$201)-COUNT('Бланк OLD 0.8 04'!$B$18:$B$200),'Бланк OLD 2.0 04 '!$B$16:$K$200,5,0)&gt;0,0.4,"")))</f>
        <v/>
      </c>
      <c r="S436" s="147" t="str">
        <f ca="1">IFERROR(IFERROR(IF(VLOOKUP($A436,'Шаг2.Бланк заказа NEW'!$B$17:$N$201,5,0)="","",VLOOKUP($A436,'Шаг2.Бланк заказа NEW'!$B$17:$N$201,5,0)),
IF(VLOOKUP($A436-COUNT('Шаг2.Бланк заказа NEW'!$B$19:$B$201),'Бланк OLD 0.8 04'!$B$12:$K$200,4,0)&gt;1,0.8,
IF(VLOOKUP($A436-COUNT('Шаг2.Бланк заказа NEW'!$B$19:$B$201),'Бланк OLD 0.8 04'!$B$12:$K$200,5,0)&gt;1,0.4,
IF(AND(VLOOKUP($A436-COUNT('Шаг2.Бланк заказа NEW'!$B$19:$B$201),'Бланк OLD 0.8 04'!$B$12:$K$200,4,0)&gt;0,VLOOKUP($A436-COUNT('Шаг2.Бланк заказа NEW'!$B$19:$B$201),'Бланк OLD 0.8 04'!$B$12:$K$200,5,0)&gt;0),0.4,"")))),
IF(VLOOKUP($A436-COUNT('Шаг2.Бланк заказа NEW'!$B$19:$B$201)-COUNT('Бланк OLD 0.8 04'!$B$18:$B$200),'Бланк OLD 2.0 04 '!$B$16:$K$200,4,0)&gt;1,2,
IF(VLOOKUP($A436-COUNT('Шаг2.Бланк заказа NEW'!$B$19:$B$201)-COUNT('Бланк OLD 0.8 04'!$B$18:$B$200),'Бланк OLD 2.0 04 '!$B$16:$K$200,5,0)&gt;1,0.4,IF(AND(VLOOKUP($A436-COUNT('Шаг2.Бланк заказа NEW'!$B$19:$B$201)-COUNT('Бланк OLD 0.8 04'!$B$18:$B$200),'Бланк OLD 2.0 04 '!$B$16:$K$200,4,0)&gt;0,VLOOKUP($A436-COUNT('Шаг2.Бланк заказа NEW'!$B$19:$B$201)-COUNT('Бланк OLD 0.8 04'!$B$18:$B$200),'Бланк OLD 2.0 04 '!$B$16:$K$200,5,0)&gt;0),0.4,""))))</f>
        <v/>
      </c>
      <c r="T436" s="147" t="str">
        <f ca="1">IFERROR(IFERROR(IF(VLOOKUP($A436,'Шаг2.Бланк заказа NEW'!$B$17:$N$201,7,0)="","",VLOOKUP($A436,'Шаг2.Бланк заказа NEW'!$B$17:$N$201,7,0)),
IF(VLOOKUP($A436-COUNT('Шаг2.Бланк заказа NEW'!$B$19:$B$201),'Бланк OLD 0.8 04'!$B$12:$K$200,7,0)&gt;0,0.8,
IF(VLOOKUP($A436-COUNT('Шаг2.Бланк заказа NEW'!$B$19:$B$201),'Бланк OLD 0.8 04'!$B$12:$K$200,8,0)&gt;0,0.4,""))),
IF(VLOOKUP($A436-COUNT('Шаг2.Бланк заказа NEW'!$B$19:$B$201)-COUNT('Бланк OLD 0.8 04'!$B$18:$B$200),'Бланк OLD 2.0 04 '!$B$16:$K$200,7,0)&gt;0,2,IF(VLOOKUP($A436-COUNT('Шаг2.Бланк заказа NEW'!$B$19:$B$201)-COUNT('Бланк OLD 0.8 04'!$B$18:$B$200),'Бланк OLD 2.0 04 '!$B$16:$K$200,8,0)&gt;0,0.4,"")))</f>
        <v/>
      </c>
      <c r="U436" s="147" t="str">
        <f ca="1">IFERROR(IFERROR(IF(VLOOKUP($A436,'Шаг2.Бланк заказа NEW'!$B$17:$N$201,8,0)="","",VLOOKUP($A436,'Шаг2.Бланк заказа NEW'!$B$17:$N$201,8,0)),
IF(VLOOKUP($A436-COUNT('Шаг2.Бланк заказа NEW'!$B$19:$B$201),'Бланк OLD 0.8 04'!$B$12:$K$200,7,0)&gt;1,0.8,
IF(VLOOKUP($A436-COUNT('Шаг2.Бланк заказа NEW'!$B$19:$B$201),'Бланк OLD 0.8 04'!$B$12:$K$200,8,0)&gt;1,0.4,
IF(AND(VLOOKUP($A436-COUNT('Шаг2.Бланк заказа NEW'!$B$19:$B$201),'Бланк OLD 0.8 04'!$B$12:$K$200,7,0)&gt;0,VLOOKUP($A436-COUNT('Шаг2.Бланк заказа NEW'!$B$19:$B$201),'Бланк OLD 0.8 04'!$B$12:$K$200,8,0)&gt;0),0.4,"")))),
IF(VLOOKUP($A436-COUNT('Шаг2.Бланк заказа NEW'!$B$19:$B$201)-COUNT('Бланк OLD 0.8 04'!$B$18:$B$200),'Бланк OLD 2.0 04 '!$B$16:$K$200,7,0)&gt;1,2,
IF(VLOOKUP($A436-COUNT('Шаг2.Бланк заказа NEW'!$B$19:$B$201)-COUNT('Бланк OLD 0.8 04'!$B$18:$B$200),'Бланк OLD 2.0 04 '!$B$16:$K$200,8,0)&gt;1,0.4,
IF(AND(VLOOKUP($A436-COUNT('Шаг2.Бланк заказа NEW'!$B$19:$B$201)-COUNT('Бланк OLD 0.8 04'!$B$18:$B$200),'Бланк OLD 2.0 04 '!$B$16:$K$200,7,0)&gt;0,VLOOKUP($A436-COUNT('Шаг2.Бланк заказа NEW'!$B$19:$B$201)-COUNT('Бланк OLD 0.8 04'!$B$18:$B$200),'Бланк OLD 2.0 04 '!$B$16:$K$200,8,0)&gt;0),0.4,""))))</f>
        <v/>
      </c>
      <c r="V436" s="146" t="str">
        <f ca="1">IFERROR(VLOOKUP(C436,'Шаг1.Выбор плиты'!C:S,12,0),"")</f>
        <v/>
      </c>
      <c r="W436" s="146" t="str">
        <f ca="1">IFERROR(VLOOKUP(C436,'Шаг1.Выбор плиты'!C:S,8,0),"")</f>
        <v/>
      </c>
      <c r="X436" s="146" t="str">
        <f ca="1">IFERROR(VLOOKUP(C436,'Шаг1.Выбор плиты'!C:S,10,0),"")</f>
        <v/>
      </c>
      <c r="Y436" s="147" t="str">
        <f t="shared" ca="1" si="39"/>
        <v/>
      </c>
      <c r="AD436" s="147" t="str">
        <f t="shared" ca="1" si="37"/>
        <v/>
      </c>
      <c r="AE436" s="147" t="str">
        <f t="shared" ca="1" si="40"/>
        <v/>
      </c>
      <c r="AF436" s="25"/>
      <c r="AH436" s="147" t="str">
        <f ca="1">IF(C436="","",VLOOKUP(C436,'Шаг1.Выбор плиты'!C:Q,7,0))</f>
        <v/>
      </c>
      <c r="AI436" s="147" t="str">
        <f t="shared" ca="1" si="38"/>
        <v/>
      </c>
    </row>
    <row r="437" spans="1:35" x14ac:dyDescent="0.2">
      <c r="A437" s="151" t="str">
        <f ca="1">IF(C437="","",MAX($A$1:OFFSET(C437,-1,0))+1)</f>
        <v/>
      </c>
      <c r="B437" s="151" t="str">
        <f ca="1">IFERROR(IFERROR(IFERROR("Шаг2.Бланк заказа NEW №"&amp;VLOOKUP(A436+1,CHOOSE({1,2},'Шаг2.Бланк заказа NEW'!$B$19:$B$201,'Шаг2.Бланк заказа NEW'!$A$19:$A$201),1,0),
"Бланк OLD 0.8 04 №"&amp;VLOOKUP(A436+1-COUNT('Шаг2.Бланк заказа NEW'!$B$19:$B$201),CHOOSE({1,2},'Бланк OLD 0.8 04'!$B$18:$B$200,'Бланк OLD 0.8 04'!$A$18:$A$200),1,0)),
"Бланк OLD 2.0 04 №"&amp;VLOOKUP(A436+1-COUNT('Шаг2.Бланк заказа NEW'!$B$19:$B$201)-COUNT('Бланк OLD 0.8 04'!$B$18:$B$200),CHOOSE({1,2},'Бланк OLD 2.0 04 '!$B$18:$B$200,'Бланк OLD 2.0 04 '!$A$18:$A$200),1,0)),"")</f>
        <v/>
      </c>
      <c r="C437" s="152" t="str">
        <f ca="1">IFERROR(IFERROR(IFERROR(VLOOKUP(A436+1,CHOOSE({1,2},'Шаг2.Бланк заказа NEW'!$B$19:$B$201,'Шаг2.Бланк заказа NEW'!$A$19:$A$201),2,0),
VLOOKUP(A436+1-COUNT('Шаг2.Бланк заказа NEW'!$B$19:$B$201),CHOOSE({1,2},'Бланк OLD 0.8 04'!$B$18:$B$200,'Бланк OLD 0.8 04'!$A$18:$A$200),2,0)),
VLOOKUP(A436+1-COUNT('Шаг2.Бланк заказа NEW'!$B$19:$B$201)-COUNT('Бланк OLD 0.8 04'!$B$18:$B$200),CHOOSE({1,2},'Бланк OLD 2.0 04 '!$B$18:$B$200,'Бланк OLD 2.0 04 '!$A$18:$A$200),2,0)),"")</f>
        <v/>
      </c>
      <c r="D437" s="150" t="str">
        <f ca="1">IFERROR(VLOOKUP(C437,'Шаг1.Выбор плиты'!C:G,5,0),"")</f>
        <v/>
      </c>
      <c r="E437" s="147" t="str">
        <f ca="1">IFERROR(IFERROR(IF(VLOOKUP($A437,'Шаг2.Бланк заказа NEW'!$B$17:$N$201,2,0)="","",VLOOKUP($A437,'Шаг2.Бланк заказа NEW'!$B$17:$N$201,2,0)),
IF(VLOOKUP($A437-COUNT('Шаг2.Бланк заказа NEW'!$B$19:$B$201),'Бланк OLD 0.8 04'!$B$12:$K$200,2,0)="","",VLOOKUP($A437-COUNT('Шаг2.Бланк заказа NEW'!$B$19:$B$201),'Бланк OLD 0.8 04'!$B$12:$K$200,2,0))),
IF(VLOOKUP($A437-COUNT('Шаг2.Бланк заказа NEW'!$B$19:$B$201)-COUNT('Бланк OLD 0.8 04'!$B$18:$B$200),'Бланк OLD 2.0 04 '!$B$16:$K$200,2,0)="","",VLOOKUP($A437-COUNT('Шаг2.Бланк заказа NEW'!$B$19:$B$201)-COUNT('Бланк OLD 0.8 04'!$B$18:$B$200),'Бланк OLD 2.0 04 '!$B$16:$K$200,2,0)))</f>
        <v/>
      </c>
      <c r="F437" s="147" t="str">
        <f ca="1">IFERROR(IFERROR(IF(VLOOKUP($A437,'Шаг2.Бланк заказа NEW'!$B$17:$N$201,3,0)="","",VLOOKUP($A437,'Шаг2.Бланк заказа NEW'!$B$17:$N$201,3,0)),
IF(VLOOKUP($A437-COUNT('Шаг2.Бланк заказа NEW'!$B$19:$B$201),'Бланк OLD 0.8 04'!$B$12:$K$200,3,0)="","",VLOOKUP($A437-COUNT('Шаг2.Бланк заказа NEW'!$B$19:$B$201),'Бланк OLD 0.8 04'!$B$12:$K$200,3,0))),
IF(VLOOKUP($A437-COUNT('Шаг2.Бланк заказа NEW'!$B$19:$B$201)-COUNT('Бланк OLD 0.8 04'!$B$18:$B$200),'Бланк OLD 2.0 04 '!$B$16:$K$200,3,0)="","",VLOOKUP($A437-COUNT('Шаг2.Бланк заказа NEW'!$B$19:$B$201)-COUNT('Бланк OLD 0.8 04'!$B$18:$B$200),'Бланк OLD 2.0 04 '!$B$16:$K$200,3,0)))</f>
        <v/>
      </c>
      <c r="G437" s="176" t="str">
        <f ca="1">IF(IF(R437="","",IF(R437=1,SUMIFS('Шаг1.Выбор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плиты'!C:Q,12,0)),1))))))=0,
R437,
IF(R437="","",IF(R437=1,SUMIFS('Шаг1.Выбор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плиты'!N:N,R437,'Шаг1.Выбор плиты'!M:M,SMALL(INDIRECT("мм"&amp;VLOOKUP(C437,'Шаг1.Выбор плиты'!C:Q,12,0)),1)))))))</f>
        <v/>
      </c>
      <c r="H437" s="177" t="str">
        <f ca="1">IF(IF(S437="","",IF(S437=1,SUMIFS('Шаг1.Выбор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плиты'!C:Q,12,0)),1))))))=0,
S437,
IF(S437="","",IF(S437=1,SUMIFS('Шаг1.Выбор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плиты'!N:N,S437,'Шаг1.Выбор плиты'!M:M,SMALL(INDIRECT("мм"&amp;VLOOKUP(C437,'Шаг1.Выбор плиты'!C:Q,12,0)),1)))))))</f>
        <v/>
      </c>
      <c r="I437" s="147" t="str">
        <f ca="1">IFERROR(IFERROR(IF(VLOOKUP($A437,'Шаг2.Бланк заказа NEW'!$B$17:$N$201,6,0)="","",VLOOKUP($A437,'Шаг2.Бланк заказа NEW'!$B$17:$N$201,6,0)),
IF(VLOOKUP($A437-COUNT('Шаг2.Бланк заказа NEW'!$B$19:$B$201),'Бланк OLD 0.8 04'!$B$12:$K$200,6,0)="","",VLOOKUP($A437-COUNT('Шаг2.Бланк заказа NEW'!$B$19:$B$201),'Бланк OLD 0.8 04'!$B$12:$K$200,6,0))),
IF(VLOOKUP($A437-COUNT('Шаг2.Бланк заказа NEW'!$B$19:$B$201)-COUNT('Бланк OLD 0.8 04'!$B$18:$B$200),'Бланк OLD 2.0 04 '!$B$16:$K$200,6,0)="","",VLOOKUP($A437-COUNT('Шаг2.Бланк заказа NEW'!$B$19:$B$201)-COUNT('Бланк OLD 0.8 04'!$B$18:$B$200),'Бланк OLD 2.0 04 '!$B$16:$K$200,6,0)))</f>
        <v/>
      </c>
      <c r="J437" s="177" t="str">
        <f ca="1">IF(IF(T437="","",IF(T437=1,SUMIFS('Шаг1.Выбор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плиты'!C:Q,12,0)),1))))))=0,
T437,
IF(T437="","",IF(T437=1,SUMIFS('Шаг1.Выбор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плиты'!N:N,T437,'Шаг1.Выбор плиты'!M:M,SMALL(INDIRECT("мм"&amp;VLOOKUP(C437,'Шаг1.Выбор плиты'!C:Q,12,0)),1)))))))</f>
        <v/>
      </c>
      <c r="K437" s="177" t="str">
        <f ca="1">IF(IF(U437="","",IF(U437=1,SUMIFS('Шаг1.Выбор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плиты'!C:Q,12,0)),1))))))=0,
U437,
IF(U437="","",IF(U437=1,SUMIFS('Шаг1.Выбор плиты'!$G:$G,'Шаг1.Выбор плиты'!J:J,"*"&amp;RIGHT(VLOOKUP(C437,'Шаг1.Выбор плиты'!C:Q,8,0),4),'Шаг1.Выбор плиты'!L:L,IF(MID(C437,1,6)="ЛДСП P","TM"&amp;MID(VLOOKUP(C437,'Шаг1.Выбор плиты'!C:Q,10,0),3,2),MID(VLOOKUP(C437,'Шаг1.Выбор плиты'!C:Q,10,0),1,2)),
'Шаг1.Выбор плиты'!N:N,1),IF(SUMIFS('Шаг1.Выбор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плиты'!C:Q,12,0)),1))=0,
IF(SUMIFS('Шаг1.Выбор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плиты'!C:Q,12,0)),2))=0,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плиты'!C:Q,12,0)),3)),
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плиты'!C:Q,12,0)),2))),
(SUMIFS('Шаг1.Выбор плиты'!$G:$G,'Шаг1.Выбор плиты'!J:J,"*"&amp;RIGHT(VLOOKUP(C437,'Шаг1.Выбор плиты'!C:Q,8,0),4),'Шаг1.Выбор плиты'!L:L,VLOOKUP(C437,'Шаг1.Выбор плиты'!C:Q,10,0),'Шаг1.Выбор плиты'!N:N,U437,'Шаг1.Выбор плиты'!M:M,SMALL(INDIRECT("мм"&amp;VLOOKUP(C437,'Шаг1.Выбор плиты'!C:Q,12,0)),1)))))))</f>
        <v/>
      </c>
      <c r="L437" s="147" t="str">
        <f ca="1">IFERROR(IFERROR(IF(VLOOKUP($A437,'Шаг2.Бланк заказа NEW'!$B$17:$N$201,9,0)="","",VLOOKUP($A437,'Шаг2.Бланк заказа NEW'!$B$17:$N$201,9,0)),
IF(VLOOKUP($A437-COUNT('Шаг2.Бланк заказа NEW'!$B$19:$B$201),'Бланк OLD 0.8 04'!$B$12:$K$200,9,0)="","",VLOOKUP($A437-COUNT('Шаг2.Бланк заказа NEW'!$B$19:$B$201),'Бланк OLD 0.8 04'!$B$12:$K$200,9,0))),
IF(VLOOKUP($A437-COUNT('Шаг2.Бланк заказа NEW'!$B$19:$B$201)-COUNT('Бланк OLD 0.8 04'!$B$18:$B$200),'Бланк OLD 2.0 04 '!$B$16:$K$200,9,0)="","",VLOOKUP($A437-COUNT('Шаг2.Бланк заказа NEW'!$B$19:$B$201)-COUNT('Бланк OLD 0.8 04'!$B$18:$B$200),'Бланк OLD 2.0 04 '!$B$16:$K$200,9,0)))</f>
        <v/>
      </c>
      <c r="M437" s="154" t="str">
        <f t="shared" ca="1" si="36"/>
        <v/>
      </c>
      <c r="N437" s="153" t="str">
        <f ca="1">IFERROR(IF(VLOOKUP($A437,'Шаг2.Бланк заказа NEW'!$B$17:$N$201,11,0)="","",VLOOKUP($A437,'Шаг2.Бланк заказа NEW'!$B$17:$N$201,11,0)),
"Нет")</f>
        <v/>
      </c>
      <c r="O437" s="147" t="str">
        <f ca="1">IFERROR(IF(VLOOKUP($A437,'Шаг2.Бланк заказа NEW'!$B$17:$N$201,11,0)="","",VLOOKUP($A437,'Шаг2.Бланк заказа NEW'!$B$17:$N$201,12,0)),
"Нет")</f>
        <v/>
      </c>
      <c r="P437" s="153" t="str">
        <f ca="1">IFERROR(IF(VLOOKUP($A437,'Шаг2.Бланк заказа NEW'!$B$17:$N$201,13,0)="","",VLOOKUP($A437,'Шаг2.Бланк заказа NEW'!$B$17:$N$201,13,0)),
"Нет")</f>
        <v/>
      </c>
      <c r="Q437" s="147" t="str">
        <f ca="1">IFERROR(IF(VLOOKUP($A437,'Шаг2.Бланк заказа NEW'!$B$17:$O$201,14,0)="","",VLOOKUP($A437,'Шаг2.Бланк заказа NEW'!$B$17:$O$201,14,0)),"")</f>
        <v/>
      </c>
      <c r="R437" s="147" t="str">
        <f ca="1">IFERROR(IFERROR(IF(VLOOKUP($A437,'Шаг2.Бланк заказа NEW'!$B$17:$N$201,4,0)="","",VLOOKUP($A437,'Шаг2.Бланк заказа NEW'!$B$17:$N$201,4,0)),
IF(VLOOKUP($A437-COUNT('Шаг2.Бланк заказа NEW'!$B$19:$B$201),'Бланк OLD 0.8 04'!$B$12:$K$200,4,0)&gt;0,0.8,
IF(VLOOKUP($A437-COUNT('Шаг2.Бланк заказа NEW'!$B$19:$B$201),'Бланк OLD 0.8 04'!$B$12:$K$200,5,0)&gt;0,0.4,""))),
IF(VLOOKUP($A437-COUNT('Шаг2.Бланк заказа NEW'!$B$19:$B$201)-COUNT('Бланк OLD 0.8 04'!$B$18:$B$200),'Бланк OLD 2.0 04 '!$B$16:$K$200,4,0)&gt;0,2,IF(VLOOKUP($A437-COUNT('Шаг2.Бланк заказа NEW'!$B$19:$B$201)-COUNT('Бланк OLD 0.8 04'!$B$18:$B$200),'Бланк OLD 2.0 04 '!$B$16:$K$200,5,0)&gt;0,0.4,"")))</f>
        <v/>
      </c>
      <c r="S437" s="147" t="str">
        <f ca="1">IFERROR(IFERROR(IF(VLOOKUP($A437,'Шаг2.Бланк заказа NEW'!$B$17:$N$201,5,0)="","",VLOOKUP($A437,'Шаг2.Бланк заказа NEW'!$B$17:$N$201,5,0)),
IF(VLOOKUP($A437-COUNT('Шаг2.Бланк заказа NEW'!$B$19:$B$201),'Бланк OLD 0.8 04'!$B$12:$K$200,4,0)&gt;1,0.8,
IF(VLOOKUP($A437-COUNT('Шаг2.Бланк заказа NEW'!$B$19:$B$201),'Бланк OLD 0.8 04'!$B$12:$K$200,5,0)&gt;1,0.4,
IF(AND(VLOOKUP($A437-COUNT('Шаг2.Бланк заказа NEW'!$B$19:$B$201),'Бланк OLD 0.8 04'!$B$12:$K$200,4,0)&gt;0,VLOOKUP($A437-COUNT('Шаг2.Бланк заказа NEW'!$B$19:$B$201),'Бланк OLD 0.8 04'!$B$12:$K$200,5,0)&gt;0),0.4,"")))),
IF(VLOOKUP($A437-COUNT('Шаг2.Бланк заказа NEW'!$B$19:$B$201)-COUNT('Бланк OLD 0.8 04'!$B$18:$B$200),'Бланк OLD 2.0 04 '!$B$16:$K$200,4,0)&gt;1,2,
IF(VLOOKUP($A437-COUNT('Шаг2.Бланк заказа NEW'!$B$19:$B$201)-COUNT('Бланк OLD 0.8 04'!$B$18:$B$200),'Бланк OLD 2.0 04 '!$B$16:$K$200,5,0)&gt;1,0.4,IF(AND(VLOOKUP($A437-COUNT('Шаг2.Бланк заказа NEW'!$B$19:$B$201)-COUNT('Бланк OLD 0.8 04'!$B$18:$B$200),'Бланк OLD 2.0 04 '!$B$16:$K$200,4,0)&gt;0,VLOOKUP($A437-COUNT('Шаг2.Бланк заказа NEW'!$B$19:$B$201)-COUNT('Бланк OLD 0.8 04'!$B$18:$B$200),'Бланк OLD 2.0 04 '!$B$16:$K$200,5,0)&gt;0),0.4,""))))</f>
        <v/>
      </c>
      <c r="T437" s="147" t="str">
        <f ca="1">IFERROR(IFERROR(IF(VLOOKUP($A437,'Шаг2.Бланк заказа NEW'!$B$17:$N$201,7,0)="","",VLOOKUP($A437,'Шаг2.Бланк заказа NEW'!$B$17:$N$201,7,0)),
IF(VLOOKUP($A437-COUNT('Шаг2.Бланк заказа NEW'!$B$19:$B$201),'Бланк OLD 0.8 04'!$B$12:$K$200,7,0)&gt;0,0.8,
IF(VLOOKUP($A437-COUNT('Шаг2.Бланк заказа NEW'!$B$19:$B$201),'Бланк OLD 0.8 04'!$B$12:$K$200,8,0)&gt;0,0.4,""))),
IF(VLOOKUP($A437-COUNT('Шаг2.Бланк заказа NEW'!$B$19:$B$201)-COUNT('Бланк OLD 0.8 04'!$B$18:$B$200),'Бланк OLD 2.0 04 '!$B$16:$K$200,7,0)&gt;0,2,IF(VLOOKUP($A437-COUNT('Шаг2.Бланк заказа NEW'!$B$19:$B$201)-COUNT('Бланк OLD 0.8 04'!$B$18:$B$200),'Бланк OLD 2.0 04 '!$B$16:$K$200,8,0)&gt;0,0.4,"")))</f>
        <v/>
      </c>
      <c r="U437" s="147" t="str">
        <f ca="1">IFERROR(IFERROR(IF(VLOOKUP($A437,'Шаг2.Бланк заказа NEW'!$B$17:$N$201,8,0)="","",VLOOKUP($A437,'Шаг2.Бланк заказа NEW'!$B$17:$N$201,8,0)),
IF(VLOOKUP($A437-COUNT('Шаг2.Бланк заказа NEW'!$B$19:$B$201),'Бланк OLD 0.8 04'!$B$12:$K$200,7,0)&gt;1,0.8,
IF(VLOOKUP($A437-COUNT('Шаг2.Бланк заказа NEW'!$B$19:$B$201),'Бланк OLD 0.8 04'!$B$12:$K$200,8,0)&gt;1,0.4,
IF(AND(VLOOKUP($A437-COUNT('Шаг2.Бланк заказа NEW'!$B$19:$B$201),'Бланк OLD 0.8 04'!$B$12:$K$200,7,0)&gt;0,VLOOKUP($A437-COUNT('Шаг2.Бланк заказа NEW'!$B$19:$B$201),'Бланк OLD 0.8 04'!$B$12:$K$200,8,0)&gt;0),0.4,"")))),
IF(VLOOKUP($A437-COUNT('Шаг2.Бланк заказа NEW'!$B$19:$B$201)-COUNT('Бланк OLD 0.8 04'!$B$18:$B$200),'Бланк OLD 2.0 04 '!$B$16:$K$200,7,0)&gt;1,2,
IF(VLOOKUP($A437-COUNT('Шаг2.Бланк заказа NEW'!$B$19:$B$201)-COUNT('Бланк OLD 0.8 04'!$B$18:$B$200),'Бланк OLD 2.0 04 '!$B$16:$K$200,8,0)&gt;1,0.4,
IF(AND(VLOOKUP($A437-COUNT('Шаг2.Бланк заказа NEW'!$B$19:$B$201)-COUNT('Бланк OLD 0.8 04'!$B$18:$B$200),'Бланк OLD 2.0 04 '!$B$16:$K$200,7,0)&gt;0,VLOOKUP($A437-COUNT('Шаг2.Бланк заказа NEW'!$B$19:$B$201)-COUNT('Бланк OLD 0.8 04'!$B$18:$B$200),'Бланк OLD 2.0 04 '!$B$16:$K$200,8,0)&gt;0),0.4,""))))</f>
        <v/>
      </c>
      <c r="V437" s="146" t="str">
        <f ca="1">IFERROR(VLOOKUP(C437,'Шаг1.Выбор плиты'!C:S,12,0),"")</f>
        <v/>
      </c>
      <c r="W437" s="146" t="str">
        <f ca="1">IFERROR(VLOOKUP(C437,'Шаг1.Выбор плиты'!C:S,8,0),"")</f>
        <v/>
      </c>
      <c r="X437" s="146" t="str">
        <f ca="1">IFERROR(VLOOKUP(C437,'Шаг1.Выбор плиты'!C:S,10,0),"")</f>
        <v/>
      </c>
      <c r="Y437" s="147" t="str">
        <f t="shared" ca="1" si="39"/>
        <v/>
      </c>
      <c r="AD437" s="147" t="str">
        <f t="shared" ca="1" si="37"/>
        <v/>
      </c>
      <c r="AE437" s="147" t="str">
        <f t="shared" ca="1" si="40"/>
        <v/>
      </c>
      <c r="AF437" s="25"/>
      <c r="AH437" s="147" t="str">
        <f ca="1">IF(C437="","",VLOOKUP(C437,'Шаг1.Выбор плиты'!C:Q,7,0))</f>
        <v/>
      </c>
      <c r="AI437" s="147" t="str">
        <f t="shared" ca="1" si="38"/>
        <v/>
      </c>
    </row>
    <row r="438" spans="1:35" x14ac:dyDescent="0.2">
      <c r="A438" s="151" t="str">
        <f ca="1">IF(C438="","",MAX($A$1:OFFSET(C438,-1,0))+1)</f>
        <v/>
      </c>
      <c r="B438" s="151" t="str">
        <f ca="1">IFERROR(IFERROR(IFERROR("Шаг2.Бланк заказа NEW №"&amp;VLOOKUP(A437+1,CHOOSE({1,2},'Шаг2.Бланк заказа NEW'!$B$19:$B$201,'Шаг2.Бланк заказа NEW'!$A$19:$A$201),1,0),
"Бланк OLD 0.8 04 №"&amp;VLOOKUP(A437+1-COUNT('Шаг2.Бланк заказа NEW'!$B$19:$B$201),CHOOSE({1,2},'Бланк OLD 0.8 04'!$B$18:$B$200,'Бланк OLD 0.8 04'!$A$18:$A$200),1,0)),
"Бланк OLD 2.0 04 №"&amp;VLOOKUP(A437+1-COUNT('Шаг2.Бланк заказа NEW'!$B$19:$B$201)-COUNT('Бланк OLD 0.8 04'!$B$18:$B$200),CHOOSE({1,2},'Бланк OLD 2.0 04 '!$B$18:$B$200,'Бланк OLD 2.0 04 '!$A$18:$A$200),1,0)),"")</f>
        <v/>
      </c>
      <c r="C438" s="152" t="str">
        <f ca="1">IFERROR(IFERROR(IFERROR(VLOOKUP(A437+1,CHOOSE({1,2},'Шаг2.Бланк заказа NEW'!$B$19:$B$201,'Шаг2.Бланк заказа NEW'!$A$19:$A$201),2,0),
VLOOKUP(A437+1-COUNT('Шаг2.Бланк заказа NEW'!$B$19:$B$201),CHOOSE({1,2},'Бланк OLD 0.8 04'!$B$18:$B$200,'Бланк OLD 0.8 04'!$A$18:$A$200),2,0)),
VLOOKUP(A437+1-COUNT('Шаг2.Бланк заказа NEW'!$B$19:$B$201)-COUNT('Бланк OLD 0.8 04'!$B$18:$B$200),CHOOSE({1,2},'Бланк OLD 2.0 04 '!$B$18:$B$200,'Бланк OLD 2.0 04 '!$A$18:$A$200),2,0)),"")</f>
        <v/>
      </c>
      <c r="D438" s="150" t="str">
        <f ca="1">IFERROR(VLOOKUP(C438,'Шаг1.Выбор плиты'!C:G,5,0),"")</f>
        <v/>
      </c>
      <c r="E438" s="147" t="str">
        <f ca="1">IFERROR(IFERROR(IF(VLOOKUP($A438,'Шаг2.Бланк заказа NEW'!$B$17:$N$201,2,0)="","",VLOOKUP($A438,'Шаг2.Бланк заказа NEW'!$B$17:$N$201,2,0)),
IF(VLOOKUP($A438-COUNT('Шаг2.Бланк заказа NEW'!$B$19:$B$201),'Бланк OLD 0.8 04'!$B$12:$K$200,2,0)="","",VLOOKUP($A438-COUNT('Шаг2.Бланк заказа NEW'!$B$19:$B$201),'Бланк OLD 0.8 04'!$B$12:$K$200,2,0))),
IF(VLOOKUP($A438-COUNT('Шаг2.Бланк заказа NEW'!$B$19:$B$201)-COUNT('Бланк OLD 0.8 04'!$B$18:$B$200),'Бланк OLD 2.0 04 '!$B$16:$K$200,2,0)="","",VLOOKUP($A438-COUNT('Шаг2.Бланк заказа NEW'!$B$19:$B$201)-COUNT('Бланк OLD 0.8 04'!$B$18:$B$200),'Бланк OLD 2.0 04 '!$B$16:$K$200,2,0)))</f>
        <v/>
      </c>
      <c r="F438" s="147" t="str">
        <f ca="1">IFERROR(IFERROR(IF(VLOOKUP($A438,'Шаг2.Бланк заказа NEW'!$B$17:$N$201,3,0)="","",VLOOKUP($A438,'Шаг2.Бланк заказа NEW'!$B$17:$N$201,3,0)),
IF(VLOOKUP($A438-COUNT('Шаг2.Бланк заказа NEW'!$B$19:$B$201),'Бланк OLD 0.8 04'!$B$12:$K$200,3,0)="","",VLOOKUP($A438-COUNT('Шаг2.Бланк заказа NEW'!$B$19:$B$201),'Бланк OLD 0.8 04'!$B$12:$K$200,3,0))),
IF(VLOOKUP($A438-COUNT('Шаг2.Бланк заказа NEW'!$B$19:$B$201)-COUNT('Бланк OLD 0.8 04'!$B$18:$B$200),'Бланк OLD 2.0 04 '!$B$16:$K$200,3,0)="","",VLOOKUP($A438-COUNT('Шаг2.Бланк заказа NEW'!$B$19:$B$201)-COUNT('Бланк OLD 0.8 04'!$B$18:$B$200),'Бланк OLD 2.0 04 '!$B$16:$K$200,3,0)))</f>
        <v/>
      </c>
      <c r="G438" s="176" t="str">
        <f ca="1">IF(IF(R438="","",IF(R438=1,SUMIFS('Шаг1.Выбор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плиты'!C:Q,12,0)),1))))))=0,
R438,
IF(R438="","",IF(R438=1,SUMIFS('Шаг1.Выбор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плиты'!N:N,R438,'Шаг1.Выбор плиты'!M:M,SMALL(INDIRECT("мм"&amp;VLOOKUP(C438,'Шаг1.Выбор плиты'!C:Q,12,0)),1)))))))</f>
        <v/>
      </c>
      <c r="H438" s="177" t="str">
        <f ca="1">IF(IF(S438="","",IF(S438=1,SUMIFS('Шаг1.Выбор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плиты'!C:Q,12,0)),1))))))=0,
S438,
IF(S438="","",IF(S438=1,SUMIFS('Шаг1.Выбор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плиты'!N:N,S438,'Шаг1.Выбор плиты'!M:M,SMALL(INDIRECT("мм"&amp;VLOOKUP(C438,'Шаг1.Выбор плиты'!C:Q,12,0)),1)))))))</f>
        <v/>
      </c>
      <c r="I438" s="147" t="str">
        <f ca="1">IFERROR(IFERROR(IF(VLOOKUP($A438,'Шаг2.Бланк заказа NEW'!$B$17:$N$201,6,0)="","",VLOOKUP($A438,'Шаг2.Бланк заказа NEW'!$B$17:$N$201,6,0)),
IF(VLOOKUP($A438-COUNT('Шаг2.Бланк заказа NEW'!$B$19:$B$201),'Бланк OLD 0.8 04'!$B$12:$K$200,6,0)="","",VLOOKUP($A438-COUNT('Шаг2.Бланк заказа NEW'!$B$19:$B$201),'Бланк OLD 0.8 04'!$B$12:$K$200,6,0))),
IF(VLOOKUP($A438-COUNT('Шаг2.Бланк заказа NEW'!$B$19:$B$201)-COUNT('Бланк OLD 0.8 04'!$B$18:$B$200),'Бланк OLD 2.0 04 '!$B$16:$K$200,6,0)="","",VLOOKUP($A438-COUNT('Шаг2.Бланк заказа NEW'!$B$19:$B$201)-COUNT('Бланк OLD 0.8 04'!$B$18:$B$200),'Бланк OLD 2.0 04 '!$B$16:$K$200,6,0)))</f>
        <v/>
      </c>
      <c r="J438" s="177" t="str">
        <f ca="1">IF(IF(T438="","",IF(T438=1,SUMIFS('Шаг1.Выбор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плиты'!C:Q,12,0)),1))))))=0,
T438,
IF(T438="","",IF(T438=1,SUMIFS('Шаг1.Выбор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плиты'!N:N,T438,'Шаг1.Выбор плиты'!M:M,SMALL(INDIRECT("мм"&amp;VLOOKUP(C438,'Шаг1.Выбор плиты'!C:Q,12,0)),1)))))))</f>
        <v/>
      </c>
      <c r="K438" s="177" t="str">
        <f ca="1">IF(IF(U438="","",IF(U438=1,SUMIFS('Шаг1.Выбор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плиты'!C:Q,12,0)),1))))))=0,
U438,
IF(U438="","",IF(U438=1,SUMIFS('Шаг1.Выбор плиты'!$G:$G,'Шаг1.Выбор плиты'!J:J,"*"&amp;RIGHT(VLOOKUP(C438,'Шаг1.Выбор плиты'!C:Q,8,0),4),'Шаг1.Выбор плиты'!L:L,IF(MID(C438,1,6)="ЛДСП P","TM"&amp;MID(VLOOKUP(C438,'Шаг1.Выбор плиты'!C:Q,10,0),3,2),MID(VLOOKUP(C438,'Шаг1.Выбор плиты'!C:Q,10,0),1,2)),
'Шаг1.Выбор плиты'!N:N,1),IF(SUMIFS('Шаг1.Выбор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плиты'!C:Q,12,0)),1))=0,
IF(SUMIFS('Шаг1.Выбор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плиты'!C:Q,12,0)),2))=0,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плиты'!C:Q,12,0)),3)),
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плиты'!C:Q,12,0)),2))),
(SUMIFS('Шаг1.Выбор плиты'!$G:$G,'Шаг1.Выбор плиты'!J:J,"*"&amp;RIGHT(VLOOKUP(C438,'Шаг1.Выбор плиты'!C:Q,8,0),4),'Шаг1.Выбор плиты'!L:L,VLOOKUP(C438,'Шаг1.Выбор плиты'!C:Q,10,0),'Шаг1.Выбор плиты'!N:N,U438,'Шаг1.Выбор плиты'!M:M,SMALL(INDIRECT("мм"&amp;VLOOKUP(C438,'Шаг1.Выбор плиты'!C:Q,12,0)),1)))))))</f>
        <v/>
      </c>
      <c r="L438" s="147" t="str">
        <f ca="1">IFERROR(IFERROR(IF(VLOOKUP($A438,'Шаг2.Бланк заказа NEW'!$B$17:$N$201,9,0)="","",VLOOKUP($A438,'Шаг2.Бланк заказа NEW'!$B$17:$N$201,9,0)),
IF(VLOOKUP($A438-COUNT('Шаг2.Бланк заказа NEW'!$B$19:$B$201),'Бланк OLD 0.8 04'!$B$12:$K$200,9,0)="","",VLOOKUP($A438-COUNT('Шаг2.Бланк заказа NEW'!$B$19:$B$201),'Бланк OLD 0.8 04'!$B$12:$K$200,9,0))),
IF(VLOOKUP($A438-COUNT('Шаг2.Бланк заказа NEW'!$B$19:$B$201)-COUNT('Бланк OLD 0.8 04'!$B$18:$B$200),'Бланк OLD 2.0 04 '!$B$16:$K$200,9,0)="","",VLOOKUP($A438-COUNT('Шаг2.Бланк заказа NEW'!$B$19:$B$201)-COUNT('Бланк OLD 0.8 04'!$B$18:$B$200),'Бланк OLD 2.0 04 '!$B$16:$K$200,9,0)))</f>
        <v/>
      </c>
      <c r="M438" s="154" t="str">
        <f t="shared" ca="1" si="36"/>
        <v/>
      </c>
      <c r="N438" s="153" t="str">
        <f ca="1">IFERROR(IF(VLOOKUP($A438,'Шаг2.Бланк заказа NEW'!$B$17:$N$201,11,0)="","",VLOOKUP($A438,'Шаг2.Бланк заказа NEW'!$B$17:$N$201,11,0)),
"Нет")</f>
        <v/>
      </c>
      <c r="O438" s="147" t="str">
        <f ca="1">IFERROR(IF(VLOOKUP($A438,'Шаг2.Бланк заказа NEW'!$B$17:$N$201,11,0)="","",VLOOKUP($A438,'Шаг2.Бланк заказа NEW'!$B$17:$N$201,12,0)),
"Нет")</f>
        <v/>
      </c>
      <c r="P438" s="153" t="str">
        <f ca="1">IFERROR(IF(VLOOKUP($A438,'Шаг2.Бланк заказа NEW'!$B$17:$N$201,13,0)="","",VLOOKUP($A438,'Шаг2.Бланк заказа NEW'!$B$17:$N$201,13,0)),
"Нет")</f>
        <v/>
      </c>
      <c r="Q438" s="147" t="str">
        <f ca="1">IFERROR(IF(VLOOKUP($A438,'Шаг2.Бланк заказа NEW'!$B$17:$O$201,14,0)="","",VLOOKUP($A438,'Шаг2.Бланк заказа NEW'!$B$17:$O$201,14,0)),"")</f>
        <v/>
      </c>
      <c r="R438" s="147" t="str">
        <f ca="1">IFERROR(IFERROR(IF(VLOOKUP($A438,'Шаг2.Бланк заказа NEW'!$B$17:$N$201,4,0)="","",VLOOKUP($A438,'Шаг2.Бланк заказа NEW'!$B$17:$N$201,4,0)),
IF(VLOOKUP($A438-COUNT('Шаг2.Бланк заказа NEW'!$B$19:$B$201),'Бланк OLD 0.8 04'!$B$12:$K$200,4,0)&gt;0,0.8,
IF(VLOOKUP($A438-COUNT('Шаг2.Бланк заказа NEW'!$B$19:$B$201),'Бланк OLD 0.8 04'!$B$12:$K$200,5,0)&gt;0,0.4,""))),
IF(VLOOKUP($A438-COUNT('Шаг2.Бланк заказа NEW'!$B$19:$B$201)-COUNT('Бланк OLD 0.8 04'!$B$18:$B$200),'Бланк OLD 2.0 04 '!$B$16:$K$200,4,0)&gt;0,2,IF(VLOOKUP($A438-COUNT('Шаг2.Бланк заказа NEW'!$B$19:$B$201)-COUNT('Бланк OLD 0.8 04'!$B$18:$B$200),'Бланк OLD 2.0 04 '!$B$16:$K$200,5,0)&gt;0,0.4,"")))</f>
        <v/>
      </c>
      <c r="S438" s="147" t="str">
        <f ca="1">IFERROR(IFERROR(IF(VLOOKUP($A438,'Шаг2.Бланк заказа NEW'!$B$17:$N$201,5,0)="","",VLOOKUP($A438,'Шаг2.Бланк заказа NEW'!$B$17:$N$201,5,0)),
IF(VLOOKUP($A438-COUNT('Шаг2.Бланк заказа NEW'!$B$19:$B$201),'Бланк OLD 0.8 04'!$B$12:$K$200,4,0)&gt;1,0.8,
IF(VLOOKUP($A438-COUNT('Шаг2.Бланк заказа NEW'!$B$19:$B$201),'Бланк OLD 0.8 04'!$B$12:$K$200,5,0)&gt;1,0.4,
IF(AND(VLOOKUP($A438-COUNT('Шаг2.Бланк заказа NEW'!$B$19:$B$201),'Бланк OLD 0.8 04'!$B$12:$K$200,4,0)&gt;0,VLOOKUP($A438-COUNT('Шаг2.Бланк заказа NEW'!$B$19:$B$201),'Бланк OLD 0.8 04'!$B$12:$K$200,5,0)&gt;0),0.4,"")))),
IF(VLOOKUP($A438-COUNT('Шаг2.Бланк заказа NEW'!$B$19:$B$201)-COUNT('Бланк OLD 0.8 04'!$B$18:$B$200),'Бланк OLD 2.0 04 '!$B$16:$K$200,4,0)&gt;1,2,
IF(VLOOKUP($A438-COUNT('Шаг2.Бланк заказа NEW'!$B$19:$B$201)-COUNT('Бланк OLD 0.8 04'!$B$18:$B$200),'Бланк OLD 2.0 04 '!$B$16:$K$200,5,0)&gt;1,0.4,IF(AND(VLOOKUP($A438-COUNT('Шаг2.Бланк заказа NEW'!$B$19:$B$201)-COUNT('Бланк OLD 0.8 04'!$B$18:$B$200),'Бланк OLD 2.0 04 '!$B$16:$K$200,4,0)&gt;0,VLOOKUP($A438-COUNT('Шаг2.Бланк заказа NEW'!$B$19:$B$201)-COUNT('Бланк OLD 0.8 04'!$B$18:$B$200),'Бланк OLD 2.0 04 '!$B$16:$K$200,5,0)&gt;0),0.4,""))))</f>
        <v/>
      </c>
      <c r="T438" s="147" t="str">
        <f ca="1">IFERROR(IFERROR(IF(VLOOKUP($A438,'Шаг2.Бланк заказа NEW'!$B$17:$N$201,7,0)="","",VLOOKUP($A438,'Шаг2.Бланк заказа NEW'!$B$17:$N$201,7,0)),
IF(VLOOKUP($A438-COUNT('Шаг2.Бланк заказа NEW'!$B$19:$B$201),'Бланк OLD 0.8 04'!$B$12:$K$200,7,0)&gt;0,0.8,
IF(VLOOKUP($A438-COUNT('Шаг2.Бланк заказа NEW'!$B$19:$B$201),'Бланк OLD 0.8 04'!$B$12:$K$200,8,0)&gt;0,0.4,""))),
IF(VLOOKUP($A438-COUNT('Шаг2.Бланк заказа NEW'!$B$19:$B$201)-COUNT('Бланк OLD 0.8 04'!$B$18:$B$200),'Бланк OLD 2.0 04 '!$B$16:$K$200,7,0)&gt;0,2,IF(VLOOKUP($A438-COUNT('Шаг2.Бланк заказа NEW'!$B$19:$B$201)-COUNT('Бланк OLD 0.8 04'!$B$18:$B$200),'Бланк OLD 2.0 04 '!$B$16:$K$200,8,0)&gt;0,0.4,"")))</f>
        <v/>
      </c>
      <c r="U438" s="147" t="str">
        <f ca="1">IFERROR(IFERROR(IF(VLOOKUP($A438,'Шаг2.Бланк заказа NEW'!$B$17:$N$201,8,0)="","",VLOOKUP($A438,'Шаг2.Бланк заказа NEW'!$B$17:$N$201,8,0)),
IF(VLOOKUP($A438-COUNT('Шаг2.Бланк заказа NEW'!$B$19:$B$201),'Бланк OLD 0.8 04'!$B$12:$K$200,7,0)&gt;1,0.8,
IF(VLOOKUP($A438-COUNT('Шаг2.Бланк заказа NEW'!$B$19:$B$201),'Бланк OLD 0.8 04'!$B$12:$K$200,8,0)&gt;1,0.4,
IF(AND(VLOOKUP($A438-COUNT('Шаг2.Бланк заказа NEW'!$B$19:$B$201),'Бланк OLD 0.8 04'!$B$12:$K$200,7,0)&gt;0,VLOOKUP($A438-COUNT('Шаг2.Бланк заказа NEW'!$B$19:$B$201),'Бланк OLD 0.8 04'!$B$12:$K$200,8,0)&gt;0),0.4,"")))),
IF(VLOOKUP($A438-COUNT('Шаг2.Бланк заказа NEW'!$B$19:$B$201)-COUNT('Бланк OLD 0.8 04'!$B$18:$B$200),'Бланк OLD 2.0 04 '!$B$16:$K$200,7,0)&gt;1,2,
IF(VLOOKUP($A438-COUNT('Шаг2.Бланк заказа NEW'!$B$19:$B$201)-COUNT('Бланк OLD 0.8 04'!$B$18:$B$200),'Бланк OLD 2.0 04 '!$B$16:$K$200,8,0)&gt;1,0.4,
IF(AND(VLOOKUP($A438-COUNT('Шаг2.Бланк заказа NEW'!$B$19:$B$201)-COUNT('Бланк OLD 0.8 04'!$B$18:$B$200),'Бланк OLD 2.0 04 '!$B$16:$K$200,7,0)&gt;0,VLOOKUP($A438-COUNT('Шаг2.Бланк заказа NEW'!$B$19:$B$201)-COUNT('Бланк OLD 0.8 04'!$B$18:$B$200),'Бланк OLD 2.0 04 '!$B$16:$K$200,8,0)&gt;0),0.4,""))))</f>
        <v/>
      </c>
      <c r="V438" s="146" t="str">
        <f ca="1">IFERROR(VLOOKUP(C438,'Шаг1.Выбор плиты'!C:S,12,0),"")</f>
        <v/>
      </c>
      <c r="W438" s="146" t="str">
        <f ca="1">IFERROR(VLOOKUP(C438,'Шаг1.Выбор плиты'!C:S,8,0),"")</f>
        <v/>
      </c>
      <c r="X438" s="146" t="str">
        <f ca="1">IFERROR(VLOOKUP(C438,'Шаг1.Выбор плиты'!C:S,10,0),"")</f>
        <v/>
      </c>
      <c r="Y438" s="147" t="str">
        <f t="shared" ca="1" si="39"/>
        <v/>
      </c>
      <c r="AD438" s="147" t="str">
        <f t="shared" ca="1" si="37"/>
        <v/>
      </c>
      <c r="AE438" s="147" t="str">
        <f t="shared" ca="1" si="40"/>
        <v/>
      </c>
      <c r="AF438" s="25"/>
      <c r="AH438" s="147" t="str">
        <f ca="1">IF(C438="","",VLOOKUP(C438,'Шаг1.Выбор плиты'!C:Q,7,0))</f>
        <v/>
      </c>
      <c r="AI438" s="147" t="str">
        <f t="shared" ca="1" si="38"/>
        <v/>
      </c>
    </row>
    <row r="439" spans="1:35" x14ac:dyDescent="0.2">
      <c r="A439" s="151" t="str">
        <f ca="1">IF(C439="","",MAX($A$1:OFFSET(C439,-1,0))+1)</f>
        <v/>
      </c>
      <c r="B439" s="151" t="str">
        <f ca="1">IFERROR(IFERROR(IFERROR("Шаг2.Бланк заказа NEW №"&amp;VLOOKUP(A438+1,CHOOSE({1,2},'Шаг2.Бланк заказа NEW'!$B$19:$B$201,'Шаг2.Бланк заказа NEW'!$A$19:$A$201),1,0),
"Бланк OLD 0.8 04 №"&amp;VLOOKUP(A438+1-COUNT('Шаг2.Бланк заказа NEW'!$B$19:$B$201),CHOOSE({1,2},'Бланк OLD 0.8 04'!$B$18:$B$200,'Бланк OLD 0.8 04'!$A$18:$A$200),1,0)),
"Бланк OLD 2.0 04 №"&amp;VLOOKUP(A438+1-COUNT('Шаг2.Бланк заказа NEW'!$B$19:$B$201)-COUNT('Бланк OLD 0.8 04'!$B$18:$B$200),CHOOSE({1,2},'Бланк OLD 2.0 04 '!$B$18:$B$200,'Бланк OLD 2.0 04 '!$A$18:$A$200),1,0)),"")</f>
        <v/>
      </c>
      <c r="C439" s="152" t="str">
        <f ca="1">IFERROR(IFERROR(IFERROR(VLOOKUP(A438+1,CHOOSE({1,2},'Шаг2.Бланк заказа NEW'!$B$19:$B$201,'Шаг2.Бланк заказа NEW'!$A$19:$A$201),2,0),
VLOOKUP(A438+1-COUNT('Шаг2.Бланк заказа NEW'!$B$19:$B$201),CHOOSE({1,2},'Бланк OLD 0.8 04'!$B$18:$B$200,'Бланк OLD 0.8 04'!$A$18:$A$200),2,0)),
VLOOKUP(A438+1-COUNT('Шаг2.Бланк заказа NEW'!$B$19:$B$201)-COUNT('Бланк OLD 0.8 04'!$B$18:$B$200),CHOOSE({1,2},'Бланк OLD 2.0 04 '!$B$18:$B$200,'Бланк OLD 2.0 04 '!$A$18:$A$200),2,0)),"")</f>
        <v/>
      </c>
      <c r="D439" s="150" t="str">
        <f ca="1">IFERROR(VLOOKUP(C439,'Шаг1.Выбор плиты'!C:G,5,0),"")</f>
        <v/>
      </c>
      <c r="E439" s="147" t="str">
        <f ca="1">IFERROR(IFERROR(IF(VLOOKUP($A439,'Шаг2.Бланк заказа NEW'!$B$17:$N$201,2,0)="","",VLOOKUP($A439,'Шаг2.Бланк заказа NEW'!$B$17:$N$201,2,0)),
IF(VLOOKUP($A439-COUNT('Шаг2.Бланк заказа NEW'!$B$19:$B$201),'Бланк OLD 0.8 04'!$B$12:$K$200,2,0)="","",VLOOKUP($A439-COUNT('Шаг2.Бланк заказа NEW'!$B$19:$B$201),'Бланк OLD 0.8 04'!$B$12:$K$200,2,0))),
IF(VLOOKUP($A439-COUNT('Шаг2.Бланк заказа NEW'!$B$19:$B$201)-COUNT('Бланк OLD 0.8 04'!$B$18:$B$200),'Бланк OLD 2.0 04 '!$B$16:$K$200,2,0)="","",VLOOKUP($A439-COUNT('Шаг2.Бланк заказа NEW'!$B$19:$B$201)-COUNT('Бланк OLD 0.8 04'!$B$18:$B$200),'Бланк OLD 2.0 04 '!$B$16:$K$200,2,0)))</f>
        <v/>
      </c>
      <c r="F439" s="147" t="str">
        <f ca="1">IFERROR(IFERROR(IF(VLOOKUP($A439,'Шаг2.Бланк заказа NEW'!$B$17:$N$201,3,0)="","",VLOOKUP($A439,'Шаг2.Бланк заказа NEW'!$B$17:$N$201,3,0)),
IF(VLOOKUP($A439-COUNT('Шаг2.Бланк заказа NEW'!$B$19:$B$201),'Бланк OLD 0.8 04'!$B$12:$K$200,3,0)="","",VLOOKUP($A439-COUNT('Шаг2.Бланк заказа NEW'!$B$19:$B$201),'Бланк OLD 0.8 04'!$B$12:$K$200,3,0))),
IF(VLOOKUP($A439-COUNT('Шаг2.Бланк заказа NEW'!$B$19:$B$201)-COUNT('Бланк OLD 0.8 04'!$B$18:$B$200),'Бланк OLD 2.0 04 '!$B$16:$K$200,3,0)="","",VLOOKUP($A439-COUNT('Шаг2.Бланк заказа NEW'!$B$19:$B$201)-COUNT('Бланк OLD 0.8 04'!$B$18:$B$200),'Бланк OLD 2.0 04 '!$B$16:$K$200,3,0)))</f>
        <v/>
      </c>
      <c r="G439" s="176" t="str">
        <f ca="1">IF(IF(R439="","",IF(R439=1,SUMIFS('Шаг1.Выбор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плиты'!C:Q,12,0)),1))))))=0,
R439,
IF(R439="","",IF(R439=1,SUMIFS('Шаг1.Выбор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плиты'!N:N,R439,'Шаг1.Выбор плиты'!M:M,SMALL(INDIRECT("мм"&amp;VLOOKUP(C439,'Шаг1.Выбор плиты'!C:Q,12,0)),1)))))))</f>
        <v/>
      </c>
      <c r="H439" s="177" t="str">
        <f ca="1">IF(IF(S439="","",IF(S439=1,SUMIFS('Шаг1.Выбор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плиты'!C:Q,12,0)),1))))))=0,
S439,
IF(S439="","",IF(S439=1,SUMIFS('Шаг1.Выбор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плиты'!N:N,S439,'Шаг1.Выбор плиты'!M:M,SMALL(INDIRECT("мм"&amp;VLOOKUP(C439,'Шаг1.Выбор плиты'!C:Q,12,0)),1)))))))</f>
        <v/>
      </c>
      <c r="I439" s="147" t="str">
        <f ca="1">IFERROR(IFERROR(IF(VLOOKUP($A439,'Шаг2.Бланк заказа NEW'!$B$17:$N$201,6,0)="","",VLOOKUP($A439,'Шаг2.Бланк заказа NEW'!$B$17:$N$201,6,0)),
IF(VLOOKUP($A439-COUNT('Шаг2.Бланк заказа NEW'!$B$19:$B$201),'Бланк OLD 0.8 04'!$B$12:$K$200,6,0)="","",VLOOKUP($A439-COUNT('Шаг2.Бланк заказа NEW'!$B$19:$B$201),'Бланк OLD 0.8 04'!$B$12:$K$200,6,0))),
IF(VLOOKUP($A439-COUNT('Шаг2.Бланк заказа NEW'!$B$19:$B$201)-COUNT('Бланк OLD 0.8 04'!$B$18:$B$200),'Бланк OLD 2.0 04 '!$B$16:$K$200,6,0)="","",VLOOKUP($A439-COUNT('Шаг2.Бланк заказа NEW'!$B$19:$B$201)-COUNT('Бланк OLD 0.8 04'!$B$18:$B$200),'Бланк OLD 2.0 04 '!$B$16:$K$200,6,0)))</f>
        <v/>
      </c>
      <c r="J439" s="177" t="str">
        <f ca="1">IF(IF(T439="","",IF(T439=1,SUMIFS('Шаг1.Выбор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плиты'!C:Q,12,0)),1))))))=0,
T439,
IF(T439="","",IF(T439=1,SUMIFS('Шаг1.Выбор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плиты'!N:N,T439,'Шаг1.Выбор плиты'!M:M,SMALL(INDIRECT("мм"&amp;VLOOKUP(C439,'Шаг1.Выбор плиты'!C:Q,12,0)),1)))))))</f>
        <v/>
      </c>
      <c r="K439" s="177" t="str">
        <f ca="1">IF(IF(U439="","",IF(U439=1,SUMIFS('Шаг1.Выбор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плиты'!C:Q,12,0)),1))))))=0,
U439,
IF(U439="","",IF(U439=1,SUMIFS('Шаг1.Выбор плиты'!$G:$G,'Шаг1.Выбор плиты'!J:J,"*"&amp;RIGHT(VLOOKUP(C439,'Шаг1.Выбор плиты'!C:Q,8,0),4),'Шаг1.Выбор плиты'!L:L,IF(MID(C439,1,6)="ЛДСП P","TM"&amp;MID(VLOOKUP(C439,'Шаг1.Выбор плиты'!C:Q,10,0),3,2),MID(VLOOKUP(C439,'Шаг1.Выбор плиты'!C:Q,10,0),1,2)),
'Шаг1.Выбор плиты'!N:N,1),IF(SUMIFS('Шаг1.Выбор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плиты'!C:Q,12,0)),1))=0,
IF(SUMIFS('Шаг1.Выбор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плиты'!C:Q,12,0)),2))=0,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плиты'!C:Q,12,0)),3)),
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плиты'!C:Q,12,0)),2))),
(SUMIFS('Шаг1.Выбор плиты'!$G:$G,'Шаг1.Выбор плиты'!J:J,"*"&amp;RIGHT(VLOOKUP(C439,'Шаг1.Выбор плиты'!C:Q,8,0),4),'Шаг1.Выбор плиты'!L:L,VLOOKUP(C439,'Шаг1.Выбор плиты'!C:Q,10,0),'Шаг1.Выбор плиты'!N:N,U439,'Шаг1.Выбор плиты'!M:M,SMALL(INDIRECT("мм"&amp;VLOOKUP(C439,'Шаг1.Выбор плиты'!C:Q,12,0)),1)))))))</f>
        <v/>
      </c>
      <c r="L439" s="147" t="str">
        <f ca="1">IFERROR(IFERROR(IF(VLOOKUP($A439,'Шаг2.Бланк заказа NEW'!$B$17:$N$201,9,0)="","",VLOOKUP($A439,'Шаг2.Бланк заказа NEW'!$B$17:$N$201,9,0)),
IF(VLOOKUP($A439-COUNT('Шаг2.Бланк заказа NEW'!$B$19:$B$201),'Бланк OLD 0.8 04'!$B$12:$K$200,9,0)="","",VLOOKUP($A439-COUNT('Шаг2.Бланк заказа NEW'!$B$19:$B$201),'Бланк OLD 0.8 04'!$B$12:$K$200,9,0))),
IF(VLOOKUP($A439-COUNT('Шаг2.Бланк заказа NEW'!$B$19:$B$201)-COUNT('Бланк OLD 0.8 04'!$B$18:$B$200),'Бланк OLD 2.0 04 '!$B$16:$K$200,9,0)="","",VLOOKUP($A439-COUNT('Шаг2.Бланк заказа NEW'!$B$19:$B$201)-COUNT('Бланк OLD 0.8 04'!$B$18:$B$200),'Бланк OLD 2.0 04 '!$B$16:$K$200,9,0)))</f>
        <v/>
      </c>
      <c r="M439" s="154" t="str">
        <f t="shared" ca="1" si="36"/>
        <v/>
      </c>
      <c r="N439" s="153" t="str">
        <f ca="1">IFERROR(IF(VLOOKUP($A439,'Шаг2.Бланк заказа NEW'!$B$17:$N$201,11,0)="","",VLOOKUP($A439,'Шаг2.Бланк заказа NEW'!$B$17:$N$201,11,0)),
"Нет")</f>
        <v/>
      </c>
      <c r="O439" s="147" t="str">
        <f ca="1">IFERROR(IF(VLOOKUP($A439,'Шаг2.Бланк заказа NEW'!$B$17:$N$201,11,0)="","",VLOOKUP($A439,'Шаг2.Бланк заказа NEW'!$B$17:$N$201,12,0)),
"Нет")</f>
        <v/>
      </c>
      <c r="P439" s="153" t="str">
        <f ca="1">IFERROR(IF(VLOOKUP($A439,'Шаг2.Бланк заказа NEW'!$B$17:$N$201,13,0)="","",VLOOKUP($A439,'Шаг2.Бланк заказа NEW'!$B$17:$N$201,13,0)),
"Нет")</f>
        <v/>
      </c>
      <c r="Q439" s="147" t="str">
        <f ca="1">IFERROR(IF(VLOOKUP($A439,'Шаг2.Бланк заказа NEW'!$B$17:$O$201,14,0)="","",VLOOKUP($A439,'Шаг2.Бланк заказа NEW'!$B$17:$O$201,14,0)),"")</f>
        <v/>
      </c>
      <c r="R439" s="147" t="str">
        <f ca="1">IFERROR(IFERROR(IF(VLOOKUP($A439,'Шаг2.Бланк заказа NEW'!$B$17:$N$201,4,0)="","",VLOOKUP($A439,'Шаг2.Бланк заказа NEW'!$B$17:$N$201,4,0)),
IF(VLOOKUP($A439-COUNT('Шаг2.Бланк заказа NEW'!$B$19:$B$201),'Бланк OLD 0.8 04'!$B$12:$K$200,4,0)&gt;0,0.8,
IF(VLOOKUP($A439-COUNT('Шаг2.Бланк заказа NEW'!$B$19:$B$201),'Бланк OLD 0.8 04'!$B$12:$K$200,5,0)&gt;0,0.4,""))),
IF(VLOOKUP($A439-COUNT('Шаг2.Бланк заказа NEW'!$B$19:$B$201)-COUNT('Бланк OLD 0.8 04'!$B$18:$B$200),'Бланк OLD 2.0 04 '!$B$16:$K$200,4,0)&gt;0,2,IF(VLOOKUP($A439-COUNT('Шаг2.Бланк заказа NEW'!$B$19:$B$201)-COUNT('Бланк OLD 0.8 04'!$B$18:$B$200),'Бланк OLD 2.0 04 '!$B$16:$K$200,5,0)&gt;0,0.4,"")))</f>
        <v/>
      </c>
      <c r="S439" s="147" t="str">
        <f ca="1">IFERROR(IFERROR(IF(VLOOKUP($A439,'Шаг2.Бланк заказа NEW'!$B$17:$N$201,5,0)="","",VLOOKUP($A439,'Шаг2.Бланк заказа NEW'!$B$17:$N$201,5,0)),
IF(VLOOKUP($A439-COUNT('Шаг2.Бланк заказа NEW'!$B$19:$B$201),'Бланк OLD 0.8 04'!$B$12:$K$200,4,0)&gt;1,0.8,
IF(VLOOKUP($A439-COUNT('Шаг2.Бланк заказа NEW'!$B$19:$B$201),'Бланк OLD 0.8 04'!$B$12:$K$200,5,0)&gt;1,0.4,
IF(AND(VLOOKUP($A439-COUNT('Шаг2.Бланк заказа NEW'!$B$19:$B$201),'Бланк OLD 0.8 04'!$B$12:$K$200,4,0)&gt;0,VLOOKUP($A439-COUNT('Шаг2.Бланк заказа NEW'!$B$19:$B$201),'Бланк OLD 0.8 04'!$B$12:$K$200,5,0)&gt;0),0.4,"")))),
IF(VLOOKUP($A439-COUNT('Шаг2.Бланк заказа NEW'!$B$19:$B$201)-COUNT('Бланк OLD 0.8 04'!$B$18:$B$200),'Бланк OLD 2.0 04 '!$B$16:$K$200,4,0)&gt;1,2,
IF(VLOOKUP($A439-COUNT('Шаг2.Бланк заказа NEW'!$B$19:$B$201)-COUNT('Бланк OLD 0.8 04'!$B$18:$B$200),'Бланк OLD 2.0 04 '!$B$16:$K$200,5,0)&gt;1,0.4,IF(AND(VLOOKUP($A439-COUNT('Шаг2.Бланк заказа NEW'!$B$19:$B$201)-COUNT('Бланк OLD 0.8 04'!$B$18:$B$200),'Бланк OLD 2.0 04 '!$B$16:$K$200,4,0)&gt;0,VLOOKUP($A439-COUNT('Шаг2.Бланк заказа NEW'!$B$19:$B$201)-COUNT('Бланк OLD 0.8 04'!$B$18:$B$200),'Бланк OLD 2.0 04 '!$B$16:$K$200,5,0)&gt;0),0.4,""))))</f>
        <v/>
      </c>
      <c r="T439" s="147" t="str">
        <f ca="1">IFERROR(IFERROR(IF(VLOOKUP($A439,'Шаг2.Бланк заказа NEW'!$B$17:$N$201,7,0)="","",VLOOKUP($A439,'Шаг2.Бланк заказа NEW'!$B$17:$N$201,7,0)),
IF(VLOOKUP($A439-COUNT('Шаг2.Бланк заказа NEW'!$B$19:$B$201),'Бланк OLD 0.8 04'!$B$12:$K$200,7,0)&gt;0,0.8,
IF(VLOOKUP($A439-COUNT('Шаг2.Бланк заказа NEW'!$B$19:$B$201),'Бланк OLD 0.8 04'!$B$12:$K$200,8,0)&gt;0,0.4,""))),
IF(VLOOKUP($A439-COUNT('Шаг2.Бланк заказа NEW'!$B$19:$B$201)-COUNT('Бланк OLD 0.8 04'!$B$18:$B$200),'Бланк OLD 2.0 04 '!$B$16:$K$200,7,0)&gt;0,2,IF(VLOOKUP($A439-COUNT('Шаг2.Бланк заказа NEW'!$B$19:$B$201)-COUNT('Бланк OLD 0.8 04'!$B$18:$B$200),'Бланк OLD 2.0 04 '!$B$16:$K$200,8,0)&gt;0,0.4,"")))</f>
        <v/>
      </c>
      <c r="U439" s="147" t="str">
        <f ca="1">IFERROR(IFERROR(IF(VLOOKUP($A439,'Шаг2.Бланк заказа NEW'!$B$17:$N$201,8,0)="","",VLOOKUP($A439,'Шаг2.Бланк заказа NEW'!$B$17:$N$201,8,0)),
IF(VLOOKUP($A439-COUNT('Шаг2.Бланк заказа NEW'!$B$19:$B$201),'Бланк OLD 0.8 04'!$B$12:$K$200,7,0)&gt;1,0.8,
IF(VLOOKUP($A439-COUNT('Шаг2.Бланк заказа NEW'!$B$19:$B$201),'Бланк OLD 0.8 04'!$B$12:$K$200,8,0)&gt;1,0.4,
IF(AND(VLOOKUP($A439-COUNT('Шаг2.Бланк заказа NEW'!$B$19:$B$201),'Бланк OLD 0.8 04'!$B$12:$K$200,7,0)&gt;0,VLOOKUP($A439-COUNT('Шаг2.Бланк заказа NEW'!$B$19:$B$201),'Бланк OLD 0.8 04'!$B$12:$K$200,8,0)&gt;0),0.4,"")))),
IF(VLOOKUP($A439-COUNT('Шаг2.Бланк заказа NEW'!$B$19:$B$201)-COUNT('Бланк OLD 0.8 04'!$B$18:$B$200),'Бланк OLD 2.0 04 '!$B$16:$K$200,7,0)&gt;1,2,
IF(VLOOKUP($A439-COUNT('Шаг2.Бланк заказа NEW'!$B$19:$B$201)-COUNT('Бланк OLD 0.8 04'!$B$18:$B$200),'Бланк OLD 2.0 04 '!$B$16:$K$200,8,0)&gt;1,0.4,
IF(AND(VLOOKUP($A439-COUNT('Шаг2.Бланк заказа NEW'!$B$19:$B$201)-COUNT('Бланк OLD 0.8 04'!$B$18:$B$200),'Бланк OLD 2.0 04 '!$B$16:$K$200,7,0)&gt;0,VLOOKUP($A439-COUNT('Шаг2.Бланк заказа NEW'!$B$19:$B$201)-COUNT('Бланк OLD 0.8 04'!$B$18:$B$200),'Бланк OLD 2.0 04 '!$B$16:$K$200,8,0)&gt;0),0.4,""))))</f>
        <v/>
      </c>
      <c r="V439" s="146" t="str">
        <f ca="1">IFERROR(VLOOKUP(C439,'Шаг1.Выбор плиты'!C:S,12,0),"")</f>
        <v/>
      </c>
      <c r="W439" s="146" t="str">
        <f ca="1">IFERROR(VLOOKUP(C439,'Шаг1.Выбор плиты'!C:S,8,0),"")</f>
        <v/>
      </c>
      <c r="X439" s="146" t="str">
        <f ca="1">IFERROR(VLOOKUP(C439,'Шаг1.Выбор плиты'!C:S,10,0),"")</f>
        <v/>
      </c>
      <c r="Y439" s="147" t="str">
        <f t="shared" ca="1" si="39"/>
        <v/>
      </c>
      <c r="AD439" s="147" t="str">
        <f t="shared" ca="1" si="37"/>
        <v/>
      </c>
      <c r="AE439" s="147" t="str">
        <f t="shared" ca="1" si="40"/>
        <v/>
      </c>
      <c r="AF439" s="25"/>
      <c r="AH439" s="147" t="str">
        <f ca="1">IF(C439="","",VLOOKUP(C439,'Шаг1.Выбор плиты'!C:Q,7,0))</f>
        <v/>
      </c>
      <c r="AI439" s="147" t="str">
        <f t="shared" ca="1" si="38"/>
        <v/>
      </c>
    </row>
    <row r="440" spans="1:35" x14ac:dyDescent="0.2">
      <c r="A440" s="151" t="str">
        <f ca="1">IF(C440="","",MAX($A$1:OFFSET(C440,-1,0))+1)</f>
        <v/>
      </c>
      <c r="B440" s="151" t="str">
        <f ca="1">IFERROR(IFERROR(IFERROR("Шаг2.Бланк заказа NEW №"&amp;VLOOKUP(A439+1,CHOOSE({1,2},'Шаг2.Бланк заказа NEW'!$B$19:$B$201,'Шаг2.Бланк заказа NEW'!$A$19:$A$201),1,0),
"Бланк OLD 0.8 04 №"&amp;VLOOKUP(A439+1-COUNT('Шаг2.Бланк заказа NEW'!$B$19:$B$201),CHOOSE({1,2},'Бланк OLD 0.8 04'!$B$18:$B$200,'Бланк OLD 0.8 04'!$A$18:$A$200),1,0)),
"Бланк OLD 2.0 04 №"&amp;VLOOKUP(A439+1-COUNT('Шаг2.Бланк заказа NEW'!$B$19:$B$201)-COUNT('Бланк OLD 0.8 04'!$B$18:$B$200),CHOOSE({1,2},'Бланк OLD 2.0 04 '!$B$18:$B$200,'Бланк OLD 2.0 04 '!$A$18:$A$200),1,0)),"")</f>
        <v/>
      </c>
      <c r="C440" s="152" t="str">
        <f ca="1">IFERROR(IFERROR(IFERROR(VLOOKUP(A439+1,CHOOSE({1,2},'Шаг2.Бланк заказа NEW'!$B$19:$B$201,'Шаг2.Бланк заказа NEW'!$A$19:$A$201),2,0),
VLOOKUP(A439+1-COUNT('Шаг2.Бланк заказа NEW'!$B$19:$B$201),CHOOSE({1,2},'Бланк OLD 0.8 04'!$B$18:$B$200,'Бланк OLD 0.8 04'!$A$18:$A$200),2,0)),
VLOOKUP(A439+1-COUNT('Шаг2.Бланк заказа NEW'!$B$19:$B$201)-COUNT('Бланк OLD 0.8 04'!$B$18:$B$200),CHOOSE({1,2},'Бланк OLD 2.0 04 '!$B$18:$B$200,'Бланк OLD 2.0 04 '!$A$18:$A$200),2,0)),"")</f>
        <v/>
      </c>
      <c r="D440" s="150" t="str">
        <f ca="1">IFERROR(VLOOKUP(C440,'Шаг1.Выбор плиты'!C:G,5,0),"")</f>
        <v/>
      </c>
      <c r="E440" s="147" t="str">
        <f ca="1">IFERROR(IFERROR(IF(VLOOKUP($A440,'Шаг2.Бланк заказа NEW'!$B$17:$N$201,2,0)="","",VLOOKUP($A440,'Шаг2.Бланк заказа NEW'!$B$17:$N$201,2,0)),
IF(VLOOKUP($A440-COUNT('Шаг2.Бланк заказа NEW'!$B$19:$B$201),'Бланк OLD 0.8 04'!$B$12:$K$200,2,0)="","",VLOOKUP($A440-COUNT('Шаг2.Бланк заказа NEW'!$B$19:$B$201),'Бланк OLD 0.8 04'!$B$12:$K$200,2,0))),
IF(VLOOKUP($A440-COUNT('Шаг2.Бланк заказа NEW'!$B$19:$B$201)-COUNT('Бланк OLD 0.8 04'!$B$18:$B$200),'Бланк OLD 2.0 04 '!$B$16:$K$200,2,0)="","",VLOOKUP($A440-COUNT('Шаг2.Бланк заказа NEW'!$B$19:$B$201)-COUNT('Бланк OLD 0.8 04'!$B$18:$B$200),'Бланк OLD 2.0 04 '!$B$16:$K$200,2,0)))</f>
        <v/>
      </c>
      <c r="F440" s="147" t="str">
        <f ca="1">IFERROR(IFERROR(IF(VLOOKUP($A440,'Шаг2.Бланк заказа NEW'!$B$17:$N$201,3,0)="","",VLOOKUP($A440,'Шаг2.Бланк заказа NEW'!$B$17:$N$201,3,0)),
IF(VLOOKUP($A440-COUNT('Шаг2.Бланк заказа NEW'!$B$19:$B$201),'Бланк OLD 0.8 04'!$B$12:$K$200,3,0)="","",VLOOKUP($A440-COUNT('Шаг2.Бланк заказа NEW'!$B$19:$B$201),'Бланк OLD 0.8 04'!$B$12:$K$200,3,0))),
IF(VLOOKUP($A440-COUNT('Шаг2.Бланк заказа NEW'!$B$19:$B$201)-COUNT('Бланк OLD 0.8 04'!$B$18:$B$200),'Бланк OLD 2.0 04 '!$B$16:$K$200,3,0)="","",VLOOKUP($A440-COUNT('Шаг2.Бланк заказа NEW'!$B$19:$B$201)-COUNT('Бланк OLD 0.8 04'!$B$18:$B$200),'Бланк OLD 2.0 04 '!$B$16:$K$200,3,0)))</f>
        <v/>
      </c>
      <c r="G440" s="176" t="str">
        <f ca="1">IF(IF(R440="","",IF(R440=1,SUMIFS('Шаг1.Выбор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плиты'!C:Q,12,0)),1))))))=0,
R440,
IF(R440="","",IF(R440=1,SUMIFS('Шаг1.Выбор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плиты'!N:N,R440,'Шаг1.Выбор плиты'!M:M,SMALL(INDIRECT("мм"&amp;VLOOKUP(C440,'Шаг1.Выбор плиты'!C:Q,12,0)),1)))))))</f>
        <v/>
      </c>
      <c r="H440" s="177" t="str">
        <f ca="1">IF(IF(S440="","",IF(S440=1,SUMIFS('Шаг1.Выбор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плиты'!C:Q,12,0)),1))))))=0,
S440,
IF(S440="","",IF(S440=1,SUMIFS('Шаг1.Выбор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плиты'!N:N,S440,'Шаг1.Выбор плиты'!M:M,SMALL(INDIRECT("мм"&amp;VLOOKUP(C440,'Шаг1.Выбор плиты'!C:Q,12,0)),1)))))))</f>
        <v/>
      </c>
      <c r="I440" s="147" t="str">
        <f ca="1">IFERROR(IFERROR(IF(VLOOKUP($A440,'Шаг2.Бланк заказа NEW'!$B$17:$N$201,6,0)="","",VLOOKUP($A440,'Шаг2.Бланк заказа NEW'!$B$17:$N$201,6,0)),
IF(VLOOKUP($A440-COUNT('Шаг2.Бланк заказа NEW'!$B$19:$B$201),'Бланк OLD 0.8 04'!$B$12:$K$200,6,0)="","",VLOOKUP($A440-COUNT('Шаг2.Бланк заказа NEW'!$B$19:$B$201),'Бланк OLD 0.8 04'!$B$12:$K$200,6,0))),
IF(VLOOKUP($A440-COUNT('Шаг2.Бланк заказа NEW'!$B$19:$B$201)-COUNT('Бланк OLD 0.8 04'!$B$18:$B$200),'Бланк OLD 2.0 04 '!$B$16:$K$200,6,0)="","",VLOOKUP($A440-COUNT('Шаг2.Бланк заказа NEW'!$B$19:$B$201)-COUNT('Бланк OLD 0.8 04'!$B$18:$B$200),'Бланк OLD 2.0 04 '!$B$16:$K$200,6,0)))</f>
        <v/>
      </c>
      <c r="J440" s="177" t="str">
        <f ca="1">IF(IF(T440="","",IF(T440=1,SUMIFS('Шаг1.Выбор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плиты'!C:Q,12,0)),1))))))=0,
T440,
IF(T440="","",IF(T440=1,SUMIFS('Шаг1.Выбор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плиты'!N:N,T440,'Шаг1.Выбор плиты'!M:M,SMALL(INDIRECT("мм"&amp;VLOOKUP(C440,'Шаг1.Выбор плиты'!C:Q,12,0)),1)))))))</f>
        <v/>
      </c>
      <c r="K440" s="177" t="str">
        <f ca="1">IF(IF(U440="","",IF(U440=1,SUMIFS('Шаг1.Выбор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плиты'!C:Q,12,0)),1))))))=0,
U440,
IF(U440="","",IF(U440=1,SUMIFS('Шаг1.Выбор плиты'!$G:$G,'Шаг1.Выбор плиты'!J:J,"*"&amp;RIGHT(VLOOKUP(C440,'Шаг1.Выбор плиты'!C:Q,8,0),4),'Шаг1.Выбор плиты'!L:L,IF(MID(C440,1,6)="ЛДСП P","TM"&amp;MID(VLOOKUP(C440,'Шаг1.Выбор плиты'!C:Q,10,0),3,2),MID(VLOOKUP(C440,'Шаг1.Выбор плиты'!C:Q,10,0),1,2)),
'Шаг1.Выбор плиты'!N:N,1),IF(SUMIFS('Шаг1.Выбор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плиты'!C:Q,12,0)),1))=0,
IF(SUMIFS('Шаг1.Выбор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плиты'!C:Q,12,0)),2))=0,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плиты'!C:Q,12,0)),3)),
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плиты'!C:Q,12,0)),2))),
(SUMIFS('Шаг1.Выбор плиты'!$G:$G,'Шаг1.Выбор плиты'!J:J,"*"&amp;RIGHT(VLOOKUP(C440,'Шаг1.Выбор плиты'!C:Q,8,0),4),'Шаг1.Выбор плиты'!L:L,VLOOKUP(C440,'Шаг1.Выбор плиты'!C:Q,10,0),'Шаг1.Выбор плиты'!N:N,U440,'Шаг1.Выбор плиты'!M:M,SMALL(INDIRECT("мм"&amp;VLOOKUP(C440,'Шаг1.Выбор плиты'!C:Q,12,0)),1)))))))</f>
        <v/>
      </c>
      <c r="L440" s="147" t="str">
        <f ca="1">IFERROR(IFERROR(IF(VLOOKUP($A440,'Шаг2.Бланк заказа NEW'!$B$17:$N$201,9,0)="","",VLOOKUP($A440,'Шаг2.Бланк заказа NEW'!$B$17:$N$201,9,0)),
IF(VLOOKUP($A440-COUNT('Шаг2.Бланк заказа NEW'!$B$19:$B$201),'Бланк OLD 0.8 04'!$B$12:$K$200,9,0)="","",VLOOKUP($A440-COUNT('Шаг2.Бланк заказа NEW'!$B$19:$B$201),'Бланк OLD 0.8 04'!$B$12:$K$200,9,0))),
IF(VLOOKUP($A440-COUNT('Шаг2.Бланк заказа NEW'!$B$19:$B$201)-COUNT('Бланк OLD 0.8 04'!$B$18:$B$200),'Бланк OLD 2.0 04 '!$B$16:$K$200,9,0)="","",VLOOKUP($A440-COUNT('Шаг2.Бланк заказа NEW'!$B$19:$B$201)-COUNT('Бланк OLD 0.8 04'!$B$18:$B$200),'Бланк OLD 2.0 04 '!$B$16:$K$200,9,0)))</f>
        <v/>
      </c>
      <c r="M440" s="154" t="str">
        <f t="shared" ca="1" si="36"/>
        <v/>
      </c>
      <c r="N440" s="153" t="str">
        <f ca="1">IFERROR(IF(VLOOKUP($A440,'Шаг2.Бланк заказа NEW'!$B$17:$N$201,11,0)="","",VLOOKUP($A440,'Шаг2.Бланк заказа NEW'!$B$17:$N$201,11,0)),
"Нет")</f>
        <v/>
      </c>
      <c r="O440" s="147" t="str">
        <f ca="1">IFERROR(IF(VLOOKUP($A440,'Шаг2.Бланк заказа NEW'!$B$17:$N$201,11,0)="","",VLOOKUP($A440,'Шаг2.Бланк заказа NEW'!$B$17:$N$201,12,0)),
"Нет")</f>
        <v/>
      </c>
      <c r="P440" s="153" t="str">
        <f ca="1">IFERROR(IF(VLOOKUP($A440,'Шаг2.Бланк заказа NEW'!$B$17:$N$201,13,0)="","",VLOOKUP($A440,'Шаг2.Бланк заказа NEW'!$B$17:$N$201,13,0)),
"Нет")</f>
        <v/>
      </c>
      <c r="Q440" s="147" t="str">
        <f ca="1">IFERROR(IF(VLOOKUP($A440,'Шаг2.Бланк заказа NEW'!$B$17:$O$201,14,0)="","",VLOOKUP($A440,'Шаг2.Бланк заказа NEW'!$B$17:$O$201,14,0)),"")</f>
        <v/>
      </c>
      <c r="R440" s="147" t="str">
        <f ca="1">IFERROR(IFERROR(IF(VLOOKUP($A440,'Шаг2.Бланк заказа NEW'!$B$17:$N$201,4,0)="","",VLOOKUP($A440,'Шаг2.Бланк заказа NEW'!$B$17:$N$201,4,0)),
IF(VLOOKUP($A440-COUNT('Шаг2.Бланк заказа NEW'!$B$19:$B$201),'Бланк OLD 0.8 04'!$B$12:$K$200,4,0)&gt;0,0.8,
IF(VLOOKUP($A440-COUNT('Шаг2.Бланк заказа NEW'!$B$19:$B$201),'Бланк OLD 0.8 04'!$B$12:$K$200,5,0)&gt;0,0.4,""))),
IF(VLOOKUP($A440-COUNT('Шаг2.Бланк заказа NEW'!$B$19:$B$201)-COUNT('Бланк OLD 0.8 04'!$B$18:$B$200),'Бланк OLD 2.0 04 '!$B$16:$K$200,4,0)&gt;0,2,IF(VLOOKUP($A440-COUNT('Шаг2.Бланк заказа NEW'!$B$19:$B$201)-COUNT('Бланк OLD 0.8 04'!$B$18:$B$200),'Бланк OLD 2.0 04 '!$B$16:$K$200,5,0)&gt;0,0.4,"")))</f>
        <v/>
      </c>
      <c r="S440" s="147" t="str">
        <f ca="1">IFERROR(IFERROR(IF(VLOOKUP($A440,'Шаг2.Бланк заказа NEW'!$B$17:$N$201,5,0)="","",VLOOKUP($A440,'Шаг2.Бланк заказа NEW'!$B$17:$N$201,5,0)),
IF(VLOOKUP($A440-COUNT('Шаг2.Бланк заказа NEW'!$B$19:$B$201),'Бланк OLD 0.8 04'!$B$12:$K$200,4,0)&gt;1,0.8,
IF(VLOOKUP($A440-COUNT('Шаг2.Бланк заказа NEW'!$B$19:$B$201),'Бланк OLD 0.8 04'!$B$12:$K$200,5,0)&gt;1,0.4,
IF(AND(VLOOKUP($A440-COUNT('Шаг2.Бланк заказа NEW'!$B$19:$B$201),'Бланк OLD 0.8 04'!$B$12:$K$200,4,0)&gt;0,VLOOKUP($A440-COUNT('Шаг2.Бланк заказа NEW'!$B$19:$B$201),'Бланк OLD 0.8 04'!$B$12:$K$200,5,0)&gt;0),0.4,"")))),
IF(VLOOKUP($A440-COUNT('Шаг2.Бланк заказа NEW'!$B$19:$B$201)-COUNT('Бланк OLD 0.8 04'!$B$18:$B$200),'Бланк OLD 2.0 04 '!$B$16:$K$200,4,0)&gt;1,2,
IF(VLOOKUP($A440-COUNT('Шаг2.Бланк заказа NEW'!$B$19:$B$201)-COUNT('Бланк OLD 0.8 04'!$B$18:$B$200),'Бланк OLD 2.0 04 '!$B$16:$K$200,5,0)&gt;1,0.4,IF(AND(VLOOKUP($A440-COUNT('Шаг2.Бланк заказа NEW'!$B$19:$B$201)-COUNT('Бланк OLD 0.8 04'!$B$18:$B$200),'Бланк OLD 2.0 04 '!$B$16:$K$200,4,0)&gt;0,VLOOKUP($A440-COUNT('Шаг2.Бланк заказа NEW'!$B$19:$B$201)-COUNT('Бланк OLD 0.8 04'!$B$18:$B$200),'Бланк OLD 2.0 04 '!$B$16:$K$200,5,0)&gt;0),0.4,""))))</f>
        <v/>
      </c>
      <c r="T440" s="147" t="str">
        <f ca="1">IFERROR(IFERROR(IF(VLOOKUP($A440,'Шаг2.Бланк заказа NEW'!$B$17:$N$201,7,0)="","",VLOOKUP($A440,'Шаг2.Бланк заказа NEW'!$B$17:$N$201,7,0)),
IF(VLOOKUP($A440-COUNT('Шаг2.Бланк заказа NEW'!$B$19:$B$201),'Бланк OLD 0.8 04'!$B$12:$K$200,7,0)&gt;0,0.8,
IF(VLOOKUP($A440-COUNT('Шаг2.Бланк заказа NEW'!$B$19:$B$201),'Бланк OLD 0.8 04'!$B$12:$K$200,8,0)&gt;0,0.4,""))),
IF(VLOOKUP($A440-COUNT('Шаг2.Бланк заказа NEW'!$B$19:$B$201)-COUNT('Бланк OLD 0.8 04'!$B$18:$B$200),'Бланк OLD 2.0 04 '!$B$16:$K$200,7,0)&gt;0,2,IF(VLOOKUP($A440-COUNT('Шаг2.Бланк заказа NEW'!$B$19:$B$201)-COUNT('Бланк OLD 0.8 04'!$B$18:$B$200),'Бланк OLD 2.0 04 '!$B$16:$K$200,8,0)&gt;0,0.4,"")))</f>
        <v/>
      </c>
      <c r="U440" s="147" t="str">
        <f ca="1">IFERROR(IFERROR(IF(VLOOKUP($A440,'Шаг2.Бланк заказа NEW'!$B$17:$N$201,8,0)="","",VLOOKUP($A440,'Шаг2.Бланк заказа NEW'!$B$17:$N$201,8,0)),
IF(VLOOKUP($A440-COUNT('Шаг2.Бланк заказа NEW'!$B$19:$B$201),'Бланк OLD 0.8 04'!$B$12:$K$200,7,0)&gt;1,0.8,
IF(VLOOKUP($A440-COUNT('Шаг2.Бланк заказа NEW'!$B$19:$B$201),'Бланк OLD 0.8 04'!$B$12:$K$200,8,0)&gt;1,0.4,
IF(AND(VLOOKUP($A440-COUNT('Шаг2.Бланк заказа NEW'!$B$19:$B$201),'Бланк OLD 0.8 04'!$B$12:$K$200,7,0)&gt;0,VLOOKUP($A440-COUNT('Шаг2.Бланк заказа NEW'!$B$19:$B$201),'Бланк OLD 0.8 04'!$B$12:$K$200,8,0)&gt;0),0.4,"")))),
IF(VLOOKUP($A440-COUNT('Шаг2.Бланк заказа NEW'!$B$19:$B$201)-COUNT('Бланк OLD 0.8 04'!$B$18:$B$200),'Бланк OLD 2.0 04 '!$B$16:$K$200,7,0)&gt;1,2,
IF(VLOOKUP($A440-COUNT('Шаг2.Бланк заказа NEW'!$B$19:$B$201)-COUNT('Бланк OLD 0.8 04'!$B$18:$B$200),'Бланк OLD 2.0 04 '!$B$16:$K$200,8,0)&gt;1,0.4,
IF(AND(VLOOKUP($A440-COUNT('Шаг2.Бланк заказа NEW'!$B$19:$B$201)-COUNT('Бланк OLD 0.8 04'!$B$18:$B$200),'Бланк OLD 2.0 04 '!$B$16:$K$200,7,0)&gt;0,VLOOKUP($A440-COUNT('Шаг2.Бланк заказа NEW'!$B$19:$B$201)-COUNT('Бланк OLD 0.8 04'!$B$18:$B$200),'Бланк OLD 2.0 04 '!$B$16:$K$200,8,0)&gt;0),0.4,""))))</f>
        <v/>
      </c>
      <c r="V440" s="146" t="str">
        <f ca="1">IFERROR(VLOOKUP(C440,'Шаг1.Выбор плиты'!C:S,12,0),"")</f>
        <v/>
      </c>
      <c r="W440" s="146" t="str">
        <f ca="1">IFERROR(VLOOKUP(C440,'Шаг1.Выбор плиты'!C:S,8,0),"")</f>
        <v/>
      </c>
      <c r="X440" s="146" t="str">
        <f ca="1">IFERROR(VLOOKUP(C440,'Шаг1.Выбор плиты'!C:S,10,0),"")</f>
        <v/>
      </c>
      <c r="Y440" s="147" t="str">
        <f t="shared" ca="1" si="39"/>
        <v/>
      </c>
      <c r="AD440" s="147" t="str">
        <f t="shared" ca="1" si="37"/>
        <v/>
      </c>
      <c r="AE440" s="147" t="str">
        <f t="shared" ca="1" si="40"/>
        <v/>
      </c>
      <c r="AF440" s="25"/>
      <c r="AH440" s="147" t="str">
        <f ca="1">IF(C440="","",VLOOKUP(C440,'Шаг1.Выбор плиты'!C:Q,7,0))</f>
        <v/>
      </c>
      <c r="AI440" s="147" t="str">
        <f t="shared" ca="1" si="38"/>
        <v/>
      </c>
    </row>
    <row r="441" spans="1:35" x14ac:dyDescent="0.2">
      <c r="A441" s="151" t="str">
        <f ca="1">IF(C441="","",MAX($A$1:OFFSET(C441,-1,0))+1)</f>
        <v/>
      </c>
      <c r="B441" s="151" t="str">
        <f ca="1">IFERROR(IFERROR(IFERROR("Шаг2.Бланк заказа NEW №"&amp;VLOOKUP(A440+1,CHOOSE({1,2},'Шаг2.Бланк заказа NEW'!$B$19:$B$201,'Шаг2.Бланк заказа NEW'!$A$19:$A$201),1,0),
"Бланк OLD 0.8 04 №"&amp;VLOOKUP(A440+1-COUNT('Шаг2.Бланк заказа NEW'!$B$19:$B$201),CHOOSE({1,2},'Бланк OLD 0.8 04'!$B$18:$B$200,'Бланк OLD 0.8 04'!$A$18:$A$200),1,0)),
"Бланк OLD 2.0 04 №"&amp;VLOOKUP(A440+1-COUNT('Шаг2.Бланк заказа NEW'!$B$19:$B$201)-COUNT('Бланк OLD 0.8 04'!$B$18:$B$200),CHOOSE({1,2},'Бланк OLD 2.0 04 '!$B$18:$B$200,'Бланк OLD 2.0 04 '!$A$18:$A$200),1,0)),"")</f>
        <v/>
      </c>
      <c r="C441" s="152" t="str">
        <f ca="1">IFERROR(IFERROR(IFERROR(VLOOKUP(A440+1,CHOOSE({1,2},'Шаг2.Бланк заказа NEW'!$B$19:$B$201,'Шаг2.Бланк заказа NEW'!$A$19:$A$201),2,0),
VLOOKUP(A440+1-COUNT('Шаг2.Бланк заказа NEW'!$B$19:$B$201),CHOOSE({1,2},'Бланк OLD 0.8 04'!$B$18:$B$200,'Бланк OLD 0.8 04'!$A$18:$A$200),2,0)),
VLOOKUP(A440+1-COUNT('Шаг2.Бланк заказа NEW'!$B$19:$B$201)-COUNT('Бланк OLD 0.8 04'!$B$18:$B$200),CHOOSE({1,2},'Бланк OLD 2.0 04 '!$B$18:$B$200,'Бланк OLD 2.0 04 '!$A$18:$A$200),2,0)),"")</f>
        <v/>
      </c>
      <c r="D441" s="150" t="str">
        <f ca="1">IFERROR(VLOOKUP(C441,'Шаг1.Выбор плиты'!C:G,5,0),"")</f>
        <v/>
      </c>
      <c r="E441" s="147" t="str">
        <f ca="1">IFERROR(IFERROR(IF(VLOOKUP($A441,'Шаг2.Бланк заказа NEW'!$B$17:$N$201,2,0)="","",VLOOKUP($A441,'Шаг2.Бланк заказа NEW'!$B$17:$N$201,2,0)),
IF(VLOOKUP($A441-COUNT('Шаг2.Бланк заказа NEW'!$B$19:$B$201),'Бланк OLD 0.8 04'!$B$12:$K$200,2,0)="","",VLOOKUP($A441-COUNT('Шаг2.Бланк заказа NEW'!$B$19:$B$201),'Бланк OLD 0.8 04'!$B$12:$K$200,2,0))),
IF(VLOOKUP($A441-COUNT('Шаг2.Бланк заказа NEW'!$B$19:$B$201)-COUNT('Бланк OLD 0.8 04'!$B$18:$B$200),'Бланк OLD 2.0 04 '!$B$16:$K$200,2,0)="","",VLOOKUP($A441-COUNT('Шаг2.Бланк заказа NEW'!$B$19:$B$201)-COUNT('Бланк OLD 0.8 04'!$B$18:$B$200),'Бланк OLD 2.0 04 '!$B$16:$K$200,2,0)))</f>
        <v/>
      </c>
      <c r="F441" s="147" t="str">
        <f ca="1">IFERROR(IFERROR(IF(VLOOKUP($A441,'Шаг2.Бланк заказа NEW'!$B$17:$N$201,3,0)="","",VLOOKUP($A441,'Шаг2.Бланк заказа NEW'!$B$17:$N$201,3,0)),
IF(VLOOKUP($A441-COUNT('Шаг2.Бланк заказа NEW'!$B$19:$B$201),'Бланк OLD 0.8 04'!$B$12:$K$200,3,0)="","",VLOOKUP($A441-COUNT('Шаг2.Бланк заказа NEW'!$B$19:$B$201),'Бланк OLD 0.8 04'!$B$12:$K$200,3,0))),
IF(VLOOKUP($A441-COUNT('Шаг2.Бланк заказа NEW'!$B$19:$B$201)-COUNT('Бланк OLD 0.8 04'!$B$18:$B$200),'Бланк OLD 2.0 04 '!$B$16:$K$200,3,0)="","",VLOOKUP($A441-COUNT('Шаг2.Бланк заказа NEW'!$B$19:$B$201)-COUNT('Бланк OLD 0.8 04'!$B$18:$B$200),'Бланк OLD 2.0 04 '!$B$16:$K$200,3,0)))</f>
        <v/>
      </c>
      <c r="G441" s="176" t="str">
        <f ca="1">IF(IF(R441="","",IF(R441=1,SUMIFS('Шаг1.Выбор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плиты'!C:Q,12,0)),1))))))=0,
R441,
IF(R441="","",IF(R441=1,SUMIFS('Шаг1.Выбор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плиты'!N:N,R441,'Шаг1.Выбор плиты'!M:M,SMALL(INDIRECT("мм"&amp;VLOOKUP(C441,'Шаг1.Выбор плиты'!C:Q,12,0)),1)))))))</f>
        <v/>
      </c>
      <c r="H441" s="177" t="str">
        <f ca="1">IF(IF(S441="","",IF(S441=1,SUMIFS('Шаг1.Выбор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плиты'!C:Q,12,0)),1))))))=0,
S441,
IF(S441="","",IF(S441=1,SUMIFS('Шаг1.Выбор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плиты'!N:N,S441,'Шаг1.Выбор плиты'!M:M,SMALL(INDIRECT("мм"&amp;VLOOKUP(C441,'Шаг1.Выбор плиты'!C:Q,12,0)),1)))))))</f>
        <v/>
      </c>
      <c r="I441" s="147" t="str">
        <f ca="1">IFERROR(IFERROR(IF(VLOOKUP($A441,'Шаг2.Бланк заказа NEW'!$B$17:$N$201,6,0)="","",VLOOKUP($A441,'Шаг2.Бланк заказа NEW'!$B$17:$N$201,6,0)),
IF(VLOOKUP($A441-COUNT('Шаг2.Бланк заказа NEW'!$B$19:$B$201),'Бланк OLD 0.8 04'!$B$12:$K$200,6,0)="","",VLOOKUP($A441-COUNT('Шаг2.Бланк заказа NEW'!$B$19:$B$201),'Бланк OLD 0.8 04'!$B$12:$K$200,6,0))),
IF(VLOOKUP($A441-COUNT('Шаг2.Бланк заказа NEW'!$B$19:$B$201)-COUNT('Бланк OLD 0.8 04'!$B$18:$B$200),'Бланк OLD 2.0 04 '!$B$16:$K$200,6,0)="","",VLOOKUP($A441-COUNT('Шаг2.Бланк заказа NEW'!$B$19:$B$201)-COUNT('Бланк OLD 0.8 04'!$B$18:$B$200),'Бланк OLD 2.0 04 '!$B$16:$K$200,6,0)))</f>
        <v/>
      </c>
      <c r="J441" s="177" t="str">
        <f ca="1">IF(IF(T441="","",IF(T441=1,SUMIFS('Шаг1.Выбор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плиты'!C:Q,12,0)),1))))))=0,
T441,
IF(T441="","",IF(T441=1,SUMIFS('Шаг1.Выбор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плиты'!N:N,T441,'Шаг1.Выбор плиты'!M:M,SMALL(INDIRECT("мм"&amp;VLOOKUP(C441,'Шаг1.Выбор плиты'!C:Q,12,0)),1)))))))</f>
        <v/>
      </c>
      <c r="K441" s="177" t="str">
        <f ca="1">IF(IF(U441="","",IF(U441=1,SUMIFS('Шаг1.Выбор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плиты'!C:Q,12,0)),1))))))=0,
U441,
IF(U441="","",IF(U441=1,SUMIFS('Шаг1.Выбор плиты'!$G:$G,'Шаг1.Выбор плиты'!J:J,"*"&amp;RIGHT(VLOOKUP(C441,'Шаг1.Выбор плиты'!C:Q,8,0),4),'Шаг1.Выбор плиты'!L:L,IF(MID(C441,1,6)="ЛДСП P","TM"&amp;MID(VLOOKUP(C441,'Шаг1.Выбор плиты'!C:Q,10,0),3,2),MID(VLOOKUP(C441,'Шаг1.Выбор плиты'!C:Q,10,0),1,2)),
'Шаг1.Выбор плиты'!N:N,1),IF(SUMIFS('Шаг1.Выбор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плиты'!C:Q,12,0)),1))=0,
IF(SUMIFS('Шаг1.Выбор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плиты'!C:Q,12,0)),2))=0,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плиты'!C:Q,12,0)),3)),
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плиты'!C:Q,12,0)),2))),
(SUMIFS('Шаг1.Выбор плиты'!$G:$G,'Шаг1.Выбор плиты'!J:J,"*"&amp;RIGHT(VLOOKUP(C441,'Шаг1.Выбор плиты'!C:Q,8,0),4),'Шаг1.Выбор плиты'!L:L,VLOOKUP(C441,'Шаг1.Выбор плиты'!C:Q,10,0),'Шаг1.Выбор плиты'!N:N,U441,'Шаг1.Выбор плиты'!M:M,SMALL(INDIRECT("мм"&amp;VLOOKUP(C441,'Шаг1.Выбор плиты'!C:Q,12,0)),1)))))))</f>
        <v/>
      </c>
      <c r="L441" s="147" t="str">
        <f ca="1">IFERROR(IFERROR(IF(VLOOKUP($A441,'Шаг2.Бланк заказа NEW'!$B$17:$N$201,9,0)="","",VLOOKUP($A441,'Шаг2.Бланк заказа NEW'!$B$17:$N$201,9,0)),
IF(VLOOKUP($A441-COUNT('Шаг2.Бланк заказа NEW'!$B$19:$B$201),'Бланк OLD 0.8 04'!$B$12:$K$200,9,0)="","",VLOOKUP($A441-COUNT('Шаг2.Бланк заказа NEW'!$B$19:$B$201),'Бланк OLD 0.8 04'!$B$12:$K$200,9,0))),
IF(VLOOKUP($A441-COUNT('Шаг2.Бланк заказа NEW'!$B$19:$B$201)-COUNT('Бланк OLD 0.8 04'!$B$18:$B$200),'Бланк OLD 2.0 04 '!$B$16:$K$200,9,0)="","",VLOOKUP($A441-COUNT('Шаг2.Бланк заказа NEW'!$B$19:$B$201)-COUNT('Бланк OLD 0.8 04'!$B$18:$B$200),'Бланк OLD 2.0 04 '!$B$16:$K$200,9,0)))</f>
        <v/>
      </c>
      <c r="M441" s="154" t="str">
        <f t="shared" ca="1" si="36"/>
        <v/>
      </c>
      <c r="N441" s="153" t="str">
        <f ca="1">IFERROR(IF(VLOOKUP($A441,'Шаг2.Бланк заказа NEW'!$B$17:$N$201,11,0)="","",VLOOKUP($A441,'Шаг2.Бланк заказа NEW'!$B$17:$N$201,11,0)),
"Нет")</f>
        <v/>
      </c>
      <c r="O441" s="147" t="str">
        <f ca="1">IFERROR(IF(VLOOKUP($A441,'Шаг2.Бланк заказа NEW'!$B$17:$N$201,11,0)="","",VLOOKUP($A441,'Шаг2.Бланк заказа NEW'!$B$17:$N$201,12,0)),
"Нет")</f>
        <v/>
      </c>
      <c r="P441" s="153" t="str">
        <f ca="1">IFERROR(IF(VLOOKUP($A441,'Шаг2.Бланк заказа NEW'!$B$17:$N$201,13,0)="","",VLOOKUP($A441,'Шаг2.Бланк заказа NEW'!$B$17:$N$201,13,0)),
"Нет")</f>
        <v/>
      </c>
      <c r="Q441" s="147" t="str">
        <f ca="1">IFERROR(IF(VLOOKUP($A441,'Шаг2.Бланк заказа NEW'!$B$17:$O$201,14,0)="","",VLOOKUP($A441,'Шаг2.Бланк заказа NEW'!$B$17:$O$201,14,0)),"")</f>
        <v/>
      </c>
      <c r="R441" s="147" t="str">
        <f ca="1">IFERROR(IFERROR(IF(VLOOKUP($A441,'Шаг2.Бланк заказа NEW'!$B$17:$N$201,4,0)="","",VLOOKUP($A441,'Шаг2.Бланк заказа NEW'!$B$17:$N$201,4,0)),
IF(VLOOKUP($A441-COUNT('Шаг2.Бланк заказа NEW'!$B$19:$B$201),'Бланк OLD 0.8 04'!$B$12:$K$200,4,0)&gt;0,0.8,
IF(VLOOKUP($A441-COUNT('Шаг2.Бланк заказа NEW'!$B$19:$B$201),'Бланк OLD 0.8 04'!$B$12:$K$200,5,0)&gt;0,0.4,""))),
IF(VLOOKUP($A441-COUNT('Шаг2.Бланк заказа NEW'!$B$19:$B$201)-COUNT('Бланк OLD 0.8 04'!$B$18:$B$200),'Бланк OLD 2.0 04 '!$B$16:$K$200,4,0)&gt;0,2,IF(VLOOKUP($A441-COUNT('Шаг2.Бланк заказа NEW'!$B$19:$B$201)-COUNT('Бланк OLD 0.8 04'!$B$18:$B$200),'Бланк OLD 2.0 04 '!$B$16:$K$200,5,0)&gt;0,0.4,"")))</f>
        <v/>
      </c>
      <c r="S441" s="147" t="str">
        <f ca="1">IFERROR(IFERROR(IF(VLOOKUP($A441,'Шаг2.Бланк заказа NEW'!$B$17:$N$201,5,0)="","",VLOOKUP($A441,'Шаг2.Бланк заказа NEW'!$B$17:$N$201,5,0)),
IF(VLOOKUP($A441-COUNT('Шаг2.Бланк заказа NEW'!$B$19:$B$201),'Бланк OLD 0.8 04'!$B$12:$K$200,4,0)&gt;1,0.8,
IF(VLOOKUP($A441-COUNT('Шаг2.Бланк заказа NEW'!$B$19:$B$201),'Бланк OLD 0.8 04'!$B$12:$K$200,5,0)&gt;1,0.4,
IF(AND(VLOOKUP($A441-COUNT('Шаг2.Бланк заказа NEW'!$B$19:$B$201),'Бланк OLD 0.8 04'!$B$12:$K$200,4,0)&gt;0,VLOOKUP($A441-COUNT('Шаг2.Бланк заказа NEW'!$B$19:$B$201),'Бланк OLD 0.8 04'!$B$12:$K$200,5,0)&gt;0),0.4,"")))),
IF(VLOOKUP($A441-COUNT('Шаг2.Бланк заказа NEW'!$B$19:$B$201)-COUNT('Бланк OLD 0.8 04'!$B$18:$B$200),'Бланк OLD 2.0 04 '!$B$16:$K$200,4,0)&gt;1,2,
IF(VLOOKUP($A441-COUNT('Шаг2.Бланк заказа NEW'!$B$19:$B$201)-COUNT('Бланк OLD 0.8 04'!$B$18:$B$200),'Бланк OLD 2.0 04 '!$B$16:$K$200,5,0)&gt;1,0.4,IF(AND(VLOOKUP($A441-COUNT('Шаг2.Бланк заказа NEW'!$B$19:$B$201)-COUNT('Бланк OLD 0.8 04'!$B$18:$B$200),'Бланк OLD 2.0 04 '!$B$16:$K$200,4,0)&gt;0,VLOOKUP($A441-COUNT('Шаг2.Бланк заказа NEW'!$B$19:$B$201)-COUNT('Бланк OLD 0.8 04'!$B$18:$B$200),'Бланк OLD 2.0 04 '!$B$16:$K$200,5,0)&gt;0),0.4,""))))</f>
        <v/>
      </c>
      <c r="T441" s="147" t="str">
        <f ca="1">IFERROR(IFERROR(IF(VLOOKUP($A441,'Шаг2.Бланк заказа NEW'!$B$17:$N$201,7,0)="","",VLOOKUP($A441,'Шаг2.Бланк заказа NEW'!$B$17:$N$201,7,0)),
IF(VLOOKUP($A441-COUNT('Шаг2.Бланк заказа NEW'!$B$19:$B$201),'Бланк OLD 0.8 04'!$B$12:$K$200,7,0)&gt;0,0.8,
IF(VLOOKUP($A441-COUNT('Шаг2.Бланк заказа NEW'!$B$19:$B$201),'Бланк OLD 0.8 04'!$B$12:$K$200,8,0)&gt;0,0.4,""))),
IF(VLOOKUP($A441-COUNT('Шаг2.Бланк заказа NEW'!$B$19:$B$201)-COUNT('Бланк OLD 0.8 04'!$B$18:$B$200),'Бланк OLD 2.0 04 '!$B$16:$K$200,7,0)&gt;0,2,IF(VLOOKUP($A441-COUNT('Шаг2.Бланк заказа NEW'!$B$19:$B$201)-COUNT('Бланк OLD 0.8 04'!$B$18:$B$200),'Бланк OLD 2.0 04 '!$B$16:$K$200,8,0)&gt;0,0.4,"")))</f>
        <v/>
      </c>
      <c r="U441" s="147" t="str">
        <f ca="1">IFERROR(IFERROR(IF(VLOOKUP($A441,'Шаг2.Бланк заказа NEW'!$B$17:$N$201,8,0)="","",VLOOKUP($A441,'Шаг2.Бланк заказа NEW'!$B$17:$N$201,8,0)),
IF(VLOOKUP($A441-COUNT('Шаг2.Бланк заказа NEW'!$B$19:$B$201),'Бланк OLD 0.8 04'!$B$12:$K$200,7,0)&gt;1,0.8,
IF(VLOOKUP($A441-COUNT('Шаг2.Бланк заказа NEW'!$B$19:$B$201),'Бланк OLD 0.8 04'!$B$12:$K$200,8,0)&gt;1,0.4,
IF(AND(VLOOKUP($A441-COUNT('Шаг2.Бланк заказа NEW'!$B$19:$B$201),'Бланк OLD 0.8 04'!$B$12:$K$200,7,0)&gt;0,VLOOKUP($A441-COUNT('Шаг2.Бланк заказа NEW'!$B$19:$B$201),'Бланк OLD 0.8 04'!$B$12:$K$200,8,0)&gt;0),0.4,"")))),
IF(VLOOKUP($A441-COUNT('Шаг2.Бланк заказа NEW'!$B$19:$B$201)-COUNT('Бланк OLD 0.8 04'!$B$18:$B$200),'Бланк OLD 2.0 04 '!$B$16:$K$200,7,0)&gt;1,2,
IF(VLOOKUP($A441-COUNT('Шаг2.Бланк заказа NEW'!$B$19:$B$201)-COUNT('Бланк OLD 0.8 04'!$B$18:$B$200),'Бланк OLD 2.0 04 '!$B$16:$K$200,8,0)&gt;1,0.4,
IF(AND(VLOOKUP($A441-COUNT('Шаг2.Бланк заказа NEW'!$B$19:$B$201)-COUNT('Бланк OLD 0.8 04'!$B$18:$B$200),'Бланк OLD 2.0 04 '!$B$16:$K$200,7,0)&gt;0,VLOOKUP($A441-COUNT('Шаг2.Бланк заказа NEW'!$B$19:$B$201)-COUNT('Бланк OLD 0.8 04'!$B$18:$B$200),'Бланк OLD 2.0 04 '!$B$16:$K$200,8,0)&gt;0),0.4,""))))</f>
        <v/>
      </c>
      <c r="V441" s="146" t="str">
        <f ca="1">IFERROR(VLOOKUP(C441,'Шаг1.Выбор плиты'!C:S,12,0),"")</f>
        <v/>
      </c>
      <c r="W441" s="146" t="str">
        <f ca="1">IFERROR(VLOOKUP(C441,'Шаг1.Выбор плиты'!C:S,8,0),"")</f>
        <v/>
      </c>
      <c r="X441" s="146" t="str">
        <f ca="1">IFERROR(VLOOKUP(C441,'Шаг1.Выбор плиты'!C:S,10,0),"")</f>
        <v/>
      </c>
      <c r="Y441" s="147" t="str">
        <f t="shared" ca="1" si="39"/>
        <v/>
      </c>
      <c r="AD441" s="147" t="str">
        <f t="shared" ca="1" si="37"/>
        <v/>
      </c>
      <c r="AE441" s="147" t="str">
        <f t="shared" ca="1" si="40"/>
        <v/>
      </c>
      <c r="AF441" s="25"/>
      <c r="AH441" s="147" t="str">
        <f ca="1">IF(C441="","",VLOOKUP(C441,'Шаг1.Выбор плиты'!C:Q,7,0))</f>
        <v/>
      </c>
      <c r="AI441" s="147" t="str">
        <f t="shared" ca="1" si="38"/>
        <v/>
      </c>
    </row>
    <row r="442" spans="1:35" x14ac:dyDescent="0.2">
      <c r="A442" s="151" t="str">
        <f ca="1">IF(C442="","",MAX($A$1:OFFSET(C442,-1,0))+1)</f>
        <v/>
      </c>
      <c r="B442" s="151" t="str">
        <f ca="1">IFERROR(IFERROR(IFERROR("Шаг2.Бланк заказа NEW №"&amp;VLOOKUP(A441+1,CHOOSE({1,2},'Шаг2.Бланк заказа NEW'!$B$19:$B$201,'Шаг2.Бланк заказа NEW'!$A$19:$A$201),1,0),
"Бланк OLD 0.8 04 №"&amp;VLOOKUP(A441+1-COUNT('Шаг2.Бланк заказа NEW'!$B$19:$B$201),CHOOSE({1,2},'Бланк OLD 0.8 04'!$B$18:$B$200,'Бланк OLD 0.8 04'!$A$18:$A$200),1,0)),
"Бланк OLD 2.0 04 №"&amp;VLOOKUP(A441+1-COUNT('Шаг2.Бланк заказа NEW'!$B$19:$B$201)-COUNT('Бланк OLD 0.8 04'!$B$18:$B$200),CHOOSE({1,2},'Бланк OLD 2.0 04 '!$B$18:$B$200,'Бланк OLD 2.0 04 '!$A$18:$A$200),1,0)),"")</f>
        <v/>
      </c>
      <c r="C442" s="152" t="str">
        <f ca="1">IFERROR(IFERROR(IFERROR(VLOOKUP(A441+1,CHOOSE({1,2},'Шаг2.Бланк заказа NEW'!$B$19:$B$201,'Шаг2.Бланк заказа NEW'!$A$19:$A$201),2,0),
VLOOKUP(A441+1-COUNT('Шаг2.Бланк заказа NEW'!$B$19:$B$201),CHOOSE({1,2},'Бланк OLD 0.8 04'!$B$18:$B$200,'Бланк OLD 0.8 04'!$A$18:$A$200),2,0)),
VLOOKUP(A441+1-COUNT('Шаг2.Бланк заказа NEW'!$B$19:$B$201)-COUNT('Бланк OLD 0.8 04'!$B$18:$B$200),CHOOSE({1,2},'Бланк OLD 2.0 04 '!$B$18:$B$200,'Бланк OLD 2.0 04 '!$A$18:$A$200),2,0)),"")</f>
        <v/>
      </c>
      <c r="D442" s="150" t="str">
        <f ca="1">IFERROR(VLOOKUP(C442,'Шаг1.Выбор плиты'!C:G,5,0),"")</f>
        <v/>
      </c>
      <c r="E442" s="147" t="str">
        <f ca="1">IFERROR(IFERROR(IF(VLOOKUP($A442,'Шаг2.Бланк заказа NEW'!$B$17:$N$201,2,0)="","",VLOOKUP($A442,'Шаг2.Бланк заказа NEW'!$B$17:$N$201,2,0)),
IF(VLOOKUP($A442-COUNT('Шаг2.Бланк заказа NEW'!$B$19:$B$201),'Бланк OLD 0.8 04'!$B$12:$K$200,2,0)="","",VLOOKUP($A442-COUNT('Шаг2.Бланк заказа NEW'!$B$19:$B$201),'Бланк OLD 0.8 04'!$B$12:$K$200,2,0))),
IF(VLOOKUP($A442-COUNT('Шаг2.Бланк заказа NEW'!$B$19:$B$201)-COUNT('Бланк OLD 0.8 04'!$B$18:$B$200),'Бланк OLD 2.0 04 '!$B$16:$K$200,2,0)="","",VLOOKUP($A442-COUNT('Шаг2.Бланк заказа NEW'!$B$19:$B$201)-COUNT('Бланк OLD 0.8 04'!$B$18:$B$200),'Бланк OLD 2.0 04 '!$B$16:$K$200,2,0)))</f>
        <v/>
      </c>
      <c r="F442" s="147" t="str">
        <f ca="1">IFERROR(IFERROR(IF(VLOOKUP($A442,'Шаг2.Бланк заказа NEW'!$B$17:$N$201,3,0)="","",VLOOKUP($A442,'Шаг2.Бланк заказа NEW'!$B$17:$N$201,3,0)),
IF(VLOOKUP($A442-COUNT('Шаг2.Бланк заказа NEW'!$B$19:$B$201),'Бланк OLD 0.8 04'!$B$12:$K$200,3,0)="","",VLOOKUP($A442-COUNT('Шаг2.Бланк заказа NEW'!$B$19:$B$201),'Бланк OLD 0.8 04'!$B$12:$K$200,3,0))),
IF(VLOOKUP($A442-COUNT('Шаг2.Бланк заказа NEW'!$B$19:$B$201)-COUNT('Бланк OLD 0.8 04'!$B$18:$B$200),'Бланк OLD 2.0 04 '!$B$16:$K$200,3,0)="","",VLOOKUP($A442-COUNT('Шаг2.Бланк заказа NEW'!$B$19:$B$201)-COUNT('Бланк OLD 0.8 04'!$B$18:$B$200),'Бланк OLD 2.0 04 '!$B$16:$K$200,3,0)))</f>
        <v/>
      </c>
      <c r="G442" s="176" t="str">
        <f ca="1">IF(IF(R442="","",IF(R442=1,SUMIFS('Шаг1.Выбор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плиты'!C:Q,12,0)),1))))))=0,
R442,
IF(R442="","",IF(R442=1,SUMIFS('Шаг1.Выбор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плиты'!N:N,R442,'Шаг1.Выбор плиты'!M:M,SMALL(INDIRECT("мм"&amp;VLOOKUP(C442,'Шаг1.Выбор плиты'!C:Q,12,0)),1)))))))</f>
        <v/>
      </c>
      <c r="H442" s="177" t="str">
        <f ca="1">IF(IF(S442="","",IF(S442=1,SUMIFS('Шаг1.Выбор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плиты'!C:Q,12,0)),1))))))=0,
S442,
IF(S442="","",IF(S442=1,SUMIFS('Шаг1.Выбор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плиты'!N:N,S442,'Шаг1.Выбор плиты'!M:M,SMALL(INDIRECT("мм"&amp;VLOOKUP(C442,'Шаг1.Выбор плиты'!C:Q,12,0)),1)))))))</f>
        <v/>
      </c>
      <c r="I442" s="147" t="str">
        <f ca="1">IFERROR(IFERROR(IF(VLOOKUP($A442,'Шаг2.Бланк заказа NEW'!$B$17:$N$201,6,0)="","",VLOOKUP($A442,'Шаг2.Бланк заказа NEW'!$B$17:$N$201,6,0)),
IF(VLOOKUP($A442-COUNT('Шаг2.Бланк заказа NEW'!$B$19:$B$201),'Бланк OLD 0.8 04'!$B$12:$K$200,6,0)="","",VLOOKUP($A442-COUNT('Шаг2.Бланк заказа NEW'!$B$19:$B$201),'Бланк OLD 0.8 04'!$B$12:$K$200,6,0))),
IF(VLOOKUP($A442-COUNT('Шаг2.Бланк заказа NEW'!$B$19:$B$201)-COUNT('Бланк OLD 0.8 04'!$B$18:$B$200),'Бланк OLD 2.0 04 '!$B$16:$K$200,6,0)="","",VLOOKUP($A442-COUNT('Шаг2.Бланк заказа NEW'!$B$19:$B$201)-COUNT('Бланк OLD 0.8 04'!$B$18:$B$200),'Бланк OLD 2.0 04 '!$B$16:$K$200,6,0)))</f>
        <v/>
      </c>
      <c r="J442" s="177" t="str">
        <f ca="1">IF(IF(T442="","",IF(T442=1,SUMIFS('Шаг1.Выбор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плиты'!C:Q,12,0)),1))))))=0,
T442,
IF(T442="","",IF(T442=1,SUMIFS('Шаг1.Выбор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плиты'!N:N,T442,'Шаг1.Выбор плиты'!M:M,SMALL(INDIRECT("мм"&amp;VLOOKUP(C442,'Шаг1.Выбор плиты'!C:Q,12,0)),1)))))))</f>
        <v/>
      </c>
      <c r="K442" s="177" t="str">
        <f ca="1">IF(IF(U442="","",IF(U442=1,SUMIFS('Шаг1.Выбор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плиты'!C:Q,12,0)),1))))))=0,
U442,
IF(U442="","",IF(U442=1,SUMIFS('Шаг1.Выбор плиты'!$G:$G,'Шаг1.Выбор плиты'!J:J,"*"&amp;RIGHT(VLOOKUP(C442,'Шаг1.Выбор плиты'!C:Q,8,0),4),'Шаг1.Выбор плиты'!L:L,IF(MID(C442,1,6)="ЛДСП P","TM"&amp;MID(VLOOKUP(C442,'Шаг1.Выбор плиты'!C:Q,10,0),3,2),MID(VLOOKUP(C442,'Шаг1.Выбор плиты'!C:Q,10,0),1,2)),
'Шаг1.Выбор плиты'!N:N,1),IF(SUMIFS('Шаг1.Выбор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плиты'!C:Q,12,0)),1))=0,
IF(SUMIFS('Шаг1.Выбор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плиты'!C:Q,12,0)),2))=0,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плиты'!C:Q,12,0)),3)),
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плиты'!C:Q,12,0)),2))),
(SUMIFS('Шаг1.Выбор плиты'!$G:$G,'Шаг1.Выбор плиты'!J:J,"*"&amp;RIGHT(VLOOKUP(C442,'Шаг1.Выбор плиты'!C:Q,8,0),4),'Шаг1.Выбор плиты'!L:L,VLOOKUP(C442,'Шаг1.Выбор плиты'!C:Q,10,0),'Шаг1.Выбор плиты'!N:N,U442,'Шаг1.Выбор плиты'!M:M,SMALL(INDIRECT("мм"&amp;VLOOKUP(C442,'Шаг1.Выбор плиты'!C:Q,12,0)),1)))))))</f>
        <v/>
      </c>
      <c r="L442" s="147" t="str">
        <f ca="1">IFERROR(IFERROR(IF(VLOOKUP($A442,'Шаг2.Бланк заказа NEW'!$B$17:$N$201,9,0)="","",VLOOKUP($A442,'Шаг2.Бланк заказа NEW'!$B$17:$N$201,9,0)),
IF(VLOOKUP($A442-COUNT('Шаг2.Бланк заказа NEW'!$B$19:$B$201),'Бланк OLD 0.8 04'!$B$12:$K$200,9,0)="","",VLOOKUP($A442-COUNT('Шаг2.Бланк заказа NEW'!$B$19:$B$201),'Бланк OLD 0.8 04'!$B$12:$K$200,9,0))),
IF(VLOOKUP($A442-COUNT('Шаг2.Бланк заказа NEW'!$B$19:$B$201)-COUNT('Бланк OLD 0.8 04'!$B$18:$B$200),'Бланк OLD 2.0 04 '!$B$16:$K$200,9,0)="","",VLOOKUP($A442-COUNT('Шаг2.Бланк заказа NEW'!$B$19:$B$201)-COUNT('Бланк OLD 0.8 04'!$B$18:$B$200),'Бланк OLD 2.0 04 '!$B$16:$K$200,9,0)))</f>
        <v/>
      </c>
      <c r="M442" s="154" t="str">
        <f t="shared" ca="1" si="36"/>
        <v/>
      </c>
      <c r="N442" s="153" t="str">
        <f ca="1">IFERROR(IF(VLOOKUP($A442,'Шаг2.Бланк заказа NEW'!$B$17:$N$201,11,0)="","",VLOOKUP($A442,'Шаг2.Бланк заказа NEW'!$B$17:$N$201,11,0)),
"Нет")</f>
        <v/>
      </c>
      <c r="O442" s="147" t="str">
        <f ca="1">IFERROR(IF(VLOOKUP($A442,'Шаг2.Бланк заказа NEW'!$B$17:$N$201,11,0)="","",VLOOKUP($A442,'Шаг2.Бланк заказа NEW'!$B$17:$N$201,12,0)),
"Нет")</f>
        <v/>
      </c>
      <c r="P442" s="153" t="str">
        <f ca="1">IFERROR(IF(VLOOKUP($A442,'Шаг2.Бланк заказа NEW'!$B$17:$N$201,13,0)="","",VLOOKUP($A442,'Шаг2.Бланк заказа NEW'!$B$17:$N$201,13,0)),
"Нет")</f>
        <v/>
      </c>
      <c r="Q442" s="147" t="str">
        <f ca="1">IFERROR(IF(VLOOKUP($A442,'Шаг2.Бланк заказа NEW'!$B$17:$O$201,14,0)="","",VLOOKUP($A442,'Шаг2.Бланк заказа NEW'!$B$17:$O$201,14,0)),"")</f>
        <v/>
      </c>
      <c r="R442" s="147" t="str">
        <f ca="1">IFERROR(IFERROR(IF(VLOOKUP($A442,'Шаг2.Бланк заказа NEW'!$B$17:$N$201,4,0)="","",VLOOKUP($A442,'Шаг2.Бланк заказа NEW'!$B$17:$N$201,4,0)),
IF(VLOOKUP($A442-COUNT('Шаг2.Бланк заказа NEW'!$B$19:$B$201),'Бланк OLD 0.8 04'!$B$12:$K$200,4,0)&gt;0,0.8,
IF(VLOOKUP($A442-COUNT('Шаг2.Бланк заказа NEW'!$B$19:$B$201),'Бланк OLD 0.8 04'!$B$12:$K$200,5,0)&gt;0,0.4,""))),
IF(VLOOKUP($A442-COUNT('Шаг2.Бланк заказа NEW'!$B$19:$B$201)-COUNT('Бланк OLD 0.8 04'!$B$18:$B$200),'Бланк OLD 2.0 04 '!$B$16:$K$200,4,0)&gt;0,2,IF(VLOOKUP($A442-COUNT('Шаг2.Бланк заказа NEW'!$B$19:$B$201)-COUNT('Бланк OLD 0.8 04'!$B$18:$B$200),'Бланк OLD 2.0 04 '!$B$16:$K$200,5,0)&gt;0,0.4,"")))</f>
        <v/>
      </c>
      <c r="S442" s="147" t="str">
        <f ca="1">IFERROR(IFERROR(IF(VLOOKUP($A442,'Шаг2.Бланк заказа NEW'!$B$17:$N$201,5,0)="","",VLOOKUP($A442,'Шаг2.Бланк заказа NEW'!$B$17:$N$201,5,0)),
IF(VLOOKUP($A442-COUNT('Шаг2.Бланк заказа NEW'!$B$19:$B$201),'Бланк OLD 0.8 04'!$B$12:$K$200,4,0)&gt;1,0.8,
IF(VLOOKUP($A442-COUNT('Шаг2.Бланк заказа NEW'!$B$19:$B$201),'Бланк OLD 0.8 04'!$B$12:$K$200,5,0)&gt;1,0.4,
IF(AND(VLOOKUP($A442-COUNT('Шаг2.Бланк заказа NEW'!$B$19:$B$201),'Бланк OLD 0.8 04'!$B$12:$K$200,4,0)&gt;0,VLOOKUP($A442-COUNT('Шаг2.Бланк заказа NEW'!$B$19:$B$201),'Бланк OLD 0.8 04'!$B$12:$K$200,5,0)&gt;0),0.4,"")))),
IF(VLOOKUP($A442-COUNT('Шаг2.Бланк заказа NEW'!$B$19:$B$201)-COUNT('Бланк OLD 0.8 04'!$B$18:$B$200),'Бланк OLD 2.0 04 '!$B$16:$K$200,4,0)&gt;1,2,
IF(VLOOKUP($A442-COUNT('Шаг2.Бланк заказа NEW'!$B$19:$B$201)-COUNT('Бланк OLD 0.8 04'!$B$18:$B$200),'Бланк OLD 2.0 04 '!$B$16:$K$200,5,0)&gt;1,0.4,IF(AND(VLOOKUP($A442-COUNT('Шаг2.Бланк заказа NEW'!$B$19:$B$201)-COUNT('Бланк OLD 0.8 04'!$B$18:$B$200),'Бланк OLD 2.0 04 '!$B$16:$K$200,4,0)&gt;0,VLOOKUP($A442-COUNT('Шаг2.Бланк заказа NEW'!$B$19:$B$201)-COUNT('Бланк OLD 0.8 04'!$B$18:$B$200),'Бланк OLD 2.0 04 '!$B$16:$K$200,5,0)&gt;0),0.4,""))))</f>
        <v/>
      </c>
      <c r="T442" s="147" t="str">
        <f ca="1">IFERROR(IFERROR(IF(VLOOKUP($A442,'Шаг2.Бланк заказа NEW'!$B$17:$N$201,7,0)="","",VLOOKUP($A442,'Шаг2.Бланк заказа NEW'!$B$17:$N$201,7,0)),
IF(VLOOKUP($A442-COUNT('Шаг2.Бланк заказа NEW'!$B$19:$B$201),'Бланк OLD 0.8 04'!$B$12:$K$200,7,0)&gt;0,0.8,
IF(VLOOKUP($A442-COUNT('Шаг2.Бланк заказа NEW'!$B$19:$B$201),'Бланк OLD 0.8 04'!$B$12:$K$200,8,0)&gt;0,0.4,""))),
IF(VLOOKUP($A442-COUNT('Шаг2.Бланк заказа NEW'!$B$19:$B$201)-COUNT('Бланк OLD 0.8 04'!$B$18:$B$200),'Бланк OLD 2.0 04 '!$B$16:$K$200,7,0)&gt;0,2,IF(VLOOKUP($A442-COUNT('Шаг2.Бланк заказа NEW'!$B$19:$B$201)-COUNT('Бланк OLD 0.8 04'!$B$18:$B$200),'Бланк OLD 2.0 04 '!$B$16:$K$200,8,0)&gt;0,0.4,"")))</f>
        <v/>
      </c>
      <c r="U442" s="147" t="str">
        <f ca="1">IFERROR(IFERROR(IF(VLOOKUP($A442,'Шаг2.Бланк заказа NEW'!$B$17:$N$201,8,0)="","",VLOOKUP($A442,'Шаг2.Бланк заказа NEW'!$B$17:$N$201,8,0)),
IF(VLOOKUP($A442-COUNT('Шаг2.Бланк заказа NEW'!$B$19:$B$201),'Бланк OLD 0.8 04'!$B$12:$K$200,7,0)&gt;1,0.8,
IF(VLOOKUP($A442-COUNT('Шаг2.Бланк заказа NEW'!$B$19:$B$201),'Бланк OLD 0.8 04'!$B$12:$K$200,8,0)&gt;1,0.4,
IF(AND(VLOOKUP($A442-COUNT('Шаг2.Бланк заказа NEW'!$B$19:$B$201),'Бланк OLD 0.8 04'!$B$12:$K$200,7,0)&gt;0,VLOOKUP($A442-COUNT('Шаг2.Бланк заказа NEW'!$B$19:$B$201),'Бланк OLD 0.8 04'!$B$12:$K$200,8,0)&gt;0),0.4,"")))),
IF(VLOOKUP($A442-COUNT('Шаг2.Бланк заказа NEW'!$B$19:$B$201)-COUNT('Бланк OLD 0.8 04'!$B$18:$B$200),'Бланк OLD 2.0 04 '!$B$16:$K$200,7,0)&gt;1,2,
IF(VLOOKUP($A442-COUNT('Шаг2.Бланк заказа NEW'!$B$19:$B$201)-COUNT('Бланк OLD 0.8 04'!$B$18:$B$200),'Бланк OLD 2.0 04 '!$B$16:$K$200,8,0)&gt;1,0.4,
IF(AND(VLOOKUP($A442-COUNT('Шаг2.Бланк заказа NEW'!$B$19:$B$201)-COUNT('Бланк OLD 0.8 04'!$B$18:$B$200),'Бланк OLD 2.0 04 '!$B$16:$K$200,7,0)&gt;0,VLOOKUP($A442-COUNT('Шаг2.Бланк заказа NEW'!$B$19:$B$201)-COUNT('Бланк OLD 0.8 04'!$B$18:$B$200),'Бланк OLD 2.0 04 '!$B$16:$K$200,8,0)&gt;0),0.4,""))))</f>
        <v/>
      </c>
      <c r="V442" s="146" t="str">
        <f ca="1">IFERROR(VLOOKUP(C442,'Шаг1.Выбор плиты'!C:S,12,0),"")</f>
        <v/>
      </c>
      <c r="W442" s="146" t="str">
        <f ca="1">IFERROR(VLOOKUP(C442,'Шаг1.Выбор плиты'!C:S,8,0),"")</f>
        <v/>
      </c>
      <c r="X442" s="146" t="str">
        <f ca="1">IFERROR(VLOOKUP(C442,'Шаг1.Выбор плиты'!C:S,10,0),"")</f>
        <v/>
      </c>
      <c r="Y442" s="147" t="str">
        <f t="shared" ca="1" si="39"/>
        <v/>
      </c>
      <c r="AD442" s="147" t="str">
        <f t="shared" ca="1" si="37"/>
        <v/>
      </c>
      <c r="AE442" s="147" t="str">
        <f t="shared" ca="1" si="40"/>
        <v/>
      </c>
      <c r="AF442" s="25"/>
      <c r="AH442" s="147" t="str">
        <f ca="1">IF(C442="","",VLOOKUP(C442,'Шаг1.Выбор плиты'!C:Q,7,0))</f>
        <v/>
      </c>
      <c r="AI442" s="147" t="str">
        <f t="shared" ca="1" si="38"/>
        <v/>
      </c>
    </row>
    <row r="443" spans="1:35" x14ac:dyDescent="0.2">
      <c r="A443" s="151" t="str">
        <f ca="1">IF(C443="","",MAX($A$1:OFFSET(C443,-1,0))+1)</f>
        <v/>
      </c>
      <c r="B443" s="151" t="str">
        <f ca="1">IFERROR(IFERROR(IFERROR("Шаг2.Бланк заказа NEW №"&amp;VLOOKUP(A442+1,CHOOSE({1,2},'Шаг2.Бланк заказа NEW'!$B$19:$B$201,'Шаг2.Бланк заказа NEW'!$A$19:$A$201),1,0),
"Бланк OLD 0.8 04 №"&amp;VLOOKUP(A442+1-COUNT('Шаг2.Бланк заказа NEW'!$B$19:$B$201),CHOOSE({1,2},'Бланк OLD 0.8 04'!$B$18:$B$200,'Бланк OLD 0.8 04'!$A$18:$A$200),1,0)),
"Бланк OLD 2.0 04 №"&amp;VLOOKUP(A442+1-COUNT('Шаг2.Бланк заказа NEW'!$B$19:$B$201)-COUNT('Бланк OLD 0.8 04'!$B$18:$B$200),CHOOSE({1,2},'Бланк OLD 2.0 04 '!$B$18:$B$200,'Бланк OLD 2.0 04 '!$A$18:$A$200),1,0)),"")</f>
        <v/>
      </c>
      <c r="C443" s="152" t="str">
        <f ca="1">IFERROR(IFERROR(IFERROR(VLOOKUP(A442+1,CHOOSE({1,2},'Шаг2.Бланк заказа NEW'!$B$19:$B$201,'Шаг2.Бланк заказа NEW'!$A$19:$A$201),2,0),
VLOOKUP(A442+1-COUNT('Шаг2.Бланк заказа NEW'!$B$19:$B$201),CHOOSE({1,2},'Бланк OLD 0.8 04'!$B$18:$B$200,'Бланк OLD 0.8 04'!$A$18:$A$200),2,0)),
VLOOKUP(A442+1-COUNT('Шаг2.Бланк заказа NEW'!$B$19:$B$201)-COUNT('Бланк OLD 0.8 04'!$B$18:$B$200),CHOOSE({1,2},'Бланк OLD 2.0 04 '!$B$18:$B$200,'Бланк OLD 2.0 04 '!$A$18:$A$200),2,0)),"")</f>
        <v/>
      </c>
      <c r="D443" s="150" t="str">
        <f ca="1">IFERROR(VLOOKUP(C443,'Шаг1.Выбор плиты'!C:G,5,0),"")</f>
        <v/>
      </c>
      <c r="E443" s="147" t="str">
        <f ca="1">IFERROR(IFERROR(IF(VLOOKUP($A443,'Шаг2.Бланк заказа NEW'!$B$17:$N$201,2,0)="","",VLOOKUP($A443,'Шаг2.Бланк заказа NEW'!$B$17:$N$201,2,0)),
IF(VLOOKUP($A443-COUNT('Шаг2.Бланк заказа NEW'!$B$19:$B$201),'Бланк OLD 0.8 04'!$B$12:$K$200,2,0)="","",VLOOKUP($A443-COUNT('Шаг2.Бланк заказа NEW'!$B$19:$B$201),'Бланк OLD 0.8 04'!$B$12:$K$200,2,0))),
IF(VLOOKUP($A443-COUNT('Шаг2.Бланк заказа NEW'!$B$19:$B$201)-COUNT('Бланк OLD 0.8 04'!$B$18:$B$200),'Бланк OLD 2.0 04 '!$B$16:$K$200,2,0)="","",VLOOKUP($A443-COUNT('Шаг2.Бланк заказа NEW'!$B$19:$B$201)-COUNT('Бланк OLD 0.8 04'!$B$18:$B$200),'Бланк OLD 2.0 04 '!$B$16:$K$200,2,0)))</f>
        <v/>
      </c>
      <c r="F443" s="147" t="str">
        <f ca="1">IFERROR(IFERROR(IF(VLOOKUP($A443,'Шаг2.Бланк заказа NEW'!$B$17:$N$201,3,0)="","",VLOOKUP($A443,'Шаг2.Бланк заказа NEW'!$B$17:$N$201,3,0)),
IF(VLOOKUP($A443-COUNT('Шаг2.Бланк заказа NEW'!$B$19:$B$201),'Бланк OLD 0.8 04'!$B$12:$K$200,3,0)="","",VLOOKUP($A443-COUNT('Шаг2.Бланк заказа NEW'!$B$19:$B$201),'Бланк OLD 0.8 04'!$B$12:$K$200,3,0))),
IF(VLOOKUP($A443-COUNT('Шаг2.Бланк заказа NEW'!$B$19:$B$201)-COUNT('Бланк OLD 0.8 04'!$B$18:$B$200),'Бланк OLD 2.0 04 '!$B$16:$K$200,3,0)="","",VLOOKUP($A443-COUNT('Шаг2.Бланк заказа NEW'!$B$19:$B$201)-COUNT('Бланк OLD 0.8 04'!$B$18:$B$200),'Бланк OLD 2.0 04 '!$B$16:$K$200,3,0)))</f>
        <v/>
      </c>
      <c r="G443" s="176" t="str">
        <f ca="1">IF(IF(R443="","",IF(R443=1,SUMIFS('Шаг1.Выбор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плиты'!C:Q,12,0)),1))))))=0,
R443,
IF(R443="","",IF(R443=1,SUMIFS('Шаг1.Выбор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плиты'!N:N,R443,'Шаг1.Выбор плиты'!M:M,SMALL(INDIRECT("мм"&amp;VLOOKUP(C443,'Шаг1.Выбор плиты'!C:Q,12,0)),1)))))))</f>
        <v/>
      </c>
      <c r="H443" s="177" t="str">
        <f ca="1">IF(IF(S443="","",IF(S443=1,SUMIFS('Шаг1.Выбор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плиты'!C:Q,12,0)),1))))))=0,
S443,
IF(S443="","",IF(S443=1,SUMIFS('Шаг1.Выбор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плиты'!N:N,S443,'Шаг1.Выбор плиты'!M:M,SMALL(INDIRECT("мм"&amp;VLOOKUP(C443,'Шаг1.Выбор плиты'!C:Q,12,0)),1)))))))</f>
        <v/>
      </c>
      <c r="I443" s="147" t="str">
        <f ca="1">IFERROR(IFERROR(IF(VLOOKUP($A443,'Шаг2.Бланк заказа NEW'!$B$17:$N$201,6,0)="","",VLOOKUP($A443,'Шаг2.Бланк заказа NEW'!$B$17:$N$201,6,0)),
IF(VLOOKUP($A443-COUNT('Шаг2.Бланк заказа NEW'!$B$19:$B$201),'Бланк OLD 0.8 04'!$B$12:$K$200,6,0)="","",VLOOKUP($A443-COUNT('Шаг2.Бланк заказа NEW'!$B$19:$B$201),'Бланк OLD 0.8 04'!$B$12:$K$200,6,0))),
IF(VLOOKUP($A443-COUNT('Шаг2.Бланк заказа NEW'!$B$19:$B$201)-COUNT('Бланк OLD 0.8 04'!$B$18:$B$200),'Бланк OLD 2.0 04 '!$B$16:$K$200,6,0)="","",VLOOKUP($A443-COUNT('Шаг2.Бланк заказа NEW'!$B$19:$B$201)-COUNT('Бланк OLD 0.8 04'!$B$18:$B$200),'Бланк OLD 2.0 04 '!$B$16:$K$200,6,0)))</f>
        <v/>
      </c>
      <c r="J443" s="177" t="str">
        <f ca="1">IF(IF(T443="","",IF(T443=1,SUMIFS('Шаг1.Выбор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плиты'!C:Q,12,0)),1))))))=0,
T443,
IF(T443="","",IF(T443=1,SUMIFS('Шаг1.Выбор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плиты'!N:N,T443,'Шаг1.Выбор плиты'!M:M,SMALL(INDIRECT("мм"&amp;VLOOKUP(C443,'Шаг1.Выбор плиты'!C:Q,12,0)),1)))))))</f>
        <v/>
      </c>
      <c r="K443" s="177" t="str">
        <f ca="1">IF(IF(U443="","",IF(U443=1,SUMIFS('Шаг1.Выбор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плиты'!C:Q,12,0)),1))))))=0,
U443,
IF(U443="","",IF(U443=1,SUMIFS('Шаг1.Выбор плиты'!$G:$G,'Шаг1.Выбор плиты'!J:J,"*"&amp;RIGHT(VLOOKUP(C443,'Шаг1.Выбор плиты'!C:Q,8,0),4),'Шаг1.Выбор плиты'!L:L,IF(MID(C443,1,6)="ЛДСП P","TM"&amp;MID(VLOOKUP(C443,'Шаг1.Выбор плиты'!C:Q,10,0),3,2),MID(VLOOKUP(C443,'Шаг1.Выбор плиты'!C:Q,10,0),1,2)),
'Шаг1.Выбор плиты'!N:N,1),IF(SUMIFS('Шаг1.Выбор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плиты'!C:Q,12,0)),1))=0,
IF(SUMIFS('Шаг1.Выбор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плиты'!C:Q,12,0)),2))=0,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плиты'!C:Q,12,0)),3)),
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плиты'!C:Q,12,0)),2))),
(SUMIFS('Шаг1.Выбор плиты'!$G:$G,'Шаг1.Выбор плиты'!J:J,"*"&amp;RIGHT(VLOOKUP(C443,'Шаг1.Выбор плиты'!C:Q,8,0),4),'Шаг1.Выбор плиты'!L:L,VLOOKUP(C443,'Шаг1.Выбор плиты'!C:Q,10,0),'Шаг1.Выбор плиты'!N:N,U443,'Шаг1.Выбор плиты'!M:M,SMALL(INDIRECT("мм"&amp;VLOOKUP(C443,'Шаг1.Выбор плиты'!C:Q,12,0)),1)))))))</f>
        <v/>
      </c>
      <c r="L443" s="147" t="str">
        <f ca="1">IFERROR(IFERROR(IF(VLOOKUP($A443,'Шаг2.Бланк заказа NEW'!$B$17:$N$201,9,0)="","",VLOOKUP($A443,'Шаг2.Бланк заказа NEW'!$B$17:$N$201,9,0)),
IF(VLOOKUP($A443-COUNT('Шаг2.Бланк заказа NEW'!$B$19:$B$201),'Бланк OLD 0.8 04'!$B$12:$K$200,9,0)="","",VLOOKUP($A443-COUNT('Шаг2.Бланк заказа NEW'!$B$19:$B$201),'Бланк OLD 0.8 04'!$B$12:$K$200,9,0))),
IF(VLOOKUP($A443-COUNT('Шаг2.Бланк заказа NEW'!$B$19:$B$201)-COUNT('Бланк OLD 0.8 04'!$B$18:$B$200),'Бланк OLD 2.0 04 '!$B$16:$K$200,9,0)="","",VLOOKUP($A443-COUNT('Шаг2.Бланк заказа NEW'!$B$19:$B$201)-COUNT('Бланк OLD 0.8 04'!$B$18:$B$200),'Бланк OLD 2.0 04 '!$B$16:$K$200,9,0)))</f>
        <v/>
      </c>
      <c r="M443" s="154" t="str">
        <f t="shared" ca="1" si="36"/>
        <v/>
      </c>
      <c r="N443" s="153" t="str">
        <f ca="1">IFERROR(IF(VLOOKUP($A443,'Шаг2.Бланк заказа NEW'!$B$17:$N$201,11,0)="","",VLOOKUP($A443,'Шаг2.Бланк заказа NEW'!$B$17:$N$201,11,0)),
"Нет")</f>
        <v/>
      </c>
      <c r="O443" s="147" t="str">
        <f ca="1">IFERROR(IF(VLOOKUP($A443,'Шаг2.Бланк заказа NEW'!$B$17:$N$201,11,0)="","",VLOOKUP($A443,'Шаг2.Бланк заказа NEW'!$B$17:$N$201,12,0)),
"Нет")</f>
        <v/>
      </c>
      <c r="P443" s="153" t="str">
        <f ca="1">IFERROR(IF(VLOOKUP($A443,'Шаг2.Бланк заказа NEW'!$B$17:$N$201,13,0)="","",VLOOKUP($A443,'Шаг2.Бланк заказа NEW'!$B$17:$N$201,13,0)),
"Нет")</f>
        <v/>
      </c>
      <c r="Q443" s="147" t="str">
        <f ca="1">IFERROR(IF(VLOOKUP($A443,'Шаг2.Бланк заказа NEW'!$B$17:$O$201,14,0)="","",VLOOKUP($A443,'Шаг2.Бланк заказа NEW'!$B$17:$O$201,14,0)),"")</f>
        <v/>
      </c>
      <c r="R443" s="147" t="str">
        <f ca="1">IFERROR(IFERROR(IF(VLOOKUP($A443,'Шаг2.Бланк заказа NEW'!$B$17:$N$201,4,0)="","",VLOOKUP($A443,'Шаг2.Бланк заказа NEW'!$B$17:$N$201,4,0)),
IF(VLOOKUP($A443-COUNT('Шаг2.Бланк заказа NEW'!$B$19:$B$201),'Бланк OLD 0.8 04'!$B$12:$K$200,4,0)&gt;0,0.8,
IF(VLOOKUP($A443-COUNT('Шаг2.Бланк заказа NEW'!$B$19:$B$201),'Бланк OLD 0.8 04'!$B$12:$K$200,5,0)&gt;0,0.4,""))),
IF(VLOOKUP($A443-COUNT('Шаг2.Бланк заказа NEW'!$B$19:$B$201)-COUNT('Бланк OLD 0.8 04'!$B$18:$B$200),'Бланк OLD 2.0 04 '!$B$16:$K$200,4,0)&gt;0,2,IF(VLOOKUP($A443-COUNT('Шаг2.Бланк заказа NEW'!$B$19:$B$201)-COUNT('Бланк OLD 0.8 04'!$B$18:$B$200),'Бланк OLD 2.0 04 '!$B$16:$K$200,5,0)&gt;0,0.4,"")))</f>
        <v/>
      </c>
      <c r="S443" s="147" t="str">
        <f ca="1">IFERROR(IFERROR(IF(VLOOKUP($A443,'Шаг2.Бланк заказа NEW'!$B$17:$N$201,5,0)="","",VLOOKUP($A443,'Шаг2.Бланк заказа NEW'!$B$17:$N$201,5,0)),
IF(VLOOKUP($A443-COUNT('Шаг2.Бланк заказа NEW'!$B$19:$B$201),'Бланк OLD 0.8 04'!$B$12:$K$200,4,0)&gt;1,0.8,
IF(VLOOKUP($A443-COUNT('Шаг2.Бланк заказа NEW'!$B$19:$B$201),'Бланк OLD 0.8 04'!$B$12:$K$200,5,0)&gt;1,0.4,
IF(AND(VLOOKUP($A443-COUNT('Шаг2.Бланк заказа NEW'!$B$19:$B$201),'Бланк OLD 0.8 04'!$B$12:$K$200,4,0)&gt;0,VLOOKUP($A443-COUNT('Шаг2.Бланк заказа NEW'!$B$19:$B$201),'Бланк OLD 0.8 04'!$B$12:$K$200,5,0)&gt;0),0.4,"")))),
IF(VLOOKUP($A443-COUNT('Шаг2.Бланк заказа NEW'!$B$19:$B$201)-COUNT('Бланк OLD 0.8 04'!$B$18:$B$200),'Бланк OLD 2.0 04 '!$B$16:$K$200,4,0)&gt;1,2,
IF(VLOOKUP($A443-COUNT('Шаг2.Бланк заказа NEW'!$B$19:$B$201)-COUNT('Бланк OLD 0.8 04'!$B$18:$B$200),'Бланк OLD 2.0 04 '!$B$16:$K$200,5,0)&gt;1,0.4,IF(AND(VLOOKUP($A443-COUNT('Шаг2.Бланк заказа NEW'!$B$19:$B$201)-COUNT('Бланк OLD 0.8 04'!$B$18:$B$200),'Бланк OLD 2.0 04 '!$B$16:$K$200,4,0)&gt;0,VLOOKUP($A443-COUNT('Шаг2.Бланк заказа NEW'!$B$19:$B$201)-COUNT('Бланк OLD 0.8 04'!$B$18:$B$200),'Бланк OLD 2.0 04 '!$B$16:$K$200,5,0)&gt;0),0.4,""))))</f>
        <v/>
      </c>
      <c r="T443" s="147" t="str">
        <f ca="1">IFERROR(IFERROR(IF(VLOOKUP($A443,'Шаг2.Бланк заказа NEW'!$B$17:$N$201,7,0)="","",VLOOKUP($A443,'Шаг2.Бланк заказа NEW'!$B$17:$N$201,7,0)),
IF(VLOOKUP($A443-COUNT('Шаг2.Бланк заказа NEW'!$B$19:$B$201),'Бланк OLD 0.8 04'!$B$12:$K$200,7,0)&gt;0,0.8,
IF(VLOOKUP($A443-COUNT('Шаг2.Бланк заказа NEW'!$B$19:$B$201),'Бланк OLD 0.8 04'!$B$12:$K$200,8,0)&gt;0,0.4,""))),
IF(VLOOKUP($A443-COUNT('Шаг2.Бланк заказа NEW'!$B$19:$B$201)-COUNT('Бланк OLD 0.8 04'!$B$18:$B$200),'Бланк OLD 2.0 04 '!$B$16:$K$200,7,0)&gt;0,2,IF(VLOOKUP($A443-COUNT('Шаг2.Бланк заказа NEW'!$B$19:$B$201)-COUNT('Бланк OLD 0.8 04'!$B$18:$B$200),'Бланк OLD 2.0 04 '!$B$16:$K$200,8,0)&gt;0,0.4,"")))</f>
        <v/>
      </c>
      <c r="U443" s="147" t="str">
        <f ca="1">IFERROR(IFERROR(IF(VLOOKUP($A443,'Шаг2.Бланк заказа NEW'!$B$17:$N$201,8,0)="","",VLOOKUP($A443,'Шаг2.Бланк заказа NEW'!$B$17:$N$201,8,0)),
IF(VLOOKUP($A443-COUNT('Шаг2.Бланк заказа NEW'!$B$19:$B$201),'Бланк OLD 0.8 04'!$B$12:$K$200,7,0)&gt;1,0.8,
IF(VLOOKUP($A443-COUNT('Шаг2.Бланк заказа NEW'!$B$19:$B$201),'Бланк OLD 0.8 04'!$B$12:$K$200,8,0)&gt;1,0.4,
IF(AND(VLOOKUP($A443-COUNT('Шаг2.Бланк заказа NEW'!$B$19:$B$201),'Бланк OLD 0.8 04'!$B$12:$K$200,7,0)&gt;0,VLOOKUP($A443-COUNT('Шаг2.Бланк заказа NEW'!$B$19:$B$201),'Бланк OLD 0.8 04'!$B$12:$K$200,8,0)&gt;0),0.4,"")))),
IF(VLOOKUP($A443-COUNT('Шаг2.Бланк заказа NEW'!$B$19:$B$201)-COUNT('Бланк OLD 0.8 04'!$B$18:$B$200),'Бланк OLD 2.0 04 '!$B$16:$K$200,7,0)&gt;1,2,
IF(VLOOKUP($A443-COUNT('Шаг2.Бланк заказа NEW'!$B$19:$B$201)-COUNT('Бланк OLD 0.8 04'!$B$18:$B$200),'Бланк OLD 2.0 04 '!$B$16:$K$200,8,0)&gt;1,0.4,
IF(AND(VLOOKUP($A443-COUNT('Шаг2.Бланк заказа NEW'!$B$19:$B$201)-COUNT('Бланк OLD 0.8 04'!$B$18:$B$200),'Бланк OLD 2.0 04 '!$B$16:$K$200,7,0)&gt;0,VLOOKUP($A443-COUNT('Шаг2.Бланк заказа NEW'!$B$19:$B$201)-COUNT('Бланк OLD 0.8 04'!$B$18:$B$200),'Бланк OLD 2.0 04 '!$B$16:$K$200,8,0)&gt;0),0.4,""))))</f>
        <v/>
      </c>
      <c r="V443" s="146" t="str">
        <f ca="1">IFERROR(VLOOKUP(C443,'Шаг1.Выбор плиты'!C:S,12,0),"")</f>
        <v/>
      </c>
      <c r="W443" s="146" t="str">
        <f ca="1">IFERROR(VLOOKUP(C443,'Шаг1.Выбор плиты'!C:S,8,0),"")</f>
        <v/>
      </c>
      <c r="X443" s="146" t="str">
        <f ca="1">IFERROR(VLOOKUP(C443,'Шаг1.Выбор плиты'!C:S,10,0),"")</f>
        <v/>
      </c>
      <c r="Y443" s="147" t="str">
        <f t="shared" ca="1" si="39"/>
        <v/>
      </c>
      <c r="AD443" s="147" t="str">
        <f t="shared" ca="1" si="37"/>
        <v/>
      </c>
      <c r="AE443" s="147" t="str">
        <f t="shared" ca="1" si="40"/>
        <v/>
      </c>
      <c r="AF443" s="25"/>
      <c r="AH443" s="147" t="str">
        <f ca="1">IF(C443="","",VLOOKUP(C443,'Шаг1.Выбор плиты'!C:Q,7,0))</f>
        <v/>
      </c>
      <c r="AI443" s="147" t="str">
        <f t="shared" ca="1" si="38"/>
        <v/>
      </c>
    </row>
    <row r="444" spans="1:35" x14ac:dyDescent="0.2">
      <c r="A444" s="151" t="str">
        <f ca="1">IF(C444="","",MAX($A$1:OFFSET(C444,-1,0))+1)</f>
        <v/>
      </c>
      <c r="B444" s="151" t="str">
        <f ca="1">IFERROR(IFERROR(IFERROR("Шаг2.Бланк заказа NEW №"&amp;VLOOKUP(A443+1,CHOOSE({1,2},'Шаг2.Бланк заказа NEW'!$B$19:$B$201,'Шаг2.Бланк заказа NEW'!$A$19:$A$201),1,0),
"Бланк OLD 0.8 04 №"&amp;VLOOKUP(A443+1-COUNT('Шаг2.Бланк заказа NEW'!$B$19:$B$201),CHOOSE({1,2},'Бланк OLD 0.8 04'!$B$18:$B$200,'Бланк OLD 0.8 04'!$A$18:$A$200),1,0)),
"Бланк OLD 2.0 04 №"&amp;VLOOKUP(A443+1-COUNT('Шаг2.Бланк заказа NEW'!$B$19:$B$201)-COUNT('Бланк OLD 0.8 04'!$B$18:$B$200),CHOOSE({1,2},'Бланк OLD 2.0 04 '!$B$18:$B$200,'Бланк OLD 2.0 04 '!$A$18:$A$200),1,0)),"")</f>
        <v/>
      </c>
      <c r="C444" s="152" t="str">
        <f ca="1">IFERROR(IFERROR(IFERROR(VLOOKUP(A443+1,CHOOSE({1,2},'Шаг2.Бланк заказа NEW'!$B$19:$B$201,'Шаг2.Бланк заказа NEW'!$A$19:$A$201),2,0),
VLOOKUP(A443+1-COUNT('Шаг2.Бланк заказа NEW'!$B$19:$B$201),CHOOSE({1,2},'Бланк OLD 0.8 04'!$B$18:$B$200,'Бланк OLD 0.8 04'!$A$18:$A$200),2,0)),
VLOOKUP(A443+1-COUNT('Шаг2.Бланк заказа NEW'!$B$19:$B$201)-COUNT('Бланк OLD 0.8 04'!$B$18:$B$200),CHOOSE({1,2},'Бланк OLD 2.0 04 '!$B$18:$B$200,'Бланк OLD 2.0 04 '!$A$18:$A$200),2,0)),"")</f>
        <v/>
      </c>
      <c r="D444" s="150" t="str">
        <f ca="1">IFERROR(VLOOKUP(C444,'Шаг1.Выбор плиты'!C:G,5,0),"")</f>
        <v/>
      </c>
      <c r="E444" s="147" t="str">
        <f ca="1">IFERROR(IFERROR(IF(VLOOKUP($A444,'Шаг2.Бланк заказа NEW'!$B$17:$N$201,2,0)="","",VLOOKUP($A444,'Шаг2.Бланк заказа NEW'!$B$17:$N$201,2,0)),
IF(VLOOKUP($A444-COUNT('Шаг2.Бланк заказа NEW'!$B$19:$B$201),'Бланк OLD 0.8 04'!$B$12:$K$200,2,0)="","",VLOOKUP($A444-COUNT('Шаг2.Бланк заказа NEW'!$B$19:$B$201),'Бланк OLD 0.8 04'!$B$12:$K$200,2,0))),
IF(VLOOKUP($A444-COUNT('Шаг2.Бланк заказа NEW'!$B$19:$B$201)-COUNT('Бланк OLD 0.8 04'!$B$18:$B$200),'Бланк OLD 2.0 04 '!$B$16:$K$200,2,0)="","",VLOOKUP($A444-COUNT('Шаг2.Бланк заказа NEW'!$B$19:$B$201)-COUNT('Бланк OLD 0.8 04'!$B$18:$B$200),'Бланк OLD 2.0 04 '!$B$16:$K$200,2,0)))</f>
        <v/>
      </c>
      <c r="F444" s="147" t="str">
        <f ca="1">IFERROR(IFERROR(IF(VLOOKUP($A444,'Шаг2.Бланк заказа NEW'!$B$17:$N$201,3,0)="","",VLOOKUP($A444,'Шаг2.Бланк заказа NEW'!$B$17:$N$201,3,0)),
IF(VLOOKUP($A444-COUNT('Шаг2.Бланк заказа NEW'!$B$19:$B$201),'Бланк OLD 0.8 04'!$B$12:$K$200,3,0)="","",VLOOKUP($A444-COUNT('Шаг2.Бланк заказа NEW'!$B$19:$B$201),'Бланк OLD 0.8 04'!$B$12:$K$200,3,0))),
IF(VLOOKUP($A444-COUNT('Шаг2.Бланк заказа NEW'!$B$19:$B$201)-COUNT('Бланк OLD 0.8 04'!$B$18:$B$200),'Бланк OLD 2.0 04 '!$B$16:$K$200,3,0)="","",VLOOKUP($A444-COUNT('Шаг2.Бланк заказа NEW'!$B$19:$B$201)-COUNT('Бланк OLD 0.8 04'!$B$18:$B$200),'Бланк OLD 2.0 04 '!$B$16:$K$200,3,0)))</f>
        <v/>
      </c>
      <c r="G444" s="176" t="str">
        <f ca="1">IF(IF(R444="","",IF(R444=1,SUMIFS('Шаг1.Выбор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плиты'!C:Q,12,0)),1))))))=0,
R444,
IF(R444="","",IF(R444=1,SUMIFS('Шаг1.Выбор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плиты'!N:N,R444,'Шаг1.Выбор плиты'!M:M,SMALL(INDIRECT("мм"&amp;VLOOKUP(C444,'Шаг1.Выбор плиты'!C:Q,12,0)),1)))))))</f>
        <v/>
      </c>
      <c r="H444" s="177" t="str">
        <f ca="1">IF(IF(S444="","",IF(S444=1,SUMIFS('Шаг1.Выбор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плиты'!C:Q,12,0)),1))))))=0,
S444,
IF(S444="","",IF(S444=1,SUMIFS('Шаг1.Выбор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плиты'!N:N,S444,'Шаг1.Выбор плиты'!M:M,SMALL(INDIRECT("мм"&amp;VLOOKUP(C444,'Шаг1.Выбор плиты'!C:Q,12,0)),1)))))))</f>
        <v/>
      </c>
      <c r="I444" s="147" t="str">
        <f ca="1">IFERROR(IFERROR(IF(VLOOKUP($A444,'Шаг2.Бланк заказа NEW'!$B$17:$N$201,6,0)="","",VLOOKUP($A444,'Шаг2.Бланк заказа NEW'!$B$17:$N$201,6,0)),
IF(VLOOKUP($A444-COUNT('Шаг2.Бланк заказа NEW'!$B$19:$B$201),'Бланк OLD 0.8 04'!$B$12:$K$200,6,0)="","",VLOOKUP($A444-COUNT('Шаг2.Бланк заказа NEW'!$B$19:$B$201),'Бланк OLD 0.8 04'!$B$12:$K$200,6,0))),
IF(VLOOKUP($A444-COUNT('Шаг2.Бланк заказа NEW'!$B$19:$B$201)-COUNT('Бланк OLD 0.8 04'!$B$18:$B$200),'Бланк OLD 2.0 04 '!$B$16:$K$200,6,0)="","",VLOOKUP($A444-COUNT('Шаг2.Бланк заказа NEW'!$B$19:$B$201)-COUNT('Бланк OLD 0.8 04'!$B$18:$B$200),'Бланк OLD 2.0 04 '!$B$16:$K$200,6,0)))</f>
        <v/>
      </c>
      <c r="J444" s="177" t="str">
        <f ca="1">IF(IF(T444="","",IF(T444=1,SUMIFS('Шаг1.Выбор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плиты'!C:Q,12,0)),1))))))=0,
T444,
IF(T444="","",IF(T444=1,SUMIFS('Шаг1.Выбор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плиты'!N:N,T444,'Шаг1.Выбор плиты'!M:M,SMALL(INDIRECT("мм"&amp;VLOOKUP(C444,'Шаг1.Выбор плиты'!C:Q,12,0)),1)))))))</f>
        <v/>
      </c>
      <c r="K444" s="177" t="str">
        <f ca="1">IF(IF(U444="","",IF(U444=1,SUMIFS('Шаг1.Выбор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плиты'!C:Q,12,0)),1))))))=0,
U444,
IF(U444="","",IF(U444=1,SUMIFS('Шаг1.Выбор плиты'!$G:$G,'Шаг1.Выбор плиты'!J:J,"*"&amp;RIGHT(VLOOKUP(C444,'Шаг1.Выбор плиты'!C:Q,8,0),4),'Шаг1.Выбор плиты'!L:L,IF(MID(C444,1,6)="ЛДСП P","TM"&amp;MID(VLOOKUP(C444,'Шаг1.Выбор плиты'!C:Q,10,0),3,2),MID(VLOOKUP(C444,'Шаг1.Выбор плиты'!C:Q,10,0),1,2)),
'Шаг1.Выбор плиты'!N:N,1),IF(SUMIFS('Шаг1.Выбор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плиты'!C:Q,12,0)),1))=0,
IF(SUMIFS('Шаг1.Выбор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плиты'!C:Q,12,0)),2))=0,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плиты'!C:Q,12,0)),3)),
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плиты'!C:Q,12,0)),2))),
(SUMIFS('Шаг1.Выбор плиты'!$G:$G,'Шаг1.Выбор плиты'!J:J,"*"&amp;RIGHT(VLOOKUP(C444,'Шаг1.Выбор плиты'!C:Q,8,0),4),'Шаг1.Выбор плиты'!L:L,VLOOKUP(C444,'Шаг1.Выбор плиты'!C:Q,10,0),'Шаг1.Выбор плиты'!N:N,U444,'Шаг1.Выбор плиты'!M:M,SMALL(INDIRECT("мм"&amp;VLOOKUP(C444,'Шаг1.Выбор плиты'!C:Q,12,0)),1)))))))</f>
        <v/>
      </c>
      <c r="L444" s="147" t="str">
        <f ca="1">IFERROR(IFERROR(IF(VLOOKUP($A444,'Шаг2.Бланк заказа NEW'!$B$17:$N$201,9,0)="","",VLOOKUP($A444,'Шаг2.Бланк заказа NEW'!$B$17:$N$201,9,0)),
IF(VLOOKUP($A444-COUNT('Шаг2.Бланк заказа NEW'!$B$19:$B$201),'Бланк OLD 0.8 04'!$B$12:$K$200,9,0)="","",VLOOKUP($A444-COUNT('Шаг2.Бланк заказа NEW'!$B$19:$B$201),'Бланк OLD 0.8 04'!$B$12:$K$200,9,0))),
IF(VLOOKUP($A444-COUNT('Шаг2.Бланк заказа NEW'!$B$19:$B$201)-COUNT('Бланк OLD 0.8 04'!$B$18:$B$200),'Бланк OLD 2.0 04 '!$B$16:$K$200,9,0)="","",VLOOKUP($A444-COUNT('Шаг2.Бланк заказа NEW'!$B$19:$B$201)-COUNT('Бланк OLD 0.8 04'!$B$18:$B$200),'Бланк OLD 2.0 04 '!$B$16:$K$200,9,0)))</f>
        <v/>
      </c>
      <c r="M444" s="154" t="str">
        <f t="shared" ref="M444:M448" ca="1" si="41">IFERROR((F444/1000)*(I444/1000)*L444,"")</f>
        <v/>
      </c>
      <c r="N444" s="153" t="str">
        <f ca="1">IFERROR(IF(VLOOKUP($A444,'Шаг2.Бланк заказа NEW'!$B$17:$N$201,11,0)="","",VLOOKUP($A444,'Шаг2.Бланк заказа NEW'!$B$17:$N$201,11,0)),
"Нет")</f>
        <v/>
      </c>
      <c r="O444" s="147" t="str">
        <f ca="1">IFERROR(IF(VLOOKUP($A444,'Шаг2.Бланк заказа NEW'!$B$17:$N$201,11,0)="","",VLOOKUP($A444,'Шаг2.Бланк заказа NEW'!$B$17:$N$201,12,0)),
"Нет")</f>
        <v/>
      </c>
      <c r="P444" s="153" t="str">
        <f ca="1">IFERROR(IF(VLOOKUP($A444,'Шаг2.Бланк заказа NEW'!$B$17:$N$201,13,0)="","",VLOOKUP($A444,'Шаг2.Бланк заказа NEW'!$B$17:$N$201,13,0)),
"Нет")</f>
        <v/>
      </c>
      <c r="Q444" s="147" t="str">
        <f ca="1">IFERROR(IF(VLOOKUP($A444,'Шаг2.Бланк заказа NEW'!$B$17:$O$201,14,0)="","",VLOOKUP($A444,'Шаг2.Бланк заказа NEW'!$B$17:$O$201,14,0)),"")</f>
        <v/>
      </c>
      <c r="R444" s="147" t="str">
        <f ca="1">IFERROR(IFERROR(IF(VLOOKUP($A444,'Шаг2.Бланк заказа NEW'!$B$17:$N$201,4,0)="","",VLOOKUP($A444,'Шаг2.Бланк заказа NEW'!$B$17:$N$201,4,0)),
IF(VLOOKUP($A444-COUNT('Шаг2.Бланк заказа NEW'!$B$19:$B$201),'Бланк OLD 0.8 04'!$B$12:$K$200,4,0)&gt;0,0.8,
IF(VLOOKUP($A444-COUNT('Шаг2.Бланк заказа NEW'!$B$19:$B$201),'Бланк OLD 0.8 04'!$B$12:$K$200,5,0)&gt;0,0.4,""))),
IF(VLOOKUP($A444-COUNT('Шаг2.Бланк заказа NEW'!$B$19:$B$201)-COUNT('Бланк OLD 0.8 04'!$B$18:$B$200),'Бланк OLD 2.0 04 '!$B$16:$K$200,4,0)&gt;0,2,IF(VLOOKUP($A444-COUNT('Шаг2.Бланк заказа NEW'!$B$19:$B$201)-COUNT('Бланк OLD 0.8 04'!$B$18:$B$200),'Бланк OLD 2.0 04 '!$B$16:$K$200,5,0)&gt;0,0.4,"")))</f>
        <v/>
      </c>
      <c r="S444" s="147" t="str">
        <f ca="1">IFERROR(IFERROR(IF(VLOOKUP($A444,'Шаг2.Бланк заказа NEW'!$B$17:$N$201,5,0)="","",VLOOKUP($A444,'Шаг2.Бланк заказа NEW'!$B$17:$N$201,5,0)),
IF(VLOOKUP($A444-COUNT('Шаг2.Бланк заказа NEW'!$B$19:$B$201),'Бланк OLD 0.8 04'!$B$12:$K$200,4,0)&gt;1,0.8,
IF(VLOOKUP($A444-COUNT('Шаг2.Бланк заказа NEW'!$B$19:$B$201),'Бланк OLD 0.8 04'!$B$12:$K$200,5,0)&gt;1,0.4,
IF(AND(VLOOKUP($A444-COUNT('Шаг2.Бланк заказа NEW'!$B$19:$B$201),'Бланк OLD 0.8 04'!$B$12:$K$200,4,0)&gt;0,VLOOKUP($A444-COUNT('Шаг2.Бланк заказа NEW'!$B$19:$B$201),'Бланк OLD 0.8 04'!$B$12:$K$200,5,0)&gt;0),0.4,"")))),
IF(VLOOKUP($A444-COUNT('Шаг2.Бланк заказа NEW'!$B$19:$B$201)-COUNT('Бланк OLD 0.8 04'!$B$18:$B$200),'Бланк OLD 2.0 04 '!$B$16:$K$200,4,0)&gt;1,2,
IF(VLOOKUP($A444-COUNT('Шаг2.Бланк заказа NEW'!$B$19:$B$201)-COUNT('Бланк OLD 0.8 04'!$B$18:$B$200),'Бланк OLD 2.0 04 '!$B$16:$K$200,5,0)&gt;1,0.4,IF(AND(VLOOKUP($A444-COUNT('Шаг2.Бланк заказа NEW'!$B$19:$B$201)-COUNT('Бланк OLD 0.8 04'!$B$18:$B$200),'Бланк OLD 2.0 04 '!$B$16:$K$200,4,0)&gt;0,VLOOKUP($A444-COUNT('Шаг2.Бланк заказа NEW'!$B$19:$B$201)-COUNT('Бланк OLD 0.8 04'!$B$18:$B$200),'Бланк OLD 2.0 04 '!$B$16:$K$200,5,0)&gt;0),0.4,""))))</f>
        <v/>
      </c>
      <c r="T444" s="147" t="str">
        <f ca="1">IFERROR(IFERROR(IF(VLOOKUP($A444,'Шаг2.Бланк заказа NEW'!$B$17:$N$201,7,0)="","",VLOOKUP($A444,'Шаг2.Бланк заказа NEW'!$B$17:$N$201,7,0)),
IF(VLOOKUP($A444-COUNT('Шаг2.Бланк заказа NEW'!$B$19:$B$201),'Бланк OLD 0.8 04'!$B$12:$K$200,7,0)&gt;0,0.8,
IF(VLOOKUP($A444-COUNT('Шаг2.Бланк заказа NEW'!$B$19:$B$201),'Бланк OLD 0.8 04'!$B$12:$K$200,8,0)&gt;0,0.4,""))),
IF(VLOOKUP($A444-COUNT('Шаг2.Бланк заказа NEW'!$B$19:$B$201)-COUNT('Бланк OLD 0.8 04'!$B$18:$B$200),'Бланк OLD 2.0 04 '!$B$16:$K$200,7,0)&gt;0,2,IF(VLOOKUP($A444-COUNT('Шаг2.Бланк заказа NEW'!$B$19:$B$201)-COUNT('Бланк OLD 0.8 04'!$B$18:$B$200),'Бланк OLD 2.0 04 '!$B$16:$K$200,8,0)&gt;0,0.4,"")))</f>
        <v/>
      </c>
      <c r="U444" s="147" t="str">
        <f ca="1">IFERROR(IFERROR(IF(VLOOKUP($A444,'Шаг2.Бланк заказа NEW'!$B$17:$N$201,8,0)="","",VLOOKUP($A444,'Шаг2.Бланк заказа NEW'!$B$17:$N$201,8,0)),
IF(VLOOKUP($A444-COUNT('Шаг2.Бланк заказа NEW'!$B$19:$B$201),'Бланк OLD 0.8 04'!$B$12:$K$200,7,0)&gt;1,0.8,
IF(VLOOKUP($A444-COUNT('Шаг2.Бланк заказа NEW'!$B$19:$B$201),'Бланк OLD 0.8 04'!$B$12:$K$200,8,0)&gt;1,0.4,
IF(AND(VLOOKUP($A444-COUNT('Шаг2.Бланк заказа NEW'!$B$19:$B$201),'Бланк OLD 0.8 04'!$B$12:$K$200,7,0)&gt;0,VLOOKUP($A444-COUNT('Шаг2.Бланк заказа NEW'!$B$19:$B$201),'Бланк OLD 0.8 04'!$B$12:$K$200,8,0)&gt;0),0.4,"")))),
IF(VLOOKUP($A444-COUNT('Шаг2.Бланк заказа NEW'!$B$19:$B$201)-COUNT('Бланк OLD 0.8 04'!$B$18:$B$200),'Бланк OLD 2.0 04 '!$B$16:$K$200,7,0)&gt;1,2,
IF(VLOOKUP($A444-COUNT('Шаг2.Бланк заказа NEW'!$B$19:$B$201)-COUNT('Бланк OLD 0.8 04'!$B$18:$B$200),'Бланк OLD 2.0 04 '!$B$16:$K$200,8,0)&gt;1,0.4,
IF(AND(VLOOKUP($A444-COUNT('Шаг2.Бланк заказа NEW'!$B$19:$B$201)-COUNT('Бланк OLD 0.8 04'!$B$18:$B$200),'Бланк OLD 2.0 04 '!$B$16:$K$200,7,0)&gt;0,VLOOKUP($A444-COUNT('Шаг2.Бланк заказа NEW'!$B$19:$B$201)-COUNT('Бланк OLD 0.8 04'!$B$18:$B$200),'Бланк OLD 2.0 04 '!$B$16:$K$200,8,0)&gt;0),0.4,""))))</f>
        <v/>
      </c>
      <c r="V444" s="146" t="str">
        <f ca="1">IFERROR(VLOOKUP(C444,'Шаг1.Выбор плиты'!C:S,12,0),"")</f>
        <v/>
      </c>
      <c r="W444" s="146" t="str">
        <f ca="1">IFERROR(VLOOKUP(C444,'Шаг1.Выбор плиты'!C:S,8,0),"")</f>
        <v/>
      </c>
      <c r="X444" s="146" t="str">
        <f ca="1">IFERROR(VLOOKUP(C444,'Шаг1.Выбор плиты'!C:S,10,0),"")</f>
        <v/>
      </c>
      <c r="Y444" s="147" t="str">
        <f t="shared" ca="1" si="39"/>
        <v/>
      </c>
      <c r="AD444" s="147" t="str">
        <f t="shared" ca="1" si="37"/>
        <v/>
      </c>
      <c r="AE444" s="147" t="str">
        <f t="shared" ca="1" si="40"/>
        <v/>
      </c>
      <c r="AF444" s="25"/>
      <c r="AH444" s="147" t="str">
        <f ca="1">IF(C444="","",VLOOKUP(C444,'Шаг1.Выбор плиты'!C:Q,7,0))</f>
        <v/>
      </c>
      <c r="AI444" s="147" t="str">
        <f t="shared" ca="1" si="38"/>
        <v/>
      </c>
    </row>
    <row r="445" spans="1:35" x14ac:dyDescent="0.2">
      <c r="A445" s="151" t="str">
        <f ca="1">IF(C445="","",MAX($A$1:OFFSET(C445,-1,0))+1)</f>
        <v/>
      </c>
      <c r="B445" s="151" t="str">
        <f ca="1">IFERROR(IFERROR(IFERROR("Шаг2.Бланк заказа NEW №"&amp;VLOOKUP(A444+1,CHOOSE({1,2},'Шаг2.Бланк заказа NEW'!$B$19:$B$201,'Шаг2.Бланк заказа NEW'!$A$19:$A$201),1,0),
"Бланк OLD 0.8 04 №"&amp;VLOOKUP(A444+1-COUNT('Шаг2.Бланк заказа NEW'!$B$19:$B$201),CHOOSE({1,2},'Бланк OLD 0.8 04'!$B$18:$B$200,'Бланк OLD 0.8 04'!$A$18:$A$200),1,0)),
"Бланк OLD 2.0 04 №"&amp;VLOOKUP(A444+1-COUNT('Шаг2.Бланк заказа NEW'!$B$19:$B$201)-COUNT('Бланк OLD 0.8 04'!$B$18:$B$200),CHOOSE({1,2},'Бланк OLD 2.0 04 '!$B$18:$B$200,'Бланк OLD 2.0 04 '!$A$18:$A$200),1,0)),"")</f>
        <v/>
      </c>
      <c r="C445" s="152" t="str">
        <f ca="1">IFERROR(IFERROR(IFERROR(VLOOKUP(A444+1,CHOOSE({1,2},'Шаг2.Бланк заказа NEW'!$B$19:$B$201,'Шаг2.Бланк заказа NEW'!$A$19:$A$201),2,0),
VLOOKUP(A444+1-COUNT('Шаг2.Бланк заказа NEW'!$B$19:$B$201),CHOOSE({1,2},'Бланк OLD 0.8 04'!$B$18:$B$200,'Бланк OLD 0.8 04'!$A$18:$A$200),2,0)),
VLOOKUP(A444+1-COUNT('Шаг2.Бланк заказа NEW'!$B$19:$B$201)-COUNT('Бланк OLD 0.8 04'!$B$18:$B$200),CHOOSE({1,2},'Бланк OLD 2.0 04 '!$B$18:$B$200,'Бланк OLD 2.0 04 '!$A$18:$A$200),2,0)),"")</f>
        <v/>
      </c>
      <c r="D445" s="150" t="str">
        <f ca="1">IFERROR(VLOOKUP(C445,'Шаг1.Выбор плиты'!C:G,5,0),"")</f>
        <v/>
      </c>
      <c r="E445" s="147" t="str">
        <f ca="1">IFERROR(IFERROR(IF(VLOOKUP($A445,'Шаг2.Бланк заказа NEW'!$B$17:$N$201,2,0)="","",VLOOKUP($A445,'Шаг2.Бланк заказа NEW'!$B$17:$N$201,2,0)),
IF(VLOOKUP($A445-COUNT('Шаг2.Бланк заказа NEW'!$B$19:$B$201),'Бланк OLD 0.8 04'!$B$12:$K$200,2,0)="","",VLOOKUP($A445-COUNT('Шаг2.Бланк заказа NEW'!$B$19:$B$201),'Бланк OLD 0.8 04'!$B$12:$K$200,2,0))),
IF(VLOOKUP($A445-COUNT('Шаг2.Бланк заказа NEW'!$B$19:$B$201)-COUNT('Бланк OLD 0.8 04'!$B$18:$B$200),'Бланк OLD 2.0 04 '!$B$16:$K$200,2,0)="","",VLOOKUP($A445-COUNT('Шаг2.Бланк заказа NEW'!$B$19:$B$201)-COUNT('Бланк OLD 0.8 04'!$B$18:$B$200),'Бланк OLD 2.0 04 '!$B$16:$K$200,2,0)))</f>
        <v/>
      </c>
      <c r="F445" s="147" t="str">
        <f ca="1">IFERROR(IFERROR(IF(VLOOKUP($A445,'Шаг2.Бланк заказа NEW'!$B$17:$N$201,3,0)="","",VLOOKUP($A445,'Шаг2.Бланк заказа NEW'!$B$17:$N$201,3,0)),
IF(VLOOKUP($A445-COUNT('Шаг2.Бланк заказа NEW'!$B$19:$B$201),'Бланк OLD 0.8 04'!$B$12:$K$200,3,0)="","",VLOOKUP($A445-COUNT('Шаг2.Бланк заказа NEW'!$B$19:$B$201),'Бланк OLD 0.8 04'!$B$12:$K$200,3,0))),
IF(VLOOKUP($A445-COUNT('Шаг2.Бланк заказа NEW'!$B$19:$B$201)-COUNT('Бланк OLD 0.8 04'!$B$18:$B$200),'Бланк OLD 2.0 04 '!$B$16:$K$200,3,0)="","",VLOOKUP($A445-COUNT('Шаг2.Бланк заказа NEW'!$B$19:$B$201)-COUNT('Бланк OLD 0.8 04'!$B$18:$B$200),'Бланк OLD 2.0 04 '!$B$16:$K$200,3,0)))</f>
        <v/>
      </c>
      <c r="G445" s="176" t="str">
        <f ca="1">IF(IF(R445="","",IF(R445=1,SUMIFS('Шаг1.Выбор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плиты'!C:Q,12,0)),1))))))=0,
R445,
IF(R445="","",IF(R445=1,SUMIFS('Шаг1.Выбор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плиты'!N:N,R445,'Шаг1.Выбор плиты'!M:M,SMALL(INDIRECT("мм"&amp;VLOOKUP(C445,'Шаг1.Выбор плиты'!C:Q,12,0)),1)))))))</f>
        <v/>
      </c>
      <c r="H445" s="177" t="str">
        <f ca="1">IF(IF(S445="","",IF(S445=1,SUMIFS('Шаг1.Выбор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плиты'!C:Q,12,0)),1))))))=0,
S445,
IF(S445="","",IF(S445=1,SUMIFS('Шаг1.Выбор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плиты'!N:N,S445,'Шаг1.Выбор плиты'!M:M,SMALL(INDIRECT("мм"&amp;VLOOKUP(C445,'Шаг1.Выбор плиты'!C:Q,12,0)),1)))))))</f>
        <v/>
      </c>
      <c r="I445" s="147" t="str">
        <f ca="1">IFERROR(IFERROR(IF(VLOOKUP($A445,'Шаг2.Бланк заказа NEW'!$B$17:$N$201,6,0)="","",VLOOKUP($A445,'Шаг2.Бланк заказа NEW'!$B$17:$N$201,6,0)),
IF(VLOOKUP($A445-COUNT('Шаг2.Бланк заказа NEW'!$B$19:$B$201),'Бланк OLD 0.8 04'!$B$12:$K$200,6,0)="","",VLOOKUP($A445-COUNT('Шаг2.Бланк заказа NEW'!$B$19:$B$201),'Бланк OLD 0.8 04'!$B$12:$K$200,6,0))),
IF(VLOOKUP($A445-COUNT('Шаг2.Бланк заказа NEW'!$B$19:$B$201)-COUNT('Бланк OLD 0.8 04'!$B$18:$B$200),'Бланк OLD 2.0 04 '!$B$16:$K$200,6,0)="","",VLOOKUP($A445-COUNT('Шаг2.Бланк заказа NEW'!$B$19:$B$201)-COUNT('Бланк OLD 0.8 04'!$B$18:$B$200),'Бланк OLD 2.0 04 '!$B$16:$K$200,6,0)))</f>
        <v/>
      </c>
      <c r="J445" s="177" t="str">
        <f ca="1">IF(IF(T445="","",IF(T445=1,SUMIFS('Шаг1.Выбор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плиты'!C:Q,12,0)),1))))))=0,
T445,
IF(T445="","",IF(T445=1,SUMIFS('Шаг1.Выбор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плиты'!N:N,T445,'Шаг1.Выбор плиты'!M:M,SMALL(INDIRECT("мм"&amp;VLOOKUP(C445,'Шаг1.Выбор плиты'!C:Q,12,0)),1)))))))</f>
        <v/>
      </c>
      <c r="K445" s="177" t="str">
        <f ca="1">IF(IF(U445="","",IF(U445=1,SUMIFS('Шаг1.Выбор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плиты'!C:Q,12,0)),1))))))=0,
U445,
IF(U445="","",IF(U445=1,SUMIFS('Шаг1.Выбор плиты'!$G:$G,'Шаг1.Выбор плиты'!J:J,"*"&amp;RIGHT(VLOOKUP(C445,'Шаг1.Выбор плиты'!C:Q,8,0),4),'Шаг1.Выбор плиты'!L:L,IF(MID(C445,1,6)="ЛДСП P","TM"&amp;MID(VLOOKUP(C445,'Шаг1.Выбор плиты'!C:Q,10,0),3,2),MID(VLOOKUP(C445,'Шаг1.Выбор плиты'!C:Q,10,0),1,2)),
'Шаг1.Выбор плиты'!N:N,1),IF(SUMIFS('Шаг1.Выбор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плиты'!C:Q,12,0)),1))=0,
IF(SUMIFS('Шаг1.Выбор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плиты'!C:Q,12,0)),2))=0,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плиты'!C:Q,12,0)),3)),
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плиты'!C:Q,12,0)),2))),
(SUMIFS('Шаг1.Выбор плиты'!$G:$G,'Шаг1.Выбор плиты'!J:J,"*"&amp;RIGHT(VLOOKUP(C445,'Шаг1.Выбор плиты'!C:Q,8,0),4),'Шаг1.Выбор плиты'!L:L,VLOOKUP(C445,'Шаг1.Выбор плиты'!C:Q,10,0),'Шаг1.Выбор плиты'!N:N,U445,'Шаг1.Выбор плиты'!M:M,SMALL(INDIRECT("мм"&amp;VLOOKUP(C445,'Шаг1.Выбор плиты'!C:Q,12,0)),1)))))))</f>
        <v/>
      </c>
      <c r="L445" s="147" t="str">
        <f ca="1">IFERROR(IFERROR(IF(VLOOKUP($A445,'Шаг2.Бланк заказа NEW'!$B$17:$N$201,9,0)="","",VLOOKUP($A445,'Шаг2.Бланк заказа NEW'!$B$17:$N$201,9,0)),
IF(VLOOKUP($A445-COUNT('Шаг2.Бланк заказа NEW'!$B$19:$B$201),'Бланк OLD 0.8 04'!$B$12:$K$200,9,0)="","",VLOOKUP($A445-COUNT('Шаг2.Бланк заказа NEW'!$B$19:$B$201),'Бланк OLD 0.8 04'!$B$12:$K$200,9,0))),
IF(VLOOKUP($A445-COUNT('Шаг2.Бланк заказа NEW'!$B$19:$B$201)-COUNT('Бланк OLD 0.8 04'!$B$18:$B$200),'Бланк OLD 2.0 04 '!$B$16:$K$200,9,0)="","",VLOOKUP($A445-COUNT('Шаг2.Бланк заказа NEW'!$B$19:$B$201)-COUNT('Бланк OLD 0.8 04'!$B$18:$B$200),'Бланк OLD 2.0 04 '!$B$16:$K$200,9,0)))</f>
        <v/>
      </c>
      <c r="M445" s="154" t="str">
        <f t="shared" ca="1" si="41"/>
        <v/>
      </c>
      <c r="N445" s="153" t="str">
        <f ca="1">IFERROR(IF(VLOOKUP($A445,'Шаг2.Бланк заказа NEW'!$B$17:$N$201,11,0)="","",VLOOKUP($A445,'Шаг2.Бланк заказа NEW'!$B$17:$N$201,11,0)),
"Нет")</f>
        <v/>
      </c>
      <c r="O445" s="147" t="str">
        <f ca="1">IFERROR(IF(VLOOKUP($A445,'Шаг2.Бланк заказа NEW'!$B$17:$N$201,11,0)="","",VLOOKUP($A445,'Шаг2.Бланк заказа NEW'!$B$17:$N$201,12,0)),
"Нет")</f>
        <v/>
      </c>
      <c r="P445" s="153" t="str">
        <f ca="1">IFERROR(IF(VLOOKUP($A445,'Шаг2.Бланк заказа NEW'!$B$17:$N$201,13,0)="","",VLOOKUP($A445,'Шаг2.Бланк заказа NEW'!$B$17:$N$201,13,0)),
"Нет")</f>
        <v/>
      </c>
      <c r="Q445" s="147" t="str">
        <f ca="1">IFERROR(IF(VLOOKUP($A445,'Шаг2.Бланк заказа NEW'!$B$17:$O$201,14,0)="","",VLOOKUP($A445,'Шаг2.Бланк заказа NEW'!$B$17:$O$201,14,0)),"")</f>
        <v/>
      </c>
      <c r="R445" s="147" t="str">
        <f ca="1">IFERROR(IFERROR(IF(VLOOKUP($A445,'Шаг2.Бланк заказа NEW'!$B$17:$N$201,4,0)="","",VLOOKUP($A445,'Шаг2.Бланк заказа NEW'!$B$17:$N$201,4,0)),
IF(VLOOKUP($A445-COUNT('Шаг2.Бланк заказа NEW'!$B$19:$B$201),'Бланк OLD 0.8 04'!$B$12:$K$200,4,0)&gt;0,0.8,
IF(VLOOKUP($A445-COUNT('Шаг2.Бланк заказа NEW'!$B$19:$B$201),'Бланк OLD 0.8 04'!$B$12:$K$200,5,0)&gt;0,0.4,""))),
IF(VLOOKUP($A445-COUNT('Шаг2.Бланк заказа NEW'!$B$19:$B$201)-COUNT('Бланк OLD 0.8 04'!$B$18:$B$200),'Бланк OLD 2.0 04 '!$B$16:$K$200,4,0)&gt;0,2,IF(VLOOKUP($A445-COUNT('Шаг2.Бланк заказа NEW'!$B$19:$B$201)-COUNT('Бланк OLD 0.8 04'!$B$18:$B$200),'Бланк OLD 2.0 04 '!$B$16:$K$200,5,0)&gt;0,0.4,"")))</f>
        <v/>
      </c>
      <c r="S445" s="147" t="str">
        <f ca="1">IFERROR(IFERROR(IF(VLOOKUP($A445,'Шаг2.Бланк заказа NEW'!$B$17:$N$201,5,0)="","",VLOOKUP($A445,'Шаг2.Бланк заказа NEW'!$B$17:$N$201,5,0)),
IF(VLOOKUP($A445-COUNT('Шаг2.Бланк заказа NEW'!$B$19:$B$201),'Бланк OLD 0.8 04'!$B$12:$K$200,4,0)&gt;1,0.8,
IF(VLOOKUP($A445-COUNT('Шаг2.Бланк заказа NEW'!$B$19:$B$201),'Бланк OLD 0.8 04'!$B$12:$K$200,5,0)&gt;1,0.4,
IF(AND(VLOOKUP($A445-COUNT('Шаг2.Бланк заказа NEW'!$B$19:$B$201),'Бланк OLD 0.8 04'!$B$12:$K$200,4,0)&gt;0,VLOOKUP($A445-COUNT('Шаг2.Бланк заказа NEW'!$B$19:$B$201),'Бланк OLD 0.8 04'!$B$12:$K$200,5,0)&gt;0),0.4,"")))),
IF(VLOOKUP($A445-COUNT('Шаг2.Бланк заказа NEW'!$B$19:$B$201)-COUNT('Бланк OLD 0.8 04'!$B$18:$B$200),'Бланк OLD 2.0 04 '!$B$16:$K$200,4,0)&gt;1,2,
IF(VLOOKUP($A445-COUNT('Шаг2.Бланк заказа NEW'!$B$19:$B$201)-COUNT('Бланк OLD 0.8 04'!$B$18:$B$200),'Бланк OLD 2.0 04 '!$B$16:$K$200,5,0)&gt;1,0.4,IF(AND(VLOOKUP($A445-COUNT('Шаг2.Бланк заказа NEW'!$B$19:$B$201)-COUNT('Бланк OLD 0.8 04'!$B$18:$B$200),'Бланк OLD 2.0 04 '!$B$16:$K$200,4,0)&gt;0,VLOOKUP($A445-COUNT('Шаг2.Бланк заказа NEW'!$B$19:$B$201)-COUNT('Бланк OLD 0.8 04'!$B$18:$B$200),'Бланк OLD 2.0 04 '!$B$16:$K$200,5,0)&gt;0),0.4,""))))</f>
        <v/>
      </c>
      <c r="T445" s="147" t="str">
        <f ca="1">IFERROR(IFERROR(IF(VLOOKUP($A445,'Шаг2.Бланк заказа NEW'!$B$17:$N$201,7,0)="","",VLOOKUP($A445,'Шаг2.Бланк заказа NEW'!$B$17:$N$201,7,0)),
IF(VLOOKUP($A445-COUNT('Шаг2.Бланк заказа NEW'!$B$19:$B$201),'Бланк OLD 0.8 04'!$B$12:$K$200,7,0)&gt;0,0.8,
IF(VLOOKUP($A445-COUNT('Шаг2.Бланк заказа NEW'!$B$19:$B$201),'Бланк OLD 0.8 04'!$B$12:$K$200,8,0)&gt;0,0.4,""))),
IF(VLOOKUP($A445-COUNT('Шаг2.Бланк заказа NEW'!$B$19:$B$201)-COUNT('Бланк OLD 0.8 04'!$B$18:$B$200),'Бланк OLD 2.0 04 '!$B$16:$K$200,7,0)&gt;0,2,IF(VLOOKUP($A445-COUNT('Шаг2.Бланк заказа NEW'!$B$19:$B$201)-COUNT('Бланк OLD 0.8 04'!$B$18:$B$200),'Бланк OLD 2.0 04 '!$B$16:$K$200,8,0)&gt;0,0.4,"")))</f>
        <v/>
      </c>
      <c r="U445" s="147" t="str">
        <f ca="1">IFERROR(IFERROR(IF(VLOOKUP($A445,'Шаг2.Бланк заказа NEW'!$B$17:$N$201,8,0)="","",VLOOKUP($A445,'Шаг2.Бланк заказа NEW'!$B$17:$N$201,8,0)),
IF(VLOOKUP($A445-COUNT('Шаг2.Бланк заказа NEW'!$B$19:$B$201),'Бланк OLD 0.8 04'!$B$12:$K$200,7,0)&gt;1,0.8,
IF(VLOOKUP($A445-COUNT('Шаг2.Бланк заказа NEW'!$B$19:$B$201),'Бланк OLD 0.8 04'!$B$12:$K$200,8,0)&gt;1,0.4,
IF(AND(VLOOKUP($A445-COUNT('Шаг2.Бланк заказа NEW'!$B$19:$B$201),'Бланк OLD 0.8 04'!$B$12:$K$200,7,0)&gt;0,VLOOKUP($A445-COUNT('Шаг2.Бланк заказа NEW'!$B$19:$B$201),'Бланк OLD 0.8 04'!$B$12:$K$200,8,0)&gt;0),0.4,"")))),
IF(VLOOKUP($A445-COUNT('Шаг2.Бланк заказа NEW'!$B$19:$B$201)-COUNT('Бланк OLD 0.8 04'!$B$18:$B$200),'Бланк OLD 2.0 04 '!$B$16:$K$200,7,0)&gt;1,2,
IF(VLOOKUP($A445-COUNT('Шаг2.Бланк заказа NEW'!$B$19:$B$201)-COUNT('Бланк OLD 0.8 04'!$B$18:$B$200),'Бланк OLD 2.0 04 '!$B$16:$K$200,8,0)&gt;1,0.4,
IF(AND(VLOOKUP($A445-COUNT('Шаг2.Бланк заказа NEW'!$B$19:$B$201)-COUNT('Бланк OLD 0.8 04'!$B$18:$B$200),'Бланк OLD 2.0 04 '!$B$16:$K$200,7,0)&gt;0,VLOOKUP($A445-COUNT('Шаг2.Бланк заказа NEW'!$B$19:$B$201)-COUNT('Бланк OLD 0.8 04'!$B$18:$B$200),'Бланк OLD 2.0 04 '!$B$16:$K$200,8,0)&gt;0),0.4,""))))</f>
        <v/>
      </c>
      <c r="V445" s="146" t="str">
        <f ca="1">IFERROR(VLOOKUP(C445,'Шаг1.Выбор плиты'!C:S,12,0),"")</f>
        <v/>
      </c>
      <c r="W445" s="146" t="str">
        <f ca="1">IFERROR(VLOOKUP(C445,'Шаг1.Выбор плиты'!C:S,8,0),"")</f>
        <v/>
      </c>
      <c r="X445" s="146" t="str">
        <f ca="1">IFERROR(VLOOKUP(C445,'Шаг1.Выбор плиты'!C:S,10,0),"")</f>
        <v/>
      </c>
      <c r="Y445" s="147" t="str">
        <f t="shared" ca="1" si="39"/>
        <v/>
      </c>
      <c r="AD445" s="147" t="str">
        <f t="shared" ref="AD445:AD508" ca="1" si="42">IF(C445="","",0)</f>
        <v/>
      </c>
      <c r="AE445" s="147" t="str">
        <f t="shared" ca="1" si="40"/>
        <v/>
      </c>
      <c r="AF445" s="25"/>
      <c r="AH445" s="147" t="str">
        <f ca="1">IF(C445="","",VLOOKUP(C445,'Шаг1.Выбор плиты'!C:Q,7,0))</f>
        <v/>
      </c>
      <c r="AI445" s="147" t="str">
        <f t="shared" ref="AI445:AI448" ca="1" si="43">IF(N445="","",IF(N445="да",1,0))</f>
        <v/>
      </c>
    </row>
    <row r="446" spans="1:35" x14ac:dyDescent="0.2">
      <c r="A446" s="151" t="str">
        <f ca="1">IF(C446="","",MAX($A$1:OFFSET(C446,-1,0))+1)</f>
        <v/>
      </c>
      <c r="B446" s="151" t="str">
        <f ca="1">IFERROR(IFERROR(IFERROR("Шаг2.Бланк заказа NEW №"&amp;VLOOKUP(A445+1,CHOOSE({1,2},'Шаг2.Бланк заказа NEW'!$B$19:$B$201,'Шаг2.Бланк заказа NEW'!$A$19:$A$201),1,0),
"Бланк OLD 0.8 04 №"&amp;VLOOKUP(A445+1-COUNT('Шаг2.Бланк заказа NEW'!$B$19:$B$201),CHOOSE({1,2},'Бланк OLD 0.8 04'!$B$18:$B$200,'Бланк OLD 0.8 04'!$A$18:$A$200),1,0)),
"Бланк OLD 2.0 04 №"&amp;VLOOKUP(A445+1-COUNT('Шаг2.Бланк заказа NEW'!$B$19:$B$201)-COUNT('Бланк OLD 0.8 04'!$B$18:$B$200),CHOOSE({1,2},'Бланк OLD 2.0 04 '!$B$18:$B$200,'Бланк OLD 2.0 04 '!$A$18:$A$200),1,0)),"")</f>
        <v/>
      </c>
      <c r="C446" s="152" t="str">
        <f ca="1">IFERROR(IFERROR(IFERROR(VLOOKUP(A445+1,CHOOSE({1,2},'Шаг2.Бланк заказа NEW'!$B$19:$B$201,'Шаг2.Бланк заказа NEW'!$A$19:$A$201),2,0),
VLOOKUP(A445+1-COUNT('Шаг2.Бланк заказа NEW'!$B$19:$B$201),CHOOSE({1,2},'Бланк OLD 0.8 04'!$B$18:$B$200,'Бланк OLD 0.8 04'!$A$18:$A$200),2,0)),
VLOOKUP(A445+1-COUNT('Шаг2.Бланк заказа NEW'!$B$19:$B$201)-COUNT('Бланк OLD 0.8 04'!$B$18:$B$200),CHOOSE({1,2},'Бланк OLD 2.0 04 '!$B$18:$B$200,'Бланк OLD 2.0 04 '!$A$18:$A$200),2,0)),"")</f>
        <v/>
      </c>
      <c r="D446" s="150" t="str">
        <f ca="1">IFERROR(VLOOKUP(C446,'Шаг1.Выбор плиты'!C:G,5,0),"")</f>
        <v/>
      </c>
      <c r="E446" s="147" t="str">
        <f ca="1">IFERROR(IFERROR(IF(VLOOKUP($A446,'Шаг2.Бланк заказа NEW'!$B$17:$N$201,2,0)="","",VLOOKUP($A446,'Шаг2.Бланк заказа NEW'!$B$17:$N$201,2,0)),
IF(VLOOKUP($A446-COUNT('Шаг2.Бланк заказа NEW'!$B$19:$B$201),'Бланк OLD 0.8 04'!$B$12:$K$200,2,0)="","",VLOOKUP($A446-COUNT('Шаг2.Бланк заказа NEW'!$B$19:$B$201),'Бланк OLD 0.8 04'!$B$12:$K$200,2,0))),
IF(VLOOKUP($A446-COUNT('Шаг2.Бланк заказа NEW'!$B$19:$B$201)-COUNT('Бланк OLD 0.8 04'!$B$18:$B$200),'Бланк OLD 2.0 04 '!$B$16:$K$200,2,0)="","",VLOOKUP($A446-COUNT('Шаг2.Бланк заказа NEW'!$B$19:$B$201)-COUNT('Бланк OLD 0.8 04'!$B$18:$B$200),'Бланк OLD 2.0 04 '!$B$16:$K$200,2,0)))</f>
        <v/>
      </c>
      <c r="F446" s="147" t="str">
        <f ca="1">IFERROR(IFERROR(IF(VLOOKUP($A446,'Шаг2.Бланк заказа NEW'!$B$17:$N$201,3,0)="","",VLOOKUP($A446,'Шаг2.Бланк заказа NEW'!$B$17:$N$201,3,0)),
IF(VLOOKUP($A446-COUNT('Шаг2.Бланк заказа NEW'!$B$19:$B$201),'Бланк OLD 0.8 04'!$B$12:$K$200,3,0)="","",VLOOKUP($A446-COUNT('Шаг2.Бланк заказа NEW'!$B$19:$B$201),'Бланк OLD 0.8 04'!$B$12:$K$200,3,0))),
IF(VLOOKUP($A446-COUNT('Шаг2.Бланк заказа NEW'!$B$19:$B$201)-COUNT('Бланк OLD 0.8 04'!$B$18:$B$200),'Бланк OLD 2.0 04 '!$B$16:$K$200,3,0)="","",VLOOKUP($A446-COUNT('Шаг2.Бланк заказа NEW'!$B$19:$B$201)-COUNT('Бланк OLD 0.8 04'!$B$18:$B$200),'Бланк OLD 2.0 04 '!$B$16:$K$200,3,0)))</f>
        <v/>
      </c>
      <c r="G446" s="176" t="str">
        <f ca="1">IF(IF(R446="","",IF(R446=1,SUMIFS('Шаг1.Выбор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плиты'!C:Q,12,0)),1))))))=0,
R446,
IF(R446="","",IF(R446=1,SUMIFS('Шаг1.Выбор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плиты'!N:N,R446,'Шаг1.Выбор плиты'!M:M,SMALL(INDIRECT("мм"&amp;VLOOKUP(C446,'Шаг1.Выбор плиты'!C:Q,12,0)),1)))))))</f>
        <v/>
      </c>
      <c r="H446" s="177" t="str">
        <f ca="1">IF(IF(S446="","",IF(S446=1,SUMIFS('Шаг1.Выбор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плиты'!C:Q,12,0)),1))))))=0,
S446,
IF(S446="","",IF(S446=1,SUMIFS('Шаг1.Выбор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плиты'!N:N,S446,'Шаг1.Выбор плиты'!M:M,SMALL(INDIRECT("мм"&amp;VLOOKUP(C446,'Шаг1.Выбор плиты'!C:Q,12,0)),1)))))))</f>
        <v/>
      </c>
      <c r="I446" s="147" t="str">
        <f ca="1">IFERROR(IFERROR(IF(VLOOKUP($A446,'Шаг2.Бланк заказа NEW'!$B$17:$N$201,6,0)="","",VLOOKUP($A446,'Шаг2.Бланк заказа NEW'!$B$17:$N$201,6,0)),
IF(VLOOKUP($A446-COUNT('Шаг2.Бланк заказа NEW'!$B$19:$B$201),'Бланк OLD 0.8 04'!$B$12:$K$200,6,0)="","",VLOOKUP($A446-COUNT('Шаг2.Бланк заказа NEW'!$B$19:$B$201),'Бланк OLD 0.8 04'!$B$12:$K$200,6,0))),
IF(VLOOKUP($A446-COUNT('Шаг2.Бланк заказа NEW'!$B$19:$B$201)-COUNT('Бланк OLD 0.8 04'!$B$18:$B$200),'Бланк OLD 2.0 04 '!$B$16:$K$200,6,0)="","",VLOOKUP($A446-COUNT('Шаг2.Бланк заказа NEW'!$B$19:$B$201)-COUNT('Бланк OLD 0.8 04'!$B$18:$B$200),'Бланк OLD 2.0 04 '!$B$16:$K$200,6,0)))</f>
        <v/>
      </c>
      <c r="J446" s="177" t="str">
        <f ca="1">IF(IF(T446="","",IF(T446=1,SUMIFS('Шаг1.Выбор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плиты'!C:Q,12,0)),1))))))=0,
T446,
IF(T446="","",IF(T446=1,SUMIFS('Шаг1.Выбор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плиты'!N:N,T446,'Шаг1.Выбор плиты'!M:M,SMALL(INDIRECT("мм"&amp;VLOOKUP(C446,'Шаг1.Выбор плиты'!C:Q,12,0)),1)))))))</f>
        <v/>
      </c>
      <c r="K446" s="177" t="str">
        <f ca="1">IF(IF(U446="","",IF(U446=1,SUMIFS('Шаг1.Выбор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плиты'!C:Q,12,0)),1))))))=0,
U446,
IF(U446="","",IF(U446=1,SUMIFS('Шаг1.Выбор плиты'!$G:$G,'Шаг1.Выбор плиты'!J:J,"*"&amp;RIGHT(VLOOKUP(C446,'Шаг1.Выбор плиты'!C:Q,8,0),4),'Шаг1.Выбор плиты'!L:L,IF(MID(C446,1,6)="ЛДСП P","TM"&amp;MID(VLOOKUP(C446,'Шаг1.Выбор плиты'!C:Q,10,0),3,2),MID(VLOOKUP(C446,'Шаг1.Выбор плиты'!C:Q,10,0),1,2)),
'Шаг1.Выбор плиты'!N:N,1),IF(SUMIFS('Шаг1.Выбор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плиты'!C:Q,12,0)),1))=0,
IF(SUMIFS('Шаг1.Выбор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плиты'!C:Q,12,0)),2))=0,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плиты'!C:Q,12,0)),3)),
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плиты'!C:Q,12,0)),2))),
(SUMIFS('Шаг1.Выбор плиты'!$G:$G,'Шаг1.Выбор плиты'!J:J,"*"&amp;RIGHT(VLOOKUP(C446,'Шаг1.Выбор плиты'!C:Q,8,0),4),'Шаг1.Выбор плиты'!L:L,VLOOKUP(C446,'Шаг1.Выбор плиты'!C:Q,10,0),'Шаг1.Выбор плиты'!N:N,U446,'Шаг1.Выбор плиты'!M:M,SMALL(INDIRECT("мм"&amp;VLOOKUP(C446,'Шаг1.Выбор плиты'!C:Q,12,0)),1)))))))</f>
        <v/>
      </c>
      <c r="L446" s="147" t="str">
        <f ca="1">IFERROR(IFERROR(IF(VLOOKUP($A446,'Шаг2.Бланк заказа NEW'!$B$17:$N$201,9,0)="","",VLOOKUP($A446,'Шаг2.Бланк заказа NEW'!$B$17:$N$201,9,0)),
IF(VLOOKUP($A446-COUNT('Шаг2.Бланк заказа NEW'!$B$19:$B$201),'Бланк OLD 0.8 04'!$B$12:$K$200,9,0)="","",VLOOKUP($A446-COUNT('Шаг2.Бланк заказа NEW'!$B$19:$B$201),'Бланк OLD 0.8 04'!$B$12:$K$200,9,0))),
IF(VLOOKUP($A446-COUNT('Шаг2.Бланк заказа NEW'!$B$19:$B$201)-COUNT('Бланк OLD 0.8 04'!$B$18:$B$200),'Бланк OLD 2.0 04 '!$B$16:$K$200,9,0)="","",VLOOKUP($A446-COUNT('Шаг2.Бланк заказа NEW'!$B$19:$B$201)-COUNT('Бланк OLD 0.8 04'!$B$18:$B$200),'Бланк OLD 2.0 04 '!$B$16:$K$200,9,0)))</f>
        <v/>
      </c>
      <c r="M446" s="154" t="str">
        <f t="shared" ca="1" si="41"/>
        <v/>
      </c>
      <c r="N446" s="153" t="str">
        <f ca="1">IFERROR(IF(VLOOKUP($A446,'Шаг2.Бланк заказа NEW'!$B$17:$N$201,11,0)="","",VLOOKUP($A446,'Шаг2.Бланк заказа NEW'!$B$17:$N$201,11,0)),
"Нет")</f>
        <v/>
      </c>
      <c r="O446" s="147" t="str">
        <f ca="1">IFERROR(IF(VLOOKUP($A446,'Шаг2.Бланк заказа NEW'!$B$17:$N$201,11,0)="","",VLOOKUP($A446,'Шаг2.Бланк заказа NEW'!$B$17:$N$201,12,0)),
"Нет")</f>
        <v/>
      </c>
      <c r="P446" s="153" t="str">
        <f ca="1">IFERROR(IF(VLOOKUP($A446,'Шаг2.Бланк заказа NEW'!$B$17:$N$201,13,0)="","",VLOOKUP($A446,'Шаг2.Бланк заказа NEW'!$B$17:$N$201,13,0)),
"Нет")</f>
        <v/>
      </c>
      <c r="Q446" s="147" t="str">
        <f ca="1">IFERROR(IF(VLOOKUP($A446,'Шаг2.Бланк заказа NEW'!$B$17:$O$201,14,0)="","",VLOOKUP($A446,'Шаг2.Бланк заказа NEW'!$B$17:$O$201,14,0)),"")</f>
        <v/>
      </c>
      <c r="R446" s="147" t="str">
        <f ca="1">IFERROR(IFERROR(IF(VLOOKUP($A446,'Шаг2.Бланк заказа NEW'!$B$17:$N$201,4,0)="","",VLOOKUP($A446,'Шаг2.Бланк заказа NEW'!$B$17:$N$201,4,0)),
IF(VLOOKUP($A446-COUNT('Шаг2.Бланк заказа NEW'!$B$19:$B$201),'Бланк OLD 0.8 04'!$B$12:$K$200,4,0)&gt;0,0.8,
IF(VLOOKUP($A446-COUNT('Шаг2.Бланк заказа NEW'!$B$19:$B$201),'Бланк OLD 0.8 04'!$B$12:$K$200,5,0)&gt;0,0.4,""))),
IF(VLOOKUP($A446-COUNT('Шаг2.Бланк заказа NEW'!$B$19:$B$201)-COUNT('Бланк OLD 0.8 04'!$B$18:$B$200),'Бланк OLD 2.0 04 '!$B$16:$K$200,4,0)&gt;0,2,IF(VLOOKUP($A446-COUNT('Шаг2.Бланк заказа NEW'!$B$19:$B$201)-COUNT('Бланк OLD 0.8 04'!$B$18:$B$200),'Бланк OLD 2.0 04 '!$B$16:$K$200,5,0)&gt;0,0.4,"")))</f>
        <v/>
      </c>
      <c r="S446" s="147" t="str">
        <f ca="1">IFERROR(IFERROR(IF(VLOOKUP($A446,'Шаг2.Бланк заказа NEW'!$B$17:$N$201,5,0)="","",VLOOKUP($A446,'Шаг2.Бланк заказа NEW'!$B$17:$N$201,5,0)),
IF(VLOOKUP($A446-COUNT('Шаг2.Бланк заказа NEW'!$B$19:$B$201),'Бланк OLD 0.8 04'!$B$12:$K$200,4,0)&gt;1,0.8,
IF(VLOOKUP($A446-COUNT('Шаг2.Бланк заказа NEW'!$B$19:$B$201),'Бланк OLD 0.8 04'!$B$12:$K$200,5,0)&gt;1,0.4,
IF(AND(VLOOKUP($A446-COUNT('Шаг2.Бланк заказа NEW'!$B$19:$B$201),'Бланк OLD 0.8 04'!$B$12:$K$200,4,0)&gt;0,VLOOKUP($A446-COUNT('Шаг2.Бланк заказа NEW'!$B$19:$B$201),'Бланк OLD 0.8 04'!$B$12:$K$200,5,0)&gt;0),0.4,"")))),
IF(VLOOKUP($A446-COUNT('Шаг2.Бланк заказа NEW'!$B$19:$B$201)-COUNT('Бланк OLD 0.8 04'!$B$18:$B$200),'Бланк OLD 2.0 04 '!$B$16:$K$200,4,0)&gt;1,2,
IF(VLOOKUP($A446-COUNT('Шаг2.Бланк заказа NEW'!$B$19:$B$201)-COUNT('Бланк OLD 0.8 04'!$B$18:$B$200),'Бланк OLD 2.0 04 '!$B$16:$K$200,5,0)&gt;1,0.4,IF(AND(VLOOKUP($A446-COUNT('Шаг2.Бланк заказа NEW'!$B$19:$B$201)-COUNT('Бланк OLD 0.8 04'!$B$18:$B$200),'Бланк OLD 2.0 04 '!$B$16:$K$200,4,0)&gt;0,VLOOKUP($A446-COUNT('Шаг2.Бланк заказа NEW'!$B$19:$B$201)-COUNT('Бланк OLD 0.8 04'!$B$18:$B$200),'Бланк OLD 2.0 04 '!$B$16:$K$200,5,0)&gt;0),0.4,""))))</f>
        <v/>
      </c>
      <c r="T446" s="147" t="str">
        <f ca="1">IFERROR(IFERROR(IF(VLOOKUP($A446,'Шаг2.Бланк заказа NEW'!$B$17:$N$201,7,0)="","",VLOOKUP($A446,'Шаг2.Бланк заказа NEW'!$B$17:$N$201,7,0)),
IF(VLOOKUP($A446-COUNT('Шаг2.Бланк заказа NEW'!$B$19:$B$201),'Бланк OLD 0.8 04'!$B$12:$K$200,7,0)&gt;0,0.8,
IF(VLOOKUP($A446-COUNT('Шаг2.Бланк заказа NEW'!$B$19:$B$201),'Бланк OLD 0.8 04'!$B$12:$K$200,8,0)&gt;0,0.4,""))),
IF(VLOOKUP($A446-COUNT('Шаг2.Бланк заказа NEW'!$B$19:$B$201)-COUNT('Бланк OLD 0.8 04'!$B$18:$B$200),'Бланк OLD 2.0 04 '!$B$16:$K$200,7,0)&gt;0,2,IF(VLOOKUP($A446-COUNT('Шаг2.Бланк заказа NEW'!$B$19:$B$201)-COUNT('Бланк OLD 0.8 04'!$B$18:$B$200),'Бланк OLD 2.0 04 '!$B$16:$K$200,8,0)&gt;0,0.4,"")))</f>
        <v/>
      </c>
      <c r="U446" s="147" t="str">
        <f ca="1">IFERROR(IFERROR(IF(VLOOKUP($A446,'Шаг2.Бланк заказа NEW'!$B$17:$N$201,8,0)="","",VLOOKUP($A446,'Шаг2.Бланк заказа NEW'!$B$17:$N$201,8,0)),
IF(VLOOKUP($A446-COUNT('Шаг2.Бланк заказа NEW'!$B$19:$B$201),'Бланк OLD 0.8 04'!$B$12:$K$200,7,0)&gt;1,0.8,
IF(VLOOKUP($A446-COUNT('Шаг2.Бланк заказа NEW'!$B$19:$B$201),'Бланк OLD 0.8 04'!$B$12:$K$200,8,0)&gt;1,0.4,
IF(AND(VLOOKUP($A446-COUNT('Шаг2.Бланк заказа NEW'!$B$19:$B$201),'Бланк OLD 0.8 04'!$B$12:$K$200,7,0)&gt;0,VLOOKUP($A446-COUNT('Шаг2.Бланк заказа NEW'!$B$19:$B$201),'Бланк OLD 0.8 04'!$B$12:$K$200,8,0)&gt;0),0.4,"")))),
IF(VLOOKUP($A446-COUNT('Шаг2.Бланк заказа NEW'!$B$19:$B$201)-COUNT('Бланк OLD 0.8 04'!$B$18:$B$200),'Бланк OLD 2.0 04 '!$B$16:$K$200,7,0)&gt;1,2,
IF(VLOOKUP($A446-COUNT('Шаг2.Бланк заказа NEW'!$B$19:$B$201)-COUNT('Бланк OLD 0.8 04'!$B$18:$B$200),'Бланк OLD 2.0 04 '!$B$16:$K$200,8,0)&gt;1,0.4,
IF(AND(VLOOKUP($A446-COUNT('Шаг2.Бланк заказа NEW'!$B$19:$B$201)-COUNT('Бланк OLD 0.8 04'!$B$18:$B$200),'Бланк OLD 2.0 04 '!$B$16:$K$200,7,0)&gt;0,VLOOKUP($A446-COUNT('Шаг2.Бланк заказа NEW'!$B$19:$B$201)-COUNT('Бланк OLD 0.8 04'!$B$18:$B$200),'Бланк OLD 2.0 04 '!$B$16:$K$200,8,0)&gt;0),0.4,""))))</f>
        <v/>
      </c>
      <c r="V446" s="146" t="str">
        <f ca="1">IFERROR(VLOOKUP(C446,'Шаг1.Выбор плиты'!C:S,12,0),"")</f>
        <v/>
      </c>
      <c r="W446" s="146" t="str">
        <f ca="1">IFERROR(VLOOKUP(C446,'Шаг1.Выбор плиты'!C:S,8,0),"")</f>
        <v/>
      </c>
      <c r="X446" s="146" t="str">
        <f ca="1">IFERROR(VLOOKUP(C446,'Шаг1.Выбор плиты'!C:S,10,0),"")</f>
        <v/>
      </c>
      <c r="Y446" s="147" t="str">
        <f t="shared" ca="1" si="39"/>
        <v/>
      </c>
      <c r="AD446" s="147" t="str">
        <f t="shared" ca="1" si="42"/>
        <v/>
      </c>
      <c r="AE446" s="147" t="str">
        <f t="shared" ca="1" si="40"/>
        <v/>
      </c>
      <c r="AF446" s="25"/>
      <c r="AH446" s="147" t="str">
        <f ca="1">IF(C446="","",VLOOKUP(C446,'Шаг1.Выбор плиты'!C:Q,7,0))</f>
        <v/>
      </c>
      <c r="AI446" s="147" t="str">
        <f t="shared" ca="1" si="43"/>
        <v/>
      </c>
    </row>
    <row r="447" spans="1:35" x14ac:dyDescent="0.2">
      <c r="A447" s="151" t="str">
        <f ca="1">IF(C447="","",MAX($A$1:OFFSET(C447,-1,0))+1)</f>
        <v/>
      </c>
      <c r="B447" s="151" t="str">
        <f ca="1">IFERROR(IFERROR(IFERROR("Шаг2.Бланк заказа NEW №"&amp;VLOOKUP(A446+1,CHOOSE({1,2},'Шаг2.Бланк заказа NEW'!$B$19:$B$201,'Шаг2.Бланк заказа NEW'!$A$19:$A$201),1,0),
"Бланк OLD 0.8 04 №"&amp;VLOOKUP(A446+1-COUNT('Шаг2.Бланк заказа NEW'!$B$19:$B$201),CHOOSE({1,2},'Бланк OLD 0.8 04'!$B$18:$B$200,'Бланк OLD 0.8 04'!$A$18:$A$200),1,0)),
"Бланк OLD 2.0 04 №"&amp;VLOOKUP(A446+1-COUNT('Шаг2.Бланк заказа NEW'!$B$19:$B$201)-COUNT('Бланк OLD 0.8 04'!$B$18:$B$200),CHOOSE({1,2},'Бланк OLD 2.0 04 '!$B$18:$B$200,'Бланк OLD 2.0 04 '!$A$18:$A$200),1,0)),"")</f>
        <v/>
      </c>
      <c r="C447" s="152" t="str">
        <f ca="1">IFERROR(IFERROR(IFERROR(VLOOKUP(A446+1,CHOOSE({1,2},'Шаг2.Бланк заказа NEW'!$B$19:$B$201,'Шаг2.Бланк заказа NEW'!$A$19:$A$201),2,0),
VLOOKUP(A446+1-COUNT('Шаг2.Бланк заказа NEW'!$B$19:$B$201),CHOOSE({1,2},'Бланк OLD 0.8 04'!$B$18:$B$200,'Бланк OLD 0.8 04'!$A$18:$A$200),2,0)),
VLOOKUP(A446+1-COUNT('Шаг2.Бланк заказа NEW'!$B$19:$B$201)-COUNT('Бланк OLD 0.8 04'!$B$18:$B$200),CHOOSE({1,2},'Бланк OLD 2.0 04 '!$B$18:$B$200,'Бланк OLD 2.0 04 '!$A$18:$A$200),2,0)),"")</f>
        <v/>
      </c>
      <c r="D447" s="150" t="str">
        <f ca="1">IFERROR(VLOOKUP(C447,'Шаг1.Выбор плиты'!C:G,5,0),"")</f>
        <v/>
      </c>
      <c r="E447" s="147" t="str">
        <f ca="1">IFERROR(IFERROR(IF(VLOOKUP($A447,'Шаг2.Бланк заказа NEW'!$B$17:$N$201,2,0)="","",VLOOKUP($A447,'Шаг2.Бланк заказа NEW'!$B$17:$N$201,2,0)),
IF(VLOOKUP($A447-COUNT('Шаг2.Бланк заказа NEW'!$B$19:$B$201),'Бланк OLD 0.8 04'!$B$12:$K$200,2,0)="","",VLOOKUP($A447-COUNT('Шаг2.Бланк заказа NEW'!$B$19:$B$201),'Бланк OLD 0.8 04'!$B$12:$K$200,2,0))),
IF(VLOOKUP($A447-COUNT('Шаг2.Бланк заказа NEW'!$B$19:$B$201)-COUNT('Бланк OLD 0.8 04'!$B$18:$B$200),'Бланк OLD 2.0 04 '!$B$16:$K$200,2,0)="","",VLOOKUP($A447-COUNT('Шаг2.Бланк заказа NEW'!$B$19:$B$201)-COUNT('Бланк OLD 0.8 04'!$B$18:$B$200),'Бланк OLD 2.0 04 '!$B$16:$K$200,2,0)))</f>
        <v/>
      </c>
      <c r="F447" s="147" t="str">
        <f ca="1">IFERROR(IFERROR(IF(VLOOKUP($A447,'Шаг2.Бланк заказа NEW'!$B$17:$N$201,3,0)="","",VLOOKUP($A447,'Шаг2.Бланк заказа NEW'!$B$17:$N$201,3,0)),
IF(VLOOKUP($A447-COUNT('Шаг2.Бланк заказа NEW'!$B$19:$B$201),'Бланк OLD 0.8 04'!$B$12:$K$200,3,0)="","",VLOOKUP($A447-COUNT('Шаг2.Бланк заказа NEW'!$B$19:$B$201),'Бланк OLD 0.8 04'!$B$12:$K$200,3,0))),
IF(VLOOKUP($A447-COUNT('Шаг2.Бланк заказа NEW'!$B$19:$B$201)-COUNT('Бланк OLD 0.8 04'!$B$18:$B$200),'Бланк OLD 2.0 04 '!$B$16:$K$200,3,0)="","",VLOOKUP($A447-COUNT('Шаг2.Бланк заказа NEW'!$B$19:$B$201)-COUNT('Бланк OLD 0.8 04'!$B$18:$B$200),'Бланк OLD 2.0 04 '!$B$16:$K$200,3,0)))</f>
        <v/>
      </c>
      <c r="G447" s="176" t="str">
        <f ca="1">IF(IF(R447="","",IF(R447=1,SUMIFS('Шаг1.Выбор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плиты'!C:Q,12,0)),1))))))=0,
R447,
IF(R447="","",IF(R447=1,SUMIFS('Шаг1.Выбор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плиты'!N:N,R447,'Шаг1.Выбор плиты'!M:M,SMALL(INDIRECT("мм"&amp;VLOOKUP(C447,'Шаг1.Выбор плиты'!C:Q,12,0)),1)))))))</f>
        <v/>
      </c>
      <c r="H447" s="177" t="str">
        <f ca="1">IF(IF(S447="","",IF(S447=1,SUMIFS('Шаг1.Выбор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плиты'!C:Q,12,0)),1))))))=0,
S447,
IF(S447="","",IF(S447=1,SUMIFS('Шаг1.Выбор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плиты'!N:N,S447,'Шаг1.Выбор плиты'!M:M,SMALL(INDIRECT("мм"&amp;VLOOKUP(C447,'Шаг1.Выбор плиты'!C:Q,12,0)),1)))))))</f>
        <v/>
      </c>
      <c r="I447" s="147" t="str">
        <f ca="1">IFERROR(IFERROR(IF(VLOOKUP($A447,'Шаг2.Бланк заказа NEW'!$B$17:$N$201,6,0)="","",VLOOKUP($A447,'Шаг2.Бланк заказа NEW'!$B$17:$N$201,6,0)),
IF(VLOOKUP($A447-COUNT('Шаг2.Бланк заказа NEW'!$B$19:$B$201),'Бланк OLD 0.8 04'!$B$12:$K$200,6,0)="","",VLOOKUP($A447-COUNT('Шаг2.Бланк заказа NEW'!$B$19:$B$201),'Бланк OLD 0.8 04'!$B$12:$K$200,6,0))),
IF(VLOOKUP($A447-COUNT('Шаг2.Бланк заказа NEW'!$B$19:$B$201)-COUNT('Бланк OLD 0.8 04'!$B$18:$B$200),'Бланк OLD 2.0 04 '!$B$16:$K$200,6,0)="","",VLOOKUP($A447-COUNT('Шаг2.Бланк заказа NEW'!$B$19:$B$201)-COUNT('Бланк OLD 0.8 04'!$B$18:$B$200),'Бланк OLD 2.0 04 '!$B$16:$K$200,6,0)))</f>
        <v/>
      </c>
      <c r="J447" s="177" t="str">
        <f ca="1">IF(IF(T447="","",IF(T447=1,SUMIFS('Шаг1.Выбор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плиты'!C:Q,12,0)),1))))))=0,
T447,
IF(T447="","",IF(T447=1,SUMIFS('Шаг1.Выбор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плиты'!N:N,T447,'Шаг1.Выбор плиты'!M:M,SMALL(INDIRECT("мм"&amp;VLOOKUP(C447,'Шаг1.Выбор плиты'!C:Q,12,0)),1)))))))</f>
        <v/>
      </c>
      <c r="K447" s="177" t="str">
        <f ca="1">IF(IF(U447="","",IF(U447=1,SUMIFS('Шаг1.Выбор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плиты'!C:Q,12,0)),1))))))=0,
U447,
IF(U447="","",IF(U447=1,SUMIFS('Шаг1.Выбор плиты'!$G:$G,'Шаг1.Выбор плиты'!J:J,"*"&amp;RIGHT(VLOOKUP(C447,'Шаг1.Выбор плиты'!C:Q,8,0),4),'Шаг1.Выбор плиты'!L:L,IF(MID(C447,1,6)="ЛДСП P","TM"&amp;MID(VLOOKUP(C447,'Шаг1.Выбор плиты'!C:Q,10,0),3,2),MID(VLOOKUP(C447,'Шаг1.Выбор плиты'!C:Q,10,0),1,2)),
'Шаг1.Выбор плиты'!N:N,1),IF(SUMIFS('Шаг1.Выбор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плиты'!C:Q,12,0)),1))=0,
IF(SUMIFS('Шаг1.Выбор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плиты'!C:Q,12,0)),2))=0,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плиты'!C:Q,12,0)),3)),
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плиты'!C:Q,12,0)),2))),
(SUMIFS('Шаг1.Выбор плиты'!$G:$G,'Шаг1.Выбор плиты'!J:J,"*"&amp;RIGHT(VLOOKUP(C447,'Шаг1.Выбор плиты'!C:Q,8,0),4),'Шаг1.Выбор плиты'!L:L,VLOOKUP(C447,'Шаг1.Выбор плиты'!C:Q,10,0),'Шаг1.Выбор плиты'!N:N,U447,'Шаг1.Выбор плиты'!M:M,SMALL(INDIRECT("мм"&amp;VLOOKUP(C447,'Шаг1.Выбор плиты'!C:Q,12,0)),1)))))))</f>
        <v/>
      </c>
      <c r="L447" s="147" t="str">
        <f ca="1">IFERROR(IFERROR(IF(VLOOKUP($A447,'Шаг2.Бланк заказа NEW'!$B$17:$N$201,9,0)="","",VLOOKUP($A447,'Шаг2.Бланк заказа NEW'!$B$17:$N$201,9,0)),
IF(VLOOKUP($A447-COUNT('Шаг2.Бланк заказа NEW'!$B$19:$B$201),'Бланк OLD 0.8 04'!$B$12:$K$200,9,0)="","",VLOOKUP($A447-COUNT('Шаг2.Бланк заказа NEW'!$B$19:$B$201),'Бланк OLD 0.8 04'!$B$12:$K$200,9,0))),
IF(VLOOKUP($A447-COUNT('Шаг2.Бланк заказа NEW'!$B$19:$B$201)-COUNT('Бланк OLD 0.8 04'!$B$18:$B$200),'Бланк OLD 2.0 04 '!$B$16:$K$200,9,0)="","",VLOOKUP($A447-COUNT('Шаг2.Бланк заказа NEW'!$B$19:$B$201)-COUNT('Бланк OLD 0.8 04'!$B$18:$B$200),'Бланк OLD 2.0 04 '!$B$16:$K$200,9,0)))</f>
        <v/>
      </c>
      <c r="M447" s="154" t="str">
        <f t="shared" ca="1" si="41"/>
        <v/>
      </c>
      <c r="N447" s="153" t="str">
        <f ca="1">IFERROR(IF(VLOOKUP($A447,'Шаг2.Бланк заказа NEW'!$B$17:$N$201,11,0)="","",VLOOKUP($A447,'Шаг2.Бланк заказа NEW'!$B$17:$N$201,11,0)),
"Нет")</f>
        <v/>
      </c>
      <c r="O447" s="147" t="str">
        <f ca="1">IFERROR(IF(VLOOKUP($A447,'Шаг2.Бланк заказа NEW'!$B$17:$N$201,11,0)="","",VLOOKUP($A447,'Шаг2.Бланк заказа NEW'!$B$17:$N$201,12,0)),
"Нет")</f>
        <v/>
      </c>
      <c r="P447" s="153" t="str">
        <f ca="1">IFERROR(IF(VLOOKUP($A447,'Шаг2.Бланк заказа NEW'!$B$17:$N$201,13,0)="","",VLOOKUP($A447,'Шаг2.Бланк заказа NEW'!$B$17:$N$201,13,0)),
"Нет")</f>
        <v/>
      </c>
      <c r="Q447" s="147" t="str">
        <f ca="1">IFERROR(IF(VLOOKUP($A447,'Шаг2.Бланк заказа NEW'!$B$17:$O$201,14,0)="","",VLOOKUP($A447,'Шаг2.Бланк заказа NEW'!$B$17:$O$201,14,0)),"")</f>
        <v/>
      </c>
      <c r="R447" s="147" t="str">
        <f ca="1">IFERROR(IFERROR(IF(VLOOKUP($A447,'Шаг2.Бланк заказа NEW'!$B$17:$N$201,4,0)="","",VLOOKUP($A447,'Шаг2.Бланк заказа NEW'!$B$17:$N$201,4,0)),
IF(VLOOKUP($A447-COUNT('Шаг2.Бланк заказа NEW'!$B$19:$B$201),'Бланк OLD 0.8 04'!$B$12:$K$200,4,0)&gt;0,0.8,
IF(VLOOKUP($A447-COUNT('Шаг2.Бланк заказа NEW'!$B$19:$B$201),'Бланк OLD 0.8 04'!$B$12:$K$200,5,0)&gt;0,0.4,""))),
IF(VLOOKUP($A447-COUNT('Шаг2.Бланк заказа NEW'!$B$19:$B$201)-COUNT('Бланк OLD 0.8 04'!$B$18:$B$200),'Бланк OLD 2.0 04 '!$B$16:$K$200,4,0)&gt;0,2,IF(VLOOKUP($A447-COUNT('Шаг2.Бланк заказа NEW'!$B$19:$B$201)-COUNT('Бланк OLD 0.8 04'!$B$18:$B$200),'Бланк OLD 2.0 04 '!$B$16:$K$200,5,0)&gt;0,0.4,"")))</f>
        <v/>
      </c>
      <c r="S447" s="147" t="str">
        <f ca="1">IFERROR(IFERROR(IF(VLOOKUP($A447,'Шаг2.Бланк заказа NEW'!$B$17:$N$201,5,0)="","",VLOOKUP($A447,'Шаг2.Бланк заказа NEW'!$B$17:$N$201,5,0)),
IF(VLOOKUP($A447-COUNT('Шаг2.Бланк заказа NEW'!$B$19:$B$201),'Бланк OLD 0.8 04'!$B$12:$K$200,4,0)&gt;1,0.8,
IF(VLOOKUP($A447-COUNT('Шаг2.Бланк заказа NEW'!$B$19:$B$201),'Бланк OLD 0.8 04'!$B$12:$K$200,5,0)&gt;1,0.4,
IF(AND(VLOOKUP($A447-COUNT('Шаг2.Бланк заказа NEW'!$B$19:$B$201),'Бланк OLD 0.8 04'!$B$12:$K$200,4,0)&gt;0,VLOOKUP($A447-COUNT('Шаг2.Бланк заказа NEW'!$B$19:$B$201),'Бланк OLD 0.8 04'!$B$12:$K$200,5,0)&gt;0),0.4,"")))),
IF(VLOOKUP($A447-COUNT('Шаг2.Бланк заказа NEW'!$B$19:$B$201)-COUNT('Бланк OLD 0.8 04'!$B$18:$B$200),'Бланк OLD 2.0 04 '!$B$16:$K$200,4,0)&gt;1,2,
IF(VLOOKUP($A447-COUNT('Шаг2.Бланк заказа NEW'!$B$19:$B$201)-COUNT('Бланк OLD 0.8 04'!$B$18:$B$200),'Бланк OLD 2.0 04 '!$B$16:$K$200,5,0)&gt;1,0.4,IF(AND(VLOOKUP($A447-COUNT('Шаг2.Бланк заказа NEW'!$B$19:$B$201)-COUNT('Бланк OLD 0.8 04'!$B$18:$B$200),'Бланк OLD 2.0 04 '!$B$16:$K$200,4,0)&gt;0,VLOOKUP($A447-COUNT('Шаг2.Бланк заказа NEW'!$B$19:$B$201)-COUNT('Бланк OLD 0.8 04'!$B$18:$B$200),'Бланк OLD 2.0 04 '!$B$16:$K$200,5,0)&gt;0),0.4,""))))</f>
        <v/>
      </c>
      <c r="T447" s="147" t="str">
        <f ca="1">IFERROR(IFERROR(IF(VLOOKUP($A447,'Шаг2.Бланк заказа NEW'!$B$17:$N$201,7,0)="","",VLOOKUP($A447,'Шаг2.Бланк заказа NEW'!$B$17:$N$201,7,0)),
IF(VLOOKUP($A447-COUNT('Шаг2.Бланк заказа NEW'!$B$19:$B$201),'Бланк OLD 0.8 04'!$B$12:$K$200,7,0)&gt;0,0.8,
IF(VLOOKUP($A447-COUNT('Шаг2.Бланк заказа NEW'!$B$19:$B$201),'Бланк OLD 0.8 04'!$B$12:$K$200,8,0)&gt;0,0.4,""))),
IF(VLOOKUP($A447-COUNT('Шаг2.Бланк заказа NEW'!$B$19:$B$201)-COUNT('Бланк OLD 0.8 04'!$B$18:$B$200),'Бланк OLD 2.0 04 '!$B$16:$K$200,7,0)&gt;0,2,IF(VLOOKUP($A447-COUNT('Шаг2.Бланк заказа NEW'!$B$19:$B$201)-COUNT('Бланк OLD 0.8 04'!$B$18:$B$200),'Бланк OLD 2.0 04 '!$B$16:$K$200,8,0)&gt;0,0.4,"")))</f>
        <v/>
      </c>
      <c r="U447" s="147" t="str">
        <f ca="1">IFERROR(IFERROR(IF(VLOOKUP($A447,'Шаг2.Бланк заказа NEW'!$B$17:$N$201,8,0)="","",VLOOKUP($A447,'Шаг2.Бланк заказа NEW'!$B$17:$N$201,8,0)),
IF(VLOOKUP($A447-COUNT('Шаг2.Бланк заказа NEW'!$B$19:$B$201),'Бланк OLD 0.8 04'!$B$12:$K$200,7,0)&gt;1,0.8,
IF(VLOOKUP($A447-COUNT('Шаг2.Бланк заказа NEW'!$B$19:$B$201),'Бланк OLD 0.8 04'!$B$12:$K$200,8,0)&gt;1,0.4,
IF(AND(VLOOKUP($A447-COUNT('Шаг2.Бланк заказа NEW'!$B$19:$B$201),'Бланк OLD 0.8 04'!$B$12:$K$200,7,0)&gt;0,VLOOKUP($A447-COUNT('Шаг2.Бланк заказа NEW'!$B$19:$B$201),'Бланк OLD 0.8 04'!$B$12:$K$200,8,0)&gt;0),0.4,"")))),
IF(VLOOKUP($A447-COUNT('Шаг2.Бланк заказа NEW'!$B$19:$B$201)-COUNT('Бланк OLD 0.8 04'!$B$18:$B$200),'Бланк OLD 2.0 04 '!$B$16:$K$200,7,0)&gt;1,2,
IF(VLOOKUP($A447-COUNT('Шаг2.Бланк заказа NEW'!$B$19:$B$201)-COUNT('Бланк OLD 0.8 04'!$B$18:$B$200),'Бланк OLD 2.0 04 '!$B$16:$K$200,8,0)&gt;1,0.4,
IF(AND(VLOOKUP($A447-COUNT('Шаг2.Бланк заказа NEW'!$B$19:$B$201)-COUNT('Бланк OLD 0.8 04'!$B$18:$B$200),'Бланк OLD 2.0 04 '!$B$16:$K$200,7,0)&gt;0,VLOOKUP($A447-COUNT('Шаг2.Бланк заказа NEW'!$B$19:$B$201)-COUNT('Бланк OLD 0.8 04'!$B$18:$B$200),'Бланк OLD 2.0 04 '!$B$16:$K$200,8,0)&gt;0),0.4,""))))</f>
        <v/>
      </c>
      <c r="V447" s="146" t="str">
        <f ca="1">IFERROR(VLOOKUP(C447,'Шаг1.Выбор плиты'!C:S,12,0),"")</f>
        <v/>
      </c>
      <c r="W447" s="146" t="str">
        <f ca="1">IFERROR(VLOOKUP(C447,'Шаг1.Выбор плиты'!C:S,8,0),"")</f>
        <v/>
      </c>
      <c r="X447" s="146" t="str">
        <f ca="1">IFERROR(VLOOKUP(C447,'Шаг1.Выбор плиты'!C:S,10,0),"")</f>
        <v/>
      </c>
      <c r="Y447" s="147" t="str">
        <f t="shared" ca="1" si="39"/>
        <v/>
      </c>
      <c r="AD447" s="147" t="str">
        <f t="shared" ca="1" si="42"/>
        <v/>
      </c>
      <c r="AE447" s="147" t="str">
        <f t="shared" ca="1" si="40"/>
        <v/>
      </c>
      <c r="AF447" s="25"/>
      <c r="AH447" s="147" t="str">
        <f ca="1">IF(C447="","",VLOOKUP(C447,'Шаг1.Выбор плиты'!C:Q,7,0))</f>
        <v/>
      </c>
      <c r="AI447" s="147" t="str">
        <f t="shared" ca="1" si="43"/>
        <v/>
      </c>
    </row>
    <row r="448" spans="1:35" x14ac:dyDescent="0.2">
      <c r="A448" s="151" t="str">
        <f ca="1">IF(C448="","",MAX($A$1:OFFSET(C448,-1,0))+1)</f>
        <v/>
      </c>
      <c r="B448" s="151" t="str">
        <f ca="1">IFERROR(IFERROR(IFERROR("Шаг2.Бланк заказа NEW №"&amp;VLOOKUP(A447+1,CHOOSE({1,2},'Шаг2.Бланк заказа NEW'!$B$19:$B$201,'Шаг2.Бланк заказа NEW'!$A$19:$A$201),1,0),
"Бланк OLD 0.8 04 №"&amp;VLOOKUP(A447+1-COUNT('Шаг2.Бланк заказа NEW'!$B$19:$B$201),CHOOSE({1,2},'Бланк OLD 0.8 04'!$B$18:$B$200,'Бланк OLD 0.8 04'!$A$18:$A$200),1,0)),
"Бланк OLD 2.0 04 №"&amp;VLOOKUP(A447+1-COUNT('Шаг2.Бланк заказа NEW'!$B$19:$B$201)-COUNT('Бланк OLD 0.8 04'!$B$18:$B$200),CHOOSE({1,2},'Бланк OLD 2.0 04 '!$B$18:$B$200,'Бланк OLD 2.0 04 '!$A$18:$A$200),1,0)),"")</f>
        <v/>
      </c>
      <c r="C448" s="152" t="str">
        <f ca="1">IFERROR(IFERROR(IFERROR(VLOOKUP(A447+1,CHOOSE({1,2},'Шаг2.Бланк заказа NEW'!$B$19:$B$201,'Шаг2.Бланк заказа NEW'!$A$19:$A$201),2,0),
VLOOKUP(A447+1-COUNT('Шаг2.Бланк заказа NEW'!$B$19:$B$201),CHOOSE({1,2},'Бланк OLD 0.8 04'!$B$18:$B$200,'Бланк OLD 0.8 04'!$A$18:$A$200),2,0)),
VLOOKUP(A447+1-COUNT('Шаг2.Бланк заказа NEW'!$B$19:$B$201)-COUNT('Бланк OLD 0.8 04'!$B$18:$B$200),CHOOSE({1,2},'Бланк OLD 2.0 04 '!$B$18:$B$200,'Бланк OLD 2.0 04 '!$A$18:$A$200),2,0)),"")</f>
        <v/>
      </c>
      <c r="D448" s="150" t="str">
        <f ca="1">IFERROR(VLOOKUP(C448,'Шаг1.Выбор плиты'!C:G,5,0),"")</f>
        <v/>
      </c>
      <c r="E448" s="147" t="str">
        <f ca="1">IFERROR(IFERROR(IF(VLOOKUP($A448,'Шаг2.Бланк заказа NEW'!$B$17:$N$201,2,0)="","",VLOOKUP($A448,'Шаг2.Бланк заказа NEW'!$B$17:$N$201,2,0)),
IF(VLOOKUP($A448-COUNT('Шаг2.Бланк заказа NEW'!$B$19:$B$201),'Бланк OLD 0.8 04'!$B$12:$K$200,2,0)="","",VLOOKUP($A448-COUNT('Шаг2.Бланк заказа NEW'!$B$19:$B$201),'Бланк OLD 0.8 04'!$B$12:$K$200,2,0))),
IF(VLOOKUP($A448-COUNT('Шаг2.Бланк заказа NEW'!$B$19:$B$201)-COUNT('Бланк OLD 0.8 04'!$B$18:$B$200),'Бланк OLD 2.0 04 '!$B$16:$K$200,2,0)="","",VLOOKUP($A448-COUNT('Шаг2.Бланк заказа NEW'!$B$19:$B$201)-COUNT('Бланк OLD 0.8 04'!$B$18:$B$200),'Бланк OLD 2.0 04 '!$B$16:$K$200,2,0)))</f>
        <v/>
      </c>
      <c r="F448" s="147" t="str">
        <f ca="1">IFERROR(IFERROR(IF(VLOOKUP($A448,'Шаг2.Бланк заказа NEW'!$B$17:$N$201,3,0)="","",VLOOKUP($A448,'Шаг2.Бланк заказа NEW'!$B$17:$N$201,3,0)),
IF(VLOOKUP($A448-COUNT('Шаг2.Бланк заказа NEW'!$B$19:$B$201),'Бланк OLD 0.8 04'!$B$12:$K$200,3,0)="","",VLOOKUP($A448-COUNT('Шаг2.Бланк заказа NEW'!$B$19:$B$201),'Бланк OLD 0.8 04'!$B$12:$K$200,3,0))),
IF(VLOOKUP($A448-COUNT('Шаг2.Бланк заказа NEW'!$B$19:$B$201)-COUNT('Бланк OLD 0.8 04'!$B$18:$B$200),'Бланк OLD 2.0 04 '!$B$16:$K$200,3,0)="","",VLOOKUP($A448-COUNT('Шаг2.Бланк заказа NEW'!$B$19:$B$201)-COUNT('Бланк OLD 0.8 04'!$B$18:$B$200),'Бланк OLD 2.0 04 '!$B$16:$K$200,3,0)))</f>
        <v/>
      </c>
      <c r="G448" s="176" t="str">
        <f ca="1">IF(IF(R448="","",IF(R448=1,SUMIFS('Шаг1.Выбор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плиты'!C:Q,12,0)),1))))))=0,
R448,
IF(R448="","",IF(R448=1,SUMIFS('Шаг1.Выбор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плиты'!N:N,R448,'Шаг1.Выбор плиты'!M:M,SMALL(INDIRECT("мм"&amp;VLOOKUP(C448,'Шаг1.Выбор плиты'!C:Q,12,0)),1)))))))</f>
        <v/>
      </c>
      <c r="H448" s="177" t="str">
        <f ca="1">IF(IF(S448="","",IF(S448=1,SUMIFS('Шаг1.Выбор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плиты'!C:Q,12,0)),1))))))=0,
S448,
IF(S448="","",IF(S448=1,SUMIFS('Шаг1.Выбор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плиты'!N:N,S448,'Шаг1.Выбор плиты'!M:M,SMALL(INDIRECT("мм"&amp;VLOOKUP(C448,'Шаг1.Выбор плиты'!C:Q,12,0)),1)))))))</f>
        <v/>
      </c>
      <c r="I448" s="147" t="str">
        <f ca="1">IFERROR(IFERROR(IF(VLOOKUP($A448,'Шаг2.Бланк заказа NEW'!$B$17:$N$201,6,0)="","",VLOOKUP($A448,'Шаг2.Бланк заказа NEW'!$B$17:$N$201,6,0)),
IF(VLOOKUP($A448-COUNT('Шаг2.Бланк заказа NEW'!$B$19:$B$201),'Бланк OLD 0.8 04'!$B$12:$K$200,6,0)="","",VLOOKUP($A448-COUNT('Шаг2.Бланк заказа NEW'!$B$19:$B$201),'Бланк OLD 0.8 04'!$B$12:$K$200,6,0))),
IF(VLOOKUP($A448-COUNT('Шаг2.Бланк заказа NEW'!$B$19:$B$201)-COUNT('Бланк OLD 0.8 04'!$B$18:$B$200),'Бланк OLD 2.0 04 '!$B$16:$K$200,6,0)="","",VLOOKUP($A448-COUNT('Шаг2.Бланк заказа NEW'!$B$19:$B$201)-COUNT('Бланк OLD 0.8 04'!$B$18:$B$200),'Бланк OLD 2.0 04 '!$B$16:$K$200,6,0)))</f>
        <v/>
      </c>
      <c r="J448" s="177" t="str">
        <f ca="1">IF(IF(T448="","",IF(T448=1,SUMIFS('Шаг1.Выбор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плиты'!C:Q,12,0)),1))))))=0,
T448,
IF(T448="","",IF(T448=1,SUMIFS('Шаг1.Выбор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плиты'!N:N,T448,'Шаг1.Выбор плиты'!M:M,SMALL(INDIRECT("мм"&amp;VLOOKUP(C448,'Шаг1.Выбор плиты'!C:Q,12,0)),1)))))))</f>
        <v/>
      </c>
      <c r="K448" s="177" t="str">
        <f ca="1">IF(IF(U448="","",IF(U448=1,SUMIFS('Шаг1.Выбор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плиты'!C:Q,12,0)),1))))))=0,
U448,
IF(U448="","",IF(U448=1,SUMIFS('Шаг1.Выбор плиты'!$G:$G,'Шаг1.Выбор плиты'!J:J,"*"&amp;RIGHT(VLOOKUP(C448,'Шаг1.Выбор плиты'!C:Q,8,0),4),'Шаг1.Выбор плиты'!L:L,IF(MID(C448,1,6)="ЛДСП P","TM"&amp;MID(VLOOKUP(C448,'Шаг1.Выбор плиты'!C:Q,10,0),3,2),MID(VLOOKUP(C448,'Шаг1.Выбор плиты'!C:Q,10,0),1,2)),
'Шаг1.Выбор плиты'!N:N,1),IF(SUMIFS('Шаг1.Выбор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плиты'!C:Q,12,0)),1))=0,
IF(SUMIFS('Шаг1.Выбор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плиты'!C:Q,12,0)),2))=0,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плиты'!C:Q,12,0)),3)),
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плиты'!C:Q,12,0)),2))),
(SUMIFS('Шаг1.Выбор плиты'!$G:$G,'Шаг1.Выбор плиты'!J:J,"*"&amp;RIGHT(VLOOKUP(C448,'Шаг1.Выбор плиты'!C:Q,8,0),4),'Шаг1.Выбор плиты'!L:L,VLOOKUP(C448,'Шаг1.Выбор плиты'!C:Q,10,0),'Шаг1.Выбор плиты'!N:N,U448,'Шаг1.Выбор плиты'!M:M,SMALL(INDIRECT("мм"&amp;VLOOKUP(C448,'Шаг1.Выбор плиты'!C:Q,12,0)),1)))))))</f>
        <v/>
      </c>
      <c r="L448" s="147" t="str">
        <f ca="1">IFERROR(IFERROR(IF(VLOOKUP($A448,'Шаг2.Бланк заказа NEW'!$B$17:$N$201,9,0)="","",VLOOKUP($A448,'Шаг2.Бланк заказа NEW'!$B$17:$N$201,9,0)),
IF(VLOOKUP($A448-COUNT('Шаг2.Бланк заказа NEW'!$B$19:$B$201),'Бланк OLD 0.8 04'!$B$12:$K$200,9,0)="","",VLOOKUP($A448-COUNT('Шаг2.Бланк заказа NEW'!$B$19:$B$201),'Бланк OLD 0.8 04'!$B$12:$K$200,9,0))),
IF(VLOOKUP($A448-COUNT('Шаг2.Бланк заказа NEW'!$B$19:$B$201)-COUNT('Бланк OLD 0.8 04'!$B$18:$B$200),'Бланк OLD 2.0 04 '!$B$16:$K$200,9,0)="","",VLOOKUP($A448-COUNT('Шаг2.Бланк заказа NEW'!$B$19:$B$201)-COUNT('Бланк OLD 0.8 04'!$B$18:$B$200),'Бланк OLD 2.0 04 '!$B$16:$K$200,9,0)))</f>
        <v/>
      </c>
      <c r="M448" s="154" t="str">
        <f t="shared" ca="1" si="41"/>
        <v/>
      </c>
      <c r="N448" s="153" t="str">
        <f ca="1">IFERROR(IF(VLOOKUP($A448,'Шаг2.Бланк заказа NEW'!$B$17:$N$201,11,0)="","",VLOOKUP($A448,'Шаг2.Бланк заказа NEW'!$B$17:$N$201,11,0)),
"Нет")</f>
        <v/>
      </c>
      <c r="O448" s="147" t="str">
        <f ca="1">IFERROR(IF(VLOOKUP($A448,'Шаг2.Бланк заказа NEW'!$B$17:$N$201,11,0)="","",VLOOKUP($A448,'Шаг2.Бланк заказа NEW'!$B$17:$N$201,12,0)),
"Нет")</f>
        <v/>
      </c>
      <c r="P448" s="153" t="str">
        <f ca="1">IFERROR(IF(VLOOKUP($A448,'Шаг2.Бланк заказа NEW'!$B$17:$N$201,13,0)="","",VLOOKUP($A448,'Шаг2.Бланк заказа NEW'!$B$17:$N$201,13,0)),
"Нет")</f>
        <v/>
      </c>
      <c r="Q448" s="147" t="str">
        <f ca="1">IFERROR(IF(VLOOKUP($A448,'Шаг2.Бланк заказа NEW'!$B$17:$O$201,14,0)="","",VLOOKUP($A448,'Шаг2.Бланк заказа NEW'!$B$17:$O$201,14,0)),"")</f>
        <v/>
      </c>
      <c r="R448" s="147" t="str">
        <f ca="1">IFERROR(IFERROR(IF(VLOOKUP($A448,'Шаг2.Бланк заказа NEW'!$B$17:$N$201,4,0)="","",VLOOKUP($A448,'Шаг2.Бланк заказа NEW'!$B$17:$N$201,4,0)),
IF(VLOOKUP($A448-COUNT('Шаг2.Бланк заказа NEW'!$B$19:$B$201),'Бланк OLD 0.8 04'!$B$12:$K$200,4,0)&gt;0,0.8,
IF(VLOOKUP($A448-COUNT('Шаг2.Бланк заказа NEW'!$B$19:$B$201),'Бланк OLD 0.8 04'!$B$12:$K$200,5,0)&gt;0,0.4,""))),
IF(VLOOKUP($A448-COUNT('Шаг2.Бланк заказа NEW'!$B$19:$B$201)-COUNT('Бланк OLD 0.8 04'!$B$18:$B$200),'Бланк OLD 2.0 04 '!$B$16:$K$200,4,0)&gt;0,2,IF(VLOOKUP($A448-COUNT('Шаг2.Бланк заказа NEW'!$B$19:$B$201)-COUNT('Бланк OLD 0.8 04'!$B$18:$B$200),'Бланк OLD 2.0 04 '!$B$16:$K$200,5,0)&gt;0,0.4,"")))</f>
        <v/>
      </c>
      <c r="S448" s="147" t="str">
        <f ca="1">IFERROR(IFERROR(IF(VLOOKUP($A448,'Шаг2.Бланк заказа NEW'!$B$17:$N$201,5,0)="","",VLOOKUP($A448,'Шаг2.Бланк заказа NEW'!$B$17:$N$201,5,0)),
IF(VLOOKUP($A448-COUNT('Шаг2.Бланк заказа NEW'!$B$19:$B$201),'Бланк OLD 0.8 04'!$B$12:$K$200,4,0)&gt;1,0.8,
IF(VLOOKUP($A448-COUNT('Шаг2.Бланк заказа NEW'!$B$19:$B$201),'Бланк OLD 0.8 04'!$B$12:$K$200,5,0)&gt;1,0.4,
IF(AND(VLOOKUP($A448-COUNT('Шаг2.Бланк заказа NEW'!$B$19:$B$201),'Бланк OLD 0.8 04'!$B$12:$K$200,4,0)&gt;0,VLOOKUP($A448-COUNT('Шаг2.Бланк заказа NEW'!$B$19:$B$201),'Бланк OLD 0.8 04'!$B$12:$K$200,5,0)&gt;0),0.4,"")))),
IF(VLOOKUP($A448-COUNT('Шаг2.Бланк заказа NEW'!$B$19:$B$201)-COUNT('Бланк OLD 0.8 04'!$B$18:$B$200),'Бланк OLD 2.0 04 '!$B$16:$K$200,4,0)&gt;1,2,
IF(VLOOKUP($A448-COUNT('Шаг2.Бланк заказа NEW'!$B$19:$B$201)-COUNT('Бланк OLD 0.8 04'!$B$18:$B$200),'Бланк OLD 2.0 04 '!$B$16:$K$200,5,0)&gt;1,0.4,IF(AND(VLOOKUP($A448-COUNT('Шаг2.Бланк заказа NEW'!$B$19:$B$201)-COUNT('Бланк OLD 0.8 04'!$B$18:$B$200),'Бланк OLD 2.0 04 '!$B$16:$K$200,4,0)&gt;0,VLOOKUP($A448-COUNT('Шаг2.Бланк заказа NEW'!$B$19:$B$201)-COUNT('Бланк OLD 0.8 04'!$B$18:$B$200),'Бланк OLD 2.0 04 '!$B$16:$K$200,5,0)&gt;0),0.4,""))))</f>
        <v/>
      </c>
      <c r="T448" s="147" t="str">
        <f ca="1">IFERROR(IFERROR(IF(VLOOKUP($A448,'Шаг2.Бланк заказа NEW'!$B$17:$N$201,7,0)="","",VLOOKUP($A448,'Шаг2.Бланк заказа NEW'!$B$17:$N$201,7,0)),
IF(VLOOKUP($A448-COUNT('Шаг2.Бланк заказа NEW'!$B$19:$B$201),'Бланк OLD 0.8 04'!$B$12:$K$200,7,0)&gt;0,0.8,
IF(VLOOKUP($A448-COUNT('Шаг2.Бланк заказа NEW'!$B$19:$B$201),'Бланк OLD 0.8 04'!$B$12:$K$200,8,0)&gt;0,0.4,""))),
IF(VLOOKUP($A448-COUNT('Шаг2.Бланк заказа NEW'!$B$19:$B$201)-COUNT('Бланк OLD 0.8 04'!$B$18:$B$200),'Бланк OLD 2.0 04 '!$B$16:$K$200,7,0)&gt;0,2,IF(VLOOKUP($A448-COUNT('Шаг2.Бланк заказа NEW'!$B$19:$B$201)-COUNT('Бланк OLD 0.8 04'!$B$18:$B$200),'Бланк OLD 2.0 04 '!$B$16:$K$200,8,0)&gt;0,0.4,"")))</f>
        <v/>
      </c>
      <c r="U448" s="147" t="str">
        <f ca="1">IFERROR(IFERROR(IF(VLOOKUP($A448,'Шаг2.Бланк заказа NEW'!$B$17:$N$201,8,0)="","",VLOOKUP($A448,'Шаг2.Бланк заказа NEW'!$B$17:$N$201,8,0)),
IF(VLOOKUP($A448-COUNT('Шаг2.Бланк заказа NEW'!$B$19:$B$201),'Бланк OLD 0.8 04'!$B$12:$K$200,7,0)&gt;1,0.8,
IF(VLOOKUP($A448-COUNT('Шаг2.Бланк заказа NEW'!$B$19:$B$201),'Бланк OLD 0.8 04'!$B$12:$K$200,8,0)&gt;1,0.4,
IF(AND(VLOOKUP($A448-COUNT('Шаг2.Бланк заказа NEW'!$B$19:$B$201),'Бланк OLD 0.8 04'!$B$12:$K$200,7,0)&gt;0,VLOOKUP($A448-COUNT('Шаг2.Бланк заказа NEW'!$B$19:$B$201),'Бланк OLD 0.8 04'!$B$12:$K$200,8,0)&gt;0),0.4,"")))),
IF(VLOOKUP($A448-COUNT('Шаг2.Бланк заказа NEW'!$B$19:$B$201)-COUNT('Бланк OLD 0.8 04'!$B$18:$B$200),'Бланк OLD 2.0 04 '!$B$16:$K$200,7,0)&gt;1,2,
IF(VLOOKUP($A448-COUNT('Шаг2.Бланк заказа NEW'!$B$19:$B$201)-COUNT('Бланк OLD 0.8 04'!$B$18:$B$200),'Бланк OLD 2.0 04 '!$B$16:$K$200,8,0)&gt;1,0.4,
IF(AND(VLOOKUP($A448-COUNT('Шаг2.Бланк заказа NEW'!$B$19:$B$201)-COUNT('Бланк OLD 0.8 04'!$B$18:$B$200),'Бланк OLD 2.0 04 '!$B$16:$K$200,7,0)&gt;0,VLOOKUP($A448-COUNT('Шаг2.Бланк заказа NEW'!$B$19:$B$201)-COUNT('Бланк OLD 0.8 04'!$B$18:$B$200),'Бланк OLD 2.0 04 '!$B$16:$K$200,8,0)&gt;0),0.4,""))))</f>
        <v/>
      </c>
      <c r="V448" s="146" t="str">
        <f ca="1">IFERROR(VLOOKUP(C448,'Шаг1.Выбор плиты'!C:S,12,0),"")</f>
        <v/>
      </c>
      <c r="W448" s="146" t="str">
        <f ca="1">IFERROR(VLOOKUP(C448,'Шаг1.Выбор плиты'!C:S,8,0),"")</f>
        <v/>
      </c>
      <c r="X448" s="146" t="str">
        <f ca="1">IFERROR(VLOOKUP(C448,'Шаг1.Выбор плиты'!C:S,10,0),"")</f>
        <v/>
      </c>
      <c r="Y448" s="147" t="str">
        <f t="shared" ca="1" si="39"/>
        <v/>
      </c>
      <c r="AD448" s="147" t="str">
        <f t="shared" ca="1" si="42"/>
        <v/>
      </c>
      <c r="AE448" s="147" t="str">
        <f t="shared" ca="1" si="40"/>
        <v/>
      </c>
      <c r="AF448" s="25"/>
      <c r="AH448" s="147" t="str">
        <f ca="1">IF(C448="","",VLOOKUP(C448,'Шаг1.Выбор плиты'!C:Q,7,0))</f>
        <v/>
      </c>
      <c r="AI448" s="147" t="str">
        <f t="shared" ca="1" si="43"/>
        <v/>
      </c>
    </row>
    <row r="449" spans="1:35" x14ac:dyDescent="0.2">
      <c r="A449" s="151" t="str">
        <f ca="1">IF(C449="","",MAX($A$1:OFFSET(C449,-1,0))+1)</f>
        <v/>
      </c>
      <c r="B449" s="151" t="str">
        <f ca="1">IFERROR(IFERROR(IFERROR("Шаг2.Бланк заказа NEW №"&amp;VLOOKUP(A448+1,CHOOSE({1,2},'Шаг2.Бланк заказа NEW'!$B$19:$B$201,'Шаг2.Бланк заказа NEW'!$A$19:$A$201),1,0),
"Бланк OLD 0.8 04 №"&amp;VLOOKUP(A448+1-COUNT('Шаг2.Бланк заказа NEW'!$B$19:$B$201),CHOOSE({1,2},'Бланк OLD 0.8 04'!$B$18:$B$200,'Бланк OLD 0.8 04'!$A$18:$A$200),1,0)),
"Бланк OLD 2.0 04 №"&amp;VLOOKUP(A448+1-COUNT('Шаг2.Бланк заказа NEW'!$B$19:$B$201)-COUNT('Бланк OLD 0.8 04'!$B$18:$B$200),CHOOSE({1,2},'Бланк OLD 2.0 04 '!$B$18:$B$200,'Бланк OLD 2.0 04 '!$A$18:$A$200),1,0)),"")</f>
        <v/>
      </c>
      <c r="C449" s="152" t="str">
        <f ca="1">IFERROR(IFERROR(IFERROR(VLOOKUP(A448+1,CHOOSE({1,2},'Шаг2.Бланк заказа NEW'!$B$19:$B$201,'Шаг2.Бланк заказа NEW'!$A$19:$A$201),2,0),
VLOOKUP(A448+1-COUNT('Шаг2.Бланк заказа NEW'!$B$19:$B$201),CHOOSE({1,2},'Бланк OLD 0.8 04'!$B$18:$B$200,'Бланк OLD 0.8 04'!$A$18:$A$200),2,0)),
VLOOKUP(A448+1-COUNT('Шаг2.Бланк заказа NEW'!$B$19:$B$201)-COUNT('Бланк OLD 0.8 04'!$B$18:$B$200),CHOOSE({1,2},'Бланк OLD 2.0 04 '!$B$18:$B$200,'Бланк OLD 2.0 04 '!$A$18:$A$200),2,0)),"")</f>
        <v/>
      </c>
      <c r="D449" s="150" t="str">
        <f ca="1">IFERROR(VLOOKUP(C449,'Шаг1.Выбор плиты'!C:G,5,0),"")</f>
        <v/>
      </c>
      <c r="E449" s="147" t="str">
        <f ca="1">IFERROR(IFERROR(IF(VLOOKUP($A449,'Шаг2.Бланк заказа NEW'!$B$17:$N$201,2,0)="","",VLOOKUP($A449,'Шаг2.Бланк заказа NEW'!$B$17:$N$201,2,0)),
IF(VLOOKUP($A449-COUNT('Шаг2.Бланк заказа NEW'!$B$19:$B$201),'Бланк OLD 0.8 04'!$B$12:$K$200,2,0)="","",VLOOKUP($A449-COUNT('Шаг2.Бланк заказа NEW'!$B$19:$B$201),'Бланк OLD 0.8 04'!$B$12:$K$200,2,0))),
IF(VLOOKUP($A449-COUNT('Шаг2.Бланк заказа NEW'!$B$19:$B$201)-COUNT('Бланк OLD 0.8 04'!$B$18:$B$200),'Бланк OLD 2.0 04 '!$B$16:$K$200,2,0)="","",VLOOKUP($A449-COUNT('Шаг2.Бланк заказа NEW'!$B$19:$B$201)-COUNT('Бланк OLD 0.8 04'!$B$18:$B$200),'Бланк OLD 2.0 04 '!$B$16:$K$200,2,0)))</f>
        <v/>
      </c>
      <c r="F449" s="147" t="str">
        <f ca="1">IFERROR(IFERROR(IF(VLOOKUP($A449,'Шаг2.Бланк заказа NEW'!$B$17:$N$201,3,0)="","",VLOOKUP($A449,'Шаг2.Бланк заказа NEW'!$B$17:$N$201,3,0)),
IF(VLOOKUP($A449-COUNT('Шаг2.Бланк заказа NEW'!$B$19:$B$201),'Бланк OLD 0.8 04'!$B$12:$K$200,3,0)="","",VLOOKUP($A449-COUNT('Шаг2.Бланк заказа NEW'!$B$19:$B$201),'Бланк OLD 0.8 04'!$B$12:$K$200,3,0))),
IF(VLOOKUP($A449-COUNT('Шаг2.Бланк заказа NEW'!$B$19:$B$201)-COUNT('Бланк OLD 0.8 04'!$B$18:$B$200),'Бланк OLD 2.0 04 '!$B$16:$K$200,3,0)="","",VLOOKUP($A449-COUNT('Шаг2.Бланк заказа NEW'!$B$19:$B$201)-COUNT('Бланк OLD 0.8 04'!$B$18:$B$200),'Бланк OLD 2.0 04 '!$B$16:$K$200,3,0)))</f>
        <v/>
      </c>
      <c r="G449" s="176" t="str">
        <f ca="1">IF(IF(R449="","",IF(R449=1,SUMIFS('Шаг1.Выбор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плиты'!C:Q,12,0)),1))))))=0,
R449,
IF(R449="","",IF(R449=1,SUMIFS('Шаг1.Выбор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плиты'!N:N,R449,'Шаг1.Выбор плиты'!M:M,SMALL(INDIRECT("мм"&amp;VLOOKUP(C449,'Шаг1.Выбор плиты'!C:Q,12,0)),1)))))))</f>
        <v/>
      </c>
      <c r="H449" s="177" t="str">
        <f ca="1">IF(IF(S449="","",IF(S449=1,SUMIFS('Шаг1.Выбор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плиты'!C:Q,12,0)),1))))))=0,
S449,
IF(S449="","",IF(S449=1,SUMIFS('Шаг1.Выбор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плиты'!N:N,S449,'Шаг1.Выбор плиты'!M:M,SMALL(INDIRECT("мм"&amp;VLOOKUP(C449,'Шаг1.Выбор плиты'!C:Q,12,0)),1)))))))</f>
        <v/>
      </c>
      <c r="I449" s="147" t="str">
        <f ca="1">IFERROR(IFERROR(IF(VLOOKUP($A449,'Шаг2.Бланк заказа NEW'!$B$17:$N$201,6,0)="","",VLOOKUP($A449,'Шаг2.Бланк заказа NEW'!$B$17:$N$201,6,0)),
IF(VLOOKUP($A449-COUNT('Шаг2.Бланк заказа NEW'!$B$19:$B$201),'Бланк OLD 0.8 04'!$B$12:$K$200,6,0)="","",VLOOKUP($A449-COUNT('Шаг2.Бланк заказа NEW'!$B$19:$B$201),'Бланк OLD 0.8 04'!$B$12:$K$200,6,0))),
IF(VLOOKUP($A449-COUNT('Шаг2.Бланк заказа NEW'!$B$19:$B$201)-COUNT('Бланк OLD 0.8 04'!$B$18:$B$200),'Бланк OLD 2.0 04 '!$B$16:$K$200,6,0)="","",VLOOKUP($A449-COUNT('Шаг2.Бланк заказа NEW'!$B$19:$B$201)-COUNT('Бланк OLD 0.8 04'!$B$18:$B$200),'Бланк OLD 2.0 04 '!$B$16:$K$200,6,0)))</f>
        <v/>
      </c>
      <c r="J449" s="177" t="str">
        <f ca="1">IF(IF(T449="","",IF(T449=1,SUMIFS('Шаг1.Выбор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плиты'!C:Q,12,0)),1))))))=0,
T449,
IF(T449="","",IF(T449=1,SUMIFS('Шаг1.Выбор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плиты'!N:N,T449,'Шаг1.Выбор плиты'!M:M,SMALL(INDIRECT("мм"&amp;VLOOKUP(C449,'Шаг1.Выбор плиты'!C:Q,12,0)),1)))))))</f>
        <v/>
      </c>
      <c r="K449" s="177" t="str">
        <f ca="1">IF(IF(U449="","",IF(U449=1,SUMIFS('Шаг1.Выбор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плиты'!C:Q,12,0)),1))))))=0,
U449,
IF(U449="","",IF(U449=1,SUMIFS('Шаг1.Выбор плиты'!$G:$G,'Шаг1.Выбор плиты'!J:J,"*"&amp;RIGHT(VLOOKUP(C449,'Шаг1.Выбор плиты'!C:Q,8,0),4),'Шаг1.Выбор плиты'!L:L,IF(MID(C449,1,6)="ЛДСП P","TM"&amp;MID(VLOOKUP(C449,'Шаг1.Выбор плиты'!C:Q,10,0),3,2),MID(VLOOKUP(C449,'Шаг1.Выбор плиты'!C:Q,10,0),1,2)),
'Шаг1.Выбор плиты'!N:N,1),IF(SUMIFS('Шаг1.Выбор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плиты'!C:Q,12,0)),1))=0,
IF(SUMIFS('Шаг1.Выбор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плиты'!C:Q,12,0)),2))=0,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плиты'!C:Q,12,0)),3)),
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плиты'!C:Q,12,0)),2))),
(SUMIFS('Шаг1.Выбор плиты'!$G:$G,'Шаг1.Выбор плиты'!J:J,"*"&amp;RIGHT(VLOOKUP(C449,'Шаг1.Выбор плиты'!C:Q,8,0),4),'Шаг1.Выбор плиты'!L:L,VLOOKUP(C449,'Шаг1.Выбор плиты'!C:Q,10,0),'Шаг1.Выбор плиты'!N:N,U449,'Шаг1.Выбор плиты'!M:M,SMALL(INDIRECT("мм"&amp;VLOOKUP(C449,'Шаг1.Выбор плиты'!C:Q,12,0)),1)))))))</f>
        <v/>
      </c>
      <c r="L449" s="147" t="str">
        <f ca="1">IFERROR(IFERROR(IF(VLOOKUP($A449,'Шаг2.Бланк заказа NEW'!$B$17:$N$201,9,0)="","",VLOOKUP($A449,'Шаг2.Бланк заказа NEW'!$B$17:$N$201,9,0)),
IF(VLOOKUP($A449-COUNT('Шаг2.Бланк заказа NEW'!$B$19:$B$201),'Бланк OLD 0.8 04'!$B$12:$K$200,9,0)="","",VLOOKUP($A449-COUNT('Шаг2.Бланк заказа NEW'!$B$19:$B$201),'Бланк OLD 0.8 04'!$B$12:$K$200,9,0))),
IF(VLOOKUP($A449-COUNT('Шаг2.Бланк заказа NEW'!$B$19:$B$201)-COUNT('Бланк OLD 0.8 04'!$B$18:$B$200),'Бланк OLD 2.0 04 '!$B$16:$K$200,9,0)="","",VLOOKUP($A449-COUNT('Шаг2.Бланк заказа NEW'!$B$19:$B$201)-COUNT('Бланк OLD 0.8 04'!$B$18:$B$200),'Бланк OLD 2.0 04 '!$B$16:$K$200,9,0)))</f>
        <v/>
      </c>
      <c r="M449" s="154" t="str">
        <f t="shared" ref="M449:M512" ca="1" si="44">IFERROR((F449/1000)*(I449/1000)*L449,"")</f>
        <v/>
      </c>
      <c r="N449" s="153" t="str">
        <f ca="1">IFERROR(IF(VLOOKUP($A449,'Шаг2.Бланк заказа NEW'!$B$17:$N$201,11,0)="","",VLOOKUP($A449,'Шаг2.Бланк заказа NEW'!$B$17:$N$201,11,0)),
"Нет")</f>
        <v/>
      </c>
      <c r="O449" s="147" t="str">
        <f ca="1">IFERROR(IF(VLOOKUP($A449,'Шаг2.Бланк заказа NEW'!$B$17:$N$201,11,0)="","",VLOOKUP($A449,'Шаг2.Бланк заказа NEW'!$B$17:$N$201,12,0)),
"Нет")</f>
        <v/>
      </c>
      <c r="P449" s="153" t="str">
        <f ca="1">IFERROR(IF(VLOOKUP($A449,'Шаг2.Бланк заказа NEW'!$B$17:$N$201,13,0)="","",VLOOKUP($A449,'Шаг2.Бланк заказа NEW'!$B$17:$N$201,13,0)),
"Нет")</f>
        <v/>
      </c>
      <c r="Q449" s="147" t="str">
        <f ca="1">IFERROR(IF(VLOOKUP($A449,'Шаг2.Бланк заказа NEW'!$B$17:$O$201,14,0)="","",VLOOKUP($A449,'Шаг2.Бланк заказа NEW'!$B$17:$O$201,14,0)),"")</f>
        <v/>
      </c>
      <c r="R449" s="147" t="str">
        <f ca="1">IFERROR(IFERROR(IF(VLOOKUP($A449,'Шаг2.Бланк заказа NEW'!$B$17:$N$201,4,0)="","",VLOOKUP($A449,'Шаг2.Бланк заказа NEW'!$B$17:$N$201,4,0)),
IF(VLOOKUP($A449-COUNT('Шаг2.Бланк заказа NEW'!$B$19:$B$201),'Бланк OLD 0.8 04'!$B$12:$K$200,4,0)&gt;0,0.8,
IF(VLOOKUP($A449-COUNT('Шаг2.Бланк заказа NEW'!$B$19:$B$201),'Бланк OLD 0.8 04'!$B$12:$K$200,5,0)&gt;0,0.4,""))),
IF(VLOOKUP($A449-COUNT('Шаг2.Бланк заказа NEW'!$B$19:$B$201)-COUNT('Бланк OLD 0.8 04'!$B$18:$B$200),'Бланк OLD 2.0 04 '!$B$16:$K$200,4,0)&gt;0,2,IF(VLOOKUP($A449-COUNT('Шаг2.Бланк заказа NEW'!$B$19:$B$201)-COUNT('Бланк OLD 0.8 04'!$B$18:$B$200),'Бланк OLD 2.0 04 '!$B$16:$K$200,5,0)&gt;0,0.4,"")))</f>
        <v/>
      </c>
      <c r="S449" s="147" t="str">
        <f ca="1">IFERROR(IFERROR(IF(VLOOKUP($A449,'Шаг2.Бланк заказа NEW'!$B$17:$N$201,5,0)="","",VLOOKUP($A449,'Шаг2.Бланк заказа NEW'!$B$17:$N$201,5,0)),
IF(VLOOKUP($A449-COUNT('Шаг2.Бланк заказа NEW'!$B$19:$B$201),'Бланк OLD 0.8 04'!$B$12:$K$200,4,0)&gt;1,0.8,
IF(VLOOKUP($A449-COUNT('Шаг2.Бланк заказа NEW'!$B$19:$B$201),'Бланк OLD 0.8 04'!$B$12:$K$200,5,0)&gt;1,0.4,
IF(AND(VLOOKUP($A449-COUNT('Шаг2.Бланк заказа NEW'!$B$19:$B$201),'Бланк OLD 0.8 04'!$B$12:$K$200,4,0)&gt;0,VLOOKUP($A449-COUNT('Шаг2.Бланк заказа NEW'!$B$19:$B$201),'Бланк OLD 0.8 04'!$B$12:$K$200,5,0)&gt;0),0.4,"")))),
IF(VLOOKUP($A449-COUNT('Шаг2.Бланк заказа NEW'!$B$19:$B$201)-COUNT('Бланк OLD 0.8 04'!$B$18:$B$200),'Бланк OLD 2.0 04 '!$B$16:$K$200,4,0)&gt;1,2,
IF(VLOOKUP($A449-COUNT('Шаг2.Бланк заказа NEW'!$B$19:$B$201)-COUNT('Бланк OLD 0.8 04'!$B$18:$B$200),'Бланк OLD 2.0 04 '!$B$16:$K$200,5,0)&gt;1,0.4,IF(AND(VLOOKUP($A449-COUNT('Шаг2.Бланк заказа NEW'!$B$19:$B$201)-COUNT('Бланк OLD 0.8 04'!$B$18:$B$200),'Бланк OLD 2.0 04 '!$B$16:$K$200,4,0)&gt;0,VLOOKUP($A449-COUNT('Шаг2.Бланк заказа NEW'!$B$19:$B$201)-COUNT('Бланк OLD 0.8 04'!$B$18:$B$200),'Бланк OLD 2.0 04 '!$B$16:$K$200,5,0)&gt;0),0.4,""))))</f>
        <v/>
      </c>
      <c r="T449" s="147" t="str">
        <f ca="1">IFERROR(IFERROR(IF(VLOOKUP($A449,'Шаг2.Бланк заказа NEW'!$B$17:$N$201,7,0)="","",VLOOKUP($A449,'Шаг2.Бланк заказа NEW'!$B$17:$N$201,7,0)),
IF(VLOOKUP($A449-COUNT('Шаг2.Бланк заказа NEW'!$B$19:$B$201),'Бланк OLD 0.8 04'!$B$12:$K$200,7,0)&gt;0,0.8,
IF(VLOOKUP($A449-COUNT('Шаг2.Бланк заказа NEW'!$B$19:$B$201),'Бланк OLD 0.8 04'!$B$12:$K$200,8,0)&gt;0,0.4,""))),
IF(VLOOKUP($A449-COUNT('Шаг2.Бланк заказа NEW'!$B$19:$B$201)-COUNT('Бланк OLD 0.8 04'!$B$18:$B$200),'Бланк OLD 2.0 04 '!$B$16:$K$200,7,0)&gt;0,2,IF(VLOOKUP($A449-COUNT('Шаг2.Бланк заказа NEW'!$B$19:$B$201)-COUNT('Бланк OLD 0.8 04'!$B$18:$B$200),'Бланк OLD 2.0 04 '!$B$16:$K$200,8,0)&gt;0,0.4,"")))</f>
        <v/>
      </c>
      <c r="U449" s="147" t="str">
        <f ca="1">IFERROR(IFERROR(IF(VLOOKUP($A449,'Шаг2.Бланк заказа NEW'!$B$17:$N$201,8,0)="","",VLOOKUP($A449,'Шаг2.Бланк заказа NEW'!$B$17:$N$201,8,0)),
IF(VLOOKUP($A449-COUNT('Шаг2.Бланк заказа NEW'!$B$19:$B$201),'Бланк OLD 0.8 04'!$B$12:$K$200,7,0)&gt;1,0.8,
IF(VLOOKUP($A449-COUNT('Шаг2.Бланк заказа NEW'!$B$19:$B$201),'Бланк OLD 0.8 04'!$B$12:$K$200,8,0)&gt;1,0.4,
IF(AND(VLOOKUP($A449-COUNT('Шаг2.Бланк заказа NEW'!$B$19:$B$201),'Бланк OLD 0.8 04'!$B$12:$K$200,7,0)&gt;0,VLOOKUP($A449-COUNT('Шаг2.Бланк заказа NEW'!$B$19:$B$201),'Бланк OLD 0.8 04'!$B$12:$K$200,8,0)&gt;0),0.4,"")))),
IF(VLOOKUP($A449-COUNT('Шаг2.Бланк заказа NEW'!$B$19:$B$201)-COUNT('Бланк OLD 0.8 04'!$B$18:$B$200),'Бланк OLD 2.0 04 '!$B$16:$K$200,7,0)&gt;1,2,
IF(VLOOKUP($A449-COUNT('Шаг2.Бланк заказа NEW'!$B$19:$B$201)-COUNT('Бланк OLD 0.8 04'!$B$18:$B$200),'Бланк OLD 2.0 04 '!$B$16:$K$200,8,0)&gt;1,0.4,
IF(AND(VLOOKUP($A449-COUNT('Шаг2.Бланк заказа NEW'!$B$19:$B$201)-COUNT('Бланк OLD 0.8 04'!$B$18:$B$200),'Бланк OLD 2.0 04 '!$B$16:$K$200,7,0)&gt;0,VLOOKUP($A449-COUNT('Шаг2.Бланк заказа NEW'!$B$19:$B$201)-COUNT('Бланк OLD 0.8 04'!$B$18:$B$200),'Бланк OLD 2.0 04 '!$B$16:$K$200,8,0)&gt;0),0.4,""))))</f>
        <v/>
      </c>
      <c r="V449" s="146" t="str">
        <f ca="1">IFERROR(VLOOKUP(C449,'Шаг1.Выбор плиты'!C:S,12,0),"")</f>
        <v/>
      </c>
      <c r="W449" s="146" t="str">
        <f ca="1">IFERROR(VLOOKUP(C449,'Шаг1.Выбор плиты'!C:S,8,0),"")</f>
        <v/>
      </c>
      <c r="X449" s="146" t="str">
        <f ca="1">IFERROR(VLOOKUP(C449,'Шаг1.Выбор плиты'!C:S,10,0),"")</f>
        <v/>
      </c>
      <c r="Y449" s="147" t="str">
        <f t="shared" ca="1" si="39"/>
        <v/>
      </c>
      <c r="AD449" s="147" t="str">
        <f t="shared" ca="1" si="42"/>
        <v/>
      </c>
      <c r="AE449" s="147" t="str">
        <f t="shared" ca="1" si="40"/>
        <v/>
      </c>
      <c r="AF449" s="25"/>
      <c r="AH449" s="147" t="str">
        <f ca="1">IF(C449="","",VLOOKUP(C449,'Шаг1.Выбор плиты'!C:Q,7,0))</f>
        <v/>
      </c>
      <c r="AI449" s="147" t="str">
        <f t="shared" ref="AI449:AI512" ca="1" si="45">IF(N449="","",IF(N449="да",1,0))</f>
        <v/>
      </c>
    </row>
    <row r="450" spans="1:35" x14ac:dyDescent="0.2">
      <c r="A450" s="151" t="str">
        <f ca="1">IF(C450="","",MAX($A$1:OFFSET(C450,-1,0))+1)</f>
        <v/>
      </c>
      <c r="B450" s="151" t="str">
        <f ca="1">IFERROR(IFERROR(IFERROR("Шаг2.Бланк заказа NEW №"&amp;VLOOKUP(A449+1,CHOOSE({1,2},'Шаг2.Бланк заказа NEW'!$B$19:$B$201,'Шаг2.Бланк заказа NEW'!$A$19:$A$201),1,0),
"Бланк OLD 0.8 04 №"&amp;VLOOKUP(A449+1-COUNT('Шаг2.Бланк заказа NEW'!$B$19:$B$201),CHOOSE({1,2},'Бланк OLD 0.8 04'!$B$18:$B$200,'Бланк OLD 0.8 04'!$A$18:$A$200),1,0)),
"Бланк OLD 2.0 04 №"&amp;VLOOKUP(A449+1-COUNT('Шаг2.Бланк заказа NEW'!$B$19:$B$201)-COUNT('Бланк OLD 0.8 04'!$B$18:$B$200),CHOOSE({1,2},'Бланк OLD 2.0 04 '!$B$18:$B$200,'Бланк OLD 2.0 04 '!$A$18:$A$200),1,0)),"")</f>
        <v/>
      </c>
      <c r="C450" s="152" t="str">
        <f ca="1">IFERROR(IFERROR(IFERROR(VLOOKUP(A449+1,CHOOSE({1,2},'Шаг2.Бланк заказа NEW'!$B$19:$B$201,'Шаг2.Бланк заказа NEW'!$A$19:$A$201),2,0),
VLOOKUP(A449+1-COUNT('Шаг2.Бланк заказа NEW'!$B$19:$B$201),CHOOSE({1,2},'Бланк OLD 0.8 04'!$B$18:$B$200,'Бланк OLD 0.8 04'!$A$18:$A$200),2,0)),
VLOOKUP(A449+1-COUNT('Шаг2.Бланк заказа NEW'!$B$19:$B$201)-COUNT('Бланк OLD 0.8 04'!$B$18:$B$200),CHOOSE({1,2},'Бланк OLD 2.0 04 '!$B$18:$B$200,'Бланк OLD 2.0 04 '!$A$18:$A$200),2,0)),"")</f>
        <v/>
      </c>
      <c r="D450" s="150" t="str">
        <f ca="1">IFERROR(VLOOKUP(C450,'Шаг1.Выбор плиты'!C:G,5,0),"")</f>
        <v/>
      </c>
      <c r="E450" s="147" t="str">
        <f ca="1">IFERROR(IFERROR(IF(VLOOKUP($A450,'Шаг2.Бланк заказа NEW'!$B$17:$N$201,2,0)="","",VLOOKUP($A450,'Шаг2.Бланк заказа NEW'!$B$17:$N$201,2,0)),
IF(VLOOKUP($A450-COUNT('Шаг2.Бланк заказа NEW'!$B$19:$B$201),'Бланк OLD 0.8 04'!$B$12:$K$200,2,0)="","",VLOOKUP($A450-COUNT('Шаг2.Бланк заказа NEW'!$B$19:$B$201),'Бланк OLD 0.8 04'!$B$12:$K$200,2,0))),
IF(VLOOKUP($A450-COUNT('Шаг2.Бланк заказа NEW'!$B$19:$B$201)-COUNT('Бланк OLD 0.8 04'!$B$18:$B$200),'Бланк OLD 2.0 04 '!$B$16:$K$200,2,0)="","",VLOOKUP($A450-COUNT('Шаг2.Бланк заказа NEW'!$B$19:$B$201)-COUNT('Бланк OLD 0.8 04'!$B$18:$B$200),'Бланк OLD 2.0 04 '!$B$16:$K$200,2,0)))</f>
        <v/>
      </c>
      <c r="F450" s="147" t="str">
        <f ca="1">IFERROR(IFERROR(IF(VLOOKUP($A450,'Шаг2.Бланк заказа NEW'!$B$17:$N$201,3,0)="","",VLOOKUP($A450,'Шаг2.Бланк заказа NEW'!$B$17:$N$201,3,0)),
IF(VLOOKUP($A450-COUNT('Шаг2.Бланк заказа NEW'!$B$19:$B$201),'Бланк OLD 0.8 04'!$B$12:$K$200,3,0)="","",VLOOKUP($A450-COUNT('Шаг2.Бланк заказа NEW'!$B$19:$B$201),'Бланк OLD 0.8 04'!$B$12:$K$200,3,0))),
IF(VLOOKUP($A450-COUNT('Шаг2.Бланк заказа NEW'!$B$19:$B$201)-COUNT('Бланк OLD 0.8 04'!$B$18:$B$200),'Бланк OLD 2.0 04 '!$B$16:$K$200,3,0)="","",VLOOKUP($A450-COUNT('Шаг2.Бланк заказа NEW'!$B$19:$B$201)-COUNT('Бланк OLD 0.8 04'!$B$18:$B$200),'Бланк OLD 2.0 04 '!$B$16:$K$200,3,0)))</f>
        <v/>
      </c>
      <c r="G450" s="176" t="str">
        <f ca="1">IF(IF(R450="","",IF(R450=1,SUMIFS('Шаг1.Выбор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плиты'!C:Q,12,0)),1))))))=0,
R450,
IF(R450="","",IF(R450=1,SUMIFS('Шаг1.Выбор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плиты'!N:N,R450,'Шаг1.Выбор плиты'!M:M,SMALL(INDIRECT("мм"&amp;VLOOKUP(C450,'Шаг1.Выбор плиты'!C:Q,12,0)),1)))))))</f>
        <v/>
      </c>
      <c r="H450" s="177" t="str">
        <f ca="1">IF(IF(S450="","",IF(S450=1,SUMIFS('Шаг1.Выбор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плиты'!C:Q,12,0)),1))))))=0,
S450,
IF(S450="","",IF(S450=1,SUMIFS('Шаг1.Выбор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плиты'!N:N,S450,'Шаг1.Выбор плиты'!M:M,SMALL(INDIRECT("мм"&amp;VLOOKUP(C450,'Шаг1.Выбор плиты'!C:Q,12,0)),1)))))))</f>
        <v/>
      </c>
      <c r="I450" s="147" t="str">
        <f ca="1">IFERROR(IFERROR(IF(VLOOKUP($A450,'Шаг2.Бланк заказа NEW'!$B$17:$N$201,6,0)="","",VLOOKUP($A450,'Шаг2.Бланк заказа NEW'!$B$17:$N$201,6,0)),
IF(VLOOKUP($A450-COUNT('Шаг2.Бланк заказа NEW'!$B$19:$B$201),'Бланк OLD 0.8 04'!$B$12:$K$200,6,0)="","",VLOOKUP($A450-COUNT('Шаг2.Бланк заказа NEW'!$B$19:$B$201),'Бланк OLD 0.8 04'!$B$12:$K$200,6,0))),
IF(VLOOKUP($A450-COUNT('Шаг2.Бланк заказа NEW'!$B$19:$B$201)-COUNT('Бланк OLD 0.8 04'!$B$18:$B$200),'Бланк OLD 2.0 04 '!$B$16:$K$200,6,0)="","",VLOOKUP($A450-COUNT('Шаг2.Бланк заказа NEW'!$B$19:$B$201)-COUNT('Бланк OLD 0.8 04'!$B$18:$B$200),'Бланк OLD 2.0 04 '!$B$16:$K$200,6,0)))</f>
        <v/>
      </c>
      <c r="J450" s="177" t="str">
        <f ca="1">IF(IF(T450="","",IF(T450=1,SUMIFS('Шаг1.Выбор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плиты'!C:Q,12,0)),1))))))=0,
T450,
IF(T450="","",IF(T450=1,SUMIFS('Шаг1.Выбор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плиты'!N:N,T450,'Шаг1.Выбор плиты'!M:M,SMALL(INDIRECT("мм"&amp;VLOOKUP(C450,'Шаг1.Выбор плиты'!C:Q,12,0)),1)))))))</f>
        <v/>
      </c>
      <c r="K450" s="177" t="str">
        <f ca="1">IF(IF(U450="","",IF(U450=1,SUMIFS('Шаг1.Выбор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плиты'!C:Q,12,0)),1))))))=0,
U450,
IF(U450="","",IF(U450=1,SUMIFS('Шаг1.Выбор плиты'!$G:$G,'Шаг1.Выбор плиты'!J:J,"*"&amp;RIGHT(VLOOKUP(C450,'Шаг1.Выбор плиты'!C:Q,8,0),4),'Шаг1.Выбор плиты'!L:L,IF(MID(C450,1,6)="ЛДСП P","TM"&amp;MID(VLOOKUP(C450,'Шаг1.Выбор плиты'!C:Q,10,0),3,2),MID(VLOOKUP(C450,'Шаг1.Выбор плиты'!C:Q,10,0),1,2)),
'Шаг1.Выбор плиты'!N:N,1),IF(SUMIFS('Шаг1.Выбор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плиты'!C:Q,12,0)),1))=0,
IF(SUMIFS('Шаг1.Выбор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плиты'!C:Q,12,0)),2))=0,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плиты'!C:Q,12,0)),3)),
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плиты'!C:Q,12,0)),2))),
(SUMIFS('Шаг1.Выбор плиты'!$G:$G,'Шаг1.Выбор плиты'!J:J,"*"&amp;RIGHT(VLOOKUP(C450,'Шаг1.Выбор плиты'!C:Q,8,0),4),'Шаг1.Выбор плиты'!L:L,VLOOKUP(C450,'Шаг1.Выбор плиты'!C:Q,10,0),'Шаг1.Выбор плиты'!N:N,U450,'Шаг1.Выбор плиты'!M:M,SMALL(INDIRECT("мм"&amp;VLOOKUP(C450,'Шаг1.Выбор плиты'!C:Q,12,0)),1)))))))</f>
        <v/>
      </c>
      <c r="L450" s="147" t="str">
        <f ca="1">IFERROR(IFERROR(IF(VLOOKUP($A450,'Шаг2.Бланк заказа NEW'!$B$17:$N$201,9,0)="","",VLOOKUP($A450,'Шаг2.Бланк заказа NEW'!$B$17:$N$201,9,0)),
IF(VLOOKUP($A450-COUNT('Шаг2.Бланк заказа NEW'!$B$19:$B$201),'Бланк OLD 0.8 04'!$B$12:$K$200,9,0)="","",VLOOKUP($A450-COUNT('Шаг2.Бланк заказа NEW'!$B$19:$B$201),'Бланк OLD 0.8 04'!$B$12:$K$200,9,0))),
IF(VLOOKUP($A450-COUNT('Шаг2.Бланк заказа NEW'!$B$19:$B$201)-COUNT('Бланк OLD 0.8 04'!$B$18:$B$200),'Бланк OLD 2.0 04 '!$B$16:$K$200,9,0)="","",VLOOKUP($A450-COUNT('Шаг2.Бланк заказа NEW'!$B$19:$B$201)-COUNT('Бланк OLD 0.8 04'!$B$18:$B$200),'Бланк OLD 2.0 04 '!$B$16:$K$200,9,0)))</f>
        <v/>
      </c>
      <c r="M450" s="154" t="str">
        <f t="shared" ca="1" si="44"/>
        <v/>
      </c>
      <c r="N450" s="153" t="str">
        <f ca="1">IFERROR(IF(VLOOKUP($A450,'Шаг2.Бланк заказа NEW'!$B$17:$N$201,11,0)="","",VLOOKUP($A450,'Шаг2.Бланк заказа NEW'!$B$17:$N$201,11,0)),
"Нет")</f>
        <v/>
      </c>
      <c r="O450" s="147" t="str">
        <f ca="1">IFERROR(IF(VLOOKUP($A450,'Шаг2.Бланк заказа NEW'!$B$17:$N$201,11,0)="","",VLOOKUP($A450,'Шаг2.Бланк заказа NEW'!$B$17:$N$201,12,0)),
"Нет")</f>
        <v/>
      </c>
      <c r="P450" s="153" t="str">
        <f ca="1">IFERROR(IF(VLOOKUP($A450,'Шаг2.Бланк заказа NEW'!$B$17:$N$201,13,0)="","",VLOOKUP($A450,'Шаг2.Бланк заказа NEW'!$B$17:$N$201,13,0)),
"Нет")</f>
        <v/>
      </c>
      <c r="Q450" s="147" t="str">
        <f ca="1">IFERROR(IF(VLOOKUP($A450,'Шаг2.Бланк заказа NEW'!$B$17:$O$201,14,0)="","",VLOOKUP($A450,'Шаг2.Бланк заказа NEW'!$B$17:$O$201,14,0)),"")</f>
        <v/>
      </c>
      <c r="R450" s="147" t="str">
        <f ca="1">IFERROR(IFERROR(IF(VLOOKUP($A450,'Шаг2.Бланк заказа NEW'!$B$17:$N$201,4,0)="","",VLOOKUP($A450,'Шаг2.Бланк заказа NEW'!$B$17:$N$201,4,0)),
IF(VLOOKUP($A450-COUNT('Шаг2.Бланк заказа NEW'!$B$19:$B$201),'Бланк OLD 0.8 04'!$B$12:$K$200,4,0)&gt;0,0.8,
IF(VLOOKUP($A450-COUNT('Шаг2.Бланк заказа NEW'!$B$19:$B$201),'Бланк OLD 0.8 04'!$B$12:$K$200,5,0)&gt;0,0.4,""))),
IF(VLOOKUP($A450-COUNT('Шаг2.Бланк заказа NEW'!$B$19:$B$201)-COUNT('Бланк OLD 0.8 04'!$B$18:$B$200),'Бланк OLD 2.0 04 '!$B$16:$K$200,4,0)&gt;0,2,IF(VLOOKUP($A450-COUNT('Шаг2.Бланк заказа NEW'!$B$19:$B$201)-COUNT('Бланк OLD 0.8 04'!$B$18:$B$200),'Бланк OLD 2.0 04 '!$B$16:$K$200,5,0)&gt;0,0.4,"")))</f>
        <v/>
      </c>
      <c r="S450" s="147" t="str">
        <f ca="1">IFERROR(IFERROR(IF(VLOOKUP($A450,'Шаг2.Бланк заказа NEW'!$B$17:$N$201,5,0)="","",VLOOKUP($A450,'Шаг2.Бланк заказа NEW'!$B$17:$N$201,5,0)),
IF(VLOOKUP($A450-COUNT('Шаг2.Бланк заказа NEW'!$B$19:$B$201),'Бланк OLD 0.8 04'!$B$12:$K$200,4,0)&gt;1,0.8,
IF(VLOOKUP($A450-COUNT('Шаг2.Бланк заказа NEW'!$B$19:$B$201),'Бланк OLD 0.8 04'!$B$12:$K$200,5,0)&gt;1,0.4,
IF(AND(VLOOKUP($A450-COUNT('Шаг2.Бланк заказа NEW'!$B$19:$B$201),'Бланк OLD 0.8 04'!$B$12:$K$200,4,0)&gt;0,VLOOKUP($A450-COUNT('Шаг2.Бланк заказа NEW'!$B$19:$B$201),'Бланк OLD 0.8 04'!$B$12:$K$200,5,0)&gt;0),0.4,"")))),
IF(VLOOKUP($A450-COUNT('Шаг2.Бланк заказа NEW'!$B$19:$B$201)-COUNT('Бланк OLD 0.8 04'!$B$18:$B$200),'Бланк OLD 2.0 04 '!$B$16:$K$200,4,0)&gt;1,2,
IF(VLOOKUP($A450-COUNT('Шаг2.Бланк заказа NEW'!$B$19:$B$201)-COUNT('Бланк OLD 0.8 04'!$B$18:$B$200),'Бланк OLD 2.0 04 '!$B$16:$K$200,5,0)&gt;1,0.4,IF(AND(VLOOKUP($A450-COUNT('Шаг2.Бланк заказа NEW'!$B$19:$B$201)-COUNT('Бланк OLD 0.8 04'!$B$18:$B$200),'Бланк OLD 2.0 04 '!$B$16:$K$200,4,0)&gt;0,VLOOKUP($A450-COUNT('Шаг2.Бланк заказа NEW'!$B$19:$B$201)-COUNT('Бланк OLD 0.8 04'!$B$18:$B$200),'Бланк OLD 2.0 04 '!$B$16:$K$200,5,0)&gt;0),0.4,""))))</f>
        <v/>
      </c>
      <c r="T450" s="147" t="str">
        <f ca="1">IFERROR(IFERROR(IF(VLOOKUP($A450,'Шаг2.Бланк заказа NEW'!$B$17:$N$201,7,0)="","",VLOOKUP($A450,'Шаг2.Бланк заказа NEW'!$B$17:$N$201,7,0)),
IF(VLOOKUP($A450-COUNT('Шаг2.Бланк заказа NEW'!$B$19:$B$201),'Бланк OLD 0.8 04'!$B$12:$K$200,7,0)&gt;0,0.8,
IF(VLOOKUP($A450-COUNT('Шаг2.Бланк заказа NEW'!$B$19:$B$201),'Бланк OLD 0.8 04'!$B$12:$K$200,8,0)&gt;0,0.4,""))),
IF(VLOOKUP($A450-COUNT('Шаг2.Бланк заказа NEW'!$B$19:$B$201)-COUNT('Бланк OLD 0.8 04'!$B$18:$B$200),'Бланк OLD 2.0 04 '!$B$16:$K$200,7,0)&gt;0,2,IF(VLOOKUP($A450-COUNT('Шаг2.Бланк заказа NEW'!$B$19:$B$201)-COUNT('Бланк OLD 0.8 04'!$B$18:$B$200),'Бланк OLD 2.0 04 '!$B$16:$K$200,8,0)&gt;0,0.4,"")))</f>
        <v/>
      </c>
      <c r="U450" s="147" t="str">
        <f ca="1">IFERROR(IFERROR(IF(VLOOKUP($A450,'Шаг2.Бланк заказа NEW'!$B$17:$N$201,8,0)="","",VLOOKUP($A450,'Шаг2.Бланк заказа NEW'!$B$17:$N$201,8,0)),
IF(VLOOKUP($A450-COUNT('Шаг2.Бланк заказа NEW'!$B$19:$B$201),'Бланк OLD 0.8 04'!$B$12:$K$200,7,0)&gt;1,0.8,
IF(VLOOKUP($A450-COUNT('Шаг2.Бланк заказа NEW'!$B$19:$B$201),'Бланк OLD 0.8 04'!$B$12:$K$200,8,0)&gt;1,0.4,
IF(AND(VLOOKUP($A450-COUNT('Шаг2.Бланк заказа NEW'!$B$19:$B$201),'Бланк OLD 0.8 04'!$B$12:$K$200,7,0)&gt;0,VLOOKUP($A450-COUNT('Шаг2.Бланк заказа NEW'!$B$19:$B$201),'Бланк OLD 0.8 04'!$B$12:$K$200,8,0)&gt;0),0.4,"")))),
IF(VLOOKUP($A450-COUNT('Шаг2.Бланк заказа NEW'!$B$19:$B$201)-COUNT('Бланк OLD 0.8 04'!$B$18:$B$200),'Бланк OLD 2.0 04 '!$B$16:$K$200,7,0)&gt;1,2,
IF(VLOOKUP($A450-COUNT('Шаг2.Бланк заказа NEW'!$B$19:$B$201)-COUNT('Бланк OLD 0.8 04'!$B$18:$B$200),'Бланк OLD 2.0 04 '!$B$16:$K$200,8,0)&gt;1,0.4,
IF(AND(VLOOKUP($A450-COUNT('Шаг2.Бланк заказа NEW'!$B$19:$B$201)-COUNT('Бланк OLD 0.8 04'!$B$18:$B$200),'Бланк OLD 2.0 04 '!$B$16:$K$200,7,0)&gt;0,VLOOKUP($A450-COUNT('Шаг2.Бланк заказа NEW'!$B$19:$B$201)-COUNT('Бланк OLD 0.8 04'!$B$18:$B$200),'Бланк OLD 2.0 04 '!$B$16:$K$200,8,0)&gt;0),0.4,""))))</f>
        <v/>
      </c>
      <c r="V450" s="146" t="str">
        <f ca="1">IFERROR(VLOOKUP(C450,'Шаг1.Выбор плиты'!C:S,12,0),"")</f>
        <v/>
      </c>
      <c r="W450" s="146" t="str">
        <f ca="1">IFERROR(VLOOKUP(C450,'Шаг1.Выбор плиты'!C:S,8,0),"")</f>
        <v/>
      </c>
      <c r="X450" s="146" t="str">
        <f ca="1">IFERROR(VLOOKUP(C450,'Шаг1.Выбор плиты'!C:S,10,0),"")</f>
        <v/>
      </c>
      <c r="Y450" s="147" t="str">
        <f t="shared" ca="1" si="39"/>
        <v/>
      </c>
      <c r="AD450" s="147" t="str">
        <f t="shared" ca="1" si="42"/>
        <v/>
      </c>
      <c r="AE450" s="147" t="str">
        <f t="shared" ca="1" si="40"/>
        <v/>
      </c>
      <c r="AF450" s="25"/>
      <c r="AH450" s="147" t="str">
        <f ca="1">IF(C450="","",VLOOKUP(C450,'Шаг1.Выбор плиты'!C:Q,7,0))</f>
        <v/>
      </c>
      <c r="AI450" s="147" t="str">
        <f t="shared" ca="1" si="45"/>
        <v/>
      </c>
    </row>
    <row r="451" spans="1:35" x14ac:dyDescent="0.2">
      <c r="A451" s="151" t="str">
        <f ca="1">IF(C451="","",MAX($A$1:OFFSET(C451,-1,0))+1)</f>
        <v/>
      </c>
      <c r="B451" s="151" t="str">
        <f ca="1">IFERROR(IFERROR(IFERROR("Шаг2.Бланк заказа NEW №"&amp;VLOOKUP(A450+1,CHOOSE({1,2},'Шаг2.Бланк заказа NEW'!$B$19:$B$201,'Шаг2.Бланк заказа NEW'!$A$19:$A$201),1,0),
"Бланк OLD 0.8 04 №"&amp;VLOOKUP(A450+1-COUNT('Шаг2.Бланк заказа NEW'!$B$19:$B$201),CHOOSE({1,2},'Бланк OLD 0.8 04'!$B$18:$B$200,'Бланк OLD 0.8 04'!$A$18:$A$200),1,0)),
"Бланк OLD 2.0 04 №"&amp;VLOOKUP(A450+1-COUNT('Шаг2.Бланк заказа NEW'!$B$19:$B$201)-COUNT('Бланк OLD 0.8 04'!$B$18:$B$200),CHOOSE({1,2},'Бланк OLD 2.0 04 '!$B$18:$B$200,'Бланк OLD 2.0 04 '!$A$18:$A$200),1,0)),"")</f>
        <v/>
      </c>
      <c r="C451" s="152" t="str">
        <f ca="1">IFERROR(IFERROR(IFERROR(VLOOKUP(A450+1,CHOOSE({1,2},'Шаг2.Бланк заказа NEW'!$B$19:$B$201,'Шаг2.Бланк заказа NEW'!$A$19:$A$201),2,0),
VLOOKUP(A450+1-COUNT('Шаг2.Бланк заказа NEW'!$B$19:$B$201),CHOOSE({1,2},'Бланк OLD 0.8 04'!$B$18:$B$200,'Бланк OLD 0.8 04'!$A$18:$A$200),2,0)),
VLOOKUP(A450+1-COUNT('Шаг2.Бланк заказа NEW'!$B$19:$B$201)-COUNT('Бланк OLD 0.8 04'!$B$18:$B$200),CHOOSE({1,2},'Бланк OLD 2.0 04 '!$B$18:$B$200,'Бланк OLD 2.0 04 '!$A$18:$A$200),2,0)),"")</f>
        <v/>
      </c>
      <c r="D451" s="150" t="str">
        <f ca="1">IFERROR(VLOOKUP(C451,'Шаг1.Выбор плиты'!C:G,5,0),"")</f>
        <v/>
      </c>
      <c r="E451" s="147" t="str">
        <f ca="1">IFERROR(IFERROR(IF(VLOOKUP($A451,'Шаг2.Бланк заказа NEW'!$B$17:$N$201,2,0)="","",VLOOKUP($A451,'Шаг2.Бланк заказа NEW'!$B$17:$N$201,2,0)),
IF(VLOOKUP($A451-COUNT('Шаг2.Бланк заказа NEW'!$B$19:$B$201),'Бланк OLD 0.8 04'!$B$12:$K$200,2,0)="","",VLOOKUP($A451-COUNT('Шаг2.Бланк заказа NEW'!$B$19:$B$201),'Бланк OLD 0.8 04'!$B$12:$K$200,2,0))),
IF(VLOOKUP($A451-COUNT('Шаг2.Бланк заказа NEW'!$B$19:$B$201)-COUNT('Бланк OLD 0.8 04'!$B$18:$B$200),'Бланк OLD 2.0 04 '!$B$16:$K$200,2,0)="","",VLOOKUP($A451-COUNT('Шаг2.Бланк заказа NEW'!$B$19:$B$201)-COUNT('Бланк OLD 0.8 04'!$B$18:$B$200),'Бланк OLD 2.0 04 '!$B$16:$K$200,2,0)))</f>
        <v/>
      </c>
      <c r="F451" s="147" t="str">
        <f ca="1">IFERROR(IFERROR(IF(VLOOKUP($A451,'Шаг2.Бланк заказа NEW'!$B$17:$N$201,3,0)="","",VLOOKUP($A451,'Шаг2.Бланк заказа NEW'!$B$17:$N$201,3,0)),
IF(VLOOKUP($A451-COUNT('Шаг2.Бланк заказа NEW'!$B$19:$B$201),'Бланк OLD 0.8 04'!$B$12:$K$200,3,0)="","",VLOOKUP($A451-COUNT('Шаг2.Бланк заказа NEW'!$B$19:$B$201),'Бланк OLD 0.8 04'!$B$12:$K$200,3,0))),
IF(VLOOKUP($A451-COUNT('Шаг2.Бланк заказа NEW'!$B$19:$B$201)-COUNT('Бланк OLD 0.8 04'!$B$18:$B$200),'Бланк OLD 2.0 04 '!$B$16:$K$200,3,0)="","",VLOOKUP($A451-COUNT('Шаг2.Бланк заказа NEW'!$B$19:$B$201)-COUNT('Бланк OLD 0.8 04'!$B$18:$B$200),'Бланк OLD 2.0 04 '!$B$16:$K$200,3,0)))</f>
        <v/>
      </c>
      <c r="G451" s="176" t="str">
        <f ca="1">IF(IF(R451="","",IF(R451=1,SUMIFS('Шаг1.Выбор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плиты'!C:Q,12,0)),1))))))=0,
R451,
IF(R451="","",IF(R451=1,SUMIFS('Шаг1.Выбор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плиты'!N:N,R451,'Шаг1.Выбор плиты'!M:M,SMALL(INDIRECT("мм"&amp;VLOOKUP(C451,'Шаг1.Выбор плиты'!C:Q,12,0)),1)))))))</f>
        <v/>
      </c>
      <c r="H451" s="177" t="str">
        <f ca="1">IF(IF(S451="","",IF(S451=1,SUMIFS('Шаг1.Выбор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плиты'!C:Q,12,0)),1))))))=0,
S451,
IF(S451="","",IF(S451=1,SUMIFS('Шаг1.Выбор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плиты'!N:N,S451,'Шаг1.Выбор плиты'!M:M,SMALL(INDIRECT("мм"&amp;VLOOKUP(C451,'Шаг1.Выбор плиты'!C:Q,12,0)),1)))))))</f>
        <v/>
      </c>
      <c r="I451" s="147" t="str">
        <f ca="1">IFERROR(IFERROR(IF(VLOOKUP($A451,'Шаг2.Бланк заказа NEW'!$B$17:$N$201,6,0)="","",VLOOKUP($A451,'Шаг2.Бланк заказа NEW'!$B$17:$N$201,6,0)),
IF(VLOOKUP($A451-COUNT('Шаг2.Бланк заказа NEW'!$B$19:$B$201),'Бланк OLD 0.8 04'!$B$12:$K$200,6,0)="","",VLOOKUP($A451-COUNT('Шаг2.Бланк заказа NEW'!$B$19:$B$201),'Бланк OLD 0.8 04'!$B$12:$K$200,6,0))),
IF(VLOOKUP($A451-COUNT('Шаг2.Бланк заказа NEW'!$B$19:$B$201)-COUNT('Бланк OLD 0.8 04'!$B$18:$B$200),'Бланк OLD 2.0 04 '!$B$16:$K$200,6,0)="","",VLOOKUP($A451-COUNT('Шаг2.Бланк заказа NEW'!$B$19:$B$201)-COUNT('Бланк OLD 0.8 04'!$B$18:$B$200),'Бланк OLD 2.0 04 '!$B$16:$K$200,6,0)))</f>
        <v/>
      </c>
      <c r="J451" s="177" t="str">
        <f ca="1">IF(IF(T451="","",IF(T451=1,SUMIFS('Шаг1.Выбор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плиты'!C:Q,12,0)),1))))))=0,
T451,
IF(T451="","",IF(T451=1,SUMIFS('Шаг1.Выбор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плиты'!N:N,T451,'Шаг1.Выбор плиты'!M:M,SMALL(INDIRECT("мм"&amp;VLOOKUP(C451,'Шаг1.Выбор плиты'!C:Q,12,0)),1)))))))</f>
        <v/>
      </c>
      <c r="K451" s="177" t="str">
        <f ca="1">IF(IF(U451="","",IF(U451=1,SUMIFS('Шаг1.Выбор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плиты'!C:Q,12,0)),1))))))=0,
U451,
IF(U451="","",IF(U451=1,SUMIFS('Шаг1.Выбор плиты'!$G:$G,'Шаг1.Выбор плиты'!J:J,"*"&amp;RIGHT(VLOOKUP(C451,'Шаг1.Выбор плиты'!C:Q,8,0),4),'Шаг1.Выбор плиты'!L:L,IF(MID(C451,1,6)="ЛДСП P","TM"&amp;MID(VLOOKUP(C451,'Шаг1.Выбор плиты'!C:Q,10,0),3,2),MID(VLOOKUP(C451,'Шаг1.Выбор плиты'!C:Q,10,0),1,2)),
'Шаг1.Выбор плиты'!N:N,1),IF(SUMIFS('Шаг1.Выбор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плиты'!C:Q,12,0)),1))=0,
IF(SUMIFS('Шаг1.Выбор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плиты'!C:Q,12,0)),2))=0,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плиты'!C:Q,12,0)),3)),
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плиты'!C:Q,12,0)),2))),
(SUMIFS('Шаг1.Выбор плиты'!$G:$G,'Шаг1.Выбор плиты'!J:J,"*"&amp;RIGHT(VLOOKUP(C451,'Шаг1.Выбор плиты'!C:Q,8,0),4),'Шаг1.Выбор плиты'!L:L,VLOOKUP(C451,'Шаг1.Выбор плиты'!C:Q,10,0),'Шаг1.Выбор плиты'!N:N,U451,'Шаг1.Выбор плиты'!M:M,SMALL(INDIRECT("мм"&amp;VLOOKUP(C451,'Шаг1.Выбор плиты'!C:Q,12,0)),1)))))))</f>
        <v/>
      </c>
      <c r="L451" s="147" t="str">
        <f ca="1">IFERROR(IFERROR(IF(VLOOKUP($A451,'Шаг2.Бланк заказа NEW'!$B$17:$N$201,9,0)="","",VLOOKUP($A451,'Шаг2.Бланк заказа NEW'!$B$17:$N$201,9,0)),
IF(VLOOKUP($A451-COUNT('Шаг2.Бланк заказа NEW'!$B$19:$B$201),'Бланк OLD 0.8 04'!$B$12:$K$200,9,0)="","",VLOOKUP($A451-COUNT('Шаг2.Бланк заказа NEW'!$B$19:$B$201),'Бланк OLD 0.8 04'!$B$12:$K$200,9,0))),
IF(VLOOKUP($A451-COUNT('Шаг2.Бланк заказа NEW'!$B$19:$B$201)-COUNT('Бланк OLD 0.8 04'!$B$18:$B$200),'Бланк OLD 2.0 04 '!$B$16:$K$200,9,0)="","",VLOOKUP($A451-COUNT('Шаг2.Бланк заказа NEW'!$B$19:$B$201)-COUNT('Бланк OLD 0.8 04'!$B$18:$B$200),'Бланк OLD 2.0 04 '!$B$16:$K$200,9,0)))</f>
        <v/>
      </c>
      <c r="M451" s="154" t="str">
        <f t="shared" ca="1" si="44"/>
        <v/>
      </c>
      <c r="N451" s="153" t="str">
        <f ca="1">IFERROR(IF(VLOOKUP($A451,'Шаг2.Бланк заказа NEW'!$B$17:$N$201,11,0)="","",VLOOKUP($A451,'Шаг2.Бланк заказа NEW'!$B$17:$N$201,11,0)),
"Нет")</f>
        <v/>
      </c>
      <c r="O451" s="147" t="str">
        <f ca="1">IFERROR(IF(VLOOKUP($A451,'Шаг2.Бланк заказа NEW'!$B$17:$N$201,11,0)="","",VLOOKUP($A451,'Шаг2.Бланк заказа NEW'!$B$17:$N$201,12,0)),
"Нет")</f>
        <v/>
      </c>
      <c r="P451" s="153" t="str">
        <f ca="1">IFERROR(IF(VLOOKUP($A451,'Шаг2.Бланк заказа NEW'!$B$17:$N$201,13,0)="","",VLOOKUP($A451,'Шаг2.Бланк заказа NEW'!$B$17:$N$201,13,0)),
"Нет")</f>
        <v/>
      </c>
      <c r="Q451" s="147" t="str">
        <f ca="1">IFERROR(IF(VLOOKUP($A451,'Шаг2.Бланк заказа NEW'!$B$17:$O$201,14,0)="","",VLOOKUP($A451,'Шаг2.Бланк заказа NEW'!$B$17:$O$201,14,0)),"")</f>
        <v/>
      </c>
      <c r="R451" s="147" t="str">
        <f ca="1">IFERROR(IFERROR(IF(VLOOKUP($A451,'Шаг2.Бланк заказа NEW'!$B$17:$N$201,4,0)="","",VLOOKUP($A451,'Шаг2.Бланк заказа NEW'!$B$17:$N$201,4,0)),
IF(VLOOKUP($A451-COUNT('Шаг2.Бланк заказа NEW'!$B$19:$B$201),'Бланк OLD 0.8 04'!$B$12:$K$200,4,0)&gt;0,0.8,
IF(VLOOKUP($A451-COUNT('Шаг2.Бланк заказа NEW'!$B$19:$B$201),'Бланк OLD 0.8 04'!$B$12:$K$200,5,0)&gt;0,0.4,""))),
IF(VLOOKUP($A451-COUNT('Шаг2.Бланк заказа NEW'!$B$19:$B$201)-COUNT('Бланк OLD 0.8 04'!$B$18:$B$200),'Бланк OLD 2.0 04 '!$B$16:$K$200,4,0)&gt;0,2,IF(VLOOKUP($A451-COUNT('Шаг2.Бланк заказа NEW'!$B$19:$B$201)-COUNT('Бланк OLD 0.8 04'!$B$18:$B$200),'Бланк OLD 2.0 04 '!$B$16:$K$200,5,0)&gt;0,0.4,"")))</f>
        <v/>
      </c>
      <c r="S451" s="147" t="str">
        <f ca="1">IFERROR(IFERROR(IF(VLOOKUP($A451,'Шаг2.Бланк заказа NEW'!$B$17:$N$201,5,0)="","",VLOOKUP($A451,'Шаг2.Бланк заказа NEW'!$B$17:$N$201,5,0)),
IF(VLOOKUP($A451-COUNT('Шаг2.Бланк заказа NEW'!$B$19:$B$201),'Бланк OLD 0.8 04'!$B$12:$K$200,4,0)&gt;1,0.8,
IF(VLOOKUP($A451-COUNT('Шаг2.Бланк заказа NEW'!$B$19:$B$201),'Бланк OLD 0.8 04'!$B$12:$K$200,5,0)&gt;1,0.4,
IF(AND(VLOOKUP($A451-COUNT('Шаг2.Бланк заказа NEW'!$B$19:$B$201),'Бланк OLD 0.8 04'!$B$12:$K$200,4,0)&gt;0,VLOOKUP($A451-COUNT('Шаг2.Бланк заказа NEW'!$B$19:$B$201),'Бланк OLD 0.8 04'!$B$12:$K$200,5,0)&gt;0),0.4,"")))),
IF(VLOOKUP($A451-COUNT('Шаг2.Бланк заказа NEW'!$B$19:$B$201)-COUNT('Бланк OLD 0.8 04'!$B$18:$B$200),'Бланк OLD 2.0 04 '!$B$16:$K$200,4,0)&gt;1,2,
IF(VLOOKUP($A451-COUNT('Шаг2.Бланк заказа NEW'!$B$19:$B$201)-COUNT('Бланк OLD 0.8 04'!$B$18:$B$200),'Бланк OLD 2.0 04 '!$B$16:$K$200,5,0)&gt;1,0.4,IF(AND(VLOOKUP($A451-COUNT('Шаг2.Бланк заказа NEW'!$B$19:$B$201)-COUNT('Бланк OLD 0.8 04'!$B$18:$B$200),'Бланк OLD 2.0 04 '!$B$16:$K$200,4,0)&gt;0,VLOOKUP($A451-COUNT('Шаг2.Бланк заказа NEW'!$B$19:$B$201)-COUNT('Бланк OLD 0.8 04'!$B$18:$B$200),'Бланк OLD 2.0 04 '!$B$16:$K$200,5,0)&gt;0),0.4,""))))</f>
        <v/>
      </c>
      <c r="T451" s="147" t="str">
        <f ca="1">IFERROR(IFERROR(IF(VLOOKUP($A451,'Шаг2.Бланк заказа NEW'!$B$17:$N$201,7,0)="","",VLOOKUP($A451,'Шаг2.Бланк заказа NEW'!$B$17:$N$201,7,0)),
IF(VLOOKUP($A451-COUNT('Шаг2.Бланк заказа NEW'!$B$19:$B$201),'Бланк OLD 0.8 04'!$B$12:$K$200,7,0)&gt;0,0.8,
IF(VLOOKUP($A451-COUNT('Шаг2.Бланк заказа NEW'!$B$19:$B$201),'Бланк OLD 0.8 04'!$B$12:$K$200,8,0)&gt;0,0.4,""))),
IF(VLOOKUP($A451-COUNT('Шаг2.Бланк заказа NEW'!$B$19:$B$201)-COUNT('Бланк OLD 0.8 04'!$B$18:$B$200),'Бланк OLD 2.0 04 '!$B$16:$K$200,7,0)&gt;0,2,IF(VLOOKUP($A451-COUNT('Шаг2.Бланк заказа NEW'!$B$19:$B$201)-COUNT('Бланк OLD 0.8 04'!$B$18:$B$200),'Бланк OLD 2.0 04 '!$B$16:$K$200,8,0)&gt;0,0.4,"")))</f>
        <v/>
      </c>
      <c r="U451" s="147" t="str">
        <f ca="1">IFERROR(IFERROR(IF(VLOOKUP($A451,'Шаг2.Бланк заказа NEW'!$B$17:$N$201,8,0)="","",VLOOKUP($A451,'Шаг2.Бланк заказа NEW'!$B$17:$N$201,8,0)),
IF(VLOOKUP($A451-COUNT('Шаг2.Бланк заказа NEW'!$B$19:$B$201),'Бланк OLD 0.8 04'!$B$12:$K$200,7,0)&gt;1,0.8,
IF(VLOOKUP($A451-COUNT('Шаг2.Бланк заказа NEW'!$B$19:$B$201),'Бланк OLD 0.8 04'!$B$12:$K$200,8,0)&gt;1,0.4,
IF(AND(VLOOKUP($A451-COUNT('Шаг2.Бланк заказа NEW'!$B$19:$B$201),'Бланк OLD 0.8 04'!$B$12:$K$200,7,0)&gt;0,VLOOKUP($A451-COUNT('Шаг2.Бланк заказа NEW'!$B$19:$B$201),'Бланк OLD 0.8 04'!$B$12:$K$200,8,0)&gt;0),0.4,"")))),
IF(VLOOKUP($A451-COUNT('Шаг2.Бланк заказа NEW'!$B$19:$B$201)-COUNT('Бланк OLD 0.8 04'!$B$18:$B$200),'Бланк OLD 2.0 04 '!$B$16:$K$200,7,0)&gt;1,2,
IF(VLOOKUP($A451-COUNT('Шаг2.Бланк заказа NEW'!$B$19:$B$201)-COUNT('Бланк OLD 0.8 04'!$B$18:$B$200),'Бланк OLD 2.0 04 '!$B$16:$K$200,8,0)&gt;1,0.4,
IF(AND(VLOOKUP($A451-COUNT('Шаг2.Бланк заказа NEW'!$B$19:$B$201)-COUNT('Бланк OLD 0.8 04'!$B$18:$B$200),'Бланк OLD 2.0 04 '!$B$16:$K$200,7,0)&gt;0,VLOOKUP($A451-COUNT('Шаг2.Бланк заказа NEW'!$B$19:$B$201)-COUNT('Бланк OLD 0.8 04'!$B$18:$B$200),'Бланк OLD 2.0 04 '!$B$16:$K$200,8,0)&gt;0),0.4,""))))</f>
        <v/>
      </c>
      <c r="V451" s="146" t="str">
        <f ca="1">IFERROR(VLOOKUP(C451,'Шаг1.Выбор плиты'!C:S,12,0),"")</f>
        <v/>
      </c>
      <c r="W451" s="146" t="str">
        <f ca="1">IFERROR(VLOOKUP(C451,'Шаг1.Выбор плиты'!C:S,8,0),"")</f>
        <v/>
      </c>
      <c r="X451" s="146" t="str">
        <f ca="1">IFERROR(VLOOKUP(C451,'Шаг1.Выбор плиты'!C:S,10,0),"")</f>
        <v/>
      </c>
      <c r="Y451" s="147" t="str">
        <f t="shared" ref="Y451:Y514" ca="1" si="46">IF(C451="","",$Z$7)</f>
        <v/>
      </c>
      <c r="AD451" s="147" t="str">
        <f t="shared" ca="1" si="42"/>
        <v/>
      </c>
      <c r="AE451" s="147" t="str">
        <f t="shared" ref="AE451:AE514" ca="1" si="47">IF(B451="","","kwadrat"&amp;(V451*1))</f>
        <v/>
      </c>
      <c r="AF451" s="25"/>
      <c r="AH451" s="147" t="str">
        <f ca="1">IF(C451="","",VLOOKUP(C451,'Шаг1.Выбор плиты'!C:Q,7,0))</f>
        <v/>
      </c>
      <c r="AI451" s="147" t="str">
        <f t="shared" ca="1" si="45"/>
        <v/>
      </c>
    </row>
    <row r="452" spans="1:35" x14ac:dyDescent="0.2">
      <c r="A452" s="151" t="str">
        <f ca="1">IF(C452="","",MAX($A$1:OFFSET(C452,-1,0))+1)</f>
        <v/>
      </c>
      <c r="B452" s="151" t="str">
        <f ca="1">IFERROR(IFERROR(IFERROR("Шаг2.Бланк заказа NEW №"&amp;VLOOKUP(A451+1,CHOOSE({1,2},'Шаг2.Бланк заказа NEW'!$B$19:$B$201,'Шаг2.Бланк заказа NEW'!$A$19:$A$201),1,0),
"Бланк OLD 0.8 04 №"&amp;VLOOKUP(A451+1-COUNT('Шаг2.Бланк заказа NEW'!$B$19:$B$201),CHOOSE({1,2},'Бланк OLD 0.8 04'!$B$18:$B$200,'Бланк OLD 0.8 04'!$A$18:$A$200),1,0)),
"Бланк OLD 2.0 04 №"&amp;VLOOKUP(A451+1-COUNT('Шаг2.Бланк заказа NEW'!$B$19:$B$201)-COUNT('Бланк OLD 0.8 04'!$B$18:$B$200),CHOOSE({1,2},'Бланк OLD 2.0 04 '!$B$18:$B$200,'Бланк OLD 2.0 04 '!$A$18:$A$200),1,0)),"")</f>
        <v/>
      </c>
      <c r="C452" s="152" t="str">
        <f ca="1">IFERROR(IFERROR(IFERROR(VLOOKUP(A451+1,CHOOSE({1,2},'Шаг2.Бланк заказа NEW'!$B$19:$B$201,'Шаг2.Бланк заказа NEW'!$A$19:$A$201),2,0),
VLOOKUP(A451+1-COUNT('Шаг2.Бланк заказа NEW'!$B$19:$B$201),CHOOSE({1,2},'Бланк OLD 0.8 04'!$B$18:$B$200,'Бланк OLD 0.8 04'!$A$18:$A$200),2,0)),
VLOOKUP(A451+1-COUNT('Шаг2.Бланк заказа NEW'!$B$19:$B$201)-COUNT('Бланк OLD 0.8 04'!$B$18:$B$200),CHOOSE({1,2},'Бланк OLD 2.0 04 '!$B$18:$B$200,'Бланк OLD 2.0 04 '!$A$18:$A$200),2,0)),"")</f>
        <v/>
      </c>
      <c r="D452" s="150" t="str">
        <f ca="1">IFERROR(VLOOKUP(C452,'Шаг1.Выбор плиты'!C:G,5,0),"")</f>
        <v/>
      </c>
      <c r="E452" s="147" t="str">
        <f ca="1">IFERROR(IFERROR(IF(VLOOKUP($A452,'Шаг2.Бланк заказа NEW'!$B$17:$N$201,2,0)="","",VLOOKUP($A452,'Шаг2.Бланк заказа NEW'!$B$17:$N$201,2,0)),
IF(VLOOKUP($A452-COUNT('Шаг2.Бланк заказа NEW'!$B$19:$B$201),'Бланк OLD 0.8 04'!$B$12:$K$200,2,0)="","",VLOOKUP($A452-COUNT('Шаг2.Бланк заказа NEW'!$B$19:$B$201),'Бланк OLD 0.8 04'!$B$12:$K$200,2,0))),
IF(VLOOKUP($A452-COUNT('Шаг2.Бланк заказа NEW'!$B$19:$B$201)-COUNT('Бланк OLD 0.8 04'!$B$18:$B$200),'Бланк OLD 2.0 04 '!$B$16:$K$200,2,0)="","",VLOOKUP($A452-COUNT('Шаг2.Бланк заказа NEW'!$B$19:$B$201)-COUNT('Бланк OLD 0.8 04'!$B$18:$B$200),'Бланк OLD 2.0 04 '!$B$16:$K$200,2,0)))</f>
        <v/>
      </c>
      <c r="F452" s="147" t="str">
        <f ca="1">IFERROR(IFERROR(IF(VLOOKUP($A452,'Шаг2.Бланк заказа NEW'!$B$17:$N$201,3,0)="","",VLOOKUP($A452,'Шаг2.Бланк заказа NEW'!$B$17:$N$201,3,0)),
IF(VLOOKUP($A452-COUNT('Шаг2.Бланк заказа NEW'!$B$19:$B$201),'Бланк OLD 0.8 04'!$B$12:$K$200,3,0)="","",VLOOKUP($A452-COUNT('Шаг2.Бланк заказа NEW'!$B$19:$B$201),'Бланк OLD 0.8 04'!$B$12:$K$200,3,0))),
IF(VLOOKUP($A452-COUNT('Шаг2.Бланк заказа NEW'!$B$19:$B$201)-COUNT('Бланк OLD 0.8 04'!$B$18:$B$200),'Бланк OLD 2.0 04 '!$B$16:$K$200,3,0)="","",VLOOKUP($A452-COUNT('Шаг2.Бланк заказа NEW'!$B$19:$B$201)-COUNT('Бланк OLD 0.8 04'!$B$18:$B$200),'Бланк OLD 2.0 04 '!$B$16:$K$200,3,0)))</f>
        <v/>
      </c>
      <c r="G452" s="176" t="str">
        <f ca="1">IF(IF(R452="","",IF(R452=1,SUMIFS('Шаг1.Выбор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плиты'!C:Q,12,0)),1))))))=0,
R452,
IF(R452="","",IF(R452=1,SUMIFS('Шаг1.Выбор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плиты'!N:N,R452,'Шаг1.Выбор плиты'!M:M,SMALL(INDIRECT("мм"&amp;VLOOKUP(C452,'Шаг1.Выбор плиты'!C:Q,12,0)),1)))))))</f>
        <v/>
      </c>
      <c r="H452" s="177" t="str">
        <f ca="1">IF(IF(S452="","",IF(S452=1,SUMIFS('Шаг1.Выбор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плиты'!C:Q,12,0)),1))))))=0,
S452,
IF(S452="","",IF(S452=1,SUMIFS('Шаг1.Выбор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плиты'!N:N,S452,'Шаг1.Выбор плиты'!M:M,SMALL(INDIRECT("мм"&amp;VLOOKUP(C452,'Шаг1.Выбор плиты'!C:Q,12,0)),1)))))))</f>
        <v/>
      </c>
      <c r="I452" s="147" t="str">
        <f ca="1">IFERROR(IFERROR(IF(VLOOKUP($A452,'Шаг2.Бланк заказа NEW'!$B$17:$N$201,6,0)="","",VLOOKUP($A452,'Шаг2.Бланк заказа NEW'!$B$17:$N$201,6,0)),
IF(VLOOKUP($A452-COUNT('Шаг2.Бланк заказа NEW'!$B$19:$B$201),'Бланк OLD 0.8 04'!$B$12:$K$200,6,0)="","",VLOOKUP($A452-COUNT('Шаг2.Бланк заказа NEW'!$B$19:$B$201),'Бланк OLD 0.8 04'!$B$12:$K$200,6,0))),
IF(VLOOKUP($A452-COUNT('Шаг2.Бланк заказа NEW'!$B$19:$B$201)-COUNT('Бланк OLD 0.8 04'!$B$18:$B$200),'Бланк OLD 2.0 04 '!$B$16:$K$200,6,0)="","",VLOOKUP($A452-COUNT('Шаг2.Бланк заказа NEW'!$B$19:$B$201)-COUNT('Бланк OLD 0.8 04'!$B$18:$B$200),'Бланк OLD 2.0 04 '!$B$16:$K$200,6,0)))</f>
        <v/>
      </c>
      <c r="J452" s="177" t="str">
        <f ca="1">IF(IF(T452="","",IF(T452=1,SUMIFS('Шаг1.Выбор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плиты'!C:Q,12,0)),1))))))=0,
T452,
IF(T452="","",IF(T452=1,SUMIFS('Шаг1.Выбор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плиты'!N:N,T452,'Шаг1.Выбор плиты'!M:M,SMALL(INDIRECT("мм"&amp;VLOOKUP(C452,'Шаг1.Выбор плиты'!C:Q,12,0)),1)))))))</f>
        <v/>
      </c>
      <c r="K452" s="177" t="str">
        <f ca="1">IF(IF(U452="","",IF(U452=1,SUMIFS('Шаг1.Выбор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плиты'!C:Q,12,0)),1))))))=0,
U452,
IF(U452="","",IF(U452=1,SUMIFS('Шаг1.Выбор плиты'!$G:$G,'Шаг1.Выбор плиты'!J:J,"*"&amp;RIGHT(VLOOKUP(C452,'Шаг1.Выбор плиты'!C:Q,8,0),4),'Шаг1.Выбор плиты'!L:L,IF(MID(C452,1,6)="ЛДСП P","TM"&amp;MID(VLOOKUP(C452,'Шаг1.Выбор плиты'!C:Q,10,0),3,2),MID(VLOOKUP(C452,'Шаг1.Выбор плиты'!C:Q,10,0),1,2)),
'Шаг1.Выбор плиты'!N:N,1),IF(SUMIFS('Шаг1.Выбор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плиты'!C:Q,12,0)),1))=0,
IF(SUMIFS('Шаг1.Выбор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плиты'!C:Q,12,0)),2))=0,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плиты'!C:Q,12,0)),3)),
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плиты'!C:Q,12,0)),2))),
(SUMIFS('Шаг1.Выбор плиты'!$G:$G,'Шаг1.Выбор плиты'!J:J,"*"&amp;RIGHT(VLOOKUP(C452,'Шаг1.Выбор плиты'!C:Q,8,0),4),'Шаг1.Выбор плиты'!L:L,VLOOKUP(C452,'Шаг1.Выбор плиты'!C:Q,10,0),'Шаг1.Выбор плиты'!N:N,U452,'Шаг1.Выбор плиты'!M:M,SMALL(INDIRECT("мм"&amp;VLOOKUP(C452,'Шаг1.Выбор плиты'!C:Q,12,0)),1)))))))</f>
        <v/>
      </c>
      <c r="L452" s="147" t="str">
        <f ca="1">IFERROR(IFERROR(IF(VLOOKUP($A452,'Шаг2.Бланк заказа NEW'!$B$17:$N$201,9,0)="","",VLOOKUP($A452,'Шаг2.Бланк заказа NEW'!$B$17:$N$201,9,0)),
IF(VLOOKUP($A452-COUNT('Шаг2.Бланк заказа NEW'!$B$19:$B$201),'Бланк OLD 0.8 04'!$B$12:$K$200,9,0)="","",VLOOKUP($A452-COUNT('Шаг2.Бланк заказа NEW'!$B$19:$B$201),'Бланк OLD 0.8 04'!$B$12:$K$200,9,0))),
IF(VLOOKUP($A452-COUNT('Шаг2.Бланк заказа NEW'!$B$19:$B$201)-COUNT('Бланк OLD 0.8 04'!$B$18:$B$200),'Бланк OLD 2.0 04 '!$B$16:$K$200,9,0)="","",VLOOKUP($A452-COUNT('Шаг2.Бланк заказа NEW'!$B$19:$B$201)-COUNT('Бланк OLD 0.8 04'!$B$18:$B$200),'Бланк OLD 2.0 04 '!$B$16:$K$200,9,0)))</f>
        <v/>
      </c>
      <c r="M452" s="154" t="str">
        <f t="shared" ca="1" si="44"/>
        <v/>
      </c>
      <c r="N452" s="153" t="str">
        <f ca="1">IFERROR(IF(VLOOKUP($A452,'Шаг2.Бланк заказа NEW'!$B$17:$N$201,11,0)="","",VLOOKUP($A452,'Шаг2.Бланк заказа NEW'!$B$17:$N$201,11,0)),
"Нет")</f>
        <v/>
      </c>
      <c r="O452" s="147" t="str">
        <f ca="1">IFERROR(IF(VLOOKUP($A452,'Шаг2.Бланк заказа NEW'!$B$17:$N$201,11,0)="","",VLOOKUP($A452,'Шаг2.Бланк заказа NEW'!$B$17:$N$201,12,0)),
"Нет")</f>
        <v/>
      </c>
      <c r="P452" s="153" t="str">
        <f ca="1">IFERROR(IF(VLOOKUP($A452,'Шаг2.Бланк заказа NEW'!$B$17:$N$201,13,0)="","",VLOOKUP($A452,'Шаг2.Бланк заказа NEW'!$B$17:$N$201,13,0)),
"Нет")</f>
        <v/>
      </c>
      <c r="Q452" s="147" t="str">
        <f ca="1">IFERROR(IF(VLOOKUP($A452,'Шаг2.Бланк заказа NEW'!$B$17:$O$201,14,0)="","",VLOOKUP($A452,'Шаг2.Бланк заказа NEW'!$B$17:$O$201,14,0)),"")</f>
        <v/>
      </c>
      <c r="R452" s="147" t="str">
        <f ca="1">IFERROR(IFERROR(IF(VLOOKUP($A452,'Шаг2.Бланк заказа NEW'!$B$17:$N$201,4,0)="","",VLOOKUP($A452,'Шаг2.Бланк заказа NEW'!$B$17:$N$201,4,0)),
IF(VLOOKUP($A452-COUNT('Шаг2.Бланк заказа NEW'!$B$19:$B$201),'Бланк OLD 0.8 04'!$B$12:$K$200,4,0)&gt;0,0.8,
IF(VLOOKUP($A452-COUNT('Шаг2.Бланк заказа NEW'!$B$19:$B$201),'Бланк OLD 0.8 04'!$B$12:$K$200,5,0)&gt;0,0.4,""))),
IF(VLOOKUP($A452-COUNT('Шаг2.Бланк заказа NEW'!$B$19:$B$201)-COUNT('Бланк OLD 0.8 04'!$B$18:$B$200),'Бланк OLD 2.0 04 '!$B$16:$K$200,4,0)&gt;0,2,IF(VLOOKUP($A452-COUNT('Шаг2.Бланк заказа NEW'!$B$19:$B$201)-COUNT('Бланк OLD 0.8 04'!$B$18:$B$200),'Бланк OLD 2.0 04 '!$B$16:$K$200,5,0)&gt;0,0.4,"")))</f>
        <v/>
      </c>
      <c r="S452" s="147" t="str">
        <f ca="1">IFERROR(IFERROR(IF(VLOOKUP($A452,'Шаг2.Бланк заказа NEW'!$B$17:$N$201,5,0)="","",VLOOKUP($A452,'Шаг2.Бланк заказа NEW'!$B$17:$N$201,5,0)),
IF(VLOOKUP($A452-COUNT('Шаг2.Бланк заказа NEW'!$B$19:$B$201),'Бланк OLD 0.8 04'!$B$12:$K$200,4,0)&gt;1,0.8,
IF(VLOOKUP($A452-COUNT('Шаг2.Бланк заказа NEW'!$B$19:$B$201),'Бланк OLD 0.8 04'!$B$12:$K$200,5,0)&gt;1,0.4,
IF(AND(VLOOKUP($A452-COUNT('Шаг2.Бланк заказа NEW'!$B$19:$B$201),'Бланк OLD 0.8 04'!$B$12:$K$200,4,0)&gt;0,VLOOKUP($A452-COUNT('Шаг2.Бланк заказа NEW'!$B$19:$B$201),'Бланк OLD 0.8 04'!$B$12:$K$200,5,0)&gt;0),0.4,"")))),
IF(VLOOKUP($A452-COUNT('Шаг2.Бланк заказа NEW'!$B$19:$B$201)-COUNT('Бланк OLD 0.8 04'!$B$18:$B$200),'Бланк OLD 2.0 04 '!$B$16:$K$200,4,0)&gt;1,2,
IF(VLOOKUP($A452-COUNT('Шаг2.Бланк заказа NEW'!$B$19:$B$201)-COUNT('Бланк OLD 0.8 04'!$B$18:$B$200),'Бланк OLD 2.0 04 '!$B$16:$K$200,5,0)&gt;1,0.4,IF(AND(VLOOKUP($A452-COUNT('Шаг2.Бланк заказа NEW'!$B$19:$B$201)-COUNT('Бланк OLD 0.8 04'!$B$18:$B$200),'Бланк OLD 2.0 04 '!$B$16:$K$200,4,0)&gt;0,VLOOKUP($A452-COUNT('Шаг2.Бланк заказа NEW'!$B$19:$B$201)-COUNT('Бланк OLD 0.8 04'!$B$18:$B$200),'Бланк OLD 2.0 04 '!$B$16:$K$200,5,0)&gt;0),0.4,""))))</f>
        <v/>
      </c>
      <c r="T452" s="147" t="str">
        <f ca="1">IFERROR(IFERROR(IF(VLOOKUP($A452,'Шаг2.Бланк заказа NEW'!$B$17:$N$201,7,0)="","",VLOOKUP($A452,'Шаг2.Бланк заказа NEW'!$B$17:$N$201,7,0)),
IF(VLOOKUP($A452-COUNT('Шаг2.Бланк заказа NEW'!$B$19:$B$201),'Бланк OLD 0.8 04'!$B$12:$K$200,7,0)&gt;0,0.8,
IF(VLOOKUP($A452-COUNT('Шаг2.Бланк заказа NEW'!$B$19:$B$201),'Бланк OLD 0.8 04'!$B$12:$K$200,8,0)&gt;0,0.4,""))),
IF(VLOOKUP($A452-COUNT('Шаг2.Бланк заказа NEW'!$B$19:$B$201)-COUNT('Бланк OLD 0.8 04'!$B$18:$B$200),'Бланк OLD 2.0 04 '!$B$16:$K$200,7,0)&gt;0,2,IF(VLOOKUP($A452-COUNT('Шаг2.Бланк заказа NEW'!$B$19:$B$201)-COUNT('Бланк OLD 0.8 04'!$B$18:$B$200),'Бланк OLD 2.0 04 '!$B$16:$K$200,8,0)&gt;0,0.4,"")))</f>
        <v/>
      </c>
      <c r="U452" s="147" t="str">
        <f ca="1">IFERROR(IFERROR(IF(VLOOKUP($A452,'Шаг2.Бланк заказа NEW'!$B$17:$N$201,8,0)="","",VLOOKUP($A452,'Шаг2.Бланк заказа NEW'!$B$17:$N$201,8,0)),
IF(VLOOKUP($A452-COUNT('Шаг2.Бланк заказа NEW'!$B$19:$B$201),'Бланк OLD 0.8 04'!$B$12:$K$200,7,0)&gt;1,0.8,
IF(VLOOKUP($A452-COUNT('Шаг2.Бланк заказа NEW'!$B$19:$B$201),'Бланк OLD 0.8 04'!$B$12:$K$200,8,0)&gt;1,0.4,
IF(AND(VLOOKUP($A452-COUNT('Шаг2.Бланк заказа NEW'!$B$19:$B$201),'Бланк OLD 0.8 04'!$B$12:$K$200,7,0)&gt;0,VLOOKUP($A452-COUNT('Шаг2.Бланк заказа NEW'!$B$19:$B$201),'Бланк OLD 0.8 04'!$B$12:$K$200,8,0)&gt;0),0.4,"")))),
IF(VLOOKUP($A452-COUNT('Шаг2.Бланк заказа NEW'!$B$19:$B$201)-COUNT('Бланк OLD 0.8 04'!$B$18:$B$200),'Бланк OLD 2.0 04 '!$B$16:$K$200,7,0)&gt;1,2,
IF(VLOOKUP($A452-COUNT('Шаг2.Бланк заказа NEW'!$B$19:$B$201)-COUNT('Бланк OLD 0.8 04'!$B$18:$B$200),'Бланк OLD 2.0 04 '!$B$16:$K$200,8,0)&gt;1,0.4,
IF(AND(VLOOKUP($A452-COUNT('Шаг2.Бланк заказа NEW'!$B$19:$B$201)-COUNT('Бланк OLD 0.8 04'!$B$18:$B$200),'Бланк OLD 2.0 04 '!$B$16:$K$200,7,0)&gt;0,VLOOKUP($A452-COUNT('Шаг2.Бланк заказа NEW'!$B$19:$B$201)-COUNT('Бланк OLD 0.8 04'!$B$18:$B$200),'Бланк OLD 2.0 04 '!$B$16:$K$200,8,0)&gt;0),0.4,""))))</f>
        <v/>
      </c>
      <c r="V452" s="146" t="str">
        <f ca="1">IFERROR(VLOOKUP(C452,'Шаг1.Выбор плиты'!C:S,12,0),"")</f>
        <v/>
      </c>
      <c r="W452" s="146" t="str">
        <f ca="1">IFERROR(VLOOKUP(C452,'Шаг1.Выбор плиты'!C:S,8,0),"")</f>
        <v/>
      </c>
      <c r="X452" s="146" t="str">
        <f ca="1">IFERROR(VLOOKUP(C452,'Шаг1.Выбор плиты'!C:S,10,0),"")</f>
        <v/>
      </c>
      <c r="Y452" s="147" t="str">
        <f t="shared" ca="1" si="46"/>
        <v/>
      </c>
      <c r="AD452" s="147" t="str">
        <f t="shared" ca="1" si="42"/>
        <v/>
      </c>
      <c r="AE452" s="147" t="str">
        <f t="shared" ca="1" si="47"/>
        <v/>
      </c>
      <c r="AF452" s="25"/>
      <c r="AH452" s="147" t="str">
        <f ca="1">IF(C452="","",VLOOKUP(C452,'Шаг1.Выбор плиты'!C:Q,7,0))</f>
        <v/>
      </c>
      <c r="AI452" s="147" t="str">
        <f t="shared" ca="1" si="45"/>
        <v/>
      </c>
    </row>
    <row r="453" spans="1:35" x14ac:dyDescent="0.2">
      <c r="A453" s="151" t="str">
        <f ca="1">IF(C453="","",MAX($A$1:OFFSET(C453,-1,0))+1)</f>
        <v/>
      </c>
      <c r="B453" s="151" t="str">
        <f ca="1">IFERROR(IFERROR(IFERROR("Шаг2.Бланк заказа NEW №"&amp;VLOOKUP(A452+1,CHOOSE({1,2},'Шаг2.Бланк заказа NEW'!$B$19:$B$201,'Шаг2.Бланк заказа NEW'!$A$19:$A$201),1,0),
"Бланк OLD 0.8 04 №"&amp;VLOOKUP(A452+1-COUNT('Шаг2.Бланк заказа NEW'!$B$19:$B$201),CHOOSE({1,2},'Бланк OLD 0.8 04'!$B$18:$B$200,'Бланк OLD 0.8 04'!$A$18:$A$200),1,0)),
"Бланк OLD 2.0 04 №"&amp;VLOOKUP(A452+1-COUNT('Шаг2.Бланк заказа NEW'!$B$19:$B$201)-COUNT('Бланк OLD 0.8 04'!$B$18:$B$200),CHOOSE({1,2},'Бланк OLD 2.0 04 '!$B$18:$B$200,'Бланк OLD 2.0 04 '!$A$18:$A$200),1,0)),"")</f>
        <v/>
      </c>
      <c r="C453" s="152" t="str">
        <f ca="1">IFERROR(IFERROR(IFERROR(VLOOKUP(A452+1,CHOOSE({1,2},'Шаг2.Бланк заказа NEW'!$B$19:$B$201,'Шаг2.Бланк заказа NEW'!$A$19:$A$201),2,0),
VLOOKUP(A452+1-COUNT('Шаг2.Бланк заказа NEW'!$B$19:$B$201),CHOOSE({1,2},'Бланк OLD 0.8 04'!$B$18:$B$200,'Бланк OLD 0.8 04'!$A$18:$A$200),2,0)),
VLOOKUP(A452+1-COUNT('Шаг2.Бланк заказа NEW'!$B$19:$B$201)-COUNT('Бланк OLD 0.8 04'!$B$18:$B$200),CHOOSE({1,2},'Бланк OLD 2.0 04 '!$B$18:$B$200,'Бланк OLD 2.0 04 '!$A$18:$A$200),2,0)),"")</f>
        <v/>
      </c>
      <c r="D453" s="150" t="str">
        <f ca="1">IFERROR(VLOOKUP(C453,'Шаг1.Выбор плиты'!C:G,5,0),"")</f>
        <v/>
      </c>
      <c r="E453" s="147" t="str">
        <f ca="1">IFERROR(IFERROR(IF(VLOOKUP($A453,'Шаг2.Бланк заказа NEW'!$B$17:$N$201,2,0)="","",VLOOKUP($A453,'Шаг2.Бланк заказа NEW'!$B$17:$N$201,2,0)),
IF(VLOOKUP($A453-COUNT('Шаг2.Бланк заказа NEW'!$B$19:$B$201),'Бланк OLD 0.8 04'!$B$12:$K$200,2,0)="","",VLOOKUP($A453-COUNT('Шаг2.Бланк заказа NEW'!$B$19:$B$201),'Бланк OLD 0.8 04'!$B$12:$K$200,2,0))),
IF(VLOOKUP($A453-COUNT('Шаг2.Бланк заказа NEW'!$B$19:$B$201)-COUNT('Бланк OLD 0.8 04'!$B$18:$B$200),'Бланк OLD 2.0 04 '!$B$16:$K$200,2,0)="","",VLOOKUP($A453-COUNT('Шаг2.Бланк заказа NEW'!$B$19:$B$201)-COUNT('Бланк OLD 0.8 04'!$B$18:$B$200),'Бланк OLD 2.0 04 '!$B$16:$K$200,2,0)))</f>
        <v/>
      </c>
      <c r="F453" s="147" t="str">
        <f ca="1">IFERROR(IFERROR(IF(VLOOKUP($A453,'Шаг2.Бланк заказа NEW'!$B$17:$N$201,3,0)="","",VLOOKUP($A453,'Шаг2.Бланк заказа NEW'!$B$17:$N$201,3,0)),
IF(VLOOKUP($A453-COUNT('Шаг2.Бланк заказа NEW'!$B$19:$B$201),'Бланк OLD 0.8 04'!$B$12:$K$200,3,0)="","",VLOOKUP($A453-COUNT('Шаг2.Бланк заказа NEW'!$B$19:$B$201),'Бланк OLD 0.8 04'!$B$12:$K$200,3,0))),
IF(VLOOKUP($A453-COUNT('Шаг2.Бланк заказа NEW'!$B$19:$B$201)-COUNT('Бланк OLD 0.8 04'!$B$18:$B$200),'Бланк OLD 2.0 04 '!$B$16:$K$200,3,0)="","",VLOOKUP($A453-COUNT('Шаг2.Бланк заказа NEW'!$B$19:$B$201)-COUNT('Бланк OLD 0.8 04'!$B$18:$B$200),'Бланк OLD 2.0 04 '!$B$16:$K$200,3,0)))</f>
        <v/>
      </c>
      <c r="G453" s="176" t="str">
        <f ca="1">IF(IF(R453="","",IF(R453=1,SUMIFS('Шаг1.Выбор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плиты'!C:Q,12,0)),1))))))=0,
R453,
IF(R453="","",IF(R453=1,SUMIFS('Шаг1.Выбор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плиты'!N:N,R453,'Шаг1.Выбор плиты'!M:M,SMALL(INDIRECT("мм"&amp;VLOOKUP(C453,'Шаг1.Выбор плиты'!C:Q,12,0)),1)))))))</f>
        <v/>
      </c>
      <c r="H453" s="177" t="str">
        <f ca="1">IF(IF(S453="","",IF(S453=1,SUMIFS('Шаг1.Выбор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плиты'!C:Q,12,0)),1))))))=0,
S453,
IF(S453="","",IF(S453=1,SUMIFS('Шаг1.Выбор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плиты'!N:N,S453,'Шаг1.Выбор плиты'!M:M,SMALL(INDIRECT("мм"&amp;VLOOKUP(C453,'Шаг1.Выбор плиты'!C:Q,12,0)),1)))))))</f>
        <v/>
      </c>
      <c r="I453" s="147" t="str">
        <f ca="1">IFERROR(IFERROR(IF(VLOOKUP($A453,'Шаг2.Бланк заказа NEW'!$B$17:$N$201,6,0)="","",VLOOKUP($A453,'Шаг2.Бланк заказа NEW'!$B$17:$N$201,6,0)),
IF(VLOOKUP($A453-COUNT('Шаг2.Бланк заказа NEW'!$B$19:$B$201),'Бланк OLD 0.8 04'!$B$12:$K$200,6,0)="","",VLOOKUP($A453-COUNT('Шаг2.Бланк заказа NEW'!$B$19:$B$201),'Бланк OLD 0.8 04'!$B$12:$K$200,6,0))),
IF(VLOOKUP($A453-COUNT('Шаг2.Бланк заказа NEW'!$B$19:$B$201)-COUNT('Бланк OLD 0.8 04'!$B$18:$B$200),'Бланк OLD 2.0 04 '!$B$16:$K$200,6,0)="","",VLOOKUP($A453-COUNT('Шаг2.Бланк заказа NEW'!$B$19:$B$201)-COUNT('Бланк OLD 0.8 04'!$B$18:$B$200),'Бланк OLD 2.0 04 '!$B$16:$K$200,6,0)))</f>
        <v/>
      </c>
      <c r="J453" s="177" t="str">
        <f ca="1">IF(IF(T453="","",IF(T453=1,SUMIFS('Шаг1.Выбор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плиты'!C:Q,12,0)),1))))))=0,
T453,
IF(T453="","",IF(T453=1,SUMIFS('Шаг1.Выбор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плиты'!N:N,T453,'Шаг1.Выбор плиты'!M:M,SMALL(INDIRECT("мм"&amp;VLOOKUP(C453,'Шаг1.Выбор плиты'!C:Q,12,0)),1)))))))</f>
        <v/>
      </c>
      <c r="K453" s="177" t="str">
        <f ca="1">IF(IF(U453="","",IF(U453=1,SUMIFS('Шаг1.Выбор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плиты'!C:Q,12,0)),1))))))=0,
U453,
IF(U453="","",IF(U453=1,SUMIFS('Шаг1.Выбор плиты'!$G:$G,'Шаг1.Выбор плиты'!J:J,"*"&amp;RIGHT(VLOOKUP(C453,'Шаг1.Выбор плиты'!C:Q,8,0),4),'Шаг1.Выбор плиты'!L:L,IF(MID(C453,1,6)="ЛДСП P","TM"&amp;MID(VLOOKUP(C453,'Шаг1.Выбор плиты'!C:Q,10,0),3,2),MID(VLOOKUP(C453,'Шаг1.Выбор плиты'!C:Q,10,0),1,2)),
'Шаг1.Выбор плиты'!N:N,1),IF(SUMIFS('Шаг1.Выбор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плиты'!C:Q,12,0)),1))=0,
IF(SUMIFS('Шаг1.Выбор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плиты'!C:Q,12,0)),2))=0,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плиты'!C:Q,12,0)),3)),
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плиты'!C:Q,12,0)),2))),
(SUMIFS('Шаг1.Выбор плиты'!$G:$G,'Шаг1.Выбор плиты'!J:J,"*"&amp;RIGHT(VLOOKUP(C453,'Шаг1.Выбор плиты'!C:Q,8,0),4),'Шаг1.Выбор плиты'!L:L,VLOOKUP(C453,'Шаг1.Выбор плиты'!C:Q,10,0),'Шаг1.Выбор плиты'!N:N,U453,'Шаг1.Выбор плиты'!M:M,SMALL(INDIRECT("мм"&amp;VLOOKUP(C453,'Шаг1.Выбор плиты'!C:Q,12,0)),1)))))))</f>
        <v/>
      </c>
      <c r="L453" s="147" t="str">
        <f ca="1">IFERROR(IFERROR(IF(VLOOKUP($A453,'Шаг2.Бланк заказа NEW'!$B$17:$N$201,9,0)="","",VLOOKUP($A453,'Шаг2.Бланк заказа NEW'!$B$17:$N$201,9,0)),
IF(VLOOKUP($A453-COUNT('Шаг2.Бланк заказа NEW'!$B$19:$B$201),'Бланк OLD 0.8 04'!$B$12:$K$200,9,0)="","",VLOOKUP($A453-COUNT('Шаг2.Бланк заказа NEW'!$B$19:$B$201),'Бланк OLD 0.8 04'!$B$12:$K$200,9,0))),
IF(VLOOKUP($A453-COUNT('Шаг2.Бланк заказа NEW'!$B$19:$B$201)-COUNT('Бланк OLD 0.8 04'!$B$18:$B$200),'Бланк OLD 2.0 04 '!$B$16:$K$200,9,0)="","",VLOOKUP($A453-COUNT('Шаг2.Бланк заказа NEW'!$B$19:$B$201)-COUNT('Бланк OLD 0.8 04'!$B$18:$B$200),'Бланк OLD 2.0 04 '!$B$16:$K$200,9,0)))</f>
        <v/>
      </c>
      <c r="M453" s="154" t="str">
        <f t="shared" ca="1" si="44"/>
        <v/>
      </c>
      <c r="N453" s="153" t="str">
        <f ca="1">IFERROR(IF(VLOOKUP($A453,'Шаг2.Бланк заказа NEW'!$B$17:$N$201,11,0)="","",VLOOKUP($A453,'Шаг2.Бланк заказа NEW'!$B$17:$N$201,11,0)),
"Нет")</f>
        <v/>
      </c>
      <c r="O453" s="147" t="str">
        <f ca="1">IFERROR(IF(VLOOKUP($A453,'Шаг2.Бланк заказа NEW'!$B$17:$N$201,11,0)="","",VLOOKUP($A453,'Шаг2.Бланк заказа NEW'!$B$17:$N$201,12,0)),
"Нет")</f>
        <v/>
      </c>
      <c r="P453" s="153" t="str">
        <f ca="1">IFERROR(IF(VLOOKUP($A453,'Шаг2.Бланк заказа NEW'!$B$17:$N$201,13,0)="","",VLOOKUP($A453,'Шаг2.Бланк заказа NEW'!$B$17:$N$201,13,0)),
"Нет")</f>
        <v/>
      </c>
      <c r="Q453" s="147" t="str">
        <f ca="1">IFERROR(IF(VLOOKUP($A453,'Шаг2.Бланк заказа NEW'!$B$17:$O$201,14,0)="","",VLOOKUP($A453,'Шаг2.Бланк заказа NEW'!$B$17:$O$201,14,0)),"")</f>
        <v/>
      </c>
      <c r="R453" s="147" t="str">
        <f ca="1">IFERROR(IFERROR(IF(VLOOKUP($A453,'Шаг2.Бланк заказа NEW'!$B$17:$N$201,4,0)="","",VLOOKUP($A453,'Шаг2.Бланк заказа NEW'!$B$17:$N$201,4,0)),
IF(VLOOKUP($A453-COUNT('Шаг2.Бланк заказа NEW'!$B$19:$B$201),'Бланк OLD 0.8 04'!$B$12:$K$200,4,0)&gt;0,0.8,
IF(VLOOKUP($A453-COUNT('Шаг2.Бланк заказа NEW'!$B$19:$B$201),'Бланк OLD 0.8 04'!$B$12:$K$200,5,0)&gt;0,0.4,""))),
IF(VLOOKUP($A453-COUNT('Шаг2.Бланк заказа NEW'!$B$19:$B$201)-COUNT('Бланк OLD 0.8 04'!$B$18:$B$200),'Бланк OLD 2.0 04 '!$B$16:$K$200,4,0)&gt;0,2,IF(VLOOKUP($A453-COUNT('Шаг2.Бланк заказа NEW'!$B$19:$B$201)-COUNT('Бланк OLD 0.8 04'!$B$18:$B$200),'Бланк OLD 2.0 04 '!$B$16:$K$200,5,0)&gt;0,0.4,"")))</f>
        <v/>
      </c>
      <c r="S453" s="147" t="str">
        <f ca="1">IFERROR(IFERROR(IF(VLOOKUP($A453,'Шаг2.Бланк заказа NEW'!$B$17:$N$201,5,0)="","",VLOOKUP($A453,'Шаг2.Бланк заказа NEW'!$B$17:$N$201,5,0)),
IF(VLOOKUP($A453-COUNT('Шаг2.Бланк заказа NEW'!$B$19:$B$201),'Бланк OLD 0.8 04'!$B$12:$K$200,4,0)&gt;1,0.8,
IF(VLOOKUP($A453-COUNT('Шаг2.Бланк заказа NEW'!$B$19:$B$201),'Бланк OLD 0.8 04'!$B$12:$K$200,5,0)&gt;1,0.4,
IF(AND(VLOOKUP($A453-COUNT('Шаг2.Бланк заказа NEW'!$B$19:$B$201),'Бланк OLD 0.8 04'!$B$12:$K$200,4,0)&gt;0,VLOOKUP($A453-COUNT('Шаг2.Бланк заказа NEW'!$B$19:$B$201),'Бланк OLD 0.8 04'!$B$12:$K$200,5,0)&gt;0),0.4,"")))),
IF(VLOOKUP($A453-COUNT('Шаг2.Бланк заказа NEW'!$B$19:$B$201)-COUNT('Бланк OLD 0.8 04'!$B$18:$B$200),'Бланк OLD 2.0 04 '!$B$16:$K$200,4,0)&gt;1,2,
IF(VLOOKUP($A453-COUNT('Шаг2.Бланк заказа NEW'!$B$19:$B$201)-COUNT('Бланк OLD 0.8 04'!$B$18:$B$200),'Бланк OLD 2.0 04 '!$B$16:$K$200,5,0)&gt;1,0.4,IF(AND(VLOOKUP($A453-COUNT('Шаг2.Бланк заказа NEW'!$B$19:$B$201)-COUNT('Бланк OLD 0.8 04'!$B$18:$B$200),'Бланк OLD 2.0 04 '!$B$16:$K$200,4,0)&gt;0,VLOOKUP($A453-COUNT('Шаг2.Бланк заказа NEW'!$B$19:$B$201)-COUNT('Бланк OLD 0.8 04'!$B$18:$B$200),'Бланк OLD 2.0 04 '!$B$16:$K$200,5,0)&gt;0),0.4,""))))</f>
        <v/>
      </c>
      <c r="T453" s="147" t="str">
        <f ca="1">IFERROR(IFERROR(IF(VLOOKUP($A453,'Шаг2.Бланк заказа NEW'!$B$17:$N$201,7,0)="","",VLOOKUP($A453,'Шаг2.Бланк заказа NEW'!$B$17:$N$201,7,0)),
IF(VLOOKUP($A453-COUNT('Шаг2.Бланк заказа NEW'!$B$19:$B$201),'Бланк OLD 0.8 04'!$B$12:$K$200,7,0)&gt;0,0.8,
IF(VLOOKUP($A453-COUNT('Шаг2.Бланк заказа NEW'!$B$19:$B$201),'Бланк OLD 0.8 04'!$B$12:$K$200,8,0)&gt;0,0.4,""))),
IF(VLOOKUP($A453-COUNT('Шаг2.Бланк заказа NEW'!$B$19:$B$201)-COUNT('Бланк OLD 0.8 04'!$B$18:$B$200),'Бланк OLD 2.0 04 '!$B$16:$K$200,7,0)&gt;0,2,IF(VLOOKUP($A453-COUNT('Шаг2.Бланк заказа NEW'!$B$19:$B$201)-COUNT('Бланк OLD 0.8 04'!$B$18:$B$200),'Бланк OLD 2.0 04 '!$B$16:$K$200,8,0)&gt;0,0.4,"")))</f>
        <v/>
      </c>
      <c r="U453" s="147" t="str">
        <f ca="1">IFERROR(IFERROR(IF(VLOOKUP($A453,'Шаг2.Бланк заказа NEW'!$B$17:$N$201,8,0)="","",VLOOKUP($A453,'Шаг2.Бланк заказа NEW'!$B$17:$N$201,8,0)),
IF(VLOOKUP($A453-COUNT('Шаг2.Бланк заказа NEW'!$B$19:$B$201),'Бланк OLD 0.8 04'!$B$12:$K$200,7,0)&gt;1,0.8,
IF(VLOOKUP($A453-COUNT('Шаг2.Бланк заказа NEW'!$B$19:$B$201),'Бланк OLD 0.8 04'!$B$12:$K$200,8,0)&gt;1,0.4,
IF(AND(VLOOKUP($A453-COUNT('Шаг2.Бланк заказа NEW'!$B$19:$B$201),'Бланк OLD 0.8 04'!$B$12:$K$200,7,0)&gt;0,VLOOKUP($A453-COUNT('Шаг2.Бланк заказа NEW'!$B$19:$B$201),'Бланк OLD 0.8 04'!$B$12:$K$200,8,0)&gt;0),0.4,"")))),
IF(VLOOKUP($A453-COUNT('Шаг2.Бланк заказа NEW'!$B$19:$B$201)-COUNT('Бланк OLD 0.8 04'!$B$18:$B$200),'Бланк OLD 2.0 04 '!$B$16:$K$200,7,0)&gt;1,2,
IF(VLOOKUP($A453-COUNT('Шаг2.Бланк заказа NEW'!$B$19:$B$201)-COUNT('Бланк OLD 0.8 04'!$B$18:$B$200),'Бланк OLD 2.0 04 '!$B$16:$K$200,8,0)&gt;1,0.4,
IF(AND(VLOOKUP($A453-COUNT('Шаг2.Бланк заказа NEW'!$B$19:$B$201)-COUNT('Бланк OLD 0.8 04'!$B$18:$B$200),'Бланк OLD 2.0 04 '!$B$16:$K$200,7,0)&gt;0,VLOOKUP($A453-COUNT('Шаг2.Бланк заказа NEW'!$B$19:$B$201)-COUNT('Бланк OLD 0.8 04'!$B$18:$B$200),'Бланк OLD 2.0 04 '!$B$16:$K$200,8,0)&gt;0),0.4,""))))</f>
        <v/>
      </c>
      <c r="V453" s="146" t="str">
        <f ca="1">IFERROR(VLOOKUP(C453,'Шаг1.Выбор плиты'!C:S,12,0),"")</f>
        <v/>
      </c>
      <c r="W453" s="146" t="str">
        <f ca="1">IFERROR(VLOOKUP(C453,'Шаг1.Выбор плиты'!C:S,8,0),"")</f>
        <v/>
      </c>
      <c r="X453" s="146" t="str">
        <f ca="1">IFERROR(VLOOKUP(C453,'Шаг1.Выбор плиты'!C:S,10,0),"")</f>
        <v/>
      </c>
      <c r="Y453" s="147" t="str">
        <f t="shared" ca="1" si="46"/>
        <v/>
      </c>
      <c r="AD453" s="147" t="str">
        <f t="shared" ca="1" si="42"/>
        <v/>
      </c>
      <c r="AE453" s="147" t="str">
        <f t="shared" ca="1" si="47"/>
        <v/>
      </c>
      <c r="AF453" s="25"/>
      <c r="AH453" s="147" t="str">
        <f ca="1">IF(C453="","",VLOOKUP(C453,'Шаг1.Выбор плиты'!C:Q,7,0))</f>
        <v/>
      </c>
      <c r="AI453" s="147" t="str">
        <f t="shared" ca="1" si="45"/>
        <v/>
      </c>
    </row>
    <row r="454" spans="1:35" x14ac:dyDescent="0.2">
      <c r="A454" s="151" t="str">
        <f ca="1">IF(C454="","",MAX($A$1:OFFSET(C454,-1,0))+1)</f>
        <v/>
      </c>
      <c r="B454" s="151" t="str">
        <f ca="1">IFERROR(IFERROR(IFERROR("Шаг2.Бланк заказа NEW №"&amp;VLOOKUP(A453+1,CHOOSE({1,2},'Шаг2.Бланк заказа NEW'!$B$19:$B$201,'Шаг2.Бланк заказа NEW'!$A$19:$A$201),1,0),
"Бланк OLD 0.8 04 №"&amp;VLOOKUP(A453+1-COUNT('Шаг2.Бланк заказа NEW'!$B$19:$B$201),CHOOSE({1,2},'Бланк OLD 0.8 04'!$B$18:$B$200,'Бланк OLD 0.8 04'!$A$18:$A$200),1,0)),
"Бланк OLD 2.0 04 №"&amp;VLOOKUP(A453+1-COUNT('Шаг2.Бланк заказа NEW'!$B$19:$B$201)-COUNT('Бланк OLD 0.8 04'!$B$18:$B$200),CHOOSE({1,2},'Бланк OLD 2.0 04 '!$B$18:$B$200,'Бланк OLD 2.0 04 '!$A$18:$A$200),1,0)),"")</f>
        <v/>
      </c>
      <c r="C454" s="152" t="str">
        <f ca="1">IFERROR(IFERROR(IFERROR(VLOOKUP(A453+1,CHOOSE({1,2},'Шаг2.Бланк заказа NEW'!$B$19:$B$201,'Шаг2.Бланк заказа NEW'!$A$19:$A$201),2,0),
VLOOKUP(A453+1-COUNT('Шаг2.Бланк заказа NEW'!$B$19:$B$201),CHOOSE({1,2},'Бланк OLD 0.8 04'!$B$18:$B$200,'Бланк OLD 0.8 04'!$A$18:$A$200),2,0)),
VLOOKUP(A453+1-COUNT('Шаг2.Бланк заказа NEW'!$B$19:$B$201)-COUNT('Бланк OLD 0.8 04'!$B$18:$B$200),CHOOSE({1,2},'Бланк OLD 2.0 04 '!$B$18:$B$200,'Бланк OLD 2.0 04 '!$A$18:$A$200),2,0)),"")</f>
        <v/>
      </c>
      <c r="D454" s="150" t="str">
        <f ca="1">IFERROR(VLOOKUP(C454,'Шаг1.Выбор плиты'!C:G,5,0),"")</f>
        <v/>
      </c>
      <c r="E454" s="147" t="str">
        <f ca="1">IFERROR(IFERROR(IF(VLOOKUP($A454,'Шаг2.Бланк заказа NEW'!$B$17:$N$201,2,0)="","",VLOOKUP($A454,'Шаг2.Бланк заказа NEW'!$B$17:$N$201,2,0)),
IF(VLOOKUP($A454-COUNT('Шаг2.Бланк заказа NEW'!$B$19:$B$201),'Бланк OLD 0.8 04'!$B$12:$K$200,2,0)="","",VLOOKUP($A454-COUNT('Шаг2.Бланк заказа NEW'!$B$19:$B$201),'Бланк OLD 0.8 04'!$B$12:$K$200,2,0))),
IF(VLOOKUP($A454-COUNT('Шаг2.Бланк заказа NEW'!$B$19:$B$201)-COUNT('Бланк OLD 0.8 04'!$B$18:$B$200),'Бланк OLD 2.0 04 '!$B$16:$K$200,2,0)="","",VLOOKUP($A454-COUNT('Шаг2.Бланк заказа NEW'!$B$19:$B$201)-COUNT('Бланк OLD 0.8 04'!$B$18:$B$200),'Бланк OLD 2.0 04 '!$B$16:$K$200,2,0)))</f>
        <v/>
      </c>
      <c r="F454" s="147" t="str">
        <f ca="1">IFERROR(IFERROR(IF(VLOOKUP($A454,'Шаг2.Бланк заказа NEW'!$B$17:$N$201,3,0)="","",VLOOKUP($A454,'Шаг2.Бланк заказа NEW'!$B$17:$N$201,3,0)),
IF(VLOOKUP($A454-COUNT('Шаг2.Бланк заказа NEW'!$B$19:$B$201),'Бланк OLD 0.8 04'!$B$12:$K$200,3,0)="","",VLOOKUP($A454-COUNT('Шаг2.Бланк заказа NEW'!$B$19:$B$201),'Бланк OLD 0.8 04'!$B$12:$K$200,3,0))),
IF(VLOOKUP($A454-COUNT('Шаг2.Бланк заказа NEW'!$B$19:$B$201)-COUNT('Бланк OLD 0.8 04'!$B$18:$B$200),'Бланк OLD 2.0 04 '!$B$16:$K$200,3,0)="","",VLOOKUP($A454-COUNT('Шаг2.Бланк заказа NEW'!$B$19:$B$201)-COUNT('Бланк OLD 0.8 04'!$B$18:$B$200),'Бланк OLD 2.0 04 '!$B$16:$K$200,3,0)))</f>
        <v/>
      </c>
      <c r="G454" s="176" t="str">
        <f ca="1">IF(IF(R454="","",IF(R454=1,SUMIFS('Шаг1.Выбор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плиты'!C:Q,12,0)),1))))))=0,
R454,
IF(R454="","",IF(R454=1,SUMIFS('Шаг1.Выбор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плиты'!N:N,R454,'Шаг1.Выбор плиты'!M:M,SMALL(INDIRECT("мм"&amp;VLOOKUP(C454,'Шаг1.Выбор плиты'!C:Q,12,0)),1)))))))</f>
        <v/>
      </c>
      <c r="H454" s="177" t="str">
        <f ca="1">IF(IF(S454="","",IF(S454=1,SUMIFS('Шаг1.Выбор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плиты'!C:Q,12,0)),1))))))=0,
S454,
IF(S454="","",IF(S454=1,SUMIFS('Шаг1.Выбор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плиты'!N:N,S454,'Шаг1.Выбор плиты'!M:M,SMALL(INDIRECT("мм"&amp;VLOOKUP(C454,'Шаг1.Выбор плиты'!C:Q,12,0)),1)))))))</f>
        <v/>
      </c>
      <c r="I454" s="147" t="str">
        <f ca="1">IFERROR(IFERROR(IF(VLOOKUP($A454,'Шаг2.Бланк заказа NEW'!$B$17:$N$201,6,0)="","",VLOOKUP($A454,'Шаг2.Бланк заказа NEW'!$B$17:$N$201,6,0)),
IF(VLOOKUP($A454-COUNT('Шаг2.Бланк заказа NEW'!$B$19:$B$201),'Бланк OLD 0.8 04'!$B$12:$K$200,6,0)="","",VLOOKUP($A454-COUNT('Шаг2.Бланк заказа NEW'!$B$19:$B$201),'Бланк OLD 0.8 04'!$B$12:$K$200,6,0))),
IF(VLOOKUP($A454-COUNT('Шаг2.Бланк заказа NEW'!$B$19:$B$201)-COUNT('Бланк OLD 0.8 04'!$B$18:$B$200),'Бланк OLD 2.0 04 '!$B$16:$K$200,6,0)="","",VLOOKUP($A454-COUNT('Шаг2.Бланк заказа NEW'!$B$19:$B$201)-COUNT('Бланк OLD 0.8 04'!$B$18:$B$200),'Бланк OLD 2.0 04 '!$B$16:$K$200,6,0)))</f>
        <v/>
      </c>
      <c r="J454" s="177" t="str">
        <f ca="1">IF(IF(T454="","",IF(T454=1,SUMIFS('Шаг1.Выбор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плиты'!C:Q,12,0)),1))))))=0,
T454,
IF(T454="","",IF(T454=1,SUMIFS('Шаг1.Выбор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плиты'!N:N,T454,'Шаг1.Выбор плиты'!M:M,SMALL(INDIRECT("мм"&amp;VLOOKUP(C454,'Шаг1.Выбор плиты'!C:Q,12,0)),1)))))))</f>
        <v/>
      </c>
      <c r="K454" s="177" t="str">
        <f ca="1">IF(IF(U454="","",IF(U454=1,SUMIFS('Шаг1.Выбор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плиты'!C:Q,12,0)),1))))))=0,
U454,
IF(U454="","",IF(U454=1,SUMIFS('Шаг1.Выбор плиты'!$G:$G,'Шаг1.Выбор плиты'!J:J,"*"&amp;RIGHT(VLOOKUP(C454,'Шаг1.Выбор плиты'!C:Q,8,0),4),'Шаг1.Выбор плиты'!L:L,IF(MID(C454,1,6)="ЛДСП P","TM"&amp;MID(VLOOKUP(C454,'Шаг1.Выбор плиты'!C:Q,10,0),3,2),MID(VLOOKUP(C454,'Шаг1.Выбор плиты'!C:Q,10,0),1,2)),
'Шаг1.Выбор плиты'!N:N,1),IF(SUMIFS('Шаг1.Выбор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плиты'!C:Q,12,0)),1))=0,
IF(SUMIFS('Шаг1.Выбор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плиты'!C:Q,12,0)),2))=0,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плиты'!C:Q,12,0)),3)),
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плиты'!C:Q,12,0)),2))),
(SUMIFS('Шаг1.Выбор плиты'!$G:$G,'Шаг1.Выбор плиты'!J:J,"*"&amp;RIGHT(VLOOKUP(C454,'Шаг1.Выбор плиты'!C:Q,8,0),4),'Шаг1.Выбор плиты'!L:L,VLOOKUP(C454,'Шаг1.Выбор плиты'!C:Q,10,0),'Шаг1.Выбор плиты'!N:N,U454,'Шаг1.Выбор плиты'!M:M,SMALL(INDIRECT("мм"&amp;VLOOKUP(C454,'Шаг1.Выбор плиты'!C:Q,12,0)),1)))))))</f>
        <v/>
      </c>
      <c r="L454" s="147" t="str">
        <f ca="1">IFERROR(IFERROR(IF(VLOOKUP($A454,'Шаг2.Бланк заказа NEW'!$B$17:$N$201,9,0)="","",VLOOKUP($A454,'Шаг2.Бланк заказа NEW'!$B$17:$N$201,9,0)),
IF(VLOOKUP($A454-COUNT('Шаг2.Бланк заказа NEW'!$B$19:$B$201),'Бланк OLD 0.8 04'!$B$12:$K$200,9,0)="","",VLOOKUP($A454-COUNT('Шаг2.Бланк заказа NEW'!$B$19:$B$201),'Бланк OLD 0.8 04'!$B$12:$K$200,9,0))),
IF(VLOOKUP($A454-COUNT('Шаг2.Бланк заказа NEW'!$B$19:$B$201)-COUNT('Бланк OLD 0.8 04'!$B$18:$B$200),'Бланк OLD 2.0 04 '!$B$16:$K$200,9,0)="","",VLOOKUP($A454-COUNT('Шаг2.Бланк заказа NEW'!$B$19:$B$201)-COUNT('Бланк OLD 0.8 04'!$B$18:$B$200),'Бланк OLD 2.0 04 '!$B$16:$K$200,9,0)))</f>
        <v/>
      </c>
      <c r="M454" s="154" t="str">
        <f t="shared" ca="1" si="44"/>
        <v/>
      </c>
      <c r="N454" s="153" t="str">
        <f ca="1">IFERROR(IF(VLOOKUP($A454,'Шаг2.Бланк заказа NEW'!$B$17:$N$201,11,0)="","",VLOOKUP($A454,'Шаг2.Бланк заказа NEW'!$B$17:$N$201,11,0)),
"Нет")</f>
        <v/>
      </c>
      <c r="O454" s="147" t="str">
        <f ca="1">IFERROR(IF(VLOOKUP($A454,'Шаг2.Бланк заказа NEW'!$B$17:$N$201,11,0)="","",VLOOKUP($A454,'Шаг2.Бланк заказа NEW'!$B$17:$N$201,12,0)),
"Нет")</f>
        <v/>
      </c>
      <c r="P454" s="153" t="str">
        <f ca="1">IFERROR(IF(VLOOKUP($A454,'Шаг2.Бланк заказа NEW'!$B$17:$N$201,13,0)="","",VLOOKUP($A454,'Шаг2.Бланк заказа NEW'!$B$17:$N$201,13,0)),
"Нет")</f>
        <v/>
      </c>
      <c r="Q454" s="147" t="str">
        <f ca="1">IFERROR(IF(VLOOKUP($A454,'Шаг2.Бланк заказа NEW'!$B$17:$O$201,14,0)="","",VLOOKUP($A454,'Шаг2.Бланк заказа NEW'!$B$17:$O$201,14,0)),"")</f>
        <v/>
      </c>
      <c r="R454" s="147" t="str">
        <f ca="1">IFERROR(IFERROR(IF(VLOOKUP($A454,'Шаг2.Бланк заказа NEW'!$B$17:$N$201,4,0)="","",VLOOKUP($A454,'Шаг2.Бланк заказа NEW'!$B$17:$N$201,4,0)),
IF(VLOOKUP($A454-COUNT('Шаг2.Бланк заказа NEW'!$B$19:$B$201),'Бланк OLD 0.8 04'!$B$12:$K$200,4,0)&gt;0,0.8,
IF(VLOOKUP($A454-COUNT('Шаг2.Бланк заказа NEW'!$B$19:$B$201),'Бланк OLD 0.8 04'!$B$12:$K$200,5,0)&gt;0,0.4,""))),
IF(VLOOKUP($A454-COUNT('Шаг2.Бланк заказа NEW'!$B$19:$B$201)-COUNT('Бланк OLD 0.8 04'!$B$18:$B$200),'Бланк OLD 2.0 04 '!$B$16:$K$200,4,0)&gt;0,2,IF(VLOOKUP($A454-COUNT('Шаг2.Бланк заказа NEW'!$B$19:$B$201)-COUNT('Бланк OLD 0.8 04'!$B$18:$B$200),'Бланк OLD 2.0 04 '!$B$16:$K$200,5,0)&gt;0,0.4,"")))</f>
        <v/>
      </c>
      <c r="S454" s="147" t="str">
        <f ca="1">IFERROR(IFERROR(IF(VLOOKUP($A454,'Шаг2.Бланк заказа NEW'!$B$17:$N$201,5,0)="","",VLOOKUP($A454,'Шаг2.Бланк заказа NEW'!$B$17:$N$201,5,0)),
IF(VLOOKUP($A454-COUNT('Шаг2.Бланк заказа NEW'!$B$19:$B$201),'Бланк OLD 0.8 04'!$B$12:$K$200,4,0)&gt;1,0.8,
IF(VLOOKUP($A454-COUNT('Шаг2.Бланк заказа NEW'!$B$19:$B$201),'Бланк OLD 0.8 04'!$B$12:$K$200,5,0)&gt;1,0.4,
IF(AND(VLOOKUP($A454-COUNT('Шаг2.Бланк заказа NEW'!$B$19:$B$201),'Бланк OLD 0.8 04'!$B$12:$K$200,4,0)&gt;0,VLOOKUP($A454-COUNT('Шаг2.Бланк заказа NEW'!$B$19:$B$201),'Бланк OLD 0.8 04'!$B$12:$K$200,5,0)&gt;0),0.4,"")))),
IF(VLOOKUP($A454-COUNT('Шаг2.Бланк заказа NEW'!$B$19:$B$201)-COUNT('Бланк OLD 0.8 04'!$B$18:$B$200),'Бланк OLD 2.0 04 '!$B$16:$K$200,4,0)&gt;1,2,
IF(VLOOKUP($A454-COUNT('Шаг2.Бланк заказа NEW'!$B$19:$B$201)-COUNT('Бланк OLD 0.8 04'!$B$18:$B$200),'Бланк OLD 2.0 04 '!$B$16:$K$200,5,0)&gt;1,0.4,IF(AND(VLOOKUP($A454-COUNT('Шаг2.Бланк заказа NEW'!$B$19:$B$201)-COUNT('Бланк OLD 0.8 04'!$B$18:$B$200),'Бланк OLD 2.0 04 '!$B$16:$K$200,4,0)&gt;0,VLOOKUP($A454-COUNT('Шаг2.Бланк заказа NEW'!$B$19:$B$201)-COUNT('Бланк OLD 0.8 04'!$B$18:$B$200),'Бланк OLD 2.0 04 '!$B$16:$K$200,5,0)&gt;0),0.4,""))))</f>
        <v/>
      </c>
      <c r="T454" s="147" t="str">
        <f ca="1">IFERROR(IFERROR(IF(VLOOKUP($A454,'Шаг2.Бланк заказа NEW'!$B$17:$N$201,7,0)="","",VLOOKUP($A454,'Шаг2.Бланк заказа NEW'!$B$17:$N$201,7,0)),
IF(VLOOKUP($A454-COUNT('Шаг2.Бланк заказа NEW'!$B$19:$B$201),'Бланк OLD 0.8 04'!$B$12:$K$200,7,0)&gt;0,0.8,
IF(VLOOKUP($A454-COUNT('Шаг2.Бланк заказа NEW'!$B$19:$B$201),'Бланк OLD 0.8 04'!$B$12:$K$200,8,0)&gt;0,0.4,""))),
IF(VLOOKUP($A454-COUNT('Шаг2.Бланк заказа NEW'!$B$19:$B$201)-COUNT('Бланк OLD 0.8 04'!$B$18:$B$200),'Бланк OLD 2.0 04 '!$B$16:$K$200,7,0)&gt;0,2,IF(VLOOKUP($A454-COUNT('Шаг2.Бланк заказа NEW'!$B$19:$B$201)-COUNT('Бланк OLD 0.8 04'!$B$18:$B$200),'Бланк OLD 2.0 04 '!$B$16:$K$200,8,0)&gt;0,0.4,"")))</f>
        <v/>
      </c>
      <c r="U454" s="147" t="str">
        <f ca="1">IFERROR(IFERROR(IF(VLOOKUP($A454,'Шаг2.Бланк заказа NEW'!$B$17:$N$201,8,0)="","",VLOOKUP($A454,'Шаг2.Бланк заказа NEW'!$B$17:$N$201,8,0)),
IF(VLOOKUP($A454-COUNT('Шаг2.Бланк заказа NEW'!$B$19:$B$201),'Бланк OLD 0.8 04'!$B$12:$K$200,7,0)&gt;1,0.8,
IF(VLOOKUP($A454-COUNT('Шаг2.Бланк заказа NEW'!$B$19:$B$201),'Бланк OLD 0.8 04'!$B$12:$K$200,8,0)&gt;1,0.4,
IF(AND(VLOOKUP($A454-COUNT('Шаг2.Бланк заказа NEW'!$B$19:$B$201),'Бланк OLD 0.8 04'!$B$12:$K$200,7,0)&gt;0,VLOOKUP($A454-COUNT('Шаг2.Бланк заказа NEW'!$B$19:$B$201),'Бланк OLD 0.8 04'!$B$12:$K$200,8,0)&gt;0),0.4,"")))),
IF(VLOOKUP($A454-COUNT('Шаг2.Бланк заказа NEW'!$B$19:$B$201)-COUNT('Бланк OLD 0.8 04'!$B$18:$B$200),'Бланк OLD 2.0 04 '!$B$16:$K$200,7,0)&gt;1,2,
IF(VLOOKUP($A454-COUNT('Шаг2.Бланк заказа NEW'!$B$19:$B$201)-COUNT('Бланк OLD 0.8 04'!$B$18:$B$200),'Бланк OLD 2.0 04 '!$B$16:$K$200,8,0)&gt;1,0.4,
IF(AND(VLOOKUP($A454-COUNT('Шаг2.Бланк заказа NEW'!$B$19:$B$201)-COUNT('Бланк OLD 0.8 04'!$B$18:$B$200),'Бланк OLD 2.0 04 '!$B$16:$K$200,7,0)&gt;0,VLOOKUP($A454-COUNT('Шаг2.Бланк заказа NEW'!$B$19:$B$201)-COUNT('Бланк OLD 0.8 04'!$B$18:$B$200),'Бланк OLD 2.0 04 '!$B$16:$K$200,8,0)&gt;0),0.4,""))))</f>
        <v/>
      </c>
      <c r="V454" s="146" t="str">
        <f ca="1">IFERROR(VLOOKUP(C454,'Шаг1.Выбор плиты'!C:S,12,0),"")</f>
        <v/>
      </c>
      <c r="W454" s="146" t="str">
        <f ca="1">IFERROR(VLOOKUP(C454,'Шаг1.Выбор плиты'!C:S,8,0),"")</f>
        <v/>
      </c>
      <c r="X454" s="146" t="str">
        <f ca="1">IFERROR(VLOOKUP(C454,'Шаг1.Выбор плиты'!C:S,10,0),"")</f>
        <v/>
      </c>
      <c r="Y454" s="147" t="str">
        <f t="shared" ca="1" si="46"/>
        <v/>
      </c>
      <c r="AD454" s="147" t="str">
        <f t="shared" ca="1" si="42"/>
        <v/>
      </c>
      <c r="AE454" s="147" t="str">
        <f t="shared" ca="1" si="47"/>
        <v/>
      </c>
      <c r="AF454" s="25"/>
      <c r="AH454" s="147" t="str">
        <f ca="1">IF(C454="","",VLOOKUP(C454,'Шаг1.Выбор плиты'!C:Q,7,0))</f>
        <v/>
      </c>
      <c r="AI454" s="147" t="str">
        <f t="shared" ca="1" si="45"/>
        <v/>
      </c>
    </row>
    <row r="455" spans="1:35" x14ac:dyDescent="0.2">
      <c r="A455" s="151" t="str">
        <f ca="1">IF(C455="","",MAX($A$1:OFFSET(C455,-1,0))+1)</f>
        <v/>
      </c>
      <c r="B455" s="151" t="str">
        <f ca="1">IFERROR(IFERROR(IFERROR("Шаг2.Бланк заказа NEW №"&amp;VLOOKUP(A454+1,CHOOSE({1,2},'Шаг2.Бланк заказа NEW'!$B$19:$B$201,'Шаг2.Бланк заказа NEW'!$A$19:$A$201),1,0),
"Бланк OLD 0.8 04 №"&amp;VLOOKUP(A454+1-COUNT('Шаг2.Бланк заказа NEW'!$B$19:$B$201),CHOOSE({1,2},'Бланк OLD 0.8 04'!$B$18:$B$200,'Бланк OLD 0.8 04'!$A$18:$A$200),1,0)),
"Бланк OLD 2.0 04 №"&amp;VLOOKUP(A454+1-COUNT('Шаг2.Бланк заказа NEW'!$B$19:$B$201)-COUNT('Бланк OLD 0.8 04'!$B$18:$B$200),CHOOSE({1,2},'Бланк OLD 2.0 04 '!$B$18:$B$200,'Бланк OLD 2.0 04 '!$A$18:$A$200),1,0)),"")</f>
        <v/>
      </c>
      <c r="C455" s="152" t="str">
        <f ca="1">IFERROR(IFERROR(IFERROR(VLOOKUP(A454+1,CHOOSE({1,2},'Шаг2.Бланк заказа NEW'!$B$19:$B$201,'Шаг2.Бланк заказа NEW'!$A$19:$A$201),2,0),
VLOOKUP(A454+1-COUNT('Шаг2.Бланк заказа NEW'!$B$19:$B$201),CHOOSE({1,2},'Бланк OLD 0.8 04'!$B$18:$B$200,'Бланк OLD 0.8 04'!$A$18:$A$200),2,0)),
VLOOKUP(A454+1-COUNT('Шаг2.Бланк заказа NEW'!$B$19:$B$201)-COUNT('Бланк OLD 0.8 04'!$B$18:$B$200),CHOOSE({1,2},'Бланк OLD 2.0 04 '!$B$18:$B$200,'Бланк OLD 2.0 04 '!$A$18:$A$200),2,0)),"")</f>
        <v/>
      </c>
      <c r="D455" s="150" t="str">
        <f ca="1">IFERROR(VLOOKUP(C455,'Шаг1.Выбор плиты'!C:G,5,0),"")</f>
        <v/>
      </c>
      <c r="E455" s="147" t="str">
        <f ca="1">IFERROR(IFERROR(IF(VLOOKUP($A455,'Шаг2.Бланк заказа NEW'!$B$17:$N$201,2,0)="","",VLOOKUP($A455,'Шаг2.Бланк заказа NEW'!$B$17:$N$201,2,0)),
IF(VLOOKUP($A455-COUNT('Шаг2.Бланк заказа NEW'!$B$19:$B$201),'Бланк OLD 0.8 04'!$B$12:$K$200,2,0)="","",VLOOKUP($A455-COUNT('Шаг2.Бланк заказа NEW'!$B$19:$B$201),'Бланк OLD 0.8 04'!$B$12:$K$200,2,0))),
IF(VLOOKUP($A455-COUNT('Шаг2.Бланк заказа NEW'!$B$19:$B$201)-COUNT('Бланк OLD 0.8 04'!$B$18:$B$200),'Бланк OLD 2.0 04 '!$B$16:$K$200,2,0)="","",VLOOKUP($A455-COUNT('Шаг2.Бланк заказа NEW'!$B$19:$B$201)-COUNT('Бланк OLD 0.8 04'!$B$18:$B$200),'Бланк OLD 2.0 04 '!$B$16:$K$200,2,0)))</f>
        <v/>
      </c>
      <c r="F455" s="147" t="str">
        <f ca="1">IFERROR(IFERROR(IF(VLOOKUP($A455,'Шаг2.Бланк заказа NEW'!$B$17:$N$201,3,0)="","",VLOOKUP($A455,'Шаг2.Бланк заказа NEW'!$B$17:$N$201,3,0)),
IF(VLOOKUP($A455-COUNT('Шаг2.Бланк заказа NEW'!$B$19:$B$201),'Бланк OLD 0.8 04'!$B$12:$K$200,3,0)="","",VLOOKUP($A455-COUNT('Шаг2.Бланк заказа NEW'!$B$19:$B$201),'Бланк OLD 0.8 04'!$B$12:$K$200,3,0))),
IF(VLOOKUP($A455-COUNT('Шаг2.Бланк заказа NEW'!$B$19:$B$201)-COUNT('Бланк OLD 0.8 04'!$B$18:$B$200),'Бланк OLD 2.0 04 '!$B$16:$K$200,3,0)="","",VLOOKUP($A455-COUNT('Шаг2.Бланк заказа NEW'!$B$19:$B$201)-COUNT('Бланк OLD 0.8 04'!$B$18:$B$200),'Бланк OLD 2.0 04 '!$B$16:$K$200,3,0)))</f>
        <v/>
      </c>
      <c r="G455" s="176" t="str">
        <f ca="1">IF(IF(R455="","",IF(R455=1,SUMIFS('Шаг1.Выбор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плиты'!C:Q,12,0)),1))))))=0,
R455,
IF(R455="","",IF(R455=1,SUMIFS('Шаг1.Выбор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плиты'!N:N,R455,'Шаг1.Выбор плиты'!M:M,SMALL(INDIRECT("мм"&amp;VLOOKUP(C455,'Шаг1.Выбор плиты'!C:Q,12,0)),1)))))))</f>
        <v/>
      </c>
      <c r="H455" s="177" t="str">
        <f ca="1">IF(IF(S455="","",IF(S455=1,SUMIFS('Шаг1.Выбор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плиты'!C:Q,12,0)),1))))))=0,
S455,
IF(S455="","",IF(S455=1,SUMIFS('Шаг1.Выбор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плиты'!N:N,S455,'Шаг1.Выбор плиты'!M:M,SMALL(INDIRECT("мм"&amp;VLOOKUP(C455,'Шаг1.Выбор плиты'!C:Q,12,0)),1)))))))</f>
        <v/>
      </c>
      <c r="I455" s="147" t="str">
        <f ca="1">IFERROR(IFERROR(IF(VLOOKUP($A455,'Шаг2.Бланк заказа NEW'!$B$17:$N$201,6,0)="","",VLOOKUP($A455,'Шаг2.Бланк заказа NEW'!$B$17:$N$201,6,0)),
IF(VLOOKUP($A455-COUNT('Шаг2.Бланк заказа NEW'!$B$19:$B$201),'Бланк OLD 0.8 04'!$B$12:$K$200,6,0)="","",VLOOKUP($A455-COUNT('Шаг2.Бланк заказа NEW'!$B$19:$B$201),'Бланк OLD 0.8 04'!$B$12:$K$200,6,0))),
IF(VLOOKUP($A455-COUNT('Шаг2.Бланк заказа NEW'!$B$19:$B$201)-COUNT('Бланк OLD 0.8 04'!$B$18:$B$200),'Бланк OLD 2.0 04 '!$B$16:$K$200,6,0)="","",VLOOKUP($A455-COUNT('Шаг2.Бланк заказа NEW'!$B$19:$B$201)-COUNT('Бланк OLD 0.8 04'!$B$18:$B$200),'Бланк OLD 2.0 04 '!$B$16:$K$200,6,0)))</f>
        <v/>
      </c>
      <c r="J455" s="177" t="str">
        <f ca="1">IF(IF(T455="","",IF(T455=1,SUMIFS('Шаг1.Выбор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плиты'!C:Q,12,0)),1))))))=0,
T455,
IF(T455="","",IF(T455=1,SUMIFS('Шаг1.Выбор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плиты'!N:N,T455,'Шаг1.Выбор плиты'!M:M,SMALL(INDIRECT("мм"&amp;VLOOKUP(C455,'Шаг1.Выбор плиты'!C:Q,12,0)),1)))))))</f>
        <v/>
      </c>
      <c r="K455" s="177" t="str">
        <f ca="1">IF(IF(U455="","",IF(U455=1,SUMIFS('Шаг1.Выбор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плиты'!C:Q,12,0)),1))))))=0,
U455,
IF(U455="","",IF(U455=1,SUMIFS('Шаг1.Выбор плиты'!$G:$G,'Шаг1.Выбор плиты'!J:J,"*"&amp;RIGHT(VLOOKUP(C455,'Шаг1.Выбор плиты'!C:Q,8,0),4),'Шаг1.Выбор плиты'!L:L,IF(MID(C455,1,6)="ЛДСП P","TM"&amp;MID(VLOOKUP(C455,'Шаг1.Выбор плиты'!C:Q,10,0),3,2),MID(VLOOKUP(C455,'Шаг1.Выбор плиты'!C:Q,10,0),1,2)),
'Шаг1.Выбор плиты'!N:N,1),IF(SUMIFS('Шаг1.Выбор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плиты'!C:Q,12,0)),1))=0,
IF(SUMIFS('Шаг1.Выбор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плиты'!C:Q,12,0)),2))=0,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плиты'!C:Q,12,0)),3)),
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плиты'!C:Q,12,0)),2))),
(SUMIFS('Шаг1.Выбор плиты'!$G:$G,'Шаг1.Выбор плиты'!J:J,"*"&amp;RIGHT(VLOOKUP(C455,'Шаг1.Выбор плиты'!C:Q,8,0),4),'Шаг1.Выбор плиты'!L:L,VLOOKUP(C455,'Шаг1.Выбор плиты'!C:Q,10,0),'Шаг1.Выбор плиты'!N:N,U455,'Шаг1.Выбор плиты'!M:M,SMALL(INDIRECT("мм"&amp;VLOOKUP(C455,'Шаг1.Выбор плиты'!C:Q,12,0)),1)))))))</f>
        <v/>
      </c>
      <c r="L455" s="147" t="str">
        <f ca="1">IFERROR(IFERROR(IF(VLOOKUP($A455,'Шаг2.Бланк заказа NEW'!$B$17:$N$201,9,0)="","",VLOOKUP($A455,'Шаг2.Бланк заказа NEW'!$B$17:$N$201,9,0)),
IF(VLOOKUP($A455-COUNT('Шаг2.Бланк заказа NEW'!$B$19:$B$201),'Бланк OLD 0.8 04'!$B$12:$K$200,9,0)="","",VLOOKUP($A455-COUNT('Шаг2.Бланк заказа NEW'!$B$19:$B$201),'Бланк OLD 0.8 04'!$B$12:$K$200,9,0))),
IF(VLOOKUP($A455-COUNT('Шаг2.Бланк заказа NEW'!$B$19:$B$201)-COUNT('Бланк OLD 0.8 04'!$B$18:$B$200),'Бланк OLD 2.0 04 '!$B$16:$K$200,9,0)="","",VLOOKUP($A455-COUNT('Шаг2.Бланк заказа NEW'!$B$19:$B$201)-COUNT('Бланк OLD 0.8 04'!$B$18:$B$200),'Бланк OLD 2.0 04 '!$B$16:$K$200,9,0)))</f>
        <v/>
      </c>
      <c r="M455" s="154" t="str">
        <f t="shared" ca="1" si="44"/>
        <v/>
      </c>
      <c r="N455" s="153" t="str">
        <f ca="1">IFERROR(IF(VLOOKUP($A455,'Шаг2.Бланк заказа NEW'!$B$17:$N$201,11,0)="","",VLOOKUP($A455,'Шаг2.Бланк заказа NEW'!$B$17:$N$201,11,0)),
"Нет")</f>
        <v/>
      </c>
      <c r="O455" s="147" t="str">
        <f ca="1">IFERROR(IF(VLOOKUP($A455,'Шаг2.Бланк заказа NEW'!$B$17:$N$201,11,0)="","",VLOOKUP($A455,'Шаг2.Бланк заказа NEW'!$B$17:$N$201,12,0)),
"Нет")</f>
        <v/>
      </c>
      <c r="P455" s="153" t="str">
        <f ca="1">IFERROR(IF(VLOOKUP($A455,'Шаг2.Бланк заказа NEW'!$B$17:$N$201,13,0)="","",VLOOKUP($A455,'Шаг2.Бланк заказа NEW'!$B$17:$N$201,13,0)),
"Нет")</f>
        <v/>
      </c>
      <c r="Q455" s="147" t="str">
        <f ca="1">IFERROR(IF(VLOOKUP($A455,'Шаг2.Бланк заказа NEW'!$B$17:$O$201,14,0)="","",VLOOKUP($A455,'Шаг2.Бланк заказа NEW'!$B$17:$O$201,14,0)),"")</f>
        <v/>
      </c>
      <c r="R455" s="147" t="str">
        <f ca="1">IFERROR(IFERROR(IF(VLOOKUP($A455,'Шаг2.Бланк заказа NEW'!$B$17:$N$201,4,0)="","",VLOOKUP($A455,'Шаг2.Бланк заказа NEW'!$B$17:$N$201,4,0)),
IF(VLOOKUP($A455-COUNT('Шаг2.Бланк заказа NEW'!$B$19:$B$201),'Бланк OLD 0.8 04'!$B$12:$K$200,4,0)&gt;0,0.8,
IF(VLOOKUP($A455-COUNT('Шаг2.Бланк заказа NEW'!$B$19:$B$201),'Бланк OLD 0.8 04'!$B$12:$K$200,5,0)&gt;0,0.4,""))),
IF(VLOOKUP($A455-COUNT('Шаг2.Бланк заказа NEW'!$B$19:$B$201)-COUNT('Бланк OLD 0.8 04'!$B$18:$B$200),'Бланк OLD 2.0 04 '!$B$16:$K$200,4,0)&gt;0,2,IF(VLOOKUP($A455-COUNT('Шаг2.Бланк заказа NEW'!$B$19:$B$201)-COUNT('Бланк OLD 0.8 04'!$B$18:$B$200),'Бланк OLD 2.0 04 '!$B$16:$K$200,5,0)&gt;0,0.4,"")))</f>
        <v/>
      </c>
      <c r="S455" s="147" t="str">
        <f ca="1">IFERROR(IFERROR(IF(VLOOKUP($A455,'Шаг2.Бланк заказа NEW'!$B$17:$N$201,5,0)="","",VLOOKUP($A455,'Шаг2.Бланк заказа NEW'!$B$17:$N$201,5,0)),
IF(VLOOKUP($A455-COUNT('Шаг2.Бланк заказа NEW'!$B$19:$B$201),'Бланк OLD 0.8 04'!$B$12:$K$200,4,0)&gt;1,0.8,
IF(VLOOKUP($A455-COUNT('Шаг2.Бланк заказа NEW'!$B$19:$B$201),'Бланк OLD 0.8 04'!$B$12:$K$200,5,0)&gt;1,0.4,
IF(AND(VLOOKUP($A455-COUNT('Шаг2.Бланк заказа NEW'!$B$19:$B$201),'Бланк OLD 0.8 04'!$B$12:$K$200,4,0)&gt;0,VLOOKUP($A455-COUNT('Шаг2.Бланк заказа NEW'!$B$19:$B$201),'Бланк OLD 0.8 04'!$B$12:$K$200,5,0)&gt;0),0.4,"")))),
IF(VLOOKUP($A455-COUNT('Шаг2.Бланк заказа NEW'!$B$19:$B$201)-COUNT('Бланк OLD 0.8 04'!$B$18:$B$200),'Бланк OLD 2.0 04 '!$B$16:$K$200,4,0)&gt;1,2,
IF(VLOOKUP($A455-COUNT('Шаг2.Бланк заказа NEW'!$B$19:$B$201)-COUNT('Бланк OLD 0.8 04'!$B$18:$B$200),'Бланк OLD 2.0 04 '!$B$16:$K$200,5,0)&gt;1,0.4,IF(AND(VLOOKUP($A455-COUNT('Шаг2.Бланк заказа NEW'!$B$19:$B$201)-COUNT('Бланк OLD 0.8 04'!$B$18:$B$200),'Бланк OLD 2.0 04 '!$B$16:$K$200,4,0)&gt;0,VLOOKUP($A455-COUNT('Шаг2.Бланк заказа NEW'!$B$19:$B$201)-COUNT('Бланк OLD 0.8 04'!$B$18:$B$200),'Бланк OLD 2.0 04 '!$B$16:$K$200,5,0)&gt;0),0.4,""))))</f>
        <v/>
      </c>
      <c r="T455" s="147" t="str">
        <f ca="1">IFERROR(IFERROR(IF(VLOOKUP($A455,'Шаг2.Бланк заказа NEW'!$B$17:$N$201,7,0)="","",VLOOKUP($A455,'Шаг2.Бланк заказа NEW'!$B$17:$N$201,7,0)),
IF(VLOOKUP($A455-COUNT('Шаг2.Бланк заказа NEW'!$B$19:$B$201),'Бланк OLD 0.8 04'!$B$12:$K$200,7,0)&gt;0,0.8,
IF(VLOOKUP($A455-COUNT('Шаг2.Бланк заказа NEW'!$B$19:$B$201),'Бланк OLD 0.8 04'!$B$12:$K$200,8,0)&gt;0,0.4,""))),
IF(VLOOKUP($A455-COUNT('Шаг2.Бланк заказа NEW'!$B$19:$B$201)-COUNT('Бланк OLD 0.8 04'!$B$18:$B$200),'Бланк OLD 2.0 04 '!$B$16:$K$200,7,0)&gt;0,2,IF(VLOOKUP($A455-COUNT('Шаг2.Бланк заказа NEW'!$B$19:$B$201)-COUNT('Бланк OLD 0.8 04'!$B$18:$B$200),'Бланк OLD 2.0 04 '!$B$16:$K$200,8,0)&gt;0,0.4,"")))</f>
        <v/>
      </c>
      <c r="U455" s="147" t="str">
        <f ca="1">IFERROR(IFERROR(IF(VLOOKUP($A455,'Шаг2.Бланк заказа NEW'!$B$17:$N$201,8,0)="","",VLOOKUP($A455,'Шаг2.Бланк заказа NEW'!$B$17:$N$201,8,0)),
IF(VLOOKUP($A455-COUNT('Шаг2.Бланк заказа NEW'!$B$19:$B$201),'Бланк OLD 0.8 04'!$B$12:$K$200,7,0)&gt;1,0.8,
IF(VLOOKUP($A455-COUNT('Шаг2.Бланк заказа NEW'!$B$19:$B$201),'Бланк OLD 0.8 04'!$B$12:$K$200,8,0)&gt;1,0.4,
IF(AND(VLOOKUP($A455-COUNT('Шаг2.Бланк заказа NEW'!$B$19:$B$201),'Бланк OLD 0.8 04'!$B$12:$K$200,7,0)&gt;0,VLOOKUP($A455-COUNT('Шаг2.Бланк заказа NEW'!$B$19:$B$201),'Бланк OLD 0.8 04'!$B$12:$K$200,8,0)&gt;0),0.4,"")))),
IF(VLOOKUP($A455-COUNT('Шаг2.Бланк заказа NEW'!$B$19:$B$201)-COUNT('Бланк OLD 0.8 04'!$B$18:$B$200),'Бланк OLD 2.0 04 '!$B$16:$K$200,7,0)&gt;1,2,
IF(VLOOKUP($A455-COUNT('Шаг2.Бланк заказа NEW'!$B$19:$B$201)-COUNT('Бланк OLD 0.8 04'!$B$18:$B$200),'Бланк OLD 2.0 04 '!$B$16:$K$200,8,0)&gt;1,0.4,
IF(AND(VLOOKUP($A455-COUNT('Шаг2.Бланк заказа NEW'!$B$19:$B$201)-COUNT('Бланк OLD 0.8 04'!$B$18:$B$200),'Бланк OLD 2.0 04 '!$B$16:$K$200,7,0)&gt;0,VLOOKUP($A455-COUNT('Шаг2.Бланк заказа NEW'!$B$19:$B$201)-COUNT('Бланк OLD 0.8 04'!$B$18:$B$200),'Бланк OLD 2.0 04 '!$B$16:$K$200,8,0)&gt;0),0.4,""))))</f>
        <v/>
      </c>
      <c r="V455" s="146" t="str">
        <f ca="1">IFERROR(VLOOKUP(C455,'Шаг1.Выбор плиты'!C:S,12,0),"")</f>
        <v/>
      </c>
      <c r="W455" s="146" t="str">
        <f ca="1">IFERROR(VLOOKUP(C455,'Шаг1.Выбор плиты'!C:S,8,0),"")</f>
        <v/>
      </c>
      <c r="X455" s="146" t="str">
        <f ca="1">IFERROR(VLOOKUP(C455,'Шаг1.Выбор плиты'!C:S,10,0),"")</f>
        <v/>
      </c>
      <c r="Y455" s="147" t="str">
        <f t="shared" ca="1" si="46"/>
        <v/>
      </c>
      <c r="AD455" s="147" t="str">
        <f t="shared" ca="1" si="42"/>
        <v/>
      </c>
      <c r="AE455" s="147" t="str">
        <f t="shared" ca="1" si="47"/>
        <v/>
      </c>
      <c r="AF455" s="25"/>
      <c r="AH455" s="147" t="str">
        <f ca="1">IF(C455="","",VLOOKUP(C455,'Шаг1.Выбор плиты'!C:Q,7,0))</f>
        <v/>
      </c>
      <c r="AI455" s="147" t="str">
        <f t="shared" ca="1" si="45"/>
        <v/>
      </c>
    </row>
    <row r="456" spans="1:35" x14ac:dyDescent="0.2">
      <c r="A456" s="151" t="str">
        <f ca="1">IF(C456="","",MAX($A$1:OFFSET(C456,-1,0))+1)</f>
        <v/>
      </c>
      <c r="B456" s="151" t="str">
        <f ca="1">IFERROR(IFERROR(IFERROR("Шаг2.Бланк заказа NEW №"&amp;VLOOKUP(A455+1,CHOOSE({1,2},'Шаг2.Бланк заказа NEW'!$B$19:$B$201,'Шаг2.Бланк заказа NEW'!$A$19:$A$201),1,0),
"Бланк OLD 0.8 04 №"&amp;VLOOKUP(A455+1-COUNT('Шаг2.Бланк заказа NEW'!$B$19:$B$201),CHOOSE({1,2},'Бланк OLD 0.8 04'!$B$18:$B$200,'Бланк OLD 0.8 04'!$A$18:$A$200),1,0)),
"Бланк OLD 2.0 04 №"&amp;VLOOKUP(A455+1-COUNT('Шаг2.Бланк заказа NEW'!$B$19:$B$201)-COUNT('Бланк OLD 0.8 04'!$B$18:$B$200),CHOOSE({1,2},'Бланк OLD 2.0 04 '!$B$18:$B$200,'Бланк OLD 2.0 04 '!$A$18:$A$200),1,0)),"")</f>
        <v/>
      </c>
      <c r="C456" s="152" t="str">
        <f ca="1">IFERROR(IFERROR(IFERROR(VLOOKUP(A455+1,CHOOSE({1,2},'Шаг2.Бланк заказа NEW'!$B$19:$B$201,'Шаг2.Бланк заказа NEW'!$A$19:$A$201),2,0),
VLOOKUP(A455+1-COUNT('Шаг2.Бланк заказа NEW'!$B$19:$B$201),CHOOSE({1,2},'Бланк OLD 0.8 04'!$B$18:$B$200,'Бланк OLD 0.8 04'!$A$18:$A$200),2,0)),
VLOOKUP(A455+1-COUNT('Шаг2.Бланк заказа NEW'!$B$19:$B$201)-COUNT('Бланк OLD 0.8 04'!$B$18:$B$200),CHOOSE({1,2},'Бланк OLD 2.0 04 '!$B$18:$B$200,'Бланк OLD 2.0 04 '!$A$18:$A$200),2,0)),"")</f>
        <v/>
      </c>
      <c r="D456" s="150" t="str">
        <f ca="1">IFERROR(VLOOKUP(C456,'Шаг1.Выбор плиты'!C:G,5,0),"")</f>
        <v/>
      </c>
      <c r="E456" s="147" t="str">
        <f ca="1">IFERROR(IFERROR(IF(VLOOKUP($A456,'Шаг2.Бланк заказа NEW'!$B$17:$N$201,2,0)="","",VLOOKUP($A456,'Шаг2.Бланк заказа NEW'!$B$17:$N$201,2,0)),
IF(VLOOKUP($A456-COUNT('Шаг2.Бланк заказа NEW'!$B$19:$B$201),'Бланк OLD 0.8 04'!$B$12:$K$200,2,0)="","",VLOOKUP($A456-COUNT('Шаг2.Бланк заказа NEW'!$B$19:$B$201),'Бланк OLD 0.8 04'!$B$12:$K$200,2,0))),
IF(VLOOKUP($A456-COUNT('Шаг2.Бланк заказа NEW'!$B$19:$B$201)-COUNT('Бланк OLD 0.8 04'!$B$18:$B$200),'Бланк OLD 2.0 04 '!$B$16:$K$200,2,0)="","",VLOOKUP($A456-COUNT('Шаг2.Бланк заказа NEW'!$B$19:$B$201)-COUNT('Бланк OLD 0.8 04'!$B$18:$B$200),'Бланк OLD 2.0 04 '!$B$16:$K$200,2,0)))</f>
        <v/>
      </c>
      <c r="F456" s="147" t="str">
        <f ca="1">IFERROR(IFERROR(IF(VLOOKUP($A456,'Шаг2.Бланк заказа NEW'!$B$17:$N$201,3,0)="","",VLOOKUP($A456,'Шаг2.Бланк заказа NEW'!$B$17:$N$201,3,0)),
IF(VLOOKUP($A456-COUNT('Шаг2.Бланк заказа NEW'!$B$19:$B$201),'Бланк OLD 0.8 04'!$B$12:$K$200,3,0)="","",VLOOKUP($A456-COUNT('Шаг2.Бланк заказа NEW'!$B$19:$B$201),'Бланк OLD 0.8 04'!$B$12:$K$200,3,0))),
IF(VLOOKUP($A456-COUNT('Шаг2.Бланк заказа NEW'!$B$19:$B$201)-COUNT('Бланк OLD 0.8 04'!$B$18:$B$200),'Бланк OLD 2.0 04 '!$B$16:$K$200,3,0)="","",VLOOKUP($A456-COUNT('Шаг2.Бланк заказа NEW'!$B$19:$B$201)-COUNT('Бланк OLD 0.8 04'!$B$18:$B$200),'Бланк OLD 2.0 04 '!$B$16:$K$200,3,0)))</f>
        <v/>
      </c>
      <c r="G456" s="176" t="str">
        <f ca="1">IF(IF(R456="","",IF(R456=1,SUMIFS('Шаг1.Выбор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плиты'!C:Q,12,0)),1))))))=0,
R456,
IF(R456="","",IF(R456=1,SUMIFS('Шаг1.Выбор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плиты'!N:N,R456,'Шаг1.Выбор плиты'!M:M,SMALL(INDIRECT("мм"&amp;VLOOKUP(C456,'Шаг1.Выбор плиты'!C:Q,12,0)),1)))))))</f>
        <v/>
      </c>
      <c r="H456" s="177" t="str">
        <f ca="1">IF(IF(S456="","",IF(S456=1,SUMIFS('Шаг1.Выбор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плиты'!C:Q,12,0)),1))))))=0,
S456,
IF(S456="","",IF(S456=1,SUMIFS('Шаг1.Выбор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плиты'!N:N,S456,'Шаг1.Выбор плиты'!M:M,SMALL(INDIRECT("мм"&amp;VLOOKUP(C456,'Шаг1.Выбор плиты'!C:Q,12,0)),1)))))))</f>
        <v/>
      </c>
      <c r="I456" s="147" t="str">
        <f ca="1">IFERROR(IFERROR(IF(VLOOKUP($A456,'Шаг2.Бланк заказа NEW'!$B$17:$N$201,6,0)="","",VLOOKUP($A456,'Шаг2.Бланк заказа NEW'!$B$17:$N$201,6,0)),
IF(VLOOKUP($A456-COUNT('Шаг2.Бланк заказа NEW'!$B$19:$B$201),'Бланк OLD 0.8 04'!$B$12:$K$200,6,0)="","",VLOOKUP($A456-COUNT('Шаг2.Бланк заказа NEW'!$B$19:$B$201),'Бланк OLD 0.8 04'!$B$12:$K$200,6,0))),
IF(VLOOKUP($A456-COUNT('Шаг2.Бланк заказа NEW'!$B$19:$B$201)-COUNT('Бланк OLD 0.8 04'!$B$18:$B$200),'Бланк OLD 2.0 04 '!$B$16:$K$200,6,0)="","",VLOOKUP($A456-COUNT('Шаг2.Бланк заказа NEW'!$B$19:$B$201)-COUNT('Бланк OLD 0.8 04'!$B$18:$B$200),'Бланк OLD 2.0 04 '!$B$16:$K$200,6,0)))</f>
        <v/>
      </c>
      <c r="J456" s="177" t="str">
        <f ca="1">IF(IF(T456="","",IF(T456=1,SUMIFS('Шаг1.Выбор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плиты'!C:Q,12,0)),1))))))=0,
T456,
IF(T456="","",IF(T456=1,SUMIFS('Шаг1.Выбор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плиты'!N:N,T456,'Шаг1.Выбор плиты'!M:M,SMALL(INDIRECT("мм"&amp;VLOOKUP(C456,'Шаг1.Выбор плиты'!C:Q,12,0)),1)))))))</f>
        <v/>
      </c>
      <c r="K456" s="177" t="str">
        <f ca="1">IF(IF(U456="","",IF(U456=1,SUMIFS('Шаг1.Выбор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плиты'!C:Q,12,0)),1))))))=0,
U456,
IF(U456="","",IF(U456=1,SUMIFS('Шаг1.Выбор плиты'!$G:$G,'Шаг1.Выбор плиты'!J:J,"*"&amp;RIGHT(VLOOKUP(C456,'Шаг1.Выбор плиты'!C:Q,8,0),4),'Шаг1.Выбор плиты'!L:L,IF(MID(C456,1,6)="ЛДСП P","TM"&amp;MID(VLOOKUP(C456,'Шаг1.Выбор плиты'!C:Q,10,0),3,2),MID(VLOOKUP(C456,'Шаг1.Выбор плиты'!C:Q,10,0),1,2)),
'Шаг1.Выбор плиты'!N:N,1),IF(SUMIFS('Шаг1.Выбор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плиты'!C:Q,12,0)),1))=0,
IF(SUMIFS('Шаг1.Выбор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плиты'!C:Q,12,0)),2))=0,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плиты'!C:Q,12,0)),3)),
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плиты'!C:Q,12,0)),2))),
(SUMIFS('Шаг1.Выбор плиты'!$G:$G,'Шаг1.Выбор плиты'!J:J,"*"&amp;RIGHT(VLOOKUP(C456,'Шаг1.Выбор плиты'!C:Q,8,0),4),'Шаг1.Выбор плиты'!L:L,VLOOKUP(C456,'Шаг1.Выбор плиты'!C:Q,10,0),'Шаг1.Выбор плиты'!N:N,U456,'Шаг1.Выбор плиты'!M:M,SMALL(INDIRECT("мм"&amp;VLOOKUP(C456,'Шаг1.Выбор плиты'!C:Q,12,0)),1)))))))</f>
        <v/>
      </c>
      <c r="L456" s="147" t="str">
        <f ca="1">IFERROR(IFERROR(IF(VLOOKUP($A456,'Шаг2.Бланк заказа NEW'!$B$17:$N$201,9,0)="","",VLOOKUP($A456,'Шаг2.Бланк заказа NEW'!$B$17:$N$201,9,0)),
IF(VLOOKUP($A456-COUNT('Шаг2.Бланк заказа NEW'!$B$19:$B$201),'Бланк OLD 0.8 04'!$B$12:$K$200,9,0)="","",VLOOKUP($A456-COUNT('Шаг2.Бланк заказа NEW'!$B$19:$B$201),'Бланк OLD 0.8 04'!$B$12:$K$200,9,0))),
IF(VLOOKUP($A456-COUNT('Шаг2.Бланк заказа NEW'!$B$19:$B$201)-COUNT('Бланк OLD 0.8 04'!$B$18:$B$200),'Бланк OLD 2.0 04 '!$B$16:$K$200,9,0)="","",VLOOKUP($A456-COUNT('Шаг2.Бланк заказа NEW'!$B$19:$B$201)-COUNT('Бланк OLD 0.8 04'!$B$18:$B$200),'Бланк OLD 2.0 04 '!$B$16:$K$200,9,0)))</f>
        <v/>
      </c>
      <c r="M456" s="154" t="str">
        <f t="shared" ca="1" si="44"/>
        <v/>
      </c>
      <c r="N456" s="153" t="str">
        <f ca="1">IFERROR(IF(VLOOKUP($A456,'Шаг2.Бланк заказа NEW'!$B$17:$N$201,11,0)="","",VLOOKUP($A456,'Шаг2.Бланк заказа NEW'!$B$17:$N$201,11,0)),
"Нет")</f>
        <v/>
      </c>
      <c r="O456" s="147" t="str">
        <f ca="1">IFERROR(IF(VLOOKUP($A456,'Шаг2.Бланк заказа NEW'!$B$17:$N$201,11,0)="","",VLOOKUP($A456,'Шаг2.Бланк заказа NEW'!$B$17:$N$201,12,0)),
"Нет")</f>
        <v/>
      </c>
      <c r="P456" s="153" t="str">
        <f ca="1">IFERROR(IF(VLOOKUP($A456,'Шаг2.Бланк заказа NEW'!$B$17:$N$201,13,0)="","",VLOOKUP($A456,'Шаг2.Бланк заказа NEW'!$B$17:$N$201,13,0)),
"Нет")</f>
        <v/>
      </c>
      <c r="Q456" s="147" t="str">
        <f ca="1">IFERROR(IF(VLOOKUP($A456,'Шаг2.Бланк заказа NEW'!$B$17:$O$201,14,0)="","",VLOOKUP($A456,'Шаг2.Бланк заказа NEW'!$B$17:$O$201,14,0)),"")</f>
        <v/>
      </c>
      <c r="R456" s="147" t="str">
        <f ca="1">IFERROR(IFERROR(IF(VLOOKUP($A456,'Шаг2.Бланк заказа NEW'!$B$17:$N$201,4,0)="","",VLOOKUP($A456,'Шаг2.Бланк заказа NEW'!$B$17:$N$201,4,0)),
IF(VLOOKUP($A456-COUNT('Шаг2.Бланк заказа NEW'!$B$19:$B$201),'Бланк OLD 0.8 04'!$B$12:$K$200,4,0)&gt;0,0.8,
IF(VLOOKUP($A456-COUNT('Шаг2.Бланк заказа NEW'!$B$19:$B$201),'Бланк OLD 0.8 04'!$B$12:$K$200,5,0)&gt;0,0.4,""))),
IF(VLOOKUP($A456-COUNT('Шаг2.Бланк заказа NEW'!$B$19:$B$201)-COUNT('Бланк OLD 0.8 04'!$B$18:$B$200),'Бланк OLD 2.0 04 '!$B$16:$K$200,4,0)&gt;0,2,IF(VLOOKUP($A456-COUNT('Шаг2.Бланк заказа NEW'!$B$19:$B$201)-COUNT('Бланк OLD 0.8 04'!$B$18:$B$200),'Бланк OLD 2.0 04 '!$B$16:$K$200,5,0)&gt;0,0.4,"")))</f>
        <v/>
      </c>
      <c r="S456" s="147" t="str">
        <f ca="1">IFERROR(IFERROR(IF(VLOOKUP($A456,'Шаг2.Бланк заказа NEW'!$B$17:$N$201,5,0)="","",VLOOKUP($A456,'Шаг2.Бланк заказа NEW'!$B$17:$N$201,5,0)),
IF(VLOOKUP($A456-COUNT('Шаг2.Бланк заказа NEW'!$B$19:$B$201),'Бланк OLD 0.8 04'!$B$12:$K$200,4,0)&gt;1,0.8,
IF(VLOOKUP($A456-COUNT('Шаг2.Бланк заказа NEW'!$B$19:$B$201),'Бланк OLD 0.8 04'!$B$12:$K$200,5,0)&gt;1,0.4,
IF(AND(VLOOKUP($A456-COUNT('Шаг2.Бланк заказа NEW'!$B$19:$B$201),'Бланк OLD 0.8 04'!$B$12:$K$200,4,0)&gt;0,VLOOKUP($A456-COUNT('Шаг2.Бланк заказа NEW'!$B$19:$B$201),'Бланк OLD 0.8 04'!$B$12:$K$200,5,0)&gt;0),0.4,"")))),
IF(VLOOKUP($A456-COUNT('Шаг2.Бланк заказа NEW'!$B$19:$B$201)-COUNT('Бланк OLD 0.8 04'!$B$18:$B$200),'Бланк OLD 2.0 04 '!$B$16:$K$200,4,0)&gt;1,2,
IF(VLOOKUP($A456-COUNT('Шаг2.Бланк заказа NEW'!$B$19:$B$201)-COUNT('Бланк OLD 0.8 04'!$B$18:$B$200),'Бланк OLD 2.0 04 '!$B$16:$K$200,5,0)&gt;1,0.4,IF(AND(VLOOKUP($A456-COUNT('Шаг2.Бланк заказа NEW'!$B$19:$B$201)-COUNT('Бланк OLD 0.8 04'!$B$18:$B$200),'Бланк OLD 2.0 04 '!$B$16:$K$200,4,0)&gt;0,VLOOKUP($A456-COUNT('Шаг2.Бланк заказа NEW'!$B$19:$B$201)-COUNT('Бланк OLD 0.8 04'!$B$18:$B$200),'Бланк OLD 2.0 04 '!$B$16:$K$200,5,0)&gt;0),0.4,""))))</f>
        <v/>
      </c>
      <c r="T456" s="147" t="str">
        <f ca="1">IFERROR(IFERROR(IF(VLOOKUP($A456,'Шаг2.Бланк заказа NEW'!$B$17:$N$201,7,0)="","",VLOOKUP($A456,'Шаг2.Бланк заказа NEW'!$B$17:$N$201,7,0)),
IF(VLOOKUP($A456-COUNT('Шаг2.Бланк заказа NEW'!$B$19:$B$201),'Бланк OLD 0.8 04'!$B$12:$K$200,7,0)&gt;0,0.8,
IF(VLOOKUP($A456-COUNT('Шаг2.Бланк заказа NEW'!$B$19:$B$201),'Бланк OLD 0.8 04'!$B$12:$K$200,8,0)&gt;0,0.4,""))),
IF(VLOOKUP($A456-COUNT('Шаг2.Бланк заказа NEW'!$B$19:$B$201)-COUNT('Бланк OLD 0.8 04'!$B$18:$B$200),'Бланк OLD 2.0 04 '!$B$16:$K$200,7,0)&gt;0,2,IF(VLOOKUP($A456-COUNT('Шаг2.Бланк заказа NEW'!$B$19:$B$201)-COUNT('Бланк OLD 0.8 04'!$B$18:$B$200),'Бланк OLD 2.0 04 '!$B$16:$K$200,8,0)&gt;0,0.4,"")))</f>
        <v/>
      </c>
      <c r="U456" s="147" t="str">
        <f ca="1">IFERROR(IFERROR(IF(VLOOKUP($A456,'Шаг2.Бланк заказа NEW'!$B$17:$N$201,8,0)="","",VLOOKUP($A456,'Шаг2.Бланк заказа NEW'!$B$17:$N$201,8,0)),
IF(VLOOKUP($A456-COUNT('Шаг2.Бланк заказа NEW'!$B$19:$B$201),'Бланк OLD 0.8 04'!$B$12:$K$200,7,0)&gt;1,0.8,
IF(VLOOKUP($A456-COUNT('Шаг2.Бланк заказа NEW'!$B$19:$B$201),'Бланк OLD 0.8 04'!$B$12:$K$200,8,0)&gt;1,0.4,
IF(AND(VLOOKUP($A456-COUNT('Шаг2.Бланк заказа NEW'!$B$19:$B$201),'Бланк OLD 0.8 04'!$B$12:$K$200,7,0)&gt;0,VLOOKUP($A456-COUNT('Шаг2.Бланк заказа NEW'!$B$19:$B$201),'Бланк OLD 0.8 04'!$B$12:$K$200,8,0)&gt;0),0.4,"")))),
IF(VLOOKUP($A456-COUNT('Шаг2.Бланк заказа NEW'!$B$19:$B$201)-COUNT('Бланк OLD 0.8 04'!$B$18:$B$200),'Бланк OLD 2.0 04 '!$B$16:$K$200,7,0)&gt;1,2,
IF(VLOOKUP($A456-COUNT('Шаг2.Бланк заказа NEW'!$B$19:$B$201)-COUNT('Бланк OLD 0.8 04'!$B$18:$B$200),'Бланк OLD 2.0 04 '!$B$16:$K$200,8,0)&gt;1,0.4,
IF(AND(VLOOKUP($A456-COUNT('Шаг2.Бланк заказа NEW'!$B$19:$B$201)-COUNT('Бланк OLD 0.8 04'!$B$18:$B$200),'Бланк OLD 2.0 04 '!$B$16:$K$200,7,0)&gt;0,VLOOKUP($A456-COUNT('Шаг2.Бланк заказа NEW'!$B$19:$B$201)-COUNT('Бланк OLD 0.8 04'!$B$18:$B$200),'Бланк OLD 2.0 04 '!$B$16:$K$200,8,0)&gt;0),0.4,""))))</f>
        <v/>
      </c>
      <c r="V456" s="146" t="str">
        <f ca="1">IFERROR(VLOOKUP(C456,'Шаг1.Выбор плиты'!C:S,12,0),"")</f>
        <v/>
      </c>
      <c r="W456" s="146" t="str">
        <f ca="1">IFERROR(VLOOKUP(C456,'Шаг1.Выбор плиты'!C:S,8,0),"")</f>
        <v/>
      </c>
      <c r="X456" s="146" t="str">
        <f ca="1">IFERROR(VLOOKUP(C456,'Шаг1.Выбор плиты'!C:S,10,0),"")</f>
        <v/>
      </c>
      <c r="Y456" s="147" t="str">
        <f t="shared" ca="1" si="46"/>
        <v/>
      </c>
      <c r="AD456" s="147" t="str">
        <f t="shared" ca="1" si="42"/>
        <v/>
      </c>
      <c r="AE456" s="147" t="str">
        <f t="shared" ca="1" si="47"/>
        <v/>
      </c>
      <c r="AF456" s="25"/>
      <c r="AH456" s="147" t="str">
        <f ca="1">IF(C456="","",VLOOKUP(C456,'Шаг1.Выбор плиты'!C:Q,7,0))</f>
        <v/>
      </c>
      <c r="AI456" s="147" t="str">
        <f t="shared" ca="1" si="45"/>
        <v/>
      </c>
    </row>
    <row r="457" spans="1:35" x14ac:dyDescent="0.2">
      <c r="A457" s="151" t="str">
        <f ca="1">IF(C457="","",MAX($A$1:OFFSET(C457,-1,0))+1)</f>
        <v/>
      </c>
      <c r="B457" s="151" t="str">
        <f ca="1">IFERROR(IFERROR(IFERROR("Шаг2.Бланк заказа NEW №"&amp;VLOOKUP(A456+1,CHOOSE({1,2},'Шаг2.Бланк заказа NEW'!$B$19:$B$201,'Шаг2.Бланк заказа NEW'!$A$19:$A$201),1,0),
"Бланк OLD 0.8 04 №"&amp;VLOOKUP(A456+1-COUNT('Шаг2.Бланк заказа NEW'!$B$19:$B$201),CHOOSE({1,2},'Бланк OLD 0.8 04'!$B$18:$B$200,'Бланк OLD 0.8 04'!$A$18:$A$200),1,0)),
"Бланк OLD 2.0 04 №"&amp;VLOOKUP(A456+1-COUNT('Шаг2.Бланк заказа NEW'!$B$19:$B$201)-COUNT('Бланк OLD 0.8 04'!$B$18:$B$200),CHOOSE({1,2},'Бланк OLD 2.0 04 '!$B$18:$B$200,'Бланк OLD 2.0 04 '!$A$18:$A$200),1,0)),"")</f>
        <v/>
      </c>
      <c r="C457" s="152" t="str">
        <f ca="1">IFERROR(IFERROR(IFERROR(VLOOKUP(A456+1,CHOOSE({1,2},'Шаг2.Бланк заказа NEW'!$B$19:$B$201,'Шаг2.Бланк заказа NEW'!$A$19:$A$201),2,0),
VLOOKUP(A456+1-COUNT('Шаг2.Бланк заказа NEW'!$B$19:$B$201),CHOOSE({1,2},'Бланк OLD 0.8 04'!$B$18:$B$200,'Бланк OLD 0.8 04'!$A$18:$A$200),2,0)),
VLOOKUP(A456+1-COUNT('Шаг2.Бланк заказа NEW'!$B$19:$B$201)-COUNT('Бланк OLD 0.8 04'!$B$18:$B$200),CHOOSE({1,2},'Бланк OLD 2.0 04 '!$B$18:$B$200,'Бланк OLD 2.0 04 '!$A$18:$A$200),2,0)),"")</f>
        <v/>
      </c>
      <c r="D457" s="150" t="str">
        <f ca="1">IFERROR(VLOOKUP(C457,'Шаг1.Выбор плиты'!C:G,5,0),"")</f>
        <v/>
      </c>
      <c r="E457" s="147" t="str">
        <f ca="1">IFERROR(IFERROR(IF(VLOOKUP($A457,'Шаг2.Бланк заказа NEW'!$B$17:$N$201,2,0)="","",VLOOKUP($A457,'Шаг2.Бланк заказа NEW'!$B$17:$N$201,2,0)),
IF(VLOOKUP($A457-COUNT('Шаг2.Бланк заказа NEW'!$B$19:$B$201),'Бланк OLD 0.8 04'!$B$12:$K$200,2,0)="","",VLOOKUP($A457-COUNT('Шаг2.Бланк заказа NEW'!$B$19:$B$201),'Бланк OLD 0.8 04'!$B$12:$K$200,2,0))),
IF(VLOOKUP($A457-COUNT('Шаг2.Бланк заказа NEW'!$B$19:$B$201)-COUNT('Бланк OLD 0.8 04'!$B$18:$B$200),'Бланк OLD 2.0 04 '!$B$16:$K$200,2,0)="","",VLOOKUP($A457-COUNT('Шаг2.Бланк заказа NEW'!$B$19:$B$201)-COUNT('Бланк OLD 0.8 04'!$B$18:$B$200),'Бланк OLD 2.0 04 '!$B$16:$K$200,2,0)))</f>
        <v/>
      </c>
      <c r="F457" s="147" t="str">
        <f ca="1">IFERROR(IFERROR(IF(VLOOKUP($A457,'Шаг2.Бланк заказа NEW'!$B$17:$N$201,3,0)="","",VLOOKUP($A457,'Шаг2.Бланк заказа NEW'!$B$17:$N$201,3,0)),
IF(VLOOKUP($A457-COUNT('Шаг2.Бланк заказа NEW'!$B$19:$B$201),'Бланк OLD 0.8 04'!$B$12:$K$200,3,0)="","",VLOOKUP($A457-COUNT('Шаг2.Бланк заказа NEW'!$B$19:$B$201),'Бланк OLD 0.8 04'!$B$12:$K$200,3,0))),
IF(VLOOKUP($A457-COUNT('Шаг2.Бланк заказа NEW'!$B$19:$B$201)-COUNT('Бланк OLD 0.8 04'!$B$18:$B$200),'Бланк OLD 2.0 04 '!$B$16:$K$200,3,0)="","",VLOOKUP($A457-COUNT('Шаг2.Бланк заказа NEW'!$B$19:$B$201)-COUNT('Бланк OLD 0.8 04'!$B$18:$B$200),'Бланк OLD 2.0 04 '!$B$16:$K$200,3,0)))</f>
        <v/>
      </c>
      <c r="G457" s="176" t="str">
        <f ca="1">IF(IF(R457="","",IF(R457=1,SUMIFS('Шаг1.Выбор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плиты'!C:Q,12,0)),1))))))=0,
R457,
IF(R457="","",IF(R457=1,SUMIFS('Шаг1.Выбор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плиты'!N:N,R457,'Шаг1.Выбор плиты'!M:M,SMALL(INDIRECT("мм"&amp;VLOOKUP(C457,'Шаг1.Выбор плиты'!C:Q,12,0)),1)))))))</f>
        <v/>
      </c>
      <c r="H457" s="177" t="str">
        <f ca="1">IF(IF(S457="","",IF(S457=1,SUMIFS('Шаг1.Выбор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плиты'!C:Q,12,0)),1))))))=0,
S457,
IF(S457="","",IF(S457=1,SUMIFS('Шаг1.Выбор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плиты'!N:N,S457,'Шаг1.Выбор плиты'!M:M,SMALL(INDIRECT("мм"&amp;VLOOKUP(C457,'Шаг1.Выбор плиты'!C:Q,12,0)),1)))))))</f>
        <v/>
      </c>
      <c r="I457" s="147" t="str">
        <f ca="1">IFERROR(IFERROR(IF(VLOOKUP($A457,'Шаг2.Бланк заказа NEW'!$B$17:$N$201,6,0)="","",VLOOKUP($A457,'Шаг2.Бланк заказа NEW'!$B$17:$N$201,6,0)),
IF(VLOOKUP($A457-COUNT('Шаг2.Бланк заказа NEW'!$B$19:$B$201),'Бланк OLD 0.8 04'!$B$12:$K$200,6,0)="","",VLOOKUP($A457-COUNT('Шаг2.Бланк заказа NEW'!$B$19:$B$201),'Бланк OLD 0.8 04'!$B$12:$K$200,6,0))),
IF(VLOOKUP($A457-COUNT('Шаг2.Бланк заказа NEW'!$B$19:$B$201)-COUNT('Бланк OLD 0.8 04'!$B$18:$B$200),'Бланк OLD 2.0 04 '!$B$16:$K$200,6,0)="","",VLOOKUP($A457-COUNT('Шаг2.Бланк заказа NEW'!$B$19:$B$201)-COUNT('Бланк OLD 0.8 04'!$B$18:$B$200),'Бланк OLD 2.0 04 '!$B$16:$K$200,6,0)))</f>
        <v/>
      </c>
      <c r="J457" s="177" t="str">
        <f ca="1">IF(IF(T457="","",IF(T457=1,SUMIFS('Шаг1.Выбор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плиты'!C:Q,12,0)),1))))))=0,
T457,
IF(T457="","",IF(T457=1,SUMIFS('Шаг1.Выбор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плиты'!N:N,T457,'Шаг1.Выбор плиты'!M:M,SMALL(INDIRECT("мм"&amp;VLOOKUP(C457,'Шаг1.Выбор плиты'!C:Q,12,0)),1)))))))</f>
        <v/>
      </c>
      <c r="K457" s="177" t="str">
        <f ca="1">IF(IF(U457="","",IF(U457=1,SUMIFS('Шаг1.Выбор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плиты'!C:Q,12,0)),1))))))=0,
U457,
IF(U457="","",IF(U457=1,SUMIFS('Шаг1.Выбор плиты'!$G:$G,'Шаг1.Выбор плиты'!J:J,"*"&amp;RIGHT(VLOOKUP(C457,'Шаг1.Выбор плиты'!C:Q,8,0),4),'Шаг1.Выбор плиты'!L:L,IF(MID(C457,1,6)="ЛДСП P","TM"&amp;MID(VLOOKUP(C457,'Шаг1.Выбор плиты'!C:Q,10,0),3,2),MID(VLOOKUP(C457,'Шаг1.Выбор плиты'!C:Q,10,0),1,2)),
'Шаг1.Выбор плиты'!N:N,1),IF(SUMIFS('Шаг1.Выбор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плиты'!C:Q,12,0)),1))=0,
IF(SUMIFS('Шаг1.Выбор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плиты'!C:Q,12,0)),2))=0,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плиты'!C:Q,12,0)),3)),
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плиты'!C:Q,12,0)),2))),
(SUMIFS('Шаг1.Выбор плиты'!$G:$G,'Шаг1.Выбор плиты'!J:J,"*"&amp;RIGHT(VLOOKUP(C457,'Шаг1.Выбор плиты'!C:Q,8,0),4),'Шаг1.Выбор плиты'!L:L,VLOOKUP(C457,'Шаг1.Выбор плиты'!C:Q,10,0),'Шаг1.Выбор плиты'!N:N,U457,'Шаг1.Выбор плиты'!M:M,SMALL(INDIRECT("мм"&amp;VLOOKUP(C457,'Шаг1.Выбор плиты'!C:Q,12,0)),1)))))))</f>
        <v/>
      </c>
      <c r="L457" s="147" t="str">
        <f ca="1">IFERROR(IFERROR(IF(VLOOKUP($A457,'Шаг2.Бланк заказа NEW'!$B$17:$N$201,9,0)="","",VLOOKUP($A457,'Шаг2.Бланк заказа NEW'!$B$17:$N$201,9,0)),
IF(VLOOKUP($A457-COUNT('Шаг2.Бланк заказа NEW'!$B$19:$B$201),'Бланк OLD 0.8 04'!$B$12:$K$200,9,0)="","",VLOOKUP($A457-COUNT('Шаг2.Бланк заказа NEW'!$B$19:$B$201),'Бланк OLD 0.8 04'!$B$12:$K$200,9,0))),
IF(VLOOKUP($A457-COUNT('Шаг2.Бланк заказа NEW'!$B$19:$B$201)-COUNT('Бланк OLD 0.8 04'!$B$18:$B$200),'Бланк OLD 2.0 04 '!$B$16:$K$200,9,0)="","",VLOOKUP($A457-COUNT('Шаг2.Бланк заказа NEW'!$B$19:$B$201)-COUNT('Бланк OLD 0.8 04'!$B$18:$B$200),'Бланк OLD 2.0 04 '!$B$16:$K$200,9,0)))</f>
        <v/>
      </c>
      <c r="M457" s="154" t="str">
        <f t="shared" ca="1" si="44"/>
        <v/>
      </c>
      <c r="N457" s="153" t="str">
        <f ca="1">IFERROR(IF(VLOOKUP($A457,'Шаг2.Бланк заказа NEW'!$B$17:$N$201,11,0)="","",VLOOKUP($A457,'Шаг2.Бланк заказа NEW'!$B$17:$N$201,11,0)),
"Нет")</f>
        <v/>
      </c>
      <c r="O457" s="147" t="str">
        <f ca="1">IFERROR(IF(VLOOKUP($A457,'Шаг2.Бланк заказа NEW'!$B$17:$N$201,11,0)="","",VLOOKUP($A457,'Шаг2.Бланк заказа NEW'!$B$17:$N$201,12,0)),
"Нет")</f>
        <v/>
      </c>
      <c r="P457" s="153" t="str">
        <f ca="1">IFERROR(IF(VLOOKUP($A457,'Шаг2.Бланк заказа NEW'!$B$17:$N$201,13,0)="","",VLOOKUP($A457,'Шаг2.Бланк заказа NEW'!$B$17:$N$201,13,0)),
"Нет")</f>
        <v/>
      </c>
      <c r="Q457" s="147" t="str">
        <f ca="1">IFERROR(IF(VLOOKUP($A457,'Шаг2.Бланк заказа NEW'!$B$17:$O$201,14,0)="","",VLOOKUP($A457,'Шаг2.Бланк заказа NEW'!$B$17:$O$201,14,0)),"")</f>
        <v/>
      </c>
      <c r="R457" s="147" t="str">
        <f ca="1">IFERROR(IFERROR(IF(VLOOKUP($A457,'Шаг2.Бланк заказа NEW'!$B$17:$N$201,4,0)="","",VLOOKUP($A457,'Шаг2.Бланк заказа NEW'!$B$17:$N$201,4,0)),
IF(VLOOKUP($A457-COUNT('Шаг2.Бланк заказа NEW'!$B$19:$B$201),'Бланк OLD 0.8 04'!$B$12:$K$200,4,0)&gt;0,0.8,
IF(VLOOKUP($A457-COUNT('Шаг2.Бланк заказа NEW'!$B$19:$B$201),'Бланк OLD 0.8 04'!$B$12:$K$200,5,0)&gt;0,0.4,""))),
IF(VLOOKUP($A457-COUNT('Шаг2.Бланк заказа NEW'!$B$19:$B$201)-COUNT('Бланк OLD 0.8 04'!$B$18:$B$200),'Бланк OLD 2.0 04 '!$B$16:$K$200,4,0)&gt;0,2,IF(VLOOKUP($A457-COUNT('Шаг2.Бланк заказа NEW'!$B$19:$B$201)-COUNT('Бланк OLD 0.8 04'!$B$18:$B$200),'Бланк OLD 2.0 04 '!$B$16:$K$200,5,0)&gt;0,0.4,"")))</f>
        <v/>
      </c>
      <c r="S457" s="147" t="str">
        <f ca="1">IFERROR(IFERROR(IF(VLOOKUP($A457,'Шаг2.Бланк заказа NEW'!$B$17:$N$201,5,0)="","",VLOOKUP($A457,'Шаг2.Бланк заказа NEW'!$B$17:$N$201,5,0)),
IF(VLOOKUP($A457-COUNT('Шаг2.Бланк заказа NEW'!$B$19:$B$201),'Бланк OLD 0.8 04'!$B$12:$K$200,4,0)&gt;1,0.8,
IF(VLOOKUP($A457-COUNT('Шаг2.Бланк заказа NEW'!$B$19:$B$201),'Бланк OLD 0.8 04'!$B$12:$K$200,5,0)&gt;1,0.4,
IF(AND(VLOOKUP($A457-COUNT('Шаг2.Бланк заказа NEW'!$B$19:$B$201),'Бланк OLD 0.8 04'!$B$12:$K$200,4,0)&gt;0,VLOOKUP($A457-COUNT('Шаг2.Бланк заказа NEW'!$B$19:$B$201),'Бланк OLD 0.8 04'!$B$12:$K$200,5,0)&gt;0),0.4,"")))),
IF(VLOOKUP($A457-COUNT('Шаг2.Бланк заказа NEW'!$B$19:$B$201)-COUNT('Бланк OLD 0.8 04'!$B$18:$B$200),'Бланк OLD 2.0 04 '!$B$16:$K$200,4,0)&gt;1,2,
IF(VLOOKUP($A457-COUNT('Шаг2.Бланк заказа NEW'!$B$19:$B$201)-COUNT('Бланк OLD 0.8 04'!$B$18:$B$200),'Бланк OLD 2.0 04 '!$B$16:$K$200,5,0)&gt;1,0.4,IF(AND(VLOOKUP($A457-COUNT('Шаг2.Бланк заказа NEW'!$B$19:$B$201)-COUNT('Бланк OLD 0.8 04'!$B$18:$B$200),'Бланк OLD 2.0 04 '!$B$16:$K$200,4,0)&gt;0,VLOOKUP($A457-COUNT('Шаг2.Бланк заказа NEW'!$B$19:$B$201)-COUNT('Бланк OLD 0.8 04'!$B$18:$B$200),'Бланк OLD 2.0 04 '!$B$16:$K$200,5,0)&gt;0),0.4,""))))</f>
        <v/>
      </c>
      <c r="T457" s="147" t="str">
        <f ca="1">IFERROR(IFERROR(IF(VLOOKUP($A457,'Шаг2.Бланк заказа NEW'!$B$17:$N$201,7,0)="","",VLOOKUP($A457,'Шаг2.Бланк заказа NEW'!$B$17:$N$201,7,0)),
IF(VLOOKUP($A457-COUNT('Шаг2.Бланк заказа NEW'!$B$19:$B$201),'Бланк OLD 0.8 04'!$B$12:$K$200,7,0)&gt;0,0.8,
IF(VLOOKUP($A457-COUNT('Шаг2.Бланк заказа NEW'!$B$19:$B$201),'Бланк OLD 0.8 04'!$B$12:$K$200,8,0)&gt;0,0.4,""))),
IF(VLOOKUP($A457-COUNT('Шаг2.Бланк заказа NEW'!$B$19:$B$201)-COUNT('Бланк OLD 0.8 04'!$B$18:$B$200),'Бланк OLD 2.0 04 '!$B$16:$K$200,7,0)&gt;0,2,IF(VLOOKUP($A457-COUNT('Шаг2.Бланк заказа NEW'!$B$19:$B$201)-COUNT('Бланк OLD 0.8 04'!$B$18:$B$200),'Бланк OLD 2.0 04 '!$B$16:$K$200,8,0)&gt;0,0.4,"")))</f>
        <v/>
      </c>
      <c r="U457" s="147" t="str">
        <f ca="1">IFERROR(IFERROR(IF(VLOOKUP($A457,'Шаг2.Бланк заказа NEW'!$B$17:$N$201,8,0)="","",VLOOKUP($A457,'Шаг2.Бланк заказа NEW'!$B$17:$N$201,8,0)),
IF(VLOOKUP($A457-COUNT('Шаг2.Бланк заказа NEW'!$B$19:$B$201),'Бланк OLD 0.8 04'!$B$12:$K$200,7,0)&gt;1,0.8,
IF(VLOOKUP($A457-COUNT('Шаг2.Бланк заказа NEW'!$B$19:$B$201),'Бланк OLD 0.8 04'!$B$12:$K$200,8,0)&gt;1,0.4,
IF(AND(VLOOKUP($A457-COUNT('Шаг2.Бланк заказа NEW'!$B$19:$B$201),'Бланк OLD 0.8 04'!$B$12:$K$200,7,0)&gt;0,VLOOKUP($A457-COUNT('Шаг2.Бланк заказа NEW'!$B$19:$B$201),'Бланк OLD 0.8 04'!$B$12:$K$200,8,0)&gt;0),0.4,"")))),
IF(VLOOKUP($A457-COUNT('Шаг2.Бланк заказа NEW'!$B$19:$B$201)-COUNT('Бланк OLD 0.8 04'!$B$18:$B$200),'Бланк OLD 2.0 04 '!$B$16:$K$200,7,0)&gt;1,2,
IF(VLOOKUP($A457-COUNT('Шаг2.Бланк заказа NEW'!$B$19:$B$201)-COUNT('Бланк OLD 0.8 04'!$B$18:$B$200),'Бланк OLD 2.0 04 '!$B$16:$K$200,8,0)&gt;1,0.4,
IF(AND(VLOOKUP($A457-COUNT('Шаг2.Бланк заказа NEW'!$B$19:$B$201)-COUNT('Бланк OLD 0.8 04'!$B$18:$B$200),'Бланк OLD 2.0 04 '!$B$16:$K$200,7,0)&gt;0,VLOOKUP($A457-COUNT('Шаг2.Бланк заказа NEW'!$B$19:$B$201)-COUNT('Бланк OLD 0.8 04'!$B$18:$B$200),'Бланк OLD 2.0 04 '!$B$16:$K$200,8,0)&gt;0),0.4,""))))</f>
        <v/>
      </c>
      <c r="V457" s="146" t="str">
        <f ca="1">IFERROR(VLOOKUP(C457,'Шаг1.Выбор плиты'!C:S,12,0),"")</f>
        <v/>
      </c>
      <c r="W457" s="146" t="str">
        <f ca="1">IFERROR(VLOOKUP(C457,'Шаг1.Выбор плиты'!C:S,8,0),"")</f>
        <v/>
      </c>
      <c r="X457" s="146" t="str">
        <f ca="1">IFERROR(VLOOKUP(C457,'Шаг1.Выбор плиты'!C:S,10,0),"")</f>
        <v/>
      </c>
      <c r="Y457" s="147" t="str">
        <f t="shared" ca="1" si="46"/>
        <v/>
      </c>
      <c r="AD457" s="147" t="str">
        <f t="shared" ca="1" si="42"/>
        <v/>
      </c>
      <c r="AE457" s="147" t="str">
        <f t="shared" ca="1" si="47"/>
        <v/>
      </c>
      <c r="AF457" s="25"/>
      <c r="AH457" s="147" t="str">
        <f ca="1">IF(C457="","",VLOOKUP(C457,'Шаг1.Выбор плиты'!C:Q,7,0))</f>
        <v/>
      </c>
      <c r="AI457" s="147" t="str">
        <f t="shared" ca="1" si="45"/>
        <v/>
      </c>
    </row>
    <row r="458" spans="1:35" x14ac:dyDescent="0.2">
      <c r="A458" s="151" t="str">
        <f ca="1">IF(C458="","",MAX($A$1:OFFSET(C458,-1,0))+1)</f>
        <v/>
      </c>
      <c r="B458" s="151" t="str">
        <f ca="1">IFERROR(IFERROR(IFERROR("Шаг2.Бланк заказа NEW №"&amp;VLOOKUP(A457+1,CHOOSE({1,2},'Шаг2.Бланк заказа NEW'!$B$19:$B$201,'Шаг2.Бланк заказа NEW'!$A$19:$A$201),1,0),
"Бланк OLD 0.8 04 №"&amp;VLOOKUP(A457+1-COUNT('Шаг2.Бланк заказа NEW'!$B$19:$B$201),CHOOSE({1,2},'Бланк OLD 0.8 04'!$B$18:$B$200,'Бланк OLD 0.8 04'!$A$18:$A$200),1,0)),
"Бланк OLD 2.0 04 №"&amp;VLOOKUP(A457+1-COUNT('Шаг2.Бланк заказа NEW'!$B$19:$B$201)-COUNT('Бланк OLD 0.8 04'!$B$18:$B$200),CHOOSE({1,2},'Бланк OLD 2.0 04 '!$B$18:$B$200,'Бланк OLD 2.0 04 '!$A$18:$A$200),1,0)),"")</f>
        <v/>
      </c>
      <c r="C458" s="152" t="str">
        <f ca="1">IFERROR(IFERROR(IFERROR(VLOOKUP(A457+1,CHOOSE({1,2},'Шаг2.Бланк заказа NEW'!$B$19:$B$201,'Шаг2.Бланк заказа NEW'!$A$19:$A$201),2,0),
VLOOKUP(A457+1-COUNT('Шаг2.Бланк заказа NEW'!$B$19:$B$201),CHOOSE({1,2},'Бланк OLD 0.8 04'!$B$18:$B$200,'Бланк OLD 0.8 04'!$A$18:$A$200),2,0)),
VLOOKUP(A457+1-COUNT('Шаг2.Бланк заказа NEW'!$B$19:$B$201)-COUNT('Бланк OLD 0.8 04'!$B$18:$B$200),CHOOSE({1,2},'Бланк OLD 2.0 04 '!$B$18:$B$200,'Бланк OLD 2.0 04 '!$A$18:$A$200),2,0)),"")</f>
        <v/>
      </c>
      <c r="D458" s="150" t="str">
        <f ca="1">IFERROR(VLOOKUP(C458,'Шаг1.Выбор плиты'!C:G,5,0),"")</f>
        <v/>
      </c>
      <c r="E458" s="147" t="str">
        <f ca="1">IFERROR(IFERROR(IF(VLOOKUP($A458,'Шаг2.Бланк заказа NEW'!$B$17:$N$201,2,0)="","",VLOOKUP($A458,'Шаг2.Бланк заказа NEW'!$B$17:$N$201,2,0)),
IF(VLOOKUP($A458-COUNT('Шаг2.Бланк заказа NEW'!$B$19:$B$201),'Бланк OLD 0.8 04'!$B$12:$K$200,2,0)="","",VLOOKUP($A458-COUNT('Шаг2.Бланк заказа NEW'!$B$19:$B$201),'Бланк OLD 0.8 04'!$B$12:$K$200,2,0))),
IF(VLOOKUP($A458-COUNT('Шаг2.Бланк заказа NEW'!$B$19:$B$201)-COUNT('Бланк OLD 0.8 04'!$B$18:$B$200),'Бланк OLD 2.0 04 '!$B$16:$K$200,2,0)="","",VLOOKUP($A458-COUNT('Шаг2.Бланк заказа NEW'!$B$19:$B$201)-COUNT('Бланк OLD 0.8 04'!$B$18:$B$200),'Бланк OLD 2.0 04 '!$B$16:$K$200,2,0)))</f>
        <v/>
      </c>
      <c r="F458" s="147" t="str">
        <f ca="1">IFERROR(IFERROR(IF(VLOOKUP($A458,'Шаг2.Бланк заказа NEW'!$B$17:$N$201,3,0)="","",VLOOKUP($A458,'Шаг2.Бланк заказа NEW'!$B$17:$N$201,3,0)),
IF(VLOOKUP($A458-COUNT('Шаг2.Бланк заказа NEW'!$B$19:$B$201),'Бланк OLD 0.8 04'!$B$12:$K$200,3,0)="","",VLOOKUP($A458-COUNT('Шаг2.Бланк заказа NEW'!$B$19:$B$201),'Бланк OLD 0.8 04'!$B$12:$K$200,3,0))),
IF(VLOOKUP($A458-COUNT('Шаг2.Бланк заказа NEW'!$B$19:$B$201)-COUNT('Бланк OLD 0.8 04'!$B$18:$B$200),'Бланк OLD 2.0 04 '!$B$16:$K$200,3,0)="","",VLOOKUP($A458-COUNT('Шаг2.Бланк заказа NEW'!$B$19:$B$201)-COUNT('Бланк OLD 0.8 04'!$B$18:$B$200),'Бланк OLD 2.0 04 '!$B$16:$K$200,3,0)))</f>
        <v/>
      </c>
      <c r="G458" s="176" t="str">
        <f ca="1">IF(IF(R458="","",IF(R458=1,SUMIFS('Шаг1.Выбор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плиты'!C:Q,12,0)),1))))))=0,
R458,
IF(R458="","",IF(R458=1,SUMIFS('Шаг1.Выбор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плиты'!N:N,R458,'Шаг1.Выбор плиты'!M:M,SMALL(INDIRECT("мм"&amp;VLOOKUP(C458,'Шаг1.Выбор плиты'!C:Q,12,0)),1)))))))</f>
        <v/>
      </c>
      <c r="H458" s="177" t="str">
        <f ca="1">IF(IF(S458="","",IF(S458=1,SUMIFS('Шаг1.Выбор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плиты'!C:Q,12,0)),1))))))=0,
S458,
IF(S458="","",IF(S458=1,SUMIFS('Шаг1.Выбор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плиты'!N:N,S458,'Шаг1.Выбор плиты'!M:M,SMALL(INDIRECT("мм"&amp;VLOOKUP(C458,'Шаг1.Выбор плиты'!C:Q,12,0)),1)))))))</f>
        <v/>
      </c>
      <c r="I458" s="147" t="str">
        <f ca="1">IFERROR(IFERROR(IF(VLOOKUP($A458,'Шаг2.Бланк заказа NEW'!$B$17:$N$201,6,0)="","",VLOOKUP($A458,'Шаг2.Бланк заказа NEW'!$B$17:$N$201,6,0)),
IF(VLOOKUP($A458-COUNT('Шаг2.Бланк заказа NEW'!$B$19:$B$201),'Бланк OLD 0.8 04'!$B$12:$K$200,6,0)="","",VLOOKUP($A458-COUNT('Шаг2.Бланк заказа NEW'!$B$19:$B$201),'Бланк OLD 0.8 04'!$B$12:$K$200,6,0))),
IF(VLOOKUP($A458-COUNT('Шаг2.Бланк заказа NEW'!$B$19:$B$201)-COUNT('Бланк OLD 0.8 04'!$B$18:$B$200),'Бланк OLD 2.0 04 '!$B$16:$K$200,6,0)="","",VLOOKUP($A458-COUNT('Шаг2.Бланк заказа NEW'!$B$19:$B$201)-COUNT('Бланк OLD 0.8 04'!$B$18:$B$200),'Бланк OLD 2.0 04 '!$B$16:$K$200,6,0)))</f>
        <v/>
      </c>
      <c r="J458" s="177" t="str">
        <f ca="1">IF(IF(T458="","",IF(T458=1,SUMIFS('Шаг1.Выбор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плиты'!C:Q,12,0)),1))))))=0,
T458,
IF(T458="","",IF(T458=1,SUMIFS('Шаг1.Выбор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плиты'!N:N,T458,'Шаг1.Выбор плиты'!M:M,SMALL(INDIRECT("мм"&amp;VLOOKUP(C458,'Шаг1.Выбор плиты'!C:Q,12,0)),1)))))))</f>
        <v/>
      </c>
      <c r="K458" s="177" t="str">
        <f ca="1">IF(IF(U458="","",IF(U458=1,SUMIFS('Шаг1.Выбор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плиты'!C:Q,12,0)),1))))))=0,
U458,
IF(U458="","",IF(U458=1,SUMIFS('Шаг1.Выбор плиты'!$G:$G,'Шаг1.Выбор плиты'!J:J,"*"&amp;RIGHT(VLOOKUP(C458,'Шаг1.Выбор плиты'!C:Q,8,0),4),'Шаг1.Выбор плиты'!L:L,IF(MID(C458,1,6)="ЛДСП P","TM"&amp;MID(VLOOKUP(C458,'Шаг1.Выбор плиты'!C:Q,10,0),3,2),MID(VLOOKUP(C458,'Шаг1.Выбор плиты'!C:Q,10,0),1,2)),
'Шаг1.Выбор плиты'!N:N,1),IF(SUMIFS('Шаг1.Выбор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плиты'!C:Q,12,0)),1))=0,
IF(SUMIFS('Шаг1.Выбор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плиты'!C:Q,12,0)),2))=0,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плиты'!C:Q,12,0)),3)),
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плиты'!C:Q,12,0)),2))),
(SUMIFS('Шаг1.Выбор плиты'!$G:$G,'Шаг1.Выбор плиты'!J:J,"*"&amp;RIGHT(VLOOKUP(C458,'Шаг1.Выбор плиты'!C:Q,8,0),4),'Шаг1.Выбор плиты'!L:L,VLOOKUP(C458,'Шаг1.Выбор плиты'!C:Q,10,0),'Шаг1.Выбор плиты'!N:N,U458,'Шаг1.Выбор плиты'!M:M,SMALL(INDIRECT("мм"&amp;VLOOKUP(C458,'Шаг1.Выбор плиты'!C:Q,12,0)),1)))))))</f>
        <v/>
      </c>
      <c r="L458" s="147" t="str">
        <f ca="1">IFERROR(IFERROR(IF(VLOOKUP($A458,'Шаг2.Бланк заказа NEW'!$B$17:$N$201,9,0)="","",VLOOKUP($A458,'Шаг2.Бланк заказа NEW'!$B$17:$N$201,9,0)),
IF(VLOOKUP($A458-COUNT('Шаг2.Бланк заказа NEW'!$B$19:$B$201),'Бланк OLD 0.8 04'!$B$12:$K$200,9,0)="","",VLOOKUP($A458-COUNT('Шаг2.Бланк заказа NEW'!$B$19:$B$201),'Бланк OLD 0.8 04'!$B$12:$K$200,9,0))),
IF(VLOOKUP($A458-COUNT('Шаг2.Бланк заказа NEW'!$B$19:$B$201)-COUNT('Бланк OLD 0.8 04'!$B$18:$B$200),'Бланк OLD 2.0 04 '!$B$16:$K$200,9,0)="","",VLOOKUP($A458-COUNT('Шаг2.Бланк заказа NEW'!$B$19:$B$201)-COUNT('Бланк OLD 0.8 04'!$B$18:$B$200),'Бланк OLD 2.0 04 '!$B$16:$K$200,9,0)))</f>
        <v/>
      </c>
      <c r="M458" s="154" t="str">
        <f t="shared" ca="1" si="44"/>
        <v/>
      </c>
      <c r="N458" s="153" t="str">
        <f ca="1">IFERROR(IF(VLOOKUP($A458,'Шаг2.Бланк заказа NEW'!$B$17:$N$201,11,0)="","",VLOOKUP($A458,'Шаг2.Бланк заказа NEW'!$B$17:$N$201,11,0)),
"Нет")</f>
        <v/>
      </c>
      <c r="O458" s="147" t="str">
        <f ca="1">IFERROR(IF(VLOOKUP($A458,'Шаг2.Бланк заказа NEW'!$B$17:$N$201,11,0)="","",VLOOKUP($A458,'Шаг2.Бланк заказа NEW'!$B$17:$N$201,12,0)),
"Нет")</f>
        <v/>
      </c>
      <c r="P458" s="153" t="str">
        <f ca="1">IFERROR(IF(VLOOKUP($A458,'Шаг2.Бланк заказа NEW'!$B$17:$N$201,13,0)="","",VLOOKUP($A458,'Шаг2.Бланк заказа NEW'!$B$17:$N$201,13,0)),
"Нет")</f>
        <v/>
      </c>
      <c r="Q458" s="147" t="str">
        <f ca="1">IFERROR(IF(VLOOKUP($A458,'Шаг2.Бланк заказа NEW'!$B$17:$O$201,14,0)="","",VLOOKUP($A458,'Шаг2.Бланк заказа NEW'!$B$17:$O$201,14,0)),"")</f>
        <v/>
      </c>
      <c r="R458" s="147" t="str">
        <f ca="1">IFERROR(IFERROR(IF(VLOOKUP($A458,'Шаг2.Бланк заказа NEW'!$B$17:$N$201,4,0)="","",VLOOKUP($A458,'Шаг2.Бланк заказа NEW'!$B$17:$N$201,4,0)),
IF(VLOOKUP($A458-COUNT('Шаг2.Бланк заказа NEW'!$B$19:$B$201),'Бланк OLD 0.8 04'!$B$12:$K$200,4,0)&gt;0,0.8,
IF(VLOOKUP($A458-COUNT('Шаг2.Бланк заказа NEW'!$B$19:$B$201),'Бланк OLD 0.8 04'!$B$12:$K$200,5,0)&gt;0,0.4,""))),
IF(VLOOKUP($A458-COUNT('Шаг2.Бланк заказа NEW'!$B$19:$B$201)-COUNT('Бланк OLD 0.8 04'!$B$18:$B$200),'Бланк OLD 2.0 04 '!$B$16:$K$200,4,0)&gt;0,2,IF(VLOOKUP($A458-COUNT('Шаг2.Бланк заказа NEW'!$B$19:$B$201)-COUNT('Бланк OLD 0.8 04'!$B$18:$B$200),'Бланк OLD 2.0 04 '!$B$16:$K$200,5,0)&gt;0,0.4,"")))</f>
        <v/>
      </c>
      <c r="S458" s="147" t="str">
        <f ca="1">IFERROR(IFERROR(IF(VLOOKUP($A458,'Шаг2.Бланк заказа NEW'!$B$17:$N$201,5,0)="","",VLOOKUP($A458,'Шаг2.Бланк заказа NEW'!$B$17:$N$201,5,0)),
IF(VLOOKUP($A458-COUNT('Шаг2.Бланк заказа NEW'!$B$19:$B$201),'Бланк OLD 0.8 04'!$B$12:$K$200,4,0)&gt;1,0.8,
IF(VLOOKUP($A458-COUNT('Шаг2.Бланк заказа NEW'!$B$19:$B$201),'Бланк OLD 0.8 04'!$B$12:$K$200,5,0)&gt;1,0.4,
IF(AND(VLOOKUP($A458-COUNT('Шаг2.Бланк заказа NEW'!$B$19:$B$201),'Бланк OLD 0.8 04'!$B$12:$K$200,4,0)&gt;0,VLOOKUP($A458-COUNT('Шаг2.Бланк заказа NEW'!$B$19:$B$201),'Бланк OLD 0.8 04'!$B$12:$K$200,5,0)&gt;0),0.4,"")))),
IF(VLOOKUP($A458-COUNT('Шаг2.Бланк заказа NEW'!$B$19:$B$201)-COUNT('Бланк OLD 0.8 04'!$B$18:$B$200),'Бланк OLD 2.0 04 '!$B$16:$K$200,4,0)&gt;1,2,
IF(VLOOKUP($A458-COUNT('Шаг2.Бланк заказа NEW'!$B$19:$B$201)-COUNT('Бланк OLD 0.8 04'!$B$18:$B$200),'Бланк OLD 2.0 04 '!$B$16:$K$200,5,0)&gt;1,0.4,IF(AND(VLOOKUP($A458-COUNT('Шаг2.Бланк заказа NEW'!$B$19:$B$201)-COUNT('Бланк OLD 0.8 04'!$B$18:$B$200),'Бланк OLD 2.0 04 '!$B$16:$K$200,4,0)&gt;0,VLOOKUP($A458-COUNT('Шаг2.Бланк заказа NEW'!$B$19:$B$201)-COUNT('Бланк OLD 0.8 04'!$B$18:$B$200),'Бланк OLD 2.0 04 '!$B$16:$K$200,5,0)&gt;0),0.4,""))))</f>
        <v/>
      </c>
      <c r="T458" s="147" t="str">
        <f ca="1">IFERROR(IFERROR(IF(VLOOKUP($A458,'Шаг2.Бланк заказа NEW'!$B$17:$N$201,7,0)="","",VLOOKUP($A458,'Шаг2.Бланк заказа NEW'!$B$17:$N$201,7,0)),
IF(VLOOKUP($A458-COUNT('Шаг2.Бланк заказа NEW'!$B$19:$B$201),'Бланк OLD 0.8 04'!$B$12:$K$200,7,0)&gt;0,0.8,
IF(VLOOKUP($A458-COUNT('Шаг2.Бланк заказа NEW'!$B$19:$B$201),'Бланк OLD 0.8 04'!$B$12:$K$200,8,0)&gt;0,0.4,""))),
IF(VLOOKUP($A458-COUNT('Шаг2.Бланк заказа NEW'!$B$19:$B$201)-COUNT('Бланк OLD 0.8 04'!$B$18:$B$200),'Бланк OLD 2.0 04 '!$B$16:$K$200,7,0)&gt;0,2,IF(VLOOKUP($A458-COUNT('Шаг2.Бланк заказа NEW'!$B$19:$B$201)-COUNT('Бланк OLD 0.8 04'!$B$18:$B$200),'Бланк OLD 2.0 04 '!$B$16:$K$200,8,0)&gt;0,0.4,"")))</f>
        <v/>
      </c>
      <c r="U458" s="147" t="str">
        <f ca="1">IFERROR(IFERROR(IF(VLOOKUP($A458,'Шаг2.Бланк заказа NEW'!$B$17:$N$201,8,0)="","",VLOOKUP($A458,'Шаг2.Бланк заказа NEW'!$B$17:$N$201,8,0)),
IF(VLOOKUP($A458-COUNT('Шаг2.Бланк заказа NEW'!$B$19:$B$201),'Бланк OLD 0.8 04'!$B$12:$K$200,7,0)&gt;1,0.8,
IF(VLOOKUP($A458-COUNT('Шаг2.Бланк заказа NEW'!$B$19:$B$201),'Бланк OLD 0.8 04'!$B$12:$K$200,8,0)&gt;1,0.4,
IF(AND(VLOOKUP($A458-COUNT('Шаг2.Бланк заказа NEW'!$B$19:$B$201),'Бланк OLD 0.8 04'!$B$12:$K$200,7,0)&gt;0,VLOOKUP($A458-COUNT('Шаг2.Бланк заказа NEW'!$B$19:$B$201),'Бланк OLD 0.8 04'!$B$12:$K$200,8,0)&gt;0),0.4,"")))),
IF(VLOOKUP($A458-COUNT('Шаг2.Бланк заказа NEW'!$B$19:$B$201)-COUNT('Бланк OLD 0.8 04'!$B$18:$B$200),'Бланк OLD 2.0 04 '!$B$16:$K$200,7,0)&gt;1,2,
IF(VLOOKUP($A458-COUNT('Шаг2.Бланк заказа NEW'!$B$19:$B$201)-COUNT('Бланк OLD 0.8 04'!$B$18:$B$200),'Бланк OLD 2.0 04 '!$B$16:$K$200,8,0)&gt;1,0.4,
IF(AND(VLOOKUP($A458-COUNT('Шаг2.Бланк заказа NEW'!$B$19:$B$201)-COUNT('Бланк OLD 0.8 04'!$B$18:$B$200),'Бланк OLD 2.0 04 '!$B$16:$K$200,7,0)&gt;0,VLOOKUP($A458-COUNT('Шаг2.Бланк заказа NEW'!$B$19:$B$201)-COUNT('Бланк OLD 0.8 04'!$B$18:$B$200),'Бланк OLD 2.0 04 '!$B$16:$K$200,8,0)&gt;0),0.4,""))))</f>
        <v/>
      </c>
      <c r="V458" s="146" t="str">
        <f ca="1">IFERROR(VLOOKUP(C458,'Шаг1.Выбор плиты'!C:S,12,0),"")</f>
        <v/>
      </c>
      <c r="W458" s="146" t="str">
        <f ca="1">IFERROR(VLOOKUP(C458,'Шаг1.Выбор плиты'!C:S,8,0),"")</f>
        <v/>
      </c>
      <c r="X458" s="146" t="str">
        <f ca="1">IFERROR(VLOOKUP(C458,'Шаг1.Выбор плиты'!C:S,10,0),"")</f>
        <v/>
      </c>
      <c r="Y458" s="147" t="str">
        <f t="shared" ca="1" si="46"/>
        <v/>
      </c>
      <c r="AD458" s="147" t="str">
        <f t="shared" ca="1" si="42"/>
        <v/>
      </c>
      <c r="AE458" s="147" t="str">
        <f t="shared" ca="1" si="47"/>
        <v/>
      </c>
      <c r="AF458" s="25"/>
      <c r="AH458" s="147" t="str">
        <f ca="1">IF(C458="","",VLOOKUP(C458,'Шаг1.Выбор плиты'!C:Q,7,0))</f>
        <v/>
      </c>
      <c r="AI458" s="147" t="str">
        <f t="shared" ca="1" si="45"/>
        <v/>
      </c>
    </row>
    <row r="459" spans="1:35" x14ac:dyDescent="0.2">
      <c r="A459" s="151" t="str">
        <f ca="1">IF(C459="","",MAX($A$1:OFFSET(C459,-1,0))+1)</f>
        <v/>
      </c>
      <c r="B459" s="151" t="str">
        <f ca="1">IFERROR(IFERROR(IFERROR("Шаг2.Бланк заказа NEW №"&amp;VLOOKUP(A458+1,CHOOSE({1,2},'Шаг2.Бланк заказа NEW'!$B$19:$B$201,'Шаг2.Бланк заказа NEW'!$A$19:$A$201),1,0),
"Бланк OLD 0.8 04 №"&amp;VLOOKUP(A458+1-COUNT('Шаг2.Бланк заказа NEW'!$B$19:$B$201),CHOOSE({1,2},'Бланк OLD 0.8 04'!$B$18:$B$200,'Бланк OLD 0.8 04'!$A$18:$A$200),1,0)),
"Бланк OLD 2.0 04 №"&amp;VLOOKUP(A458+1-COUNT('Шаг2.Бланк заказа NEW'!$B$19:$B$201)-COUNT('Бланк OLD 0.8 04'!$B$18:$B$200),CHOOSE({1,2},'Бланк OLD 2.0 04 '!$B$18:$B$200,'Бланк OLD 2.0 04 '!$A$18:$A$200),1,0)),"")</f>
        <v/>
      </c>
      <c r="C459" s="152" t="str">
        <f ca="1">IFERROR(IFERROR(IFERROR(VLOOKUP(A458+1,CHOOSE({1,2},'Шаг2.Бланк заказа NEW'!$B$19:$B$201,'Шаг2.Бланк заказа NEW'!$A$19:$A$201),2,0),
VLOOKUP(A458+1-COUNT('Шаг2.Бланк заказа NEW'!$B$19:$B$201),CHOOSE({1,2},'Бланк OLD 0.8 04'!$B$18:$B$200,'Бланк OLD 0.8 04'!$A$18:$A$200),2,0)),
VLOOKUP(A458+1-COUNT('Шаг2.Бланк заказа NEW'!$B$19:$B$201)-COUNT('Бланк OLD 0.8 04'!$B$18:$B$200),CHOOSE({1,2},'Бланк OLD 2.0 04 '!$B$18:$B$200,'Бланк OLD 2.0 04 '!$A$18:$A$200),2,0)),"")</f>
        <v/>
      </c>
      <c r="D459" s="150" t="str">
        <f ca="1">IFERROR(VLOOKUP(C459,'Шаг1.Выбор плиты'!C:G,5,0),"")</f>
        <v/>
      </c>
      <c r="E459" s="147" t="str">
        <f ca="1">IFERROR(IFERROR(IF(VLOOKUP($A459,'Шаг2.Бланк заказа NEW'!$B$17:$N$201,2,0)="","",VLOOKUP($A459,'Шаг2.Бланк заказа NEW'!$B$17:$N$201,2,0)),
IF(VLOOKUP($A459-COUNT('Шаг2.Бланк заказа NEW'!$B$19:$B$201),'Бланк OLD 0.8 04'!$B$12:$K$200,2,0)="","",VLOOKUP($A459-COUNT('Шаг2.Бланк заказа NEW'!$B$19:$B$201),'Бланк OLD 0.8 04'!$B$12:$K$200,2,0))),
IF(VLOOKUP($A459-COUNT('Шаг2.Бланк заказа NEW'!$B$19:$B$201)-COUNT('Бланк OLD 0.8 04'!$B$18:$B$200),'Бланк OLD 2.0 04 '!$B$16:$K$200,2,0)="","",VLOOKUP($A459-COUNT('Шаг2.Бланк заказа NEW'!$B$19:$B$201)-COUNT('Бланк OLD 0.8 04'!$B$18:$B$200),'Бланк OLD 2.0 04 '!$B$16:$K$200,2,0)))</f>
        <v/>
      </c>
      <c r="F459" s="147" t="str">
        <f ca="1">IFERROR(IFERROR(IF(VLOOKUP($A459,'Шаг2.Бланк заказа NEW'!$B$17:$N$201,3,0)="","",VLOOKUP($A459,'Шаг2.Бланк заказа NEW'!$B$17:$N$201,3,0)),
IF(VLOOKUP($A459-COUNT('Шаг2.Бланк заказа NEW'!$B$19:$B$201),'Бланк OLD 0.8 04'!$B$12:$K$200,3,0)="","",VLOOKUP($A459-COUNT('Шаг2.Бланк заказа NEW'!$B$19:$B$201),'Бланк OLD 0.8 04'!$B$12:$K$200,3,0))),
IF(VLOOKUP($A459-COUNT('Шаг2.Бланк заказа NEW'!$B$19:$B$201)-COUNT('Бланк OLD 0.8 04'!$B$18:$B$200),'Бланк OLD 2.0 04 '!$B$16:$K$200,3,0)="","",VLOOKUP($A459-COUNT('Шаг2.Бланк заказа NEW'!$B$19:$B$201)-COUNT('Бланк OLD 0.8 04'!$B$18:$B$200),'Бланк OLD 2.0 04 '!$B$16:$K$200,3,0)))</f>
        <v/>
      </c>
      <c r="G459" s="176" t="str">
        <f ca="1">IF(IF(R459="","",IF(R459=1,SUMIFS('Шаг1.Выбор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плиты'!C:Q,12,0)),1))))))=0,
R459,
IF(R459="","",IF(R459=1,SUMIFS('Шаг1.Выбор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плиты'!N:N,R459,'Шаг1.Выбор плиты'!M:M,SMALL(INDIRECT("мм"&amp;VLOOKUP(C459,'Шаг1.Выбор плиты'!C:Q,12,0)),1)))))))</f>
        <v/>
      </c>
      <c r="H459" s="177" t="str">
        <f ca="1">IF(IF(S459="","",IF(S459=1,SUMIFS('Шаг1.Выбор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плиты'!C:Q,12,0)),1))))))=0,
S459,
IF(S459="","",IF(S459=1,SUMIFS('Шаг1.Выбор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плиты'!N:N,S459,'Шаг1.Выбор плиты'!M:M,SMALL(INDIRECT("мм"&amp;VLOOKUP(C459,'Шаг1.Выбор плиты'!C:Q,12,0)),1)))))))</f>
        <v/>
      </c>
      <c r="I459" s="147" t="str">
        <f ca="1">IFERROR(IFERROR(IF(VLOOKUP($A459,'Шаг2.Бланк заказа NEW'!$B$17:$N$201,6,0)="","",VLOOKUP($A459,'Шаг2.Бланк заказа NEW'!$B$17:$N$201,6,0)),
IF(VLOOKUP($A459-COUNT('Шаг2.Бланк заказа NEW'!$B$19:$B$201),'Бланк OLD 0.8 04'!$B$12:$K$200,6,0)="","",VLOOKUP($A459-COUNT('Шаг2.Бланк заказа NEW'!$B$19:$B$201),'Бланк OLD 0.8 04'!$B$12:$K$200,6,0))),
IF(VLOOKUP($A459-COUNT('Шаг2.Бланк заказа NEW'!$B$19:$B$201)-COUNT('Бланк OLD 0.8 04'!$B$18:$B$200),'Бланк OLD 2.0 04 '!$B$16:$K$200,6,0)="","",VLOOKUP($A459-COUNT('Шаг2.Бланк заказа NEW'!$B$19:$B$201)-COUNT('Бланк OLD 0.8 04'!$B$18:$B$200),'Бланк OLD 2.0 04 '!$B$16:$K$200,6,0)))</f>
        <v/>
      </c>
      <c r="J459" s="177" t="str">
        <f ca="1">IF(IF(T459="","",IF(T459=1,SUMIFS('Шаг1.Выбор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плиты'!C:Q,12,0)),1))))))=0,
T459,
IF(T459="","",IF(T459=1,SUMIFS('Шаг1.Выбор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плиты'!N:N,T459,'Шаг1.Выбор плиты'!M:M,SMALL(INDIRECT("мм"&amp;VLOOKUP(C459,'Шаг1.Выбор плиты'!C:Q,12,0)),1)))))))</f>
        <v/>
      </c>
      <c r="K459" s="177" t="str">
        <f ca="1">IF(IF(U459="","",IF(U459=1,SUMIFS('Шаг1.Выбор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плиты'!C:Q,12,0)),1))))))=0,
U459,
IF(U459="","",IF(U459=1,SUMIFS('Шаг1.Выбор плиты'!$G:$G,'Шаг1.Выбор плиты'!J:J,"*"&amp;RIGHT(VLOOKUP(C459,'Шаг1.Выбор плиты'!C:Q,8,0),4),'Шаг1.Выбор плиты'!L:L,IF(MID(C459,1,6)="ЛДСП P","TM"&amp;MID(VLOOKUP(C459,'Шаг1.Выбор плиты'!C:Q,10,0),3,2),MID(VLOOKUP(C459,'Шаг1.Выбор плиты'!C:Q,10,0),1,2)),
'Шаг1.Выбор плиты'!N:N,1),IF(SUMIFS('Шаг1.Выбор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плиты'!C:Q,12,0)),1))=0,
IF(SUMIFS('Шаг1.Выбор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плиты'!C:Q,12,0)),2))=0,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плиты'!C:Q,12,0)),3)),
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плиты'!C:Q,12,0)),2))),
(SUMIFS('Шаг1.Выбор плиты'!$G:$G,'Шаг1.Выбор плиты'!J:J,"*"&amp;RIGHT(VLOOKUP(C459,'Шаг1.Выбор плиты'!C:Q,8,0),4),'Шаг1.Выбор плиты'!L:L,VLOOKUP(C459,'Шаг1.Выбор плиты'!C:Q,10,0),'Шаг1.Выбор плиты'!N:N,U459,'Шаг1.Выбор плиты'!M:M,SMALL(INDIRECT("мм"&amp;VLOOKUP(C459,'Шаг1.Выбор плиты'!C:Q,12,0)),1)))))))</f>
        <v/>
      </c>
      <c r="L459" s="147" t="str">
        <f ca="1">IFERROR(IFERROR(IF(VLOOKUP($A459,'Шаг2.Бланк заказа NEW'!$B$17:$N$201,9,0)="","",VLOOKUP($A459,'Шаг2.Бланк заказа NEW'!$B$17:$N$201,9,0)),
IF(VLOOKUP($A459-COUNT('Шаг2.Бланк заказа NEW'!$B$19:$B$201),'Бланк OLD 0.8 04'!$B$12:$K$200,9,0)="","",VLOOKUP($A459-COUNT('Шаг2.Бланк заказа NEW'!$B$19:$B$201),'Бланк OLD 0.8 04'!$B$12:$K$200,9,0))),
IF(VLOOKUP($A459-COUNT('Шаг2.Бланк заказа NEW'!$B$19:$B$201)-COUNT('Бланк OLD 0.8 04'!$B$18:$B$200),'Бланк OLD 2.0 04 '!$B$16:$K$200,9,0)="","",VLOOKUP($A459-COUNT('Шаг2.Бланк заказа NEW'!$B$19:$B$201)-COUNT('Бланк OLD 0.8 04'!$B$18:$B$200),'Бланк OLD 2.0 04 '!$B$16:$K$200,9,0)))</f>
        <v/>
      </c>
      <c r="M459" s="154" t="str">
        <f t="shared" ca="1" si="44"/>
        <v/>
      </c>
      <c r="N459" s="153" t="str">
        <f ca="1">IFERROR(IF(VLOOKUP($A459,'Шаг2.Бланк заказа NEW'!$B$17:$N$201,11,0)="","",VLOOKUP($A459,'Шаг2.Бланк заказа NEW'!$B$17:$N$201,11,0)),
"Нет")</f>
        <v/>
      </c>
      <c r="O459" s="147" t="str">
        <f ca="1">IFERROR(IF(VLOOKUP($A459,'Шаг2.Бланк заказа NEW'!$B$17:$N$201,11,0)="","",VLOOKUP($A459,'Шаг2.Бланк заказа NEW'!$B$17:$N$201,12,0)),
"Нет")</f>
        <v/>
      </c>
      <c r="P459" s="153" t="str">
        <f ca="1">IFERROR(IF(VLOOKUP($A459,'Шаг2.Бланк заказа NEW'!$B$17:$N$201,13,0)="","",VLOOKUP($A459,'Шаг2.Бланк заказа NEW'!$B$17:$N$201,13,0)),
"Нет")</f>
        <v/>
      </c>
      <c r="Q459" s="147" t="str">
        <f ca="1">IFERROR(IF(VLOOKUP($A459,'Шаг2.Бланк заказа NEW'!$B$17:$O$201,14,0)="","",VLOOKUP($A459,'Шаг2.Бланк заказа NEW'!$B$17:$O$201,14,0)),"")</f>
        <v/>
      </c>
      <c r="R459" s="147" t="str">
        <f ca="1">IFERROR(IFERROR(IF(VLOOKUP($A459,'Шаг2.Бланк заказа NEW'!$B$17:$N$201,4,0)="","",VLOOKUP($A459,'Шаг2.Бланк заказа NEW'!$B$17:$N$201,4,0)),
IF(VLOOKUP($A459-COUNT('Шаг2.Бланк заказа NEW'!$B$19:$B$201),'Бланк OLD 0.8 04'!$B$12:$K$200,4,0)&gt;0,0.8,
IF(VLOOKUP($A459-COUNT('Шаг2.Бланк заказа NEW'!$B$19:$B$201),'Бланк OLD 0.8 04'!$B$12:$K$200,5,0)&gt;0,0.4,""))),
IF(VLOOKUP($A459-COUNT('Шаг2.Бланк заказа NEW'!$B$19:$B$201)-COUNT('Бланк OLD 0.8 04'!$B$18:$B$200),'Бланк OLD 2.0 04 '!$B$16:$K$200,4,0)&gt;0,2,IF(VLOOKUP($A459-COUNT('Шаг2.Бланк заказа NEW'!$B$19:$B$201)-COUNT('Бланк OLD 0.8 04'!$B$18:$B$200),'Бланк OLD 2.0 04 '!$B$16:$K$200,5,0)&gt;0,0.4,"")))</f>
        <v/>
      </c>
      <c r="S459" s="147" t="str">
        <f ca="1">IFERROR(IFERROR(IF(VLOOKUP($A459,'Шаг2.Бланк заказа NEW'!$B$17:$N$201,5,0)="","",VLOOKUP($A459,'Шаг2.Бланк заказа NEW'!$B$17:$N$201,5,0)),
IF(VLOOKUP($A459-COUNT('Шаг2.Бланк заказа NEW'!$B$19:$B$201),'Бланк OLD 0.8 04'!$B$12:$K$200,4,0)&gt;1,0.8,
IF(VLOOKUP($A459-COUNT('Шаг2.Бланк заказа NEW'!$B$19:$B$201),'Бланк OLD 0.8 04'!$B$12:$K$200,5,0)&gt;1,0.4,
IF(AND(VLOOKUP($A459-COUNT('Шаг2.Бланк заказа NEW'!$B$19:$B$201),'Бланк OLD 0.8 04'!$B$12:$K$200,4,0)&gt;0,VLOOKUP($A459-COUNT('Шаг2.Бланк заказа NEW'!$B$19:$B$201),'Бланк OLD 0.8 04'!$B$12:$K$200,5,0)&gt;0),0.4,"")))),
IF(VLOOKUP($A459-COUNT('Шаг2.Бланк заказа NEW'!$B$19:$B$201)-COUNT('Бланк OLD 0.8 04'!$B$18:$B$200),'Бланк OLD 2.0 04 '!$B$16:$K$200,4,0)&gt;1,2,
IF(VLOOKUP($A459-COUNT('Шаг2.Бланк заказа NEW'!$B$19:$B$201)-COUNT('Бланк OLD 0.8 04'!$B$18:$B$200),'Бланк OLD 2.0 04 '!$B$16:$K$200,5,0)&gt;1,0.4,IF(AND(VLOOKUP($A459-COUNT('Шаг2.Бланк заказа NEW'!$B$19:$B$201)-COUNT('Бланк OLD 0.8 04'!$B$18:$B$200),'Бланк OLD 2.0 04 '!$B$16:$K$200,4,0)&gt;0,VLOOKUP($A459-COUNT('Шаг2.Бланк заказа NEW'!$B$19:$B$201)-COUNT('Бланк OLD 0.8 04'!$B$18:$B$200),'Бланк OLD 2.0 04 '!$B$16:$K$200,5,0)&gt;0),0.4,""))))</f>
        <v/>
      </c>
      <c r="T459" s="147" t="str">
        <f ca="1">IFERROR(IFERROR(IF(VLOOKUP($A459,'Шаг2.Бланк заказа NEW'!$B$17:$N$201,7,0)="","",VLOOKUP($A459,'Шаг2.Бланк заказа NEW'!$B$17:$N$201,7,0)),
IF(VLOOKUP($A459-COUNT('Шаг2.Бланк заказа NEW'!$B$19:$B$201),'Бланк OLD 0.8 04'!$B$12:$K$200,7,0)&gt;0,0.8,
IF(VLOOKUP($A459-COUNT('Шаг2.Бланк заказа NEW'!$B$19:$B$201),'Бланк OLD 0.8 04'!$B$12:$K$200,8,0)&gt;0,0.4,""))),
IF(VLOOKUP($A459-COUNT('Шаг2.Бланк заказа NEW'!$B$19:$B$201)-COUNT('Бланк OLD 0.8 04'!$B$18:$B$200),'Бланк OLD 2.0 04 '!$B$16:$K$200,7,0)&gt;0,2,IF(VLOOKUP($A459-COUNT('Шаг2.Бланк заказа NEW'!$B$19:$B$201)-COUNT('Бланк OLD 0.8 04'!$B$18:$B$200),'Бланк OLD 2.0 04 '!$B$16:$K$200,8,0)&gt;0,0.4,"")))</f>
        <v/>
      </c>
      <c r="U459" s="147" t="str">
        <f ca="1">IFERROR(IFERROR(IF(VLOOKUP($A459,'Шаг2.Бланк заказа NEW'!$B$17:$N$201,8,0)="","",VLOOKUP($A459,'Шаг2.Бланк заказа NEW'!$B$17:$N$201,8,0)),
IF(VLOOKUP($A459-COUNT('Шаг2.Бланк заказа NEW'!$B$19:$B$201),'Бланк OLD 0.8 04'!$B$12:$K$200,7,0)&gt;1,0.8,
IF(VLOOKUP($A459-COUNT('Шаг2.Бланк заказа NEW'!$B$19:$B$201),'Бланк OLD 0.8 04'!$B$12:$K$200,8,0)&gt;1,0.4,
IF(AND(VLOOKUP($A459-COUNT('Шаг2.Бланк заказа NEW'!$B$19:$B$201),'Бланк OLD 0.8 04'!$B$12:$K$200,7,0)&gt;0,VLOOKUP($A459-COUNT('Шаг2.Бланк заказа NEW'!$B$19:$B$201),'Бланк OLD 0.8 04'!$B$12:$K$200,8,0)&gt;0),0.4,"")))),
IF(VLOOKUP($A459-COUNT('Шаг2.Бланк заказа NEW'!$B$19:$B$201)-COUNT('Бланк OLD 0.8 04'!$B$18:$B$200),'Бланк OLD 2.0 04 '!$B$16:$K$200,7,0)&gt;1,2,
IF(VLOOKUP($A459-COUNT('Шаг2.Бланк заказа NEW'!$B$19:$B$201)-COUNT('Бланк OLD 0.8 04'!$B$18:$B$200),'Бланк OLD 2.0 04 '!$B$16:$K$200,8,0)&gt;1,0.4,
IF(AND(VLOOKUP($A459-COUNT('Шаг2.Бланк заказа NEW'!$B$19:$B$201)-COUNT('Бланк OLD 0.8 04'!$B$18:$B$200),'Бланк OLD 2.0 04 '!$B$16:$K$200,7,0)&gt;0,VLOOKUP($A459-COUNT('Шаг2.Бланк заказа NEW'!$B$19:$B$201)-COUNT('Бланк OLD 0.8 04'!$B$18:$B$200),'Бланк OLD 2.0 04 '!$B$16:$K$200,8,0)&gt;0),0.4,""))))</f>
        <v/>
      </c>
      <c r="V459" s="146" t="str">
        <f ca="1">IFERROR(VLOOKUP(C459,'Шаг1.Выбор плиты'!C:S,12,0),"")</f>
        <v/>
      </c>
      <c r="W459" s="146" t="str">
        <f ca="1">IFERROR(VLOOKUP(C459,'Шаг1.Выбор плиты'!C:S,8,0),"")</f>
        <v/>
      </c>
      <c r="X459" s="146" t="str">
        <f ca="1">IFERROR(VLOOKUP(C459,'Шаг1.Выбор плиты'!C:S,10,0),"")</f>
        <v/>
      </c>
      <c r="Y459" s="147" t="str">
        <f t="shared" ca="1" si="46"/>
        <v/>
      </c>
      <c r="AD459" s="147" t="str">
        <f t="shared" ca="1" si="42"/>
        <v/>
      </c>
      <c r="AE459" s="147" t="str">
        <f t="shared" ca="1" si="47"/>
        <v/>
      </c>
      <c r="AF459" s="25"/>
      <c r="AH459" s="147" t="str">
        <f ca="1">IF(C459="","",VLOOKUP(C459,'Шаг1.Выбор плиты'!C:Q,7,0))</f>
        <v/>
      </c>
      <c r="AI459" s="147" t="str">
        <f t="shared" ca="1" si="45"/>
        <v/>
      </c>
    </row>
    <row r="460" spans="1:35" x14ac:dyDescent="0.2">
      <c r="A460" s="151" t="str">
        <f ca="1">IF(C460="","",MAX($A$1:OFFSET(C460,-1,0))+1)</f>
        <v/>
      </c>
      <c r="B460" s="151" t="str">
        <f ca="1">IFERROR(IFERROR(IFERROR("Шаг2.Бланк заказа NEW №"&amp;VLOOKUP(A459+1,CHOOSE({1,2},'Шаг2.Бланк заказа NEW'!$B$19:$B$201,'Шаг2.Бланк заказа NEW'!$A$19:$A$201),1,0),
"Бланк OLD 0.8 04 №"&amp;VLOOKUP(A459+1-COUNT('Шаг2.Бланк заказа NEW'!$B$19:$B$201),CHOOSE({1,2},'Бланк OLD 0.8 04'!$B$18:$B$200,'Бланк OLD 0.8 04'!$A$18:$A$200),1,0)),
"Бланк OLD 2.0 04 №"&amp;VLOOKUP(A459+1-COUNT('Шаг2.Бланк заказа NEW'!$B$19:$B$201)-COUNT('Бланк OLD 0.8 04'!$B$18:$B$200),CHOOSE({1,2},'Бланк OLD 2.0 04 '!$B$18:$B$200,'Бланк OLD 2.0 04 '!$A$18:$A$200),1,0)),"")</f>
        <v/>
      </c>
      <c r="C460" s="152" t="str">
        <f ca="1">IFERROR(IFERROR(IFERROR(VLOOKUP(A459+1,CHOOSE({1,2},'Шаг2.Бланк заказа NEW'!$B$19:$B$201,'Шаг2.Бланк заказа NEW'!$A$19:$A$201),2,0),
VLOOKUP(A459+1-COUNT('Шаг2.Бланк заказа NEW'!$B$19:$B$201),CHOOSE({1,2},'Бланк OLD 0.8 04'!$B$18:$B$200,'Бланк OLD 0.8 04'!$A$18:$A$200),2,0)),
VLOOKUP(A459+1-COUNT('Шаг2.Бланк заказа NEW'!$B$19:$B$201)-COUNT('Бланк OLD 0.8 04'!$B$18:$B$200),CHOOSE({1,2},'Бланк OLD 2.0 04 '!$B$18:$B$200,'Бланк OLD 2.0 04 '!$A$18:$A$200),2,0)),"")</f>
        <v/>
      </c>
      <c r="D460" s="150" t="str">
        <f ca="1">IFERROR(VLOOKUP(C460,'Шаг1.Выбор плиты'!C:G,5,0),"")</f>
        <v/>
      </c>
      <c r="E460" s="147" t="str">
        <f ca="1">IFERROR(IFERROR(IF(VLOOKUP($A460,'Шаг2.Бланк заказа NEW'!$B$17:$N$201,2,0)="","",VLOOKUP($A460,'Шаг2.Бланк заказа NEW'!$B$17:$N$201,2,0)),
IF(VLOOKUP($A460-COUNT('Шаг2.Бланк заказа NEW'!$B$19:$B$201),'Бланк OLD 0.8 04'!$B$12:$K$200,2,0)="","",VLOOKUP($A460-COUNT('Шаг2.Бланк заказа NEW'!$B$19:$B$201),'Бланк OLD 0.8 04'!$B$12:$K$200,2,0))),
IF(VLOOKUP($A460-COUNT('Шаг2.Бланк заказа NEW'!$B$19:$B$201)-COUNT('Бланк OLD 0.8 04'!$B$18:$B$200),'Бланк OLD 2.0 04 '!$B$16:$K$200,2,0)="","",VLOOKUP($A460-COUNT('Шаг2.Бланк заказа NEW'!$B$19:$B$201)-COUNT('Бланк OLD 0.8 04'!$B$18:$B$200),'Бланк OLD 2.0 04 '!$B$16:$K$200,2,0)))</f>
        <v/>
      </c>
      <c r="F460" s="147" t="str">
        <f ca="1">IFERROR(IFERROR(IF(VLOOKUP($A460,'Шаг2.Бланк заказа NEW'!$B$17:$N$201,3,0)="","",VLOOKUP($A460,'Шаг2.Бланк заказа NEW'!$B$17:$N$201,3,0)),
IF(VLOOKUP($A460-COUNT('Шаг2.Бланк заказа NEW'!$B$19:$B$201),'Бланк OLD 0.8 04'!$B$12:$K$200,3,0)="","",VLOOKUP($A460-COUNT('Шаг2.Бланк заказа NEW'!$B$19:$B$201),'Бланк OLD 0.8 04'!$B$12:$K$200,3,0))),
IF(VLOOKUP($A460-COUNT('Шаг2.Бланк заказа NEW'!$B$19:$B$201)-COUNT('Бланк OLD 0.8 04'!$B$18:$B$200),'Бланк OLD 2.0 04 '!$B$16:$K$200,3,0)="","",VLOOKUP($A460-COUNT('Шаг2.Бланк заказа NEW'!$B$19:$B$201)-COUNT('Бланк OLD 0.8 04'!$B$18:$B$200),'Бланк OLD 2.0 04 '!$B$16:$K$200,3,0)))</f>
        <v/>
      </c>
      <c r="G460" s="176" t="str">
        <f ca="1">IF(IF(R460="","",IF(R460=1,SUMIFS('Шаг1.Выбор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плиты'!C:Q,12,0)),1))))))=0,
R460,
IF(R460="","",IF(R460=1,SUMIFS('Шаг1.Выбор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плиты'!N:N,R460,'Шаг1.Выбор плиты'!M:M,SMALL(INDIRECT("мм"&amp;VLOOKUP(C460,'Шаг1.Выбор плиты'!C:Q,12,0)),1)))))))</f>
        <v/>
      </c>
      <c r="H460" s="177" t="str">
        <f ca="1">IF(IF(S460="","",IF(S460=1,SUMIFS('Шаг1.Выбор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плиты'!C:Q,12,0)),1))))))=0,
S460,
IF(S460="","",IF(S460=1,SUMIFS('Шаг1.Выбор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плиты'!N:N,S460,'Шаг1.Выбор плиты'!M:M,SMALL(INDIRECT("мм"&amp;VLOOKUP(C460,'Шаг1.Выбор плиты'!C:Q,12,0)),1)))))))</f>
        <v/>
      </c>
      <c r="I460" s="147" t="str">
        <f ca="1">IFERROR(IFERROR(IF(VLOOKUP($A460,'Шаг2.Бланк заказа NEW'!$B$17:$N$201,6,0)="","",VLOOKUP($A460,'Шаг2.Бланк заказа NEW'!$B$17:$N$201,6,0)),
IF(VLOOKUP($A460-COUNT('Шаг2.Бланк заказа NEW'!$B$19:$B$201),'Бланк OLD 0.8 04'!$B$12:$K$200,6,0)="","",VLOOKUP($A460-COUNT('Шаг2.Бланк заказа NEW'!$B$19:$B$201),'Бланк OLD 0.8 04'!$B$12:$K$200,6,0))),
IF(VLOOKUP($A460-COUNT('Шаг2.Бланк заказа NEW'!$B$19:$B$201)-COUNT('Бланк OLD 0.8 04'!$B$18:$B$200),'Бланк OLD 2.0 04 '!$B$16:$K$200,6,0)="","",VLOOKUP($A460-COUNT('Шаг2.Бланк заказа NEW'!$B$19:$B$201)-COUNT('Бланк OLD 0.8 04'!$B$18:$B$200),'Бланк OLD 2.0 04 '!$B$16:$K$200,6,0)))</f>
        <v/>
      </c>
      <c r="J460" s="177" t="str">
        <f ca="1">IF(IF(T460="","",IF(T460=1,SUMIFS('Шаг1.Выбор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плиты'!C:Q,12,0)),1))))))=0,
T460,
IF(T460="","",IF(T460=1,SUMIFS('Шаг1.Выбор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плиты'!N:N,T460,'Шаг1.Выбор плиты'!M:M,SMALL(INDIRECT("мм"&amp;VLOOKUP(C460,'Шаг1.Выбор плиты'!C:Q,12,0)),1)))))))</f>
        <v/>
      </c>
      <c r="K460" s="177" t="str">
        <f ca="1">IF(IF(U460="","",IF(U460=1,SUMIFS('Шаг1.Выбор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плиты'!C:Q,12,0)),1))))))=0,
U460,
IF(U460="","",IF(U460=1,SUMIFS('Шаг1.Выбор плиты'!$G:$G,'Шаг1.Выбор плиты'!J:J,"*"&amp;RIGHT(VLOOKUP(C460,'Шаг1.Выбор плиты'!C:Q,8,0),4),'Шаг1.Выбор плиты'!L:L,IF(MID(C460,1,6)="ЛДСП P","TM"&amp;MID(VLOOKUP(C460,'Шаг1.Выбор плиты'!C:Q,10,0),3,2),MID(VLOOKUP(C460,'Шаг1.Выбор плиты'!C:Q,10,0),1,2)),
'Шаг1.Выбор плиты'!N:N,1),IF(SUMIFS('Шаг1.Выбор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плиты'!C:Q,12,0)),1))=0,
IF(SUMIFS('Шаг1.Выбор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плиты'!C:Q,12,0)),2))=0,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плиты'!C:Q,12,0)),3)),
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плиты'!C:Q,12,0)),2))),
(SUMIFS('Шаг1.Выбор плиты'!$G:$G,'Шаг1.Выбор плиты'!J:J,"*"&amp;RIGHT(VLOOKUP(C460,'Шаг1.Выбор плиты'!C:Q,8,0),4),'Шаг1.Выбор плиты'!L:L,VLOOKUP(C460,'Шаг1.Выбор плиты'!C:Q,10,0),'Шаг1.Выбор плиты'!N:N,U460,'Шаг1.Выбор плиты'!M:M,SMALL(INDIRECT("мм"&amp;VLOOKUP(C460,'Шаг1.Выбор плиты'!C:Q,12,0)),1)))))))</f>
        <v/>
      </c>
      <c r="L460" s="147" t="str">
        <f ca="1">IFERROR(IFERROR(IF(VLOOKUP($A460,'Шаг2.Бланк заказа NEW'!$B$17:$N$201,9,0)="","",VLOOKUP($A460,'Шаг2.Бланк заказа NEW'!$B$17:$N$201,9,0)),
IF(VLOOKUP($A460-COUNT('Шаг2.Бланк заказа NEW'!$B$19:$B$201),'Бланк OLD 0.8 04'!$B$12:$K$200,9,0)="","",VLOOKUP($A460-COUNT('Шаг2.Бланк заказа NEW'!$B$19:$B$201),'Бланк OLD 0.8 04'!$B$12:$K$200,9,0))),
IF(VLOOKUP($A460-COUNT('Шаг2.Бланк заказа NEW'!$B$19:$B$201)-COUNT('Бланк OLD 0.8 04'!$B$18:$B$200),'Бланк OLD 2.0 04 '!$B$16:$K$200,9,0)="","",VLOOKUP($A460-COUNT('Шаг2.Бланк заказа NEW'!$B$19:$B$201)-COUNT('Бланк OLD 0.8 04'!$B$18:$B$200),'Бланк OLD 2.0 04 '!$B$16:$K$200,9,0)))</f>
        <v/>
      </c>
      <c r="M460" s="154" t="str">
        <f t="shared" ca="1" si="44"/>
        <v/>
      </c>
      <c r="N460" s="153" t="str">
        <f ca="1">IFERROR(IF(VLOOKUP($A460,'Шаг2.Бланк заказа NEW'!$B$17:$N$201,11,0)="","",VLOOKUP($A460,'Шаг2.Бланк заказа NEW'!$B$17:$N$201,11,0)),
"Нет")</f>
        <v/>
      </c>
      <c r="O460" s="147" t="str">
        <f ca="1">IFERROR(IF(VLOOKUP($A460,'Шаг2.Бланк заказа NEW'!$B$17:$N$201,11,0)="","",VLOOKUP($A460,'Шаг2.Бланк заказа NEW'!$B$17:$N$201,12,0)),
"Нет")</f>
        <v/>
      </c>
      <c r="P460" s="153" t="str">
        <f ca="1">IFERROR(IF(VLOOKUP($A460,'Шаг2.Бланк заказа NEW'!$B$17:$N$201,13,0)="","",VLOOKUP($A460,'Шаг2.Бланк заказа NEW'!$B$17:$N$201,13,0)),
"Нет")</f>
        <v/>
      </c>
      <c r="Q460" s="147" t="str">
        <f ca="1">IFERROR(IF(VLOOKUP($A460,'Шаг2.Бланк заказа NEW'!$B$17:$O$201,14,0)="","",VLOOKUP($A460,'Шаг2.Бланк заказа NEW'!$B$17:$O$201,14,0)),"")</f>
        <v/>
      </c>
      <c r="R460" s="147" t="str">
        <f ca="1">IFERROR(IFERROR(IF(VLOOKUP($A460,'Шаг2.Бланк заказа NEW'!$B$17:$N$201,4,0)="","",VLOOKUP($A460,'Шаг2.Бланк заказа NEW'!$B$17:$N$201,4,0)),
IF(VLOOKUP($A460-COUNT('Шаг2.Бланк заказа NEW'!$B$19:$B$201),'Бланк OLD 0.8 04'!$B$12:$K$200,4,0)&gt;0,0.8,
IF(VLOOKUP($A460-COUNT('Шаг2.Бланк заказа NEW'!$B$19:$B$201),'Бланк OLD 0.8 04'!$B$12:$K$200,5,0)&gt;0,0.4,""))),
IF(VLOOKUP($A460-COUNT('Шаг2.Бланк заказа NEW'!$B$19:$B$201)-COUNT('Бланк OLD 0.8 04'!$B$18:$B$200),'Бланк OLD 2.0 04 '!$B$16:$K$200,4,0)&gt;0,2,IF(VLOOKUP($A460-COUNT('Шаг2.Бланк заказа NEW'!$B$19:$B$201)-COUNT('Бланк OLD 0.8 04'!$B$18:$B$200),'Бланк OLD 2.0 04 '!$B$16:$K$200,5,0)&gt;0,0.4,"")))</f>
        <v/>
      </c>
      <c r="S460" s="147" t="str">
        <f ca="1">IFERROR(IFERROR(IF(VLOOKUP($A460,'Шаг2.Бланк заказа NEW'!$B$17:$N$201,5,0)="","",VLOOKUP($A460,'Шаг2.Бланк заказа NEW'!$B$17:$N$201,5,0)),
IF(VLOOKUP($A460-COUNT('Шаг2.Бланк заказа NEW'!$B$19:$B$201),'Бланк OLD 0.8 04'!$B$12:$K$200,4,0)&gt;1,0.8,
IF(VLOOKUP($A460-COUNT('Шаг2.Бланк заказа NEW'!$B$19:$B$201),'Бланк OLD 0.8 04'!$B$12:$K$200,5,0)&gt;1,0.4,
IF(AND(VLOOKUP($A460-COUNT('Шаг2.Бланк заказа NEW'!$B$19:$B$201),'Бланк OLD 0.8 04'!$B$12:$K$200,4,0)&gt;0,VLOOKUP($A460-COUNT('Шаг2.Бланк заказа NEW'!$B$19:$B$201),'Бланк OLD 0.8 04'!$B$12:$K$200,5,0)&gt;0),0.4,"")))),
IF(VLOOKUP($A460-COUNT('Шаг2.Бланк заказа NEW'!$B$19:$B$201)-COUNT('Бланк OLD 0.8 04'!$B$18:$B$200),'Бланк OLD 2.0 04 '!$B$16:$K$200,4,0)&gt;1,2,
IF(VLOOKUP($A460-COUNT('Шаг2.Бланк заказа NEW'!$B$19:$B$201)-COUNT('Бланк OLD 0.8 04'!$B$18:$B$200),'Бланк OLD 2.0 04 '!$B$16:$K$200,5,0)&gt;1,0.4,IF(AND(VLOOKUP($A460-COUNT('Шаг2.Бланк заказа NEW'!$B$19:$B$201)-COUNT('Бланк OLD 0.8 04'!$B$18:$B$200),'Бланк OLD 2.0 04 '!$B$16:$K$200,4,0)&gt;0,VLOOKUP($A460-COUNT('Шаг2.Бланк заказа NEW'!$B$19:$B$201)-COUNT('Бланк OLD 0.8 04'!$B$18:$B$200),'Бланк OLD 2.0 04 '!$B$16:$K$200,5,0)&gt;0),0.4,""))))</f>
        <v/>
      </c>
      <c r="T460" s="147" t="str">
        <f ca="1">IFERROR(IFERROR(IF(VLOOKUP($A460,'Шаг2.Бланк заказа NEW'!$B$17:$N$201,7,0)="","",VLOOKUP($A460,'Шаг2.Бланк заказа NEW'!$B$17:$N$201,7,0)),
IF(VLOOKUP($A460-COUNT('Шаг2.Бланк заказа NEW'!$B$19:$B$201),'Бланк OLD 0.8 04'!$B$12:$K$200,7,0)&gt;0,0.8,
IF(VLOOKUP($A460-COUNT('Шаг2.Бланк заказа NEW'!$B$19:$B$201),'Бланк OLD 0.8 04'!$B$12:$K$200,8,0)&gt;0,0.4,""))),
IF(VLOOKUP($A460-COUNT('Шаг2.Бланк заказа NEW'!$B$19:$B$201)-COUNT('Бланк OLD 0.8 04'!$B$18:$B$200),'Бланк OLD 2.0 04 '!$B$16:$K$200,7,0)&gt;0,2,IF(VLOOKUP($A460-COUNT('Шаг2.Бланк заказа NEW'!$B$19:$B$201)-COUNT('Бланк OLD 0.8 04'!$B$18:$B$200),'Бланк OLD 2.0 04 '!$B$16:$K$200,8,0)&gt;0,0.4,"")))</f>
        <v/>
      </c>
      <c r="U460" s="147" t="str">
        <f ca="1">IFERROR(IFERROR(IF(VLOOKUP($A460,'Шаг2.Бланк заказа NEW'!$B$17:$N$201,8,0)="","",VLOOKUP($A460,'Шаг2.Бланк заказа NEW'!$B$17:$N$201,8,0)),
IF(VLOOKUP($A460-COUNT('Шаг2.Бланк заказа NEW'!$B$19:$B$201),'Бланк OLD 0.8 04'!$B$12:$K$200,7,0)&gt;1,0.8,
IF(VLOOKUP($A460-COUNT('Шаг2.Бланк заказа NEW'!$B$19:$B$201),'Бланк OLD 0.8 04'!$B$12:$K$200,8,0)&gt;1,0.4,
IF(AND(VLOOKUP($A460-COUNT('Шаг2.Бланк заказа NEW'!$B$19:$B$201),'Бланк OLD 0.8 04'!$B$12:$K$200,7,0)&gt;0,VLOOKUP($A460-COUNT('Шаг2.Бланк заказа NEW'!$B$19:$B$201),'Бланк OLD 0.8 04'!$B$12:$K$200,8,0)&gt;0),0.4,"")))),
IF(VLOOKUP($A460-COUNT('Шаг2.Бланк заказа NEW'!$B$19:$B$201)-COUNT('Бланк OLD 0.8 04'!$B$18:$B$200),'Бланк OLD 2.0 04 '!$B$16:$K$200,7,0)&gt;1,2,
IF(VLOOKUP($A460-COUNT('Шаг2.Бланк заказа NEW'!$B$19:$B$201)-COUNT('Бланк OLD 0.8 04'!$B$18:$B$200),'Бланк OLD 2.0 04 '!$B$16:$K$200,8,0)&gt;1,0.4,
IF(AND(VLOOKUP($A460-COUNT('Шаг2.Бланк заказа NEW'!$B$19:$B$201)-COUNT('Бланк OLD 0.8 04'!$B$18:$B$200),'Бланк OLD 2.0 04 '!$B$16:$K$200,7,0)&gt;0,VLOOKUP($A460-COUNT('Шаг2.Бланк заказа NEW'!$B$19:$B$201)-COUNT('Бланк OLD 0.8 04'!$B$18:$B$200),'Бланк OLD 2.0 04 '!$B$16:$K$200,8,0)&gt;0),0.4,""))))</f>
        <v/>
      </c>
      <c r="V460" s="146" t="str">
        <f ca="1">IFERROR(VLOOKUP(C460,'Шаг1.Выбор плиты'!C:S,12,0),"")</f>
        <v/>
      </c>
      <c r="W460" s="146" t="str">
        <f ca="1">IFERROR(VLOOKUP(C460,'Шаг1.Выбор плиты'!C:S,8,0),"")</f>
        <v/>
      </c>
      <c r="X460" s="146" t="str">
        <f ca="1">IFERROR(VLOOKUP(C460,'Шаг1.Выбор плиты'!C:S,10,0),"")</f>
        <v/>
      </c>
      <c r="Y460" s="147" t="str">
        <f t="shared" ca="1" si="46"/>
        <v/>
      </c>
      <c r="AD460" s="147" t="str">
        <f t="shared" ca="1" si="42"/>
        <v/>
      </c>
      <c r="AE460" s="147" t="str">
        <f t="shared" ca="1" si="47"/>
        <v/>
      </c>
      <c r="AF460" s="25"/>
      <c r="AH460" s="147" t="str">
        <f ca="1">IF(C460="","",VLOOKUP(C460,'Шаг1.Выбор плиты'!C:Q,7,0))</f>
        <v/>
      </c>
      <c r="AI460" s="147" t="str">
        <f t="shared" ca="1" si="45"/>
        <v/>
      </c>
    </row>
    <row r="461" spans="1:35" x14ac:dyDescent="0.2">
      <c r="A461" s="151" t="str">
        <f ca="1">IF(C461="","",MAX($A$1:OFFSET(C461,-1,0))+1)</f>
        <v/>
      </c>
      <c r="B461" s="151" t="str">
        <f ca="1">IFERROR(IFERROR(IFERROR("Шаг2.Бланк заказа NEW №"&amp;VLOOKUP(A460+1,CHOOSE({1,2},'Шаг2.Бланк заказа NEW'!$B$19:$B$201,'Шаг2.Бланк заказа NEW'!$A$19:$A$201),1,0),
"Бланк OLD 0.8 04 №"&amp;VLOOKUP(A460+1-COUNT('Шаг2.Бланк заказа NEW'!$B$19:$B$201),CHOOSE({1,2},'Бланк OLD 0.8 04'!$B$18:$B$200,'Бланк OLD 0.8 04'!$A$18:$A$200),1,0)),
"Бланк OLD 2.0 04 №"&amp;VLOOKUP(A460+1-COUNT('Шаг2.Бланк заказа NEW'!$B$19:$B$201)-COUNT('Бланк OLD 0.8 04'!$B$18:$B$200),CHOOSE({1,2},'Бланк OLD 2.0 04 '!$B$18:$B$200,'Бланк OLD 2.0 04 '!$A$18:$A$200),1,0)),"")</f>
        <v/>
      </c>
      <c r="C461" s="152" t="str">
        <f ca="1">IFERROR(IFERROR(IFERROR(VLOOKUP(A460+1,CHOOSE({1,2},'Шаг2.Бланк заказа NEW'!$B$19:$B$201,'Шаг2.Бланк заказа NEW'!$A$19:$A$201),2,0),
VLOOKUP(A460+1-COUNT('Шаг2.Бланк заказа NEW'!$B$19:$B$201),CHOOSE({1,2},'Бланк OLD 0.8 04'!$B$18:$B$200,'Бланк OLD 0.8 04'!$A$18:$A$200),2,0)),
VLOOKUP(A460+1-COUNT('Шаг2.Бланк заказа NEW'!$B$19:$B$201)-COUNT('Бланк OLD 0.8 04'!$B$18:$B$200),CHOOSE({1,2},'Бланк OLD 2.0 04 '!$B$18:$B$200,'Бланк OLD 2.0 04 '!$A$18:$A$200),2,0)),"")</f>
        <v/>
      </c>
      <c r="D461" s="150" t="str">
        <f ca="1">IFERROR(VLOOKUP(C461,'Шаг1.Выбор плиты'!C:G,5,0),"")</f>
        <v/>
      </c>
      <c r="E461" s="147" t="str">
        <f ca="1">IFERROR(IFERROR(IF(VLOOKUP($A461,'Шаг2.Бланк заказа NEW'!$B$17:$N$201,2,0)="","",VLOOKUP($A461,'Шаг2.Бланк заказа NEW'!$B$17:$N$201,2,0)),
IF(VLOOKUP($A461-COUNT('Шаг2.Бланк заказа NEW'!$B$19:$B$201),'Бланк OLD 0.8 04'!$B$12:$K$200,2,0)="","",VLOOKUP($A461-COUNT('Шаг2.Бланк заказа NEW'!$B$19:$B$201),'Бланк OLD 0.8 04'!$B$12:$K$200,2,0))),
IF(VLOOKUP($A461-COUNT('Шаг2.Бланк заказа NEW'!$B$19:$B$201)-COUNT('Бланк OLD 0.8 04'!$B$18:$B$200),'Бланк OLD 2.0 04 '!$B$16:$K$200,2,0)="","",VLOOKUP($A461-COUNT('Шаг2.Бланк заказа NEW'!$B$19:$B$201)-COUNT('Бланк OLD 0.8 04'!$B$18:$B$200),'Бланк OLD 2.0 04 '!$B$16:$K$200,2,0)))</f>
        <v/>
      </c>
      <c r="F461" s="147" t="str">
        <f ca="1">IFERROR(IFERROR(IF(VLOOKUP($A461,'Шаг2.Бланк заказа NEW'!$B$17:$N$201,3,0)="","",VLOOKUP($A461,'Шаг2.Бланк заказа NEW'!$B$17:$N$201,3,0)),
IF(VLOOKUP($A461-COUNT('Шаг2.Бланк заказа NEW'!$B$19:$B$201),'Бланк OLD 0.8 04'!$B$12:$K$200,3,0)="","",VLOOKUP($A461-COUNT('Шаг2.Бланк заказа NEW'!$B$19:$B$201),'Бланк OLD 0.8 04'!$B$12:$K$200,3,0))),
IF(VLOOKUP($A461-COUNT('Шаг2.Бланк заказа NEW'!$B$19:$B$201)-COUNT('Бланк OLD 0.8 04'!$B$18:$B$200),'Бланк OLD 2.0 04 '!$B$16:$K$200,3,0)="","",VLOOKUP($A461-COUNT('Шаг2.Бланк заказа NEW'!$B$19:$B$201)-COUNT('Бланк OLD 0.8 04'!$B$18:$B$200),'Бланк OLD 2.0 04 '!$B$16:$K$200,3,0)))</f>
        <v/>
      </c>
      <c r="G461" s="176" t="str">
        <f ca="1">IF(IF(R461="","",IF(R461=1,SUMIFS('Шаг1.Выбор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плиты'!C:Q,12,0)),1))))))=0,
R461,
IF(R461="","",IF(R461=1,SUMIFS('Шаг1.Выбор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плиты'!N:N,R461,'Шаг1.Выбор плиты'!M:M,SMALL(INDIRECT("мм"&amp;VLOOKUP(C461,'Шаг1.Выбор плиты'!C:Q,12,0)),1)))))))</f>
        <v/>
      </c>
      <c r="H461" s="177" t="str">
        <f ca="1">IF(IF(S461="","",IF(S461=1,SUMIFS('Шаг1.Выбор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плиты'!C:Q,12,0)),1))))))=0,
S461,
IF(S461="","",IF(S461=1,SUMIFS('Шаг1.Выбор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плиты'!N:N,S461,'Шаг1.Выбор плиты'!M:M,SMALL(INDIRECT("мм"&amp;VLOOKUP(C461,'Шаг1.Выбор плиты'!C:Q,12,0)),1)))))))</f>
        <v/>
      </c>
      <c r="I461" s="147" t="str">
        <f ca="1">IFERROR(IFERROR(IF(VLOOKUP($A461,'Шаг2.Бланк заказа NEW'!$B$17:$N$201,6,0)="","",VLOOKUP($A461,'Шаг2.Бланк заказа NEW'!$B$17:$N$201,6,0)),
IF(VLOOKUP($A461-COUNT('Шаг2.Бланк заказа NEW'!$B$19:$B$201),'Бланк OLD 0.8 04'!$B$12:$K$200,6,0)="","",VLOOKUP($A461-COUNT('Шаг2.Бланк заказа NEW'!$B$19:$B$201),'Бланк OLD 0.8 04'!$B$12:$K$200,6,0))),
IF(VLOOKUP($A461-COUNT('Шаг2.Бланк заказа NEW'!$B$19:$B$201)-COUNT('Бланк OLD 0.8 04'!$B$18:$B$200),'Бланк OLD 2.0 04 '!$B$16:$K$200,6,0)="","",VLOOKUP($A461-COUNT('Шаг2.Бланк заказа NEW'!$B$19:$B$201)-COUNT('Бланк OLD 0.8 04'!$B$18:$B$200),'Бланк OLD 2.0 04 '!$B$16:$K$200,6,0)))</f>
        <v/>
      </c>
      <c r="J461" s="177" t="str">
        <f ca="1">IF(IF(T461="","",IF(T461=1,SUMIFS('Шаг1.Выбор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плиты'!C:Q,12,0)),1))))))=0,
T461,
IF(T461="","",IF(T461=1,SUMIFS('Шаг1.Выбор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плиты'!N:N,T461,'Шаг1.Выбор плиты'!M:M,SMALL(INDIRECT("мм"&amp;VLOOKUP(C461,'Шаг1.Выбор плиты'!C:Q,12,0)),1)))))))</f>
        <v/>
      </c>
      <c r="K461" s="177" t="str">
        <f ca="1">IF(IF(U461="","",IF(U461=1,SUMIFS('Шаг1.Выбор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плиты'!C:Q,12,0)),1))))))=0,
U461,
IF(U461="","",IF(U461=1,SUMIFS('Шаг1.Выбор плиты'!$G:$G,'Шаг1.Выбор плиты'!J:J,"*"&amp;RIGHT(VLOOKUP(C461,'Шаг1.Выбор плиты'!C:Q,8,0),4),'Шаг1.Выбор плиты'!L:L,IF(MID(C461,1,6)="ЛДСП P","TM"&amp;MID(VLOOKUP(C461,'Шаг1.Выбор плиты'!C:Q,10,0),3,2),MID(VLOOKUP(C461,'Шаг1.Выбор плиты'!C:Q,10,0),1,2)),
'Шаг1.Выбор плиты'!N:N,1),IF(SUMIFS('Шаг1.Выбор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плиты'!C:Q,12,0)),1))=0,
IF(SUMIFS('Шаг1.Выбор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плиты'!C:Q,12,0)),2))=0,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плиты'!C:Q,12,0)),3)),
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плиты'!C:Q,12,0)),2))),
(SUMIFS('Шаг1.Выбор плиты'!$G:$G,'Шаг1.Выбор плиты'!J:J,"*"&amp;RIGHT(VLOOKUP(C461,'Шаг1.Выбор плиты'!C:Q,8,0),4),'Шаг1.Выбор плиты'!L:L,VLOOKUP(C461,'Шаг1.Выбор плиты'!C:Q,10,0),'Шаг1.Выбор плиты'!N:N,U461,'Шаг1.Выбор плиты'!M:M,SMALL(INDIRECT("мм"&amp;VLOOKUP(C461,'Шаг1.Выбор плиты'!C:Q,12,0)),1)))))))</f>
        <v/>
      </c>
      <c r="L461" s="147" t="str">
        <f ca="1">IFERROR(IFERROR(IF(VLOOKUP($A461,'Шаг2.Бланк заказа NEW'!$B$17:$N$201,9,0)="","",VLOOKUP($A461,'Шаг2.Бланк заказа NEW'!$B$17:$N$201,9,0)),
IF(VLOOKUP($A461-COUNT('Шаг2.Бланк заказа NEW'!$B$19:$B$201),'Бланк OLD 0.8 04'!$B$12:$K$200,9,0)="","",VLOOKUP($A461-COUNT('Шаг2.Бланк заказа NEW'!$B$19:$B$201),'Бланк OLD 0.8 04'!$B$12:$K$200,9,0))),
IF(VLOOKUP($A461-COUNT('Шаг2.Бланк заказа NEW'!$B$19:$B$201)-COUNT('Бланк OLD 0.8 04'!$B$18:$B$200),'Бланк OLD 2.0 04 '!$B$16:$K$200,9,0)="","",VLOOKUP($A461-COUNT('Шаг2.Бланк заказа NEW'!$B$19:$B$201)-COUNT('Бланк OLD 0.8 04'!$B$18:$B$200),'Бланк OLD 2.0 04 '!$B$16:$K$200,9,0)))</f>
        <v/>
      </c>
      <c r="M461" s="154" t="str">
        <f t="shared" ca="1" si="44"/>
        <v/>
      </c>
      <c r="N461" s="153" t="str">
        <f ca="1">IFERROR(IF(VLOOKUP($A461,'Шаг2.Бланк заказа NEW'!$B$17:$N$201,11,0)="","",VLOOKUP($A461,'Шаг2.Бланк заказа NEW'!$B$17:$N$201,11,0)),
"Нет")</f>
        <v/>
      </c>
      <c r="O461" s="147" t="str">
        <f ca="1">IFERROR(IF(VLOOKUP($A461,'Шаг2.Бланк заказа NEW'!$B$17:$N$201,11,0)="","",VLOOKUP($A461,'Шаг2.Бланк заказа NEW'!$B$17:$N$201,12,0)),
"Нет")</f>
        <v/>
      </c>
      <c r="P461" s="153" t="str">
        <f ca="1">IFERROR(IF(VLOOKUP($A461,'Шаг2.Бланк заказа NEW'!$B$17:$N$201,13,0)="","",VLOOKUP($A461,'Шаг2.Бланк заказа NEW'!$B$17:$N$201,13,0)),
"Нет")</f>
        <v/>
      </c>
      <c r="Q461" s="147" t="str">
        <f ca="1">IFERROR(IF(VLOOKUP($A461,'Шаг2.Бланк заказа NEW'!$B$17:$O$201,14,0)="","",VLOOKUP($A461,'Шаг2.Бланк заказа NEW'!$B$17:$O$201,14,0)),"")</f>
        <v/>
      </c>
      <c r="R461" s="147" t="str">
        <f ca="1">IFERROR(IFERROR(IF(VLOOKUP($A461,'Шаг2.Бланк заказа NEW'!$B$17:$N$201,4,0)="","",VLOOKUP($A461,'Шаг2.Бланк заказа NEW'!$B$17:$N$201,4,0)),
IF(VLOOKUP($A461-COUNT('Шаг2.Бланк заказа NEW'!$B$19:$B$201),'Бланк OLD 0.8 04'!$B$12:$K$200,4,0)&gt;0,0.8,
IF(VLOOKUP($A461-COUNT('Шаг2.Бланк заказа NEW'!$B$19:$B$201),'Бланк OLD 0.8 04'!$B$12:$K$200,5,0)&gt;0,0.4,""))),
IF(VLOOKUP($A461-COUNT('Шаг2.Бланк заказа NEW'!$B$19:$B$201)-COUNT('Бланк OLD 0.8 04'!$B$18:$B$200),'Бланк OLD 2.0 04 '!$B$16:$K$200,4,0)&gt;0,2,IF(VLOOKUP($A461-COUNT('Шаг2.Бланк заказа NEW'!$B$19:$B$201)-COUNT('Бланк OLD 0.8 04'!$B$18:$B$200),'Бланк OLD 2.0 04 '!$B$16:$K$200,5,0)&gt;0,0.4,"")))</f>
        <v/>
      </c>
      <c r="S461" s="147" t="str">
        <f ca="1">IFERROR(IFERROR(IF(VLOOKUP($A461,'Шаг2.Бланк заказа NEW'!$B$17:$N$201,5,0)="","",VLOOKUP($A461,'Шаг2.Бланк заказа NEW'!$B$17:$N$201,5,0)),
IF(VLOOKUP($A461-COUNT('Шаг2.Бланк заказа NEW'!$B$19:$B$201),'Бланк OLD 0.8 04'!$B$12:$K$200,4,0)&gt;1,0.8,
IF(VLOOKUP($A461-COUNT('Шаг2.Бланк заказа NEW'!$B$19:$B$201),'Бланк OLD 0.8 04'!$B$12:$K$200,5,0)&gt;1,0.4,
IF(AND(VLOOKUP($A461-COUNT('Шаг2.Бланк заказа NEW'!$B$19:$B$201),'Бланк OLD 0.8 04'!$B$12:$K$200,4,0)&gt;0,VLOOKUP($A461-COUNT('Шаг2.Бланк заказа NEW'!$B$19:$B$201),'Бланк OLD 0.8 04'!$B$12:$K$200,5,0)&gt;0),0.4,"")))),
IF(VLOOKUP($A461-COUNT('Шаг2.Бланк заказа NEW'!$B$19:$B$201)-COUNT('Бланк OLD 0.8 04'!$B$18:$B$200),'Бланк OLD 2.0 04 '!$B$16:$K$200,4,0)&gt;1,2,
IF(VLOOKUP($A461-COUNT('Шаг2.Бланк заказа NEW'!$B$19:$B$201)-COUNT('Бланк OLD 0.8 04'!$B$18:$B$200),'Бланк OLD 2.0 04 '!$B$16:$K$200,5,0)&gt;1,0.4,IF(AND(VLOOKUP($A461-COUNT('Шаг2.Бланк заказа NEW'!$B$19:$B$201)-COUNT('Бланк OLD 0.8 04'!$B$18:$B$200),'Бланк OLD 2.0 04 '!$B$16:$K$200,4,0)&gt;0,VLOOKUP($A461-COUNT('Шаг2.Бланк заказа NEW'!$B$19:$B$201)-COUNT('Бланк OLD 0.8 04'!$B$18:$B$200),'Бланк OLD 2.0 04 '!$B$16:$K$200,5,0)&gt;0),0.4,""))))</f>
        <v/>
      </c>
      <c r="T461" s="147" t="str">
        <f ca="1">IFERROR(IFERROR(IF(VLOOKUP($A461,'Шаг2.Бланк заказа NEW'!$B$17:$N$201,7,0)="","",VLOOKUP($A461,'Шаг2.Бланк заказа NEW'!$B$17:$N$201,7,0)),
IF(VLOOKUP($A461-COUNT('Шаг2.Бланк заказа NEW'!$B$19:$B$201),'Бланк OLD 0.8 04'!$B$12:$K$200,7,0)&gt;0,0.8,
IF(VLOOKUP($A461-COUNT('Шаг2.Бланк заказа NEW'!$B$19:$B$201),'Бланк OLD 0.8 04'!$B$12:$K$200,8,0)&gt;0,0.4,""))),
IF(VLOOKUP($A461-COUNT('Шаг2.Бланк заказа NEW'!$B$19:$B$201)-COUNT('Бланк OLD 0.8 04'!$B$18:$B$200),'Бланк OLD 2.0 04 '!$B$16:$K$200,7,0)&gt;0,2,IF(VLOOKUP($A461-COUNT('Шаг2.Бланк заказа NEW'!$B$19:$B$201)-COUNT('Бланк OLD 0.8 04'!$B$18:$B$200),'Бланк OLD 2.0 04 '!$B$16:$K$200,8,0)&gt;0,0.4,"")))</f>
        <v/>
      </c>
      <c r="U461" s="147" t="str">
        <f ca="1">IFERROR(IFERROR(IF(VLOOKUP($A461,'Шаг2.Бланк заказа NEW'!$B$17:$N$201,8,0)="","",VLOOKUP($A461,'Шаг2.Бланк заказа NEW'!$B$17:$N$201,8,0)),
IF(VLOOKUP($A461-COUNT('Шаг2.Бланк заказа NEW'!$B$19:$B$201),'Бланк OLD 0.8 04'!$B$12:$K$200,7,0)&gt;1,0.8,
IF(VLOOKUP($A461-COUNT('Шаг2.Бланк заказа NEW'!$B$19:$B$201),'Бланк OLD 0.8 04'!$B$12:$K$200,8,0)&gt;1,0.4,
IF(AND(VLOOKUP($A461-COUNT('Шаг2.Бланк заказа NEW'!$B$19:$B$201),'Бланк OLD 0.8 04'!$B$12:$K$200,7,0)&gt;0,VLOOKUP($A461-COUNT('Шаг2.Бланк заказа NEW'!$B$19:$B$201),'Бланк OLD 0.8 04'!$B$12:$K$200,8,0)&gt;0),0.4,"")))),
IF(VLOOKUP($A461-COUNT('Шаг2.Бланк заказа NEW'!$B$19:$B$201)-COUNT('Бланк OLD 0.8 04'!$B$18:$B$200),'Бланк OLD 2.0 04 '!$B$16:$K$200,7,0)&gt;1,2,
IF(VLOOKUP($A461-COUNT('Шаг2.Бланк заказа NEW'!$B$19:$B$201)-COUNT('Бланк OLD 0.8 04'!$B$18:$B$200),'Бланк OLD 2.0 04 '!$B$16:$K$200,8,0)&gt;1,0.4,
IF(AND(VLOOKUP($A461-COUNT('Шаг2.Бланк заказа NEW'!$B$19:$B$201)-COUNT('Бланк OLD 0.8 04'!$B$18:$B$200),'Бланк OLD 2.0 04 '!$B$16:$K$200,7,0)&gt;0,VLOOKUP($A461-COUNT('Шаг2.Бланк заказа NEW'!$B$19:$B$201)-COUNT('Бланк OLD 0.8 04'!$B$18:$B$200),'Бланк OLD 2.0 04 '!$B$16:$K$200,8,0)&gt;0),0.4,""))))</f>
        <v/>
      </c>
      <c r="V461" s="146" t="str">
        <f ca="1">IFERROR(VLOOKUP(C461,'Шаг1.Выбор плиты'!C:S,12,0),"")</f>
        <v/>
      </c>
      <c r="W461" s="146" t="str">
        <f ca="1">IFERROR(VLOOKUP(C461,'Шаг1.Выбор плиты'!C:S,8,0),"")</f>
        <v/>
      </c>
      <c r="X461" s="146" t="str">
        <f ca="1">IFERROR(VLOOKUP(C461,'Шаг1.Выбор плиты'!C:S,10,0),"")</f>
        <v/>
      </c>
      <c r="Y461" s="147" t="str">
        <f t="shared" ca="1" si="46"/>
        <v/>
      </c>
      <c r="AD461" s="147" t="str">
        <f t="shared" ca="1" si="42"/>
        <v/>
      </c>
      <c r="AE461" s="147" t="str">
        <f t="shared" ca="1" si="47"/>
        <v/>
      </c>
      <c r="AF461" s="25"/>
      <c r="AH461" s="147" t="str">
        <f ca="1">IF(C461="","",VLOOKUP(C461,'Шаг1.Выбор плиты'!C:Q,7,0))</f>
        <v/>
      </c>
      <c r="AI461" s="147" t="str">
        <f t="shared" ca="1" si="45"/>
        <v/>
      </c>
    </row>
    <row r="462" spans="1:35" x14ac:dyDescent="0.2">
      <c r="A462" s="151" t="str">
        <f ca="1">IF(C462="","",MAX($A$1:OFFSET(C462,-1,0))+1)</f>
        <v/>
      </c>
      <c r="B462" s="151" t="str">
        <f ca="1">IFERROR(IFERROR(IFERROR("Шаг2.Бланк заказа NEW №"&amp;VLOOKUP(A461+1,CHOOSE({1,2},'Шаг2.Бланк заказа NEW'!$B$19:$B$201,'Шаг2.Бланк заказа NEW'!$A$19:$A$201),1,0),
"Бланк OLD 0.8 04 №"&amp;VLOOKUP(A461+1-COUNT('Шаг2.Бланк заказа NEW'!$B$19:$B$201),CHOOSE({1,2},'Бланк OLD 0.8 04'!$B$18:$B$200,'Бланк OLD 0.8 04'!$A$18:$A$200),1,0)),
"Бланк OLD 2.0 04 №"&amp;VLOOKUP(A461+1-COUNT('Шаг2.Бланк заказа NEW'!$B$19:$B$201)-COUNT('Бланк OLD 0.8 04'!$B$18:$B$200),CHOOSE({1,2},'Бланк OLD 2.0 04 '!$B$18:$B$200,'Бланк OLD 2.0 04 '!$A$18:$A$200),1,0)),"")</f>
        <v/>
      </c>
      <c r="C462" s="152" t="str">
        <f ca="1">IFERROR(IFERROR(IFERROR(VLOOKUP(A461+1,CHOOSE({1,2},'Шаг2.Бланк заказа NEW'!$B$19:$B$201,'Шаг2.Бланк заказа NEW'!$A$19:$A$201),2,0),
VLOOKUP(A461+1-COUNT('Шаг2.Бланк заказа NEW'!$B$19:$B$201),CHOOSE({1,2},'Бланк OLD 0.8 04'!$B$18:$B$200,'Бланк OLD 0.8 04'!$A$18:$A$200),2,0)),
VLOOKUP(A461+1-COUNT('Шаг2.Бланк заказа NEW'!$B$19:$B$201)-COUNT('Бланк OLD 0.8 04'!$B$18:$B$200),CHOOSE({1,2},'Бланк OLD 2.0 04 '!$B$18:$B$200,'Бланк OLD 2.0 04 '!$A$18:$A$200),2,0)),"")</f>
        <v/>
      </c>
      <c r="D462" s="150" t="str">
        <f ca="1">IFERROR(VLOOKUP(C462,'Шаг1.Выбор плиты'!C:G,5,0),"")</f>
        <v/>
      </c>
      <c r="E462" s="147" t="str">
        <f ca="1">IFERROR(IFERROR(IF(VLOOKUP($A462,'Шаг2.Бланк заказа NEW'!$B$17:$N$201,2,0)="","",VLOOKUP($A462,'Шаг2.Бланк заказа NEW'!$B$17:$N$201,2,0)),
IF(VLOOKUP($A462-COUNT('Шаг2.Бланк заказа NEW'!$B$19:$B$201),'Бланк OLD 0.8 04'!$B$12:$K$200,2,0)="","",VLOOKUP($A462-COUNT('Шаг2.Бланк заказа NEW'!$B$19:$B$201),'Бланк OLD 0.8 04'!$B$12:$K$200,2,0))),
IF(VLOOKUP($A462-COUNT('Шаг2.Бланк заказа NEW'!$B$19:$B$201)-COUNT('Бланк OLD 0.8 04'!$B$18:$B$200),'Бланк OLD 2.0 04 '!$B$16:$K$200,2,0)="","",VLOOKUP($A462-COUNT('Шаг2.Бланк заказа NEW'!$B$19:$B$201)-COUNT('Бланк OLD 0.8 04'!$B$18:$B$200),'Бланк OLD 2.0 04 '!$B$16:$K$200,2,0)))</f>
        <v/>
      </c>
      <c r="F462" s="147" t="str">
        <f ca="1">IFERROR(IFERROR(IF(VLOOKUP($A462,'Шаг2.Бланк заказа NEW'!$B$17:$N$201,3,0)="","",VLOOKUP($A462,'Шаг2.Бланк заказа NEW'!$B$17:$N$201,3,0)),
IF(VLOOKUP($A462-COUNT('Шаг2.Бланк заказа NEW'!$B$19:$B$201),'Бланк OLD 0.8 04'!$B$12:$K$200,3,0)="","",VLOOKUP($A462-COUNT('Шаг2.Бланк заказа NEW'!$B$19:$B$201),'Бланк OLD 0.8 04'!$B$12:$K$200,3,0))),
IF(VLOOKUP($A462-COUNT('Шаг2.Бланк заказа NEW'!$B$19:$B$201)-COUNT('Бланк OLD 0.8 04'!$B$18:$B$200),'Бланк OLD 2.0 04 '!$B$16:$K$200,3,0)="","",VLOOKUP($A462-COUNT('Шаг2.Бланк заказа NEW'!$B$19:$B$201)-COUNT('Бланк OLD 0.8 04'!$B$18:$B$200),'Бланк OLD 2.0 04 '!$B$16:$K$200,3,0)))</f>
        <v/>
      </c>
      <c r="G462" s="176" t="str">
        <f ca="1">IF(IF(R462="","",IF(R462=1,SUMIFS('Шаг1.Выбор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плиты'!C:Q,12,0)),1))))))=0,
R462,
IF(R462="","",IF(R462=1,SUMIFS('Шаг1.Выбор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плиты'!N:N,R462,'Шаг1.Выбор плиты'!M:M,SMALL(INDIRECT("мм"&amp;VLOOKUP(C462,'Шаг1.Выбор плиты'!C:Q,12,0)),1)))))))</f>
        <v/>
      </c>
      <c r="H462" s="177" t="str">
        <f ca="1">IF(IF(S462="","",IF(S462=1,SUMIFS('Шаг1.Выбор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плиты'!C:Q,12,0)),1))))))=0,
S462,
IF(S462="","",IF(S462=1,SUMIFS('Шаг1.Выбор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плиты'!N:N,S462,'Шаг1.Выбор плиты'!M:M,SMALL(INDIRECT("мм"&amp;VLOOKUP(C462,'Шаг1.Выбор плиты'!C:Q,12,0)),1)))))))</f>
        <v/>
      </c>
      <c r="I462" s="147" t="str">
        <f ca="1">IFERROR(IFERROR(IF(VLOOKUP($A462,'Шаг2.Бланк заказа NEW'!$B$17:$N$201,6,0)="","",VLOOKUP($A462,'Шаг2.Бланк заказа NEW'!$B$17:$N$201,6,0)),
IF(VLOOKUP($A462-COUNT('Шаг2.Бланк заказа NEW'!$B$19:$B$201),'Бланк OLD 0.8 04'!$B$12:$K$200,6,0)="","",VLOOKUP($A462-COUNT('Шаг2.Бланк заказа NEW'!$B$19:$B$201),'Бланк OLD 0.8 04'!$B$12:$K$200,6,0))),
IF(VLOOKUP($A462-COUNT('Шаг2.Бланк заказа NEW'!$B$19:$B$201)-COUNT('Бланк OLD 0.8 04'!$B$18:$B$200),'Бланк OLD 2.0 04 '!$B$16:$K$200,6,0)="","",VLOOKUP($A462-COUNT('Шаг2.Бланк заказа NEW'!$B$19:$B$201)-COUNT('Бланк OLD 0.8 04'!$B$18:$B$200),'Бланк OLD 2.0 04 '!$B$16:$K$200,6,0)))</f>
        <v/>
      </c>
      <c r="J462" s="177" t="str">
        <f ca="1">IF(IF(T462="","",IF(T462=1,SUMIFS('Шаг1.Выбор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плиты'!C:Q,12,0)),1))))))=0,
T462,
IF(T462="","",IF(T462=1,SUMIFS('Шаг1.Выбор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плиты'!N:N,T462,'Шаг1.Выбор плиты'!M:M,SMALL(INDIRECT("мм"&amp;VLOOKUP(C462,'Шаг1.Выбор плиты'!C:Q,12,0)),1)))))))</f>
        <v/>
      </c>
      <c r="K462" s="177" t="str">
        <f ca="1">IF(IF(U462="","",IF(U462=1,SUMIFS('Шаг1.Выбор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плиты'!C:Q,12,0)),1))))))=0,
U462,
IF(U462="","",IF(U462=1,SUMIFS('Шаг1.Выбор плиты'!$G:$G,'Шаг1.Выбор плиты'!J:J,"*"&amp;RIGHT(VLOOKUP(C462,'Шаг1.Выбор плиты'!C:Q,8,0),4),'Шаг1.Выбор плиты'!L:L,IF(MID(C462,1,6)="ЛДСП P","TM"&amp;MID(VLOOKUP(C462,'Шаг1.Выбор плиты'!C:Q,10,0),3,2),MID(VLOOKUP(C462,'Шаг1.Выбор плиты'!C:Q,10,0),1,2)),
'Шаг1.Выбор плиты'!N:N,1),IF(SUMIFS('Шаг1.Выбор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плиты'!C:Q,12,0)),1))=0,
IF(SUMIFS('Шаг1.Выбор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плиты'!C:Q,12,0)),2))=0,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плиты'!C:Q,12,0)),3)),
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плиты'!C:Q,12,0)),2))),
(SUMIFS('Шаг1.Выбор плиты'!$G:$G,'Шаг1.Выбор плиты'!J:J,"*"&amp;RIGHT(VLOOKUP(C462,'Шаг1.Выбор плиты'!C:Q,8,0),4),'Шаг1.Выбор плиты'!L:L,VLOOKUP(C462,'Шаг1.Выбор плиты'!C:Q,10,0),'Шаг1.Выбор плиты'!N:N,U462,'Шаг1.Выбор плиты'!M:M,SMALL(INDIRECT("мм"&amp;VLOOKUP(C462,'Шаг1.Выбор плиты'!C:Q,12,0)),1)))))))</f>
        <v/>
      </c>
      <c r="L462" s="147" t="str">
        <f ca="1">IFERROR(IFERROR(IF(VLOOKUP($A462,'Шаг2.Бланк заказа NEW'!$B$17:$N$201,9,0)="","",VLOOKUP($A462,'Шаг2.Бланк заказа NEW'!$B$17:$N$201,9,0)),
IF(VLOOKUP($A462-COUNT('Шаг2.Бланк заказа NEW'!$B$19:$B$201),'Бланк OLD 0.8 04'!$B$12:$K$200,9,0)="","",VLOOKUP($A462-COUNT('Шаг2.Бланк заказа NEW'!$B$19:$B$201),'Бланк OLD 0.8 04'!$B$12:$K$200,9,0))),
IF(VLOOKUP($A462-COUNT('Шаг2.Бланк заказа NEW'!$B$19:$B$201)-COUNT('Бланк OLD 0.8 04'!$B$18:$B$200),'Бланк OLD 2.0 04 '!$B$16:$K$200,9,0)="","",VLOOKUP($A462-COUNT('Шаг2.Бланк заказа NEW'!$B$19:$B$201)-COUNT('Бланк OLD 0.8 04'!$B$18:$B$200),'Бланк OLD 2.0 04 '!$B$16:$K$200,9,0)))</f>
        <v/>
      </c>
      <c r="M462" s="154" t="str">
        <f t="shared" ca="1" si="44"/>
        <v/>
      </c>
      <c r="N462" s="153" t="str">
        <f ca="1">IFERROR(IF(VLOOKUP($A462,'Шаг2.Бланк заказа NEW'!$B$17:$N$201,11,0)="","",VLOOKUP($A462,'Шаг2.Бланк заказа NEW'!$B$17:$N$201,11,0)),
"Нет")</f>
        <v/>
      </c>
      <c r="O462" s="147" t="str">
        <f ca="1">IFERROR(IF(VLOOKUP($A462,'Шаг2.Бланк заказа NEW'!$B$17:$N$201,11,0)="","",VLOOKUP($A462,'Шаг2.Бланк заказа NEW'!$B$17:$N$201,12,0)),
"Нет")</f>
        <v/>
      </c>
      <c r="P462" s="153" t="str">
        <f ca="1">IFERROR(IF(VLOOKUP($A462,'Шаг2.Бланк заказа NEW'!$B$17:$N$201,13,0)="","",VLOOKUP($A462,'Шаг2.Бланк заказа NEW'!$B$17:$N$201,13,0)),
"Нет")</f>
        <v/>
      </c>
      <c r="Q462" s="147" t="str">
        <f ca="1">IFERROR(IF(VLOOKUP($A462,'Шаг2.Бланк заказа NEW'!$B$17:$O$201,14,0)="","",VLOOKUP($A462,'Шаг2.Бланк заказа NEW'!$B$17:$O$201,14,0)),"")</f>
        <v/>
      </c>
      <c r="R462" s="147" t="str">
        <f ca="1">IFERROR(IFERROR(IF(VLOOKUP($A462,'Шаг2.Бланк заказа NEW'!$B$17:$N$201,4,0)="","",VLOOKUP($A462,'Шаг2.Бланк заказа NEW'!$B$17:$N$201,4,0)),
IF(VLOOKUP($A462-COUNT('Шаг2.Бланк заказа NEW'!$B$19:$B$201),'Бланк OLD 0.8 04'!$B$12:$K$200,4,0)&gt;0,0.8,
IF(VLOOKUP($A462-COUNT('Шаг2.Бланк заказа NEW'!$B$19:$B$201),'Бланк OLD 0.8 04'!$B$12:$K$200,5,0)&gt;0,0.4,""))),
IF(VLOOKUP($A462-COUNT('Шаг2.Бланк заказа NEW'!$B$19:$B$201)-COUNT('Бланк OLD 0.8 04'!$B$18:$B$200),'Бланк OLD 2.0 04 '!$B$16:$K$200,4,0)&gt;0,2,IF(VLOOKUP($A462-COUNT('Шаг2.Бланк заказа NEW'!$B$19:$B$201)-COUNT('Бланк OLD 0.8 04'!$B$18:$B$200),'Бланк OLD 2.0 04 '!$B$16:$K$200,5,0)&gt;0,0.4,"")))</f>
        <v/>
      </c>
      <c r="S462" s="147" t="str">
        <f ca="1">IFERROR(IFERROR(IF(VLOOKUP($A462,'Шаг2.Бланк заказа NEW'!$B$17:$N$201,5,0)="","",VLOOKUP($A462,'Шаг2.Бланк заказа NEW'!$B$17:$N$201,5,0)),
IF(VLOOKUP($A462-COUNT('Шаг2.Бланк заказа NEW'!$B$19:$B$201),'Бланк OLD 0.8 04'!$B$12:$K$200,4,0)&gt;1,0.8,
IF(VLOOKUP($A462-COUNT('Шаг2.Бланк заказа NEW'!$B$19:$B$201),'Бланк OLD 0.8 04'!$B$12:$K$200,5,0)&gt;1,0.4,
IF(AND(VLOOKUP($A462-COUNT('Шаг2.Бланк заказа NEW'!$B$19:$B$201),'Бланк OLD 0.8 04'!$B$12:$K$200,4,0)&gt;0,VLOOKUP($A462-COUNT('Шаг2.Бланк заказа NEW'!$B$19:$B$201),'Бланк OLD 0.8 04'!$B$12:$K$200,5,0)&gt;0),0.4,"")))),
IF(VLOOKUP($A462-COUNT('Шаг2.Бланк заказа NEW'!$B$19:$B$201)-COUNT('Бланк OLD 0.8 04'!$B$18:$B$200),'Бланк OLD 2.0 04 '!$B$16:$K$200,4,0)&gt;1,2,
IF(VLOOKUP($A462-COUNT('Шаг2.Бланк заказа NEW'!$B$19:$B$201)-COUNT('Бланк OLD 0.8 04'!$B$18:$B$200),'Бланк OLD 2.0 04 '!$B$16:$K$200,5,0)&gt;1,0.4,IF(AND(VLOOKUP($A462-COUNT('Шаг2.Бланк заказа NEW'!$B$19:$B$201)-COUNT('Бланк OLD 0.8 04'!$B$18:$B$200),'Бланк OLD 2.0 04 '!$B$16:$K$200,4,0)&gt;0,VLOOKUP($A462-COUNT('Шаг2.Бланк заказа NEW'!$B$19:$B$201)-COUNT('Бланк OLD 0.8 04'!$B$18:$B$200),'Бланк OLD 2.0 04 '!$B$16:$K$200,5,0)&gt;0),0.4,""))))</f>
        <v/>
      </c>
      <c r="T462" s="147" t="str">
        <f ca="1">IFERROR(IFERROR(IF(VLOOKUP($A462,'Шаг2.Бланк заказа NEW'!$B$17:$N$201,7,0)="","",VLOOKUP($A462,'Шаг2.Бланк заказа NEW'!$B$17:$N$201,7,0)),
IF(VLOOKUP($A462-COUNT('Шаг2.Бланк заказа NEW'!$B$19:$B$201),'Бланк OLD 0.8 04'!$B$12:$K$200,7,0)&gt;0,0.8,
IF(VLOOKUP($A462-COUNT('Шаг2.Бланк заказа NEW'!$B$19:$B$201),'Бланк OLD 0.8 04'!$B$12:$K$200,8,0)&gt;0,0.4,""))),
IF(VLOOKUP($A462-COUNT('Шаг2.Бланк заказа NEW'!$B$19:$B$201)-COUNT('Бланк OLD 0.8 04'!$B$18:$B$200),'Бланк OLD 2.0 04 '!$B$16:$K$200,7,0)&gt;0,2,IF(VLOOKUP($A462-COUNT('Шаг2.Бланк заказа NEW'!$B$19:$B$201)-COUNT('Бланк OLD 0.8 04'!$B$18:$B$200),'Бланк OLD 2.0 04 '!$B$16:$K$200,8,0)&gt;0,0.4,"")))</f>
        <v/>
      </c>
      <c r="U462" s="147" t="str">
        <f ca="1">IFERROR(IFERROR(IF(VLOOKUP($A462,'Шаг2.Бланк заказа NEW'!$B$17:$N$201,8,0)="","",VLOOKUP($A462,'Шаг2.Бланк заказа NEW'!$B$17:$N$201,8,0)),
IF(VLOOKUP($A462-COUNT('Шаг2.Бланк заказа NEW'!$B$19:$B$201),'Бланк OLD 0.8 04'!$B$12:$K$200,7,0)&gt;1,0.8,
IF(VLOOKUP($A462-COUNT('Шаг2.Бланк заказа NEW'!$B$19:$B$201),'Бланк OLD 0.8 04'!$B$12:$K$200,8,0)&gt;1,0.4,
IF(AND(VLOOKUP($A462-COUNT('Шаг2.Бланк заказа NEW'!$B$19:$B$201),'Бланк OLD 0.8 04'!$B$12:$K$200,7,0)&gt;0,VLOOKUP($A462-COUNT('Шаг2.Бланк заказа NEW'!$B$19:$B$201),'Бланк OLD 0.8 04'!$B$12:$K$200,8,0)&gt;0),0.4,"")))),
IF(VLOOKUP($A462-COUNT('Шаг2.Бланк заказа NEW'!$B$19:$B$201)-COUNT('Бланк OLD 0.8 04'!$B$18:$B$200),'Бланк OLD 2.0 04 '!$B$16:$K$200,7,0)&gt;1,2,
IF(VLOOKUP($A462-COUNT('Шаг2.Бланк заказа NEW'!$B$19:$B$201)-COUNT('Бланк OLD 0.8 04'!$B$18:$B$200),'Бланк OLD 2.0 04 '!$B$16:$K$200,8,0)&gt;1,0.4,
IF(AND(VLOOKUP($A462-COUNT('Шаг2.Бланк заказа NEW'!$B$19:$B$201)-COUNT('Бланк OLD 0.8 04'!$B$18:$B$200),'Бланк OLD 2.0 04 '!$B$16:$K$200,7,0)&gt;0,VLOOKUP($A462-COUNT('Шаг2.Бланк заказа NEW'!$B$19:$B$201)-COUNT('Бланк OLD 0.8 04'!$B$18:$B$200),'Бланк OLD 2.0 04 '!$B$16:$K$200,8,0)&gt;0),0.4,""))))</f>
        <v/>
      </c>
      <c r="V462" s="146" t="str">
        <f ca="1">IFERROR(VLOOKUP(C462,'Шаг1.Выбор плиты'!C:S,12,0),"")</f>
        <v/>
      </c>
      <c r="W462" s="146" t="str">
        <f ca="1">IFERROR(VLOOKUP(C462,'Шаг1.Выбор плиты'!C:S,8,0),"")</f>
        <v/>
      </c>
      <c r="X462" s="146" t="str">
        <f ca="1">IFERROR(VLOOKUP(C462,'Шаг1.Выбор плиты'!C:S,10,0),"")</f>
        <v/>
      </c>
      <c r="Y462" s="147" t="str">
        <f t="shared" ca="1" si="46"/>
        <v/>
      </c>
      <c r="AD462" s="147" t="str">
        <f t="shared" ca="1" si="42"/>
        <v/>
      </c>
      <c r="AE462" s="147" t="str">
        <f t="shared" ca="1" si="47"/>
        <v/>
      </c>
      <c r="AF462" s="25"/>
      <c r="AH462" s="147" t="str">
        <f ca="1">IF(C462="","",VLOOKUP(C462,'Шаг1.Выбор плиты'!C:Q,7,0))</f>
        <v/>
      </c>
      <c r="AI462" s="147" t="str">
        <f t="shared" ca="1" si="45"/>
        <v/>
      </c>
    </row>
    <row r="463" spans="1:35" x14ac:dyDescent="0.2">
      <c r="A463" s="151" t="str">
        <f ca="1">IF(C463="","",MAX($A$1:OFFSET(C463,-1,0))+1)</f>
        <v/>
      </c>
      <c r="B463" s="151" t="str">
        <f ca="1">IFERROR(IFERROR(IFERROR("Шаг2.Бланк заказа NEW №"&amp;VLOOKUP(A462+1,CHOOSE({1,2},'Шаг2.Бланк заказа NEW'!$B$19:$B$201,'Шаг2.Бланк заказа NEW'!$A$19:$A$201),1,0),
"Бланк OLD 0.8 04 №"&amp;VLOOKUP(A462+1-COUNT('Шаг2.Бланк заказа NEW'!$B$19:$B$201),CHOOSE({1,2},'Бланк OLD 0.8 04'!$B$18:$B$200,'Бланк OLD 0.8 04'!$A$18:$A$200),1,0)),
"Бланк OLD 2.0 04 №"&amp;VLOOKUP(A462+1-COUNT('Шаг2.Бланк заказа NEW'!$B$19:$B$201)-COUNT('Бланк OLD 0.8 04'!$B$18:$B$200),CHOOSE({1,2},'Бланк OLD 2.0 04 '!$B$18:$B$200,'Бланк OLD 2.0 04 '!$A$18:$A$200),1,0)),"")</f>
        <v/>
      </c>
      <c r="C463" s="152" t="str">
        <f ca="1">IFERROR(IFERROR(IFERROR(VLOOKUP(A462+1,CHOOSE({1,2},'Шаг2.Бланк заказа NEW'!$B$19:$B$201,'Шаг2.Бланк заказа NEW'!$A$19:$A$201),2,0),
VLOOKUP(A462+1-COUNT('Шаг2.Бланк заказа NEW'!$B$19:$B$201),CHOOSE({1,2},'Бланк OLD 0.8 04'!$B$18:$B$200,'Бланк OLD 0.8 04'!$A$18:$A$200),2,0)),
VLOOKUP(A462+1-COUNT('Шаг2.Бланк заказа NEW'!$B$19:$B$201)-COUNT('Бланк OLD 0.8 04'!$B$18:$B$200),CHOOSE({1,2},'Бланк OLD 2.0 04 '!$B$18:$B$200,'Бланк OLD 2.0 04 '!$A$18:$A$200),2,0)),"")</f>
        <v/>
      </c>
      <c r="D463" s="150" t="str">
        <f ca="1">IFERROR(VLOOKUP(C463,'Шаг1.Выбор плиты'!C:G,5,0),"")</f>
        <v/>
      </c>
      <c r="E463" s="147" t="str">
        <f ca="1">IFERROR(IFERROR(IF(VLOOKUP($A463,'Шаг2.Бланк заказа NEW'!$B$17:$N$201,2,0)="","",VLOOKUP($A463,'Шаг2.Бланк заказа NEW'!$B$17:$N$201,2,0)),
IF(VLOOKUP($A463-COUNT('Шаг2.Бланк заказа NEW'!$B$19:$B$201),'Бланк OLD 0.8 04'!$B$12:$K$200,2,0)="","",VLOOKUP($A463-COUNT('Шаг2.Бланк заказа NEW'!$B$19:$B$201),'Бланк OLD 0.8 04'!$B$12:$K$200,2,0))),
IF(VLOOKUP($A463-COUNT('Шаг2.Бланк заказа NEW'!$B$19:$B$201)-COUNT('Бланк OLD 0.8 04'!$B$18:$B$200),'Бланк OLD 2.0 04 '!$B$16:$K$200,2,0)="","",VLOOKUP($A463-COUNT('Шаг2.Бланк заказа NEW'!$B$19:$B$201)-COUNT('Бланк OLD 0.8 04'!$B$18:$B$200),'Бланк OLD 2.0 04 '!$B$16:$K$200,2,0)))</f>
        <v/>
      </c>
      <c r="F463" s="147" t="str">
        <f ca="1">IFERROR(IFERROR(IF(VLOOKUP($A463,'Шаг2.Бланк заказа NEW'!$B$17:$N$201,3,0)="","",VLOOKUP($A463,'Шаг2.Бланк заказа NEW'!$B$17:$N$201,3,0)),
IF(VLOOKUP($A463-COUNT('Шаг2.Бланк заказа NEW'!$B$19:$B$201),'Бланк OLD 0.8 04'!$B$12:$K$200,3,0)="","",VLOOKUP($A463-COUNT('Шаг2.Бланк заказа NEW'!$B$19:$B$201),'Бланк OLD 0.8 04'!$B$12:$K$200,3,0))),
IF(VLOOKUP($A463-COUNT('Шаг2.Бланк заказа NEW'!$B$19:$B$201)-COUNT('Бланк OLD 0.8 04'!$B$18:$B$200),'Бланк OLD 2.0 04 '!$B$16:$K$200,3,0)="","",VLOOKUP($A463-COUNT('Шаг2.Бланк заказа NEW'!$B$19:$B$201)-COUNT('Бланк OLD 0.8 04'!$B$18:$B$200),'Бланк OLD 2.0 04 '!$B$16:$K$200,3,0)))</f>
        <v/>
      </c>
      <c r="G463" s="176" t="str">
        <f ca="1">IF(IF(R463="","",IF(R463=1,SUMIFS('Шаг1.Выбор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плиты'!C:Q,12,0)),1))))))=0,
R463,
IF(R463="","",IF(R463=1,SUMIFS('Шаг1.Выбор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плиты'!N:N,R463,'Шаг1.Выбор плиты'!M:M,SMALL(INDIRECT("мм"&amp;VLOOKUP(C463,'Шаг1.Выбор плиты'!C:Q,12,0)),1)))))))</f>
        <v/>
      </c>
      <c r="H463" s="177" t="str">
        <f ca="1">IF(IF(S463="","",IF(S463=1,SUMIFS('Шаг1.Выбор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плиты'!C:Q,12,0)),1))))))=0,
S463,
IF(S463="","",IF(S463=1,SUMIFS('Шаг1.Выбор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плиты'!N:N,S463,'Шаг1.Выбор плиты'!M:M,SMALL(INDIRECT("мм"&amp;VLOOKUP(C463,'Шаг1.Выбор плиты'!C:Q,12,0)),1)))))))</f>
        <v/>
      </c>
      <c r="I463" s="147" t="str">
        <f ca="1">IFERROR(IFERROR(IF(VLOOKUP($A463,'Шаг2.Бланк заказа NEW'!$B$17:$N$201,6,0)="","",VLOOKUP($A463,'Шаг2.Бланк заказа NEW'!$B$17:$N$201,6,0)),
IF(VLOOKUP($A463-COUNT('Шаг2.Бланк заказа NEW'!$B$19:$B$201),'Бланк OLD 0.8 04'!$B$12:$K$200,6,0)="","",VLOOKUP($A463-COUNT('Шаг2.Бланк заказа NEW'!$B$19:$B$201),'Бланк OLD 0.8 04'!$B$12:$K$200,6,0))),
IF(VLOOKUP($A463-COUNT('Шаг2.Бланк заказа NEW'!$B$19:$B$201)-COUNT('Бланк OLD 0.8 04'!$B$18:$B$200),'Бланк OLD 2.0 04 '!$B$16:$K$200,6,0)="","",VLOOKUP($A463-COUNT('Шаг2.Бланк заказа NEW'!$B$19:$B$201)-COUNT('Бланк OLD 0.8 04'!$B$18:$B$200),'Бланк OLD 2.0 04 '!$B$16:$K$200,6,0)))</f>
        <v/>
      </c>
      <c r="J463" s="177" t="str">
        <f ca="1">IF(IF(T463="","",IF(T463=1,SUMIFS('Шаг1.Выбор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плиты'!C:Q,12,0)),1))))))=0,
T463,
IF(T463="","",IF(T463=1,SUMIFS('Шаг1.Выбор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плиты'!N:N,T463,'Шаг1.Выбор плиты'!M:M,SMALL(INDIRECT("мм"&amp;VLOOKUP(C463,'Шаг1.Выбор плиты'!C:Q,12,0)),1)))))))</f>
        <v/>
      </c>
      <c r="K463" s="177" t="str">
        <f ca="1">IF(IF(U463="","",IF(U463=1,SUMIFS('Шаг1.Выбор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плиты'!C:Q,12,0)),1))))))=0,
U463,
IF(U463="","",IF(U463=1,SUMIFS('Шаг1.Выбор плиты'!$G:$G,'Шаг1.Выбор плиты'!J:J,"*"&amp;RIGHT(VLOOKUP(C463,'Шаг1.Выбор плиты'!C:Q,8,0),4),'Шаг1.Выбор плиты'!L:L,IF(MID(C463,1,6)="ЛДСП P","TM"&amp;MID(VLOOKUP(C463,'Шаг1.Выбор плиты'!C:Q,10,0),3,2),MID(VLOOKUP(C463,'Шаг1.Выбор плиты'!C:Q,10,0),1,2)),
'Шаг1.Выбор плиты'!N:N,1),IF(SUMIFS('Шаг1.Выбор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плиты'!C:Q,12,0)),1))=0,
IF(SUMIFS('Шаг1.Выбор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плиты'!C:Q,12,0)),2))=0,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плиты'!C:Q,12,0)),3)),
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плиты'!C:Q,12,0)),2))),
(SUMIFS('Шаг1.Выбор плиты'!$G:$G,'Шаг1.Выбор плиты'!J:J,"*"&amp;RIGHT(VLOOKUP(C463,'Шаг1.Выбор плиты'!C:Q,8,0),4),'Шаг1.Выбор плиты'!L:L,VLOOKUP(C463,'Шаг1.Выбор плиты'!C:Q,10,0),'Шаг1.Выбор плиты'!N:N,U463,'Шаг1.Выбор плиты'!M:M,SMALL(INDIRECT("мм"&amp;VLOOKUP(C463,'Шаг1.Выбор плиты'!C:Q,12,0)),1)))))))</f>
        <v/>
      </c>
      <c r="L463" s="147" t="str">
        <f ca="1">IFERROR(IFERROR(IF(VLOOKUP($A463,'Шаг2.Бланк заказа NEW'!$B$17:$N$201,9,0)="","",VLOOKUP($A463,'Шаг2.Бланк заказа NEW'!$B$17:$N$201,9,0)),
IF(VLOOKUP($A463-COUNT('Шаг2.Бланк заказа NEW'!$B$19:$B$201),'Бланк OLD 0.8 04'!$B$12:$K$200,9,0)="","",VLOOKUP($A463-COUNT('Шаг2.Бланк заказа NEW'!$B$19:$B$201),'Бланк OLD 0.8 04'!$B$12:$K$200,9,0))),
IF(VLOOKUP($A463-COUNT('Шаг2.Бланк заказа NEW'!$B$19:$B$201)-COUNT('Бланк OLD 0.8 04'!$B$18:$B$200),'Бланк OLD 2.0 04 '!$B$16:$K$200,9,0)="","",VLOOKUP($A463-COUNT('Шаг2.Бланк заказа NEW'!$B$19:$B$201)-COUNT('Бланк OLD 0.8 04'!$B$18:$B$200),'Бланк OLD 2.0 04 '!$B$16:$K$200,9,0)))</f>
        <v/>
      </c>
      <c r="M463" s="154" t="str">
        <f t="shared" ca="1" si="44"/>
        <v/>
      </c>
      <c r="N463" s="153" t="str">
        <f ca="1">IFERROR(IF(VLOOKUP($A463,'Шаг2.Бланк заказа NEW'!$B$17:$N$201,11,0)="","",VLOOKUP($A463,'Шаг2.Бланк заказа NEW'!$B$17:$N$201,11,0)),
"Нет")</f>
        <v/>
      </c>
      <c r="O463" s="147" t="str">
        <f ca="1">IFERROR(IF(VLOOKUP($A463,'Шаг2.Бланк заказа NEW'!$B$17:$N$201,11,0)="","",VLOOKUP($A463,'Шаг2.Бланк заказа NEW'!$B$17:$N$201,12,0)),
"Нет")</f>
        <v/>
      </c>
      <c r="P463" s="153" t="str">
        <f ca="1">IFERROR(IF(VLOOKUP($A463,'Шаг2.Бланк заказа NEW'!$B$17:$N$201,13,0)="","",VLOOKUP($A463,'Шаг2.Бланк заказа NEW'!$B$17:$N$201,13,0)),
"Нет")</f>
        <v/>
      </c>
      <c r="Q463" s="147" t="str">
        <f ca="1">IFERROR(IF(VLOOKUP($A463,'Шаг2.Бланк заказа NEW'!$B$17:$O$201,14,0)="","",VLOOKUP($A463,'Шаг2.Бланк заказа NEW'!$B$17:$O$201,14,0)),"")</f>
        <v/>
      </c>
      <c r="R463" s="147" t="str">
        <f ca="1">IFERROR(IFERROR(IF(VLOOKUP($A463,'Шаг2.Бланк заказа NEW'!$B$17:$N$201,4,0)="","",VLOOKUP($A463,'Шаг2.Бланк заказа NEW'!$B$17:$N$201,4,0)),
IF(VLOOKUP($A463-COUNT('Шаг2.Бланк заказа NEW'!$B$19:$B$201),'Бланк OLD 0.8 04'!$B$12:$K$200,4,0)&gt;0,0.8,
IF(VLOOKUP($A463-COUNT('Шаг2.Бланк заказа NEW'!$B$19:$B$201),'Бланк OLD 0.8 04'!$B$12:$K$200,5,0)&gt;0,0.4,""))),
IF(VLOOKUP($A463-COUNT('Шаг2.Бланк заказа NEW'!$B$19:$B$201)-COUNT('Бланк OLD 0.8 04'!$B$18:$B$200),'Бланк OLD 2.0 04 '!$B$16:$K$200,4,0)&gt;0,2,IF(VLOOKUP($A463-COUNT('Шаг2.Бланк заказа NEW'!$B$19:$B$201)-COUNT('Бланк OLD 0.8 04'!$B$18:$B$200),'Бланк OLD 2.0 04 '!$B$16:$K$200,5,0)&gt;0,0.4,"")))</f>
        <v/>
      </c>
      <c r="S463" s="147" t="str">
        <f ca="1">IFERROR(IFERROR(IF(VLOOKUP($A463,'Шаг2.Бланк заказа NEW'!$B$17:$N$201,5,0)="","",VLOOKUP($A463,'Шаг2.Бланк заказа NEW'!$B$17:$N$201,5,0)),
IF(VLOOKUP($A463-COUNT('Шаг2.Бланк заказа NEW'!$B$19:$B$201),'Бланк OLD 0.8 04'!$B$12:$K$200,4,0)&gt;1,0.8,
IF(VLOOKUP($A463-COUNT('Шаг2.Бланк заказа NEW'!$B$19:$B$201),'Бланк OLD 0.8 04'!$B$12:$K$200,5,0)&gt;1,0.4,
IF(AND(VLOOKUP($A463-COUNT('Шаг2.Бланк заказа NEW'!$B$19:$B$201),'Бланк OLD 0.8 04'!$B$12:$K$200,4,0)&gt;0,VLOOKUP($A463-COUNT('Шаг2.Бланк заказа NEW'!$B$19:$B$201),'Бланк OLD 0.8 04'!$B$12:$K$200,5,0)&gt;0),0.4,"")))),
IF(VLOOKUP($A463-COUNT('Шаг2.Бланк заказа NEW'!$B$19:$B$201)-COUNT('Бланк OLD 0.8 04'!$B$18:$B$200),'Бланк OLD 2.0 04 '!$B$16:$K$200,4,0)&gt;1,2,
IF(VLOOKUP($A463-COUNT('Шаг2.Бланк заказа NEW'!$B$19:$B$201)-COUNT('Бланк OLD 0.8 04'!$B$18:$B$200),'Бланк OLD 2.0 04 '!$B$16:$K$200,5,0)&gt;1,0.4,IF(AND(VLOOKUP($A463-COUNT('Шаг2.Бланк заказа NEW'!$B$19:$B$201)-COUNT('Бланк OLD 0.8 04'!$B$18:$B$200),'Бланк OLD 2.0 04 '!$B$16:$K$200,4,0)&gt;0,VLOOKUP($A463-COUNT('Шаг2.Бланк заказа NEW'!$B$19:$B$201)-COUNT('Бланк OLD 0.8 04'!$B$18:$B$200),'Бланк OLD 2.0 04 '!$B$16:$K$200,5,0)&gt;0),0.4,""))))</f>
        <v/>
      </c>
      <c r="T463" s="147" t="str">
        <f ca="1">IFERROR(IFERROR(IF(VLOOKUP($A463,'Шаг2.Бланк заказа NEW'!$B$17:$N$201,7,0)="","",VLOOKUP($A463,'Шаг2.Бланк заказа NEW'!$B$17:$N$201,7,0)),
IF(VLOOKUP($A463-COUNT('Шаг2.Бланк заказа NEW'!$B$19:$B$201),'Бланк OLD 0.8 04'!$B$12:$K$200,7,0)&gt;0,0.8,
IF(VLOOKUP($A463-COUNT('Шаг2.Бланк заказа NEW'!$B$19:$B$201),'Бланк OLD 0.8 04'!$B$12:$K$200,8,0)&gt;0,0.4,""))),
IF(VLOOKUP($A463-COUNT('Шаг2.Бланк заказа NEW'!$B$19:$B$201)-COUNT('Бланк OLD 0.8 04'!$B$18:$B$200),'Бланк OLD 2.0 04 '!$B$16:$K$200,7,0)&gt;0,2,IF(VLOOKUP($A463-COUNT('Шаг2.Бланк заказа NEW'!$B$19:$B$201)-COUNT('Бланк OLD 0.8 04'!$B$18:$B$200),'Бланк OLD 2.0 04 '!$B$16:$K$200,8,0)&gt;0,0.4,"")))</f>
        <v/>
      </c>
      <c r="U463" s="147" t="str">
        <f ca="1">IFERROR(IFERROR(IF(VLOOKUP($A463,'Шаг2.Бланк заказа NEW'!$B$17:$N$201,8,0)="","",VLOOKUP($A463,'Шаг2.Бланк заказа NEW'!$B$17:$N$201,8,0)),
IF(VLOOKUP($A463-COUNT('Шаг2.Бланк заказа NEW'!$B$19:$B$201),'Бланк OLD 0.8 04'!$B$12:$K$200,7,0)&gt;1,0.8,
IF(VLOOKUP($A463-COUNT('Шаг2.Бланк заказа NEW'!$B$19:$B$201),'Бланк OLD 0.8 04'!$B$12:$K$200,8,0)&gt;1,0.4,
IF(AND(VLOOKUP($A463-COUNT('Шаг2.Бланк заказа NEW'!$B$19:$B$201),'Бланк OLD 0.8 04'!$B$12:$K$200,7,0)&gt;0,VLOOKUP($A463-COUNT('Шаг2.Бланк заказа NEW'!$B$19:$B$201),'Бланк OLD 0.8 04'!$B$12:$K$200,8,0)&gt;0),0.4,"")))),
IF(VLOOKUP($A463-COUNT('Шаг2.Бланк заказа NEW'!$B$19:$B$201)-COUNT('Бланк OLD 0.8 04'!$B$18:$B$200),'Бланк OLD 2.0 04 '!$B$16:$K$200,7,0)&gt;1,2,
IF(VLOOKUP($A463-COUNT('Шаг2.Бланк заказа NEW'!$B$19:$B$201)-COUNT('Бланк OLD 0.8 04'!$B$18:$B$200),'Бланк OLD 2.0 04 '!$B$16:$K$200,8,0)&gt;1,0.4,
IF(AND(VLOOKUP($A463-COUNT('Шаг2.Бланк заказа NEW'!$B$19:$B$201)-COUNT('Бланк OLD 0.8 04'!$B$18:$B$200),'Бланк OLD 2.0 04 '!$B$16:$K$200,7,0)&gt;0,VLOOKUP($A463-COUNT('Шаг2.Бланк заказа NEW'!$B$19:$B$201)-COUNT('Бланк OLD 0.8 04'!$B$18:$B$200),'Бланк OLD 2.0 04 '!$B$16:$K$200,8,0)&gt;0),0.4,""))))</f>
        <v/>
      </c>
      <c r="V463" s="146" t="str">
        <f ca="1">IFERROR(VLOOKUP(C463,'Шаг1.Выбор плиты'!C:S,12,0),"")</f>
        <v/>
      </c>
      <c r="W463" s="146" t="str">
        <f ca="1">IFERROR(VLOOKUP(C463,'Шаг1.Выбор плиты'!C:S,8,0),"")</f>
        <v/>
      </c>
      <c r="X463" s="146" t="str">
        <f ca="1">IFERROR(VLOOKUP(C463,'Шаг1.Выбор плиты'!C:S,10,0),"")</f>
        <v/>
      </c>
      <c r="Y463" s="147" t="str">
        <f t="shared" ca="1" si="46"/>
        <v/>
      </c>
      <c r="AD463" s="147" t="str">
        <f t="shared" ca="1" si="42"/>
        <v/>
      </c>
      <c r="AE463" s="147" t="str">
        <f t="shared" ca="1" si="47"/>
        <v/>
      </c>
      <c r="AF463" s="25"/>
      <c r="AH463" s="147" t="str">
        <f ca="1">IF(C463="","",VLOOKUP(C463,'Шаг1.Выбор плиты'!C:Q,7,0))</f>
        <v/>
      </c>
      <c r="AI463" s="147" t="str">
        <f t="shared" ca="1" si="45"/>
        <v/>
      </c>
    </row>
    <row r="464" spans="1:35" x14ac:dyDescent="0.2">
      <c r="A464" s="151" t="str">
        <f ca="1">IF(C464="","",MAX($A$1:OFFSET(C464,-1,0))+1)</f>
        <v/>
      </c>
      <c r="B464" s="151" t="str">
        <f ca="1">IFERROR(IFERROR(IFERROR("Шаг2.Бланк заказа NEW №"&amp;VLOOKUP(A463+1,CHOOSE({1,2},'Шаг2.Бланк заказа NEW'!$B$19:$B$201,'Шаг2.Бланк заказа NEW'!$A$19:$A$201),1,0),
"Бланк OLD 0.8 04 №"&amp;VLOOKUP(A463+1-COUNT('Шаг2.Бланк заказа NEW'!$B$19:$B$201),CHOOSE({1,2},'Бланк OLD 0.8 04'!$B$18:$B$200,'Бланк OLD 0.8 04'!$A$18:$A$200),1,0)),
"Бланк OLD 2.0 04 №"&amp;VLOOKUP(A463+1-COUNT('Шаг2.Бланк заказа NEW'!$B$19:$B$201)-COUNT('Бланк OLD 0.8 04'!$B$18:$B$200),CHOOSE({1,2},'Бланк OLD 2.0 04 '!$B$18:$B$200,'Бланк OLD 2.0 04 '!$A$18:$A$200),1,0)),"")</f>
        <v/>
      </c>
      <c r="C464" s="152" t="str">
        <f ca="1">IFERROR(IFERROR(IFERROR(VLOOKUP(A463+1,CHOOSE({1,2},'Шаг2.Бланк заказа NEW'!$B$19:$B$201,'Шаг2.Бланк заказа NEW'!$A$19:$A$201),2,0),
VLOOKUP(A463+1-COUNT('Шаг2.Бланк заказа NEW'!$B$19:$B$201),CHOOSE({1,2},'Бланк OLD 0.8 04'!$B$18:$B$200,'Бланк OLD 0.8 04'!$A$18:$A$200),2,0)),
VLOOKUP(A463+1-COUNT('Шаг2.Бланк заказа NEW'!$B$19:$B$201)-COUNT('Бланк OLD 0.8 04'!$B$18:$B$200),CHOOSE({1,2},'Бланк OLD 2.0 04 '!$B$18:$B$200,'Бланк OLD 2.0 04 '!$A$18:$A$200),2,0)),"")</f>
        <v/>
      </c>
      <c r="D464" s="150" t="str">
        <f ca="1">IFERROR(VLOOKUP(C464,'Шаг1.Выбор плиты'!C:G,5,0),"")</f>
        <v/>
      </c>
      <c r="E464" s="147" t="str">
        <f ca="1">IFERROR(IFERROR(IF(VLOOKUP($A464,'Шаг2.Бланк заказа NEW'!$B$17:$N$201,2,0)="","",VLOOKUP($A464,'Шаг2.Бланк заказа NEW'!$B$17:$N$201,2,0)),
IF(VLOOKUP($A464-COUNT('Шаг2.Бланк заказа NEW'!$B$19:$B$201),'Бланк OLD 0.8 04'!$B$12:$K$200,2,0)="","",VLOOKUP($A464-COUNT('Шаг2.Бланк заказа NEW'!$B$19:$B$201),'Бланк OLD 0.8 04'!$B$12:$K$200,2,0))),
IF(VLOOKUP($A464-COUNT('Шаг2.Бланк заказа NEW'!$B$19:$B$201)-COUNT('Бланк OLD 0.8 04'!$B$18:$B$200),'Бланк OLD 2.0 04 '!$B$16:$K$200,2,0)="","",VLOOKUP($A464-COUNT('Шаг2.Бланк заказа NEW'!$B$19:$B$201)-COUNT('Бланк OLD 0.8 04'!$B$18:$B$200),'Бланк OLD 2.0 04 '!$B$16:$K$200,2,0)))</f>
        <v/>
      </c>
      <c r="F464" s="147" t="str">
        <f ca="1">IFERROR(IFERROR(IF(VLOOKUP($A464,'Шаг2.Бланк заказа NEW'!$B$17:$N$201,3,0)="","",VLOOKUP($A464,'Шаг2.Бланк заказа NEW'!$B$17:$N$201,3,0)),
IF(VLOOKUP($A464-COUNT('Шаг2.Бланк заказа NEW'!$B$19:$B$201),'Бланк OLD 0.8 04'!$B$12:$K$200,3,0)="","",VLOOKUP($A464-COUNT('Шаг2.Бланк заказа NEW'!$B$19:$B$201),'Бланк OLD 0.8 04'!$B$12:$K$200,3,0))),
IF(VLOOKUP($A464-COUNT('Шаг2.Бланк заказа NEW'!$B$19:$B$201)-COUNT('Бланк OLD 0.8 04'!$B$18:$B$200),'Бланк OLD 2.0 04 '!$B$16:$K$200,3,0)="","",VLOOKUP($A464-COUNT('Шаг2.Бланк заказа NEW'!$B$19:$B$201)-COUNT('Бланк OLD 0.8 04'!$B$18:$B$200),'Бланк OLD 2.0 04 '!$B$16:$K$200,3,0)))</f>
        <v/>
      </c>
      <c r="G464" s="176" t="str">
        <f ca="1">IF(IF(R464="","",IF(R464=1,SUMIFS('Шаг1.Выбор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плиты'!C:Q,12,0)),1))))))=0,
R464,
IF(R464="","",IF(R464=1,SUMIFS('Шаг1.Выбор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плиты'!N:N,R464,'Шаг1.Выбор плиты'!M:M,SMALL(INDIRECT("мм"&amp;VLOOKUP(C464,'Шаг1.Выбор плиты'!C:Q,12,0)),1)))))))</f>
        <v/>
      </c>
      <c r="H464" s="177" t="str">
        <f ca="1">IF(IF(S464="","",IF(S464=1,SUMIFS('Шаг1.Выбор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плиты'!C:Q,12,0)),1))))))=0,
S464,
IF(S464="","",IF(S464=1,SUMIFS('Шаг1.Выбор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плиты'!N:N,S464,'Шаг1.Выбор плиты'!M:M,SMALL(INDIRECT("мм"&amp;VLOOKUP(C464,'Шаг1.Выбор плиты'!C:Q,12,0)),1)))))))</f>
        <v/>
      </c>
      <c r="I464" s="147" t="str">
        <f ca="1">IFERROR(IFERROR(IF(VLOOKUP($A464,'Шаг2.Бланк заказа NEW'!$B$17:$N$201,6,0)="","",VLOOKUP($A464,'Шаг2.Бланк заказа NEW'!$B$17:$N$201,6,0)),
IF(VLOOKUP($A464-COUNT('Шаг2.Бланк заказа NEW'!$B$19:$B$201),'Бланк OLD 0.8 04'!$B$12:$K$200,6,0)="","",VLOOKUP($A464-COUNT('Шаг2.Бланк заказа NEW'!$B$19:$B$201),'Бланк OLD 0.8 04'!$B$12:$K$200,6,0))),
IF(VLOOKUP($A464-COUNT('Шаг2.Бланк заказа NEW'!$B$19:$B$201)-COUNT('Бланк OLD 0.8 04'!$B$18:$B$200),'Бланк OLD 2.0 04 '!$B$16:$K$200,6,0)="","",VLOOKUP($A464-COUNT('Шаг2.Бланк заказа NEW'!$B$19:$B$201)-COUNT('Бланк OLD 0.8 04'!$B$18:$B$200),'Бланк OLD 2.0 04 '!$B$16:$K$200,6,0)))</f>
        <v/>
      </c>
      <c r="J464" s="177" t="str">
        <f ca="1">IF(IF(T464="","",IF(T464=1,SUMIFS('Шаг1.Выбор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плиты'!C:Q,12,0)),1))))))=0,
T464,
IF(T464="","",IF(T464=1,SUMIFS('Шаг1.Выбор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плиты'!N:N,T464,'Шаг1.Выбор плиты'!M:M,SMALL(INDIRECT("мм"&amp;VLOOKUP(C464,'Шаг1.Выбор плиты'!C:Q,12,0)),1)))))))</f>
        <v/>
      </c>
      <c r="K464" s="177" t="str">
        <f ca="1">IF(IF(U464="","",IF(U464=1,SUMIFS('Шаг1.Выбор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плиты'!C:Q,12,0)),1))))))=0,
U464,
IF(U464="","",IF(U464=1,SUMIFS('Шаг1.Выбор плиты'!$G:$G,'Шаг1.Выбор плиты'!J:J,"*"&amp;RIGHT(VLOOKUP(C464,'Шаг1.Выбор плиты'!C:Q,8,0),4),'Шаг1.Выбор плиты'!L:L,IF(MID(C464,1,6)="ЛДСП P","TM"&amp;MID(VLOOKUP(C464,'Шаг1.Выбор плиты'!C:Q,10,0),3,2),MID(VLOOKUP(C464,'Шаг1.Выбор плиты'!C:Q,10,0),1,2)),
'Шаг1.Выбор плиты'!N:N,1),IF(SUMIFS('Шаг1.Выбор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плиты'!C:Q,12,0)),1))=0,
IF(SUMIFS('Шаг1.Выбор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плиты'!C:Q,12,0)),2))=0,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плиты'!C:Q,12,0)),3)),
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плиты'!C:Q,12,0)),2))),
(SUMIFS('Шаг1.Выбор плиты'!$G:$G,'Шаг1.Выбор плиты'!J:J,"*"&amp;RIGHT(VLOOKUP(C464,'Шаг1.Выбор плиты'!C:Q,8,0),4),'Шаг1.Выбор плиты'!L:L,VLOOKUP(C464,'Шаг1.Выбор плиты'!C:Q,10,0),'Шаг1.Выбор плиты'!N:N,U464,'Шаг1.Выбор плиты'!M:M,SMALL(INDIRECT("мм"&amp;VLOOKUP(C464,'Шаг1.Выбор плиты'!C:Q,12,0)),1)))))))</f>
        <v/>
      </c>
      <c r="L464" s="147" t="str">
        <f ca="1">IFERROR(IFERROR(IF(VLOOKUP($A464,'Шаг2.Бланк заказа NEW'!$B$17:$N$201,9,0)="","",VLOOKUP($A464,'Шаг2.Бланк заказа NEW'!$B$17:$N$201,9,0)),
IF(VLOOKUP($A464-COUNT('Шаг2.Бланк заказа NEW'!$B$19:$B$201),'Бланк OLD 0.8 04'!$B$12:$K$200,9,0)="","",VLOOKUP($A464-COUNT('Шаг2.Бланк заказа NEW'!$B$19:$B$201),'Бланк OLD 0.8 04'!$B$12:$K$200,9,0))),
IF(VLOOKUP($A464-COUNT('Шаг2.Бланк заказа NEW'!$B$19:$B$201)-COUNT('Бланк OLD 0.8 04'!$B$18:$B$200),'Бланк OLD 2.0 04 '!$B$16:$K$200,9,0)="","",VLOOKUP($A464-COUNT('Шаг2.Бланк заказа NEW'!$B$19:$B$201)-COUNT('Бланк OLD 0.8 04'!$B$18:$B$200),'Бланк OLD 2.0 04 '!$B$16:$K$200,9,0)))</f>
        <v/>
      </c>
      <c r="M464" s="154" t="str">
        <f t="shared" ca="1" si="44"/>
        <v/>
      </c>
      <c r="N464" s="153" t="str">
        <f ca="1">IFERROR(IF(VLOOKUP($A464,'Шаг2.Бланк заказа NEW'!$B$17:$N$201,11,0)="","",VLOOKUP($A464,'Шаг2.Бланк заказа NEW'!$B$17:$N$201,11,0)),
"Нет")</f>
        <v/>
      </c>
      <c r="O464" s="147" t="str">
        <f ca="1">IFERROR(IF(VLOOKUP($A464,'Шаг2.Бланк заказа NEW'!$B$17:$N$201,11,0)="","",VLOOKUP($A464,'Шаг2.Бланк заказа NEW'!$B$17:$N$201,12,0)),
"Нет")</f>
        <v/>
      </c>
      <c r="P464" s="153" t="str">
        <f ca="1">IFERROR(IF(VLOOKUP($A464,'Шаг2.Бланк заказа NEW'!$B$17:$N$201,13,0)="","",VLOOKUP($A464,'Шаг2.Бланк заказа NEW'!$B$17:$N$201,13,0)),
"Нет")</f>
        <v/>
      </c>
      <c r="Q464" s="147" t="str">
        <f ca="1">IFERROR(IF(VLOOKUP($A464,'Шаг2.Бланк заказа NEW'!$B$17:$O$201,14,0)="","",VLOOKUP($A464,'Шаг2.Бланк заказа NEW'!$B$17:$O$201,14,0)),"")</f>
        <v/>
      </c>
      <c r="R464" s="147" t="str">
        <f ca="1">IFERROR(IFERROR(IF(VLOOKUP($A464,'Шаг2.Бланк заказа NEW'!$B$17:$N$201,4,0)="","",VLOOKUP($A464,'Шаг2.Бланк заказа NEW'!$B$17:$N$201,4,0)),
IF(VLOOKUP($A464-COUNT('Шаг2.Бланк заказа NEW'!$B$19:$B$201),'Бланк OLD 0.8 04'!$B$12:$K$200,4,0)&gt;0,0.8,
IF(VLOOKUP($A464-COUNT('Шаг2.Бланк заказа NEW'!$B$19:$B$201),'Бланк OLD 0.8 04'!$B$12:$K$200,5,0)&gt;0,0.4,""))),
IF(VLOOKUP($A464-COUNT('Шаг2.Бланк заказа NEW'!$B$19:$B$201)-COUNT('Бланк OLD 0.8 04'!$B$18:$B$200),'Бланк OLD 2.0 04 '!$B$16:$K$200,4,0)&gt;0,2,IF(VLOOKUP($A464-COUNT('Шаг2.Бланк заказа NEW'!$B$19:$B$201)-COUNT('Бланк OLD 0.8 04'!$B$18:$B$200),'Бланк OLD 2.0 04 '!$B$16:$K$200,5,0)&gt;0,0.4,"")))</f>
        <v/>
      </c>
      <c r="S464" s="147" t="str">
        <f ca="1">IFERROR(IFERROR(IF(VLOOKUP($A464,'Шаг2.Бланк заказа NEW'!$B$17:$N$201,5,0)="","",VLOOKUP($A464,'Шаг2.Бланк заказа NEW'!$B$17:$N$201,5,0)),
IF(VLOOKUP($A464-COUNT('Шаг2.Бланк заказа NEW'!$B$19:$B$201),'Бланк OLD 0.8 04'!$B$12:$K$200,4,0)&gt;1,0.8,
IF(VLOOKUP($A464-COUNT('Шаг2.Бланк заказа NEW'!$B$19:$B$201),'Бланк OLD 0.8 04'!$B$12:$K$200,5,0)&gt;1,0.4,
IF(AND(VLOOKUP($A464-COUNT('Шаг2.Бланк заказа NEW'!$B$19:$B$201),'Бланк OLD 0.8 04'!$B$12:$K$200,4,0)&gt;0,VLOOKUP($A464-COUNT('Шаг2.Бланк заказа NEW'!$B$19:$B$201),'Бланк OLD 0.8 04'!$B$12:$K$200,5,0)&gt;0),0.4,"")))),
IF(VLOOKUP($A464-COUNT('Шаг2.Бланк заказа NEW'!$B$19:$B$201)-COUNT('Бланк OLD 0.8 04'!$B$18:$B$200),'Бланк OLD 2.0 04 '!$B$16:$K$200,4,0)&gt;1,2,
IF(VLOOKUP($A464-COUNT('Шаг2.Бланк заказа NEW'!$B$19:$B$201)-COUNT('Бланк OLD 0.8 04'!$B$18:$B$200),'Бланк OLD 2.0 04 '!$B$16:$K$200,5,0)&gt;1,0.4,IF(AND(VLOOKUP($A464-COUNT('Шаг2.Бланк заказа NEW'!$B$19:$B$201)-COUNT('Бланк OLD 0.8 04'!$B$18:$B$200),'Бланк OLD 2.0 04 '!$B$16:$K$200,4,0)&gt;0,VLOOKUP($A464-COUNT('Шаг2.Бланк заказа NEW'!$B$19:$B$201)-COUNT('Бланк OLD 0.8 04'!$B$18:$B$200),'Бланк OLD 2.0 04 '!$B$16:$K$200,5,0)&gt;0),0.4,""))))</f>
        <v/>
      </c>
      <c r="T464" s="147" t="str">
        <f ca="1">IFERROR(IFERROR(IF(VLOOKUP($A464,'Шаг2.Бланк заказа NEW'!$B$17:$N$201,7,0)="","",VLOOKUP($A464,'Шаг2.Бланк заказа NEW'!$B$17:$N$201,7,0)),
IF(VLOOKUP($A464-COUNT('Шаг2.Бланк заказа NEW'!$B$19:$B$201),'Бланк OLD 0.8 04'!$B$12:$K$200,7,0)&gt;0,0.8,
IF(VLOOKUP($A464-COUNT('Шаг2.Бланк заказа NEW'!$B$19:$B$201),'Бланк OLD 0.8 04'!$B$12:$K$200,8,0)&gt;0,0.4,""))),
IF(VLOOKUP($A464-COUNT('Шаг2.Бланк заказа NEW'!$B$19:$B$201)-COUNT('Бланк OLD 0.8 04'!$B$18:$B$200),'Бланк OLD 2.0 04 '!$B$16:$K$200,7,0)&gt;0,2,IF(VLOOKUP($A464-COUNT('Шаг2.Бланк заказа NEW'!$B$19:$B$201)-COUNT('Бланк OLD 0.8 04'!$B$18:$B$200),'Бланк OLD 2.0 04 '!$B$16:$K$200,8,0)&gt;0,0.4,"")))</f>
        <v/>
      </c>
      <c r="U464" s="147" t="str">
        <f ca="1">IFERROR(IFERROR(IF(VLOOKUP($A464,'Шаг2.Бланк заказа NEW'!$B$17:$N$201,8,0)="","",VLOOKUP($A464,'Шаг2.Бланк заказа NEW'!$B$17:$N$201,8,0)),
IF(VLOOKUP($A464-COUNT('Шаг2.Бланк заказа NEW'!$B$19:$B$201),'Бланк OLD 0.8 04'!$B$12:$K$200,7,0)&gt;1,0.8,
IF(VLOOKUP($A464-COUNT('Шаг2.Бланк заказа NEW'!$B$19:$B$201),'Бланк OLD 0.8 04'!$B$12:$K$200,8,0)&gt;1,0.4,
IF(AND(VLOOKUP($A464-COUNT('Шаг2.Бланк заказа NEW'!$B$19:$B$201),'Бланк OLD 0.8 04'!$B$12:$K$200,7,0)&gt;0,VLOOKUP($A464-COUNT('Шаг2.Бланк заказа NEW'!$B$19:$B$201),'Бланк OLD 0.8 04'!$B$12:$K$200,8,0)&gt;0),0.4,"")))),
IF(VLOOKUP($A464-COUNT('Шаг2.Бланк заказа NEW'!$B$19:$B$201)-COUNT('Бланк OLD 0.8 04'!$B$18:$B$200),'Бланк OLD 2.0 04 '!$B$16:$K$200,7,0)&gt;1,2,
IF(VLOOKUP($A464-COUNT('Шаг2.Бланк заказа NEW'!$B$19:$B$201)-COUNT('Бланк OLD 0.8 04'!$B$18:$B$200),'Бланк OLD 2.0 04 '!$B$16:$K$200,8,0)&gt;1,0.4,
IF(AND(VLOOKUP($A464-COUNT('Шаг2.Бланк заказа NEW'!$B$19:$B$201)-COUNT('Бланк OLD 0.8 04'!$B$18:$B$200),'Бланк OLD 2.0 04 '!$B$16:$K$200,7,0)&gt;0,VLOOKUP($A464-COUNT('Шаг2.Бланк заказа NEW'!$B$19:$B$201)-COUNT('Бланк OLD 0.8 04'!$B$18:$B$200),'Бланк OLD 2.0 04 '!$B$16:$K$200,8,0)&gt;0),0.4,""))))</f>
        <v/>
      </c>
      <c r="V464" s="146" t="str">
        <f ca="1">IFERROR(VLOOKUP(C464,'Шаг1.Выбор плиты'!C:S,12,0),"")</f>
        <v/>
      </c>
      <c r="W464" s="146" t="str">
        <f ca="1">IFERROR(VLOOKUP(C464,'Шаг1.Выбор плиты'!C:S,8,0),"")</f>
        <v/>
      </c>
      <c r="X464" s="146" t="str">
        <f ca="1">IFERROR(VLOOKUP(C464,'Шаг1.Выбор плиты'!C:S,10,0),"")</f>
        <v/>
      </c>
      <c r="Y464" s="147" t="str">
        <f t="shared" ca="1" si="46"/>
        <v/>
      </c>
      <c r="AD464" s="147" t="str">
        <f t="shared" ca="1" si="42"/>
        <v/>
      </c>
      <c r="AE464" s="147" t="str">
        <f t="shared" ca="1" si="47"/>
        <v/>
      </c>
      <c r="AF464" s="25"/>
      <c r="AH464" s="147" t="str">
        <f ca="1">IF(C464="","",VLOOKUP(C464,'Шаг1.Выбор плиты'!C:Q,7,0))</f>
        <v/>
      </c>
      <c r="AI464" s="147" t="str">
        <f t="shared" ca="1" si="45"/>
        <v/>
      </c>
    </row>
    <row r="465" spans="1:35" x14ac:dyDescent="0.2">
      <c r="A465" s="151" t="str">
        <f ca="1">IF(C465="","",MAX($A$1:OFFSET(C465,-1,0))+1)</f>
        <v/>
      </c>
      <c r="B465" s="151" t="str">
        <f ca="1">IFERROR(IFERROR(IFERROR("Шаг2.Бланк заказа NEW №"&amp;VLOOKUP(A464+1,CHOOSE({1,2},'Шаг2.Бланк заказа NEW'!$B$19:$B$201,'Шаг2.Бланк заказа NEW'!$A$19:$A$201),1,0),
"Бланк OLD 0.8 04 №"&amp;VLOOKUP(A464+1-COUNT('Шаг2.Бланк заказа NEW'!$B$19:$B$201),CHOOSE({1,2},'Бланк OLD 0.8 04'!$B$18:$B$200,'Бланк OLD 0.8 04'!$A$18:$A$200),1,0)),
"Бланк OLD 2.0 04 №"&amp;VLOOKUP(A464+1-COUNT('Шаг2.Бланк заказа NEW'!$B$19:$B$201)-COUNT('Бланк OLD 0.8 04'!$B$18:$B$200),CHOOSE({1,2},'Бланк OLD 2.0 04 '!$B$18:$B$200,'Бланк OLD 2.0 04 '!$A$18:$A$200),1,0)),"")</f>
        <v/>
      </c>
      <c r="C465" s="152" t="str">
        <f ca="1">IFERROR(IFERROR(IFERROR(VLOOKUP(A464+1,CHOOSE({1,2},'Шаг2.Бланк заказа NEW'!$B$19:$B$201,'Шаг2.Бланк заказа NEW'!$A$19:$A$201),2,0),
VLOOKUP(A464+1-COUNT('Шаг2.Бланк заказа NEW'!$B$19:$B$201),CHOOSE({1,2},'Бланк OLD 0.8 04'!$B$18:$B$200,'Бланк OLD 0.8 04'!$A$18:$A$200),2,0)),
VLOOKUP(A464+1-COUNT('Шаг2.Бланк заказа NEW'!$B$19:$B$201)-COUNT('Бланк OLD 0.8 04'!$B$18:$B$200),CHOOSE({1,2},'Бланк OLD 2.0 04 '!$B$18:$B$200,'Бланк OLD 2.0 04 '!$A$18:$A$200),2,0)),"")</f>
        <v/>
      </c>
      <c r="D465" s="150" t="str">
        <f ca="1">IFERROR(VLOOKUP(C465,'Шаг1.Выбор плиты'!C:G,5,0),"")</f>
        <v/>
      </c>
      <c r="E465" s="147" t="str">
        <f ca="1">IFERROR(IFERROR(IF(VLOOKUP($A465,'Шаг2.Бланк заказа NEW'!$B$17:$N$201,2,0)="","",VLOOKUP($A465,'Шаг2.Бланк заказа NEW'!$B$17:$N$201,2,0)),
IF(VLOOKUP($A465-COUNT('Шаг2.Бланк заказа NEW'!$B$19:$B$201),'Бланк OLD 0.8 04'!$B$12:$K$200,2,0)="","",VLOOKUP($A465-COUNT('Шаг2.Бланк заказа NEW'!$B$19:$B$201),'Бланк OLD 0.8 04'!$B$12:$K$200,2,0))),
IF(VLOOKUP($A465-COUNT('Шаг2.Бланк заказа NEW'!$B$19:$B$201)-COUNT('Бланк OLD 0.8 04'!$B$18:$B$200),'Бланк OLD 2.0 04 '!$B$16:$K$200,2,0)="","",VLOOKUP($A465-COUNT('Шаг2.Бланк заказа NEW'!$B$19:$B$201)-COUNT('Бланк OLD 0.8 04'!$B$18:$B$200),'Бланк OLD 2.0 04 '!$B$16:$K$200,2,0)))</f>
        <v/>
      </c>
      <c r="F465" s="147" t="str">
        <f ca="1">IFERROR(IFERROR(IF(VLOOKUP($A465,'Шаг2.Бланк заказа NEW'!$B$17:$N$201,3,0)="","",VLOOKUP($A465,'Шаг2.Бланк заказа NEW'!$B$17:$N$201,3,0)),
IF(VLOOKUP($A465-COUNT('Шаг2.Бланк заказа NEW'!$B$19:$B$201),'Бланк OLD 0.8 04'!$B$12:$K$200,3,0)="","",VLOOKUP($A465-COUNT('Шаг2.Бланк заказа NEW'!$B$19:$B$201),'Бланк OLD 0.8 04'!$B$12:$K$200,3,0))),
IF(VLOOKUP($A465-COUNT('Шаг2.Бланк заказа NEW'!$B$19:$B$201)-COUNT('Бланк OLD 0.8 04'!$B$18:$B$200),'Бланк OLD 2.0 04 '!$B$16:$K$200,3,0)="","",VLOOKUP($A465-COUNT('Шаг2.Бланк заказа NEW'!$B$19:$B$201)-COUNT('Бланк OLD 0.8 04'!$B$18:$B$200),'Бланк OLD 2.0 04 '!$B$16:$K$200,3,0)))</f>
        <v/>
      </c>
      <c r="G465" s="176" t="str">
        <f ca="1">IF(IF(R465="","",IF(R465=1,SUMIFS('Шаг1.Выбор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плиты'!C:Q,12,0)),1))))))=0,
R465,
IF(R465="","",IF(R465=1,SUMIFS('Шаг1.Выбор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плиты'!N:N,R465,'Шаг1.Выбор плиты'!M:M,SMALL(INDIRECT("мм"&amp;VLOOKUP(C465,'Шаг1.Выбор плиты'!C:Q,12,0)),1)))))))</f>
        <v/>
      </c>
      <c r="H465" s="177" t="str">
        <f ca="1">IF(IF(S465="","",IF(S465=1,SUMIFS('Шаг1.Выбор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плиты'!C:Q,12,0)),1))))))=0,
S465,
IF(S465="","",IF(S465=1,SUMIFS('Шаг1.Выбор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плиты'!N:N,S465,'Шаг1.Выбор плиты'!M:M,SMALL(INDIRECT("мм"&amp;VLOOKUP(C465,'Шаг1.Выбор плиты'!C:Q,12,0)),1)))))))</f>
        <v/>
      </c>
      <c r="I465" s="147" t="str">
        <f ca="1">IFERROR(IFERROR(IF(VLOOKUP($A465,'Шаг2.Бланк заказа NEW'!$B$17:$N$201,6,0)="","",VLOOKUP($A465,'Шаг2.Бланк заказа NEW'!$B$17:$N$201,6,0)),
IF(VLOOKUP($A465-COUNT('Шаг2.Бланк заказа NEW'!$B$19:$B$201),'Бланк OLD 0.8 04'!$B$12:$K$200,6,0)="","",VLOOKUP($A465-COUNT('Шаг2.Бланк заказа NEW'!$B$19:$B$201),'Бланк OLD 0.8 04'!$B$12:$K$200,6,0))),
IF(VLOOKUP($A465-COUNT('Шаг2.Бланк заказа NEW'!$B$19:$B$201)-COUNT('Бланк OLD 0.8 04'!$B$18:$B$200),'Бланк OLD 2.0 04 '!$B$16:$K$200,6,0)="","",VLOOKUP($A465-COUNT('Шаг2.Бланк заказа NEW'!$B$19:$B$201)-COUNT('Бланк OLD 0.8 04'!$B$18:$B$200),'Бланк OLD 2.0 04 '!$B$16:$K$200,6,0)))</f>
        <v/>
      </c>
      <c r="J465" s="177" t="str">
        <f ca="1">IF(IF(T465="","",IF(T465=1,SUMIFS('Шаг1.Выбор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плиты'!C:Q,12,0)),1))))))=0,
T465,
IF(T465="","",IF(T465=1,SUMIFS('Шаг1.Выбор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плиты'!N:N,T465,'Шаг1.Выбор плиты'!M:M,SMALL(INDIRECT("мм"&amp;VLOOKUP(C465,'Шаг1.Выбор плиты'!C:Q,12,0)),1)))))))</f>
        <v/>
      </c>
      <c r="K465" s="177" t="str">
        <f ca="1">IF(IF(U465="","",IF(U465=1,SUMIFS('Шаг1.Выбор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плиты'!C:Q,12,0)),1))))))=0,
U465,
IF(U465="","",IF(U465=1,SUMIFS('Шаг1.Выбор плиты'!$G:$G,'Шаг1.Выбор плиты'!J:J,"*"&amp;RIGHT(VLOOKUP(C465,'Шаг1.Выбор плиты'!C:Q,8,0),4),'Шаг1.Выбор плиты'!L:L,IF(MID(C465,1,6)="ЛДСП P","TM"&amp;MID(VLOOKUP(C465,'Шаг1.Выбор плиты'!C:Q,10,0),3,2),MID(VLOOKUP(C465,'Шаг1.Выбор плиты'!C:Q,10,0),1,2)),
'Шаг1.Выбор плиты'!N:N,1),IF(SUMIFS('Шаг1.Выбор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плиты'!C:Q,12,0)),1))=0,
IF(SUMIFS('Шаг1.Выбор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плиты'!C:Q,12,0)),2))=0,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плиты'!C:Q,12,0)),3)),
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плиты'!C:Q,12,0)),2))),
(SUMIFS('Шаг1.Выбор плиты'!$G:$G,'Шаг1.Выбор плиты'!J:J,"*"&amp;RIGHT(VLOOKUP(C465,'Шаг1.Выбор плиты'!C:Q,8,0),4),'Шаг1.Выбор плиты'!L:L,VLOOKUP(C465,'Шаг1.Выбор плиты'!C:Q,10,0),'Шаг1.Выбор плиты'!N:N,U465,'Шаг1.Выбор плиты'!M:M,SMALL(INDIRECT("мм"&amp;VLOOKUP(C465,'Шаг1.Выбор плиты'!C:Q,12,0)),1)))))))</f>
        <v/>
      </c>
      <c r="L465" s="147" t="str">
        <f ca="1">IFERROR(IFERROR(IF(VLOOKUP($A465,'Шаг2.Бланк заказа NEW'!$B$17:$N$201,9,0)="","",VLOOKUP($A465,'Шаг2.Бланк заказа NEW'!$B$17:$N$201,9,0)),
IF(VLOOKUP($A465-COUNT('Шаг2.Бланк заказа NEW'!$B$19:$B$201),'Бланк OLD 0.8 04'!$B$12:$K$200,9,0)="","",VLOOKUP($A465-COUNT('Шаг2.Бланк заказа NEW'!$B$19:$B$201),'Бланк OLD 0.8 04'!$B$12:$K$200,9,0))),
IF(VLOOKUP($A465-COUNT('Шаг2.Бланк заказа NEW'!$B$19:$B$201)-COUNT('Бланк OLD 0.8 04'!$B$18:$B$200),'Бланк OLD 2.0 04 '!$B$16:$K$200,9,0)="","",VLOOKUP($A465-COUNT('Шаг2.Бланк заказа NEW'!$B$19:$B$201)-COUNT('Бланк OLD 0.8 04'!$B$18:$B$200),'Бланк OLD 2.0 04 '!$B$16:$K$200,9,0)))</f>
        <v/>
      </c>
      <c r="M465" s="154" t="str">
        <f t="shared" ca="1" si="44"/>
        <v/>
      </c>
      <c r="N465" s="153" t="str">
        <f ca="1">IFERROR(IF(VLOOKUP($A465,'Шаг2.Бланк заказа NEW'!$B$17:$N$201,11,0)="","",VLOOKUP($A465,'Шаг2.Бланк заказа NEW'!$B$17:$N$201,11,0)),
"Нет")</f>
        <v/>
      </c>
      <c r="O465" s="147" t="str">
        <f ca="1">IFERROR(IF(VLOOKUP($A465,'Шаг2.Бланк заказа NEW'!$B$17:$N$201,11,0)="","",VLOOKUP($A465,'Шаг2.Бланк заказа NEW'!$B$17:$N$201,12,0)),
"Нет")</f>
        <v/>
      </c>
      <c r="P465" s="153" t="str">
        <f ca="1">IFERROR(IF(VLOOKUP($A465,'Шаг2.Бланк заказа NEW'!$B$17:$N$201,13,0)="","",VLOOKUP($A465,'Шаг2.Бланк заказа NEW'!$B$17:$N$201,13,0)),
"Нет")</f>
        <v/>
      </c>
      <c r="Q465" s="147" t="str">
        <f ca="1">IFERROR(IF(VLOOKUP($A465,'Шаг2.Бланк заказа NEW'!$B$17:$O$201,14,0)="","",VLOOKUP($A465,'Шаг2.Бланк заказа NEW'!$B$17:$O$201,14,0)),"")</f>
        <v/>
      </c>
      <c r="R465" s="147" t="str">
        <f ca="1">IFERROR(IFERROR(IF(VLOOKUP($A465,'Шаг2.Бланк заказа NEW'!$B$17:$N$201,4,0)="","",VLOOKUP($A465,'Шаг2.Бланк заказа NEW'!$B$17:$N$201,4,0)),
IF(VLOOKUP($A465-COUNT('Шаг2.Бланк заказа NEW'!$B$19:$B$201),'Бланк OLD 0.8 04'!$B$12:$K$200,4,0)&gt;0,0.8,
IF(VLOOKUP($A465-COUNT('Шаг2.Бланк заказа NEW'!$B$19:$B$201),'Бланк OLD 0.8 04'!$B$12:$K$200,5,0)&gt;0,0.4,""))),
IF(VLOOKUP($A465-COUNT('Шаг2.Бланк заказа NEW'!$B$19:$B$201)-COUNT('Бланк OLD 0.8 04'!$B$18:$B$200),'Бланк OLD 2.0 04 '!$B$16:$K$200,4,0)&gt;0,2,IF(VLOOKUP($A465-COUNT('Шаг2.Бланк заказа NEW'!$B$19:$B$201)-COUNT('Бланк OLD 0.8 04'!$B$18:$B$200),'Бланк OLD 2.0 04 '!$B$16:$K$200,5,0)&gt;0,0.4,"")))</f>
        <v/>
      </c>
      <c r="S465" s="147" t="str">
        <f ca="1">IFERROR(IFERROR(IF(VLOOKUP($A465,'Шаг2.Бланк заказа NEW'!$B$17:$N$201,5,0)="","",VLOOKUP($A465,'Шаг2.Бланк заказа NEW'!$B$17:$N$201,5,0)),
IF(VLOOKUP($A465-COUNT('Шаг2.Бланк заказа NEW'!$B$19:$B$201),'Бланк OLD 0.8 04'!$B$12:$K$200,4,0)&gt;1,0.8,
IF(VLOOKUP($A465-COUNT('Шаг2.Бланк заказа NEW'!$B$19:$B$201),'Бланк OLD 0.8 04'!$B$12:$K$200,5,0)&gt;1,0.4,
IF(AND(VLOOKUP($A465-COUNT('Шаг2.Бланк заказа NEW'!$B$19:$B$201),'Бланк OLD 0.8 04'!$B$12:$K$200,4,0)&gt;0,VLOOKUP($A465-COUNT('Шаг2.Бланк заказа NEW'!$B$19:$B$201),'Бланк OLD 0.8 04'!$B$12:$K$200,5,0)&gt;0),0.4,"")))),
IF(VLOOKUP($A465-COUNT('Шаг2.Бланк заказа NEW'!$B$19:$B$201)-COUNT('Бланк OLD 0.8 04'!$B$18:$B$200),'Бланк OLD 2.0 04 '!$B$16:$K$200,4,0)&gt;1,2,
IF(VLOOKUP($A465-COUNT('Шаг2.Бланк заказа NEW'!$B$19:$B$201)-COUNT('Бланк OLD 0.8 04'!$B$18:$B$200),'Бланк OLD 2.0 04 '!$B$16:$K$200,5,0)&gt;1,0.4,IF(AND(VLOOKUP($A465-COUNT('Шаг2.Бланк заказа NEW'!$B$19:$B$201)-COUNT('Бланк OLD 0.8 04'!$B$18:$B$200),'Бланк OLD 2.0 04 '!$B$16:$K$200,4,0)&gt;0,VLOOKUP($A465-COUNT('Шаг2.Бланк заказа NEW'!$B$19:$B$201)-COUNT('Бланк OLD 0.8 04'!$B$18:$B$200),'Бланк OLD 2.0 04 '!$B$16:$K$200,5,0)&gt;0),0.4,""))))</f>
        <v/>
      </c>
      <c r="T465" s="147" t="str">
        <f ca="1">IFERROR(IFERROR(IF(VLOOKUP($A465,'Шаг2.Бланк заказа NEW'!$B$17:$N$201,7,0)="","",VLOOKUP($A465,'Шаг2.Бланк заказа NEW'!$B$17:$N$201,7,0)),
IF(VLOOKUP($A465-COUNT('Шаг2.Бланк заказа NEW'!$B$19:$B$201),'Бланк OLD 0.8 04'!$B$12:$K$200,7,0)&gt;0,0.8,
IF(VLOOKUP($A465-COUNT('Шаг2.Бланк заказа NEW'!$B$19:$B$201),'Бланк OLD 0.8 04'!$B$12:$K$200,8,0)&gt;0,0.4,""))),
IF(VLOOKUP($A465-COUNT('Шаг2.Бланк заказа NEW'!$B$19:$B$201)-COUNT('Бланк OLD 0.8 04'!$B$18:$B$200),'Бланк OLD 2.0 04 '!$B$16:$K$200,7,0)&gt;0,2,IF(VLOOKUP($A465-COUNT('Шаг2.Бланк заказа NEW'!$B$19:$B$201)-COUNT('Бланк OLD 0.8 04'!$B$18:$B$200),'Бланк OLD 2.0 04 '!$B$16:$K$200,8,0)&gt;0,0.4,"")))</f>
        <v/>
      </c>
      <c r="U465" s="147" t="str">
        <f ca="1">IFERROR(IFERROR(IF(VLOOKUP($A465,'Шаг2.Бланк заказа NEW'!$B$17:$N$201,8,0)="","",VLOOKUP($A465,'Шаг2.Бланк заказа NEW'!$B$17:$N$201,8,0)),
IF(VLOOKUP($A465-COUNT('Шаг2.Бланк заказа NEW'!$B$19:$B$201),'Бланк OLD 0.8 04'!$B$12:$K$200,7,0)&gt;1,0.8,
IF(VLOOKUP($A465-COUNT('Шаг2.Бланк заказа NEW'!$B$19:$B$201),'Бланк OLD 0.8 04'!$B$12:$K$200,8,0)&gt;1,0.4,
IF(AND(VLOOKUP($A465-COUNT('Шаг2.Бланк заказа NEW'!$B$19:$B$201),'Бланк OLD 0.8 04'!$B$12:$K$200,7,0)&gt;0,VLOOKUP($A465-COUNT('Шаг2.Бланк заказа NEW'!$B$19:$B$201),'Бланк OLD 0.8 04'!$B$12:$K$200,8,0)&gt;0),0.4,"")))),
IF(VLOOKUP($A465-COUNT('Шаг2.Бланк заказа NEW'!$B$19:$B$201)-COUNT('Бланк OLD 0.8 04'!$B$18:$B$200),'Бланк OLD 2.0 04 '!$B$16:$K$200,7,0)&gt;1,2,
IF(VLOOKUP($A465-COUNT('Шаг2.Бланк заказа NEW'!$B$19:$B$201)-COUNT('Бланк OLD 0.8 04'!$B$18:$B$200),'Бланк OLD 2.0 04 '!$B$16:$K$200,8,0)&gt;1,0.4,
IF(AND(VLOOKUP($A465-COUNT('Шаг2.Бланк заказа NEW'!$B$19:$B$201)-COUNT('Бланк OLD 0.8 04'!$B$18:$B$200),'Бланк OLD 2.0 04 '!$B$16:$K$200,7,0)&gt;0,VLOOKUP($A465-COUNT('Шаг2.Бланк заказа NEW'!$B$19:$B$201)-COUNT('Бланк OLD 0.8 04'!$B$18:$B$200),'Бланк OLD 2.0 04 '!$B$16:$K$200,8,0)&gt;0),0.4,""))))</f>
        <v/>
      </c>
      <c r="V465" s="146" t="str">
        <f ca="1">IFERROR(VLOOKUP(C465,'Шаг1.Выбор плиты'!C:S,12,0),"")</f>
        <v/>
      </c>
      <c r="W465" s="146" t="str">
        <f ca="1">IFERROR(VLOOKUP(C465,'Шаг1.Выбор плиты'!C:S,8,0),"")</f>
        <v/>
      </c>
      <c r="X465" s="146" t="str">
        <f ca="1">IFERROR(VLOOKUP(C465,'Шаг1.Выбор плиты'!C:S,10,0),"")</f>
        <v/>
      </c>
      <c r="Y465" s="147" t="str">
        <f t="shared" ca="1" si="46"/>
        <v/>
      </c>
      <c r="AD465" s="147" t="str">
        <f t="shared" ca="1" si="42"/>
        <v/>
      </c>
      <c r="AE465" s="147" t="str">
        <f t="shared" ca="1" si="47"/>
        <v/>
      </c>
      <c r="AF465" s="25"/>
      <c r="AH465" s="147" t="str">
        <f ca="1">IF(C465="","",VLOOKUP(C465,'Шаг1.Выбор плиты'!C:Q,7,0))</f>
        <v/>
      </c>
      <c r="AI465" s="147" t="str">
        <f t="shared" ca="1" si="45"/>
        <v/>
      </c>
    </row>
    <row r="466" spans="1:35" x14ac:dyDescent="0.2">
      <c r="A466" s="151" t="str">
        <f ca="1">IF(C466="","",MAX($A$1:OFFSET(C466,-1,0))+1)</f>
        <v/>
      </c>
      <c r="B466" s="151" t="str">
        <f ca="1">IFERROR(IFERROR(IFERROR("Шаг2.Бланк заказа NEW №"&amp;VLOOKUP(A465+1,CHOOSE({1,2},'Шаг2.Бланк заказа NEW'!$B$19:$B$201,'Шаг2.Бланк заказа NEW'!$A$19:$A$201),1,0),
"Бланк OLD 0.8 04 №"&amp;VLOOKUP(A465+1-COUNT('Шаг2.Бланк заказа NEW'!$B$19:$B$201),CHOOSE({1,2},'Бланк OLD 0.8 04'!$B$18:$B$200,'Бланк OLD 0.8 04'!$A$18:$A$200),1,0)),
"Бланк OLD 2.0 04 №"&amp;VLOOKUP(A465+1-COUNT('Шаг2.Бланк заказа NEW'!$B$19:$B$201)-COUNT('Бланк OLD 0.8 04'!$B$18:$B$200),CHOOSE({1,2},'Бланк OLD 2.0 04 '!$B$18:$B$200,'Бланк OLD 2.0 04 '!$A$18:$A$200),1,0)),"")</f>
        <v/>
      </c>
      <c r="C466" s="152" t="str">
        <f ca="1">IFERROR(IFERROR(IFERROR(VLOOKUP(A465+1,CHOOSE({1,2},'Шаг2.Бланк заказа NEW'!$B$19:$B$201,'Шаг2.Бланк заказа NEW'!$A$19:$A$201),2,0),
VLOOKUP(A465+1-COUNT('Шаг2.Бланк заказа NEW'!$B$19:$B$201),CHOOSE({1,2},'Бланк OLD 0.8 04'!$B$18:$B$200,'Бланк OLD 0.8 04'!$A$18:$A$200),2,0)),
VLOOKUP(A465+1-COUNT('Шаг2.Бланк заказа NEW'!$B$19:$B$201)-COUNT('Бланк OLD 0.8 04'!$B$18:$B$200),CHOOSE({1,2},'Бланк OLD 2.0 04 '!$B$18:$B$200,'Бланк OLD 2.0 04 '!$A$18:$A$200),2,0)),"")</f>
        <v/>
      </c>
      <c r="D466" s="150" t="str">
        <f ca="1">IFERROR(VLOOKUP(C466,'Шаг1.Выбор плиты'!C:G,5,0),"")</f>
        <v/>
      </c>
      <c r="E466" s="147" t="str">
        <f ca="1">IFERROR(IFERROR(IF(VLOOKUP($A466,'Шаг2.Бланк заказа NEW'!$B$17:$N$201,2,0)="","",VLOOKUP($A466,'Шаг2.Бланк заказа NEW'!$B$17:$N$201,2,0)),
IF(VLOOKUP($A466-COUNT('Шаг2.Бланк заказа NEW'!$B$19:$B$201),'Бланк OLD 0.8 04'!$B$12:$K$200,2,0)="","",VLOOKUP($A466-COUNT('Шаг2.Бланк заказа NEW'!$B$19:$B$201),'Бланк OLD 0.8 04'!$B$12:$K$200,2,0))),
IF(VLOOKUP($A466-COUNT('Шаг2.Бланк заказа NEW'!$B$19:$B$201)-COUNT('Бланк OLD 0.8 04'!$B$18:$B$200),'Бланк OLD 2.0 04 '!$B$16:$K$200,2,0)="","",VLOOKUP($A466-COUNT('Шаг2.Бланк заказа NEW'!$B$19:$B$201)-COUNT('Бланк OLD 0.8 04'!$B$18:$B$200),'Бланк OLD 2.0 04 '!$B$16:$K$200,2,0)))</f>
        <v/>
      </c>
      <c r="F466" s="147" t="str">
        <f ca="1">IFERROR(IFERROR(IF(VLOOKUP($A466,'Шаг2.Бланк заказа NEW'!$B$17:$N$201,3,0)="","",VLOOKUP($A466,'Шаг2.Бланк заказа NEW'!$B$17:$N$201,3,0)),
IF(VLOOKUP($A466-COUNT('Шаг2.Бланк заказа NEW'!$B$19:$B$201),'Бланк OLD 0.8 04'!$B$12:$K$200,3,0)="","",VLOOKUP($A466-COUNT('Шаг2.Бланк заказа NEW'!$B$19:$B$201),'Бланк OLD 0.8 04'!$B$12:$K$200,3,0))),
IF(VLOOKUP($A466-COUNT('Шаг2.Бланк заказа NEW'!$B$19:$B$201)-COUNT('Бланк OLD 0.8 04'!$B$18:$B$200),'Бланк OLD 2.0 04 '!$B$16:$K$200,3,0)="","",VLOOKUP($A466-COUNT('Шаг2.Бланк заказа NEW'!$B$19:$B$201)-COUNT('Бланк OLD 0.8 04'!$B$18:$B$200),'Бланк OLD 2.0 04 '!$B$16:$K$200,3,0)))</f>
        <v/>
      </c>
      <c r="G466" s="176" t="str">
        <f ca="1">IF(IF(R466="","",IF(R466=1,SUMIFS('Шаг1.Выбор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плиты'!C:Q,12,0)),1))))))=0,
R466,
IF(R466="","",IF(R466=1,SUMIFS('Шаг1.Выбор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плиты'!N:N,R466,'Шаг1.Выбор плиты'!M:M,SMALL(INDIRECT("мм"&amp;VLOOKUP(C466,'Шаг1.Выбор плиты'!C:Q,12,0)),1)))))))</f>
        <v/>
      </c>
      <c r="H466" s="177" t="str">
        <f ca="1">IF(IF(S466="","",IF(S466=1,SUMIFS('Шаг1.Выбор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плиты'!C:Q,12,0)),1))))))=0,
S466,
IF(S466="","",IF(S466=1,SUMIFS('Шаг1.Выбор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плиты'!N:N,S466,'Шаг1.Выбор плиты'!M:M,SMALL(INDIRECT("мм"&amp;VLOOKUP(C466,'Шаг1.Выбор плиты'!C:Q,12,0)),1)))))))</f>
        <v/>
      </c>
      <c r="I466" s="147" t="str">
        <f ca="1">IFERROR(IFERROR(IF(VLOOKUP($A466,'Шаг2.Бланк заказа NEW'!$B$17:$N$201,6,0)="","",VLOOKUP($A466,'Шаг2.Бланк заказа NEW'!$B$17:$N$201,6,0)),
IF(VLOOKUP($A466-COUNT('Шаг2.Бланк заказа NEW'!$B$19:$B$201),'Бланк OLD 0.8 04'!$B$12:$K$200,6,0)="","",VLOOKUP($A466-COUNT('Шаг2.Бланк заказа NEW'!$B$19:$B$201),'Бланк OLD 0.8 04'!$B$12:$K$200,6,0))),
IF(VLOOKUP($A466-COUNT('Шаг2.Бланк заказа NEW'!$B$19:$B$201)-COUNT('Бланк OLD 0.8 04'!$B$18:$B$200),'Бланк OLD 2.0 04 '!$B$16:$K$200,6,0)="","",VLOOKUP($A466-COUNT('Шаг2.Бланк заказа NEW'!$B$19:$B$201)-COUNT('Бланк OLD 0.8 04'!$B$18:$B$200),'Бланк OLD 2.0 04 '!$B$16:$K$200,6,0)))</f>
        <v/>
      </c>
      <c r="J466" s="177" t="str">
        <f ca="1">IF(IF(T466="","",IF(T466=1,SUMIFS('Шаг1.Выбор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плиты'!C:Q,12,0)),1))))))=0,
T466,
IF(T466="","",IF(T466=1,SUMIFS('Шаг1.Выбор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плиты'!N:N,T466,'Шаг1.Выбор плиты'!M:M,SMALL(INDIRECT("мм"&amp;VLOOKUP(C466,'Шаг1.Выбор плиты'!C:Q,12,0)),1)))))))</f>
        <v/>
      </c>
      <c r="K466" s="177" t="str">
        <f ca="1">IF(IF(U466="","",IF(U466=1,SUMIFS('Шаг1.Выбор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плиты'!C:Q,12,0)),1))))))=0,
U466,
IF(U466="","",IF(U466=1,SUMIFS('Шаг1.Выбор плиты'!$G:$G,'Шаг1.Выбор плиты'!J:J,"*"&amp;RIGHT(VLOOKUP(C466,'Шаг1.Выбор плиты'!C:Q,8,0),4),'Шаг1.Выбор плиты'!L:L,IF(MID(C466,1,6)="ЛДСП P","TM"&amp;MID(VLOOKUP(C466,'Шаг1.Выбор плиты'!C:Q,10,0),3,2),MID(VLOOKUP(C466,'Шаг1.Выбор плиты'!C:Q,10,0),1,2)),
'Шаг1.Выбор плиты'!N:N,1),IF(SUMIFS('Шаг1.Выбор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плиты'!C:Q,12,0)),1))=0,
IF(SUMIFS('Шаг1.Выбор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плиты'!C:Q,12,0)),2))=0,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плиты'!C:Q,12,0)),3)),
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плиты'!C:Q,12,0)),2))),
(SUMIFS('Шаг1.Выбор плиты'!$G:$G,'Шаг1.Выбор плиты'!J:J,"*"&amp;RIGHT(VLOOKUP(C466,'Шаг1.Выбор плиты'!C:Q,8,0),4),'Шаг1.Выбор плиты'!L:L,VLOOKUP(C466,'Шаг1.Выбор плиты'!C:Q,10,0),'Шаг1.Выбор плиты'!N:N,U466,'Шаг1.Выбор плиты'!M:M,SMALL(INDIRECT("мм"&amp;VLOOKUP(C466,'Шаг1.Выбор плиты'!C:Q,12,0)),1)))))))</f>
        <v/>
      </c>
      <c r="L466" s="147" t="str">
        <f ca="1">IFERROR(IFERROR(IF(VLOOKUP($A466,'Шаг2.Бланк заказа NEW'!$B$17:$N$201,9,0)="","",VLOOKUP($A466,'Шаг2.Бланк заказа NEW'!$B$17:$N$201,9,0)),
IF(VLOOKUP($A466-COUNT('Шаг2.Бланк заказа NEW'!$B$19:$B$201),'Бланк OLD 0.8 04'!$B$12:$K$200,9,0)="","",VLOOKUP($A466-COUNT('Шаг2.Бланк заказа NEW'!$B$19:$B$201),'Бланк OLD 0.8 04'!$B$12:$K$200,9,0))),
IF(VLOOKUP($A466-COUNT('Шаг2.Бланк заказа NEW'!$B$19:$B$201)-COUNT('Бланк OLD 0.8 04'!$B$18:$B$200),'Бланк OLD 2.0 04 '!$B$16:$K$200,9,0)="","",VLOOKUP($A466-COUNT('Шаг2.Бланк заказа NEW'!$B$19:$B$201)-COUNT('Бланк OLD 0.8 04'!$B$18:$B$200),'Бланк OLD 2.0 04 '!$B$16:$K$200,9,0)))</f>
        <v/>
      </c>
      <c r="M466" s="154" t="str">
        <f t="shared" ca="1" si="44"/>
        <v/>
      </c>
      <c r="N466" s="153" t="str">
        <f ca="1">IFERROR(IF(VLOOKUP($A466,'Шаг2.Бланк заказа NEW'!$B$17:$N$201,11,0)="","",VLOOKUP($A466,'Шаг2.Бланк заказа NEW'!$B$17:$N$201,11,0)),
"Нет")</f>
        <v/>
      </c>
      <c r="O466" s="147" t="str">
        <f ca="1">IFERROR(IF(VLOOKUP($A466,'Шаг2.Бланк заказа NEW'!$B$17:$N$201,11,0)="","",VLOOKUP($A466,'Шаг2.Бланк заказа NEW'!$B$17:$N$201,12,0)),
"Нет")</f>
        <v/>
      </c>
      <c r="P466" s="153" t="str">
        <f ca="1">IFERROR(IF(VLOOKUP($A466,'Шаг2.Бланк заказа NEW'!$B$17:$N$201,13,0)="","",VLOOKUP($A466,'Шаг2.Бланк заказа NEW'!$B$17:$N$201,13,0)),
"Нет")</f>
        <v/>
      </c>
      <c r="Q466" s="147" t="str">
        <f ca="1">IFERROR(IF(VLOOKUP($A466,'Шаг2.Бланк заказа NEW'!$B$17:$O$201,14,0)="","",VLOOKUP($A466,'Шаг2.Бланк заказа NEW'!$B$17:$O$201,14,0)),"")</f>
        <v/>
      </c>
      <c r="R466" s="147" t="str">
        <f ca="1">IFERROR(IFERROR(IF(VLOOKUP($A466,'Шаг2.Бланк заказа NEW'!$B$17:$N$201,4,0)="","",VLOOKUP($A466,'Шаг2.Бланк заказа NEW'!$B$17:$N$201,4,0)),
IF(VLOOKUP($A466-COUNT('Шаг2.Бланк заказа NEW'!$B$19:$B$201),'Бланк OLD 0.8 04'!$B$12:$K$200,4,0)&gt;0,0.8,
IF(VLOOKUP($A466-COUNT('Шаг2.Бланк заказа NEW'!$B$19:$B$201),'Бланк OLD 0.8 04'!$B$12:$K$200,5,0)&gt;0,0.4,""))),
IF(VLOOKUP($A466-COUNT('Шаг2.Бланк заказа NEW'!$B$19:$B$201)-COUNT('Бланк OLD 0.8 04'!$B$18:$B$200),'Бланк OLD 2.0 04 '!$B$16:$K$200,4,0)&gt;0,2,IF(VLOOKUP($A466-COUNT('Шаг2.Бланк заказа NEW'!$B$19:$B$201)-COUNT('Бланк OLD 0.8 04'!$B$18:$B$200),'Бланк OLD 2.0 04 '!$B$16:$K$200,5,0)&gt;0,0.4,"")))</f>
        <v/>
      </c>
      <c r="S466" s="147" t="str">
        <f ca="1">IFERROR(IFERROR(IF(VLOOKUP($A466,'Шаг2.Бланк заказа NEW'!$B$17:$N$201,5,0)="","",VLOOKUP($A466,'Шаг2.Бланк заказа NEW'!$B$17:$N$201,5,0)),
IF(VLOOKUP($A466-COUNT('Шаг2.Бланк заказа NEW'!$B$19:$B$201),'Бланк OLD 0.8 04'!$B$12:$K$200,4,0)&gt;1,0.8,
IF(VLOOKUP($A466-COUNT('Шаг2.Бланк заказа NEW'!$B$19:$B$201),'Бланк OLD 0.8 04'!$B$12:$K$200,5,0)&gt;1,0.4,
IF(AND(VLOOKUP($A466-COUNT('Шаг2.Бланк заказа NEW'!$B$19:$B$201),'Бланк OLD 0.8 04'!$B$12:$K$200,4,0)&gt;0,VLOOKUP($A466-COUNT('Шаг2.Бланк заказа NEW'!$B$19:$B$201),'Бланк OLD 0.8 04'!$B$12:$K$200,5,0)&gt;0),0.4,"")))),
IF(VLOOKUP($A466-COUNT('Шаг2.Бланк заказа NEW'!$B$19:$B$201)-COUNT('Бланк OLD 0.8 04'!$B$18:$B$200),'Бланк OLD 2.0 04 '!$B$16:$K$200,4,0)&gt;1,2,
IF(VLOOKUP($A466-COUNT('Шаг2.Бланк заказа NEW'!$B$19:$B$201)-COUNT('Бланк OLD 0.8 04'!$B$18:$B$200),'Бланк OLD 2.0 04 '!$B$16:$K$200,5,0)&gt;1,0.4,IF(AND(VLOOKUP($A466-COUNT('Шаг2.Бланк заказа NEW'!$B$19:$B$201)-COUNT('Бланк OLD 0.8 04'!$B$18:$B$200),'Бланк OLD 2.0 04 '!$B$16:$K$200,4,0)&gt;0,VLOOKUP($A466-COUNT('Шаг2.Бланк заказа NEW'!$B$19:$B$201)-COUNT('Бланк OLD 0.8 04'!$B$18:$B$200),'Бланк OLD 2.0 04 '!$B$16:$K$200,5,0)&gt;0),0.4,""))))</f>
        <v/>
      </c>
      <c r="T466" s="147" t="str">
        <f ca="1">IFERROR(IFERROR(IF(VLOOKUP($A466,'Шаг2.Бланк заказа NEW'!$B$17:$N$201,7,0)="","",VLOOKUP($A466,'Шаг2.Бланк заказа NEW'!$B$17:$N$201,7,0)),
IF(VLOOKUP($A466-COUNT('Шаг2.Бланк заказа NEW'!$B$19:$B$201),'Бланк OLD 0.8 04'!$B$12:$K$200,7,0)&gt;0,0.8,
IF(VLOOKUP($A466-COUNT('Шаг2.Бланк заказа NEW'!$B$19:$B$201),'Бланк OLD 0.8 04'!$B$12:$K$200,8,0)&gt;0,0.4,""))),
IF(VLOOKUP($A466-COUNT('Шаг2.Бланк заказа NEW'!$B$19:$B$201)-COUNT('Бланк OLD 0.8 04'!$B$18:$B$200),'Бланк OLD 2.0 04 '!$B$16:$K$200,7,0)&gt;0,2,IF(VLOOKUP($A466-COUNT('Шаг2.Бланк заказа NEW'!$B$19:$B$201)-COUNT('Бланк OLD 0.8 04'!$B$18:$B$200),'Бланк OLD 2.0 04 '!$B$16:$K$200,8,0)&gt;0,0.4,"")))</f>
        <v/>
      </c>
      <c r="U466" s="147" t="str">
        <f ca="1">IFERROR(IFERROR(IF(VLOOKUP($A466,'Шаг2.Бланк заказа NEW'!$B$17:$N$201,8,0)="","",VLOOKUP($A466,'Шаг2.Бланк заказа NEW'!$B$17:$N$201,8,0)),
IF(VLOOKUP($A466-COUNT('Шаг2.Бланк заказа NEW'!$B$19:$B$201),'Бланк OLD 0.8 04'!$B$12:$K$200,7,0)&gt;1,0.8,
IF(VLOOKUP($A466-COUNT('Шаг2.Бланк заказа NEW'!$B$19:$B$201),'Бланк OLD 0.8 04'!$B$12:$K$200,8,0)&gt;1,0.4,
IF(AND(VLOOKUP($A466-COUNT('Шаг2.Бланк заказа NEW'!$B$19:$B$201),'Бланк OLD 0.8 04'!$B$12:$K$200,7,0)&gt;0,VLOOKUP($A466-COUNT('Шаг2.Бланк заказа NEW'!$B$19:$B$201),'Бланк OLD 0.8 04'!$B$12:$K$200,8,0)&gt;0),0.4,"")))),
IF(VLOOKUP($A466-COUNT('Шаг2.Бланк заказа NEW'!$B$19:$B$201)-COUNT('Бланк OLD 0.8 04'!$B$18:$B$200),'Бланк OLD 2.0 04 '!$B$16:$K$200,7,0)&gt;1,2,
IF(VLOOKUP($A466-COUNT('Шаг2.Бланк заказа NEW'!$B$19:$B$201)-COUNT('Бланк OLD 0.8 04'!$B$18:$B$200),'Бланк OLD 2.0 04 '!$B$16:$K$200,8,0)&gt;1,0.4,
IF(AND(VLOOKUP($A466-COUNT('Шаг2.Бланк заказа NEW'!$B$19:$B$201)-COUNT('Бланк OLD 0.8 04'!$B$18:$B$200),'Бланк OLD 2.0 04 '!$B$16:$K$200,7,0)&gt;0,VLOOKUP($A466-COUNT('Шаг2.Бланк заказа NEW'!$B$19:$B$201)-COUNT('Бланк OLD 0.8 04'!$B$18:$B$200),'Бланк OLD 2.0 04 '!$B$16:$K$200,8,0)&gt;0),0.4,""))))</f>
        <v/>
      </c>
      <c r="V466" s="146" t="str">
        <f ca="1">IFERROR(VLOOKUP(C466,'Шаг1.Выбор плиты'!C:S,12,0),"")</f>
        <v/>
      </c>
      <c r="W466" s="146" t="str">
        <f ca="1">IFERROR(VLOOKUP(C466,'Шаг1.Выбор плиты'!C:S,8,0),"")</f>
        <v/>
      </c>
      <c r="X466" s="146" t="str">
        <f ca="1">IFERROR(VLOOKUP(C466,'Шаг1.Выбор плиты'!C:S,10,0),"")</f>
        <v/>
      </c>
      <c r="Y466" s="147" t="str">
        <f t="shared" ca="1" si="46"/>
        <v/>
      </c>
      <c r="AD466" s="147" t="str">
        <f t="shared" ca="1" si="42"/>
        <v/>
      </c>
      <c r="AE466" s="147" t="str">
        <f t="shared" ca="1" si="47"/>
        <v/>
      </c>
      <c r="AF466" s="25"/>
      <c r="AH466" s="147" t="str">
        <f ca="1">IF(C466="","",VLOOKUP(C466,'Шаг1.Выбор плиты'!C:Q,7,0))</f>
        <v/>
      </c>
      <c r="AI466" s="147" t="str">
        <f t="shared" ca="1" si="45"/>
        <v/>
      </c>
    </row>
    <row r="467" spans="1:35" x14ac:dyDescent="0.2">
      <c r="A467" s="151" t="str">
        <f ca="1">IF(C467="","",MAX($A$1:OFFSET(C467,-1,0))+1)</f>
        <v/>
      </c>
      <c r="B467" s="151" t="str">
        <f ca="1">IFERROR(IFERROR(IFERROR("Шаг2.Бланк заказа NEW №"&amp;VLOOKUP(A466+1,CHOOSE({1,2},'Шаг2.Бланк заказа NEW'!$B$19:$B$201,'Шаг2.Бланк заказа NEW'!$A$19:$A$201),1,0),
"Бланк OLD 0.8 04 №"&amp;VLOOKUP(A466+1-COUNT('Шаг2.Бланк заказа NEW'!$B$19:$B$201),CHOOSE({1,2},'Бланк OLD 0.8 04'!$B$18:$B$200,'Бланк OLD 0.8 04'!$A$18:$A$200),1,0)),
"Бланк OLD 2.0 04 №"&amp;VLOOKUP(A466+1-COUNT('Шаг2.Бланк заказа NEW'!$B$19:$B$201)-COUNT('Бланк OLD 0.8 04'!$B$18:$B$200),CHOOSE({1,2},'Бланк OLD 2.0 04 '!$B$18:$B$200,'Бланк OLD 2.0 04 '!$A$18:$A$200),1,0)),"")</f>
        <v/>
      </c>
      <c r="C467" s="152" t="str">
        <f ca="1">IFERROR(IFERROR(IFERROR(VLOOKUP(A466+1,CHOOSE({1,2},'Шаг2.Бланк заказа NEW'!$B$19:$B$201,'Шаг2.Бланк заказа NEW'!$A$19:$A$201),2,0),
VLOOKUP(A466+1-COUNT('Шаг2.Бланк заказа NEW'!$B$19:$B$201),CHOOSE({1,2},'Бланк OLD 0.8 04'!$B$18:$B$200,'Бланк OLD 0.8 04'!$A$18:$A$200),2,0)),
VLOOKUP(A466+1-COUNT('Шаг2.Бланк заказа NEW'!$B$19:$B$201)-COUNT('Бланк OLD 0.8 04'!$B$18:$B$200),CHOOSE({1,2},'Бланк OLD 2.0 04 '!$B$18:$B$200,'Бланк OLD 2.0 04 '!$A$18:$A$200),2,0)),"")</f>
        <v/>
      </c>
      <c r="D467" s="150" t="str">
        <f ca="1">IFERROR(VLOOKUP(C467,'Шаг1.Выбор плиты'!C:G,5,0),"")</f>
        <v/>
      </c>
      <c r="E467" s="147" t="str">
        <f ca="1">IFERROR(IFERROR(IF(VLOOKUP($A467,'Шаг2.Бланк заказа NEW'!$B$17:$N$201,2,0)="","",VLOOKUP($A467,'Шаг2.Бланк заказа NEW'!$B$17:$N$201,2,0)),
IF(VLOOKUP($A467-COUNT('Шаг2.Бланк заказа NEW'!$B$19:$B$201),'Бланк OLD 0.8 04'!$B$12:$K$200,2,0)="","",VLOOKUP($A467-COUNT('Шаг2.Бланк заказа NEW'!$B$19:$B$201),'Бланк OLD 0.8 04'!$B$12:$K$200,2,0))),
IF(VLOOKUP($A467-COUNT('Шаг2.Бланк заказа NEW'!$B$19:$B$201)-COUNT('Бланк OLD 0.8 04'!$B$18:$B$200),'Бланк OLD 2.0 04 '!$B$16:$K$200,2,0)="","",VLOOKUP($A467-COUNT('Шаг2.Бланк заказа NEW'!$B$19:$B$201)-COUNT('Бланк OLD 0.8 04'!$B$18:$B$200),'Бланк OLD 2.0 04 '!$B$16:$K$200,2,0)))</f>
        <v/>
      </c>
      <c r="F467" s="147" t="str">
        <f ca="1">IFERROR(IFERROR(IF(VLOOKUP($A467,'Шаг2.Бланк заказа NEW'!$B$17:$N$201,3,0)="","",VLOOKUP($A467,'Шаг2.Бланк заказа NEW'!$B$17:$N$201,3,0)),
IF(VLOOKUP($A467-COUNT('Шаг2.Бланк заказа NEW'!$B$19:$B$201),'Бланк OLD 0.8 04'!$B$12:$K$200,3,0)="","",VLOOKUP($A467-COUNT('Шаг2.Бланк заказа NEW'!$B$19:$B$201),'Бланк OLD 0.8 04'!$B$12:$K$200,3,0))),
IF(VLOOKUP($A467-COUNT('Шаг2.Бланк заказа NEW'!$B$19:$B$201)-COUNT('Бланк OLD 0.8 04'!$B$18:$B$200),'Бланк OLD 2.0 04 '!$B$16:$K$200,3,0)="","",VLOOKUP($A467-COUNT('Шаг2.Бланк заказа NEW'!$B$19:$B$201)-COUNT('Бланк OLD 0.8 04'!$B$18:$B$200),'Бланк OLD 2.0 04 '!$B$16:$K$200,3,0)))</f>
        <v/>
      </c>
      <c r="G467" s="176" t="str">
        <f ca="1">IF(IF(R467="","",IF(R467=1,SUMIFS('Шаг1.Выбор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плиты'!C:Q,12,0)),1))))))=0,
R467,
IF(R467="","",IF(R467=1,SUMIFS('Шаг1.Выбор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плиты'!N:N,R467,'Шаг1.Выбор плиты'!M:M,SMALL(INDIRECT("мм"&amp;VLOOKUP(C467,'Шаг1.Выбор плиты'!C:Q,12,0)),1)))))))</f>
        <v/>
      </c>
      <c r="H467" s="177" t="str">
        <f ca="1">IF(IF(S467="","",IF(S467=1,SUMIFS('Шаг1.Выбор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плиты'!C:Q,12,0)),1))))))=0,
S467,
IF(S467="","",IF(S467=1,SUMIFS('Шаг1.Выбор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плиты'!N:N,S467,'Шаг1.Выбор плиты'!M:M,SMALL(INDIRECT("мм"&amp;VLOOKUP(C467,'Шаг1.Выбор плиты'!C:Q,12,0)),1)))))))</f>
        <v/>
      </c>
      <c r="I467" s="147" t="str">
        <f ca="1">IFERROR(IFERROR(IF(VLOOKUP($A467,'Шаг2.Бланк заказа NEW'!$B$17:$N$201,6,0)="","",VLOOKUP($A467,'Шаг2.Бланк заказа NEW'!$B$17:$N$201,6,0)),
IF(VLOOKUP($A467-COUNT('Шаг2.Бланк заказа NEW'!$B$19:$B$201),'Бланк OLD 0.8 04'!$B$12:$K$200,6,0)="","",VLOOKUP($A467-COUNT('Шаг2.Бланк заказа NEW'!$B$19:$B$201),'Бланк OLD 0.8 04'!$B$12:$K$200,6,0))),
IF(VLOOKUP($A467-COUNT('Шаг2.Бланк заказа NEW'!$B$19:$B$201)-COUNT('Бланк OLD 0.8 04'!$B$18:$B$200),'Бланк OLD 2.0 04 '!$B$16:$K$200,6,0)="","",VLOOKUP($A467-COUNT('Шаг2.Бланк заказа NEW'!$B$19:$B$201)-COUNT('Бланк OLD 0.8 04'!$B$18:$B$200),'Бланк OLD 2.0 04 '!$B$16:$K$200,6,0)))</f>
        <v/>
      </c>
      <c r="J467" s="177" t="str">
        <f ca="1">IF(IF(T467="","",IF(T467=1,SUMIFS('Шаг1.Выбор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плиты'!C:Q,12,0)),1))))))=0,
T467,
IF(T467="","",IF(T467=1,SUMIFS('Шаг1.Выбор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плиты'!N:N,T467,'Шаг1.Выбор плиты'!M:M,SMALL(INDIRECT("мм"&amp;VLOOKUP(C467,'Шаг1.Выбор плиты'!C:Q,12,0)),1)))))))</f>
        <v/>
      </c>
      <c r="K467" s="177" t="str">
        <f ca="1">IF(IF(U467="","",IF(U467=1,SUMIFS('Шаг1.Выбор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плиты'!C:Q,12,0)),1))))))=0,
U467,
IF(U467="","",IF(U467=1,SUMIFS('Шаг1.Выбор плиты'!$G:$G,'Шаг1.Выбор плиты'!J:J,"*"&amp;RIGHT(VLOOKUP(C467,'Шаг1.Выбор плиты'!C:Q,8,0),4),'Шаг1.Выбор плиты'!L:L,IF(MID(C467,1,6)="ЛДСП P","TM"&amp;MID(VLOOKUP(C467,'Шаг1.Выбор плиты'!C:Q,10,0),3,2),MID(VLOOKUP(C467,'Шаг1.Выбор плиты'!C:Q,10,0),1,2)),
'Шаг1.Выбор плиты'!N:N,1),IF(SUMIFS('Шаг1.Выбор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плиты'!C:Q,12,0)),1))=0,
IF(SUMIFS('Шаг1.Выбор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плиты'!C:Q,12,0)),2))=0,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плиты'!C:Q,12,0)),3)),
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плиты'!C:Q,12,0)),2))),
(SUMIFS('Шаг1.Выбор плиты'!$G:$G,'Шаг1.Выбор плиты'!J:J,"*"&amp;RIGHT(VLOOKUP(C467,'Шаг1.Выбор плиты'!C:Q,8,0),4),'Шаг1.Выбор плиты'!L:L,VLOOKUP(C467,'Шаг1.Выбор плиты'!C:Q,10,0),'Шаг1.Выбор плиты'!N:N,U467,'Шаг1.Выбор плиты'!M:M,SMALL(INDIRECT("мм"&amp;VLOOKUP(C467,'Шаг1.Выбор плиты'!C:Q,12,0)),1)))))))</f>
        <v/>
      </c>
      <c r="L467" s="147" t="str">
        <f ca="1">IFERROR(IFERROR(IF(VLOOKUP($A467,'Шаг2.Бланк заказа NEW'!$B$17:$N$201,9,0)="","",VLOOKUP($A467,'Шаг2.Бланк заказа NEW'!$B$17:$N$201,9,0)),
IF(VLOOKUP($A467-COUNT('Шаг2.Бланк заказа NEW'!$B$19:$B$201),'Бланк OLD 0.8 04'!$B$12:$K$200,9,0)="","",VLOOKUP($A467-COUNT('Шаг2.Бланк заказа NEW'!$B$19:$B$201),'Бланк OLD 0.8 04'!$B$12:$K$200,9,0))),
IF(VLOOKUP($A467-COUNT('Шаг2.Бланк заказа NEW'!$B$19:$B$201)-COUNT('Бланк OLD 0.8 04'!$B$18:$B$200),'Бланк OLD 2.0 04 '!$B$16:$K$200,9,0)="","",VLOOKUP($A467-COUNT('Шаг2.Бланк заказа NEW'!$B$19:$B$201)-COUNT('Бланк OLD 0.8 04'!$B$18:$B$200),'Бланк OLD 2.0 04 '!$B$16:$K$200,9,0)))</f>
        <v/>
      </c>
      <c r="M467" s="154" t="str">
        <f t="shared" ca="1" si="44"/>
        <v/>
      </c>
      <c r="N467" s="153" t="str">
        <f ca="1">IFERROR(IF(VLOOKUP($A467,'Шаг2.Бланк заказа NEW'!$B$17:$N$201,11,0)="","",VLOOKUP($A467,'Шаг2.Бланк заказа NEW'!$B$17:$N$201,11,0)),
"Нет")</f>
        <v/>
      </c>
      <c r="O467" s="147" t="str">
        <f ca="1">IFERROR(IF(VLOOKUP($A467,'Шаг2.Бланк заказа NEW'!$B$17:$N$201,11,0)="","",VLOOKUP($A467,'Шаг2.Бланк заказа NEW'!$B$17:$N$201,12,0)),
"Нет")</f>
        <v/>
      </c>
      <c r="P467" s="153" t="str">
        <f ca="1">IFERROR(IF(VLOOKUP($A467,'Шаг2.Бланк заказа NEW'!$B$17:$N$201,13,0)="","",VLOOKUP($A467,'Шаг2.Бланк заказа NEW'!$B$17:$N$201,13,0)),
"Нет")</f>
        <v/>
      </c>
      <c r="Q467" s="147" t="str">
        <f ca="1">IFERROR(IF(VLOOKUP($A467,'Шаг2.Бланк заказа NEW'!$B$17:$O$201,14,0)="","",VLOOKUP($A467,'Шаг2.Бланк заказа NEW'!$B$17:$O$201,14,0)),"")</f>
        <v/>
      </c>
      <c r="R467" s="147" t="str">
        <f ca="1">IFERROR(IFERROR(IF(VLOOKUP($A467,'Шаг2.Бланк заказа NEW'!$B$17:$N$201,4,0)="","",VLOOKUP($A467,'Шаг2.Бланк заказа NEW'!$B$17:$N$201,4,0)),
IF(VLOOKUP($A467-COUNT('Шаг2.Бланк заказа NEW'!$B$19:$B$201),'Бланк OLD 0.8 04'!$B$12:$K$200,4,0)&gt;0,0.8,
IF(VLOOKUP($A467-COUNT('Шаг2.Бланк заказа NEW'!$B$19:$B$201),'Бланк OLD 0.8 04'!$B$12:$K$200,5,0)&gt;0,0.4,""))),
IF(VLOOKUP($A467-COUNT('Шаг2.Бланк заказа NEW'!$B$19:$B$201)-COUNT('Бланк OLD 0.8 04'!$B$18:$B$200),'Бланк OLD 2.0 04 '!$B$16:$K$200,4,0)&gt;0,2,IF(VLOOKUP($A467-COUNT('Шаг2.Бланк заказа NEW'!$B$19:$B$201)-COUNT('Бланк OLD 0.8 04'!$B$18:$B$200),'Бланк OLD 2.0 04 '!$B$16:$K$200,5,0)&gt;0,0.4,"")))</f>
        <v/>
      </c>
      <c r="S467" s="147" t="str">
        <f ca="1">IFERROR(IFERROR(IF(VLOOKUP($A467,'Шаг2.Бланк заказа NEW'!$B$17:$N$201,5,0)="","",VLOOKUP($A467,'Шаг2.Бланк заказа NEW'!$B$17:$N$201,5,0)),
IF(VLOOKUP($A467-COUNT('Шаг2.Бланк заказа NEW'!$B$19:$B$201),'Бланк OLD 0.8 04'!$B$12:$K$200,4,0)&gt;1,0.8,
IF(VLOOKUP($A467-COUNT('Шаг2.Бланк заказа NEW'!$B$19:$B$201),'Бланк OLD 0.8 04'!$B$12:$K$200,5,0)&gt;1,0.4,
IF(AND(VLOOKUP($A467-COUNT('Шаг2.Бланк заказа NEW'!$B$19:$B$201),'Бланк OLD 0.8 04'!$B$12:$K$200,4,0)&gt;0,VLOOKUP($A467-COUNT('Шаг2.Бланк заказа NEW'!$B$19:$B$201),'Бланк OLD 0.8 04'!$B$12:$K$200,5,0)&gt;0),0.4,"")))),
IF(VLOOKUP($A467-COUNT('Шаг2.Бланк заказа NEW'!$B$19:$B$201)-COUNT('Бланк OLD 0.8 04'!$B$18:$B$200),'Бланк OLD 2.0 04 '!$B$16:$K$200,4,0)&gt;1,2,
IF(VLOOKUP($A467-COUNT('Шаг2.Бланк заказа NEW'!$B$19:$B$201)-COUNT('Бланк OLD 0.8 04'!$B$18:$B$200),'Бланк OLD 2.0 04 '!$B$16:$K$200,5,0)&gt;1,0.4,IF(AND(VLOOKUP($A467-COUNT('Шаг2.Бланк заказа NEW'!$B$19:$B$201)-COUNT('Бланк OLD 0.8 04'!$B$18:$B$200),'Бланк OLD 2.0 04 '!$B$16:$K$200,4,0)&gt;0,VLOOKUP($A467-COUNT('Шаг2.Бланк заказа NEW'!$B$19:$B$201)-COUNT('Бланк OLD 0.8 04'!$B$18:$B$200),'Бланк OLD 2.0 04 '!$B$16:$K$200,5,0)&gt;0),0.4,""))))</f>
        <v/>
      </c>
      <c r="T467" s="147" t="str">
        <f ca="1">IFERROR(IFERROR(IF(VLOOKUP($A467,'Шаг2.Бланк заказа NEW'!$B$17:$N$201,7,0)="","",VLOOKUP($A467,'Шаг2.Бланк заказа NEW'!$B$17:$N$201,7,0)),
IF(VLOOKUP($A467-COUNT('Шаг2.Бланк заказа NEW'!$B$19:$B$201),'Бланк OLD 0.8 04'!$B$12:$K$200,7,0)&gt;0,0.8,
IF(VLOOKUP($A467-COUNT('Шаг2.Бланк заказа NEW'!$B$19:$B$201),'Бланк OLD 0.8 04'!$B$12:$K$200,8,0)&gt;0,0.4,""))),
IF(VLOOKUP($A467-COUNT('Шаг2.Бланк заказа NEW'!$B$19:$B$201)-COUNT('Бланк OLD 0.8 04'!$B$18:$B$200),'Бланк OLD 2.0 04 '!$B$16:$K$200,7,0)&gt;0,2,IF(VLOOKUP($A467-COUNT('Шаг2.Бланк заказа NEW'!$B$19:$B$201)-COUNT('Бланк OLD 0.8 04'!$B$18:$B$200),'Бланк OLD 2.0 04 '!$B$16:$K$200,8,0)&gt;0,0.4,"")))</f>
        <v/>
      </c>
      <c r="U467" s="147" t="str">
        <f ca="1">IFERROR(IFERROR(IF(VLOOKUP($A467,'Шаг2.Бланк заказа NEW'!$B$17:$N$201,8,0)="","",VLOOKUP($A467,'Шаг2.Бланк заказа NEW'!$B$17:$N$201,8,0)),
IF(VLOOKUP($A467-COUNT('Шаг2.Бланк заказа NEW'!$B$19:$B$201),'Бланк OLD 0.8 04'!$B$12:$K$200,7,0)&gt;1,0.8,
IF(VLOOKUP($A467-COUNT('Шаг2.Бланк заказа NEW'!$B$19:$B$201),'Бланк OLD 0.8 04'!$B$12:$K$200,8,0)&gt;1,0.4,
IF(AND(VLOOKUP($A467-COUNT('Шаг2.Бланк заказа NEW'!$B$19:$B$201),'Бланк OLD 0.8 04'!$B$12:$K$200,7,0)&gt;0,VLOOKUP($A467-COUNT('Шаг2.Бланк заказа NEW'!$B$19:$B$201),'Бланк OLD 0.8 04'!$B$12:$K$200,8,0)&gt;0),0.4,"")))),
IF(VLOOKUP($A467-COUNT('Шаг2.Бланк заказа NEW'!$B$19:$B$201)-COUNT('Бланк OLD 0.8 04'!$B$18:$B$200),'Бланк OLD 2.0 04 '!$B$16:$K$200,7,0)&gt;1,2,
IF(VLOOKUP($A467-COUNT('Шаг2.Бланк заказа NEW'!$B$19:$B$201)-COUNT('Бланк OLD 0.8 04'!$B$18:$B$200),'Бланк OLD 2.0 04 '!$B$16:$K$200,8,0)&gt;1,0.4,
IF(AND(VLOOKUP($A467-COUNT('Шаг2.Бланк заказа NEW'!$B$19:$B$201)-COUNT('Бланк OLD 0.8 04'!$B$18:$B$200),'Бланк OLD 2.0 04 '!$B$16:$K$200,7,0)&gt;0,VLOOKUP($A467-COUNT('Шаг2.Бланк заказа NEW'!$B$19:$B$201)-COUNT('Бланк OLD 0.8 04'!$B$18:$B$200),'Бланк OLD 2.0 04 '!$B$16:$K$200,8,0)&gt;0),0.4,""))))</f>
        <v/>
      </c>
      <c r="V467" s="146" t="str">
        <f ca="1">IFERROR(VLOOKUP(C467,'Шаг1.Выбор плиты'!C:S,12,0),"")</f>
        <v/>
      </c>
      <c r="W467" s="146" t="str">
        <f ca="1">IFERROR(VLOOKUP(C467,'Шаг1.Выбор плиты'!C:S,8,0),"")</f>
        <v/>
      </c>
      <c r="X467" s="146" t="str">
        <f ca="1">IFERROR(VLOOKUP(C467,'Шаг1.Выбор плиты'!C:S,10,0),"")</f>
        <v/>
      </c>
      <c r="Y467" s="147" t="str">
        <f t="shared" ca="1" si="46"/>
        <v/>
      </c>
      <c r="AD467" s="147" t="str">
        <f t="shared" ca="1" si="42"/>
        <v/>
      </c>
      <c r="AE467" s="147" t="str">
        <f t="shared" ca="1" si="47"/>
        <v/>
      </c>
      <c r="AF467" s="25"/>
      <c r="AH467" s="147" t="str">
        <f ca="1">IF(C467="","",VLOOKUP(C467,'Шаг1.Выбор плиты'!C:Q,7,0))</f>
        <v/>
      </c>
      <c r="AI467" s="147" t="str">
        <f t="shared" ca="1" si="45"/>
        <v/>
      </c>
    </row>
    <row r="468" spans="1:35" x14ac:dyDescent="0.2">
      <c r="A468" s="151" t="str">
        <f ca="1">IF(C468="","",MAX($A$1:OFFSET(C468,-1,0))+1)</f>
        <v/>
      </c>
      <c r="B468" s="151" t="str">
        <f ca="1">IFERROR(IFERROR(IFERROR("Шаг2.Бланк заказа NEW №"&amp;VLOOKUP(A467+1,CHOOSE({1,2},'Шаг2.Бланк заказа NEW'!$B$19:$B$201,'Шаг2.Бланк заказа NEW'!$A$19:$A$201),1,0),
"Бланк OLD 0.8 04 №"&amp;VLOOKUP(A467+1-COUNT('Шаг2.Бланк заказа NEW'!$B$19:$B$201),CHOOSE({1,2},'Бланк OLD 0.8 04'!$B$18:$B$200,'Бланк OLD 0.8 04'!$A$18:$A$200),1,0)),
"Бланк OLD 2.0 04 №"&amp;VLOOKUP(A467+1-COUNT('Шаг2.Бланк заказа NEW'!$B$19:$B$201)-COUNT('Бланк OLD 0.8 04'!$B$18:$B$200),CHOOSE({1,2},'Бланк OLD 2.0 04 '!$B$18:$B$200,'Бланк OLD 2.0 04 '!$A$18:$A$200),1,0)),"")</f>
        <v/>
      </c>
      <c r="C468" s="152" t="str">
        <f ca="1">IFERROR(IFERROR(IFERROR(VLOOKUP(A467+1,CHOOSE({1,2},'Шаг2.Бланк заказа NEW'!$B$19:$B$201,'Шаг2.Бланк заказа NEW'!$A$19:$A$201),2,0),
VLOOKUP(A467+1-COUNT('Шаг2.Бланк заказа NEW'!$B$19:$B$201),CHOOSE({1,2},'Бланк OLD 0.8 04'!$B$18:$B$200,'Бланк OLD 0.8 04'!$A$18:$A$200),2,0)),
VLOOKUP(A467+1-COUNT('Шаг2.Бланк заказа NEW'!$B$19:$B$201)-COUNT('Бланк OLD 0.8 04'!$B$18:$B$200),CHOOSE({1,2},'Бланк OLD 2.0 04 '!$B$18:$B$200,'Бланк OLD 2.0 04 '!$A$18:$A$200),2,0)),"")</f>
        <v/>
      </c>
      <c r="D468" s="150" t="str">
        <f ca="1">IFERROR(VLOOKUP(C468,'Шаг1.Выбор плиты'!C:G,5,0),"")</f>
        <v/>
      </c>
      <c r="E468" s="147" t="str">
        <f ca="1">IFERROR(IFERROR(IF(VLOOKUP($A468,'Шаг2.Бланк заказа NEW'!$B$17:$N$201,2,0)="","",VLOOKUP($A468,'Шаг2.Бланк заказа NEW'!$B$17:$N$201,2,0)),
IF(VLOOKUP($A468-COUNT('Шаг2.Бланк заказа NEW'!$B$19:$B$201),'Бланк OLD 0.8 04'!$B$12:$K$200,2,0)="","",VLOOKUP($A468-COUNT('Шаг2.Бланк заказа NEW'!$B$19:$B$201),'Бланк OLD 0.8 04'!$B$12:$K$200,2,0))),
IF(VLOOKUP($A468-COUNT('Шаг2.Бланк заказа NEW'!$B$19:$B$201)-COUNT('Бланк OLD 0.8 04'!$B$18:$B$200),'Бланк OLD 2.0 04 '!$B$16:$K$200,2,0)="","",VLOOKUP($A468-COUNT('Шаг2.Бланк заказа NEW'!$B$19:$B$201)-COUNT('Бланк OLD 0.8 04'!$B$18:$B$200),'Бланк OLD 2.0 04 '!$B$16:$K$200,2,0)))</f>
        <v/>
      </c>
      <c r="F468" s="147" t="str">
        <f ca="1">IFERROR(IFERROR(IF(VLOOKUP($A468,'Шаг2.Бланк заказа NEW'!$B$17:$N$201,3,0)="","",VLOOKUP($A468,'Шаг2.Бланк заказа NEW'!$B$17:$N$201,3,0)),
IF(VLOOKUP($A468-COUNT('Шаг2.Бланк заказа NEW'!$B$19:$B$201),'Бланк OLD 0.8 04'!$B$12:$K$200,3,0)="","",VLOOKUP($A468-COUNT('Шаг2.Бланк заказа NEW'!$B$19:$B$201),'Бланк OLD 0.8 04'!$B$12:$K$200,3,0))),
IF(VLOOKUP($A468-COUNT('Шаг2.Бланк заказа NEW'!$B$19:$B$201)-COUNT('Бланк OLD 0.8 04'!$B$18:$B$200),'Бланк OLD 2.0 04 '!$B$16:$K$200,3,0)="","",VLOOKUP($A468-COUNT('Шаг2.Бланк заказа NEW'!$B$19:$B$201)-COUNT('Бланк OLD 0.8 04'!$B$18:$B$200),'Бланк OLD 2.0 04 '!$B$16:$K$200,3,0)))</f>
        <v/>
      </c>
      <c r="G468" s="176" t="str">
        <f ca="1">IF(IF(R468="","",IF(R468=1,SUMIFS('Шаг1.Выбор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плиты'!C:Q,12,0)),1))))))=0,
R468,
IF(R468="","",IF(R468=1,SUMIFS('Шаг1.Выбор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плиты'!N:N,R468,'Шаг1.Выбор плиты'!M:M,SMALL(INDIRECT("мм"&amp;VLOOKUP(C468,'Шаг1.Выбор плиты'!C:Q,12,0)),1)))))))</f>
        <v/>
      </c>
      <c r="H468" s="177" t="str">
        <f ca="1">IF(IF(S468="","",IF(S468=1,SUMIFS('Шаг1.Выбор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плиты'!C:Q,12,0)),1))))))=0,
S468,
IF(S468="","",IF(S468=1,SUMIFS('Шаг1.Выбор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плиты'!N:N,S468,'Шаг1.Выбор плиты'!M:M,SMALL(INDIRECT("мм"&amp;VLOOKUP(C468,'Шаг1.Выбор плиты'!C:Q,12,0)),1)))))))</f>
        <v/>
      </c>
      <c r="I468" s="147" t="str">
        <f ca="1">IFERROR(IFERROR(IF(VLOOKUP($A468,'Шаг2.Бланк заказа NEW'!$B$17:$N$201,6,0)="","",VLOOKUP($A468,'Шаг2.Бланк заказа NEW'!$B$17:$N$201,6,0)),
IF(VLOOKUP($A468-COUNT('Шаг2.Бланк заказа NEW'!$B$19:$B$201),'Бланк OLD 0.8 04'!$B$12:$K$200,6,0)="","",VLOOKUP($A468-COUNT('Шаг2.Бланк заказа NEW'!$B$19:$B$201),'Бланк OLD 0.8 04'!$B$12:$K$200,6,0))),
IF(VLOOKUP($A468-COUNT('Шаг2.Бланк заказа NEW'!$B$19:$B$201)-COUNT('Бланк OLD 0.8 04'!$B$18:$B$200),'Бланк OLD 2.0 04 '!$B$16:$K$200,6,0)="","",VLOOKUP($A468-COUNT('Шаг2.Бланк заказа NEW'!$B$19:$B$201)-COUNT('Бланк OLD 0.8 04'!$B$18:$B$200),'Бланк OLD 2.0 04 '!$B$16:$K$200,6,0)))</f>
        <v/>
      </c>
      <c r="J468" s="177" t="str">
        <f ca="1">IF(IF(T468="","",IF(T468=1,SUMIFS('Шаг1.Выбор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плиты'!C:Q,12,0)),1))))))=0,
T468,
IF(T468="","",IF(T468=1,SUMIFS('Шаг1.Выбор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плиты'!N:N,T468,'Шаг1.Выбор плиты'!M:M,SMALL(INDIRECT("мм"&amp;VLOOKUP(C468,'Шаг1.Выбор плиты'!C:Q,12,0)),1)))))))</f>
        <v/>
      </c>
      <c r="K468" s="177" t="str">
        <f ca="1">IF(IF(U468="","",IF(U468=1,SUMIFS('Шаг1.Выбор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плиты'!C:Q,12,0)),1))))))=0,
U468,
IF(U468="","",IF(U468=1,SUMIFS('Шаг1.Выбор плиты'!$G:$G,'Шаг1.Выбор плиты'!J:J,"*"&amp;RIGHT(VLOOKUP(C468,'Шаг1.Выбор плиты'!C:Q,8,0),4),'Шаг1.Выбор плиты'!L:L,IF(MID(C468,1,6)="ЛДСП P","TM"&amp;MID(VLOOKUP(C468,'Шаг1.Выбор плиты'!C:Q,10,0),3,2),MID(VLOOKUP(C468,'Шаг1.Выбор плиты'!C:Q,10,0),1,2)),
'Шаг1.Выбор плиты'!N:N,1),IF(SUMIFS('Шаг1.Выбор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плиты'!C:Q,12,0)),1))=0,
IF(SUMIFS('Шаг1.Выбор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плиты'!C:Q,12,0)),2))=0,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плиты'!C:Q,12,0)),3)),
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плиты'!C:Q,12,0)),2))),
(SUMIFS('Шаг1.Выбор плиты'!$G:$G,'Шаг1.Выбор плиты'!J:J,"*"&amp;RIGHT(VLOOKUP(C468,'Шаг1.Выбор плиты'!C:Q,8,0),4),'Шаг1.Выбор плиты'!L:L,VLOOKUP(C468,'Шаг1.Выбор плиты'!C:Q,10,0),'Шаг1.Выбор плиты'!N:N,U468,'Шаг1.Выбор плиты'!M:M,SMALL(INDIRECT("мм"&amp;VLOOKUP(C468,'Шаг1.Выбор плиты'!C:Q,12,0)),1)))))))</f>
        <v/>
      </c>
      <c r="L468" s="147" t="str">
        <f ca="1">IFERROR(IFERROR(IF(VLOOKUP($A468,'Шаг2.Бланк заказа NEW'!$B$17:$N$201,9,0)="","",VLOOKUP($A468,'Шаг2.Бланк заказа NEW'!$B$17:$N$201,9,0)),
IF(VLOOKUP($A468-COUNT('Шаг2.Бланк заказа NEW'!$B$19:$B$201),'Бланк OLD 0.8 04'!$B$12:$K$200,9,0)="","",VLOOKUP($A468-COUNT('Шаг2.Бланк заказа NEW'!$B$19:$B$201),'Бланк OLD 0.8 04'!$B$12:$K$200,9,0))),
IF(VLOOKUP($A468-COUNT('Шаг2.Бланк заказа NEW'!$B$19:$B$201)-COUNT('Бланк OLD 0.8 04'!$B$18:$B$200),'Бланк OLD 2.0 04 '!$B$16:$K$200,9,0)="","",VLOOKUP($A468-COUNT('Шаг2.Бланк заказа NEW'!$B$19:$B$201)-COUNT('Бланк OLD 0.8 04'!$B$18:$B$200),'Бланк OLD 2.0 04 '!$B$16:$K$200,9,0)))</f>
        <v/>
      </c>
      <c r="M468" s="154" t="str">
        <f t="shared" ca="1" si="44"/>
        <v/>
      </c>
      <c r="N468" s="153" t="str">
        <f ca="1">IFERROR(IF(VLOOKUP($A468,'Шаг2.Бланк заказа NEW'!$B$17:$N$201,11,0)="","",VLOOKUP($A468,'Шаг2.Бланк заказа NEW'!$B$17:$N$201,11,0)),
"Нет")</f>
        <v/>
      </c>
      <c r="O468" s="147" t="str">
        <f ca="1">IFERROR(IF(VLOOKUP($A468,'Шаг2.Бланк заказа NEW'!$B$17:$N$201,11,0)="","",VLOOKUP($A468,'Шаг2.Бланк заказа NEW'!$B$17:$N$201,12,0)),
"Нет")</f>
        <v/>
      </c>
      <c r="P468" s="153" t="str">
        <f ca="1">IFERROR(IF(VLOOKUP($A468,'Шаг2.Бланк заказа NEW'!$B$17:$N$201,13,0)="","",VLOOKUP($A468,'Шаг2.Бланк заказа NEW'!$B$17:$N$201,13,0)),
"Нет")</f>
        <v/>
      </c>
      <c r="Q468" s="147" t="str">
        <f ca="1">IFERROR(IF(VLOOKUP($A468,'Шаг2.Бланк заказа NEW'!$B$17:$O$201,14,0)="","",VLOOKUP($A468,'Шаг2.Бланк заказа NEW'!$B$17:$O$201,14,0)),"")</f>
        <v/>
      </c>
      <c r="R468" s="147" t="str">
        <f ca="1">IFERROR(IFERROR(IF(VLOOKUP($A468,'Шаг2.Бланк заказа NEW'!$B$17:$N$201,4,0)="","",VLOOKUP($A468,'Шаг2.Бланк заказа NEW'!$B$17:$N$201,4,0)),
IF(VLOOKUP($A468-COUNT('Шаг2.Бланк заказа NEW'!$B$19:$B$201),'Бланк OLD 0.8 04'!$B$12:$K$200,4,0)&gt;0,0.8,
IF(VLOOKUP($A468-COUNT('Шаг2.Бланк заказа NEW'!$B$19:$B$201),'Бланк OLD 0.8 04'!$B$12:$K$200,5,0)&gt;0,0.4,""))),
IF(VLOOKUP($A468-COUNT('Шаг2.Бланк заказа NEW'!$B$19:$B$201)-COUNT('Бланк OLD 0.8 04'!$B$18:$B$200),'Бланк OLD 2.0 04 '!$B$16:$K$200,4,0)&gt;0,2,IF(VLOOKUP($A468-COUNT('Шаг2.Бланк заказа NEW'!$B$19:$B$201)-COUNT('Бланк OLD 0.8 04'!$B$18:$B$200),'Бланк OLD 2.0 04 '!$B$16:$K$200,5,0)&gt;0,0.4,"")))</f>
        <v/>
      </c>
      <c r="S468" s="147" t="str">
        <f ca="1">IFERROR(IFERROR(IF(VLOOKUP($A468,'Шаг2.Бланк заказа NEW'!$B$17:$N$201,5,0)="","",VLOOKUP($A468,'Шаг2.Бланк заказа NEW'!$B$17:$N$201,5,0)),
IF(VLOOKUP($A468-COUNT('Шаг2.Бланк заказа NEW'!$B$19:$B$201),'Бланк OLD 0.8 04'!$B$12:$K$200,4,0)&gt;1,0.8,
IF(VLOOKUP($A468-COUNT('Шаг2.Бланк заказа NEW'!$B$19:$B$201),'Бланк OLD 0.8 04'!$B$12:$K$200,5,0)&gt;1,0.4,
IF(AND(VLOOKUP($A468-COUNT('Шаг2.Бланк заказа NEW'!$B$19:$B$201),'Бланк OLD 0.8 04'!$B$12:$K$200,4,0)&gt;0,VLOOKUP($A468-COUNT('Шаг2.Бланк заказа NEW'!$B$19:$B$201),'Бланк OLD 0.8 04'!$B$12:$K$200,5,0)&gt;0),0.4,"")))),
IF(VLOOKUP($A468-COUNT('Шаг2.Бланк заказа NEW'!$B$19:$B$201)-COUNT('Бланк OLD 0.8 04'!$B$18:$B$200),'Бланк OLD 2.0 04 '!$B$16:$K$200,4,0)&gt;1,2,
IF(VLOOKUP($A468-COUNT('Шаг2.Бланк заказа NEW'!$B$19:$B$201)-COUNT('Бланк OLD 0.8 04'!$B$18:$B$200),'Бланк OLD 2.0 04 '!$B$16:$K$200,5,0)&gt;1,0.4,IF(AND(VLOOKUP($A468-COUNT('Шаг2.Бланк заказа NEW'!$B$19:$B$201)-COUNT('Бланк OLD 0.8 04'!$B$18:$B$200),'Бланк OLD 2.0 04 '!$B$16:$K$200,4,0)&gt;0,VLOOKUP($A468-COUNT('Шаг2.Бланк заказа NEW'!$B$19:$B$201)-COUNT('Бланк OLD 0.8 04'!$B$18:$B$200),'Бланк OLD 2.0 04 '!$B$16:$K$200,5,0)&gt;0),0.4,""))))</f>
        <v/>
      </c>
      <c r="T468" s="147" t="str">
        <f ca="1">IFERROR(IFERROR(IF(VLOOKUP($A468,'Шаг2.Бланк заказа NEW'!$B$17:$N$201,7,0)="","",VLOOKUP($A468,'Шаг2.Бланк заказа NEW'!$B$17:$N$201,7,0)),
IF(VLOOKUP($A468-COUNT('Шаг2.Бланк заказа NEW'!$B$19:$B$201),'Бланк OLD 0.8 04'!$B$12:$K$200,7,0)&gt;0,0.8,
IF(VLOOKUP($A468-COUNT('Шаг2.Бланк заказа NEW'!$B$19:$B$201),'Бланк OLD 0.8 04'!$B$12:$K$200,8,0)&gt;0,0.4,""))),
IF(VLOOKUP($A468-COUNT('Шаг2.Бланк заказа NEW'!$B$19:$B$201)-COUNT('Бланк OLD 0.8 04'!$B$18:$B$200),'Бланк OLD 2.0 04 '!$B$16:$K$200,7,0)&gt;0,2,IF(VLOOKUP($A468-COUNT('Шаг2.Бланк заказа NEW'!$B$19:$B$201)-COUNT('Бланк OLD 0.8 04'!$B$18:$B$200),'Бланк OLD 2.0 04 '!$B$16:$K$200,8,0)&gt;0,0.4,"")))</f>
        <v/>
      </c>
      <c r="U468" s="147" t="str">
        <f ca="1">IFERROR(IFERROR(IF(VLOOKUP($A468,'Шаг2.Бланк заказа NEW'!$B$17:$N$201,8,0)="","",VLOOKUP($A468,'Шаг2.Бланк заказа NEW'!$B$17:$N$201,8,0)),
IF(VLOOKUP($A468-COUNT('Шаг2.Бланк заказа NEW'!$B$19:$B$201),'Бланк OLD 0.8 04'!$B$12:$K$200,7,0)&gt;1,0.8,
IF(VLOOKUP($A468-COUNT('Шаг2.Бланк заказа NEW'!$B$19:$B$201),'Бланк OLD 0.8 04'!$B$12:$K$200,8,0)&gt;1,0.4,
IF(AND(VLOOKUP($A468-COUNT('Шаг2.Бланк заказа NEW'!$B$19:$B$201),'Бланк OLD 0.8 04'!$B$12:$K$200,7,0)&gt;0,VLOOKUP($A468-COUNT('Шаг2.Бланк заказа NEW'!$B$19:$B$201),'Бланк OLD 0.8 04'!$B$12:$K$200,8,0)&gt;0),0.4,"")))),
IF(VLOOKUP($A468-COUNT('Шаг2.Бланк заказа NEW'!$B$19:$B$201)-COUNT('Бланк OLD 0.8 04'!$B$18:$B$200),'Бланк OLD 2.0 04 '!$B$16:$K$200,7,0)&gt;1,2,
IF(VLOOKUP($A468-COUNT('Шаг2.Бланк заказа NEW'!$B$19:$B$201)-COUNT('Бланк OLD 0.8 04'!$B$18:$B$200),'Бланк OLD 2.0 04 '!$B$16:$K$200,8,0)&gt;1,0.4,
IF(AND(VLOOKUP($A468-COUNT('Шаг2.Бланк заказа NEW'!$B$19:$B$201)-COUNT('Бланк OLD 0.8 04'!$B$18:$B$200),'Бланк OLD 2.0 04 '!$B$16:$K$200,7,0)&gt;0,VLOOKUP($A468-COUNT('Шаг2.Бланк заказа NEW'!$B$19:$B$201)-COUNT('Бланк OLD 0.8 04'!$B$18:$B$200),'Бланк OLD 2.0 04 '!$B$16:$K$200,8,0)&gt;0),0.4,""))))</f>
        <v/>
      </c>
      <c r="V468" s="146" t="str">
        <f ca="1">IFERROR(VLOOKUP(C468,'Шаг1.Выбор плиты'!C:S,12,0),"")</f>
        <v/>
      </c>
      <c r="W468" s="146" t="str">
        <f ca="1">IFERROR(VLOOKUP(C468,'Шаг1.Выбор плиты'!C:S,8,0),"")</f>
        <v/>
      </c>
      <c r="X468" s="146" t="str">
        <f ca="1">IFERROR(VLOOKUP(C468,'Шаг1.Выбор плиты'!C:S,10,0),"")</f>
        <v/>
      </c>
      <c r="Y468" s="147" t="str">
        <f t="shared" ca="1" si="46"/>
        <v/>
      </c>
      <c r="AD468" s="147" t="str">
        <f t="shared" ca="1" si="42"/>
        <v/>
      </c>
      <c r="AE468" s="147" t="str">
        <f t="shared" ca="1" si="47"/>
        <v/>
      </c>
      <c r="AF468" s="25"/>
      <c r="AH468" s="147" t="str">
        <f ca="1">IF(C468="","",VLOOKUP(C468,'Шаг1.Выбор плиты'!C:Q,7,0))</f>
        <v/>
      </c>
      <c r="AI468" s="147" t="str">
        <f t="shared" ca="1" si="45"/>
        <v/>
      </c>
    </row>
    <row r="469" spans="1:35" x14ac:dyDescent="0.2">
      <c r="A469" s="151" t="str">
        <f ca="1">IF(C469="","",MAX($A$1:OFFSET(C469,-1,0))+1)</f>
        <v/>
      </c>
      <c r="B469" s="151" t="str">
        <f ca="1">IFERROR(IFERROR(IFERROR("Шаг2.Бланк заказа NEW №"&amp;VLOOKUP(A468+1,CHOOSE({1,2},'Шаг2.Бланк заказа NEW'!$B$19:$B$201,'Шаг2.Бланк заказа NEW'!$A$19:$A$201),1,0),
"Бланк OLD 0.8 04 №"&amp;VLOOKUP(A468+1-COUNT('Шаг2.Бланк заказа NEW'!$B$19:$B$201),CHOOSE({1,2},'Бланк OLD 0.8 04'!$B$18:$B$200,'Бланк OLD 0.8 04'!$A$18:$A$200),1,0)),
"Бланк OLD 2.0 04 №"&amp;VLOOKUP(A468+1-COUNT('Шаг2.Бланк заказа NEW'!$B$19:$B$201)-COUNT('Бланк OLD 0.8 04'!$B$18:$B$200),CHOOSE({1,2},'Бланк OLD 2.0 04 '!$B$18:$B$200,'Бланк OLD 2.0 04 '!$A$18:$A$200),1,0)),"")</f>
        <v/>
      </c>
      <c r="C469" s="152" t="str">
        <f ca="1">IFERROR(IFERROR(IFERROR(VLOOKUP(A468+1,CHOOSE({1,2},'Шаг2.Бланк заказа NEW'!$B$19:$B$201,'Шаг2.Бланк заказа NEW'!$A$19:$A$201),2,0),
VLOOKUP(A468+1-COUNT('Шаг2.Бланк заказа NEW'!$B$19:$B$201),CHOOSE({1,2},'Бланк OLD 0.8 04'!$B$18:$B$200,'Бланк OLD 0.8 04'!$A$18:$A$200),2,0)),
VLOOKUP(A468+1-COUNT('Шаг2.Бланк заказа NEW'!$B$19:$B$201)-COUNT('Бланк OLD 0.8 04'!$B$18:$B$200),CHOOSE({1,2},'Бланк OLD 2.0 04 '!$B$18:$B$200,'Бланк OLD 2.0 04 '!$A$18:$A$200),2,0)),"")</f>
        <v/>
      </c>
      <c r="D469" s="150" t="str">
        <f ca="1">IFERROR(VLOOKUP(C469,'Шаг1.Выбор плиты'!C:G,5,0),"")</f>
        <v/>
      </c>
      <c r="E469" s="147" t="str">
        <f ca="1">IFERROR(IFERROR(IF(VLOOKUP($A469,'Шаг2.Бланк заказа NEW'!$B$17:$N$201,2,0)="","",VLOOKUP($A469,'Шаг2.Бланк заказа NEW'!$B$17:$N$201,2,0)),
IF(VLOOKUP($A469-COUNT('Шаг2.Бланк заказа NEW'!$B$19:$B$201),'Бланк OLD 0.8 04'!$B$12:$K$200,2,0)="","",VLOOKUP($A469-COUNT('Шаг2.Бланк заказа NEW'!$B$19:$B$201),'Бланк OLD 0.8 04'!$B$12:$K$200,2,0))),
IF(VLOOKUP($A469-COUNT('Шаг2.Бланк заказа NEW'!$B$19:$B$201)-COUNT('Бланк OLD 0.8 04'!$B$18:$B$200),'Бланк OLD 2.0 04 '!$B$16:$K$200,2,0)="","",VLOOKUP($A469-COUNT('Шаг2.Бланк заказа NEW'!$B$19:$B$201)-COUNT('Бланк OLD 0.8 04'!$B$18:$B$200),'Бланк OLD 2.0 04 '!$B$16:$K$200,2,0)))</f>
        <v/>
      </c>
      <c r="F469" s="147" t="str">
        <f ca="1">IFERROR(IFERROR(IF(VLOOKUP($A469,'Шаг2.Бланк заказа NEW'!$B$17:$N$201,3,0)="","",VLOOKUP($A469,'Шаг2.Бланк заказа NEW'!$B$17:$N$201,3,0)),
IF(VLOOKUP($A469-COUNT('Шаг2.Бланк заказа NEW'!$B$19:$B$201),'Бланк OLD 0.8 04'!$B$12:$K$200,3,0)="","",VLOOKUP($A469-COUNT('Шаг2.Бланк заказа NEW'!$B$19:$B$201),'Бланк OLD 0.8 04'!$B$12:$K$200,3,0))),
IF(VLOOKUP($A469-COUNT('Шаг2.Бланк заказа NEW'!$B$19:$B$201)-COUNT('Бланк OLD 0.8 04'!$B$18:$B$200),'Бланк OLD 2.0 04 '!$B$16:$K$200,3,0)="","",VLOOKUP($A469-COUNT('Шаг2.Бланк заказа NEW'!$B$19:$B$201)-COUNT('Бланк OLD 0.8 04'!$B$18:$B$200),'Бланк OLD 2.0 04 '!$B$16:$K$200,3,0)))</f>
        <v/>
      </c>
      <c r="G469" s="176" t="str">
        <f ca="1">IF(IF(R469="","",IF(R469=1,SUMIFS('Шаг1.Выбор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плиты'!C:Q,12,0)),1))))))=0,
R469,
IF(R469="","",IF(R469=1,SUMIFS('Шаг1.Выбор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плиты'!N:N,R469,'Шаг1.Выбор плиты'!M:M,SMALL(INDIRECT("мм"&amp;VLOOKUP(C469,'Шаг1.Выбор плиты'!C:Q,12,0)),1)))))))</f>
        <v/>
      </c>
      <c r="H469" s="177" t="str">
        <f ca="1">IF(IF(S469="","",IF(S469=1,SUMIFS('Шаг1.Выбор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плиты'!C:Q,12,0)),1))))))=0,
S469,
IF(S469="","",IF(S469=1,SUMIFS('Шаг1.Выбор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плиты'!N:N,S469,'Шаг1.Выбор плиты'!M:M,SMALL(INDIRECT("мм"&amp;VLOOKUP(C469,'Шаг1.Выбор плиты'!C:Q,12,0)),1)))))))</f>
        <v/>
      </c>
      <c r="I469" s="147" t="str">
        <f ca="1">IFERROR(IFERROR(IF(VLOOKUP($A469,'Шаг2.Бланк заказа NEW'!$B$17:$N$201,6,0)="","",VLOOKUP($A469,'Шаг2.Бланк заказа NEW'!$B$17:$N$201,6,0)),
IF(VLOOKUP($A469-COUNT('Шаг2.Бланк заказа NEW'!$B$19:$B$201),'Бланк OLD 0.8 04'!$B$12:$K$200,6,0)="","",VLOOKUP($A469-COUNT('Шаг2.Бланк заказа NEW'!$B$19:$B$201),'Бланк OLD 0.8 04'!$B$12:$K$200,6,0))),
IF(VLOOKUP($A469-COUNT('Шаг2.Бланк заказа NEW'!$B$19:$B$201)-COUNT('Бланк OLD 0.8 04'!$B$18:$B$200),'Бланк OLD 2.0 04 '!$B$16:$K$200,6,0)="","",VLOOKUP($A469-COUNT('Шаг2.Бланк заказа NEW'!$B$19:$B$201)-COUNT('Бланк OLD 0.8 04'!$B$18:$B$200),'Бланк OLD 2.0 04 '!$B$16:$K$200,6,0)))</f>
        <v/>
      </c>
      <c r="J469" s="177" t="str">
        <f ca="1">IF(IF(T469="","",IF(T469=1,SUMIFS('Шаг1.Выбор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плиты'!C:Q,12,0)),1))))))=0,
T469,
IF(T469="","",IF(T469=1,SUMIFS('Шаг1.Выбор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плиты'!N:N,T469,'Шаг1.Выбор плиты'!M:M,SMALL(INDIRECT("мм"&amp;VLOOKUP(C469,'Шаг1.Выбор плиты'!C:Q,12,0)),1)))))))</f>
        <v/>
      </c>
      <c r="K469" s="177" t="str">
        <f ca="1">IF(IF(U469="","",IF(U469=1,SUMIFS('Шаг1.Выбор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плиты'!C:Q,12,0)),1))))))=0,
U469,
IF(U469="","",IF(U469=1,SUMIFS('Шаг1.Выбор плиты'!$G:$G,'Шаг1.Выбор плиты'!J:J,"*"&amp;RIGHT(VLOOKUP(C469,'Шаг1.Выбор плиты'!C:Q,8,0),4),'Шаг1.Выбор плиты'!L:L,IF(MID(C469,1,6)="ЛДСП P","TM"&amp;MID(VLOOKUP(C469,'Шаг1.Выбор плиты'!C:Q,10,0),3,2),MID(VLOOKUP(C469,'Шаг1.Выбор плиты'!C:Q,10,0),1,2)),
'Шаг1.Выбор плиты'!N:N,1),IF(SUMIFS('Шаг1.Выбор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плиты'!C:Q,12,0)),1))=0,
IF(SUMIFS('Шаг1.Выбор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плиты'!C:Q,12,0)),2))=0,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плиты'!C:Q,12,0)),3)),
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плиты'!C:Q,12,0)),2))),
(SUMIFS('Шаг1.Выбор плиты'!$G:$G,'Шаг1.Выбор плиты'!J:J,"*"&amp;RIGHT(VLOOKUP(C469,'Шаг1.Выбор плиты'!C:Q,8,0),4),'Шаг1.Выбор плиты'!L:L,VLOOKUP(C469,'Шаг1.Выбор плиты'!C:Q,10,0),'Шаг1.Выбор плиты'!N:N,U469,'Шаг1.Выбор плиты'!M:M,SMALL(INDIRECT("мм"&amp;VLOOKUP(C469,'Шаг1.Выбор плиты'!C:Q,12,0)),1)))))))</f>
        <v/>
      </c>
      <c r="L469" s="147" t="str">
        <f ca="1">IFERROR(IFERROR(IF(VLOOKUP($A469,'Шаг2.Бланк заказа NEW'!$B$17:$N$201,9,0)="","",VLOOKUP($A469,'Шаг2.Бланк заказа NEW'!$B$17:$N$201,9,0)),
IF(VLOOKUP($A469-COUNT('Шаг2.Бланк заказа NEW'!$B$19:$B$201),'Бланк OLD 0.8 04'!$B$12:$K$200,9,0)="","",VLOOKUP($A469-COUNT('Шаг2.Бланк заказа NEW'!$B$19:$B$201),'Бланк OLD 0.8 04'!$B$12:$K$200,9,0))),
IF(VLOOKUP($A469-COUNT('Шаг2.Бланк заказа NEW'!$B$19:$B$201)-COUNT('Бланк OLD 0.8 04'!$B$18:$B$200),'Бланк OLD 2.0 04 '!$B$16:$K$200,9,0)="","",VLOOKUP($A469-COUNT('Шаг2.Бланк заказа NEW'!$B$19:$B$201)-COUNT('Бланк OLD 0.8 04'!$B$18:$B$200),'Бланк OLD 2.0 04 '!$B$16:$K$200,9,0)))</f>
        <v/>
      </c>
      <c r="M469" s="154" t="str">
        <f t="shared" ca="1" si="44"/>
        <v/>
      </c>
      <c r="N469" s="153" t="str">
        <f ca="1">IFERROR(IF(VLOOKUP($A469,'Шаг2.Бланк заказа NEW'!$B$17:$N$201,11,0)="","",VLOOKUP($A469,'Шаг2.Бланк заказа NEW'!$B$17:$N$201,11,0)),
"Нет")</f>
        <v/>
      </c>
      <c r="O469" s="147" t="str">
        <f ca="1">IFERROR(IF(VLOOKUP($A469,'Шаг2.Бланк заказа NEW'!$B$17:$N$201,11,0)="","",VLOOKUP($A469,'Шаг2.Бланк заказа NEW'!$B$17:$N$201,12,0)),
"Нет")</f>
        <v/>
      </c>
      <c r="P469" s="153" t="str">
        <f ca="1">IFERROR(IF(VLOOKUP($A469,'Шаг2.Бланк заказа NEW'!$B$17:$N$201,13,0)="","",VLOOKUP($A469,'Шаг2.Бланк заказа NEW'!$B$17:$N$201,13,0)),
"Нет")</f>
        <v/>
      </c>
      <c r="Q469" s="147" t="str">
        <f ca="1">IFERROR(IF(VLOOKUP($A469,'Шаг2.Бланк заказа NEW'!$B$17:$O$201,14,0)="","",VLOOKUP($A469,'Шаг2.Бланк заказа NEW'!$B$17:$O$201,14,0)),"")</f>
        <v/>
      </c>
      <c r="R469" s="147" t="str">
        <f ca="1">IFERROR(IFERROR(IF(VLOOKUP($A469,'Шаг2.Бланк заказа NEW'!$B$17:$N$201,4,0)="","",VLOOKUP($A469,'Шаг2.Бланк заказа NEW'!$B$17:$N$201,4,0)),
IF(VLOOKUP($A469-COUNT('Шаг2.Бланк заказа NEW'!$B$19:$B$201),'Бланк OLD 0.8 04'!$B$12:$K$200,4,0)&gt;0,0.8,
IF(VLOOKUP($A469-COUNT('Шаг2.Бланк заказа NEW'!$B$19:$B$201),'Бланк OLD 0.8 04'!$B$12:$K$200,5,0)&gt;0,0.4,""))),
IF(VLOOKUP($A469-COUNT('Шаг2.Бланк заказа NEW'!$B$19:$B$201)-COUNT('Бланк OLD 0.8 04'!$B$18:$B$200),'Бланк OLD 2.0 04 '!$B$16:$K$200,4,0)&gt;0,2,IF(VLOOKUP($A469-COUNT('Шаг2.Бланк заказа NEW'!$B$19:$B$201)-COUNT('Бланк OLD 0.8 04'!$B$18:$B$200),'Бланк OLD 2.0 04 '!$B$16:$K$200,5,0)&gt;0,0.4,"")))</f>
        <v/>
      </c>
      <c r="S469" s="147" t="str">
        <f ca="1">IFERROR(IFERROR(IF(VLOOKUP($A469,'Шаг2.Бланк заказа NEW'!$B$17:$N$201,5,0)="","",VLOOKUP($A469,'Шаг2.Бланк заказа NEW'!$B$17:$N$201,5,0)),
IF(VLOOKUP($A469-COUNT('Шаг2.Бланк заказа NEW'!$B$19:$B$201),'Бланк OLD 0.8 04'!$B$12:$K$200,4,0)&gt;1,0.8,
IF(VLOOKUP($A469-COUNT('Шаг2.Бланк заказа NEW'!$B$19:$B$201),'Бланк OLD 0.8 04'!$B$12:$K$200,5,0)&gt;1,0.4,
IF(AND(VLOOKUP($A469-COUNT('Шаг2.Бланк заказа NEW'!$B$19:$B$201),'Бланк OLD 0.8 04'!$B$12:$K$200,4,0)&gt;0,VLOOKUP($A469-COUNT('Шаг2.Бланк заказа NEW'!$B$19:$B$201),'Бланк OLD 0.8 04'!$B$12:$K$200,5,0)&gt;0),0.4,"")))),
IF(VLOOKUP($A469-COUNT('Шаг2.Бланк заказа NEW'!$B$19:$B$201)-COUNT('Бланк OLD 0.8 04'!$B$18:$B$200),'Бланк OLD 2.0 04 '!$B$16:$K$200,4,0)&gt;1,2,
IF(VLOOKUP($A469-COUNT('Шаг2.Бланк заказа NEW'!$B$19:$B$201)-COUNT('Бланк OLD 0.8 04'!$B$18:$B$200),'Бланк OLD 2.0 04 '!$B$16:$K$200,5,0)&gt;1,0.4,IF(AND(VLOOKUP($A469-COUNT('Шаг2.Бланк заказа NEW'!$B$19:$B$201)-COUNT('Бланк OLD 0.8 04'!$B$18:$B$200),'Бланк OLD 2.0 04 '!$B$16:$K$200,4,0)&gt;0,VLOOKUP($A469-COUNT('Шаг2.Бланк заказа NEW'!$B$19:$B$201)-COUNT('Бланк OLD 0.8 04'!$B$18:$B$200),'Бланк OLD 2.0 04 '!$B$16:$K$200,5,0)&gt;0),0.4,""))))</f>
        <v/>
      </c>
      <c r="T469" s="147" t="str">
        <f ca="1">IFERROR(IFERROR(IF(VLOOKUP($A469,'Шаг2.Бланк заказа NEW'!$B$17:$N$201,7,0)="","",VLOOKUP($A469,'Шаг2.Бланк заказа NEW'!$B$17:$N$201,7,0)),
IF(VLOOKUP($A469-COUNT('Шаг2.Бланк заказа NEW'!$B$19:$B$201),'Бланк OLD 0.8 04'!$B$12:$K$200,7,0)&gt;0,0.8,
IF(VLOOKUP($A469-COUNT('Шаг2.Бланк заказа NEW'!$B$19:$B$201),'Бланк OLD 0.8 04'!$B$12:$K$200,8,0)&gt;0,0.4,""))),
IF(VLOOKUP($A469-COUNT('Шаг2.Бланк заказа NEW'!$B$19:$B$201)-COUNT('Бланк OLD 0.8 04'!$B$18:$B$200),'Бланк OLD 2.0 04 '!$B$16:$K$200,7,0)&gt;0,2,IF(VLOOKUP($A469-COUNT('Шаг2.Бланк заказа NEW'!$B$19:$B$201)-COUNT('Бланк OLD 0.8 04'!$B$18:$B$200),'Бланк OLD 2.0 04 '!$B$16:$K$200,8,0)&gt;0,0.4,"")))</f>
        <v/>
      </c>
      <c r="U469" s="147" t="str">
        <f ca="1">IFERROR(IFERROR(IF(VLOOKUP($A469,'Шаг2.Бланк заказа NEW'!$B$17:$N$201,8,0)="","",VLOOKUP($A469,'Шаг2.Бланк заказа NEW'!$B$17:$N$201,8,0)),
IF(VLOOKUP($A469-COUNT('Шаг2.Бланк заказа NEW'!$B$19:$B$201),'Бланк OLD 0.8 04'!$B$12:$K$200,7,0)&gt;1,0.8,
IF(VLOOKUP($A469-COUNT('Шаг2.Бланк заказа NEW'!$B$19:$B$201),'Бланк OLD 0.8 04'!$B$12:$K$200,8,0)&gt;1,0.4,
IF(AND(VLOOKUP($A469-COUNT('Шаг2.Бланк заказа NEW'!$B$19:$B$201),'Бланк OLD 0.8 04'!$B$12:$K$200,7,0)&gt;0,VLOOKUP($A469-COUNT('Шаг2.Бланк заказа NEW'!$B$19:$B$201),'Бланк OLD 0.8 04'!$B$12:$K$200,8,0)&gt;0),0.4,"")))),
IF(VLOOKUP($A469-COUNT('Шаг2.Бланк заказа NEW'!$B$19:$B$201)-COUNT('Бланк OLD 0.8 04'!$B$18:$B$200),'Бланк OLD 2.0 04 '!$B$16:$K$200,7,0)&gt;1,2,
IF(VLOOKUP($A469-COUNT('Шаг2.Бланк заказа NEW'!$B$19:$B$201)-COUNT('Бланк OLD 0.8 04'!$B$18:$B$200),'Бланк OLD 2.0 04 '!$B$16:$K$200,8,0)&gt;1,0.4,
IF(AND(VLOOKUP($A469-COUNT('Шаг2.Бланк заказа NEW'!$B$19:$B$201)-COUNT('Бланк OLD 0.8 04'!$B$18:$B$200),'Бланк OLD 2.0 04 '!$B$16:$K$200,7,0)&gt;0,VLOOKUP($A469-COUNT('Шаг2.Бланк заказа NEW'!$B$19:$B$201)-COUNT('Бланк OLD 0.8 04'!$B$18:$B$200),'Бланк OLD 2.0 04 '!$B$16:$K$200,8,0)&gt;0),0.4,""))))</f>
        <v/>
      </c>
      <c r="V469" s="146" t="str">
        <f ca="1">IFERROR(VLOOKUP(C469,'Шаг1.Выбор плиты'!C:S,12,0),"")</f>
        <v/>
      </c>
      <c r="W469" s="146" t="str">
        <f ca="1">IFERROR(VLOOKUP(C469,'Шаг1.Выбор плиты'!C:S,8,0),"")</f>
        <v/>
      </c>
      <c r="X469" s="146" t="str">
        <f ca="1">IFERROR(VLOOKUP(C469,'Шаг1.Выбор плиты'!C:S,10,0),"")</f>
        <v/>
      </c>
      <c r="Y469" s="147" t="str">
        <f t="shared" ca="1" si="46"/>
        <v/>
      </c>
      <c r="AD469" s="147" t="str">
        <f t="shared" ca="1" si="42"/>
        <v/>
      </c>
      <c r="AE469" s="147" t="str">
        <f t="shared" ca="1" si="47"/>
        <v/>
      </c>
      <c r="AF469" s="25"/>
      <c r="AH469" s="147" t="str">
        <f ca="1">IF(C469="","",VLOOKUP(C469,'Шаг1.Выбор плиты'!C:Q,7,0))</f>
        <v/>
      </c>
      <c r="AI469" s="147" t="str">
        <f t="shared" ca="1" si="45"/>
        <v/>
      </c>
    </row>
    <row r="470" spans="1:35" x14ac:dyDescent="0.2">
      <c r="A470" s="151" t="str">
        <f ca="1">IF(C470="","",MAX($A$1:OFFSET(C470,-1,0))+1)</f>
        <v/>
      </c>
      <c r="B470" s="151" t="str">
        <f ca="1">IFERROR(IFERROR(IFERROR("Шаг2.Бланк заказа NEW №"&amp;VLOOKUP(A469+1,CHOOSE({1,2},'Шаг2.Бланк заказа NEW'!$B$19:$B$201,'Шаг2.Бланк заказа NEW'!$A$19:$A$201),1,0),
"Бланк OLD 0.8 04 №"&amp;VLOOKUP(A469+1-COUNT('Шаг2.Бланк заказа NEW'!$B$19:$B$201),CHOOSE({1,2},'Бланк OLD 0.8 04'!$B$18:$B$200,'Бланк OLD 0.8 04'!$A$18:$A$200),1,0)),
"Бланк OLD 2.0 04 №"&amp;VLOOKUP(A469+1-COUNT('Шаг2.Бланк заказа NEW'!$B$19:$B$201)-COUNT('Бланк OLD 0.8 04'!$B$18:$B$200),CHOOSE({1,2},'Бланк OLD 2.0 04 '!$B$18:$B$200,'Бланк OLD 2.0 04 '!$A$18:$A$200),1,0)),"")</f>
        <v/>
      </c>
      <c r="C470" s="152" t="str">
        <f ca="1">IFERROR(IFERROR(IFERROR(VLOOKUP(A469+1,CHOOSE({1,2},'Шаг2.Бланк заказа NEW'!$B$19:$B$201,'Шаг2.Бланк заказа NEW'!$A$19:$A$201),2,0),
VLOOKUP(A469+1-COUNT('Шаг2.Бланк заказа NEW'!$B$19:$B$201),CHOOSE({1,2},'Бланк OLD 0.8 04'!$B$18:$B$200,'Бланк OLD 0.8 04'!$A$18:$A$200),2,0)),
VLOOKUP(A469+1-COUNT('Шаг2.Бланк заказа NEW'!$B$19:$B$201)-COUNT('Бланк OLD 0.8 04'!$B$18:$B$200),CHOOSE({1,2},'Бланк OLD 2.0 04 '!$B$18:$B$200,'Бланк OLD 2.0 04 '!$A$18:$A$200),2,0)),"")</f>
        <v/>
      </c>
      <c r="D470" s="150" t="str">
        <f ca="1">IFERROR(VLOOKUP(C470,'Шаг1.Выбор плиты'!C:G,5,0),"")</f>
        <v/>
      </c>
      <c r="E470" s="147" t="str">
        <f ca="1">IFERROR(IFERROR(IF(VLOOKUP($A470,'Шаг2.Бланк заказа NEW'!$B$17:$N$201,2,0)="","",VLOOKUP($A470,'Шаг2.Бланк заказа NEW'!$B$17:$N$201,2,0)),
IF(VLOOKUP($A470-COUNT('Шаг2.Бланк заказа NEW'!$B$19:$B$201),'Бланк OLD 0.8 04'!$B$12:$K$200,2,0)="","",VLOOKUP($A470-COUNT('Шаг2.Бланк заказа NEW'!$B$19:$B$201),'Бланк OLD 0.8 04'!$B$12:$K$200,2,0))),
IF(VLOOKUP($A470-COUNT('Шаг2.Бланк заказа NEW'!$B$19:$B$201)-COUNT('Бланк OLD 0.8 04'!$B$18:$B$200),'Бланк OLD 2.0 04 '!$B$16:$K$200,2,0)="","",VLOOKUP($A470-COUNT('Шаг2.Бланк заказа NEW'!$B$19:$B$201)-COUNT('Бланк OLD 0.8 04'!$B$18:$B$200),'Бланк OLD 2.0 04 '!$B$16:$K$200,2,0)))</f>
        <v/>
      </c>
      <c r="F470" s="147" t="str">
        <f ca="1">IFERROR(IFERROR(IF(VLOOKUP($A470,'Шаг2.Бланк заказа NEW'!$B$17:$N$201,3,0)="","",VLOOKUP($A470,'Шаг2.Бланк заказа NEW'!$B$17:$N$201,3,0)),
IF(VLOOKUP($A470-COUNT('Шаг2.Бланк заказа NEW'!$B$19:$B$201),'Бланк OLD 0.8 04'!$B$12:$K$200,3,0)="","",VLOOKUP($A470-COUNT('Шаг2.Бланк заказа NEW'!$B$19:$B$201),'Бланк OLD 0.8 04'!$B$12:$K$200,3,0))),
IF(VLOOKUP($A470-COUNT('Шаг2.Бланк заказа NEW'!$B$19:$B$201)-COUNT('Бланк OLD 0.8 04'!$B$18:$B$200),'Бланк OLD 2.0 04 '!$B$16:$K$200,3,0)="","",VLOOKUP($A470-COUNT('Шаг2.Бланк заказа NEW'!$B$19:$B$201)-COUNT('Бланк OLD 0.8 04'!$B$18:$B$200),'Бланк OLD 2.0 04 '!$B$16:$K$200,3,0)))</f>
        <v/>
      </c>
      <c r="G470" s="176" t="str">
        <f ca="1">IF(IF(R470="","",IF(R470=1,SUMIFS('Шаг1.Выбор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плиты'!C:Q,12,0)),1))))))=0,
R470,
IF(R470="","",IF(R470=1,SUMIFS('Шаг1.Выбор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плиты'!N:N,R470,'Шаг1.Выбор плиты'!M:M,SMALL(INDIRECT("мм"&amp;VLOOKUP(C470,'Шаг1.Выбор плиты'!C:Q,12,0)),1)))))))</f>
        <v/>
      </c>
      <c r="H470" s="177" t="str">
        <f ca="1">IF(IF(S470="","",IF(S470=1,SUMIFS('Шаг1.Выбор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плиты'!C:Q,12,0)),1))))))=0,
S470,
IF(S470="","",IF(S470=1,SUMIFS('Шаг1.Выбор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плиты'!N:N,S470,'Шаг1.Выбор плиты'!M:M,SMALL(INDIRECT("мм"&amp;VLOOKUP(C470,'Шаг1.Выбор плиты'!C:Q,12,0)),1)))))))</f>
        <v/>
      </c>
      <c r="I470" s="147" t="str">
        <f ca="1">IFERROR(IFERROR(IF(VLOOKUP($A470,'Шаг2.Бланк заказа NEW'!$B$17:$N$201,6,0)="","",VLOOKUP($A470,'Шаг2.Бланк заказа NEW'!$B$17:$N$201,6,0)),
IF(VLOOKUP($A470-COUNT('Шаг2.Бланк заказа NEW'!$B$19:$B$201),'Бланк OLD 0.8 04'!$B$12:$K$200,6,0)="","",VLOOKUP($A470-COUNT('Шаг2.Бланк заказа NEW'!$B$19:$B$201),'Бланк OLD 0.8 04'!$B$12:$K$200,6,0))),
IF(VLOOKUP($A470-COUNT('Шаг2.Бланк заказа NEW'!$B$19:$B$201)-COUNT('Бланк OLD 0.8 04'!$B$18:$B$200),'Бланк OLD 2.0 04 '!$B$16:$K$200,6,0)="","",VLOOKUP($A470-COUNT('Шаг2.Бланк заказа NEW'!$B$19:$B$201)-COUNT('Бланк OLD 0.8 04'!$B$18:$B$200),'Бланк OLD 2.0 04 '!$B$16:$K$200,6,0)))</f>
        <v/>
      </c>
      <c r="J470" s="177" t="str">
        <f ca="1">IF(IF(T470="","",IF(T470=1,SUMIFS('Шаг1.Выбор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плиты'!C:Q,12,0)),1))))))=0,
T470,
IF(T470="","",IF(T470=1,SUMIFS('Шаг1.Выбор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плиты'!N:N,T470,'Шаг1.Выбор плиты'!M:M,SMALL(INDIRECT("мм"&amp;VLOOKUP(C470,'Шаг1.Выбор плиты'!C:Q,12,0)),1)))))))</f>
        <v/>
      </c>
      <c r="K470" s="177" t="str">
        <f ca="1">IF(IF(U470="","",IF(U470=1,SUMIFS('Шаг1.Выбор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плиты'!C:Q,12,0)),1))))))=0,
U470,
IF(U470="","",IF(U470=1,SUMIFS('Шаг1.Выбор плиты'!$G:$G,'Шаг1.Выбор плиты'!J:J,"*"&amp;RIGHT(VLOOKUP(C470,'Шаг1.Выбор плиты'!C:Q,8,0),4),'Шаг1.Выбор плиты'!L:L,IF(MID(C470,1,6)="ЛДСП P","TM"&amp;MID(VLOOKUP(C470,'Шаг1.Выбор плиты'!C:Q,10,0),3,2),MID(VLOOKUP(C470,'Шаг1.Выбор плиты'!C:Q,10,0),1,2)),
'Шаг1.Выбор плиты'!N:N,1),IF(SUMIFS('Шаг1.Выбор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плиты'!C:Q,12,0)),1))=0,
IF(SUMIFS('Шаг1.Выбор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плиты'!C:Q,12,0)),2))=0,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плиты'!C:Q,12,0)),3)),
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плиты'!C:Q,12,0)),2))),
(SUMIFS('Шаг1.Выбор плиты'!$G:$G,'Шаг1.Выбор плиты'!J:J,"*"&amp;RIGHT(VLOOKUP(C470,'Шаг1.Выбор плиты'!C:Q,8,0),4),'Шаг1.Выбор плиты'!L:L,VLOOKUP(C470,'Шаг1.Выбор плиты'!C:Q,10,0),'Шаг1.Выбор плиты'!N:N,U470,'Шаг1.Выбор плиты'!M:M,SMALL(INDIRECT("мм"&amp;VLOOKUP(C470,'Шаг1.Выбор плиты'!C:Q,12,0)),1)))))))</f>
        <v/>
      </c>
      <c r="L470" s="147" t="str">
        <f ca="1">IFERROR(IFERROR(IF(VLOOKUP($A470,'Шаг2.Бланк заказа NEW'!$B$17:$N$201,9,0)="","",VLOOKUP($A470,'Шаг2.Бланк заказа NEW'!$B$17:$N$201,9,0)),
IF(VLOOKUP($A470-COUNT('Шаг2.Бланк заказа NEW'!$B$19:$B$201),'Бланк OLD 0.8 04'!$B$12:$K$200,9,0)="","",VLOOKUP($A470-COUNT('Шаг2.Бланк заказа NEW'!$B$19:$B$201),'Бланк OLD 0.8 04'!$B$12:$K$200,9,0))),
IF(VLOOKUP($A470-COUNT('Шаг2.Бланк заказа NEW'!$B$19:$B$201)-COUNT('Бланк OLD 0.8 04'!$B$18:$B$200),'Бланк OLD 2.0 04 '!$B$16:$K$200,9,0)="","",VLOOKUP($A470-COUNT('Шаг2.Бланк заказа NEW'!$B$19:$B$201)-COUNT('Бланк OLD 0.8 04'!$B$18:$B$200),'Бланк OLD 2.0 04 '!$B$16:$K$200,9,0)))</f>
        <v/>
      </c>
      <c r="M470" s="154" t="str">
        <f t="shared" ca="1" si="44"/>
        <v/>
      </c>
      <c r="N470" s="153" t="str">
        <f ca="1">IFERROR(IF(VLOOKUP($A470,'Шаг2.Бланк заказа NEW'!$B$17:$N$201,11,0)="","",VLOOKUP($A470,'Шаг2.Бланк заказа NEW'!$B$17:$N$201,11,0)),
"Нет")</f>
        <v/>
      </c>
      <c r="O470" s="147" t="str">
        <f ca="1">IFERROR(IF(VLOOKUP($A470,'Шаг2.Бланк заказа NEW'!$B$17:$N$201,11,0)="","",VLOOKUP($A470,'Шаг2.Бланк заказа NEW'!$B$17:$N$201,12,0)),
"Нет")</f>
        <v/>
      </c>
      <c r="P470" s="153" t="str">
        <f ca="1">IFERROR(IF(VLOOKUP($A470,'Шаг2.Бланк заказа NEW'!$B$17:$N$201,13,0)="","",VLOOKUP($A470,'Шаг2.Бланк заказа NEW'!$B$17:$N$201,13,0)),
"Нет")</f>
        <v/>
      </c>
      <c r="Q470" s="147" t="str">
        <f ca="1">IFERROR(IF(VLOOKUP($A470,'Шаг2.Бланк заказа NEW'!$B$17:$O$201,14,0)="","",VLOOKUP($A470,'Шаг2.Бланк заказа NEW'!$B$17:$O$201,14,0)),"")</f>
        <v/>
      </c>
      <c r="R470" s="147" t="str">
        <f ca="1">IFERROR(IFERROR(IF(VLOOKUP($A470,'Шаг2.Бланк заказа NEW'!$B$17:$N$201,4,0)="","",VLOOKUP($A470,'Шаг2.Бланк заказа NEW'!$B$17:$N$201,4,0)),
IF(VLOOKUP($A470-COUNT('Шаг2.Бланк заказа NEW'!$B$19:$B$201),'Бланк OLD 0.8 04'!$B$12:$K$200,4,0)&gt;0,0.8,
IF(VLOOKUP($A470-COUNT('Шаг2.Бланк заказа NEW'!$B$19:$B$201),'Бланк OLD 0.8 04'!$B$12:$K$200,5,0)&gt;0,0.4,""))),
IF(VLOOKUP($A470-COUNT('Шаг2.Бланк заказа NEW'!$B$19:$B$201)-COUNT('Бланк OLD 0.8 04'!$B$18:$B$200),'Бланк OLD 2.0 04 '!$B$16:$K$200,4,0)&gt;0,2,IF(VLOOKUP($A470-COUNT('Шаг2.Бланк заказа NEW'!$B$19:$B$201)-COUNT('Бланк OLD 0.8 04'!$B$18:$B$200),'Бланк OLD 2.0 04 '!$B$16:$K$200,5,0)&gt;0,0.4,"")))</f>
        <v/>
      </c>
      <c r="S470" s="147" t="str">
        <f ca="1">IFERROR(IFERROR(IF(VLOOKUP($A470,'Шаг2.Бланк заказа NEW'!$B$17:$N$201,5,0)="","",VLOOKUP($A470,'Шаг2.Бланк заказа NEW'!$B$17:$N$201,5,0)),
IF(VLOOKUP($A470-COUNT('Шаг2.Бланк заказа NEW'!$B$19:$B$201),'Бланк OLD 0.8 04'!$B$12:$K$200,4,0)&gt;1,0.8,
IF(VLOOKUP($A470-COUNT('Шаг2.Бланк заказа NEW'!$B$19:$B$201),'Бланк OLD 0.8 04'!$B$12:$K$200,5,0)&gt;1,0.4,
IF(AND(VLOOKUP($A470-COUNT('Шаг2.Бланк заказа NEW'!$B$19:$B$201),'Бланк OLD 0.8 04'!$B$12:$K$200,4,0)&gt;0,VLOOKUP($A470-COUNT('Шаг2.Бланк заказа NEW'!$B$19:$B$201),'Бланк OLD 0.8 04'!$B$12:$K$200,5,0)&gt;0),0.4,"")))),
IF(VLOOKUP($A470-COUNT('Шаг2.Бланк заказа NEW'!$B$19:$B$201)-COUNT('Бланк OLD 0.8 04'!$B$18:$B$200),'Бланк OLD 2.0 04 '!$B$16:$K$200,4,0)&gt;1,2,
IF(VLOOKUP($A470-COUNT('Шаг2.Бланк заказа NEW'!$B$19:$B$201)-COUNT('Бланк OLD 0.8 04'!$B$18:$B$200),'Бланк OLD 2.0 04 '!$B$16:$K$200,5,0)&gt;1,0.4,IF(AND(VLOOKUP($A470-COUNT('Шаг2.Бланк заказа NEW'!$B$19:$B$201)-COUNT('Бланк OLD 0.8 04'!$B$18:$B$200),'Бланк OLD 2.0 04 '!$B$16:$K$200,4,0)&gt;0,VLOOKUP($A470-COUNT('Шаг2.Бланк заказа NEW'!$B$19:$B$201)-COUNT('Бланк OLD 0.8 04'!$B$18:$B$200),'Бланк OLD 2.0 04 '!$B$16:$K$200,5,0)&gt;0),0.4,""))))</f>
        <v/>
      </c>
      <c r="T470" s="147" t="str">
        <f ca="1">IFERROR(IFERROR(IF(VLOOKUP($A470,'Шаг2.Бланк заказа NEW'!$B$17:$N$201,7,0)="","",VLOOKUP($A470,'Шаг2.Бланк заказа NEW'!$B$17:$N$201,7,0)),
IF(VLOOKUP($A470-COUNT('Шаг2.Бланк заказа NEW'!$B$19:$B$201),'Бланк OLD 0.8 04'!$B$12:$K$200,7,0)&gt;0,0.8,
IF(VLOOKUP($A470-COUNT('Шаг2.Бланк заказа NEW'!$B$19:$B$201),'Бланк OLD 0.8 04'!$B$12:$K$200,8,0)&gt;0,0.4,""))),
IF(VLOOKUP($A470-COUNT('Шаг2.Бланк заказа NEW'!$B$19:$B$201)-COUNT('Бланк OLD 0.8 04'!$B$18:$B$200),'Бланк OLD 2.0 04 '!$B$16:$K$200,7,0)&gt;0,2,IF(VLOOKUP($A470-COUNT('Шаг2.Бланк заказа NEW'!$B$19:$B$201)-COUNT('Бланк OLD 0.8 04'!$B$18:$B$200),'Бланк OLD 2.0 04 '!$B$16:$K$200,8,0)&gt;0,0.4,"")))</f>
        <v/>
      </c>
      <c r="U470" s="147" t="str">
        <f ca="1">IFERROR(IFERROR(IF(VLOOKUP($A470,'Шаг2.Бланк заказа NEW'!$B$17:$N$201,8,0)="","",VLOOKUP($A470,'Шаг2.Бланк заказа NEW'!$B$17:$N$201,8,0)),
IF(VLOOKUP($A470-COUNT('Шаг2.Бланк заказа NEW'!$B$19:$B$201),'Бланк OLD 0.8 04'!$B$12:$K$200,7,0)&gt;1,0.8,
IF(VLOOKUP($A470-COUNT('Шаг2.Бланк заказа NEW'!$B$19:$B$201),'Бланк OLD 0.8 04'!$B$12:$K$200,8,0)&gt;1,0.4,
IF(AND(VLOOKUP($A470-COUNT('Шаг2.Бланк заказа NEW'!$B$19:$B$201),'Бланк OLD 0.8 04'!$B$12:$K$200,7,0)&gt;0,VLOOKUP($A470-COUNT('Шаг2.Бланк заказа NEW'!$B$19:$B$201),'Бланк OLD 0.8 04'!$B$12:$K$200,8,0)&gt;0),0.4,"")))),
IF(VLOOKUP($A470-COUNT('Шаг2.Бланк заказа NEW'!$B$19:$B$201)-COUNT('Бланк OLD 0.8 04'!$B$18:$B$200),'Бланк OLD 2.0 04 '!$B$16:$K$200,7,0)&gt;1,2,
IF(VLOOKUP($A470-COUNT('Шаг2.Бланк заказа NEW'!$B$19:$B$201)-COUNT('Бланк OLD 0.8 04'!$B$18:$B$200),'Бланк OLD 2.0 04 '!$B$16:$K$200,8,0)&gt;1,0.4,
IF(AND(VLOOKUP($A470-COUNT('Шаг2.Бланк заказа NEW'!$B$19:$B$201)-COUNT('Бланк OLD 0.8 04'!$B$18:$B$200),'Бланк OLD 2.0 04 '!$B$16:$K$200,7,0)&gt;0,VLOOKUP($A470-COUNT('Шаг2.Бланк заказа NEW'!$B$19:$B$201)-COUNT('Бланк OLD 0.8 04'!$B$18:$B$200),'Бланк OLD 2.0 04 '!$B$16:$K$200,8,0)&gt;0),0.4,""))))</f>
        <v/>
      </c>
      <c r="V470" s="146" t="str">
        <f ca="1">IFERROR(VLOOKUP(C470,'Шаг1.Выбор плиты'!C:S,12,0),"")</f>
        <v/>
      </c>
      <c r="W470" s="146" t="str">
        <f ca="1">IFERROR(VLOOKUP(C470,'Шаг1.Выбор плиты'!C:S,8,0),"")</f>
        <v/>
      </c>
      <c r="X470" s="146" t="str">
        <f ca="1">IFERROR(VLOOKUP(C470,'Шаг1.Выбор плиты'!C:S,10,0),"")</f>
        <v/>
      </c>
      <c r="Y470" s="147" t="str">
        <f t="shared" ca="1" si="46"/>
        <v/>
      </c>
      <c r="AD470" s="147" t="str">
        <f t="shared" ca="1" si="42"/>
        <v/>
      </c>
      <c r="AE470" s="147" t="str">
        <f t="shared" ca="1" si="47"/>
        <v/>
      </c>
      <c r="AF470" s="25"/>
      <c r="AH470" s="147" t="str">
        <f ca="1">IF(C470="","",VLOOKUP(C470,'Шаг1.Выбор плиты'!C:Q,7,0))</f>
        <v/>
      </c>
      <c r="AI470" s="147" t="str">
        <f t="shared" ca="1" si="45"/>
        <v/>
      </c>
    </row>
    <row r="471" spans="1:35" x14ac:dyDescent="0.2">
      <c r="A471" s="151" t="str">
        <f ca="1">IF(C471="","",MAX($A$1:OFFSET(C471,-1,0))+1)</f>
        <v/>
      </c>
      <c r="B471" s="151" t="str">
        <f ca="1">IFERROR(IFERROR(IFERROR("Шаг2.Бланк заказа NEW №"&amp;VLOOKUP(A470+1,CHOOSE({1,2},'Шаг2.Бланк заказа NEW'!$B$19:$B$201,'Шаг2.Бланк заказа NEW'!$A$19:$A$201),1,0),
"Бланк OLD 0.8 04 №"&amp;VLOOKUP(A470+1-COUNT('Шаг2.Бланк заказа NEW'!$B$19:$B$201),CHOOSE({1,2},'Бланк OLD 0.8 04'!$B$18:$B$200,'Бланк OLD 0.8 04'!$A$18:$A$200),1,0)),
"Бланк OLD 2.0 04 №"&amp;VLOOKUP(A470+1-COUNT('Шаг2.Бланк заказа NEW'!$B$19:$B$201)-COUNT('Бланк OLD 0.8 04'!$B$18:$B$200),CHOOSE({1,2},'Бланк OLD 2.0 04 '!$B$18:$B$200,'Бланк OLD 2.0 04 '!$A$18:$A$200),1,0)),"")</f>
        <v/>
      </c>
      <c r="C471" s="152" t="str">
        <f ca="1">IFERROR(IFERROR(IFERROR(VLOOKUP(A470+1,CHOOSE({1,2},'Шаг2.Бланк заказа NEW'!$B$19:$B$201,'Шаг2.Бланк заказа NEW'!$A$19:$A$201),2,0),
VLOOKUP(A470+1-COUNT('Шаг2.Бланк заказа NEW'!$B$19:$B$201),CHOOSE({1,2},'Бланк OLD 0.8 04'!$B$18:$B$200,'Бланк OLD 0.8 04'!$A$18:$A$200),2,0)),
VLOOKUP(A470+1-COUNT('Шаг2.Бланк заказа NEW'!$B$19:$B$201)-COUNT('Бланк OLD 0.8 04'!$B$18:$B$200),CHOOSE({1,2},'Бланк OLD 2.0 04 '!$B$18:$B$200,'Бланк OLD 2.0 04 '!$A$18:$A$200),2,0)),"")</f>
        <v/>
      </c>
      <c r="D471" s="150" t="str">
        <f ca="1">IFERROR(VLOOKUP(C471,'Шаг1.Выбор плиты'!C:G,5,0),"")</f>
        <v/>
      </c>
      <c r="E471" s="147" t="str">
        <f ca="1">IFERROR(IFERROR(IF(VLOOKUP($A471,'Шаг2.Бланк заказа NEW'!$B$17:$N$201,2,0)="","",VLOOKUP($A471,'Шаг2.Бланк заказа NEW'!$B$17:$N$201,2,0)),
IF(VLOOKUP($A471-COUNT('Шаг2.Бланк заказа NEW'!$B$19:$B$201),'Бланк OLD 0.8 04'!$B$12:$K$200,2,0)="","",VLOOKUP($A471-COUNT('Шаг2.Бланк заказа NEW'!$B$19:$B$201),'Бланк OLD 0.8 04'!$B$12:$K$200,2,0))),
IF(VLOOKUP($A471-COUNT('Шаг2.Бланк заказа NEW'!$B$19:$B$201)-COUNT('Бланк OLD 0.8 04'!$B$18:$B$200),'Бланк OLD 2.0 04 '!$B$16:$K$200,2,0)="","",VLOOKUP($A471-COUNT('Шаг2.Бланк заказа NEW'!$B$19:$B$201)-COUNT('Бланк OLD 0.8 04'!$B$18:$B$200),'Бланк OLD 2.0 04 '!$B$16:$K$200,2,0)))</f>
        <v/>
      </c>
      <c r="F471" s="147" t="str">
        <f ca="1">IFERROR(IFERROR(IF(VLOOKUP($A471,'Шаг2.Бланк заказа NEW'!$B$17:$N$201,3,0)="","",VLOOKUP($A471,'Шаг2.Бланк заказа NEW'!$B$17:$N$201,3,0)),
IF(VLOOKUP($A471-COUNT('Шаг2.Бланк заказа NEW'!$B$19:$B$201),'Бланк OLD 0.8 04'!$B$12:$K$200,3,0)="","",VLOOKUP($A471-COUNT('Шаг2.Бланк заказа NEW'!$B$19:$B$201),'Бланк OLD 0.8 04'!$B$12:$K$200,3,0))),
IF(VLOOKUP($A471-COUNT('Шаг2.Бланк заказа NEW'!$B$19:$B$201)-COUNT('Бланк OLD 0.8 04'!$B$18:$B$200),'Бланк OLD 2.0 04 '!$B$16:$K$200,3,0)="","",VLOOKUP($A471-COUNT('Шаг2.Бланк заказа NEW'!$B$19:$B$201)-COUNT('Бланк OLD 0.8 04'!$B$18:$B$200),'Бланк OLD 2.0 04 '!$B$16:$K$200,3,0)))</f>
        <v/>
      </c>
      <c r="G471" s="176" t="str">
        <f ca="1">IF(IF(R471="","",IF(R471=1,SUMIFS('Шаг1.Выбор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плиты'!C:Q,12,0)),1))))))=0,
R471,
IF(R471="","",IF(R471=1,SUMIFS('Шаг1.Выбор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плиты'!N:N,R471,'Шаг1.Выбор плиты'!M:M,SMALL(INDIRECT("мм"&amp;VLOOKUP(C471,'Шаг1.Выбор плиты'!C:Q,12,0)),1)))))))</f>
        <v/>
      </c>
      <c r="H471" s="177" t="str">
        <f ca="1">IF(IF(S471="","",IF(S471=1,SUMIFS('Шаг1.Выбор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плиты'!C:Q,12,0)),1))))))=0,
S471,
IF(S471="","",IF(S471=1,SUMIFS('Шаг1.Выбор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плиты'!N:N,S471,'Шаг1.Выбор плиты'!M:M,SMALL(INDIRECT("мм"&amp;VLOOKUP(C471,'Шаг1.Выбор плиты'!C:Q,12,0)),1)))))))</f>
        <v/>
      </c>
      <c r="I471" s="147" t="str">
        <f ca="1">IFERROR(IFERROR(IF(VLOOKUP($A471,'Шаг2.Бланк заказа NEW'!$B$17:$N$201,6,0)="","",VLOOKUP($A471,'Шаг2.Бланк заказа NEW'!$B$17:$N$201,6,0)),
IF(VLOOKUP($A471-COUNT('Шаг2.Бланк заказа NEW'!$B$19:$B$201),'Бланк OLD 0.8 04'!$B$12:$K$200,6,0)="","",VLOOKUP($A471-COUNT('Шаг2.Бланк заказа NEW'!$B$19:$B$201),'Бланк OLD 0.8 04'!$B$12:$K$200,6,0))),
IF(VLOOKUP($A471-COUNT('Шаг2.Бланк заказа NEW'!$B$19:$B$201)-COUNT('Бланк OLD 0.8 04'!$B$18:$B$200),'Бланк OLD 2.0 04 '!$B$16:$K$200,6,0)="","",VLOOKUP($A471-COUNT('Шаг2.Бланк заказа NEW'!$B$19:$B$201)-COUNT('Бланк OLD 0.8 04'!$B$18:$B$200),'Бланк OLD 2.0 04 '!$B$16:$K$200,6,0)))</f>
        <v/>
      </c>
      <c r="J471" s="177" t="str">
        <f ca="1">IF(IF(T471="","",IF(T471=1,SUMIFS('Шаг1.Выбор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плиты'!C:Q,12,0)),1))))))=0,
T471,
IF(T471="","",IF(T471=1,SUMIFS('Шаг1.Выбор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плиты'!N:N,T471,'Шаг1.Выбор плиты'!M:M,SMALL(INDIRECT("мм"&amp;VLOOKUP(C471,'Шаг1.Выбор плиты'!C:Q,12,0)),1)))))))</f>
        <v/>
      </c>
      <c r="K471" s="177" t="str">
        <f ca="1">IF(IF(U471="","",IF(U471=1,SUMIFS('Шаг1.Выбор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плиты'!C:Q,12,0)),1))))))=0,
U471,
IF(U471="","",IF(U471=1,SUMIFS('Шаг1.Выбор плиты'!$G:$G,'Шаг1.Выбор плиты'!J:J,"*"&amp;RIGHT(VLOOKUP(C471,'Шаг1.Выбор плиты'!C:Q,8,0),4),'Шаг1.Выбор плиты'!L:L,IF(MID(C471,1,6)="ЛДСП P","TM"&amp;MID(VLOOKUP(C471,'Шаг1.Выбор плиты'!C:Q,10,0),3,2),MID(VLOOKUP(C471,'Шаг1.Выбор плиты'!C:Q,10,0),1,2)),
'Шаг1.Выбор плиты'!N:N,1),IF(SUMIFS('Шаг1.Выбор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плиты'!C:Q,12,0)),1))=0,
IF(SUMIFS('Шаг1.Выбор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плиты'!C:Q,12,0)),2))=0,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плиты'!C:Q,12,0)),3)),
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плиты'!C:Q,12,0)),2))),
(SUMIFS('Шаг1.Выбор плиты'!$G:$G,'Шаг1.Выбор плиты'!J:J,"*"&amp;RIGHT(VLOOKUP(C471,'Шаг1.Выбор плиты'!C:Q,8,0),4),'Шаг1.Выбор плиты'!L:L,VLOOKUP(C471,'Шаг1.Выбор плиты'!C:Q,10,0),'Шаг1.Выбор плиты'!N:N,U471,'Шаг1.Выбор плиты'!M:M,SMALL(INDIRECT("мм"&amp;VLOOKUP(C471,'Шаг1.Выбор плиты'!C:Q,12,0)),1)))))))</f>
        <v/>
      </c>
      <c r="L471" s="147" t="str">
        <f ca="1">IFERROR(IFERROR(IF(VLOOKUP($A471,'Шаг2.Бланк заказа NEW'!$B$17:$N$201,9,0)="","",VLOOKUP($A471,'Шаг2.Бланк заказа NEW'!$B$17:$N$201,9,0)),
IF(VLOOKUP($A471-COUNT('Шаг2.Бланк заказа NEW'!$B$19:$B$201),'Бланк OLD 0.8 04'!$B$12:$K$200,9,0)="","",VLOOKUP($A471-COUNT('Шаг2.Бланк заказа NEW'!$B$19:$B$201),'Бланк OLD 0.8 04'!$B$12:$K$200,9,0))),
IF(VLOOKUP($A471-COUNT('Шаг2.Бланк заказа NEW'!$B$19:$B$201)-COUNT('Бланк OLD 0.8 04'!$B$18:$B$200),'Бланк OLD 2.0 04 '!$B$16:$K$200,9,0)="","",VLOOKUP($A471-COUNT('Шаг2.Бланк заказа NEW'!$B$19:$B$201)-COUNT('Бланк OLD 0.8 04'!$B$18:$B$200),'Бланк OLD 2.0 04 '!$B$16:$K$200,9,0)))</f>
        <v/>
      </c>
      <c r="M471" s="154" t="str">
        <f t="shared" ca="1" si="44"/>
        <v/>
      </c>
      <c r="N471" s="153" t="str">
        <f ca="1">IFERROR(IF(VLOOKUP($A471,'Шаг2.Бланк заказа NEW'!$B$17:$N$201,11,0)="","",VLOOKUP($A471,'Шаг2.Бланк заказа NEW'!$B$17:$N$201,11,0)),
"Нет")</f>
        <v/>
      </c>
      <c r="O471" s="147" t="str">
        <f ca="1">IFERROR(IF(VLOOKUP($A471,'Шаг2.Бланк заказа NEW'!$B$17:$N$201,11,0)="","",VLOOKUP($A471,'Шаг2.Бланк заказа NEW'!$B$17:$N$201,12,0)),
"Нет")</f>
        <v/>
      </c>
      <c r="P471" s="153" t="str">
        <f ca="1">IFERROR(IF(VLOOKUP($A471,'Шаг2.Бланк заказа NEW'!$B$17:$N$201,13,0)="","",VLOOKUP($A471,'Шаг2.Бланк заказа NEW'!$B$17:$N$201,13,0)),
"Нет")</f>
        <v/>
      </c>
      <c r="Q471" s="147" t="str">
        <f ca="1">IFERROR(IF(VLOOKUP($A471,'Шаг2.Бланк заказа NEW'!$B$17:$O$201,14,0)="","",VLOOKUP($A471,'Шаг2.Бланк заказа NEW'!$B$17:$O$201,14,0)),"")</f>
        <v/>
      </c>
      <c r="R471" s="147" t="str">
        <f ca="1">IFERROR(IFERROR(IF(VLOOKUP($A471,'Шаг2.Бланк заказа NEW'!$B$17:$N$201,4,0)="","",VLOOKUP($A471,'Шаг2.Бланк заказа NEW'!$B$17:$N$201,4,0)),
IF(VLOOKUP($A471-COUNT('Шаг2.Бланк заказа NEW'!$B$19:$B$201),'Бланк OLD 0.8 04'!$B$12:$K$200,4,0)&gt;0,0.8,
IF(VLOOKUP($A471-COUNT('Шаг2.Бланк заказа NEW'!$B$19:$B$201),'Бланк OLD 0.8 04'!$B$12:$K$200,5,0)&gt;0,0.4,""))),
IF(VLOOKUP($A471-COUNT('Шаг2.Бланк заказа NEW'!$B$19:$B$201)-COUNT('Бланк OLD 0.8 04'!$B$18:$B$200),'Бланк OLD 2.0 04 '!$B$16:$K$200,4,0)&gt;0,2,IF(VLOOKUP($A471-COUNT('Шаг2.Бланк заказа NEW'!$B$19:$B$201)-COUNT('Бланк OLD 0.8 04'!$B$18:$B$200),'Бланк OLD 2.0 04 '!$B$16:$K$200,5,0)&gt;0,0.4,"")))</f>
        <v/>
      </c>
      <c r="S471" s="147" t="str">
        <f ca="1">IFERROR(IFERROR(IF(VLOOKUP($A471,'Шаг2.Бланк заказа NEW'!$B$17:$N$201,5,0)="","",VLOOKUP($A471,'Шаг2.Бланк заказа NEW'!$B$17:$N$201,5,0)),
IF(VLOOKUP($A471-COUNT('Шаг2.Бланк заказа NEW'!$B$19:$B$201),'Бланк OLD 0.8 04'!$B$12:$K$200,4,0)&gt;1,0.8,
IF(VLOOKUP($A471-COUNT('Шаг2.Бланк заказа NEW'!$B$19:$B$201),'Бланк OLD 0.8 04'!$B$12:$K$200,5,0)&gt;1,0.4,
IF(AND(VLOOKUP($A471-COUNT('Шаг2.Бланк заказа NEW'!$B$19:$B$201),'Бланк OLD 0.8 04'!$B$12:$K$200,4,0)&gt;0,VLOOKUP($A471-COUNT('Шаг2.Бланк заказа NEW'!$B$19:$B$201),'Бланк OLD 0.8 04'!$B$12:$K$200,5,0)&gt;0),0.4,"")))),
IF(VLOOKUP($A471-COUNT('Шаг2.Бланк заказа NEW'!$B$19:$B$201)-COUNT('Бланк OLD 0.8 04'!$B$18:$B$200),'Бланк OLD 2.0 04 '!$B$16:$K$200,4,0)&gt;1,2,
IF(VLOOKUP($A471-COUNT('Шаг2.Бланк заказа NEW'!$B$19:$B$201)-COUNT('Бланк OLD 0.8 04'!$B$18:$B$200),'Бланк OLD 2.0 04 '!$B$16:$K$200,5,0)&gt;1,0.4,IF(AND(VLOOKUP($A471-COUNT('Шаг2.Бланк заказа NEW'!$B$19:$B$201)-COUNT('Бланк OLD 0.8 04'!$B$18:$B$200),'Бланк OLD 2.0 04 '!$B$16:$K$200,4,0)&gt;0,VLOOKUP($A471-COUNT('Шаг2.Бланк заказа NEW'!$B$19:$B$201)-COUNT('Бланк OLD 0.8 04'!$B$18:$B$200),'Бланк OLD 2.0 04 '!$B$16:$K$200,5,0)&gt;0),0.4,""))))</f>
        <v/>
      </c>
      <c r="T471" s="147" t="str">
        <f ca="1">IFERROR(IFERROR(IF(VLOOKUP($A471,'Шаг2.Бланк заказа NEW'!$B$17:$N$201,7,0)="","",VLOOKUP($A471,'Шаг2.Бланк заказа NEW'!$B$17:$N$201,7,0)),
IF(VLOOKUP($A471-COUNT('Шаг2.Бланк заказа NEW'!$B$19:$B$201),'Бланк OLD 0.8 04'!$B$12:$K$200,7,0)&gt;0,0.8,
IF(VLOOKUP($A471-COUNT('Шаг2.Бланк заказа NEW'!$B$19:$B$201),'Бланк OLD 0.8 04'!$B$12:$K$200,8,0)&gt;0,0.4,""))),
IF(VLOOKUP($A471-COUNT('Шаг2.Бланк заказа NEW'!$B$19:$B$201)-COUNT('Бланк OLD 0.8 04'!$B$18:$B$200),'Бланк OLD 2.0 04 '!$B$16:$K$200,7,0)&gt;0,2,IF(VLOOKUP($A471-COUNT('Шаг2.Бланк заказа NEW'!$B$19:$B$201)-COUNT('Бланк OLD 0.8 04'!$B$18:$B$200),'Бланк OLD 2.0 04 '!$B$16:$K$200,8,0)&gt;0,0.4,"")))</f>
        <v/>
      </c>
      <c r="U471" s="147" t="str">
        <f ca="1">IFERROR(IFERROR(IF(VLOOKUP($A471,'Шаг2.Бланк заказа NEW'!$B$17:$N$201,8,0)="","",VLOOKUP($A471,'Шаг2.Бланк заказа NEW'!$B$17:$N$201,8,0)),
IF(VLOOKUP($A471-COUNT('Шаг2.Бланк заказа NEW'!$B$19:$B$201),'Бланк OLD 0.8 04'!$B$12:$K$200,7,0)&gt;1,0.8,
IF(VLOOKUP($A471-COUNT('Шаг2.Бланк заказа NEW'!$B$19:$B$201),'Бланк OLD 0.8 04'!$B$12:$K$200,8,0)&gt;1,0.4,
IF(AND(VLOOKUP($A471-COUNT('Шаг2.Бланк заказа NEW'!$B$19:$B$201),'Бланк OLD 0.8 04'!$B$12:$K$200,7,0)&gt;0,VLOOKUP($A471-COUNT('Шаг2.Бланк заказа NEW'!$B$19:$B$201),'Бланк OLD 0.8 04'!$B$12:$K$200,8,0)&gt;0),0.4,"")))),
IF(VLOOKUP($A471-COUNT('Шаг2.Бланк заказа NEW'!$B$19:$B$201)-COUNT('Бланк OLD 0.8 04'!$B$18:$B$200),'Бланк OLD 2.0 04 '!$B$16:$K$200,7,0)&gt;1,2,
IF(VLOOKUP($A471-COUNT('Шаг2.Бланк заказа NEW'!$B$19:$B$201)-COUNT('Бланк OLD 0.8 04'!$B$18:$B$200),'Бланк OLD 2.0 04 '!$B$16:$K$200,8,0)&gt;1,0.4,
IF(AND(VLOOKUP($A471-COUNT('Шаг2.Бланк заказа NEW'!$B$19:$B$201)-COUNT('Бланк OLD 0.8 04'!$B$18:$B$200),'Бланк OLD 2.0 04 '!$B$16:$K$200,7,0)&gt;0,VLOOKUP($A471-COUNT('Шаг2.Бланк заказа NEW'!$B$19:$B$201)-COUNT('Бланк OLD 0.8 04'!$B$18:$B$200),'Бланк OLD 2.0 04 '!$B$16:$K$200,8,0)&gt;0),0.4,""))))</f>
        <v/>
      </c>
      <c r="V471" s="146" t="str">
        <f ca="1">IFERROR(VLOOKUP(C471,'Шаг1.Выбор плиты'!C:S,12,0),"")</f>
        <v/>
      </c>
      <c r="W471" s="146" t="str">
        <f ca="1">IFERROR(VLOOKUP(C471,'Шаг1.Выбор плиты'!C:S,8,0),"")</f>
        <v/>
      </c>
      <c r="X471" s="146" t="str">
        <f ca="1">IFERROR(VLOOKUP(C471,'Шаг1.Выбор плиты'!C:S,10,0),"")</f>
        <v/>
      </c>
      <c r="Y471" s="147" t="str">
        <f t="shared" ca="1" si="46"/>
        <v/>
      </c>
      <c r="AD471" s="147" t="str">
        <f t="shared" ca="1" si="42"/>
        <v/>
      </c>
      <c r="AE471" s="147" t="str">
        <f t="shared" ca="1" si="47"/>
        <v/>
      </c>
      <c r="AF471" s="25"/>
      <c r="AH471" s="147" t="str">
        <f ca="1">IF(C471="","",VLOOKUP(C471,'Шаг1.Выбор плиты'!C:Q,7,0))</f>
        <v/>
      </c>
      <c r="AI471" s="147" t="str">
        <f t="shared" ca="1" si="45"/>
        <v/>
      </c>
    </row>
    <row r="472" spans="1:35" x14ac:dyDescent="0.2">
      <c r="A472" s="151" t="str">
        <f ca="1">IF(C472="","",MAX($A$1:OFFSET(C472,-1,0))+1)</f>
        <v/>
      </c>
      <c r="B472" s="151" t="str">
        <f ca="1">IFERROR(IFERROR(IFERROR("Шаг2.Бланк заказа NEW №"&amp;VLOOKUP(A471+1,CHOOSE({1,2},'Шаг2.Бланк заказа NEW'!$B$19:$B$201,'Шаг2.Бланк заказа NEW'!$A$19:$A$201),1,0),
"Бланк OLD 0.8 04 №"&amp;VLOOKUP(A471+1-COUNT('Шаг2.Бланк заказа NEW'!$B$19:$B$201),CHOOSE({1,2},'Бланк OLD 0.8 04'!$B$18:$B$200,'Бланк OLD 0.8 04'!$A$18:$A$200),1,0)),
"Бланк OLD 2.0 04 №"&amp;VLOOKUP(A471+1-COUNT('Шаг2.Бланк заказа NEW'!$B$19:$B$201)-COUNT('Бланк OLD 0.8 04'!$B$18:$B$200),CHOOSE({1,2},'Бланк OLD 2.0 04 '!$B$18:$B$200,'Бланк OLD 2.0 04 '!$A$18:$A$200),1,0)),"")</f>
        <v/>
      </c>
      <c r="C472" s="152" t="str">
        <f ca="1">IFERROR(IFERROR(IFERROR(VLOOKUP(A471+1,CHOOSE({1,2},'Шаг2.Бланк заказа NEW'!$B$19:$B$201,'Шаг2.Бланк заказа NEW'!$A$19:$A$201),2,0),
VLOOKUP(A471+1-COUNT('Шаг2.Бланк заказа NEW'!$B$19:$B$201),CHOOSE({1,2},'Бланк OLD 0.8 04'!$B$18:$B$200,'Бланк OLD 0.8 04'!$A$18:$A$200),2,0)),
VLOOKUP(A471+1-COUNT('Шаг2.Бланк заказа NEW'!$B$19:$B$201)-COUNT('Бланк OLD 0.8 04'!$B$18:$B$200),CHOOSE({1,2},'Бланк OLD 2.0 04 '!$B$18:$B$200,'Бланк OLD 2.0 04 '!$A$18:$A$200),2,0)),"")</f>
        <v/>
      </c>
      <c r="D472" s="150" t="str">
        <f ca="1">IFERROR(VLOOKUP(C472,'Шаг1.Выбор плиты'!C:G,5,0),"")</f>
        <v/>
      </c>
      <c r="E472" s="147" t="str">
        <f ca="1">IFERROR(IFERROR(IF(VLOOKUP($A472,'Шаг2.Бланк заказа NEW'!$B$17:$N$201,2,0)="","",VLOOKUP($A472,'Шаг2.Бланк заказа NEW'!$B$17:$N$201,2,0)),
IF(VLOOKUP($A472-COUNT('Шаг2.Бланк заказа NEW'!$B$19:$B$201),'Бланк OLD 0.8 04'!$B$12:$K$200,2,0)="","",VLOOKUP($A472-COUNT('Шаг2.Бланк заказа NEW'!$B$19:$B$201),'Бланк OLD 0.8 04'!$B$12:$K$200,2,0))),
IF(VLOOKUP($A472-COUNT('Шаг2.Бланк заказа NEW'!$B$19:$B$201)-COUNT('Бланк OLD 0.8 04'!$B$18:$B$200),'Бланк OLD 2.0 04 '!$B$16:$K$200,2,0)="","",VLOOKUP($A472-COUNT('Шаг2.Бланк заказа NEW'!$B$19:$B$201)-COUNT('Бланк OLD 0.8 04'!$B$18:$B$200),'Бланк OLD 2.0 04 '!$B$16:$K$200,2,0)))</f>
        <v/>
      </c>
      <c r="F472" s="147" t="str">
        <f ca="1">IFERROR(IFERROR(IF(VLOOKUP($A472,'Шаг2.Бланк заказа NEW'!$B$17:$N$201,3,0)="","",VLOOKUP($A472,'Шаг2.Бланк заказа NEW'!$B$17:$N$201,3,0)),
IF(VLOOKUP($A472-COUNT('Шаг2.Бланк заказа NEW'!$B$19:$B$201),'Бланк OLD 0.8 04'!$B$12:$K$200,3,0)="","",VLOOKUP($A472-COUNT('Шаг2.Бланк заказа NEW'!$B$19:$B$201),'Бланк OLD 0.8 04'!$B$12:$K$200,3,0))),
IF(VLOOKUP($A472-COUNT('Шаг2.Бланк заказа NEW'!$B$19:$B$201)-COUNT('Бланк OLD 0.8 04'!$B$18:$B$200),'Бланк OLD 2.0 04 '!$B$16:$K$200,3,0)="","",VLOOKUP($A472-COUNT('Шаг2.Бланк заказа NEW'!$B$19:$B$201)-COUNT('Бланк OLD 0.8 04'!$B$18:$B$200),'Бланк OLD 2.0 04 '!$B$16:$K$200,3,0)))</f>
        <v/>
      </c>
      <c r="G472" s="176" t="str">
        <f ca="1">IF(IF(R472="","",IF(R472=1,SUMIFS('Шаг1.Выбор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плиты'!C:Q,12,0)),1))))))=0,
R472,
IF(R472="","",IF(R472=1,SUMIFS('Шаг1.Выбор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плиты'!N:N,R472,'Шаг1.Выбор плиты'!M:M,SMALL(INDIRECT("мм"&amp;VLOOKUP(C472,'Шаг1.Выбор плиты'!C:Q,12,0)),1)))))))</f>
        <v/>
      </c>
      <c r="H472" s="177" t="str">
        <f ca="1">IF(IF(S472="","",IF(S472=1,SUMIFS('Шаг1.Выбор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плиты'!C:Q,12,0)),1))))))=0,
S472,
IF(S472="","",IF(S472=1,SUMIFS('Шаг1.Выбор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плиты'!N:N,S472,'Шаг1.Выбор плиты'!M:M,SMALL(INDIRECT("мм"&amp;VLOOKUP(C472,'Шаг1.Выбор плиты'!C:Q,12,0)),1)))))))</f>
        <v/>
      </c>
      <c r="I472" s="147" t="str">
        <f ca="1">IFERROR(IFERROR(IF(VLOOKUP($A472,'Шаг2.Бланк заказа NEW'!$B$17:$N$201,6,0)="","",VLOOKUP($A472,'Шаг2.Бланк заказа NEW'!$B$17:$N$201,6,0)),
IF(VLOOKUP($A472-COUNT('Шаг2.Бланк заказа NEW'!$B$19:$B$201),'Бланк OLD 0.8 04'!$B$12:$K$200,6,0)="","",VLOOKUP($A472-COUNT('Шаг2.Бланк заказа NEW'!$B$19:$B$201),'Бланк OLD 0.8 04'!$B$12:$K$200,6,0))),
IF(VLOOKUP($A472-COUNT('Шаг2.Бланк заказа NEW'!$B$19:$B$201)-COUNT('Бланк OLD 0.8 04'!$B$18:$B$200),'Бланк OLD 2.0 04 '!$B$16:$K$200,6,0)="","",VLOOKUP($A472-COUNT('Шаг2.Бланк заказа NEW'!$B$19:$B$201)-COUNT('Бланк OLD 0.8 04'!$B$18:$B$200),'Бланк OLD 2.0 04 '!$B$16:$K$200,6,0)))</f>
        <v/>
      </c>
      <c r="J472" s="177" t="str">
        <f ca="1">IF(IF(T472="","",IF(T472=1,SUMIFS('Шаг1.Выбор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плиты'!C:Q,12,0)),1))))))=0,
T472,
IF(T472="","",IF(T472=1,SUMIFS('Шаг1.Выбор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плиты'!N:N,T472,'Шаг1.Выбор плиты'!M:M,SMALL(INDIRECT("мм"&amp;VLOOKUP(C472,'Шаг1.Выбор плиты'!C:Q,12,0)),1)))))))</f>
        <v/>
      </c>
      <c r="K472" s="177" t="str">
        <f ca="1">IF(IF(U472="","",IF(U472=1,SUMIFS('Шаг1.Выбор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плиты'!C:Q,12,0)),1))))))=0,
U472,
IF(U472="","",IF(U472=1,SUMIFS('Шаг1.Выбор плиты'!$G:$G,'Шаг1.Выбор плиты'!J:J,"*"&amp;RIGHT(VLOOKUP(C472,'Шаг1.Выбор плиты'!C:Q,8,0),4),'Шаг1.Выбор плиты'!L:L,IF(MID(C472,1,6)="ЛДСП P","TM"&amp;MID(VLOOKUP(C472,'Шаг1.Выбор плиты'!C:Q,10,0),3,2),MID(VLOOKUP(C472,'Шаг1.Выбор плиты'!C:Q,10,0),1,2)),
'Шаг1.Выбор плиты'!N:N,1),IF(SUMIFS('Шаг1.Выбор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плиты'!C:Q,12,0)),1))=0,
IF(SUMIFS('Шаг1.Выбор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плиты'!C:Q,12,0)),2))=0,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плиты'!C:Q,12,0)),3)),
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плиты'!C:Q,12,0)),2))),
(SUMIFS('Шаг1.Выбор плиты'!$G:$G,'Шаг1.Выбор плиты'!J:J,"*"&amp;RIGHT(VLOOKUP(C472,'Шаг1.Выбор плиты'!C:Q,8,0),4),'Шаг1.Выбор плиты'!L:L,VLOOKUP(C472,'Шаг1.Выбор плиты'!C:Q,10,0),'Шаг1.Выбор плиты'!N:N,U472,'Шаг1.Выбор плиты'!M:M,SMALL(INDIRECT("мм"&amp;VLOOKUP(C472,'Шаг1.Выбор плиты'!C:Q,12,0)),1)))))))</f>
        <v/>
      </c>
      <c r="L472" s="147" t="str">
        <f ca="1">IFERROR(IFERROR(IF(VLOOKUP($A472,'Шаг2.Бланк заказа NEW'!$B$17:$N$201,9,0)="","",VLOOKUP($A472,'Шаг2.Бланк заказа NEW'!$B$17:$N$201,9,0)),
IF(VLOOKUP($A472-COUNT('Шаг2.Бланк заказа NEW'!$B$19:$B$201),'Бланк OLD 0.8 04'!$B$12:$K$200,9,0)="","",VLOOKUP($A472-COUNT('Шаг2.Бланк заказа NEW'!$B$19:$B$201),'Бланк OLD 0.8 04'!$B$12:$K$200,9,0))),
IF(VLOOKUP($A472-COUNT('Шаг2.Бланк заказа NEW'!$B$19:$B$201)-COUNT('Бланк OLD 0.8 04'!$B$18:$B$200),'Бланк OLD 2.0 04 '!$B$16:$K$200,9,0)="","",VLOOKUP($A472-COUNT('Шаг2.Бланк заказа NEW'!$B$19:$B$201)-COUNT('Бланк OLD 0.8 04'!$B$18:$B$200),'Бланк OLD 2.0 04 '!$B$16:$K$200,9,0)))</f>
        <v/>
      </c>
      <c r="M472" s="154" t="str">
        <f t="shared" ca="1" si="44"/>
        <v/>
      </c>
      <c r="N472" s="153" t="str">
        <f ca="1">IFERROR(IF(VLOOKUP($A472,'Шаг2.Бланк заказа NEW'!$B$17:$N$201,11,0)="","",VLOOKUP($A472,'Шаг2.Бланк заказа NEW'!$B$17:$N$201,11,0)),
"Нет")</f>
        <v/>
      </c>
      <c r="O472" s="147" t="str">
        <f ca="1">IFERROR(IF(VLOOKUP($A472,'Шаг2.Бланк заказа NEW'!$B$17:$N$201,11,0)="","",VLOOKUP($A472,'Шаг2.Бланк заказа NEW'!$B$17:$N$201,12,0)),
"Нет")</f>
        <v/>
      </c>
      <c r="P472" s="153" t="str">
        <f ca="1">IFERROR(IF(VLOOKUP($A472,'Шаг2.Бланк заказа NEW'!$B$17:$N$201,13,0)="","",VLOOKUP($A472,'Шаг2.Бланк заказа NEW'!$B$17:$N$201,13,0)),
"Нет")</f>
        <v/>
      </c>
      <c r="Q472" s="147" t="str">
        <f ca="1">IFERROR(IF(VLOOKUP($A472,'Шаг2.Бланк заказа NEW'!$B$17:$O$201,14,0)="","",VLOOKUP($A472,'Шаг2.Бланк заказа NEW'!$B$17:$O$201,14,0)),"")</f>
        <v/>
      </c>
      <c r="R472" s="147" t="str">
        <f ca="1">IFERROR(IFERROR(IF(VLOOKUP($A472,'Шаг2.Бланк заказа NEW'!$B$17:$N$201,4,0)="","",VLOOKUP($A472,'Шаг2.Бланк заказа NEW'!$B$17:$N$201,4,0)),
IF(VLOOKUP($A472-COUNT('Шаг2.Бланк заказа NEW'!$B$19:$B$201),'Бланк OLD 0.8 04'!$B$12:$K$200,4,0)&gt;0,0.8,
IF(VLOOKUP($A472-COUNT('Шаг2.Бланк заказа NEW'!$B$19:$B$201),'Бланк OLD 0.8 04'!$B$12:$K$200,5,0)&gt;0,0.4,""))),
IF(VLOOKUP($A472-COUNT('Шаг2.Бланк заказа NEW'!$B$19:$B$201)-COUNT('Бланк OLD 0.8 04'!$B$18:$B$200),'Бланк OLD 2.0 04 '!$B$16:$K$200,4,0)&gt;0,2,IF(VLOOKUP($A472-COUNT('Шаг2.Бланк заказа NEW'!$B$19:$B$201)-COUNT('Бланк OLD 0.8 04'!$B$18:$B$200),'Бланк OLD 2.0 04 '!$B$16:$K$200,5,0)&gt;0,0.4,"")))</f>
        <v/>
      </c>
      <c r="S472" s="147" t="str">
        <f ca="1">IFERROR(IFERROR(IF(VLOOKUP($A472,'Шаг2.Бланк заказа NEW'!$B$17:$N$201,5,0)="","",VLOOKUP($A472,'Шаг2.Бланк заказа NEW'!$B$17:$N$201,5,0)),
IF(VLOOKUP($A472-COUNT('Шаг2.Бланк заказа NEW'!$B$19:$B$201),'Бланк OLD 0.8 04'!$B$12:$K$200,4,0)&gt;1,0.8,
IF(VLOOKUP($A472-COUNT('Шаг2.Бланк заказа NEW'!$B$19:$B$201),'Бланк OLD 0.8 04'!$B$12:$K$200,5,0)&gt;1,0.4,
IF(AND(VLOOKUP($A472-COUNT('Шаг2.Бланк заказа NEW'!$B$19:$B$201),'Бланк OLD 0.8 04'!$B$12:$K$200,4,0)&gt;0,VLOOKUP($A472-COUNT('Шаг2.Бланк заказа NEW'!$B$19:$B$201),'Бланк OLD 0.8 04'!$B$12:$K$200,5,0)&gt;0),0.4,"")))),
IF(VLOOKUP($A472-COUNT('Шаг2.Бланк заказа NEW'!$B$19:$B$201)-COUNT('Бланк OLD 0.8 04'!$B$18:$B$200),'Бланк OLD 2.0 04 '!$B$16:$K$200,4,0)&gt;1,2,
IF(VLOOKUP($A472-COUNT('Шаг2.Бланк заказа NEW'!$B$19:$B$201)-COUNT('Бланк OLD 0.8 04'!$B$18:$B$200),'Бланк OLD 2.0 04 '!$B$16:$K$200,5,0)&gt;1,0.4,IF(AND(VLOOKUP($A472-COUNT('Шаг2.Бланк заказа NEW'!$B$19:$B$201)-COUNT('Бланк OLD 0.8 04'!$B$18:$B$200),'Бланк OLD 2.0 04 '!$B$16:$K$200,4,0)&gt;0,VLOOKUP($A472-COUNT('Шаг2.Бланк заказа NEW'!$B$19:$B$201)-COUNT('Бланк OLD 0.8 04'!$B$18:$B$200),'Бланк OLD 2.0 04 '!$B$16:$K$200,5,0)&gt;0),0.4,""))))</f>
        <v/>
      </c>
      <c r="T472" s="147" t="str">
        <f ca="1">IFERROR(IFERROR(IF(VLOOKUP($A472,'Шаг2.Бланк заказа NEW'!$B$17:$N$201,7,0)="","",VLOOKUP($A472,'Шаг2.Бланк заказа NEW'!$B$17:$N$201,7,0)),
IF(VLOOKUP($A472-COUNT('Шаг2.Бланк заказа NEW'!$B$19:$B$201),'Бланк OLD 0.8 04'!$B$12:$K$200,7,0)&gt;0,0.8,
IF(VLOOKUP($A472-COUNT('Шаг2.Бланк заказа NEW'!$B$19:$B$201),'Бланк OLD 0.8 04'!$B$12:$K$200,8,0)&gt;0,0.4,""))),
IF(VLOOKUP($A472-COUNT('Шаг2.Бланк заказа NEW'!$B$19:$B$201)-COUNT('Бланк OLD 0.8 04'!$B$18:$B$200),'Бланк OLD 2.0 04 '!$B$16:$K$200,7,0)&gt;0,2,IF(VLOOKUP($A472-COUNT('Шаг2.Бланк заказа NEW'!$B$19:$B$201)-COUNT('Бланк OLD 0.8 04'!$B$18:$B$200),'Бланк OLD 2.0 04 '!$B$16:$K$200,8,0)&gt;0,0.4,"")))</f>
        <v/>
      </c>
      <c r="U472" s="147" t="str">
        <f ca="1">IFERROR(IFERROR(IF(VLOOKUP($A472,'Шаг2.Бланк заказа NEW'!$B$17:$N$201,8,0)="","",VLOOKUP($A472,'Шаг2.Бланк заказа NEW'!$B$17:$N$201,8,0)),
IF(VLOOKUP($A472-COUNT('Шаг2.Бланк заказа NEW'!$B$19:$B$201),'Бланк OLD 0.8 04'!$B$12:$K$200,7,0)&gt;1,0.8,
IF(VLOOKUP($A472-COUNT('Шаг2.Бланк заказа NEW'!$B$19:$B$201),'Бланк OLD 0.8 04'!$B$12:$K$200,8,0)&gt;1,0.4,
IF(AND(VLOOKUP($A472-COUNT('Шаг2.Бланк заказа NEW'!$B$19:$B$201),'Бланк OLD 0.8 04'!$B$12:$K$200,7,0)&gt;0,VLOOKUP($A472-COUNT('Шаг2.Бланк заказа NEW'!$B$19:$B$201),'Бланк OLD 0.8 04'!$B$12:$K$200,8,0)&gt;0),0.4,"")))),
IF(VLOOKUP($A472-COUNT('Шаг2.Бланк заказа NEW'!$B$19:$B$201)-COUNT('Бланк OLD 0.8 04'!$B$18:$B$200),'Бланк OLD 2.0 04 '!$B$16:$K$200,7,0)&gt;1,2,
IF(VLOOKUP($A472-COUNT('Шаг2.Бланк заказа NEW'!$B$19:$B$201)-COUNT('Бланк OLD 0.8 04'!$B$18:$B$200),'Бланк OLD 2.0 04 '!$B$16:$K$200,8,0)&gt;1,0.4,
IF(AND(VLOOKUP($A472-COUNT('Шаг2.Бланк заказа NEW'!$B$19:$B$201)-COUNT('Бланк OLD 0.8 04'!$B$18:$B$200),'Бланк OLD 2.0 04 '!$B$16:$K$200,7,0)&gt;0,VLOOKUP($A472-COUNT('Шаг2.Бланк заказа NEW'!$B$19:$B$201)-COUNT('Бланк OLD 0.8 04'!$B$18:$B$200),'Бланк OLD 2.0 04 '!$B$16:$K$200,8,0)&gt;0),0.4,""))))</f>
        <v/>
      </c>
      <c r="V472" s="146" t="str">
        <f ca="1">IFERROR(VLOOKUP(C472,'Шаг1.Выбор плиты'!C:S,12,0),"")</f>
        <v/>
      </c>
      <c r="W472" s="146" t="str">
        <f ca="1">IFERROR(VLOOKUP(C472,'Шаг1.Выбор плиты'!C:S,8,0),"")</f>
        <v/>
      </c>
      <c r="X472" s="146" t="str">
        <f ca="1">IFERROR(VLOOKUP(C472,'Шаг1.Выбор плиты'!C:S,10,0),"")</f>
        <v/>
      </c>
      <c r="Y472" s="147" t="str">
        <f t="shared" ca="1" si="46"/>
        <v/>
      </c>
      <c r="AD472" s="147" t="str">
        <f t="shared" ca="1" si="42"/>
        <v/>
      </c>
      <c r="AE472" s="147" t="str">
        <f t="shared" ca="1" si="47"/>
        <v/>
      </c>
      <c r="AF472" s="25"/>
      <c r="AH472" s="147" t="str">
        <f ca="1">IF(C472="","",VLOOKUP(C472,'Шаг1.Выбор плиты'!C:Q,7,0))</f>
        <v/>
      </c>
      <c r="AI472" s="147" t="str">
        <f t="shared" ca="1" si="45"/>
        <v/>
      </c>
    </row>
    <row r="473" spans="1:35" x14ac:dyDescent="0.2">
      <c r="A473" s="151" t="str">
        <f ca="1">IF(C473="","",MAX($A$1:OFFSET(C473,-1,0))+1)</f>
        <v/>
      </c>
      <c r="B473" s="151" t="str">
        <f ca="1">IFERROR(IFERROR(IFERROR("Шаг2.Бланк заказа NEW №"&amp;VLOOKUP(A472+1,CHOOSE({1,2},'Шаг2.Бланк заказа NEW'!$B$19:$B$201,'Шаг2.Бланк заказа NEW'!$A$19:$A$201),1,0),
"Бланк OLD 0.8 04 №"&amp;VLOOKUP(A472+1-COUNT('Шаг2.Бланк заказа NEW'!$B$19:$B$201),CHOOSE({1,2},'Бланк OLD 0.8 04'!$B$18:$B$200,'Бланк OLD 0.8 04'!$A$18:$A$200),1,0)),
"Бланк OLD 2.0 04 №"&amp;VLOOKUP(A472+1-COUNT('Шаг2.Бланк заказа NEW'!$B$19:$B$201)-COUNT('Бланк OLD 0.8 04'!$B$18:$B$200),CHOOSE({1,2},'Бланк OLD 2.0 04 '!$B$18:$B$200,'Бланк OLD 2.0 04 '!$A$18:$A$200),1,0)),"")</f>
        <v/>
      </c>
      <c r="C473" s="152" t="str">
        <f ca="1">IFERROR(IFERROR(IFERROR(VLOOKUP(A472+1,CHOOSE({1,2},'Шаг2.Бланк заказа NEW'!$B$19:$B$201,'Шаг2.Бланк заказа NEW'!$A$19:$A$201),2,0),
VLOOKUP(A472+1-COUNT('Шаг2.Бланк заказа NEW'!$B$19:$B$201),CHOOSE({1,2},'Бланк OLD 0.8 04'!$B$18:$B$200,'Бланк OLD 0.8 04'!$A$18:$A$200),2,0)),
VLOOKUP(A472+1-COUNT('Шаг2.Бланк заказа NEW'!$B$19:$B$201)-COUNT('Бланк OLD 0.8 04'!$B$18:$B$200),CHOOSE({1,2},'Бланк OLD 2.0 04 '!$B$18:$B$200,'Бланк OLD 2.0 04 '!$A$18:$A$200),2,0)),"")</f>
        <v/>
      </c>
      <c r="D473" s="150" t="str">
        <f ca="1">IFERROR(VLOOKUP(C473,'Шаг1.Выбор плиты'!C:G,5,0),"")</f>
        <v/>
      </c>
      <c r="E473" s="147" t="str">
        <f ca="1">IFERROR(IFERROR(IF(VLOOKUP($A473,'Шаг2.Бланк заказа NEW'!$B$17:$N$201,2,0)="","",VLOOKUP($A473,'Шаг2.Бланк заказа NEW'!$B$17:$N$201,2,0)),
IF(VLOOKUP($A473-COUNT('Шаг2.Бланк заказа NEW'!$B$19:$B$201),'Бланк OLD 0.8 04'!$B$12:$K$200,2,0)="","",VLOOKUP($A473-COUNT('Шаг2.Бланк заказа NEW'!$B$19:$B$201),'Бланк OLD 0.8 04'!$B$12:$K$200,2,0))),
IF(VLOOKUP($A473-COUNT('Шаг2.Бланк заказа NEW'!$B$19:$B$201)-COUNT('Бланк OLD 0.8 04'!$B$18:$B$200),'Бланк OLD 2.0 04 '!$B$16:$K$200,2,0)="","",VLOOKUP($A473-COUNT('Шаг2.Бланк заказа NEW'!$B$19:$B$201)-COUNT('Бланк OLD 0.8 04'!$B$18:$B$200),'Бланк OLD 2.0 04 '!$B$16:$K$200,2,0)))</f>
        <v/>
      </c>
      <c r="F473" s="147" t="str">
        <f ca="1">IFERROR(IFERROR(IF(VLOOKUP($A473,'Шаг2.Бланк заказа NEW'!$B$17:$N$201,3,0)="","",VLOOKUP($A473,'Шаг2.Бланк заказа NEW'!$B$17:$N$201,3,0)),
IF(VLOOKUP($A473-COUNT('Шаг2.Бланк заказа NEW'!$B$19:$B$201),'Бланк OLD 0.8 04'!$B$12:$K$200,3,0)="","",VLOOKUP($A473-COUNT('Шаг2.Бланк заказа NEW'!$B$19:$B$201),'Бланк OLD 0.8 04'!$B$12:$K$200,3,0))),
IF(VLOOKUP($A473-COUNT('Шаг2.Бланк заказа NEW'!$B$19:$B$201)-COUNT('Бланк OLD 0.8 04'!$B$18:$B$200),'Бланк OLD 2.0 04 '!$B$16:$K$200,3,0)="","",VLOOKUP($A473-COUNT('Шаг2.Бланк заказа NEW'!$B$19:$B$201)-COUNT('Бланк OLD 0.8 04'!$B$18:$B$200),'Бланк OLD 2.0 04 '!$B$16:$K$200,3,0)))</f>
        <v/>
      </c>
      <c r="G473" s="176" t="str">
        <f ca="1">IF(IF(R473="","",IF(R473=1,SUMIFS('Шаг1.Выбор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плиты'!C:Q,12,0)),1))))))=0,
R473,
IF(R473="","",IF(R473=1,SUMIFS('Шаг1.Выбор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плиты'!N:N,R473,'Шаг1.Выбор плиты'!M:M,SMALL(INDIRECT("мм"&amp;VLOOKUP(C473,'Шаг1.Выбор плиты'!C:Q,12,0)),1)))))))</f>
        <v/>
      </c>
      <c r="H473" s="177" t="str">
        <f ca="1">IF(IF(S473="","",IF(S473=1,SUMIFS('Шаг1.Выбор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плиты'!C:Q,12,0)),1))))))=0,
S473,
IF(S473="","",IF(S473=1,SUMIFS('Шаг1.Выбор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плиты'!N:N,S473,'Шаг1.Выбор плиты'!M:M,SMALL(INDIRECT("мм"&amp;VLOOKUP(C473,'Шаг1.Выбор плиты'!C:Q,12,0)),1)))))))</f>
        <v/>
      </c>
      <c r="I473" s="147" t="str">
        <f ca="1">IFERROR(IFERROR(IF(VLOOKUP($A473,'Шаг2.Бланк заказа NEW'!$B$17:$N$201,6,0)="","",VLOOKUP($A473,'Шаг2.Бланк заказа NEW'!$B$17:$N$201,6,0)),
IF(VLOOKUP($A473-COUNT('Шаг2.Бланк заказа NEW'!$B$19:$B$201),'Бланк OLD 0.8 04'!$B$12:$K$200,6,0)="","",VLOOKUP($A473-COUNT('Шаг2.Бланк заказа NEW'!$B$19:$B$201),'Бланк OLD 0.8 04'!$B$12:$K$200,6,0))),
IF(VLOOKUP($A473-COUNT('Шаг2.Бланк заказа NEW'!$B$19:$B$201)-COUNT('Бланк OLD 0.8 04'!$B$18:$B$200),'Бланк OLD 2.0 04 '!$B$16:$K$200,6,0)="","",VLOOKUP($A473-COUNT('Шаг2.Бланк заказа NEW'!$B$19:$B$201)-COUNT('Бланк OLD 0.8 04'!$B$18:$B$200),'Бланк OLD 2.0 04 '!$B$16:$K$200,6,0)))</f>
        <v/>
      </c>
      <c r="J473" s="177" t="str">
        <f ca="1">IF(IF(T473="","",IF(T473=1,SUMIFS('Шаг1.Выбор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плиты'!C:Q,12,0)),1))))))=0,
T473,
IF(T473="","",IF(T473=1,SUMIFS('Шаг1.Выбор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плиты'!N:N,T473,'Шаг1.Выбор плиты'!M:M,SMALL(INDIRECT("мм"&amp;VLOOKUP(C473,'Шаг1.Выбор плиты'!C:Q,12,0)),1)))))))</f>
        <v/>
      </c>
      <c r="K473" s="177" t="str">
        <f ca="1">IF(IF(U473="","",IF(U473=1,SUMIFS('Шаг1.Выбор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плиты'!C:Q,12,0)),1))))))=0,
U473,
IF(U473="","",IF(U473=1,SUMIFS('Шаг1.Выбор плиты'!$G:$G,'Шаг1.Выбор плиты'!J:J,"*"&amp;RIGHT(VLOOKUP(C473,'Шаг1.Выбор плиты'!C:Q,8,0),4),'Шаг1.Выбор плиты'!L:L,IF(MID(C473,1,6)="ЛДСП P","TM"&amp;MID(VLOOKUP(C473,'Шаг1.Выбор плиты'!C:Q,10,0),3,2),MID(VLOOKUP(C473,'Шаг1.Выбор плиты'!C:Q,10,0),1,2)),
'Шаг1.Выбор плиты'!N:N,1),IF(SUMIFS('Шаг1.Выбор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плиты'!C:Q,12,0)),1))=0,
IF(SUMIFS('Шаг1.Выбор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плиты'!C:Q,12,0)),2))=0,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плиты'!C:Q,12,0)),3)),
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плиты'!C:Q,12,0)),2))),
(SUMIFS('Шаг1.Выбор плиты'!$G:$G,'Шаг1.Выбор плиты'!J:J,"*"&amp;RIGHT(VLOOKUP(C473,'Шаг1.Выбор плиты'!C:Q,8,0),4),'Шаг1.Выбор плиты'!L:L,VLOOKUP(C473,'Шаг1.Выбор плиты'!C:Q,10,0),'Шаг1.Выбор плиты'!N:N,U473,'Шаг1.Выбор плиты'!M:M,SMALL(INDIRECT("мм"&amp;VLOOKUP(C473,'Шаг1.Выбор плиты'!C:Q,12,0)),1)))))))</f>
        <v/>
      </c>
      <c r="L473" s="147" t="str">
        <f ca="1">IFERROR(IFERROR(IF(VLOOKUP($A473,'Шаг2.Бланк заказа NEW'!$B$17:$N$201,9,0)="","",VLOOKUP($A473,'Шаг2.Бланк заказа NEW'!$B$17:$N$201,9,0)),
IF(VLOOKUP($A473-COUNT('Шаг2.Бланк заказа NEW'!$B$19:$B$201),'Бланк OLD 0.8 04'!$B$12:$K$200,9,0)="","",VLOOKUP($A473-COUNT('Шаг2.Бланк заказа NEW'!$B$19:$B$201),'Бланк OLD 0.8 04'!$B$12:$K$200,9,0))),
IF(VLOOKUP($A473-COUNT('Шаг2.Бланк заказа NEW'!$B$19:$B$201)-COUNT('Бланк OLD 0.8 04'!$B$18:$B$200),'Бланк OLD 2.0 04 '!$B$16:$K$200,9,0)="","",VLOOKUP($A473-COUNT('Шаг2.Бланк заказа NEW'!$B$19:$B$201)-COUNT('Бланк OLD 0.8 04'!$B$18:$B$200),'Бланк OLD 2.0 04 '!$B$16:$K$200,9,0)))</f>
        <v/>
      </c>
      <c r="M473" s="154" t="str">
        <f t="shared" ca="1" si="44"/>
        <v/>
      </c>
      <c r="N473" s="153" t="str">
        <f ca="1">IFERROR(IF(VLOOKUP($A473,'Шаг2.Бланк заказа NEW'!$B$17:$N$201,11,0)="","",VLOOKUP($A473,'Шаг2.Бланк заказа NEW'!$B$17:$N$201,11,0)),
"Нет")</f>
        <v/>
      </c>
      <c r="O473" s="147" t="str">
        <f ca="1">IFERROR(IF(VLOOKUP($A473,'Шаг2.Бланк заказа NEW'!$B$17:$N$201,11,0)="","",VLOOKUP($A473,'Шаг2.Бланк заказа NEW'!$B$17:$N$201,12,0)),
"Нет")</f>
        <v/>
      </c>
      <c r="P473" s="153" t="str">
        <f ca="1">IFERROR(IF(VLOOKUP($A473,'Шаг2.Бланк заказа NEW'!$B$17:$N$201,13,0)="","",VLOOKUP($A473,'Шаг2.Бланк заказа NEW'!$B$17:$N$201,13,0)),
"Нет")</f>
        <v/>
      </c>
      <c r="Q473" s="147" t="str">
        <f ca="1">IFERROR(IF(VLOOKUP($A473,'Шаг2.Бланк заказа NEW'!$B$17:$O$201,14,0)="","",VLOOKUP($A473,'Шаг2.Бланк заказа NEW'!$B$17:$O$201,14,0)),"")</f>
        <v/>
      </c>
      <c r="R473" s="147" t="str">
        <f ca="1">IFERROR(IFERROR(IF(VLOOKUP($A473,'Шаг2.Бланк заказа NEW'!$B$17:$N$201,4,0)="","",VLOOKUP($A473,'Шаг2.Бланк заказа NEW'!$B$17:$N$201,4,0)),
IF(VLOOKUP($A473-COUNT('Шаг2.Бланк заказа NEW'!$B$19:$B$201),'Бланк OLD 0.8 04'!$B$12:$K$200,4,0)&gt;0,0.8,
IF(VLOOKUP($A473-COUNT('Шаг2.Бланк заказа NEW'!$B$19:$B$201),'Бланк OLD 0.8 04'!$B$12:$K$200,5,0)&gt;0,0.4,""))),
IF(VLOOKUP($A473-COUNT('Шаг2.Бланк заказа NEW'!$B$19:$B$201)-COUNT('Бланк OLD 0.8 04'!$B$18:$B$200),'Бланк OLD 2.0 04 '!$B$16:$K$200,4,0)&gt;0,2,IF(VLOOKUP($A473-COUNT('Шаг2.Бланк заказа NEW'!$B$19:$B$201)-COUNT('Бланк OLD 0.8 04'!$B$18:$B$200),'Бланк OLD 2.0 04 '!$B$16:$K$200,5,0)&gt;0,0.4,"")))</f>
        <v/>
      </c>
      <c r="S473" s="147" t="str">
        <f ca="1">IFERROR(IFERROR(IF(VLOOKUP($A473,'Шаг2.Бланк заказа NEW'!$B$17:$N$201,5,0)="","",VLOOKUP($A473,'Шаг2.Бланк заказа NEW'!$B$17:$N$201,5,0)),
IF(VLOOKUP($A473-COUNT('Шаг2.Бланк заказа NEW'!$B$19:$B$201),'Бланк OLD 0.8 04'!$B$12:$K$200,4,0)&gt;1,0.8,
IF(VLOOKUP($A473-COUNT('Шаг2.Бланк заказа NEW'!$B$19:$B$201),'Бланк OLD 0.8 04'!$B$12:$K$200,5,0)&gt;1,0.4,
IF(AND(VLOOKUP($A473-COUNT('Шаг2.Бланк заказа NEW'!$B$19:$B$201),'Бланк OLD 0.8 04'!$B$12:$K$200,4,0)&gt;0,VLOOKUP($A473-COUNT('Шаг2.Бланк заказа NEW'!$B$19:$B$201),'Бланк OLD 0.8 04'!$B$12:$K$200,5,0)&gt;0),0.4,"")))),
IF(VLOOKUP($A473-COUNT('Шаг2.Бланк заказа NEW'!$B$19:$B$201)-COUNT('Бланк OLD 0.8 04'!$B$18:$B$200),'Бланк OLD 2.0 04 '!$B$16:$K$200,4,0)&gt;1,2,
IF(VLOOKUP($A473-COUNT('Шаг2.Бланк заказа NEW'!$B$19:$B$201)-COUNT('Бланк OLD 0.8 04'!$B$18:$B$200),'Бланк OLD 2.0 04 '!$B$16:$K$200,5,0)&gt;1,0.4,IF(AND(VLOOKUP($A473-COUNT('Шаг2.Бланк заказа NEW'!$B$19:$B$201)-COUNT('Бланк OLD 0.8 04'!$B$18:$B$200),'Бланк OLD 2.0 04 '!$B$16:$K$200,4,0)&gt;0,VLOOKUP($A473-COUNT('Шаг2.Бланк заказа NEW'!$B$19:$B$201)-COUNT('Бланк OLD 0.8 04'!$B$18:$B$200),'Бланк OLD 2.0 04 '!$B$16:$K$200,5,0)&gt;0),0.4,""))))</f>
        <v/>
      </c>
      <c r="T473" s="147" t="str">
        <f ca="1">IFERROR(IFERROR(IF(VLOOKUP($A473,'Шаг2.Бланк заказа NEW'!$B$17:$N$201,7,0)="","",VLOOKUP($A473,'Шаг2.Бланк заказа NEW'!$B$17:$N$201,7,0)),
IF(VLOOKUP($A473-COUNT('Шаг2.Бланк заказа NEW'!$B$19:$B$201),'Бланк OLD 0.8 04'!$B$12:$K$200,7,0)&gt;0,0.8,
IF(VLOOKUP($A473-COUNT('Шаг2.Бланк заказа NEW'!$B$19:$B$201),'Бланк OLD 0.8 04'!$B$12:$K$200,8,0)&gt;0,0.4,""))),
IF(VLOOKUP($A473-COUNT('Шаг2.Бланк заказа NEW'!$B$19:$B$201)-COUNT('Бланк OLD 0.8 04'!$B$18:$B$200),'Бланк OLD 2.0 04 '!$B$16:$K$200,7,0)&gt;0,2,IF(VLOOKUP($A473-COUNT('Шаг2.Бланк заказа NEW'!$B$19:$B$201)-COUNT('Бланк OLD 0.8 04'!$B$18:$B$200),'Бланк OLD 2.0 04 '!$B$16:$K$200,8,0)&gt;0,0.4,"")))</f>
        <v/>
      </c>
      <c r="U473" s="147" t="str">
        <f ca="1">IFERROR(IFERROR(IF(VLOOKUP($A473,'Шаг2.Бланк заказа NEW'!$B$17:$N$201,8,0)="","",VLOOKUP($A473,'Шаг2.Бланк заказа NEW'!$B$17:$N$201,8,0)),
IF(VLOOKUP($A473-COUNT('Шаг2.Бланк заказа NEW'!$B$19:$B$201),'Бланк OLD 0.8 04'!$B$12:$K$200,7,0)&gt;1,0.8,
IF(VLOOKUP($A473-COUNT('Шаг2.Бланк заказа NEW'!$B$19:$B$201),'Бланк OLD 0.8 04'!$B$12:$K$200,8,0)&gt;1,0.4,
IF(AND(VLOOKUP($A473-COUNT('Шаг2.Бланк заказа NEW'!$B$19:$B$201),'Бланк OLD 0.8 04'!$B$12:$K$200,7,0)&gt;0,VLOOKUP($A473-COUNT('Шаг2.Бланк заказа NEW'!$B$19:$B$201),'Бланк OLD 0.8 04'!$B$12:$K$200,8,0)&gt;0),0.4,"")))),
IF(VLOOKUP($A473-COUNT('Шаг2.Бланк заказа NEW'!$B$19:$B$201)-COUNT('Бланк OLD 0.8 04'!$B$18:$B$200),'Бланк OLD 2.0 04 '!$B$16:$K$200,7,0)&gt;1,2,
IF(VLOOKUP($A473-COUNT('Шаг2.Бланк заказа NEW'!$B$19:$B$201)-COUNT('Бланк OLD 0.8 04'!$B$18:$B$200),'Бланк OLD 2.0 04 '!$B$16:$K$200,8,0)&gt;1,0.4,
IF(AND(VLOOKUP($A473-COUNT('Шаг2.Бланк заказа NEW'!$B$19:$B$201)-COUNT('Бланк OLD 0.8 04'!$B$18:$B$200),'Бланк OLD 2.0 04 '!$B$16:$K$200,7,0)&gt;0,VLOOKUP($A473-COUNT('Шаг2.Бланк заказа NEW'!$B$19:$B$201)-COUNT('Бланк OLD 0.8 04'!$B$18:$B$200),'Бланк OLD 2.0 04 '!$B$16:$K$200,8,0)&gt;0),0.4,""))))</f>
        <v/>
      </c>
      <c r="V473" s="146" t="str">
        <f ca="1">IFERROR(VLOOKUP(C473,'Шаг1.Выбор плиты'!C:S,12,0),"")</f>
        <v/>
      </c>
      <c r="W473" s="146" t="str">
        <f ca="1">IFERROR(VLOOKUP(C473,'Шаг1.Выбор плиты'!C:S,8,0),"")</f>
        <v/>
      </c>
      <c r="X473" s="146" t="str">
        <f ca="1">IFERROR(VLOOKUP(C473,'Шаг1.Выбор плиты'!C:S,10,0),"")</f>
        <v/>
      </c>
      <c r="Y473" s="147" t="str">
        <f t="shared" ca="1" si="46"/>
        <v/>
      </c>
      <c r="AD473" s="147" t="str">
        <f t="shared" ca="1" si="42"/>
        <v/>
      </c>
      <c r="AE473" s="147" t="str">
        <f t="shared" ca="1" si="47"/>
        <v/>
      </c>
      <c r="AF473" s="25"/>
      <c r="AH473" s="147" t="str">
        <f ca="1">IF(C473="","",VLOOKUP(C473,'Шаг1.Выбор плиты'!C:Q,7,0))</f>
        <v/>
      </c>
      <c r="AI473" s="147" t="str">
        <f t="shared" ca="1" si="45"/>
        <v/>
      </c>
    </row>
    <row r="474" spans="1:35" x14ac:dyDescent="0.2">
      <c r="A474" s="151" t="str">
        <f ca="1">IF(C474="","",MAX($A$1:OFFSET(C474,-1,0))+1)</f>
        <v/>
      </c>
      <c r="B474" s="151" t="str">
        <f ca="1">IFERROR(IFERROR(IFERROR("Шаг2.Бланк заказа NEW №"&amp;VLOOKUP(A473+1,CHOOSE({1,2},'Шаг2.Бланк заказа NEW'!$B$19:$B$201,'Шаг2.Бланк заказа NEW'!$A$19:$A$201),1,0),
"Бланк OLD 0.8 04 №"&amp;VLOOKUP(A473+1-COUNT('Шаг2.Бланк заказа NEW'!$B$19:$B$201),CHOOSE({1,2},'Бланк OLD 0.8 04'!$B$18:$B$200,'Бланк OLD 0.8 04'!$A$18:$A$200),1,0)),
"Бланк OLD 2.0 04 №"&amp;VLOOKUP(A473+1-COUNT('Шаг2.Бланк заказа NEW'!$B$19:$B$201)-COUNT('Бланк OLD 0.8 04'!$B$18:$B$200),CHOOSE({1,2},'Бланк OLD 2.0 04 '!$B$18:$B$200,'Бланк OLD 2.0 04 '!$A$18:$A$200),1,0)),"")</f>
        <v/>
      </c>
      <c r="C474" s="152" t="str">
        <f ca="1">IFERROR(IFERROR(IFERROR(VLOOKUP(A473+1,CHOOSE({1,2},'Шаг2.Бланк заказа NEW'!$B$19:$B$201,'Шаг2.Бланк заказа NEW'!$A$19:$A$201),2,0),
VLOOKUP(A473+1-COUNT('Шаг2.Бланк заказа NEW'!$B$19:$B$201),CHOOSE({1,2},'Бланк OLD 0.8 04'!$B$18:$B$200,'Бланк OLD 0.8 04'!$A$18:$A$200),2,0)),
VLOOKUP(A473+1-COUNT('Шаг2.Бланк заказа NEW'!$B$19:$B$201)-COUNT('Бланк OLD 0.8 04'!$B$18:$B$200),CHOOSE({1,2},'Бланк OLD 2.0 04 '!$B$18:$B$200,'Бланк OLD 2.0 04 '!$A$18:$A$200),2,0)),"")</f>
        <v/>
      </c>
      <c r="D474" s="150" t="str">
        <f ca="1">IFERROR(VLOOKUP(C474,'Шаг1.Выбор плиты'!C:G,5,0),"")</f>
        <v/>
      </c>
      <c r="E474" s="147" t="str">
        <f ca="1">IFERROR(IFERROR(IF(VLOOKUP($A474,'Шаг2.Бланк заказа NEW'!$B$17:$N$201,2,0)="","",VLOOKUP($A474,'Шаг2.Бланк заказа NEW'!$B$17:$N$201,2,0)),
IF(VLOOKUP($A474-COUNT('Шаг2.Бланк заказа NEW'!$B$19:$B$201),'Бланк OLD 0.8 04'!$B$12:$K$200,2,0)="","",VLOOKUP($A474-COUNT('Шаг2.Бланк заказа NEW'!$B$19:$B$201),'Бланк OLD 0.8 04'!$B$12:$K$200,2,0))),
IF(VLOOKUP($A474-COUNT('Шаг2.Бланк заказа NEW'!$B$19:$B$201)-COUNT('Бланк OLD 0.8 04'!$B$18:$B$200),'Бланк OLD 2.0 04 '!$B$16:$K$200,2,0)="","",VLOOKUP($A474-COUNT('Шаг2.Бланк заказа NEW'!$B$19:$B$201)-COUNT('Бланк OLD 0.8 04'!$B$18:$B$200),'Бланк OLD 2.0 04 '!$B$16:$K$200,2,0)))</f>
        <v/>
      </c>
      <c r="F474" s="147" t="str">
        <f ca="1">IFERROR(IFERROR(IF(VLOOKUP($A474,'Шаг2.Бланк заказа NEW'!$B$17:$N$201,3,0)="","",VLOOKUP($A474,'Шаг2.Бланк заказа NEW'!$B$17:$N$201,3,0)),
IF(VLOOKUP($A474-COUNT('Шаг2.Бланк заказа NEW'!$B$19:$B$201),'Бланк OLD 0.8 04'!$B$12:$K$200,3,0)="","",VLOOKUP($A474-COUNT('Шаг2.Бланк заказа NEW'!$B$19:$B$201),'Бланк OLD 0.8 04'!$B$12:$K$200,3,0))),
IF(VLOOKUP($A474-COUNT('Шаг2.Бланк заказа NEW'!$B$19:$B$201)-COUNT('Бланк OLD 0.8 04'!$B$18:$B$200),'Бланк OLD 2.0 04 '!$B$16:$K$200,3,0)="","",VLOOKUP($A474-COUNT('Шаг2.Бланк заказа NEW'!$B$19:$B$201)-COUNT('Бланк OLD 0.8 04'!$B$18:$B$200),'Бланк OLD 2.0 04 '!$B$16:$K$200,3,0)))</f>
        <v/>
      </c>
      <c r="G474" s="176" t="str">
        <f ca="1">IF(IF(R474="","",IF(R474=1,SUMIFS('Шаг1.Выбор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плиты'!C:Q,12,0)),1))))))=0,
R474,
IF(R474="","",IF(R474=1,SUMIFS('Шаг1.Выбор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плиты'!N:N,R474,'Шаг1.Выбор плиты'!M:M,SMALL(INDIRECT("мм"&amp;VLOOKUP(C474,'Шаг1.Выбор плиты'!C:Q,12,0)),1)))))))</f>
        <v/>
      </c>
      <c r="H474" s="177" t="str">
        <f ca="1">IF(IF(S474="","",IF(S474=1,SUMIFS('Шаг1.Выбор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плиты'!C:Q,12,0)),1))))))=0,
S474,
IF(S474="","",IF(S474=1,SUMIFS('Шаг1.Выбор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плиты'!N:N,S474,'Шаг1.Выбор плиты'!M:M,SMALL(INDIRECT("мм"&amp;VLOOKUP(C474,'Шаг1.Выбор плиты'!C:Q,12,0)),1)))))))</f>
        <v/>
      </c>
      <c r="I474" s="147" t="str">
        <f ca="1">IFERROR(IFERROR(IF(VLOOKUP($A474,'Шаг2.Бланк заказа NEW'!$B$17:$N$201,6,0)="","",VLOOKUP($A474,'Шаг2.Бланк заказа NEW'!$B$17:$N$201,6,0)),
IF(VLOOKUP($A474-COUNT('Шаг2.Бланк заказа NEW'!$B$19:$B$201),'Бланк OLD 0.8 04'!$B$12:$K$200,6,0)="","",VLOOKUP($A474-COUNT('Шаг2.Бланк заказа NEW'!$B$19:$B$201),'Бланк OLD 0.8 04'!$B$12:$K$200,6,0))),
IF(VLOOKUP($A474-COUNT('Шаг2.Бланк заказа NEW'!$B$19:$B$201)-COUNT('Бланк OLD 0.8 04'!$B$18:$B$200),'Бланк OLD 2.0 04 '!$B$16:$K$200,6,0)="","",VLOOKUP($A474-COUNT('Шаг2.Бланк заказа NEW'!$B$19:$B$201)-COUNT('Бланк OLD 0.8 04'!$B$18:$B$200),'Бланк OLD 2.0 04 '!$B$16:$K$200,6,0)))</f>
        <v/>
      </c>
      <c r="J474" s="177" t="str">
        <f ca="1">IF(IF(T474="","",IF(T474=1,SUMIFS('Шаг1.Выбор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плиты'!C:Q,12,0)),1))))))=0,
T474,
IF(T474="","",IF(T474=1,SUMIFS('Шаг1.Выбор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плиты'!N:N,T474,'Шаг1.Выбор плиты'!M:M,SMALL(INDIRECT("мм"&amp;VLOOKUP(C474,'Шаг1.Выбор плиты'!C:Q,12,0)),1)))))))</f>
        <v/>
      </c>
      <c r="K474" s="177" t="str">
        <f ca="1">IF(IF(U474="","",IF(U474=1,SUMIFS('Шаг1.Выбор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плиты'!C:Q,12,0)),1))))))=0,
U474,
IF(U474="","",IF(U474=1,SUMIFS('Шаг1.Выбор плиты'!$G:$G,'Шаг1.Выбор плиты'!J:J,"*"&amp;RIGHT(VLOOKUP(C474,'Шаг1.Выбор плиты'!C:Q,8,0),4),'Шаг1.Выбор плиты'!L:L,IF(MID(C474,1,6)="ЛДСП P","TM"&amp;MID(VLOOKUP(C474,'Шаг1.Выбор плиты'!C:Q,10,0),3,2),MID(VLOOKUP(C474,'Шаг1.Выбор плиты'!C:Q,10,0),1,2)),
'Шаг1.Выбор плиты'!N:N,1),IF(SUMIFS('Шаг1.Выбор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плиты'!C:Q,12,0)),1))=0,
IF(SUMIFS('Шаг1.Выбор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плиты'!C:Q,12,0)),2))=0,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плиты'!C:Q,12,0)),3)),
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плиты'!C:Q,12,0)),2))),
(SUMIFS('Шаг1.Выбор плиты'!$G:$G,'Шаг1.Выбор плиты'!J:J,"*"&amp;RIGHT(VLOOKUP(C474,'Шаг1.Выбор плиты'!C:Q,8,0),4),'Шаг1.Выбор плиты'!L:L,VLOOKUP(C474,'Шаг1.Выбор плиты'!C:Q,10,0),'Шаг1.Выбор плиты'!N:N,U474,'Шаг1.Выбор плиты'!M:M,SMALL(INDIRECT("мм"&amp;VLOOKUP(C474,'Шаг1.Выбор плиты'!C:Q,12,0)),1)))))))</f>
        <v/>
      </c>
      <c r="L474" s="147" t="str">
        <f ca="1">IFERROR(IFERROR(IF(VLOOKUP($A474,'Шаг2.Бланк заказа NEW'!$B$17:$N$201,9,0)="","",VLOOKUP($A474,'Шаг2.Бланк заказа NEW'!$B$17:$N$201,9,0)),
IF(VLOOKUP($A474-COUNT('Шаг2.Бланк заказа NEW'!$B$19:$B$201),'Бланк OLD 0.8 04'!$B$12:$K$200,9,0)="","",VLOOKUP($A474-COUNT('Шаг2.Бланк заказа NEW'!$B$19:$B$201),'Бланк OLD 0.8 04'!$B$12:$K$200,9,0))),
IF(VLOOKUP($A474-COUNT('Шаг2.Бланк заказа NEW'!$B$19:$B$201)-COUNT('Бланк OLD 0.8 04'!$B$18:$B$200),'Бланк OLD 2.0 04 '!$B$16:$K$200,9,0)="","",VLOOKUP($A474-COUNT('Шаг2.Бланк заказа NEW'!$B$19:$B$201)-COUNT('Бланк OLD 0.8 04'!$B$18:$B$200),'Бланк OLD 2.0 04 '!$B$16:$K$200,9,0)))</f>
        <v/>
      </c>
      <c r="M474" s="154" t="str">
        <f t="shared" ca="1" si="44"/>
        <v/>
      </c>
      <c r="N474" s="153" t="str">
        <f ca="1">IFERROR(IF(VLOOKUP($A474,'Шаг2.Бланк заказа NEW'!$B$17:$N$201,11,0)="","",VLOOKUP($A474,'Шаг2.Бланк заказа NEW'!$B$17:$N$201,11,0)),
"Нет")</f>
        <v/>
      </c>
      <c r="O474" s="147" t="str">
        <f ca="1">IFERROR(IF(VLOOKUP($A474,'Шаг2.Бланк заказа NEW'!$B$17:$N$201,11,0)="","",VLOOKUP($A474,'Шаг2.Бланк заказа NEW'!$B$17:$N$201,12,0)),
"Нет")</f>
        <v/>
      </c>
      <c r="P474" s="153" t="str">
        <f ca="1">IFERROR(IF(VLOOKUP($A474,'Шаг2.Бланк заказа NEW'!$B$17:$N$201,13,0)="","",VLOOKUP($A474,'Шаг2.Бланк заказа NEW'!$B$17:$N$201,13,0)),
"Нет")</f>
        <v/>
      </c>
      <c r="Q474" s="147" t="str">
        <f ca="1">IFERROR(IF(VLOOKUP($A474,'Шаг2.Бланк заказа NEW'!$B$17:$O$201,14,0)="","",VLOOKUP($A474,'Шаг2.Бланк заказа NEW'!$B$17:$O$201,14,0)),"")</f>
        <v/>
      </c>
      <c r="R474" s="147" t="str">
        <f ca="1">IFERROR(IFERROR(IF(VLOOKUP($A474,'Шаг2.Бланк заказа NEW'!$B$17:$N$201,4,0)="","",VLOOKUP($A474,'Шаг2.Бланк заказа NEW'!$B$17:$N$201,4,0)),
IF(VLOOKUP($A474-COUNT('Шаг2.Бланк заказа NEW'!$B$19:$B$201),'Бланк OLD 0.8 04'!$B$12:$K$200,4,0)&gt;0,0.8,
IF(VLOOKUP($A474-COUNT('Шаг2.Бланк заказа NEW'!$B$19:$B$201),'Бланк OLD 0.8 04'!$B$12:$K$200,5,0)&gt;0,0.4,""))),
IF(VLOOKUP($A474-COUNT('Шаг2.Бланк заказа NEW'!$B$19:$B$201)-COUNT('Бланк OLD 0.8 04'!$B$18:$B$200),'Бланк OLD 2.0 04 '!$B$16:$K$200,4,0)&gt;0,2,IF(VLOOKUP($A474-COUNT('Шаг2.Бланк заказа NEW'!$B$19:$B$201)-COUNT('Бланк OLD 0.8 04'!$B$18:$B$200),'Бланк OLD 2.0 04 '!$B$16:$K$200,5,0)&gt;0,0.4,"")))</f>
        <v/>
      </c>
      <c r="S474" s="147" t="str">
        <f ca="1">IFERROR(IFERROR(IF(VLOOKUP($A474,'Шаг2.Бланк заказа NEW'!$B$17:$N$201,5,0)="","",VLOOKUP($A474,'Шаг2.Бланк заказа NEW'!$B$17:$N$201,5,0)),
IF(VLOOKUP($A474-COUNT('Шаг2.Бланк заказа NEW'!$B$19:$B$201),'Бланк OLD 0.8 04'!$B$12:$K$200,4,0)&gt;1,0.8,
IF(VLOOKUP($A474-COUNT('Шаг2.Бланк заказа NEW'!$B$19:$B$201),'Бланк OLD 0.8 04'!$B$12:$K$200,5,0)&gt;1,0.4,
IF(AND(VLOOKUP($A474-COUNT('Шаг2.Бланк заказа NEW'!$B$19:$B$201),'Бланк OLD 0.8 04'!$B$12:$K$200,4,0)&gt;0,VLOOKUP($A474-COUNT('Шаг2.Бланк заказа NEW'!$B$19:$B$201),'Бланк OLD 0.8 04'!$B$12:$K$200,5,0)&gt;0),0.4,"")))),
IF(VLOOKUP($A474-COUNT('Шаг2.Бланк заказа NEW'!$B$19:$B$201)-COUNT('Бланк OLD 0.8 04'!$B$18:$B$200),'Бланк OLD 2.0 04 '!$B$16:$K$200,4,0)&gt;1,2,
IF(VLOOKUP($A474-COUNT('Шаг2.Бланк заказа NEW'!$B$19:$B$201)-COUNT('Бланк OLD 0.8 04'!$B$18:$B$200),'Бланк OLD 2.0 04 '!$B$16:$K$200,5,0)&gt;1,0.4,IF(AND(VLOOKUP($A474-COUNT('Шаг2.Бланк заказа NEW'!$B$19:$B$201)-COUNT('Бланк OLD 0.8 04'!$B$18:$B$200),'Бланк OLD 2.0 04 '!$B$16:$K$200,4,0)&gt;0,VLOOKUP($A474-COUNT('Шаг2.Бланк заказа NEW'!$B$19:$B$201)-COUNT('Бланк OLD 0.8 04'!$B$18:$B$200),'Бланк OLD 2.0 04 '!$B$16:$K$200,5,0)&gt;0),0.4,""))))</f>
        <v/>
      </c>
      <c r="T474" s="147" t="str">
        <f ca="1">IFERROR(IFERROR(IF(VLOOKUP($A474,'Шаг2.Бланк заказа NEW'!$B$17:$N$201,7,0)="","",VLOOKUP($A474,'Шаг2.Бланк заказа NEW'!$B$17:$N$201,7,0)),
IF(VLOOKUP($A474-COUNT('Шаг2.Бланк заказа NEW'!$B$19:$B$201),'Бланк OLD 0.8 04'!$B$12:$K$200,7,0)&gt;0,0.8,
IF(VLOOKUP($A474-COUNT('Шаг2.Бланк заказа NEW'!$B$19:$B$201),'Бланк OLD 0.8 04'!$B$12:$K$200,8,0)&gt;0,0.4,""))),
IF(VLOOKUP($A474-COUNT('Шаг2.Бланк заказа NEW'!$B$19:$B$201)-COUNT('Бланк OLD 0.8 04'!$B$18:$B$200),'Бланк OLD 2.0 04 '!$B$16:$K$200,7,0)&gt;0,2,IF(VLOOKUP($A474-COUNT('Шаг2.Бланк заказа NEW'!$B$19:$B$201)-COUNT('Бланк OLD 0.8 04'!$B$18:$B$200),'Бланк OLD 2.0 04 '!$B$16:$K$200,8,0)&gt;0,0.4,"")))</f>
        <v/>
      </c>
      <c r="U474" s="147" t="str">
        <f ca="1">IFERROR(IFERROR(IF(VLOOKUP($A474,'Шаг2.Бланк заказа NEW'!$B$17:$N$201,8,0)="","",VLOOKUP($A474,'Шаг2.Бланк заказа NEW'!$B$17:$N$201,8,0)),
IF(VLOOKUP($A474-COUNT('Шаг2.Бланк заказа NEW'!$B$19:$B$201),'Бланк OLD 0.8 04'!$B$12:$K$200,7,0)&gt;1,0.8,
IF(VLOOKUP($A474-COUNT('Шаг2.Бланк заказа NEW'!$B$19:$B$201),'Бланк OLD 0.8 04'!$B$12:$K$200,8,0)&gt;1,0.4,
IF(AND(VLOOKUP($A474-COUNT('Шаг2.Бланк заказа NEW'!$B$19:$B$201),'Бланк OLD 0.8 04'!$B$12:$K$200,7,0)&gt;0,VLOOKUP($A474-COUNT('Шаг2.Бланк заказа NEW'!$B$19:$B$201),'Бланк OLD 0.8 04'!$B$12:$K$200,8,0)&gt;0),0.4,"")))),
IF(VLOOKUP($A474-COUNT('Шаг2.Бланк заказа NEW'!$B$19:$B$201)-COUNT('Бланк OLD 0.8 04'!$B$18:$B$200),'Бланк OLD 2.0 04 '!$B$16:$K$200,7,0)&gt;1,2,
IF(VLOOKUP($A474-COUNT('Шаг2.Бланк заказа NEW'!$B$19:$B$201)-COUNT('Бланк OLD 0.8 04'!$B$18:$B$200),'Бланк OLD 2.0 04 '!$B$16:$K$200,8,0)&gt;1,0.4,
IF(AND(VLOOKUP($A474-COUNT('Шаг2.Бланк заказа NEW'!$B$19:$B$201)-COUNT('Бланк OLD 0.8 04'!$B$18:$B$200),'Бланк OLD 2.0 04 '!$B$16:$K$200,7,0)&gt;0,VLOOKUP($A474-COUNT('Шаг2.Бланк заказа NEW'!$B$19:$B$201)-COUNT('Бланк OLD 0.8 04'!$B$18:$B$200),'Бланк OLD 2.0 04 '!$B$16:$K$200,8,0)&gt;0),0.4,""))))</f>
        <v/>
      </c>
      <c r="V474" s="146" t="str">
        <f ca="1">IFERROR(VLOOKUP(C474,'Шаг1.Выбор плиты'!C:S,12,0),"")</f>
        <v/>
      </c>
      <c r="W474" s="146" t="str">
        <f ca="1">IFERROR(VLOOKUP(C474,'Шаг1.Выбор плиты'!C:S,8,0),"")</f>
        <v/>
      </c>
      <c r="X474" s="146" t="str">
        <f ca="1">IFERROR(VLOOKUP(C474,'Шаг1.Выбор плиты'!C:S,10,0),"")</f>
        <v/>
      </c>
      <c r="Y474" s="147" t="str">
        <f t="shared" ca="1" si="46"/>
        <v/>
      </c>
      <c r="AD474" s="147" t="str">
        <f t="shared" ca="1" si="42"/>
        <v/>
      </c>
      <c r="AE474" s="147" t="str">
        <f t="shared" ca="1" si="47"/>
        <v/>
      </c>
      <c r="AF474" s="25"/>
      <c r="AH474" s="147" t="str">
        <f ca="1">IF(C474="","",VLOOKUP(C474,'Шаг1.Выбор плиты'!C:Q,7,0))</f>
        <v/>
      </c>
      <c r="AI474" s="147" t="str">
        <f t="shared" ca="1" si="45"/>
        <v/>
      </c>
    </row>
    <row r="475" spans="1:35" x14ac:dyDescent="0.2">
      <c r="A475" s="151" t="str">
        <f ca="1">IF(C475="","",MAX($A$1:OFFSET(C475,-1,0))+1)</f>
        <v/>
      </c>
      <c r="B475" s="151" t="str">
        <f ca="1">IFERROR(IFERROR(IFERROR("Шаг2.Бланк заказа NEW №"&amp;VLOOKUP(A474+1,CHOOSE({1,2},'Шаг2.Бланк заказа NEW'!$B$19:$B$201,'Шаг2.Бланк заказа NEW'!$A$19:$A$201),1,0),
"Бланк OLD 0.8 04 №"&amp;VLOOKUP(A474+1-COUNT('Шаг2.Бланк заказа NEW'!$B$19:$B$201),CHOOSE({1,2},'Бланк OLD 0.8 04'!$B$18:$B$200,'Бланк OLD 0.8 04'!$A$18:$A$200),1,0)),
"Бланк OLD 2.0 04 №"&amp;VLOOKUP(A474+1-COUNT('Шаг2.Бланк заказа NEW'!$B$19:$B$201)-COUNT('Бланк OLD 0.8 04'!$B$18:$B$200),CHOOSE({1,2},'Бланк OLD 2.0 04 '!$B$18:$B$200,'Бланк OLD 2.0 04 '!$A$18:$A$200),1,0)),"")</f>
        <v/>
      </c>
      <c r="C475" s="152" t="str">
        <f ca="1">IFERROR(IFERROR(IFERROR(VLOOKUP(A474+1,CHOOSE({1,2},'Шаг2.Бланк заказа NEW'!$B$19:$B$201,'Шаг2.Бланк заказа NEW'!$A$19:$A$201),2,0),
VLOOKUP(A474+1-COUNT('Шаг2.Бланк заказа NEW'!$B$19:$B$201),CHOOSE({1,2},'Бланк OLD 0.8 04'!$B$18:$B$200,'Бланк OLD 0.8 04'!$A$18:$A$200),2,0)),
VLOOKUP(A474+1-COUNT('Шаг2.Бланк заказа NEW'!$B$19:$B$201)-COUNT('Бланк OLD 0.8 04'!$B$18:$B$200),CHOOSE({1,2},'Бланк OLD 2.0 04 '!$B$18:$B$200,'Бланк OLD 2.0 04 '!$A$18:$A$200),2,0)),"")</f>
        <v/>
      </c>
      <c r="D475" s="150" t="str">
        <f ca="1">IFERROR(VLOOKUP(C475,'Шаг1.Выбор плиты'!C:G,5,0),"")</f>
        <v/>
      </c>
      <c r="E475" s="147" t="str">
        <f ca="1">IFERROR(IFERROR(IF(VLOOKUP($A475,'Шаг2.Бланк заказа NEW'!$B$17:$N$201,2,0)="","",VLOOKUP($A475,'Шаг2.Бланк заказа NEW'!$B$17:$N$201,2,0)),
IF(VLOOKUP($A475-COUNT('Шаг2.Бланк заказа NEW'!$B$19:$B$201),'Бланк OLD 0.8 04'!$B$12:$K$200,2,0)="","",VLOOKUP($A475-COUNT('Шаг2.Бланк заказа NEW'!$B$19:$B$201),'Бланк OLD 0.8 04'!$B$12:$K$200,2,0))),
IF(VLOOKUP($A475-COUNT('Шаг2.Бланк заказа NEW'!$B$19:$B$201)-COUNT('Бланк OLD 0.8 04'!$B$18:$B$200),'Бланк OLD 2.0 04 '!$B$16:$K$200,2,0)="","",VLOOKUP($A475-COUNT('Шаг2.Бланк заказа NEW'!$B$19:$B$201)-COUNT('Бланк OLD 0.8 04'!$B$18:$B$200),'Бланк OLD 2.0 04 '!$B$16:$K$200,2,0)))</f>
        <v/>
      </c>
      <c r="F475" s="147" t="str">
        <f ca="1">IFERROR(IFERROR(IF(VLOOKUP($A475,'Шаг2.Бланк заказа NEW'!$B$17:$N$201,3,0)="","",VLOOKUP($A475,'Шаг2.Бланк заказа NEW'!$B$17:$N$201,3,0)),
IF(VLOOKUP($A475-COUNT('Шаг2.Бланк заказа NEW'!$B$19:$B$201),'Бланк OLD 0.8 04'!$B$12:$K$200,3,0)="","",VLOOKUP($A475-COUNT('Шаг2.Бланк заказа NEW'!$B$19:$B$201),'Бланк OLD 0.8 04'!$B$12:$K$200,3,0))),
IF(VLOOKUP($A475-COUNT('Шаг2.Бланк заказа NEW'!$B$19:$B$201)-COUNT('Бланк OLD 0.8 04'!$B$18:$B$200),'Бланк OLD 2.0 04 '!$B$16:$K$200,3,0)="","",VLOOKUP($A475-COUNT('Шаг2.Бланк заказа NEW'!$B$19:$B$201)-COUNT('Бланк OLD 0.8 04'!$B$18:$B$200),'Бланк OLD 2.0 04 '!$B$16:$K$200,3,0)))</f>
        <v/>
      </c>
      <c r="G475" s="176" t="str">
        <f ca="1">IF(IF(R475="","",IF(R475=1,SUMIFS('Шаг1.Выбор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плиты'!C:Q,12,0)),1))))))=0,
R475,
IF(R475="","",IF(R475=1,SUMIFS('Шаг1.Выбор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плиты'!N:N,R475,'Шаг1.Выбор плиты'!M:M,SMALL(INDIRECT("мм"&amp;VLOOKUP(C475,'Шаг1.Выбор плиты'!C:Q,12,0)),1)))))))</f>
        <v/>
      </c>
      <c r="H475" s="177" t="str">
        <f ca="1">IF(IF(S475="","",IF(S475=1,SUMIFS('Шаг1.Выбор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плиты'!C:Q,12,0)),1))))))=0,
S475,
IF(S475="","",IF(S475=1,SUMIFS('Шаг1.Выбор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плиты'!N:N,S475,'Шаг1.Выбор плиты'!M:M,SMALL(INDIRECT("мм"&amp;VLOOKUP(C475,'Шаг1.Выбор плиты'!C:Q,12,0)),1)))))))</f>
        <v/>
      </c>
      <c r="I475" s="147" t="str">
        <f ca="1">IFERROR(IFERROR(IF(VLOOKUP($A475,'Шаг2.Бланк заказа NEW'!$B$17:$N$201,6,0)="","",VLOOKUP($A475,'Шаг2.Бланк заказа NEW'!$B$17:$N$201,6,0)),
IF(VLOOKUP($A475-COUNT('Шаг2.Бланк заказа NEW'!$B$19:$B$201),'Бланк OLD 0.8 04'!$B$12:$K$200,6,0)="","",VLOOKUP($A475-COUNT('Шаг2.Бланк заказа NEW'!$B$19:$B$201),'Бланк OLD 0.8 04'!$B$12:$K$200,6,0))),
IF(VLOOKUP($A475-COUNT('Шаг2.Бланк заказа NEW'!$B$19:$B$201)-COUNT('Бланк OLD 0.8 04'!$B$18:$B$200),'Бланк OLD 2.0 04 '!$B$16:$K$200,6,0)="","",VLOOKUP($A475-COUNT('Шаг2.Бланк заказа NEW'!$B$19:$B$201)-COUNT('Бланк OLD 0.8 04'!$B$18:$B$200),'Бланк OLD 2.0 04 '!$B$16:$K$200,6,0)))</f>
        <v/>
      </c>
      <c r="J475" s="177" t="str">
        <f ca="1">IF(IF(T475="","",IF(T475=1,SUMIFS('Шаг1.Выбор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плиты'!C:Q,12,0)),1))))))=0,
T475,
IF(T475="","",IF(T475=1,SUMIFS('Шаг1.Выбор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плиты'!N:N,T475,'Шаг1.Выбор плиты'!M:M,SMALL(INDIRECT("мм"&amp;VLOOKUP(C475,'Шаг1.Выбор плиты'!C:Q,12,0)),1)))))))</f>
        <v/>
      </c>
      <c r="K475" s="177" t="str">
        <f ca="1">IF(IF(U475="","",IF(U475=1,SUMIFS('Шаг1.Выбор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плиты'!C:Q,12,0)),1))))))=0,
U475,
IF(U475="","",IF(U475=1,SUMIFS('Шаг1.Выбор плиты'!$G:$G,'Шаг1.Выбор плиты'!J:J,"*"&amp;RIGHT(VLOOKUP(C475,'Шаг1.Выбор плиты'!C:Q,8,0),4),'Шаг1.Выбор плиты'!L:L,IF(MID(C475,1,6)="ЛДСП P","TM"&amp;MID(VLOOKUP(C475,'Шаг1.Выбор плиты'!C:Q,10,0),3,2),MID(VLOOKUP(C475,'Шаг1.Выбор плиты'!C:Q,10,0),1,2)),
'Шаг1.Выбор плиты'!N:N,1),IF(SUMIFS('Шаг1.Выбор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плиты'!C:Q,12,0)),1))=0,
IF(SUMIFS('Шаг1.Выбор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плиты'!C:Q,12,0)),2))=0,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плиты'!C:Q,12,0)),3)),
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плиты'!C:Q,12,0)),2))),
(SUMIFS('Шаг1.Выбор плиты'!$G:$G,'Шаг1.Выбор плиты'!J:J,"*"&amp;RIGHT(VLOOKUP(C475,'Шаг1.Выбор плиты'!C:Q,8,0),4),'Шаг1.Выбор плиты'!L:L,VLOOKUP(C475,'Шаг1.Выбор плиты'!C:Q,10,0),'Шаг1.Выбор плиты'!N:N,U475,'Шаг1.Выбор плиты'!M:M,SMALL(INDIRECT("мм"&amp;VLOOKUP(C475,'Шаг1.Выбор плиты'!C:Q,12,0)),1)))))))</f>
        <v/>
      </c>
      <c r="L475" s="147" t="str">
        <f ca="1">IFERROR(IFERROR(IF(VLOOKUP($A475,'Шаг2.Бланк заказа NEW'!$B$17:$N$201,9,0)="","",VLOOKUP($A475,'Шаг2.Бланк заказа NEW'!$B$17:$N$201,9,0)),
IF(VLOOKUP($A475-COUNT('Шаг2.Бланк заказа NEW'!$B$19:$B$201),'Бланк OLD 0.8 04'!$B$12:$K$200,9,0)="","",VLOOKUP($A475-COUNT('Шаг2.Бланк заказа NEW'!$B$19:$B$201),'Бланк OLD 0.8 04'!$B$12:$K$200,9,0))),
IF(VLOOKUP($A475-COUNT('Шаг2.Бланк заказа NEW'!$B$19:$B$201)-COUNT('Бланк OLD 0.8 04'!$B$18:$B$200),'Бланк OLD 2.0 04 '!$B$16:$K$200,9,0)="","",VLOOKUP($A475-COUNT('Шаг2.Бланк заказа NEW'!$B$19:$B$201)-COUNT('Бланк OLD 0.8 04'!$B$18:$B$200),'Бланк OLD 2.0 04 '!$B$16:$K$200,9,0)))</f>
        <v/>
      </c>
      <c r="M475" s="154" t="str">
        <f t="shared" ca="1" si="44"/>
        <v/>
      </c>
      <c r="N475" s="153" t="str">
        <f ca="1">IFERROR(IF(VLOOKUP($A475,'Шаг2.Бланк заказа NEW'!$B$17:$N$201,11,0)="","",VLOOKUP($A475,'Шаг2.Бланк заказа NEW'!$B$17:$N$201,11,0)),
"Нет")</f>
        <v/>
      </c>
      <c r="O475" s="147" t="str">
        <f ca="1">IFERROR(IF(VLOOKUP($A475,'Шаг2.Бланк заказа NEW'!$B$17:$N$201,11,0)="","",VLOOKUP($A475,'Шаг2.Бланк заказа NEW'!$B$17:$N$201,12,0)),
"Нет")</f>
        <v/>
      </c>
      <c r="P475" s="153" t="str">
        <f ca="1">IFERROR(IF(VLOOKUP($A475,'Шаг2.Бланк заказа NEW'!$B$17:$N$201,13,0)="","",VLOOKUP($A475,'Шаг2.Бланк заказа NEW'!$B$17:$N$201,13,0)),
"Нет")</f>
        <v/>
      </c>
      <c r="Q475" s="147" t="str">
        <f ca="1">IFERROR(IF(VLOOKUP($A475,'Шаг2.Бланк заказа NEW'!$B$17:$O$201,14,0)="","",VLOOKUP($A475,'Шаг2.Бланк заказа NEW'!$B$17:$O$201,14,0)),"")</f>
        <v/>
      </c>
      <c r="R475" s="147" t="str">
        <f ca="1">IFERROR(IFERROR(IF(VLOOKUP($A475,'Шаг2.Бланк заказа NEW'!$B$17:$N$201,4,0)="","",VLOOKUP($A475,'Шаг2.Бланк заказа NEW'!$B$17:$N$201,4,0)),
IF(VLOOKUP($A475-COUNT('Шаг2.Бланк заказа NEW'!$B$19:$B$201),'Бланк OLD 0.8 04'!$B$12:$K$200,4,0)&gt;0,0.8,
IF(VLOOKUP($A475-COUNT('Шаг2.Бланк заказа NEW'!$B$19:$B$201),'Бланк OLD 0.8 04'!$B$12:$K$200,5,0)&gt;0,0.4,""))),
IF(VLOOKUP($A475-COUNT('Шаг2.Бланк заказа NEW'!$B$19:$B$201)-COUNT('Бланк OLD 0.8 04'!$B$18:$B$200),'Бланк OLD 2.0 04 '!$B$16:$K$200,4,0)&gt;0,2,IF(VLOOKUP($A475-COUNT('Шаг2.Бланк заказа NEW'!$B$19:$B$201)-COUNT('Бланк OLD 0.8 04'!$B$18:$B$200),'Бланк OLD 2.0 04 '!$B$16:$K$200,5,0)&gt;0,0.4,"")))</f>
        <v/>
      </c>
      <c r="S475" s="147" t="str">
        <f ca="1">IFERROR(IFERROR(IF(VLOOKUP($A475,'Шаг2.Бланк заказа NEW'!$B$17:$N$201,5,0)="","",VLOOKUP($A475,'Шаг2.Бланк заказа NEW'!$B$17:$N$201,5,0)),
IF(VLOOKUP($A475-COUNT('Шаг2.Бланк заказа NEW'!$B$19:$B$201),'Бланк OLD 0.8 04'!$B$12:$K$200,4,0)&gt;1,0.8,
IF(VLOOKUP($A475-COUNT('Шаг2.Бланк заказа NEW'!$B$19:$B$201),'Бланк OLD 0.8 04'!$B$12:$K$200,5,0)&gt;1,0.4,
IF(AND(VLOOKUP($A475-COUNT('Шаг2.Бланк заказа NEW'!$B$19:$B$201),'Бланк OLD 0.8 04'!$B$12:$K$200,4,0)&gt;0,VLOOKUP($A475-COUNT('Шаг2.Бланк заказа NEW'!$B$19:$B$201),'Бланк OLD 0.8 04'!$B$12:$K$200,5,0)&gt;0),0.4,"")))),
IF(VLOOKUP($A475-COUNT('Шаг2.Бланк заказа NEW'!$B$19:$B$201)-COUNT('Бланк OLD 0.8 04'!$B$18:$B$200),'Бланк OLD 2.0 04 '!$B$16:$K$200,4,0)&gt;1,2,
IF(VLOOKUP($A475-COUNT('Шаг2.Бланк заказа NEW'!$B$19:$B$201)-COUNT('Бланк OLD 0.8 04'!$B$18:$B$200),'Бланк OLD 2.0 04 '!$B$16:$K$200,5,0)&gt;1,0.4,IF(AND(VLOOKUP($A475-COUNT('Шаг2.Бланк заказа NEW'!$B$19:$B$201)-COUNT('Бланк OLD 0.8 04'!$B$18:$B$200),'Бланк OLD 2.0 04 '!$B$16:$K$200,4,0)&gt;0,VLOOKUP($A475-COUNT('Шаг2.Бланк заказа NEW'!$B$19:$B$201)-COUNT('Бланк OLD 0.8 04'!$B$18:$B$200),'Бланк OLD 2.0 04 '!$B$16:$K$200,5,0)&gt;0),0.4,""))))</f>
        <v/>
      </c>
      <c r="T475" s="147" t="str">
        <f ca="1">IFERROR(IFERROR(IF(VLOOKUP($A475,'Шаг2.Бланк заказа NEW'!$B$17:$N$201,7,0)="","",VLOOKUP($A475,'Шаг2.Бланк заказа NEW'!$B$17:$N$201,7,0)),
IF(VLOOKUP($A475-COUNT('Шаг2.Бланк заказа NEW'!$B$19:$B$201),'Бланк OLD 0.8 04'!$B$12:$K$200,7,0)&gt;0,0.8,
IF(VLOOKUP($A475-COUNT('Шаг2.Бланк заказа NEW'!$B$19:$B$201),'Бланк OLD 0.8 04'!$B$12:$K$200,8,0)&gt;0,0.4,""))),
IF(VLOOKUP($A475-COUNT('Шаг2.Бланк заказа NEW'!$B$19:$B$201)-COUNT('Бланк OLD 0.8 04'!$B$18:$B$200),'Бланк OLD 2.0 04 '!$B$16:$K$200,7,0)&gt;0,2,IF(VLOOKUP($A475-COUNT('Шаг2.Бланк заказа NEW'!$B$19:$B$201)-COUNT('Бланк OLD 0.8 04'!$B$18:$B$200),'Бланк OLD 2.0 04 '!$B$16:$K$200,8,0)&gt;0,0.4,"")))</f>
        <v/>
      </c>
      <c r="U475" s="147" t="str">
        <f ca="1">IFERROR(IFERROR(IF(VLOOKUP($A475,'Шаг2.Бланк заказа NEW'!$B$17:$N$201,8,0)="","",VLOOKUP($A475,'Шаг2.Бланк заказа NEW'!$B$17:$N$201,8,0)),
IF(VLOOKUP($A475-COUNT('Шаг2.Бланк заказа NEW'!$B$19:$B$201),'Бланк OLD 0.8 04'!$B$12:$K$200,7,0)&gt;1,0.8,
IF(VLOOKUP($A475-COUNT('Шаг2.Бланк заказа NEW'!$B$19:$B$201),'Бланк OLD 0.8 04'!$B$12:$K$200,8,0)&gt;1,0.4,
IF(AND(VLOOKUP($A475-COUNT('Шаг2.Бланк заказа NEW'!$B$19:$B$201),'Бланк OLD 0.8 04'!$B$12:$K$200,7,0)&gt;0,VLOOKUP($A475-COUNT('Шаг2.Бланк заказа NEW'!$B$19:$B$201),'Бланк OLD 0.8 04'!$B$12:$K$200,8,0)&gt;0),0.4,"")))),
IF(VLOOKUP($A475-COUNT('Шаг2.Бланк заказа NEW'!$B$19:$B$201)-COUNT('Бланк OLD 0.8 04'!$B$18:$B$200),'Бланк OLD 2.0 04 '!$B$16:$K$200,7,0)&gt;1,2,
IF(VLOOKUP($A475-COUNT('Шаг2.Бланк заказа NEW'!$B$19:$B$201)-COUNT('Бланк OLD 0.8 04'!$B$18:$B$200),'Бланк OLD 2.0 04 '!$B$16:$K$200,8,0)&gt;1,0.4,
IF(AND(VLOOKUP($A475-COUNT('Шаг2.Бланк заказа NEW'!$B$19:$B$201)-COUNT('Бланк OLD 0.8 04'!$B$18:$B$200),'Бланк OLD 2.0 04 '!$B$16:$K$200,7,0)&gt;0,VLOOKUP($A475-COUNT('Шаг2.Бланк заказа NEW'!$B$19:$B$201)-COUNT('Бланк OLD 0.8 04'!$B$18:$B$200),'Бланк OLD 2.0 04 '!$B$16:$K$200,8,0)&gt;0),0.4,""))))</f>
        <v/>
      </c>
      <c r="V475" s="146" t="str">
        <f ca="1">IFERROR(VLOOKUP(C475,'Шаг1.Выбор плиты'!C:S,12,0),"")</f>
        <v/>
      </c>
      <c r="W475" s="146" t="str">
        <f ca="1">IFERROR(VLOOKUP(C475,'Шаг1.Выбор плиты'!C:S,8,0),"")</f>
        <v/>
      </c>
      <c r="X475" s="146" t="str">
        <f ca="1">IFERROR(VLOOKUP(C475,'Шаг1.Выбор плиты'!C:S,10,0),"")</f>
        <v/>
      </c>
      <c r="Y475" s="147" t="str">
        <f t="shared" ca="1" si="46"/>
        <v/>
      </c>
      <c r="AD475" s="147" t="str">
        <f t="shared" ca="1" si="42"/>
        <v/>
      </c>
      <c r="AE475" s="147" t="str">
        <f t="shared" ca="1" si="47"/>
        <v/>
      </c>
      <c r="AF475" s="25"/>
      <c r="AH475" s="147" t="str">
        <f ca="1">IF(C475="","",VLOOKUP(C475,'Шаг1.Выбор плиты'!C:Q,7,0))</f>
        <v/>
      </c>
      <c r="AI475" s="147" t="str">
        <f t="shared" ca="1" si="45"/>
        <v/>
      </c>
    </row>
    <row r="476" spans="1:35" x14ac:dyDescent="0.2">
      <c r="A476" s="151" t="str">
        <f ca="1">IF(C476="","",MAX($A$1:OFFSET(C476,-1,0))+1)</f>
        <v/>
      </c>
      <c r="B476" s="151" t="str">
        <f ca="1">IFERROR(IFERROR(IFERROR("Шаг2.Бланк заказа NEW №"&amp;VLOOKUP(A475+1,CHOOSE({1,2},'Шаг2.Бланк заказа NEW'!$B$19:$B$201,'Шаг2.Бланк заказа NEW'!$A$19:$A$201),1,0),
"Бланк OLD 0.8 04 №"&amp;VLOOKUP(A475+1-COUNT('Шаг2.Бланк заказа NEW'!$B$19:$B$201),CHOOSE({1,2},'Бланк OLD 0.8 04'!$B$18:$B$200,'Бланк OLD 0.8 04'!$A$18:$A$200),1,0)),
"Бланк OLD 2.0 04 №"&amp;VLOOKUP(A475+1-COUNT('Шаг2.Бланк заказа NEW'!$B$19:$B$201)-COUNT('Бланк OLD 0.8 04'!$B$18:$B$200),CHOOSE({1,2},'Бланк OLD 2.0 04 '!$B$18:$B$200,'Бланк OLD 2.0 04 '!$A$18:$A$200),1,0)),"")</f>
        <v/>
      </c>
      <c r="C476" s="152" t="str">
        <f ca="1">IFERROR(IFERROR(IFERROR(VLOOKUP(A475+1,CHOOSE({1,2},'Шаг2.Бланк заказа NEW'!$B$19:$B$201,'Шаг2.Бланк заказа NEW'!$A$19:$A$201),2,0),
VLOOKUP(A475+1-COUNT('Шаг2.Бланк заказа NEW'!$B$19:$B$201),CHOOSE({1,2},'Бланк OLD 0.8 04'!$B$18:$B$200,'Бланк OLD 0.8 04'!$A$18:$A$200),2,0)),
VLOOKUP(A475+1-COUNT('Шаг2.Бланк заказа NEW'!$B$19:$B$201)-COUNT('Бланк OLD 0.8 04'!$B$18:$B$200),CHOOSE({1,2},'Бланк OLD 2.0 04 '!$B$18:$B$200,'Бланк OLD 2.0 04 '!$A$18:$A$200),2,0)),"")</f>
        <v/>
      </c>
      <c r="D476" s="150" t="str">
        <f ca="1">IFERROR(VLOOKUP(C476,'Шаг1.Выбор плиты'!C:G,5,0),"")</f>
        <v/>
      </c>
      <c r="E476" s="147" t="str">
        <f ca="1">IFERROR(IFERROR(IF(VLOOKUP($A476,'Шаг2.Бланк заказа NEW'!$B$17:$N$201,2,0)="","",VLOOKUP($A476,'Шаг2.Бланк заказа NEW'!$B$17:$N$201,2,0)),
IF(VLOOKUP($A476-COUNT('Шаг2.Бланк заказа NEW'!$B$19:$B$201),'Бланк OLD 0.8 04'!$B$12:$K$200,2,0)="","",VLOOKUP($A476-COUNT('Шаг2.Бланк заказа NEW'!$B$19:$B$201),'Бланк OLD 0.8 04'!$B$12:$K$200,2,0))),
IF(VLOOKUP($A476-COUNT('Шаг2.Бланк заказа NEW'!$B$19:$B$201)-COUNT('Бланк OLD 0.8 04'!$B$18:$B$200),'Бланк OLD 2.0 04 '!$B$16:$K$200,2,0)="","",VLOOKUP($A476-COUNT('Шаг2.Бланк заказа NEW'!$B$19:$B$201)-COUNT('Бланк OLD 0.8 04'!$B$18:$B$200),'Бланк OLD 2.0 04 '!$B$16:$K$200,2,0)))</f>
        <v/>
      </c>
      <c r="F476" s="147" t="str">
        <f ca="1">IFERROR(IFERROR(IF(VLOOKUP($A476,'Шаг2.Бланк заказа NEW'!$B$17:$N$201,3,0)="","",VLOOKUP($A476,'Шаг2.Бланк заказа NEW'!$B$17:$N$201,3,0)),
IF(VLOOKUP($A476-COUNT('Шаг2.Бланк заказа NEW'!$B$19:$B$201),'Бланк OLD 0.8 04'!$B$12:$K$200,3,0)="","",VLOOKUP($A476-COUNT('Шаг2.Бланк заказа NEW'!$B$19:$B$201),'Бланк OLD 0.8 04'!$B$12:$K$200,3,0))),
IF(VLOOKUP($A476-COUNT('Шаг2.Бланк заказа NEW'!$B$19:$B$201)-COUNT('Бланк OLD 0.8 04'!$B$18:$B$200),'Бланк OLD 2.0 04 '!$B$16:$K$200,3,0)="","",VLOOKUP($A476-COUNT('Шаг2.Бланк заказа NEW'!$B$19:$B$201)-COUNT('Бланк OLD 0.8 04'!$B$18:$B$200),'Бланк OLD 2.0 04 '!$B$16:$K$200,3,0)))</f>
        <v/>
      </c>
      <c r="G476" s="176" t="str">
        <f ca="1">IF(IF(R476="","",IF(R476=1,SUMIFS('Шаг1.Выбор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плиты'!C:Q,12,0)),1))))))=0,
R476,
IF(R476="","",IF(R476=1,SUMIFS('Шаг1.Выбор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плиты'!N:N,R476,'Шаг1.Выбор плиты'!M:M,SMALL(INDIRECT("мм"&amp;VLOOKUP(C476,'Шаг1.Выбор плиты'!C:Q,12,0)),1)))))))</f>
        <v/>
      </c>
      <c r="H476" s="177" t="str">
        <f ca="1">IF(IF(S476="","",IF(S476=1,SUMIFS('Шаг1.Выбор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плиты'!C:Q,12,0)),1))))))=0,
S476,
IF(S476="","",IF(S476=1,SUMIFS('Шаг1.Выбор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плиты'!N:N,S476,'Шаг1.Выбор плиты'!M:M,SMALL(INDIRECT("мм"&amp;VLOOKUP(C476,'Шаг1.Выбор плиты'!C:Q,12,0)),1)))))))</f>
        <v/>
      </c>
      <c r="I476" s="147" t="str">
        <f ca="1">IFERROR(IFERROR(IF(VLOOKUP($A476,'Шаг2.Бланк заказа NEW'!$B$17:$N$201,6,0)="","",VLOOKUP($A476,'Шаг2.Бланк заказа NEW'!$B$17:$N$201,6,0)),
IF(VLOOKUP($A476-COUNT('Шаг2.Бланк заказа NEW'!$B$19:$B$201),'Бланк OLD 0.8 04'!$B$12:$K$200,6,0)="","",VLOOKUP($A476-COUNT('Шаг2.Бланк заказа NEW'!$B$19:$B$201),'Бланк OLD 0.8 04'!$B$12:$K$200,6,0))),
IF(VLOOKUP($A476-COUNT('Шаг2.Бланк заказа NEW'!$B$19:$B$201)-COUNT('Бланк OLD 0.8 04'!$B$18:$B$200),'Бланк OLD 2.0 04 '!$B$16:$K$200,6,0)="","",VLOOKUP($A476-COUNT('Шаг2.Бланк заказа NEW'!$B$19:$B$201)-COUNT('Бланк OLD 0.8 04'!$B$18:$B$200),'Бланк OLD 2.0 04 '!$B$16:$K$200,6,0)))</f>
        <v/>
      </c>
      <c r="J476" s="177" t="str">
        <f ca="1">IF(IF(T476="","",IF(T476=1,SUMIFS('Шаг1.Выбор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плиты'!C:Q,12,0)),1))))))=0,
T476,
IF(T476="","",IF(T476=1,SUMIFS('Шаг1.Выбор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плиты'!N:N,T476,'Шаг1.Выбор плиты'!M:M,SMALL(INDIRECT("мм"&amp;VLOOKUP(C476,'Шаг1.Выбор плиты'!C:Q,12,0)),1)))))))</f>
        <v/>
      </c>
      <c r="K476" s="177" t="str">
        <f ca="1">IF(IF(U476="","",IF(U476=1,SUMIFS('Шаг1.Выбор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плиты'!C:Q,12,0)),1))))))=0,
U476,
IF(U476="","",IF(U476=1,SUMIFS('Шаг1.Выбор плиты'!$G:$G,'Шаг1.Выбор плиты'!J:J,"*"&amp;RIGHT(VLOOKUP(C476,'Шаг1.Выбор плиты'!C:Q,8,0),4),'Шаг1.Выбор плиты'!L:L,IF(MID(C476,1,6)="ЛДСП P","TM"&amp;MID(VLOOKUP(C476,'Шаг1.Выбор плиты'!C:Q,10,0),3,2),MID(VLOOKUP(C476,'Шаг1.Выбор плиты'!C:Q,10,0),1,2)),
'Шаг1.Выбор плиты'!N:N,1),IF(SUMIFS('Шаг1.Выбор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плиты'!C:Q,12,0)),1))=0,
IF(SUMIFS('Шаг1.Выбор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плиты'!C:Q,12,0)),2))=0,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плиты'!C:Q,12,0)),3)),
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плиты'!C:Q,12,0)),2))),
(SUMIFS('Шаг1.Выбор плиты'!$G:$G,'Шаг1.Выбор плиты'!J:J,"*"&amp;RIGHT(VLOOKUP(C476,'Шаг1.Выбор плиты'!C:Q,8,0),4),'Шаг1.Выбор плиты'!L:L,VLOOKUP(C476,'Шаг1.Выбор плиты'!C:Q,10,0),'Шаг1.Выбор плиты'!N:N,U476,'Шаг1.Выбор плиты'!M:M,SMALL(INDIRECT("мм"&amp;VLOOKUP(C476,'Шаг1.Выбор плиты'!C:Q,12,0)),1)))))))</f>
        <v/>
      </c>
      <c r="L476" s="147" t="str">
        <f ca="1">IFERROR(IFERROR(IF(VLOOKUP($A476,'Шаг2.Бланк заказа NEW'!$B$17:$N$201,9,0)="","",VLOOKUP($A476,'Шаг2.Бланк заказа NEW'!$B$17:$N$201,9,0)),
IF(VLOOKUP($A476-COUNT('Шаг2.Бланк заказа NEW'!$B$19:$B$201),'Бланк OLD 0.8 04'!$B$12:$K$200,9,0)="","",VLOOKUP($A476-COUNT('Шаг2.Бланк заказа NEW'!$B$19:$B$201),'Бланк OLD 0.8 04'!$B$12:$K$200,9,0))),
IF(VLOOKUP($A476-COUNT('Шаг2.Бланк заказа NEW'!$B$19:$B$201)-COUNT('Бланк OLD 0.8 04'!$B$18:$B$200),'Бланк OLD 2.0 04 '!$B$16:$K$200,9,0)="","",VLOOKUP($A476-COUNT('Шаг2.Бланк заказа NEW'!$B$19:$B$201)-COUNT('Бланк OLD 0.8 04'!$B$18:$B$200),'Бланк OLD 2.0 04 '!$B$16:$K$200,9,0)))</f>
        <v/>
      </c>
      <c r="M476" s="154" t="str">
        <f t="shared" ca="1" si="44"/>
        <v/>
      </c>
      <c r="N476" s="153" t="str">
        <f ca="1">IFERROR(IF(VLOOKUP($A476,'Шаг2.Бланк заказа NEW'!$B$17:$N$201,11,0)="","",VLOOKUP($A476,'Шаг2.Бланк заказа NEW'!$B$17:$N$201,11,0)),
"Нет")</f>
        <v/>
      </c>
      <c r="O476" s="147" t="str">
        <f ca="1">IFERROR(IF(VLOOKUP($A476,'Шаг2.Бланк заказа NEW'!$B$17:$N$201,11,0)="","",VLOOKUP($A476,'Шаг2.Бланк заказа NEW'!$B$17:$N$201,12,0)),
"Нет")</f>
        <v/>
      </c>
      <c r="P476" s="153" t="str">
        <f ca="1">IFERROR(IF(VLOOKUP($A476,'Шаг2.Бланк заказа NEW'!$B$17:$N$201,13,0)="","",VLOOKUP($A476,'Шаг2.Бланк заказа NEW'!$B$17:$N$201,13,0)),
"Нет")</f>
        <v/>
      </c>
      <c r="Q476" s="147" t="str">
        <f ca="1">IFERROR(IF(VLOOKUP($A476,'Шаг2.Бланк заказа NEW'!$B$17:$O$201,14,0)="","",VLOOKUP($A476,'Шаг2.Бланк заказа NEW'!$B$17:$O$201,14,0)),"")</f>
        <v/>
      </c>
      <c r="R476" s="147" t="str">
        <f ca="1">IFERROR(IFERROR(IF(VLOOKUP($A476,'Шаг2.Бланк заказа NEW'!$B$17:$N$201,4,0)="","",VLOOKUP($A476,'Шаг2.Бланк заказа NEW'!$B$17:$N$201,4,0)),
IF(VLOOKUP($A476-COUNT('Шаг2.Бланк заказа NEW'!$B$19:$B$201),'Бланк OLD 0.8 04'!$B$12:$K$200,4,0)&gt;0,0.8,
IF(VLOOKUP($A476-COUNT('Шаг2.Бланк заказа NEW'!$B$19:$B$201),'Бланк OLD 0.8 04'!$B$12:$K$200,5,0)&gt;0,0.4,""))),
IF(VLOOKUP($A476-COUNT('Шаг2.Бланк заказа NEW'!$B$19:$B$201)-COUNT('Бланк OLD 0.8 04'!$B$18:$B$200),'Бланк OLD 2.0 04 '!$B$16:$K$200,4,0)&gt;0,2,IF(VLOOKUP($A476-COUNT('Шаг2.Бланк заказа NEW'!$B$19:$B$201)-COUNT('Бланк OLD 0.8 04'!$B$18:$B$200),'Бланк OLD 2.0 04 '!$B$16:$K$200,5,0)&gt;0,0.4,"")))</f>
        <v/>
      </c>
      <c r="S476" s="147" t="str">
        <f ca="1">IFERROR(IFERROR(IF(VLOOKUP($A476,'Шаг2.Бланк заказа NEW'!$B$17:$N$201,5,0)="","",VLOOKUP($A476,'Шаг2.Бланк заказа NEW'!$B$17:$N$201,5,0)),
IF(VLOOKUP($A476-COUNT('Шаг2.Бланк заказа NEW'!$B$19:$B$201),'Бланк OLD 0.8 04'!$B$12:$K$200,4,0)&gt;1,0.8,
IF(VLOOKUP($A476-COUNT('Шаг2.Бланк заказа NEW'!$B$19:$B$201),'Бланк OLD 0.8 04'!$B$12:$K$200,5,0)&gt;1,0.4,
IF(AND(VLOOKUP($A476-COUNT('Шаг2.Бланк заказа NEW'!$B$19:$B$201),'Бланк OLD 0.8 04'!$B$12:$K$200,4,0)&gt;0,VLOOKUP($A476-COUNT('Шаг2.Бланк заказа NEW'!$B$19:$B$201),'Бланк OLD 0.8 04'!$B$12:$K$200,5,0)&gt;0),0.4,"")))),
IF(VLOOKUP($A476-COUNT('Шаг2.Бланк заказа NEW'!$B$19:$B$201)-COUNT('Бланк OLD 0.8 04'!$B$18:$B$200),'Бланк OLD 2.0 04 '!$B$16:$K$200,4,0)&gt;1,2,
IF(VLOOKUP($A476-COUNT('Шаг2.Бланк заказа NEW'!$B$19:$B$201)-COUNT('Бланк OLD 0.8 04'!$B$18:$B$200),'Бланк OLD 2.0 04 '!$B$16:$K$200,5,0)&gt;1,0.4,IF(AND(VLOOKUP($A476-COUNT('Шаг2.Бланк заказа NEW'!$B$19:$B$201)-COUNT('Бланк OLD 0.8 04'!$B$18:$B$200),'Бланк OLD 2.0 04 '!$B$16:$K$200,4,0)&gt;0,VLOOKUP($A476-COUNT('Шаг2.Бланк заказа NEW'!$B$19:$B$201)-COUNT('Бланк OLD 0.8 04'!$B$18:$B$200),'Бланк OLD 2.0 04 '!$B$16:$K$200,5,0)&gt;0),0.4,""))))</f>
        <v/>
      </c>
      <c r="T476" s="147" t="str">
        <f ca="1">IFERROR(IFERROR(IF(VLOOKUP($A476,'Шаг2.Бланк заказа NEW'!$B$17:$N$201,7,0)="","",VLOOKUP($A476,'Шаг2.Бланк заказа NEW'!$B$17:$N$201,7,0)),
IF(VLOOKUP($A476-COUNT('Шаг2.Бланк заказа NEW'!$B$19:$B$201),'Бланк OLD 0.8 04'!$B$12:$K$200,7,0)&gt;0,0.8,
IF(VLOOKUP($A476-COUNT('Шаг2.Бланк заказа NEW'!$B$19:$B$201),'Бланк OLD 0.8 04'!$B$12:$K$200,8,0)&gt;0,0.4,""))),
IF(VLOOKUP($A476-COUNT('Шаг2.Бланк заказа NEW'!$B$19:$B$201)-COUNT('Бланк OLD 0.8 04'!$B$18:$B$200),'Бланк OLD 2.0 04 '!$B$16:$K$200,7,0)&gt;0,2,IF(VLOOKUP($A476-COUNT('Шаг2.Бланк заказа NEW'!$B$19:$B$201)-COUNT('Бланк OLD 0.8 04'!$B$18:$B$200),'Бланк OLD 2.0 04 '!$B$16:$K$200,8,0)&gt;0,0.4,"")))</f>
        <v/>
      </c>
      <c r="U476" s="147" t="str">
        <f ca="1">IFERROR(IFERROR(IF(VLOOKUP($A476,'Шаг2.Бланк заказа NEW'!$B$17:$N$201,8,0)="","",VLOOKUP($A476,'Шаг2.Бланк заказа NEW'!$B$17:$N$201,8,0)),
IF(VLOOKUP($A476-COUNT('Шаг2.Бланк заказа NEW'!$B$19:$B$201),'Бланк OLD 0.8 04'!$B$12:$K$200,7,0)&gt;1,0.8,
IF(VLOOKUP($A476-COUNT('Шаг2.Бланк заказа NEW'!$B$19:$B$201),'Бланк OLD 0.8 04'!$B$12:$K$200,8,0)&gt;1,0.4,
IF(AND(VLOOKUP($A476-COUNT('Шаг2.Бланк заказа NEW'!$B$19:$B$201),'Бланк OLD 0.8 04'!$B$12:$K$200,7,0)&gt;0,VLOOKUP($A476-COUNT('Шаг2.Бланк заказа NEW'!$B$19:$B$201),'Бланк OLD 0.8 04'!$B$12:$K$200,8,0)&gt;0),0.4,"")))),
IF(VLOOKUP($A476-COUNT('Шаг2.Бланк заказа NEW'!$B$19:$B$201)-COUNT('Бланк OLD 0.8 04'!$B$18:$B$200),'Бланк OLD 2.0 04 '!$B$16:$K$200,7,0)&gt;1,2,
IF(VLOOKUP($A476-COUNT('Шаг2.Бланк заказа NEW'!$B$19:$B$201)-COUNT('Бланк OLD 0.8 04'!$B$18:$B$200),'Бланк OLD 2.0 04 '!$B$16:$K$200,8,0)&gt;1,0.4,
IF(AND(VLOOKUP($A476-COUNT('Шаг2.Бланк заказа NEW'!$B$19:$B$201)-COUNT('Бланк OLD 0.8 04'!$B$18:$B$200),'Бланк OLD 2.0 04 '!$B$16:$K$200,7,0)&gt;0,VLOOKUP($A476-COUNT('Шаг2.Бланк заказа NEW'!$B$19:$B$201)-COUNT('Бланк OLD 0.8 04'!$B$18:$B$200),'Бланк OLD 2.0 04 '!$B$16:$K$200,8,0)&gt;0),0.4,""))))</f>
        <v/>
      </c>
      <c r="V476" s="146" t="str">
        <f ca="1">IFERROR(VLOOKUP(C476,'Шаг1.Выбор плиты'!C:S,12,0),"")</f>
        <v/>
      </c>
      <c r="W476" s="146" t="str">
        <f ca="1">IFERROR(VLOOKUP(C476,'Шаг1.Выбор плиты'!C:S,8,0),"")</f>
        <v/>
      </c>
      <c r="X476" s="146" t="str">
        <f ca="1">IFERROR(VLOOKUP(C476,'Шаг1.Выбор плиты'!C:S,10,0),"")</f>
        <v/>
      </c>
      <c r="Y476" s="147" t="str">
        <f t="shared" ca="1" si="46"/>
        <v/>
      </c>
      <c r="AD476" s="147" t="str">
        <f t="shared" ca="1" si="42"/>
        <v/>
      </c>
      <c r="AE476" s="147" t="str">
        <f t="shared" ca="1" si="47"/>
        <v/>
      </c>
      <c r="AF476" s="25"/>
      <c r="AH476" s="147" t="str">
        <f ca="1">IF(C476="","",VLOOKUP(C476,'Шаг1.Выбор плиты'!C:Q,7,0))</f>
        <v/>
      </c>
      <c r="AI476" s="147" t="str">
        <f t="shared" ca="1" si="45"/>
        <v/>
      </c>
    </row>
    <row r="477" spans="1:35" x14ac:dyDescent="0.2">
      <c r="A477" s="151" t="str">
        <f ca="1">IF(C477="","",MAX($A$1:OFFSET(C477,-1,0))+1)</f>
        <v/>
      </c>
      <c r="B477" s="151" t="str">
        <f ca="1">IFERROR(IFERROR(IFERROR("Шаг2.Бланк заказа NEW №"&amp;VLOOKUP(A476+1,CHOOSE({1,2},'Шаг2.Бланк заказа NEW'!$B$19:$B$201,'Шаг2.Бланк заказа NEW'!$A$19:$A$201),1,0),
"Бланк OLD 0.8 04 №"&amp;VLOOKUP(A476+1-COUNT('Шаг2.Бланк заказа NEW'!$B$19:$B$201),CHOOSE({1,2},'Бланк OLD 0.8 04'!$B$18:$B$200,'Бланк OLD 0.8 04'!$A$18:$A$200),1,0)),
"Бланк OLD 2.0 04 №"&amp;VLOOKUP(A476+1-COUNT('Шаг2.Бланк заказа NEW'!$B$19:$B$201)-COUNT('Бланк OLD 0.8 04'!$B$18:$B$200),CHOOSE({1,2},'Бланк OLD 2.0 04 '!$B$18:$B$200,'Бланк OLD 2.0 04 '!$A$18:$A$200),1,0)),"")</f>
        <v/>
      </c>
      <c r="C477" s="152" t="str">
        <f ca="1">IFERROR(IFERROR(IFERROR(VLOOKUP(A476+1,CHOOSE({1,2},'Шаг2.Бланк заказа NEW'!$B$19:$B$201,'Шаг2.Бланк заказа NEW'!$A$19:$A$201),2,0),
VLOOKUP(A476+1-COUNT('Шаг2.Бланк заказа NEW'!$B$19:$B$201),CHOOSE({1,2},'Бланк OLD 0.8 04'!$B$18:$B$200,'Бланк OLD 0.8 04'!$A$18:$A$200),2,0)),
VLOOKUP(A476+1-COUNT('Шаг2.Бланк заказа NEW'!$B$19:$B$201)-COUNT('Бланк OLD 0.8 04'!$B$18:$B$200),CHOOSE({1,2},'Бланк OLD 2.0 04 '!$B$18:$B$200,'Бланк OLD 2.0 04 '!$A$18:$A$200),2,0)),"")</f>
        <v/>
      </c>
      <c r="D477" s="150" t="str">
        <f ca="1">IFERROR(VLOOKUP(C477,'Шаг1.Выбор плиты'!C:G,5,0),"")</f>
        <v/>
      </c>
      <c r="E477" s="147" t="str">
        <f ca="1">IFERROR(IFERROR(IF(VLOOKUP($A477,'Шаг2.Бланк заказа NEW'!$B$17:$N$201,2,0)="","",VLOOKUP($A477,'Шаг2.Бланк заказа NEW'!$B$17:$N$201,2,0)),
IF(VLOOKUP($A477-COUNT('Шаг2.Бланк заказа NEW'!$B$19:$B$201),'Бланк OLD 0.8 04'!$B$12:$K$200,2,0)="","",VLOOKUP($A477-COUNT('Шаг2.Бланк заказа NEW'!$B$19:$B$201),'Бланк OLD 0.8 04'!$B$12:$K$200,2,0))),
IF(VLOOKUP($A477-COUNT('Шаг2.Бланк заказа NEW'!$B$19:$B$201)-COUNT('Бланк OLD 0.8 04'!$B$18:$B$200),'Бланк OLD 2.0 04 '!$B$16:$K$200,2,0)="","",VLOOKUP($A477-COUNT('Шаг2.Бланк заказа NEW'!$B$19:$B$201)-COUNT('Бланк OLD 0.8 04'!$B$18:$B$200),'Бланк OLD 2.0 04 '!$B$16:$K$200,2,0)))</f>
        <v/>
      </c>
      <c r="F477" s="147" t="str">
        <f ca="1">IFERROR(IFERROR(IF(VLOOKUP($A477,'Шаг2.Бланк заказа NEW'!$B$17:$N$201,3,0)="","",VLOOKUP($A477,'Шаг2.Бланк заказа NEW'!$B$17:$N$201,3,0)),
IF(VLOOKUP($A477-COUNT('Шаг2.Бланк заказа NEW'!$B$19:$B$201),'Бланк OLD 0.8 04'!$B$12:$K$200,3,0)="","",VLOOKUP($A477-COUNT('Шаг2.Бланк заказа NEW'!$B$19:$B$201),'Бланк OLD 0.8 04'!$B$12:$K$200,3,0))),
IF(VLOOKUP($A477-COUNT('Шаг2.Бланк заказа NEW'!$B$19:$B$201)-COUNT('Бланк OLD 0.8 04'!$B$18:$B$200),'Бланк OLD 2.0 04 '!$B$16:$K$200,3,0)="","",VLOOKUP($A477-COUNT('Шаг2.Бланк заказа NEW'!$B$19:$B$201)-COUNT('Бланк OLD 0.8 04'!$B$18:$B$200),'Бланк OLD 2.0 04 '!$B$16:$K$200,3,0)))</f>
        <v/>
      </c>
      <c r="G477" s="176" t="str">
        <f ca="1">IF(IF(R477="","",IF(R477=1,SUMIFS('Шаг1.Выбор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плиты'!C:Q,12,0)),1))))))=0,
R477,
IF(R477="","",IF(R477=1,SUMIFS('Шаг1.Выбор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плиты'!N:N,R477,'Шаг1.Выбор плиты'!M:M,SMALL(INDIRECT("мм"&amp;VLOOKUP(C477,'Шаг1.Выбор плиты'!C:Q,12,0)),1)))))))</f>
        <v/>
      </c>
      <c r="H477" s="177" t="str">
        <f ca="1">IF(IF(S477="","",IF(S477=1,SUMIFS('Шаг1.Выбор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плиты'!C:Q,12,0)),1))))))=0,
S477,
IF(S477="","",IF(S477=1,SUMIFS('Шаг1.Выбор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плиты'!N:N,S477,'Шаг1.Выбор плиты'!M:M,SMALL(INDIRECT("мм"&amp;VLOOKUP(C477,'Шаг1.Выбор плиты'!C:Q,12,0)),1)))))))</f>
        <v/>
      </c>
      <c r="I477" s="147" t="str">
        <f ca="1">IFERROR(IFERROR(IF(VLOOKUP($A477,'Шаг2.Бланк заказа NEW'!$B$17:$N$201,6,0)="","",VLOOKUP($A477,'Шаг2.Бланк заказа NEW'!$B$17:$N$201,6,0)),
IF(VLOOKUP($A477-COUNT('Шаг2.Бланк заказа NEW'!$B$19:$B$201),'Бланк OLD 0.8 04'!$B$12:$K$200,6,0)="","",VLOOKUP($A477-COUNT('Шаг2.Бланк заказа NEW'!$B$19:$B$201),'Бланк OLD 0.8 04'!$B$12:$K$200,6,0))),
IF(VLOOKUP($A477-COUNT('Шаг2.Бланк заказа NEW'!$B$19:$B$201)-COUNT('Бланк OLD 0.8 04'!$B$18:$B$200),'Бланк OLD 2.0 04 '!$B$16:$K$200,6,0)="","",VLOOKUP($A477-COUNT('Шаг2.Бланк заказа NEW'!$B$19:$B$201)-COUNT('Бланк OLD 0.8 04'!$B$18:$B$200),'Бланк OLD 2.0 04 '!$B$16:$K$200,6,0)))</f>
        <v/>
      </c>
      <c r="J477" s="177" t="str">
        <f ca="1">IF(IF(T477="","",IF(T477=1,SUMIFS('Шаг1.Выбор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плиты'!C:Q,12,0)),1))))))=0,
T477,
IF(T477="","",IF(T477=1,SUMIFS('Шаг1.Выбор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плиты'!N:N,T477,'Шаг1.Выбор плиты'!M:M,SMALL(INDIRECT("мм"&amp;VLOOKUP(C477,'Шаг1.Выбор плиты'!C:Q,12,0)),1)))))))</f>
        <v/>
      </c>
      <c r="K477" s="177" t="str">
        <f ca="1">IF(IF(U477="","",IF(U477=1,SUMIFS('Шаг1.Выбор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плиты'!C:Q,12,0)),1))))))=0,
U477,
IF(U477="","",IF(U477=1,SUMIFS('Шаг1.Выбор плиты'!$G:$G,'Шаг1.Выбор плиты'!J:J,"*"&amp;RIGHT(VLOOKUP(C477,'Шаг1.Выбор плиты'!C:Q,8,0),4),'Шаг1.Выбор плиты'!L:L,IF(MID(C477,1,6)="ЛДСП P","TM"&amp;MID(VLOOKUP(C477,'Шаг1.Выбор плиты'!C:Q,10,0),3,2),MID(VLOOKUP(C477,'Шаг1.Выбор плиты'!C:Q,10,0),1,2)),
'Шаг1.Выбор плиты'!N:N,1),IF(SUMIFS('Шаг1.Выбор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плиты'!C:Q,12,0)),1))=0,
IF(SUMIFS('Шаг1.Выбор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плиты'!C:Q,12,0)),2))=0,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плиты'!C:Q,12,0)),3)),
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плиты'!C:Q,12,0)),2))),
(SUMIFS('Шаг1.Выбор плиты'!$G:$G,'Шаг1.Выбор плиты'!J:J,"*"&amp;RIGHT(VLOOKUP(C477,'Шаг1.Выбор плиты'!C:Q,8,0),4),'Шаг1.Выбор плиты'!L:L,VLOOKUP(C477,'Шаг1.Выбор плиты'!C:Q,10,0),'Шаг1.Выбор плиты'!N:N,U477,'Шаг1.Выбор плиты'!M:M,SMALL(INDIRECT("мм"&amp;VLOOKUP(C477,'Шаг1.Выбор плиты'!C:Q,12,0)),1)))))))</f>
        <v/>
      </c>
      <c r="L477" s="147" t="str">
        <f ca="1">IFERROR(IFERROR(IF(VLOOKUP($A477,'Шаг2.Бланк заказа NEW'!$B$17:$N$201,9,0)="","",VLOOKUP($A477,'Шаг2.Бланк заказа NEW'!$B$17:$N$201,9,0)),
IF(VLOOKUP($A477-COUNT('Шаг2.Бланк заказа NEW'!$B$19:$B$201),'Бланк OLD 0.8 04'!$B$12:$K$200,9,0)="","",VLOOKUP($A477-COUNT('Шаг2.Бланк заказа NEW'!$B$19:$B$201),'Бланк OLD 0.8 04'!$B$12:$K$200,9,0))),
IF(VLOOKUP($A477-COUNT('Шаг2.Бланк заказа NEW'!$B$19:$B$201)-COUNT('Бланк OLD 0.8 04'!$B$18:$B$200),'Бланк OLD 2.0 04 '!$B$16:$K$200,9,0)="","",VLOOKUP($A477-COUNT('Шаг2.Бланк заказа NEW'!$B$19:$B$201)-COUNT('Бланк OLD 0.8 04'!$B$18:$B$200),'Бланк OLD 2.0 04 '!$B$16:$K$200,9,0)))</f>
        <v/>
      </c>
      <c r="M477" s="154" t="str">
        <f t="shared" ca="1" si="44"/>
        <v/>
      </c>
      <c r="N477" s="153" t="str">
        <f ca="1">IFERROR(IF(VLOOKUP($A477,'Шаг2.Бланк заказа NEW'!$B$17:$N$201,11,0)="","",VLOOKUP($A477,'Шаг2.Бланк заказа NEW'!$B$17:$N$201,11,0)),
"Нет")</f>
        <v/>
      </c>
      <c r="O477" s="147" t="str">
        <f ca="1">IFERROR(IF(VLOOKUP($A477,'Шаг2.Бланк заказа NEW'!$B$17:$N$201,11,0)="","",VLOOKUP($A477,'Шаг2.Бланк заказа NEW'!$B$17:$N$201,12,0)),
"Нет")</f>
        <v/>
      </c>
      <c r="P477" s="153" t="str">
        <f ca="1">IFERROR(IF(VLOOKUP($A477,'Шаг2.Бланк заказа NEW'!$B$17:$N$201,13,0)="","",VLOOKUP($A477,'Шаг2.Бланк заказа NEW'!$B$17:$N$201,13,0)),
"Нет")</f>
        <v/>
      </c>
      <c r="Q477" s="147" t="str">
        <f ca="1">IFERROR(IF(VLOOKUP($A477,'Шаг2.Бланк заказа NEW'!$B$17:$O$201,14,0)="","",VLOOKUP($A477,'Шаг2.Бланк заказа NEW'!$B$17:$O$201,14,0)),"")</f>
        <v/>
      </c>
      <c r="R477" s="147" t="str">
        <f ca="1">IFERROR(IFERROR(IF(VLOOKUP($A477,'Шаг2.Бланк заказа NEW'!$B$17:$N$201,4,0)="","",VLOOKUP($A477,'Шаг2.Бланк заказа NEW'!$B$17:$N$201,4,0)),
IF(VLOOKUP($A477-COUNT('Шаг2.Бланк заказа NEW'!$B$19:$B$201),'Бланк OLD 0.8 04'!$B$12:$K$200,4,0)&gt;0,0.8,
IF(VLOOKUP($A477-COUNT('Шаг2.Бланк заказа NEW'!$B$19:$B$201),'Бланк OLD 0.8 04'!$B$12:$K$200,5,0)&gt;0,0.4,""))),
IF(VLOOKUP($A477-COUNT('Шаг2.Бланк заказа NEW'!$B$19:$B$201)-COUNT('Бланк OLD 0.8 04'!$B$18:$B$200),'Бланк OLD 2.0 04 '!$B$16:$K$200,4,0)&gt;0,2,IF(VLOOKUP($A477-COUNT('Шаг2.Бланк заказа NEW'!$B$19:$B$201)-COUNT('Бланк OLD 0.8 04'!$B$18:$B$200),'Бланк OLD 2.0 04 '!$B$16:$K$200,5,0)&gt;0,0.4,"")))</f>
        <v/>
      </c>
      <c r="S477" s="147" t="str">
        <f ca="1">IFERROR(IFERROR(IF(VLOOKUP($A477,'Шаг2.Бланк заказа NEW'!$B$17:$N$201,5,0)="","",VLOOKUP($A477,'Шаг2.Бланк заказа NEW'!$B$17:$N$201,5,0)),
IF(VLOOKUP($A477-COUNT('Шаг2.Бланк заказа NEW'!$B$19:$B$201),'Бланк OLD 0.8 04'!$B$12:$K$200,4,0)&gt;1,0.8,
IF(VLOOKUP($A477-COUNT('Шаг2.Бланк заказа NEW'!$B$19:$B$201),'Бланк OLD 0.8 04'!$B$12:$K$200,5,0)&gt;1,0.4,
IF(AND(VLOOKUP($A477-COUNT('Шаг2.Бланк заказа NEW'!$B$19:$B$201),'Бланк OLD 0.8 04'!$B$12:$K$200,4,0)&gt;0,VLOOKUP($A477-COUNT('Шаг2.Бланк заказа NEW'!$B$19:$B$201),'Бланк OLD 0.8 04'!$B$12:$K$200,5,0)&gt;0),0.4,"")))),
IF(VLOOKUP($A477-COUNT('Шаг2.Бланк заказа NEW'!$B$19:$B$201)-COUNT('Бланк OLD 0.8 04'!$B$18:$B$200),'Бланк OLD 2.0 04 '!$B$16:$K$200,4,0)&gt;1,2,
IF(VLOOKUP($A477-COUNT('Шаг2.Бланк заказа NEW'!$B$19:$B$201)-COUNT('Бланк OLD 0.8 04'!$B$18:$B$200),'Бланк OLD 2.0 04 '!$B$16:$K$200,5,0)&gt;1,0.4,IF(AND(VLOOKUP($A477-COUNT('Шаг2.Бланк заказа NEW'!$B$19:$B$201)-COUNT('Бланк OLD 0.8 04'!$B$18:$B$200),'Бланк OLD 2.0 04 '!$B$16:$K$200,4,0)&gt;0,VLOOKUP($A477-COUNT('Шаг2.Бланк заказа NEW'!$B$19:$B$201)-COUNT('Бланк OLD 0.8 04'!$B$18:$B$200),'Бланк OLD 2.0 04 '!$B$16:$K$200,5,0)&gt;0),0.4,""))))</f>
        <v/>
      </c>
      <c r="T477" s="147" t="str">
        <f ca="1">IFERROR(IFERROR(IF(VLOOKUP($A477,'Шаг2.Бланк заказа NEW'!$B$17:$N$201,7,0)="","",VLOOKUP($A477,'Шаг2.Бланк заказа NEW'!$B$17:$N$201,7,0)),
IF(VLOOKUP($A477-COUNT('Шаг2.Бланк заказа NEW'!$B$19:$B$201),'Бланк OLD 0.8 04'!$B$12:$K$200,7,0)&gt;0,0.8,
IF(VLOOKUP($A477-COUNT('Шаг2.Бланк заказа NEW'!$B$19:$B$201),'Бланк OLD 0.8 04'!$B$12:$K$200,8,0)&gt;0,0.4,""))),
IF(VLOOKUP($A477-COUNT('Шаг2.Бланк заказа NEW'!$B$19:$B$201)-COUNT('Бланк OLD 0.8 04'!$B$18:$B$200),'Бланк OLD 2.0 04 '!$B$16:$K$200,7,0)&gt;0,2,IF(VLOOKUP($A477-COUNT('Шаг2.Бланк заказа NEW'!$B$19:$B$201)-COUNT('Бланк OLD 0.8 04'!$B$18:$B$200),'Бланк OLD 2.0 04 '!$B$16:$K$200,8,0)&gt;0,0.4,"")))</f>
        <v/>
      </c>
      <c r="U477" s="147" t="str">
        <f ca="1">IFERROR(IFERROR(IF(VLOOKUP($A477,'Шаг2.Бланк заказа NEW'!$B$17:$N$201,8,0)="","",VLOOKUP($A477,'Шаг2.Бланк заказа NEW'!$B$17:$N$201,8,0)),
IF(VLOOKUP($A477-COUNT('Шаг2.Бланк заказа NEW'!$B$19:$B$201),'Бланк OLD 0.8 04'!$B$12:$K$200,7,0)&gt;1,0.8,
IF(VLOOKUP($A477-COUNT('Шаг2.Бланк заказа NEW'!$B$19:$B$201),'Бланк OLD 0.8 04'!$B$12:$K$200,8,0)&gt;1,0.4,
IF(AND(VLOOKUP($A477-COUNT('Шаг2.Бланк заказа NEW'!$B$19:$B$201),'Бланк OLD 0.8 04'!$B$12:$K$200,7,0)&gt;0,VLOOKUP($A477-COUNT('Шаг2.Бланк заказа NEW'!$B$19:$B$201),'Бланк OLD 0.8 04'!$B$12:$K$200,8,0)&gt;0),0.4,"")))),
IF(VLOOKUP($A477-COUNT('Шаг2.Бланк заказа NEW'!$B$19:$B$201)-COUNT('Бланк OLD 0.8 04'!$B$18:$B$200),'Бланк OLD 2.0 04 '!$B$16:$K$200,7,0)&gt;1,2,
IF(VLOOKUP($A477-COUNT('Шаг2.Бланк заказа NEW'!$B$19:$B$201)-COUNT('Бланк OLD 0.8 04'!$B$18:$B$200),'Бланк OLD 2.0 04 '!$B$16:$K$200,8,0)&gt;1,0.4,
IF(AND(VLOOKUP($A477-COUNT('Шаг2.Бланк заказа NEW'!$B$19:$B$201)-COUNT('Бланк OLD 0.8 04'!$B$18:$B$200),'Бланк OLD 2.0 04 '!$B$16:$K$200,7,0)&gt;0,VLOOKUP($A477-COUNT('Шаг2.Бланк заказа NEW'!$B$19:$B$201)-COUNT('Бланк OLD 0.8 04'!$B$18:$B$200),'Бланк OLD 2.0 04 '!$B$16:$K$200,8,0)&gt;0),0.4,""))))</f>
        <v/>
      </c>
      <c r="V477" s="146" t="str">
        <f ca="1">IFERROR(VLOOKUP(C477,'Шаг1.Выбор плиты'!C:S,12,0),"")</f>
        <v/>
      </c>
      <c r="W477" s="146" t="str">
        <f ca="1">IFERROR(VLOOKUP(C477,'Шаг1.Выбор плиты'!C:S,8,0),"")</f>
        <v/>
      </c>
      <c r="X477" s="146" t="str">
        <f ca="1">IFERROR(VLOOKUP(C477,'Шаг1.Выбор плиты'!C:S,10,0),"")</f>
        <v/>
      </c>
      <c r="Y477" s="147" t="str">
        <f t="shared" ca="1" si="46"/>
        <v/>
      </c>
      <c r="AD477" s="147" t="str">
        <f t="shared" ca="1" si="42"/>
        <v/>
      </c>
      <c r="AE477" s="147" t="str">
        <f t="shared" ca="1" si="47"/>
        <v/>
      </c>
      <c r="AF477" s="25"/>
      <c r="AH477" s="147" t="str">
        <f ca="1">IF(C477="","",VLOOKUP(C477,'Шаг1.Выбор плиты'!C:Q,7,0))</f>
        <v/>
      </c>
      <c r="AI477" s="147" t="str">
        <f t="shared" ca="1" si="45"/>
        <v/>
      </c>
    </row>
    <row r="478" spans="1:35" x14ac:dyDescent="0.2">
      <c r="A478" s="151" t="str">
        <f ca="1">IF(C478="","",MAX($A$1:OFFSET(C478,-1,0))+1)</f>
        <v/>
      </c>
      <c r="B478" s="151" t="str">
        <f ca="1">IFERROR(IFERROR(IFERROR("Шаг2.Бланк заказа NEW №"&amp;VLOOKUP(A477+1,CHOOSE({1,2},'Шаг2.Бланк заказа NEW'!$B$19:$B$201,'Шаг2.Бланк заказа NEW'!$A$19:$A$201),1,0),
"Бланк OLD 0.8 04 №"&amp;VLOOKUP(A477+1-COUNT('Шаг2.Бланк заказа NEW'!$B$19:$B$201),CHOOSE({1,2},'Бланк OLD 0.8 04'!$B$18:$B$200,'Бланк OLD 0.8 04'!$A$18:$A$200),1,0)),
"Бланк OLD 2.0 04 №"&amp;VLOOKUP(A477+1-COUNT('Шаг2.Бланк заказа NEW'!$B$19:$B$201)-COUNT('Бланк OLD 0.8 04'!$B$18:$B$200),CHOOSE({1,2},'Бланк OLD 2.0 04 '!$B$18:$B$200,'Бланк OLD 2.0 04 '!$A$18:$A$200),1,0)),"")</f>
        <v/>
      </c>
      <c r="C478" s="152" t="str">
        <f ca="1">IFERROR(IFERROR(IFERROR(VLOOKUP(A477+1,CHOOSE({1,2},'Шаг2.Бланк заказа NEW'!$B$19:$B$201,'Шаг2.Бланк заказа NEW'!$A$19:$A$201),2,0),
VLOOKUP(A477+1-COUNT('Шаг2.Бланк заказа NEW'!$B$19:$B$201),CHOOSE({1,2},'Бланк OLD 0.8 04'!$B$18:$B$200,'Бланк OLD 0.8 04'!$A$18:$A$200),2,0)),
VLOOKUP(A477+1-COUNT('Шаг2.Бланк заказа NEW'!$B$19:$B$201)-COUNT('Бланк OLD 0.8 04'!$B$18:$B$200),CHOOSE({1,2},'Бланк OLD 2.0 04 '!$B$18:$B$200,'Бланк OLD 2.0 04 '!$A$18:$A$200),2,0)),"")</f>
        <v/>
      </c>
      <c r="D478" s="150" t="str">
        <f ca="1">IFERROR(VLOOKUP(C478,'Шаг1.Выбор плиты'!C:G,5,0),"")</f>
        <v/>
      </c>
      <c r="E478" s="147" t="str">
        <f ca="1">IFERROR(IFERROR(IF(VLOOKUP($A478,'Шаг2.Бланк заказа NEW'!$B$17:$N$201,2,0)="","",VLOOKUP($A478,'Шаг2.Бланк заказа NEW'!$B$17:$N$201,2,0)),
IF(VLOOKUP($A478-COUNT('Шаг2.Бланк заказа NEW'!$B$19:$B$201),'Бланк OLD 0.8 04'!$B$12:$K$200,2,0)="","",VLOOKUP($A478-COUNT('Шаг2.Бланк заказа NEW'!$B$19:$B$201),'Бланк OLD 0.8 04'!$B$12:$K$200,2,0))),
IF(VLOOKUP($A478-COUNT('Шаг2.Бланк заказа NEW'!$B$19:$B$201)-COUNT('Бланк OLD 0.8 04'!$B$18:$B$200),'Бланк OLD 2.0 04 '!$B$16:$K$200,2,0)="","",VLOOKUP($A478-COUNT('Шаг2.Бланк заказа NEW'!$B$19:$B$201)-COUNT('Бланк OLD 0.8 04'!$B$18:$B$200),'Бланк OLD 2.0 04 '!$B$16:$K$200,2,0)))</f>
        <v/>
      </c>
      <c r="F478" s="147" t="str">
        <f ca="1">IFERROR(IFERROR(IF(VLOOKUP($A478,'Шаг2.Бланк заказа NEW'!$B$17:$N$201,3,0)="","",VLOOKUP($A478,'Шаг2.Бланк заказа NEW'!$B$17:$N$201,3,0)),
IF(VLOOKUP($A478-COUNT('Шаг2.Бланк заказа NEW'!$B$19:$B$201),'Бланк OLD 0.8 04'!$B$12:$K$200,3,0)="","",VLOOKUP($A478-COUNT('Шаг2.Бланк заказа NEW'!$B$19:$B$201),'Бланк OLD 0.8 04'!$B$12:$K$200,3,0))),
IF(VLOOKUP($A478-COUNT('Шаг2.Бланк заказа NEW'!$B$19:$B$201)-COUNT('Бланк OLD 0.8 04'!$B$18:$B$200),'Бланк OLD 2.0 04 '!$B$16:$K$200,3,0)="","",VLOOKUP($A478-COUNT('Шаг2.Бланк заказа NEW'!$B$19:$B$201)-COUNT('Бланк OLD 0.8 04'!$B$18:$B$200),'Бланк OLD 2.0 04 '!$B$16:$K$200,3,0)))</f>
        <v/>
      </c>
      <c r="G478" s="176" t="str">
        <f ca="1">IF(IF(R478="","",IF(R478=1,SUMIFS('Шаг1.Выбор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плиты'!C:Q,12,0)),1))))))=0,
R478,
IF(R478="","",IF(R478=1,SUMIFS('Шаг1.Выбор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плиты'!N:N,R478,'Шаг1.Выбор плиты'!M:M,SMALL(INDIRECT("мм"&amp;VLOOKUP(C478,'Шаг1.Выбор плиты'!C:Q,12,0)),1)))))))</f>
        <v/>
      </c>
      <c r="H478" s="177" t="str">
        <f ca="1">IF(IF(S478="","",IF(S478=1,SUMIFS('Шаг1.Выбор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плиты'!C:Q,12,0)),1))))))=0,
S478,
IF(S478="","",IF(S478=1,SUMIFS('Шаг1.Выбор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плиты'!N:N,S478,'Шаг1.Выбор плиты'!M:M,SMALL(INDIRECT("мм"&amp;VLOOKUP(C478,'Шаг1.Выбор плиты'!C:Q,12,0)),1)))))))</f>
        <v/>
      </c>
      <c r="I478" s="147" t="str">
        <f ca="1">IFERROR(IFERROR(IF(VLOOKUP($A478,'Шаг2.Бланк заказа NEW'!$B$17:$N$201,6,0)="","",VLOOKUP($A478,'Шаг2.Бланк заказа NEW'!$B$17:$N$201,6,0)),
IF(VLOOKUP($A478-COUNT('Шаг2.Бланк заказа NEW'!$B$19:$B$201),'Бланк OLD 0.8 04'!$B$12:$K$200,6,0)="","",VLOOKUP($A478-COUNT('Шаг2.Бланк заказа NEW'!$B$19:$B$201),'Бланк OLD 0.8 04'!$B$12:$K$200,6,0))),
IF(VLOOKUP($A478-COUNT('Шаг2.Бланк заказа NEW'!$B$19:$B$201)-COUNT('Бланк OLD 0.8 04'!$B$18:$B$200),'Бланк OLD 2.0 04 '!$B$16:$K$200,6,0)="","",VLOOKUP($A478-COUNT('Шаг2.Бланк заказа NEW'!$B$19:$B$201)-COUNT('Бланк OLD 0.8 04'!$B$18:$B$200),'Бланк OLD 2.0 04 '!$B$16:$K$200,6,0)))</f>
        <v/>
      </c>
      <c r="J478" s="177" t="str">
        <f ca="1">IF(IF(T478="","",IF(T478=1,SUMIFS('Шаг1.Выбор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плиты'!C:Q,12,0)),1))))))=0,
T478,
IF(T478="","",IF(T478=1,SUMIFS('Шаг1.Выбор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плиты'!N:N,T478,'Шаг1.Выбор плиты'!M:M,SMALL(INDIRECT("мм"&amp;VLOOKUP(C478,'Шаг1.Выбор плиты'!C:Q,12,0)),1)))))))</f>
        <v/>
      </c>
      <c r="K478" s="177" t="str">
        <f ca="1">IF(IF(U478="","",IF(U478=1,SUMIFS('Шаг1.Выбор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плиты'!C:Q,12,0)),1))))))=0,
U478,
IF(U478="","",IF(U478=1,SUMIFS('Шаг1.Выбор плиты'!$G:$G,'Шаг1.Выбор плиты'!J:J,"*"&amp;RIGHT(VLOOKUP(C478,'Шаг1.Выбор плиты'!C:Q,8,0),4),'Шаг1.Выбор плиты'!L:L,IF(MID(C478,1,6)="ЛДСП P","TM"&amp;MID(VLOOKUP(C478,'Шаг1.Выбор плиты'!C:Q,10,0),3,2),MID(VLOOKUP(C478,'Шаг1.Выбор плиты'!C:Q,10,0),1,2)),
'Шаг1.Выбор плиты'!N:N,1),IF(SUMIFS('Шаг1.Выбор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плиты'!C:Q,12,0)),1))=0,
IF(SUMIFS('Шаг1.Выбор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плиты'!C:Q,12,0)),2))=0,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плиты'!C:Q,12,0)),3)),
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плиты'!C:Q,12,0)),2))),
(SUMIFS('Шаг1.Выбор плиты'!$G:$G,'Шаг1.Выбор плиты'!J:J,"*"&amp;RIGHT(VLOOKUP(C478,'Шаг1.Выбор плиты'!C:Q,8,0),4),'Шаг1.Выбор плиты'!L:L,VLOOKUP(C478,'Шаг1.Выбор плиты'!C:Q,10,0),'Шаг1.Выбор плиты'!N:N,U478,'Шаг1.Выбор плиты'!M:M,SMALL(INDIRECT("мм"&amp;VLOOKUP(C478,'Шаг1.Выбор плиты'!C:Q,12,0)),1)))))))</f>
        <v/>
      </c>
      <c r="L478" s="147" t="str">
        <f ca="1">IFERROR(IFERROR(IF(VLOOKUP($A478,'Шаг2.Бланк заказа NEW'!$B$17:$N$201,9,0)="","",VLOOKUP($A478,'Шаг2.Бланк заказа NEW'!$B$17:$N$201,9,0)),
IF(VLOOKUP($A478-COUNT('Шаг2.Бланк заказа NEW'!$B$19:$B$201),'Бланк OLD 0.8 04'!$B$12:$K$200,9,0)="","",VLOOKUP($A478-COUNT('Шаг2.Бланк заказа NEW'!$B$19:$B$201),'Бланк OLD 0.8 04'!$B$12:$K$200,9,0))),
IF(VLOOKUP($A478-COUNT('Шаг2.Бланк заказа NEW'!$B$19:$B$201)-COUNT('Бланк OLD 0.8 04'!$B$18:$B$200),'Бланк OLD 2.0 04 '!$B$16:$K$200,9,0)="","",VLOOKUP($A478-COUNT('Шаг2.Бланк заказа NEW'!$B$19:$B$201)-COUNT('Бланк OLD 0.8 04'!$B$18:$B$200),'Бланк OLD 2.0 04 '!$B$16:$K$200,9,0)))</f>
        <v/>
      </c>
      <c r="M478" s="154" t="str">
        <f t="shared" ca="1" si="44"/>
        <v/>
      </c>
      <c r="N478" s="153" t="str">
        <f ca="1">IFERROR(IF(VLOOKUP($A478,'Шаг2.Бланк заказа NEW'!$B$17:$N$201,11,0)="","",VLOOKUP($A478,'Шаг2.Бланк заказа NEW'!$B$17:$N$201,11,0)),
"Нет")</f>
        <v/>
      </c>
      <c r="O478" s="147" t="str">
        <f ca="1">IFERROR(IF(VLOOKUP($A478,'Шаг2.Бланк заказа NEW'!$B$17:$N$201,11,0)="","",VLOOKUP($A478,'Шаг2.Бланк заказа NEW'!$B$17:$N$201,12,0)),
"Нет")</f>
        <v/>
      </c>
      <c r="P478" s="153" t="str">
        <f ca="1">IFERROR(IF(VLOOKUP($A478,'Шаг2.Бланк заказа NEW'!$B$17:$N$201,13,0)="","",VLOOKUP($A478,'Шаг2.Бланк заказа NEW'!$B$17:$N$201,13,0)),
"Нет")</f>
        <v/>
      </c>
      <c r="Q478" s="147" t="str">
        <f ca="1">IFERROR(IF(VLOOKUP($A478,'Шаг2.Бланк заказа NEW'!$B$17:$O$201,14,0)="","",VLOOKUP($A478,'Шаг2.Бланк заказа NEW'!$B$17:$O$201,14,0)),"")</f>
        <v/>
      </c>
      <c r="R478" s="147" t="str">
        <f ca="1">IFERROR(IFERROR(IF(VLOOKUP($A478,'Шаг2.Бланк заказа NEW'!$B$17:$N$201,4,0)="","",VLOOKUP($A478,'Шаг2.Бланк заказа NEW'!$B$17:$N$201,4,0)),
IF(VLOOKUP($A478-COUNT('Шаг2.Бланк заказа NEW'!$B$19:$B$201),'Бланк OLD 0.8 04'!$B$12:$K$200,4,0)&gt;0,0.8,
IF(VLOOKUP($A478-COUNT('Шаг2.Бланк заказа NEW'!$B$19:$B$201),'Бланк OLD 0.8 04'!$B$12:$K$200,5,0)&gt;0,0.4,""))),
IF(VLOOKUP($A478-COUNT('Шаг2.Бланк заказа NEW'!$B$19:$B$201)-COUNT('Бланк OLD 0.8 04'!$B$18:$B$200),'Бланк OLD 2.0 04 '!$B$16:$K$200,4,0)&gt;0,2,IF(VLOOKUP($A478-COUNT('Шаг2.Бланк заказа NEW'!$B$19:$B$201)-COUNT('Бланк OLD 0.8 04'!$B$18:$B$200),'Бланк OLD 2.0 04 '!$B$16:$K$200,5,0)&gt;0,0.4,"")))</f>
        <v/>
      </c>
      <c r="S478" s="147" t="str">
        <f ca="1">IFERROR(IFERROR(IF(VLOOKUP($A478,'Шаг2.Бланк заказа NEW'!$B$17:$N$201,5,0)="","",VLOOKUP($A478,'Шаг2.Бланк заказа NEW'!$B$17:$N$201,5,0)),
IF(VLOOKUP($A478-COUNT('Шаг2.Бланк заказа NEW'!$B$19:$B$201),'Бланк OLD 0.8 04'!$B$12:$K$200,4,0)&gt;1,0.8,
IF(VLOOKUP($A478-COUNT('Шаг2.Бланк заказа NEW'!$B$19:$B$201),'Бланк OLD 0.8 04'!$B$12:$K$200,5,0)&gt;1,0.4,
IF(AND(VLOOKUP($A478-COUNT('Шаг2.Бланк заказа NEW'!$B$19:$B$201),'Бланк OLD 0.8 04'!$B$12:$K$200,4,0)&gt;0,VLOOKUP($A478-COUNT('Шаг2.Бланк заказа NEW'!$B$19:$B$201),'Бланк OLD 0.8 04'!$B$12:$K$200,5,0)&gt;0),0.4,"")))),
IF(VLOOKUP($A478-COUNT('Шаг2.Бланк заказа NEW'!$B$19:$B$201)-COUNT('Бланк OLD 0.8 04'!$B$18:$B$200),'Бланк OLD 2.0 04 '!$B$16:$K$200,4,0)&gt;1,2,
IF(VLOOKUP($A478-COUNT('Шаг2.Бланк заказа NEW'!$B$19:$B$201)-COUNT('Бланк OLD 0.8 04'!$B$18:$B$200),'Бланк OLD 2.0 04 '!$B$16:$K$200,5,0)&gt;1,0.4,IF(AND(VLOOKUP($A478-COUNT('Шаг2.Бланк заказа NEW'!$B$19:$B$201)-COUNT('Бланк OLD 0.8 04'!$B$18:$B$200),'Бланк OLD 2.0 04 '!$B$16:$K$200,4,0)&gt;0,VLOOKUP($A478-COUNT('Шаг2.Бланк заказа NEW'!$B$19:$B$201)-COUNT('Бланк OLD 0.8 04'!$B$18:$B$200),'Бланк OLD 2.0 04 '!$B$16:$K$200,5,0)&gt;0),0.4,""))))</f>
        <v/>
      </c>
      <c r="T478" s="147" t="str">
        <f ca="1">IFERROR(IFERROR(IF(VLOOKUP($A478,'Шаг2.Бланк заказа NEW'!$B$17:$N$201,7,0)="","",VLOOKUP($A478,'Шаг2.Бланк заказа NEW'!$B$17:$N$201,7,0)),
IF(VLOOKUP($A478-COUNT('Шаг2.Бланк заказа NEW'!$B$19:$B$201),'Бланк OLD 0.8 04'!$B$12:$K$200,7,0)&gt;0,0.8,
IF(VLOOKUP($A478-COUNT('Шаг2.Бланк заказа NEW'!$B$19:$B$201),'Бланк OLD 0.8 04'!$B$12:$K$200,8,0)&gt;0,0.4,""))),
IF(VLOOKUP($A478-COUNT('Шаг2.Бланк заказа NEW'!$B$19:$B$201)-COUNT('Бланк OLD 0.8 04'!$B$18:$B$200),'Бланк OLD 2.0 04 '!$B$16:$K$200,7,0)&gt;0,2,IF(VLOOKUP($A478-COUNT('Шаг2.Бланк заказа NEW'!$B$19:$B$201)-COUNT('Бланк OLD 0.8 04'!$B$18:$B$200),'Бланк OLD 2.0 04 '!$B$16:$K$200,8,0)&gt;0,0.4,"")))</f>
        <v/>
      </c>
      <c r="U478" s="147" t="str">
        <f ca="1">IFERROR(IFERROR(IF(VLOOKUP($A478,'Шаг2.Бланк заказа NEW'!$B$17:$N$201,8,0)="","",VLOOKUP($A478,'Шаг2.Бланк заказа NEW'!$B$17:$N$201,8,0)),
IF(VLOOKUP($A478-COUNT('Шаг2.Бланк заказа NEW'!$B$19:$B$201),'Бланк OLD 0.8 04'!$B$12:$K$200,7,0)&gt;1,0.8,
IF(VLOOKUP($A478-COUNT('Шаг2.Бланк заказа NEW'!$B$19:$B$201),'Бланк OLD 0.8 04'!$B$12:$K$200,8,0)&gt;1,0.4,
IF(AND(VLOOKUP($A478-COUNT('Шаг2.Бланк заказа NEW'!$B$19:$B$201),'Бланк OLD 0.8 04'!$B$12:$K$200,7,0)&gt;0,VLOOKUP($A478-COUNT('Шаг2.Бланк заказа NEW'!$B$19:$B$201),'Бланк OLD 0.8 04'!$B$12:$K$200,8,0)&gt;0),0.4,"")))),
IF(VLOOKUP($A478-COUNT('Шаг2.Бланк заказа NEW'!$B$19:$B$201)-COUNT('Бланк OLD 0.8 04'!$B$18:$B$200),'Бланк OLD 2.0 04 '!$B$16:$K$200,7,0)&gt;1,2,
IF(VLOOKUP($A478-COUNT('Шаг2.Бланк заказа NEW'!$B$19:$B$201)-COUNT('Бланк OLD 0.8 04'!$B$18:$B$200),'Бланк OLD 2.0 04 '!$B$16:$K$200,8,0)&gt;1,0.4,
IF(AND(VLOOKUP($A478-COUNT('Шаг2.Бланк заказа NEW'!$B$19:$B$201)-COUNT('Бланк OLD 0.8 04'!$B$18:$B$200),'Бланк OLD 2.0 04 '!$B$16:$K$200,7,0)&gt;0,VLOOKUP($A478-COUNT('Шаг2.Бланк заказа NEW'!$B$19:$B$201)-COUNT('Бланк OLD 0.8 04'!$B$18:$B$200),'Бланк OLD 2.0 04 '!$B$16:$K$200,8,0)&gt;0),0.4,""))))</f>
        <v/>
      </c>
      <c r="V478" s="146" t="str">
        <f ca="1">IFERROR(VLOOKUP(C478,'Шаг1.Выбор плиты'!C:S,12,0),"")</f>
        <v/>
      </c>
      <c r="W478" s="146" t="str">
        <f ca="1">IFERROR(VLOOKUP(C478,'Шаг1.Выбор плиты'!C:S,8,0),"")</f>
        <v/>
      </c>
      <c r="X478" s="146" t="str">
        <f ca="1">IFERROR(VLOOKUP(C478,'Шаг1.Выбор плиты'!C:S,10,0),"")</f>
        <v/>
      </c>
      <c r="Y478" s="147" t="str">
        <f t="shared" ca="1" si="46"/>
        <v/>
      </c>
      <c r="AD478" s="147" t="str">
        <f t="shared" ca="1" si="42"/>
        <v/>
      </c>
      <c r="AE478" s="147" t="str">
        <f t="shared" ca="1" si="47"/>
        <v/>
      </c>
      <c r="AF478" s="25"/>
      <c r="AH478" s="147" t="str">
        <f ca="1">IF(C478="","",VLOOKUP(C478,'Шаг1.Выбор плиты'!C:Q,7,0))</f>
        <v/>
      </c>
      <c r="AI478" s="147" t="str">
        <f t="shared" ca="1" si="45"/>
        <v/>
      </c>
    </row>
    <row r="479" spans="1:35" x14ac:dyDescent="0.2">
      <c r="A479" s="151" t="str">
        <f ca="1">IF(C479="","",MAX($A$1:OFFSET(C479,-1,0))+1)</f>
        <v/>
      </c>
      <c r="B479" s="151" t="str">
        <f ca="1">IFERROR(IFERROR(IFERROR("Шаг2.Бланк заказа NEW №"&amp;VLOOKUP(A478+1,CHOOSE({1,2},'Шаг2.Бланк заказа NEW'!$B$19:$B$201,'Шаг2.Бланк заказа NEW'!$A$19:$A$201),1,0),
"Бланк OLD 0.8 04 №"&amp;VLOOKUP(A478+1-COUNT('Шаг2.Бланк заказа NEW'!$B$19:$B$201),CHOOSE({1,2},'Бланк OLD 0.8 04'!$B$18:$B$200,'Бланк OLD 0.8 04'!$A$18:$A$200),1,0)),
"Бланк OLD 2.0 04 №"&amp;VLOOKUP(A478+1-COUNT('Шаг2.Бланк заказа NEW'!$B$19:$B$201)-COUNT('Бланк OLD 0.8 04'!$B$18:$B$200),CHOOSE({1,2},'Бланк OLD 2.0 04 '!$B$18:$B$200,'Бланк OLD 2.0 04 '!$A$18:$A$200),1,0)),"")</f>
        <v/>
      </c>
      <c r="C479" s="152" t="str">
        <f ca="1">IFERROR(IFERROR(IFERROR(VLOOKUP(A478+1,CHOOSE({1,2},'Шаг2.Бланк заказа NEW'!$B$19:$B$201,'Шаг2.Бланк заказа NEW'!$A$19:$A$201),2,0),
VLOOKUP(A478+1-COUNT('Шаг2.Бланк заказа NEW'!$B$19:$B$201),CHOOSE({1,2},'Бланк OLD 0.8 04'!$B$18:$B$200,'Бланк OLD 0.8 04'!$A$18:$A$200),2,0)),
VLOOKUP(A478+1-COUNT('Шаг2.Бланк заказа NEW'!$B$19:$B$201)-COUNT('Бланк OLD 0.8 04'!$B$18:$B$200),CHOOSE({1,2},'Бланк OLD 2.0 04 '!$B$18:$B$200,'Бланк OLD 2.0 04 '!$A$18:$A$200),2,0)),"")</f>
        <v/>
      </c>
      <c r="D479" s="150" t="str">
        <f ca="1">IFERROR(VLOOKUP(C479,'Шаг1.Выбор плиты'!C:G,5,0),"")</f>
        <v/>
      </c>
      <c r="E479" s="147" t="str">
        <f ca="1">IFERROR(IFERROR(IF(VLOOKUP($A479,'Шаг2.Бланк заказа NEW'!$B$17:$N$201,2,0)="","",VLOOKUP($A479,'Шаг2.Бланк заказа NEW'!$B$17:$N$201,2,0)),
IF(VLOOKUP($A479-COUNT('Шаг2.Бланк заказа NEW'!$B$19:$B$201),'Бланк OLD 0.8 04'!$B$12:$K$200,2,0)="","",VLOOKUP($A479-COUNT('Шаг2.Бланк заказа NEW'!$B$19:$B$201),'Бланк OLD 0.8 04'!$B$12:$K$200,2,0))),
IF(VLOOKUP($A479-COUNT('Шаг2.Бланк заказа NEW'!$B$19:$B$201)-COUNT('Бланк OLD 0.8 04'!$B$18:$B$200),'Бланк OLD 2.0 04 '!$B$16:$K$200,2,0)="","",VLOOKUP($A479-COUNT('Шаг2.Бланк заказа NEW'!$B$19:$B$201)-COUNT('Бланк OLD 0.8 04'!$B$18:$B$200),'Бланк OLD 2.0 04 '!$B$16:$K$200,2,0)))</f>
        <v/>
      </c>
      <c r="F479" s="147" t="str">
        <f ca="1">IFERROR(IFERROR(IF(VLOOKUP($A479,'Шаг2.Бланк заказа NEW'!$B$17:$N$201,3,0)="","",VLOOKUP($A479,'Шаг2.Бланк заказа NEW'!$B$17:$N$201,3,0)),
IF(VLOOKUP($A479-COUNT('Шаг2.Бланк заказа NEW'!$B$19:$B$201),'Бланк OLD 0.8 04'!$B$12:$K$200,3,0)="","",VLOOKUP($A479-COUNT('Шаг2.Бланк заказа NEW'!$B$19:$B$201),'Бланк OLD 0.8 04'!$B$12:$K$200,3,0))),
IF(VLOOKUP($A479-COUNT('Шаг2.Бланк заказа NEW'!$B$19:$B$201)-COUNT('Бланк OLD 0.8 04'!$B$18:$B$200),'Бланк OLD 2.0 04 '!$B$16:$K$200,3,0)="","",VLOOKUP($A479-COUNT('Шаг2.Бланк заказа NEW'!$B$19:$B$201)-COUNT('Бланк OLD 0.8 04'!$B$18:$B$200),'Бланк OLD 2.0 04 '!$B$16:$K$200,3,0)))</f>
        <v/>
      </c>
      <c r="G479" s="176" t="str">
        <f ca="1">IF(IF(R479="","",IF(R479=1,SUMIFS('Шаг1.Выбор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плиты'!C:Q,12,0)),1))))))=0,
R479,
IF(R479="","",IF(R479=1,SUMIFS('Шаг1.Выбор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плиты'!N:N,R479,'Шаг1.Выбор плиты'!M:M,SMALL(INDIRECT("мм"&amp;VLOOKUP(C479,'Шаг1.Выбор плиты'!C:Q,12,0)),1)))))))</f>
        <v/>
      </c>
      <c r="H479" s="177" t="str">
        <f ca="1">IF(IF(S479="","",IF(S479=1,SUMIFS('Шаг1.Выбор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плиты'!C:Q,12,0)),1))))))=0,
S479,
IF(S479="","",IF(S479=1,SUMIFS('Шаг1.Выбор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плиты'!N:N,S479,'Шаг1.Выбор плиты'!M:M,SMALL(INDIRECT("мм"&amp;VLOOKUP(C479,'Шаг1.Выбор плиты'!C:Q,12,0)),1)))))))</f>
        <v/>
      </c>
      <c r="I479" s="147" t="str">
        <f ca="1">IFERROR(IFERROR(IF(VLOOKUP($A479,'Шаг2.Бланк заказа NEW'!$B$17:$N$201,6,0)="","",VLOOKUP($A479,'Шаг2.Бланк заказа NEW'!$B$17:$N$201,6,0)),
IF(VLOOKUP($A479-COUNT('Шаг2.Бланк заказа NEW'!$B$19:$B$201),'Бланк OLD 0.8 04'!$B$12:$K$200,6,0)="","",VLOOKUP($A479-COUNT('Шаг2.Бланк заказа NEW'!$B$19:$B$201),'Бланк OLD 0.8 04'!$B$12:$K$200,6,0))),
IF(VLOOKUP($A479-COUNT('Шаг2.Бланк заказа NEW'!$B$19:$B$201)-COUNT('Бланк OLD 0.8 04'!$B$18:$B$200),'Бланк OLD 2.0 04 '!$B$16:$K$200,6,0)="","",VLOOKUP($A479-COUNT('Шаг2.Бланк заказа NEW'!$B$19:$B$201)-COUNT('Бланк OLD 0.8 04'!$B$18:$B$200),'Бланк OLD 2.0 04 '!$B$16:$K$200,6,0)))</f>
        <v/>
      </c>
      <c r="J479" s="177" t="str">
        <f ca="1">IF(IF(T479="","",IF(T479=1,SUMIFS('Шаг1.Выбор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плиты'!C:Q,12,0)),1))))))=0,
T479,
IF(T479="","",IF(T479=1,SUMIFS('Шаг1.Выбор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плиты'!N:N,T479,'Шаг1.Выбор плиты'!M:M,SMALL(INDIRECT("мм"&amp;VLOOKUP(C479,'Шаг1.Выбор плиты'!C:Q,12,0)),1)))))))</f>
        <v/>
      </c>
      <c r="K479" s="177" t="str">
        <f ca="1">IF(IF(U479="","",IF(U479=1,SUMIFS('Шаг1.Выбор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плиты'!C:Q,12,0)),1))))))=0,
U479,
IF(U479="","",IF(U479=1,SUMIFS('Шаг1.Выбор плиты'!$G:$G,'Шаг1.Выбор плиты'!J:J,"*"&amp;RIGHT(VLOOKUP(C479,'Шаг1.Выбор плиты'!C:Q,8,0),4),'Шаг1.Выбор плиты'!L:L,IF(MID(C479,1,6)="ЛДСП P","TM"&amp;MID(VLOOKUP(C479,'Шаг1.Выбор плиты'!C:Q,10,0),3,2),MID(VLOOKUP(C479,'Шаг1.Выбор плиты'!C:Q,10,0),1,2)),
'Шаг1.Выбор плиты'!N:N,1),IF(SUMIFS('Шаг1.Выбор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плиты'!C:Q,12,0)),1))=0,
IF(SUMIFS('Шаг1.Выбор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плиты'!C:Q,12,0)),2))=0,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плиты'!C:Q,12,0)),3)),
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плиты'!C:Q,12,0)),2))),
(SUMIFS('Шаг1.Выбор плиты'!$G:$G,'Шаг1.Выбор плиты'!J:J,"*"&amp;RIGHT(VLOOKUP(C479,'Шаг1.Выбор плиты'!C:Q,8,0),4),'Шаг1.Выбор плиты'!L:L,VLOOKUP(C479,'Шаг1.Выбор плиты'!C:Q,10,0),'Шаг1.Выбор плиты'!N:N,U479,'Шаг1.Выбор плиты'!M:M,SMALL(INDIRECT("мм"&amp;VLOOKUP(C479,'Шаг1.Выбор плиты'!C:Q,12,0)),1)))))))</f>
        <v/>
      </c>
      <c r="L479" s="147" t="str">
        <f ca="1">IFERROR(IFERROR(IF(VLOOKUP($A479,'Шаг2.Бланк заказа NEW'!$B$17:$N$201,9,0)="","",VLOOKUP($A479,'Шаг2.Бланк заказа NEW'!$B$17:$N$201,9,0)),
IF(VLOOKUP($A479-COUNT('Шаг2.Бланк заказа NEW'!$B$19:$B$201),'Бланк OLD 0.8 04'!$B$12:$K$200,9,0)="","",VLOOKUP($A479-COUNT('Шаг2.Бланк заказа NEW'!$B$19:$B$201),'Бланк OLD 0.8 04'!$B$12:$K$200,9,0))),
IF(VLOOKUP($A479-COUNT('Шаг2.Бланк заказа NEW'!$B$19:$B$201)-COUNT('Бланк OLD 0.8 04'!$B$18:$B$200),'Бланк OLD 2.0 04 '!$B$16:$K$200,9,0)="","",VLOOKUP($A479-COUNT('Шаг2.Бланк заказа NEW'!$B$19:$B$201)-COUNT('Бланк OLD 0.8 04'!$B$18:$B$200),'Бланк OLD 2.0 04 '!$B$16:$K$200,9,0)))</f>
        <v/>
      </c>
      <c r="M479" s="154" t="str">
        <f t="shared" ca="1" si="44"/>
        <v/>
      </c>
      <c r="N479" s="153" t="str">
        <f ca="1">IFERROR(IF(VLOOKUP($A479,'Шаг2.Бланк заказа NEW'!$B$17:$N$201,11,0)="","",VLOOKUP($A479,'Шаг2.Бланк заказа NEW'!$B$17:$N$201,11,0)),
"Нет")</f>
        <v/>
      </c>
      <c r="O479" s="147" t="str">
        <f ca="1">IFERROR(IF(VLOOKUP($A479,'Шаг2.Бланк заказа NEW'!$B$17:$N$201,11,0)="","",VLOOKUP($A479,'Шаг2.Бланк заказа NEW'!$B$17:$N$201,12,0)),
"Нет")</f>
        <v/>
      </c>
      <c r="P479" s="153" t="str">
        <f ca="1">IFERROR(IF(VLOOKUP($A479,'Шаг2.Бланк заказа NEW'!$B$17:$N$201,13,0)="","",VLOOKUP($A479,'Шаг2.Бланк заказа NEW'!$B$17:$N$201,13,0)),
"Нет")</f>
        <v/>
      </c>
      <c r="Q479" s="147" t="str">
        <f ca="1">IFERROR(IF(VLOOKUP($A479,'Шаг2.Бланк заказа NEW'!$B$17:$O$201,14,0)="","",VLOOKUP($A479,'Шаг2.Бланк заказа NEW'!$B$17:$O$201,14,0)),"")</f>
        <v/>
      </c>
      <c r="R479" s="147" t="str">
        <f ca="1">IFERROR(IFERROR(IF(VLOOKUP($A479,'Шаг2.Бланк заказа NEW'!$B$17:$N$201,4,0)="","",VLOOKUP($A479,'Шаг2.Бланк заказа NEW'!$B$17:$N$201,4,0)),
IF(VLOOKUP($A479-COUNT('Шаг2.Бланк заказа NEW'!$B$19:$B$201),'Бланк OLD 0.8 04'!$B$12:$K$200,4,0)&gt;0,0.8,
IF(VLOOKUP($A479-COUNT('Шаг2.Бланк заказа NEW'!$B$19:$B$201),'Бланк OLD 0.8 04'!$B$12:$K$200,5,0)&gt;0,0.4,""))),
IF(VLOOKUP($A479-COUNT('Шаг2.Бланк заказа NEW'!$B$19:$B$201)-COUNT('Бланк OLD 0.8 04'!$B$18:$B$200),'Бланк OLD 2.0 04 '!$B$16:$K$200,4,0)&gt;0,2,IF(VLOOKUP($A479-COUNT('Шаг2.Бланк заказа NEW'!$B$19:$B$201)-COUNT('Бланк OLD 0.8 04'!$B$18:$B$200),'Бланк OLD 2.0 04 '!$B$16:$K$200,5,0)&gt;0,0.4,"")))</f>
        <v/>
      </c>
      <c r="S479" s="147" t="str">
        <f ca="1">IFERROR(IFERROR(IF(VLOOKUP($A479,'Шаг2.Бланк заказа NEW'!$B$17:$N$201,5,0)="","",VLOOKUP($A479,'Шаг2.Бланк заказа NEW'!$B$17:$N$201,5,0)),
IF(VLOOKUP($A479-COUNT('Шаг2.Бланк заказа NEW'!$B$19:$B$201),'Бланк OLD 0.8 04'!$B$12:$K$200,4,0)&gt;1,0.8,
IF(VLOOKUP($A479-COUNT('Шаг2.Бланк заказа NEW'!$B$19:$B$201),'Бланк OLD 0.8 04'!$B$12:$K$200,5,0)&gt;1,0.4,
IF(AND(VLOOKUP($A479-COUNT('Шаг2.Бланк заказа NEW'!$B$19:$B$201),'Бланк OLD 0.8 04'!$B$12:$K$200,4,0)&gt;0,VLOOKUP($A479-COUNT('Шаг2.Бланк заказа NEW'!$B$19:$B$201),'Бланк OLD 0.8 04'!$B$12:$K$200,5,0)&gt;0),0.4,"")))),
IF(VLOOKUP($A479-COUNT('Шаг2.Бланк заказа NEW'!$B$19:$B$201)-COUNT('Бланк OLD 0.8 04'!$B$18:$B$200),'Бланк OLD 2.0 04 '!$B$16:$K$200,4,0)&gt;1,2,
IF(VLOOKUP($A479-COUNT('Шаг2.Бланк заказа NEW'!$B$19:$B$201)-COUNT('Бланк OLD 0.8 04'!$B$18:$B$200),'Бланк OLD 2.0 04 '!$B$16:$K$200,5,0)&gt;1,0.4,IF(AND(VLOOKUP($A479-COUNT('Шаг2.Бланк заказа NEW'!$B$19:$B$201)-COUNT('Бланк OLD 0.8 04'!$B$18:$B$200),'Бланк OLD 2.0 04 '!$B$16:$K$200,4,0)&gt;0,VLOOKUP($A479-COUNT('Шаг2.Бланк заказа NEW'!$B$19:$B$201)-COUNT('Бланк OLD 0.8 04'!$B$18:$B$200),'Бланк OLD 2.0 04 '!$B$16:$K$200,5,0)&gt;0),0.4,""))))</f>
        <v/>
      </c>
      <c r="T479" s="147" t="str">
        <f ca="1">IFERROR(IFERROR(IF(VLOOKUP($A479,'Шаг2.Бланк заказа NEW'!$B$17:$N$201,7,0)="","",VLOOKUP($A479,'Шаг2.Бланк заказа NEW'!$B$17:$N$201,7,0)),
IF(VLOOKUP($A479-COUNT('Шаг2.Бланк заказа NEW'!$B$19:$B$201),'Бланк OLD 0.8 04'!$B$12:$K$200,7,0)&gt;0,0.8,
IF(VLOOKUP($A479-COUNT('Шаг2.Бланк заказа NEW'!$B$19:$B$201),'Бланк OLD 0.8 04'!$B$12:$K$200,8,0)&gt;0,0.4,""))),
IF(VLOOKUP($A479-COUNT('Шаг2.Бланк заказа NEW'!$B$19:$B$201)-COUNT('Бланк OLD 0.8 04'!$B$18:$B$200),'Бланк OLD 2.0 04 '!$B$16:$K$200,7,0)&gt;0,2,IF(VLOOKUP($A479-COUNT('Шаг2.Бланк заказа NEW'!$B$19:$B$201)-COUNT('Бланк OLD 0.8 04'!$B$18:$B$200),'Бланк OLD 2.0 04 '!$B$16:$K$200,8,0)&gt;0,0.4,"")))</f>
        <v/>
      </c>
      <c r="U479" s="147" t="str">
        <f ca="1">IFERROR(IFERROR(IF(VLOOKUP($A479,'Шаг2.Бланк заказа NEW'!$B$17:$N$201,8,0)="","",VLOOKUP($A479,'Шаг2.Бланк заказа NEW'!$B$17:$N$201,8,0)),
IF(VLOOKUP($A479-COUNT('Шаг2.Бланк заказа NEW'!$B$19:$B$201),'Бланк OLD 0.8 04'!$B$12:$K$200,7,0)&gt;1,0.8,
IF(VLOOKUP($A479-COUNT('Шаг2.Бланк заказа NEW'!$B$19:$B$201),'Бланк OLD 0.8 04'!$B$12:$K$200,8,0)&gt;1,0.4,
IF(AND(VLOOKUP($A479-COUNT('Шаг2.Бланк заказа NEW'!$B$19:$B$201),'Бланк OLD 0.8 04'!$B$12:$K$200,7,0)&gt;0,VLOOKUP($A479-COUNT('Шаг2.Бланк заказа NEW'!$B$19:$B$201),'Бланк OLD 0.8 04'!$B$12:$K$200,8,0)&gt;0),0.4,"")))),
IF(VLOOKUP($A479-COUNT('Шаг2.Бланк заказа NEW'!$B$19:$B$201)-COUNT('Бланк OLD 0.8 04'!$B$18:$B$200),'Бланк OLD 2.0 04 '!$B$16:$K$200,7,0)&gt;1,2,
IF(VLOOKUP($A479-COUNT('Шаг2.Бланк заказа NEW'!$B$19:$B$201)-COUNT('Бланк OLD 0.8 04'!$B$18:$B$200),'Бланк OLD 2.0 04 '!$B$16:$K$200,8,0)&gt;1,0.4,
IF(AND(VLOOKUP($A479-COUNT('Шаг2.Бланк заказа NEW'!$B$19:$B$201)-COUNT('Бланк OLD 0.8 04'!$B$18:$B$200),'Бланк OLD 2.0 04 '!$B$16:$K$200,7,0)&gt;0,VLOOKUP($A479-COUNT('Шаг2.Бланк заказа NEW'!$B$19:$B$201)-COUNT('Бланк OLD 0.8 04'!$B$18:$B$200),'Бланк OLD 2.0 04 '!$B$16:$K$200,8,0)&gt;0),0.4,""))))</f>
        <v/>
      </c>
      <c r="V479" s="146" t="str">
        <f ca="1">IFERROR(VLOOKUP(C479,'Шаг1.Выбор плиты'!C:S,12,0),"")</f>
        <v/>
      </c>
      <c r="W479" s="146" t="str">
        <f ca="1">IFERROR(VLOOKUP(C479,'Шаг1.Выбор плиты'!C:S,8,0),"")</f>
        <v/>
      </c>
      <c r="X479" s="146" t="str">
        <f ca="1">IFERROR(VLOOKUP(C479,'Шаг1.Выбор плиты'!C:S,10,0),"")</f>
        <v/>
      </c>
      <c r="Y479" s="147" t="str">
        <f t="shared" ca="1" si="46"/>
        <v/>
      </c>
      <c r="AD479" s="147" t="str">
        <f t="shared" ca="1" si="42"/>
        <v/>
      </c>
      <c r="AE479" s="147" t="str">
        <f t="shared" ca="1" si="47"/>
        <v/>
      </c>
      <c r="AF479" s="25"/>
      <c r="AH479" s="147" t="str">
        <f ca="1">IF(C479="","",VLOOKUP(C479,'Шаг1.Выбор плиты'!C:Q,7,0))</f>
        <v/>
      </c>
      <c r="AI479" s="147" t="str">
        <f t="shared" ca="1" si="45"/>
        <v/>
      </c>
    </row>
    <row r="480" spans="1:35" x14ac:dyDescent="0.2">
      <c r="A480" s="151" t="str">
        <f ca="1">IF(C480="","",MAX($A$1:OFFSET(C480,-1,0))+1)</f>
        <v/>
      </c>
      <c r="B480" s="151" t="str">
        <f ca="1">IFERROR(IFERROR(IFERROR("Шаг2.Бланк заказа NEW №"&amp;VLOOKUP(A479+1,CHOOSE({1,2},'Шаг2.Бланк заказа NEW'!$B$19:$B$201,'Шаг2.Бланк заказа NEW'!$A$19:$A$201),1,0),
"Бланк OLD 0.8 04 №"&amp;VLOOKUP(A479+1-COUNT('Шаг2.Бланк заказа NEW'!$B$19:$B$201),CHOOSE({1,2},'Бланк OLD 0.8 04'!$B$18:$B$200,'Бланк OLD 0.8 04'!$A$18:$A$200),1,0)),
"Бланк OLD 2.0 04 №"&amp;VLOOKUP(A479+1-COUNT('Шаг2.Бланк заказа NEW'!$B$19:$B$201)-COUNT('Бланк OLD 0.8 04'!$B$18:$B$200),CHOOSE({1,2},'Бланк OLD 2.0 04 '!$B$18:$B$200,'Бланк OLD 2.0 04 '!$A$18:$A$200),1,0)),"")</f>
        <v/>
      </c>
      <c r="C480" s="152" t="str">
        <f ca="1">IFERROR(IFERROR(IFERROR(VLOOKUP(A479+1,CHOOSE({1,2},'Шаг2.Бланк заказа NEW'!$B$19:$B$201,'Шаг2.Бланк заказа NEW'!$A$19:$A$201),2,0),
VLOOKUP(A479+1-COUNT('Шаг2.Бланк заказа NEW'!$B$19:$B$201),CHOOSE({1,2},'Бланк OLD 0.8 04'!$B$18:$B$200,'Бланк OLD 0.8 04'!$A$18:$A$200),2,0)),
VLOOKUP(A479+1-COUNT('Шаг2.Бланк заказа NEW'!$B$19:$B$201)-COUNT('Бланк OLD 0.8 04'!$B$18:$B$200),CHOOSE({1,2},'Бланк OLD 2.0 04 '!$B$18:$B$200,'Бланк OLD 2.0 04 '!$A$18:$A$200),2,0)),"")</f>
        <v/>
      </c>
      <c r="D480" s="150" t="str">
        <f ca="1">IFERROR(VLOOKUP(C480,'Шаг1.Выбор плиты'!C:G,5,0),"")</f>
        <v/>
      </c>
      <c r="E480" s="147" t="str">
        <f ca="1">IFERROR(IFERROR(IF(VLOOKUP($A480,'Шаг2.Бланк заказа NEW'!$B$17:$N$201,2,0)="","",VLOOKUP($A480,'Шаг2.Бланк заказа NEW'!$B$17:$N$201,2,0)),
IF(VLOOKUP($A480-COUNT('Шаг2.Бланк заказа NEW'!$B$19:$B$201),'Бланк OLD 0.8 04'!$B$12:$K$200,2,0)="","",VLOOKUP($A480-COUNT('Шаг2.Бланк заказа NEW'!$B$19:$B$201),'Бланк OLD 0.8 04'!$B$12:$K$200,2,0))),
IF(VLOOKUP($A480-COUNT('Шаг2.Бланк заказа NEW'!$B$19:$B$201)-COUNT('Бланк OLD 0.8 04'!$B$18:$B$200),'Бланк OLD 2.0 04 '!$B$16:$K$200,2,0)="","",VLOOKUP($A480-COUNT('Шаг2.Бланк заказа NEW'!$B$19:$B$201)-COUNT('Бланк OLD 0.8 04'!$B$18:$B$200),'Бланк OLD 2.0 04 '!$B$16:$K$200,2,0)))</f>
        <v/>
      </c>
      <c r="F480" s="147" t="str">
        <f ca="1">IFERROR(IFERROR(IF(VLOOKUP($A480,'Шаг2.Бланк заказа NEW'!$B$17:$N$201,3,0)="","",VLOOKUP($A480,'Шаг2.Бланк заказа NEW'!$B$17:$N$201,3,0)),
IF(VLOOKUP($A480-COUNT('Шаг2.Бланк заказа NEW'!$B$19:$B$201),'Бланк OLD 0.8 04'!$B$12:$K$200,3,0)="","",VLOOKUP($A480-COUNT('Шаг2.Бланк заказа NEW'!$B$19:$B$201),'Бланк OLD 0.8 04'!$B$12:$K$200,3,0))),
IF(VLOOKUP($A480-COUNT('Шаг2.Бланк заказа NEW'!$B$19:$B$201)-COUNT('Бланк OLD 0.8 04'!$B$18:$B$200),'Бланк OLD 2.0 04 '!$B$16:$K$200,3,0)="","",VLOOKUP($A480-COUNT('Шаг2.Бланк заказа NEW'!$B$19:$B$201)-COUNT('Бланк OLD 0.8 04'!$B$18:$B$200),'Бланк OLD 2.0 04 '!$B$16:$K$200,3,0)))</f>
        <v/>
      </c>
      <c r="G480" s="176" t="str">
        <f ca="1">IF(IF(R480="","",IF(R480=1,SUMIFS('Шаг1.Выбор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плиты'!C:Q,12,0)),1))))))=0,
R480,
IF(R480="","",IF(R480=1,SUMIFS('Шаг1.Выбор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плиты'!N:N,R480,'Шаг1.Выбор плиты'!M:M,SMALL(INDIRECT("мм"&amp;VLOOKUP(C480,'Шаг1.Выбор плиты'!C:Q,12,0)),1)))))))</f>
        <v/>
      </c>
      <c r="H480" s="177" t="str">
        <f ca="1">IF(IF(S480="","",IF(S480=1,SUMIFS('Шаг1.Выбор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плиты'!C:Q,12,0)),1))))))=0,
S480,
IF(S480="","",IF(S480=1,SUMIFS('Шаг1.Выбор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плиты'!N:N,S480,'Шаг1.Выбор плиты'!M:M,SMALL(INDIRECT("мм"&amp;VLOOKUP(C480,'Шаг1.Выбор плиты'!C:Q,12,0)),1)))))))</f>
        <v/>
      </c>
      <c r="I480" s="147" t="str">
        <f ca="1">IFERROR(IFERROR(IF(VLOOKUP($A480,'Шаг2.Бланк заказа NEW'!$B$17:$N$201,6,0)="","",VLOOKUP($A480,'Шаг2.Бланк заказа NEW'!$B$17:$N$201,6,0)),
IF(VLOOKUP($A480-COUNT('Шаг2.Бланк заказа NEW'!$B$19:$B$201),'Бланк OLD 0.8 04'!$B$12:$K$200,6,0)="","",VLOOKUP($A480-COUNT('Шаг2.Бланк заказа NEW'!$B$19:$B$201),'Бланк OLD 0.8 04'!$B$12:$K$200,6,0))),
IF(VLOOKUP($A480-COUNT('Шаг2.Бланк заказа NEW'!$B$19:$B$201)-COUNT('Бланк OLD 0.8 04'!$B$18:$B$200),'Бланк OLD 2.0 04 '!$B$16:$K$200,6,0)="","",VLOOKUP($A480-COUNT('Шаг2.Бланк заказа NEW'!$B$19:$B$201)-COUNT('Бланк OLD 0.8 04'!$B$18:$B$200),'Бланк OLD 2.0 04 '!$B$16:$K$200,6,0)))</f>
        <v/>
      </c>
      <c r="J480" s="177" t="str">
        <f ca="1">IF(IF(T480="","",IF(T480=1,SUMIFS('Шаг1.Выбор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плиты'!C:Q,12,0)),1))))))=0,
T480,
IF(T480="","",IF(T480=1,SUMIFS('Шаг1.Выбор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плиты'!N:N,T480,'Шаг1.Выбор плиты'!M:M,SMALL(INDIRECT("мм"&amp;VLOOKUP(C480,'Шаг1.Выбор плиты'!C:Q,12,0)),1)))))))</f>
        <v/>
      </c>
      <c r="K480" s="177" t="str">
        <f ca="1">IF(IF(U480="","",IF(U480=1,SUMIFS('Шаг1.Выбор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плиты'!C:Q,12,0)),1))))))=0,
U480,
IF(U480="","",IF(U480=1,SUMIFS('Шаг1.Выбор плиты'!$G:$G,'Шаг1.Выбор плиты'!J:J,"*"&amp;RIGHT(VLOOKUP(C480,'Шаг1.Выбор плиты'!C:Q,8,0),4),'Шаг1.Выбор плиты'!L:L,IF(MID(C480,1,6)="ЛДСП P","TM"&amp;MID(VLOOKUP(C480,'Шаг1.Выбор плиты'!C:Q,10,0),3,2),MID(VLOOKUP(C480,'Шаг1.Выбор плиты'!C:Q,10,0),1,2)),
'Шаг1.Выбор плиты'!N:N,1),IF(SUMIFS('Шаг1.Выбор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плиты'!C:Q,12,0)),1))=0,
IF(SUMIFS('Шаг1.Выбор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плиты'!C:Q,12,0)),2))=0,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плиты'!C:Q,12,0)),3)),
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плиты'!C:Q,12,0)),2))),
(SUMIFS('Шаг1.Выбор плиты'!$G:$G,'Шаг1.Выбор плиты'!J:J,"*"&amp;RIGHT(VLOOKUP(C480,'Шаг1.Выбор плиты'!C:Q,8,0),4),'Шаг1.Выбор плиты'!L:L,VLOOKUP(C480,'Шаг1.Выбор плиты'!C:Q,10,0),'Шаг1.Выбор плиты'!N:N,U480,'Шаг1.Выбор плиты'!M:M,SMALL(INDIRECT("мм"&amp;VLOOKUP(C480,'Шаг1.Выбор плиты'!C:Q,12,0)),1)))))))</f>
        <v/>
      </c>
      <c r="L480" s="147" t="str">
        <f ca="1">IFERROR(IFERROR(IF(VLOOKUP($A480,'Шаг2.Бланк заказа NEW'!$B$17:$N$201,9,0)="","",VLOOKUP($A480,'Шаг2.Бланк заказа NEW'!$B$17:$N$201,9,0)),
IF(VLOOKUP($A480-COUNT('Шаг2.Бланк заказа NEW'!$B$19:$B$201),'Бланк OLD 0.8 04'!$B$12:$K$200,9,0)="","",VLOOKUP($A480-COUNT('Шаг2.Бланк заказа NEW'!$B$19:$B$201),'Бланк OLD 0.8 04'!$B$12:$K$200,9,0))),
IF(VLOOKUP($A480-COUNT('Шаг2.Бланк заказа NEW'!$B$19:$B$201)-COUNT('Бланк OLD 0.8 04'!$B$18:$B$200),'Бланк OLD 2.0 04 '!$B$16:$K$200,9,0)="","",VLOOKUP($A480-COUNT('Шаг2.Бланк заказа NEW'!$B$19:$B$201)-COUNT('Бланк OLD 0.8 04'!$B$18:$B$200),'Бланк OLD 2.0 04 '!$B$16:$K$200,9,0)))</f>
        <v/>
      </c>
      <c r="M480" s="154" t="str">
        <f t="shared" ca="1" si="44"/>
        <v/>
      </c>
      <c r="N480" s="153" t="str">
        <f ca="1">IFERROR(IF(VLOOKUP($A480,'Шаг2.Бланк заказа NEW'!$B$17:$N$201,11,0)="","",VLOOKUP($A480,'Шаг2.Бланк заказа NEW'!$B$17:$N$201,11,0)),
"Нет")</f>
        <v/>
      </c>
      <c r="O480" s="147" t="str">
        <f ca="1">IFERROR(IF(VLOOKUP($A480,'Шаг2.Бланк заказа NEW'!$B$17:$N$201,11,0)="","",VLOOKUP($A480,'Шаг2.Бланк заказа NEW'!$B$17:$N$201,12,0)),
"Нет")</f>
        <v/>
      </c>
      <c r="P480" s="153" t="str">
        <f ca="1">IFERROR(IF(VLOOKUP($A480,'Шаг2.Бланк заказа NEW'!$B$17:$N$201,13,0)="","",VLOOKUP($A480,'Шаг2.Бланк заказа NEW'!$B$17:$N$201,13,0)),
"Нет")</f>
        <v/>
      </c>
      <c r="Q480" s="147" t="str">
        <f ca="1">IFERROR(IF(VLOOKUP($A480,'Шаг2.Бланк заказа NEW'!$B$17:$O$201,14,0)="","",VLOOKUP($A480,'Шаг2.Бланк заказа NEW'!$B$17:$O$201,14,0)),"")</f>
        <v/>
      </c>
      <c r="R480" s="147" t="str">
        <f ca="1">IFERROR(IFERROR(IF(VLOOKUP($A480,'Шаг2.Бланк заказа NEW'!$B$17:$N$201,4,0)="","",VLOOKUP($A480,'Шаг2.Бланк заказа NEW'!$B$17:$N$201,4,0)),
IF(VLOOKUP($A480-COUNT('Шаг2.Бланк заказа NEW'!$B$19:$B$201),'Бланк OLD 0.8 04'!$B$12:$K$200,4,0)&gt;0,0.8,
IF(VLOOKUP($A480-COUNT('Шаг2.Бланк заказа NEW'!$B$19:$B$201),'Бланк OLD 0.8 04'!$B$12:$K$200,5,0)&gt;0,0.4,""))),
IF(VLOOKUP($A480-COUNT('Шаг2.Бланк заказа NEW'!$B$19:$B$201)-COUNT('Бланк OLD 0.8 04'!$B$18:$B$200),'Бланк OLD 2.0 04 '!$B$16:$K$200,4,0)&gt;0,2,IF(VLOOKUP($A480-COUNT('Шаг2.Бланк заказа NEW'!$B$19:$B$201)-COUNT('Бланк OLD 0.8 04'!$B$18:$B$200),'Бланк OLD 2.0 04 '!$B$16:$K$200,5,0)&gt;0,0.4,"")))</f>
        <v/>
      </c>
      <c r="S480" s="147" t="str">
        <f ca="1">IFERROR(IFERROR(IF(VLOOKUP($A480,'Шаг2.Бланк заказа NEW'!$B$17:$N$201,5,0)="","",VLOOKUP($A480,'Шаг2.Бланк заказа NEW'!$B$17:$N$201,5,0)),
IF(VLOOKUP($A480-COUNT('Шаг2.Бланк заказа NEW'!$B$19:$B$201),'Бланк OLD 0.8 04'!$B$12:$K$200,4,0)&gt;1,0.8,
IF(VLOOKUP($A480-COUNT('Шаг2.Бланк заказа NEW'!$B$19:$B$201),'Бланк OLD 0.8 04'!$B$12:$K$200,5,0)&gt;1,0.4,
IF(AND(VLOOKUP($A480-COUNT('Шаг2.Бланк заказа NEW'!$B$19:$B$201),'Бланк OLD 0.8 04'!$B$12:$K$200,4,0)&gt;0,VLOOKUP($A480-COUNT('Шаг2.Бланк заказа NEW'!$B$19:$B$201),'Бланк OLD 0.8 04'!$B$12:$K$200,5,0)&gt;0),0.4,"")))),
IF(VLOOKUP($A480-COUNT('Шаг2.Бланк заказа NEW'!$B$19:$B$201)-COUNT('Бланк OLD 0.8 04'!$B$18:$B$200),'Бланк OLD 2.0 04 '!$B$16:$K$200,4,0)&gt;1,2,
IF(VLOOKUP($A480-COUNT('Шаг2.Бланк заказа NEW'!$B$19:$B$201)-COUNT('Бланк OLD 0.8 04'!$B$18:$B$200),'Бланк OLD 2.0 04 '!$B$16:$K$200,5,0)&gt;1,0.4,IF(AND(VLOOKUP($A480-COUNT('Шаг2.Бланк заказа NEW'!$B$19:$B$201)-COUNT('Бланк OLD 0.8 04'!$B$18:$B$200),'Бланк OLD 2.0 04 '!$B$16:$K$200,4,0)&gt;0,VLOOKUP($A480-COUNT('Шаг2.Бланк заказа NEW'!$B$19:$B$201)-COUNT('Бланк OLD 0.8 04'!$B$18:$B$200),'Бланк OLD 2.0 04 '!$B$16:$K$200,5,0)&gt;0),0.4,""))))</f>
        <v/>
      </c>
      <c r="T480" s="147" t="str">
        <f ca="1">IFERROR(IFERROR(IF(VLOOKUP($A480,'Шаг2.Бланк заказа NEW'!$B$17:$N$201,7,0)="","",VLOOKUP($A480,'Шаг2.Бланк заказа NEW'!$B$17:$N$201,7,0)),
IF(VLOOKUP($A480-COUNT('Шаг2.Бланк заказа NEW'!$B$19:$B$201),'Бланк OLD 0.8 04'!$B$12:$K$200,7,0)&gt;0,0.8,
IF(VLOOKUP($A480-COUNT('Шаг2.Бланк заказа NEW'!$B$19:$B$201),'Бланк OLD 0.8 04'!$B$12:$K$200,8,0)&gt;0,0.4,""))),
IF(VLOOKUP($A480-COUNT('Шаг2.Бланк заказа NEW'!$B$19:$B$201)-COUNT('Бланк OLD 0.8 04'!$B$18:$B$200),'Бланк OLD 2.0 04 '!$B$16:$K$200,7,0)&gt;0,2,IF(VLOOKUP($A480-COUNT('Шаг2.Бланк заказа NEW'!$B$19:$B$201)-COUNT('Бланк OLD 0.8 04'!$B$18:$B$200),'Бланк OLD 2.0 04 '!$B$16:$K$200,8,0)&gt;0,0.4,"")))</f>
        <v/>
      </c>
      <c r="U480" s="147" t="str">
        <f ca="1">IFERROR(IFERROR(IF(VLOOKUP($A480,'Шаг2.Бланк заказа NEW'!$B$17:$N$201,8,0)="","",VLOOKUP($A480,'Шаг2.Бланк заказа NEW'!$B$17:$N$201,8,0)),
IF(VLOOKUP($A480-COUNT('Шаг2.Бланк заказа NEW'!$B$19:$B$201),'Бланк OLD 0.8 04'!$B$12:$K$200,7,0)&gt;1,0.8,
IF(VLOOKUP($A480-COUNT('Шаг2.Бланк заказа NEW'!$B$19:$B$201),'Бланк OLD 0.8 04'!$B$12:$K$200,8,0)&gt;1,0.4,
IF(AND(VLOOKUP($A480-COUNT('Шаг2.Бланк заказа NEW'!$B$19:$B$201),'Бланк OLD 0.8 04'!$B$12:$K$200,7,0)&gt;0,VLOOKUP($A480-COUNT('Шаг2.Бланк заказа NEW'!$B$19:$B$201),'Бланк OLD 0.8 04'!$B$12:$K$200,8,0)&gt;0),0.4,"")))),
IF(VLOOKUP($A480-COUNT('Шаг2.Бланк заказа NEW'!$B$19:$B$201)-COUNT('Бланк OLD 0.8 04'!$B$18:$B$200),'Бланк OLD 2.0 04 '!$B$16:$K$200,7,0)&gt;1,2,
IF(VLOOKUP($A480-COUNT('Шаг2.Бланк заказа NEW'!$B$19:$B$201)-COUNT('Бланк OLD 0.8 04'!$B$18:$B$200),'Бланк OLD 2.0 04 '!$B$16:$K$200,8,0)&gt;1,0.4,
IF(AND(VLOOKUP($A480-COUNT('Шаг2.Бланк заказа NEW'!$B$19:$B$201)-COUNT('Бланк OLD 0.8 04'!$B$18:$B$200),'Бланк OLD 2.0 04 '!$B$16:$K$200,7,0)&gt;0,VLOOKUP($A480-COUNT('Шаг2.Бланк заказа NEW'!$B$19:$B$201)-COUNT('Бланк OLD 0.8 04'!$B$18:$B$200),'Бланк OLD 2.0 04 '!$B$16:$K$200,8,0)&gt;0),0.4,""))))</f>
        <v/>
      </c>
      <c r="V480" s="146" t="str">
        <f ca="1">IFERROR(VLOOKUP(C480,'Шаг1.Выбор плиты'!C:S,12,0),"")</f>
        <v/>
      </c>
      <c r="W480" s="146" t="str">
        <f ca="1">IFERROR(VLOOKUP(C480,'Шаг1.Выбор плиты'!C:S,8,0),"")</f>
        <v/>
      </c>
      <c r="X480" s="146" t="str">
        <f ca="1">IFERROR(VLOOKUP(C480,'Шаг1.Выбор плиты'!C:S,10,0),"")</f>
        <v/>
      </c>
      <c r="Y480" s="147" t="str">
        <f t="shared" ca="1" si="46"/>
        <v/>
      </c>
      <c r="AD480" s="147" t="str">
        <f t="shared" ca="1" si="42"/>
        <v/>
      </c>
      <c r="AE480" s="147" t="str">
        <f t="shared" ca="1" si="47"/>
        <v/>
      </c>
      <c r="AF480" s="25"/>
      <c r="AH480" s="147" t="str">
        <f ca="1">IF(C480="","",VLOOKUP(C480,'Шаг1.Выбор плиты'!C:Q,7,0))</f>
        <v/>
      </c>
      <c r="AI480" s="147" t="str">
        <f t="shared" ca="1" si="45"/>
        <v/>
      </c>
    </row>
    <row r="481" spans="1:35" x14ac:dyDescent="0.2">
      <c r="A481" s="151" t="str">
        <f ca="1">IF(C481="","",MAX($A$1:OFFSET(C481,-1,0))+1)</f>
        <v/>
      </c>
      <c r="B481" s="151" t="str">
        <f ca="1">IFERROR(IFERROR(IFERROR("Шаг2.Бланк заказа NEW №"&amp;VLOOKUP(A480+1,CHOOSE({1,2},'Шаг2.Бланк заказа NEW'!$B$19:$B$201,'Шаг2.Бланк заказа NEW'!$A$19:$A$201),1,0),
"Бланк OLD 0.8 04 №"&amp;VLOOKUP(A480+1-COUNT('Шаг2.Бланк заказа NEW'!$B$19:$B$201),CHOOSE({1,2},'Бланк OLD 0.8 04'!$B$18:$B$200,'Бланк OLD 0.8 04'!$A$18:$A$200),1,0)),
"Бланк OLD 2.0 04 №"&amp;VLOOKUP(A480+1-COUNT('Шаг2.Бланк заказа NEW'!$B$19:$B$201)-COUNT('Бланк OLD 0.8 04'!$B$18:$B$200),CHOOSE({1,2},'Бланк OLD 2.0 04 '!$B$18:$B$200,'Бланк OLD 2.0 04 '!$A$18:$A$200),1,0)),"")</f>
        <v/>
      </c>
      <c r="C481" s="152" t="str">
        <f ca="1">IFERROR(IFERROR(IFERROR(VLOOKUP(A480+1,CHOOSE({1,2},'Шаг2.Бланк заказа NEW'!$B$19:$B$201,'Шаг2.Бланк заказа NEW'!$A$19:$A$201),2,0),
VLOOKUP(A480+1-COUNT('Шаг2.Бланк заказа NEW'!$B$19:$B$201),CHOOSE({1,2},'Бланк OLD 0.8 04'!$B$18:$B$200,'Бланк OLD 0.8 04'!$A$18:$A$200),2,0)),
VLOOKUP(A480+1-COUNT('Шаг2.Бланк заказа NEW'!$B$19:$B$201)-COUNT('Бланк OLD 0.8 04'!$B$18:$B$200),CHOOSE({1,2},'Бланк OLD 2.0 04 '!$B$18:$B$200,'Бланк OLD 2.0 04 '!$A$18:$A$200),2,0)),"")</f>
        <v/>
      </c>
      <c r="D481" s="150" t="str">
        <f ca="1">IFERROR(VLOOKUP(C481,'Шаг1.Выбор плиты'!C:G,5,0),"")</f>
        <v/>
      </c>
      <c r="E481" s="147" t="str">
        <f ca="1">IFERROR(IFERROR(IF(VLOOKUP($A481,'Шаг2.Бланк заказа NEW'!$B$17:$N$201,2,0)="","",VLOOKUP($A481,'Шаг2.Бланк заказа NEW'!$B$17:$N$201,2,0)),
IF(VLOOKUP($A481-COUNT('Шаг2.Бланк заказа NEW'!$B$19:$B$201),'Бланк OLD 0.8 04'!$B$12:$K$200,2,0)="","",VLOOKUP($A481-COUNT('Шаг2.Бланк заказа NEW'!$B$19:$B$201),'Бланк OLD 0.8 04'!$B$12:$K$200,2,0))),
IF(VLOOKUP($A481-COUNT('Шаг2.Бланк заказа NEW'!$B$19:$B$201)-COUNT('Бланк OLD 0.8 04'!$B$18:$B$200),'Бланк OLD 2.0 04 '!$B$16:$K$200,2,0)="","",VLOOKUP($A481-COUNT('Шаг2.Бланк заказа NEW'!$B$19:$B$201)-COUNT('Бланк OLD 0.8 04'!$B$18:$B$200),'Бланк OLD 2.0 04 '!$B$16:$K$200,2,0)))</f>
        <v/>
      </c>
      <c r="F481" s="147" t="str">
        <f ca="1">IFERROR(IFERROR(IF(VLOOKUP($A481,'Шаг2.Бланк заказа NEW'!$B$17:$N$201,3,0)="","",VLOOKUP($A481,'Шаг2.Бланк заказа NEW'!$B$17:$N$201,3,0)),
IF(VLOOKUP($A481-COUNT('Шаг2.Бланк заказа NEW'!$B$19:$B$201),'Бланк OLD 0.8 04'!$B$12:$K$200,3,0)="","",VLOOKUP($A481-COUNT('Шаг2.Бланк заказа NEW'!$B$19:$B$201),'Бланк OLD 0.8 04'!$B$12:$K$200,3,0))),
IF(VLOOKUP($A481-COUNT('Шаг2.Бланк заказа NEW'!$B$19:$B$201)-COUNT('Бланк OLD 0.8 04'!$B$18:$B$200),'Бланк OLD 2.0 04 '!$B$16:$K$200,3,0)="","",VLOOKUP($A481-COUNT('Шаг2.Бланк заказа NEW'!$B$19:$B$201)-COUNT('Бланк OLD 0.8 04'!$B$18:$B$200),'Бланк OLD 2.0 04 '!$B$16:$K$200,3,0)))</f>
        <v/>
      </c>
      <c r="G481" s="176" t="str">
        <f ca="1">IF(IF(R481="","",IF(R481=1,SUMIFS('Шаг1.Выбор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плиты'!C:Q,12,0)),1))))))=0,
R481,
IF(R481="","",IF(R481=1,SUMIFS('Шаг1.Выбор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плиты'!N:N,R481,'Шаг1.Выбор плиты'!M:M,SMALL(INDIRECT("мм"&amp;VLOOKUP(C481,'Шаг1.Выбор плиты'!C:Q,12,0)),1)))))))</f>
        <v/>
      </c>
      <c r="H481" s="177" t="str">
        <f ca="1">IF(IF(S481="","",IF(S481=1,SUMIFS('Шаг1.Выбор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плиты'!C:Q,12,0)),1))))))=0,
S481,
IF(S481="","",IF(S481=1,SUMIFS('Шаг1.Выбор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плиты'!N:N,S481,'Шаг1.Выбор плиты'!M:M,SMALL(INDIRECT("мм"&amp;VLOOKUP(C481,'Шаг1.Выбор плиты'!C:Q,12,0)),1)))))))</f>
        <v/>
      </c>
      <c r="I481" s="147" t="str">
        <f ca="1">IFERROR(IFERROR(IF(VLOOKUP($A481,'Шаг2.Бланк заказа NEW'!$B$17:$N$201,6,0)="","",VLOOKUP($A481,'Шаг2.Бланк заказа NEW'!$B$17:$N$201,6,0)),
IF(VLOOKUP($A481-COUNT('Шаг2.Бланк заказа NEW'!$B$19:$B$201),'Бланк OLD 0.8 04'!$B$12:$K$200,6,0)="","",VLOOKUP($A481-COUNT('Шаг2.Бланк заказа NEW'!$B$19:$B$201),'Бланк OLD 0.8 04'!$B$12:$K$200,6,0))),
IF(VLOOKUP($A481-COUNT('Шаг2.Бланк заказа NEW'!$B$19:$B$201)-COUNT('Бланк OLD 0.8 04'!$B$18:$B$200),'Бланк OLD 2.0 04 '!$B$16:$K$200,6,0)="","",VLOOKUP($A481-COUNT('Шаг2.Бланк заказа NEW'!$B$19:$B$201)-COUNT('Бланк OLD 0.8 04'!$B$18:$B$200),'Бланк OLD 2.0 04 '!$B$16:$K$200,6,0)))</f>
        <v/>
      </c>
      <c r="J481" s="177" t="str">
        <f ca="1">IF(IF(T481="","",IF(T481=1,SUMIFS('Шаг1.Выбор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плиты'!C:Q,12,0)),1))))))=0,
T481,
IF(T481="","",IF(T481=1,SUMIFS('Шаг1.Выбор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плиты'!N:N,T481,'Шаг1.Выбор плиты'!M:M,SMALL(INDIRECT("мм"&amp;VLOOKUP(C481,'Шаг1.Выбор плиты'!C:Q,12,0)),1)))))))</f>
        <v/>
      </c>
      <c r="K481" s="177" t="str">
        <f ca="1">IF(IF(U481="","",IF(U481=1,SUMIFS('Шаг1.Выбор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плиты'!C:Q,12,0)),1))))))=0,
U481,
IF(U481="","",IF(U481=1,SUMIFS('Шаг1.Выбор плиты'!$G:$G,'Шаг1.Выбор плиты'!J:J,"*"&amp;RIGHT(VLOOKUP(C481,'Шаг1.Выбор плиты'!C:Q,8,0),4),'Шаг1.Выбор плиты'!L:L,IF(MID(C481,1,6)="ЛДСП P","TM"&amp;MID(VLOOKUP(C481,'Шаг1.Выбор плиты'!C:Q,10,0),3,2),MID(VLOOKUP(C481,'Шаг1.Выбор плиты'!C:Q,10,0),1,2)),
'Шаг1.Выбор плиты'!N:N,1),IF(SUMIFS('Шаг1.Выбор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плиты'!C:Q,12,0)),1))=0,
IF(SUMIFS('Шаг1.Выбор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плиты'!C:Q,12,0)),2))=0,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плиты'!C:Q,12,0)),3)),
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плиты'!C:Q,12,0)),2))),
(SUMIFS('Шаг1.Выбор плиты'!$G:$G,'Шаг1.Выбор плиты'!J:J,"*"&amp;RIGHT(VLOOKUP(C481,'Шаг1.Выбор плиты'!C:Q,8,0),4),'Шаг1.Выбор плиты'!L:L,VLOOKUP(C481,'Шаг1.Выбор плиты'!C:Q,10,0),'Шаг1.Выбор плиты'!N:N,U481,'Шаг1.Выбор плиты'!M:M,SMALL(INDIRECT("мм"&amp;VLOOKUP(C481,'Шаг1.Выбор плиты'!C:Q,12,0)),1)))))))</f>
        <v/>
      </c>
      <c r="L481" s="147" t="str">
        <f ca="1">IFERROR(IFERROR(IF(VLOOKUP($A481,'Шаг2.Бланк заказа NEW'!$B$17:$N$201,9,0)="","",VLOOKUP($A481,'Шаг2.Бланк заказа NEW'!$B$17:$N$201,9,0)),
IF(VLOOKUP($A481-COUNT('Шаг2.Бланк заказа NEW'!$B$19:$B$201),'Бланк OLD 0.8 04'!$B$12:$K$200,9,0)="","",VLOOKUP($A481-COUNT('Шаг2.Бланк заказа NEW'!$B$19:$B$201),'Бланк OLD 0.8 04'!$B$12:$K$200,9,0))),
IF(VLOOKUP($A481-COUNT('Шаг2.Бланк заказа NEW'!$B$19:$B$201)-COUNT('Бланк OLD 0.8 04'!$B$18:$B$200),'Бланк OLD 2.0 04 '!$B$16:$K$200,9,0)="","",VLOOKUP($A481-COUNT('Шаг2.Бланк заказа NEW'!$B$19:$B$201)-COUNT('Бланк OLD 0.8 04'!$B$18:$B$200),'Бланк OLD 2.0 04 '!$B$16:$K$200,9,0)))</f>
        <v/>
      </c>
      <c r="M481" s="154" t="str">
        <f t="shared" ca="1" si="44"/>
        <v/>
      </c>
      <c r="N481" s="153" t="str">
        <f ca="1">IFERROR(IF(VLOOKUP($A481,'Шаг2.Бланк заказа NEW'!$B$17:$N$201,11,0)="","",VLOOKUP($A481,'Шаг2.Бланк заказа NEW'!$B$17:$N$201,11,0)),
"Нет")</f>
        <v/>
      </c>
      <c r="O481" s="147" t="str">
        <f ca="1">IFERROR(IF(VLOOKUP($A481,'Шаг2.Бланк заказа NEW'!$B$17:$N$201,11,0)="","",VLOOKUP($A481,'Шаг2.Бланк заказа NEW'!$B$17:$N$201,12,0)),
"Нет")</f>
        <v/>
      </c>
      <c r="P481" s="153" t="str">
        <f ca="1">IFERROR(IF(VLOOKUP($A481,'Шаг2.Бланк заказа NEW'!$B$17:$N$201,13,0)="","",VLOOKUP($A481,'Шаг2.Бланк заказа NEW'!$B$17:$N$201,13,0)),
"Нет")</f>
        <v/>
      </c>
      <c r="Q481" s="147" t="str">
        <f ca="1">IFERROR(IF(VLOOKUP($A481,'Шаг2.Бланк заказа NEW'!$B$17:$O$201,14,0)="","",VLOOKUP($A481,'Шаг2.Бланк заказа NEW'!$B$17:$O$201,14,0)),"")</f>
        <v/>
      </c>
      <c r="R481" s="147" t="str">
        <f ca="1">IFERROR(IFERROR(IF(VLOOKUP($A481,'Шаг2.Бланк заказа NEW'!$B$17:$N$201,4,0)="","",VLOOKUP($A481,'Шаг2.Бланк заказа NEW'!$B$17:$N$201,4,0)),
IF(VLOOKUP($A481-COUNT('Шаг2.Бланк заказа NEW'!$B$19:$B$201),'Бланк OLD 0.8 04'!$B$12:$K$200,4,0)&gt;0,0.8,
IF(VLOOKUP($A481-COUNT('Шаг2.Бланк заказа NEW'!$B$19:$B$201),'Бланк OLD 0.8 04'!$B$12:$K$200,5,0)&gt;0,0.4,""))),
IF(VLOOKUP($A481-COUNT('Шаг2.Бланк заказа NEW'!$B$19:$B$201)-COUNT('Бланк OLD 0.8 04'!$B$18:$B$200),'Бланк OLD 2.0 04 '!$B$16:$K$200,4,0)&gt;0,2,IF(VLOOKUP($A481-COUNT('Шаг2.Бланк заказа NEW'!$B$19:$B$201)-COUNT('Бланк OLD 0.8 04'!$B$18:$B$200),'Бланк OLD 2.0 04 '!$B$16:$K$200,5,0)&gt;0,0.4,"")))</f>
        <v/>
      </c>
      <c r="S481" s="147" t="str">
        <f ca="1">IFERROR(IFERROR(IF(VLOOKUP($A481,'Шаг2.Бланк заказа NEW'!$B$17:$N$201,5,0)="","",VLOOKUP($A481,'Шаг2.Бланк заказа NEW'!$B$17:$N$201,5,0)),
IF(VLOOKUP($A481-COUNT('Шаг2.Бланк заказа NEW'!$B$19:$B$201),'Бланк OLD 0.8 04'!$B$12:$K$200,4,0)&gt;1,0.8,
IF(VLOOKUP($A481-COUNT('Шаг2.Бланк заказа NEW'!$B$19:$B$201),'Бланк OLD 0.8 04'!$B$12:$K$200,5,0)&gt;1,0.4,
IF(AND(VLOOKUP($A481-COUNT('Шаг2.Бланк заказа NEW'!$B$19:$B$201),'Бланк OLD 0.8 04'!$B$12:$K$200,4,0)&gt;0,VLOOKUP($A481-COUNT('Шаг2.Бланк заказа NEW'!$B$19:$B$201),'Бланк OLD 0.8 04'!$B$12:$K$200,5,0)&gt;0),0.4,"")))),
IF(VLOOKUP($A481-COUNT('Шаг2.Бланк заказа NEW'!$B$19:$B$201)-COUNT('Бланк OLD 0.8 04'!$B$18:$B$200),'Бланк OLD 2.0 04 '!$B$16:$K$200,4,0)&gt;1,2,
IF(VLOOKUP($A481-COUNT('Шаг2.Бланк заказа NEW'!$B$19:$B$201)-COUNT('Бланк OLD 0.8 04'!$B$18:$B$200),'Бланк OLD 2.0 04 '!$B$16:$K$200,5,0)&gt;1,0.4,IF(AND(VLOOKUP($A481-COUNT('Шаг2.Бланк заказа NEW'!$B$19:$B$201)-COUNT('Бланк OLD 0.8 04'!$B$18:$B$200),'Бланк OLD 2.0 04 '!$B$16:$K$200,4,0)&gt;0,VLOOKUP($A481-COUNT('Шаг2.Бланк заказа NEW'!$B$19:$B$201)-COUNT('Бланк OLD 0.8 04'!$B$18:$B$200),'Бланк OLD 2.0 04 '!$B$16:$K$200,5,0)&gt;0),0.4,""))))</f>
        <v/>
      </c>
      <c r="T481" s="147" t="str">
        <f ca="1">IFERROR(IFERROR(IF(VLOOKUP($A481,'Шаг2.Бланк заказа NEW'!$B$17:$N$201,7,0)="","",VLOOKUP($A481,'Шаг2.Бланк заказа NEW'!$B$17:$N$201,7,0)),
IF(VLOOKUP($A481-COUNT('Шаг2.Бланк заказа NEW'!$B$19:$B$201),'Бланк OLD 0.8 04'!$B$12:$K$200,7,0)&gt;0,0.8,
IF(VLOOKUP($A481-COUNT('Шаг2.Бланк заказа NEW'!$B$19:$B$201),'Бланк OLD 0.8 04'!$B$12:$K$200,8,0)&gt;0,0.4,""))),
IF(VLOOKUP($A481-COUNT('Шаг2.Бланк заказа NEW'!$B$19:$B$201)-COUNT('Бланк OLD 0.8 04'!$B$18:$B$200),'Бланк OLD 2.0 04 '!$B$16:$K$200,7,0)&gt;0,2,IF(VLOOKUP($A481-COUNT('Шаг2.Бланк заказа NEW'!$B$19:$B$201)-COUNT('Бланк OLD 0.8 04'!$B$18:$B$200),'Бланк OLD 2.0 04 '!$B$16:$K$200,8,0)&gt;0,0.4,"")))</f>
        <v/>
      </c>
      <c r="U481" s="147" t="str">
        <f ca="1">IFERROR(IFERROR(IF(VLOOKUP($A481,'Шаг2.Бланк заказа NEW'!$B$17:$N$201,8,0)="","",VLOOKUP($A481,'Шаг2.Бланк заказа NEW'!$B$17:$N$201,8,0)),
IF(VLOOKUP($A481-COUNT('Шаг2.Бланк заказа NEW'!$B$19:$B$201),'Бланк OLD 0.8 04'!$B$12:$K$200,7,0)&gt;1,0.8,
IF(VLOOKUP($A481-COUNT('Шаг2.Бланк заказа NEW'!$B$19:$B$201),'Бланк OLD 0.8 04'!$B$12:$K$200,8,0)&gt;1,0.4,
IF(AND(VLOOKUP($A481-COUNT('Шаг2.Бланк заказа NEW'!$B$19:$B$201),'Бланк OLD 0.8 04'!$B$12:$K$200,7,0)&gt;0,VLOOKUP($A481-COUNT('Шаг2.Бланк заказа NEW'!$B$19:$B$201),'Бланк OLD 0.8 04'!$B$12:$K$200,8,0)&gt;0),0.4,"")))),
IF(VLOOKUP($A481-COUNT('Шаг2.Бланк заказа NEW'!$B$19:$B$201)-COUNT('Бланк OLD 0.8 04'!$B$18:$B$200),'Бланк OLD 2.0 04 '!$B$16:$K$200,7,0)&gt;1,2,
IF(VLOOKUP($A481-COUNT('Шаг2.Бланк заказа NEW'!$B$19:$B$201)-COUNT('Бланк OLD 0.8 04'!$B$18:$B$200),'Бланк OLD 2.0 04 '!$B$16:$K$200,8,0)&gt;1,0.4,
IF(AND(VLOOKUP($A481-COUNT('Шаг2.Бланк заказа NEW'!$B$19:$B$201)-COUNT('Бланк OLD 0.8 04'!$B$18:$B$200),'Бланк OLD 2.0 04 '!$B$16:$K$200,7,0)&gt;0,VLOOKUP($A481-COUNT('Шаг2.Бланк заказа NEW'!$B$19:$B$201)-COUNT('Бланк OLD 0.8 04'!$B$18:$B$200),'Бланк OLD 2.0 04 '!$B$16:$K$200,8,0)&gt;0),0.4,""))))</f>
        <v/>
      </c>
      <c r="V481" s="146" t="str">
        <f ca="1">IFERROR(VLOOKUP(C481,'Шаг1.Выбор плиты'!C:S,12,0),"")</f>
        <v/>
      </c>
      <c r="W481" s="146" t="str">
        <f ca="1">IFERROR(VLOOKUP(C481,'Шаг1.Выбор плиты'!C:S,8,0),"")</f>
        <v/>
      </c>
      <c r="X481" s="146" t="str">
        <f ca="1">IFERROR(VLOOKUP(C481,'Шаг1.Выбор плиты'!C:S,10,0),"")</f>
        <v/>
      </c>
      <c r="Y481" s="147" t="str">
        <f t="shared" ca="1" si="46"/>
        <v/>
      </c>
      <c r="AD481" s="147" t="str">
        <f t="shared" ca="1" si="42"/>
        <v/>
      </c>
      <c r="AE481" s="147" t="str">
        <f t="shared" ca="1" si="47"/>
        <v/>
      </c>
      <c r="AF481" s="25"/>
      <c r="AH481" s="147" t="str">
        <f ca="1">IF(C481="","",VLOOKUP(C481,'Шаг1.Выбор плиты'!C:Q,7,0))</f>
        <v/>
      </c>
      <c r="AI481" s="147" t="str">
        <f t="shared" ca="1" si="45"/>
        <v/>
      </c>
    </row>
    <row r="482" spans="1:35" x14ac:dyDescent="0.2">
      <c r="A482" s="151" t="str">
        <f ca="1">IF(C482="","",MAX($A$1:OFFSET(C482,-1,0))+1)</f>
        <v/>
      </c>
      <c r="B482" s="151" t="str">
        <f ca="1">IFERROR(IFERROR(IFERROR("Шаг2.Бланк заказа NEW №"&amp;VLOOKUP(A481+1,CHOOSE({1,2},'Шаг2.Бланк заказа NEW'!$B$19:$B$201,'Шаг2.Бланк заказа NEW'!$A$19:$A$201),1,0),
"Бланк OLD 0.8 04 №"&amp;VLOOKUP(A481+1-COUNT('Шаг2.Бланк заказа NEW'!$B$19:$B$201),CHOOSE({1,2},'Бланк OLD 0.8 04'!$B$18:$B$200,'Бланк OLD 0.8 04'!$A$18:$A$200),1,0)),
"Бланк OLD 2.0 04 №"&amp;VLOOKUP(A481+1-COUNT('Шаг2.Бланк заказа NEW'!$B$19:$B$201)-COUNT('Бланк OLD 0.8 04'!$B$18:$B$200),CHOOSE({1,2},'Бланк OLD 2.0 04 '!$B$18:$B$200,'Бланк OLD 2.0 04 '!$A$18:$A$200),1,0)),"")</f>
        <v/>
      </c>
      <c r="C482" s="152" t="str">
        <f ca="1">IFERROR(IFERROR(IFERROR(VLOOKUP(A481+1,CHOOSE({1,2},'Шаг2.Бланк заказа NEW'!$B$19:$B$201,'Шаг2.Бланк заказа NEW'!$A$19:$A$201),2,0),
VLOOKUP(A481+1-COUNT('Шаг2.Бланк заказа NEW'!$B$19:$B$201),CHOOSE({1,2},'Бланк OLD 0.8 04'!$B$18:$B$200,'Бланк OLD 0.8 04'!$A$18:$A$200),2,0)),
VLOOKUP(A481+1-COUNT('Шаг2.Бланк заказа NEW'!$B$19:$B$201)-COUNT('Бланк OLD 0.8 04'!$B$18:$B$200),CHOOSE({1,2},'Бланк OLD 2.0 04 '!$B$18:$B$200,'Бланк OLD 2.0 04 '!$A$18:$A$200),2,0)),"")</f>
        <v/>
      </c>
      <c r="D482" s="150" t="str">
        <f ca="1">IFERROR(VLOOKUP(C482,'Шаг1.Выбор плиты'!C:G,5,0),"")</f>
        <v/>
      </c>
      <c r="E482" s="147" t="str">
        <f ca="1">IFERROR(IFERROR(IF(VLOOKUP($A482,'Шаг2.Бланк заказа NEW'!$B$17:$N$201,2,0)="","",VLOOKUP($A482,'Шаг2.Бланк заказа NEW'!$B$17:$N$201,2,0)),
IF(VLOOKUP($A482-COUNT('Шаг2.Бланк заказа NEW'!$B$19:$B$201),'Бланк OLD 0.8 04'!$B$12:$K$200,2,0)="","",VLOOKUP($A482-COUNT('Шаг2.Бланк заказа NEW'!$B$19:$B$201),'Бланк OLD 0.8 04'!$B$12:$K$200,2,0))),
IF(VLOOKUP($A482-COUNT('Шаг2.Бланк заказа NEW'!$B$19:$B$201)-COUNT('Бланк OLD 0.8 04'!$B$18:$B$200),'Бланк OLD 2.0 04 '!$B$16:$K$200,2,0)="","",VLOOKUP($A482-COUNT('Шаг2.Бланк заказа NEW'!$B$19:$B$201)-COUNT('Бланк OLD 0.8 04'!$B$18:$B$200),'Бланк OLD 2.0 04 '!$B$16:$K$200,2,0)))</f>
        <v/>
      </c>
      <c r="F482" s="147" t="str">
        <f ca="1">IFERROR(IFERROR(IF(VLOOKUP($A482,'Шаг2.Бланк заказа NEW'!$B$17:$N$201,3,0)="","",VLOOKUP($A482,'Шаг2.Бланк заказа NEW'!$B$17:$N$201,3,0)),
IF(VLOOKUP($A482-COUNT('Шаг2.Бланк заказа NEW'!$B$19:$B$201),'Бланк OLD 0.8 04'!$B$12:$K$200,3,0)="","",VLOOKUP($A482-COUNT('Шаг2.Бланк заказа NEW'!$B$19:$B$201),'Бланк OLD 0.8 04'!$B$12:$K$200,3,0))),
IF(VLOOKUP($A482-COUNT('Шаг2.Бланк заказа NEW'!$B$19:$B$201)-COUNT('Бланк OLD 0.8 04'!$B$18:$B$200),'Бланк OLD 2.0 04 '!$B$16:$K$200,3,0)="","",VLOOKUP($A482-COUNT('Шаг2.Бланк заказа NEW'!$B$19:$B$201)-COUNT('Бланк OLD 0.8 04'!$B$18:$B$200),'Бланк OLD 2.0 04 '!$B$16:$K$200,3,0)))</f>
        <v/>
      </c>
      <c r="G482" s="176" t="str">
        <f ca="1">IF(IF(R482="","",IF(R482=1,SUMIFS('Шаг1.Выбор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плиты'!C:Q,12,0)),1))))))=0,
R482,
IF(R482="","",IF(R482=1,SUMIFS('Шаг1.Выбор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плиты'!N:N,R482,'Шаг1.Выбор плиты'!M:M,SMALL(INDIRECT("мм"&amp;VLOOKUP(C482,'Шаг1.Выбор плиты'!C:Q,12,0)),1)))))))</f>
        <v/>
      </c>
      <c r="H482" s="177" t="str">
        <f ca="1">IF(IF(S482="","",IF(S482=1,SUMIFS('Шаг1.Выбор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плиты'!C:Q,12,0)),1))))))=0,
S482,
IF(S482="","",IF(S482=1,SUMIFS('Шаг1.Выбор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плиты'!N:N,S482,'Шаг1.Выбор плиты'!M:M,SMALL(INDIRECT("мм"&amp;VLOOKUP(C482,'Шаг1.Выбор плиты'!C:Q,12,0)),1)))))))</f>
        <v/>
      </c>
      <c r="I482" s="147" t="str">
        <f ca="1">IFERROR(IFERROR(IF(VLOOKUP($A482,'Шаг2.Бланк заказа NEW'!$B$17:$N$201,6,0)="","",VLOOKUP($A482,'Шаг2.Бланк заказа NEW'!$B$17:$N$201,6,0)),
IF(VLOOKUP($A482-COUNT('Шаг2.Бланк заказа NEW'!$B$19:$B$201),'Бланк OLD 0.8 04'!$B$12:$K$200,6,0)="","",VLOOKUP($A482-COUNT('Шаг2.Бланк заказа NEW'!$B$19:$B$201),'Бланк OLD 0.8 04'!$B$12:$K$200,6,0))),
IF(VLOOKUP($A482-COUNT('Шаг2.Бланк заказа NEW'!$B$19:$B$201)-COUNT('Бланк OLD 0.8 04'!$B$18:$B$200),'Бланк OLD 2.0 04 '!$B$16:$K$200,6,0)="","",VLOOKUP($A482-COUNT('Шаг2.Бланк заказа NEW'!$B$19:$B$201)-COUNT('Бланк OLD 0.8 04'!$B$18:$B$200),'Бланк OLD 2.0 04 '!$B$16:$K$200,6,0)))</f>
        <v/>
      </c>
      <c r="J482" s="177" t="str">
        <f ca="1">IF(IF(T482="","",IF(T482=1,SUMIFS('Шаг1.Выбор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плиты'!C:Q,12,0)),1))))))=0,
T482,
IF(T482="","",IF(T482=1,SUMIFS('Шаг1.Выбор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плиты'!N:N,T482,'Шаг1.Выбор плиты'!M:M,SMALL(INDIRECT("мм"&amp;VLOOKUP(C482,'Шаг1.Выбор плиты'!C:Q,12,0)),1)))))))</f>
        <v/>
      </c>
      <c r="K482" s="177" t="str">
        <f ca="1">IF(IF(U482="","",IF(U482=1,SUMIFS('Шаг1.Выбор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плиты'!C:Q,12,0)),1))))))=0,
U482,
IF(U482="","",IF(U482=1,SUMIFS('Шаг1.Выбор плиты'!$G:$G,'Шаг1.Выбор плиты'!J:J,"*"&amp;RIGHT(VLOOKUP(C482,'Шаг1.Выбор плиты'!C:Q,8,0),4),'Шаг1.Выбор плиты'!L:L,IF(MID(C482,1,6)="ЛДСП P","TM"&amp;MID(VLOOKUP(C482,'Шаг1.Выбор плиты'!C:Q,10,0),3,2),MID(VLOOKUP(C482,'Шаг1.Выбор плиты'!C:Q,10,0),1,2)),
'Шаг1.Выбор плиты'!N:N,1),IF(SUMIFS('Шаг1.Выбор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плиты'!C:Q,12,0)),1))=0,
IF(SUMIFS('Шаг1.Выбор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плиты'!C:Q,12,0)),2))=0,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плиты'!C:Q,12,0)),3)),
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плиты'!C:Q,12,0)),2))),
(SUMIFS('Шаг1.Выбор плиты'!$G:$G,'Шаг1.Выбор плиты'!J:J,"*"&amp;RIGHT(VLOOKUP(C482,'Шаг1.Выбор плиты'!C:Q,8,0),4),'Шаг1.Выбор плиты'!L:L,VLOOKUP(C482,'Шаг1.Выбор плиты'!C:Q,10,0),'Шаг1.Выбор плиты'!N:N,U482,'Шаг1.Выбор плиты'!M:M,SMALL(INDIRECT("мм"&amp;VLOOKUP(C482,'Шаг1.Выбор плиты'!C:Q,12,0)),1)))))))</f>
        <v/>
      </c>
      <c r="L482" s="147" t="str">
        <f ca="1">IFERROR(IFERROR(IF(VLOOKUP($A482,'Шаг2.Бланк заказа NEW'!$B$17:$N$201,9,0)="","",VLOOKUP($A482,'Шаг2.Бланк заказа NEW'!$B$17:$N$201,9,0)),
IF(VLOOKUP($A482-COUNT('Шаг2.Бланк заказа NEW'!$B$19:$B$201),'Бланк OLD 0.8 04'!$B$12:$K$200,9,0)="","",VLOOKUP($A482-COUNT('Шаг2.Бланк заказа NEW'!$B$19:$B$201),'Бланк OLD 0.8 04'!$B$12:$K$200,9,0))),
IF(VLOOKUP($A482-COUNT('Шаг2.Бланк заказа NEW'!$B$19:$B$201)-COUNT('Бланк OLD 0.8 04'!$B$18:$B$200),'Бланк OLD 2.0 04 '!$B$16:$K$200,9,0)="","",VLOOKUP($A482-COUNT('Шаг2.Бланк заказа NEW'!$B$19:$B$201)-COUNT('Бланк OLD 0.8 04'!$B$18:$B$200),'Бланк OLD 2.0 04 '!$B$16:$K$200,9,0)))</f>
        <v/>
      </c>
      <c r="M482" s="154" t="str">
        <f t="shared" ca="1" si="44"/>
        <v/>
      </c>
      <c r="N482" s="153" t="str">
        <f ca="1">IFERROR(IF(VLOOKUP($A482,'Шаг2.Бланк заказа NEW'!$B$17:$N$201,11,0)="","",VLOOKUP($A482,'Шаг2.Бланк заказа NEW'!$B$17:$N$201,11,0)),
"Нет")</f>
        <v/>
      </c>
      <c r="O482" s="147" t="str">
        <f ca="1">IFERROR(IF(VLOOKUP($A482,'Шаг2.Бланк заказа NEW'!$B$17:$N$201,11,0)="","",VLOOKUP($A482,'Шаг2.Бланк заказа NEW'!$B$17:$N$201,12,0)),
"Нет")</f>
        <v/>
      </c>
      <c r="P482" s="153" t="str">
        <f ca="1">IFERROR(IF(VLOOKUP($A482,'Шаг2.Бланк заказа NEW'!$B$17:$N$201,13,0)="","",VLOOKUP($A482,'Шаг2.Бланк заказа NEW'!$B$17:$N$201,13,0)),
"Нет")</f>
        <v/>
      </c>
      <c r="Q482" s="147" t="str">
        <f ca="1">IFERROR(IF(VLOOKUP($A482,'Шаг2.Бланк заказа NEW'!$B$17:$O$201,14,0)="","",VLOOKUP($A482,'Шаг2.Бланк заказа NEW'!$B$17:$O$201,14,0)),"")</f>
        <v/>
      </c>
      <c r="R482" s="147" t="str">
        <f ca="1">IFERROR(IFERROR(IF(VLOOKUP($A482,'Шаг2.Бланк заказа NEW'!$B$17:$N$201,4,0)="","",VLOOKUP($A482,'Шаг2.Бланк заказа NEW'!$B$17:$N$201,4,0)),
IF(VLOOKUP($A482-COUNT('Шаг2.Бланк заказа NEW'!$B$19:$B$201),'Бланк OLD 0.8 04'!$B$12:$K$200,4,0)&gt;0,0.8,
IF(VLOOKUP($A482-COUNT('Шаг2.Бланк заказа NEW'!$B$19:$B$201),'Бланк OLD 0.8 04'!$B$12:$K$200,5,0)&gt;0,0.4,""))),
IF(VLOOKUP($A482-COUNT('Шаг2.Бланк заказа NEW'!$B$19:$B$201)-COUNT('Бланк OLD 0.8 04'!$B$18:$B$200),'Бланк OLD 2.0 04 '!$B$16:$K$200,4,0)&gt;0,2,IF(VLOOKUP($A482-COUNT('Шаг2.Бланк заказа NEW'!$B$19:$B$201)-COUNT('Бланк OLD 0.8 04'!$B$18:$B$200),'Бланк OLD 2.0 04 '!$B$16:$K$200,5,0)&gt;0,0.4,"")))</f>
        <v/>
      </c>
      <c r="S482" s="147" t="str">
        <f ca="1">IFERROR(IFERROR(IF(VLOOKUP($A482,'Шаг2.Бланк заказа NEW'!$B$17:$N$201,5,0)="","",VLOOKUP($A482,'Шаг2.Бланк заказа NEW'!$B$17:$N$201,5,0)),
IF(VLOOKUP($A482-COUNT('Шаг2.Бланк заказа NEW'!$B$19:$B$201),'Бланк OLD 0.8 04'!$B$12:$K$200,4,0)&gt;1,0.8,
IF(VLOOKUP($A482-COUNT('Шаг2.Бланк заказа NEW'!$B$19:$B$201),'Бланк OLD 0.8 04'!$B$12:$K$200,5,0)&gt;1,0.4,
IF(AND(VLOOKUP($A482-COUNT('Шаг2.Бланк заказа NEW'!$B$19:$B$201),'Бланк OLD 0.8 04'!$B$12:$K$200,4,0)&gt;0,VLOOKUP($A482-COUNT('Шаг2.Бланк заказа NEW'!$B$19:$B$201),'Бланк OLD 0.8 04'!$B$12:$K$200,5,0)&gt;0),0.4,"")))),
IF(VLOOKUP($A482-COUNT('Шаг2.Бланк заказа NEW'!$B$19:$B$201)-COUNT('Бланк OLD 0.8 04'!$B$18:$B$200),'Бланк OLD 2.0 04 '!$B$16:$K$200,4,0)&gt;1,2,
IF(VLOOKUP($A482-COUNT('Шаг2.Бланк заказа NEW'!$B$19:$B$201)-COUNT('Бланк OLD 0.8 04'!$B$18:$B$200),'Бланк OLD 2.0 04 '!$B$16:$K$200,5,0)&gt;1,0.4,IF(AND(VLOOKUP($A482-COUNT('Шаг2.Бланк заказа NEW'!$B$19:$B$201)-COUNT('Бланк OLD 0.8 04'!$B$18:$B$200),'Бланк OLD 2.0 04 '!$B$16:$K$200,4,0)&gt;0,VLOOKUP($A482-COUNT('Шаг2.Бланк заказа NEW'!$B$19:$B$201)-COUNT('Бланк OLD 0.8 04'!$B$18:$B$200),'Бланк OLD 2.0 04 '!$B$16:$K$200,5,0)&gt;0),0.4,""))))</f>
        <v/>
      </c>
      <c r="T482" s="147" t="str">
        <f ca="1">IFERROR(IFERROR(IF(VLOOKUP($A482,'Шаг2.Бланк заказа NEW'!$B$17:$N$201,7,0)="","",VLOOKUP($A482,'Шаг2.Бланк заказа NEW'!$B$17:$N$201,7,0)),
IF(VLOOKUP($A482-COUNT('Шаг2.Бланк заказа NEW'!$B$19:$B$201),'Бланк OLD 0.8 04'!$B$12:$K$200,7,0)&gt;0,0.8,
IF(VLOOKUP($A482-COUNT('Шаг2.Бланк заказа NEW'!$B$19:$B$201),'Бланк OLD 0.8 04'!$B$12:$K$200,8,0)&gt;0,0.4,""))),
IF(VLOOKUP($A482-COUNT('Шаг2.Бланк заказа NEW'!$B$19:$B$201)-COUNT('Бланк OLD 0.8 04'!$B$18:$B$200),'Бланк OLD 2.0 04 '!$B$16:$K$200,7,0)&gt;0,2,IF(VLOOKUP($A482-COUNT('Шаг2.Бланк заказа NEW'!$B$19:$B$201)-COUNT('Бланк OLD 0.8 04'!$B$18:$B$200),'Бланк OLD 2.0 04 '!$B$16:$K$200,8,0)&gt;0,0.4,"")))</f>
        <v/>
      </c>
      <c r="U482" s="147" t="str">
        <f ca="1">IFERROR(IFERROR(IF(VLOOKUP($A482,'Шаг2.Бланк заказа NEW'!$B$17:$N$201,8,0)="","",VLOOKUP($A482,'Шаг2.Бланк заказа NEW'!$B$17:$N$201,8,0)),
IF(VLOOKUP($A482-COUNT('Шаг2.Бланк заказа NEW'!$B$19:$B$201),'Бланк OLD 0.8 04'!$B$12:$K$200,7,0)&gt;1,0.8,
IF(VLOOKUP($A482-COUNT('Шаг2.Бланк заказа NEW'!$B$19:$B$201),'Бланк OLD 0.8 04'!$B$12:$K$200,8,0)&gt;1,0.4,
IF(AND(VLOOKUP($A482-COUNT('Шаг2.Бланк заказа NEW'!$B$19:$B$201),'Бланк OLD 0.8 04'!$B$12:$K$200,7,0)&gt;0,VLOOKUP($A482-COUNT('Шаг2.Бланк заказа NEW'!$B$19:$B$201),'Бланк OLD 0.8 04'!$B$12:$K$200,8,0)&gt;0),0.4,"")))),
IF(VLOOKUP($A482-COUNT('Шаг2.Бланк заказа NEW'!$B$19:$B$201)-COUNT('Бланк OLD 0.8 04'!$B$18:$B$200),'Бланк OLD 2.0 04 '!$B$16:$K$200,7,0)&gt;1,2,
IF(VLOOKUP($A482-COUNT('Шаг2.Бланк заказа NEW'!$B$19:$B$201)-COUNT('Бланк OLD 0.8 04'!$B$18:$B$200),'Бланк OLD 2.0 04 '!$B$16:$K$200,8,0)&gt;1,0.4,
IF(AND(VLOOKUP($A482-COUNT('Шаг2.Бланк заказа NEW'!$B$19:$B$201)-COUNT('Бланк OLD 0.8 04'!$B$18:$B$200),'Бланк OLD 2.0 04 '!$B$16:$K$200,7,0)&gt;0,VLOOKUP($A482-COUNT('Шаг2.Бланк заказа NEW'!$B$19:$B$201)-COUNT('Бланк OLD 0.8 04'!$B$18:$B$200),'Бланк OLD 2.0 04 '!$B$16:$K$200,8,0)&gt;0),0.4,""))))</f>
        <v/>
      </c>
      <c r="V482" s="146" t="str">
        <f ca="1">IFERROR(VLOOKUP(C482,'Шаг1.Выбор плиты'!C:S,12,0),"")</f>
        <v/>
      </c>
      <c r="W482" s="146" t="str">
        <f ca="1">IFERROR(VLOOKUP(C482,'Шаг1.Выбор плиты'!C:S,8,0),"")</f>
        <v/>
      </c>
      <c r="X482" s="146" t="str">
        <f ca="1">IFERROR(VLOOKUP(C482,'Шаг1.Выбор плиты'!C:S,10,0),"")</f>
        <v/>
      </c>
      <c r="Y482" s="147" t="str">
        <f t="shared" ca="1" si="46"/>
        <v/>
      </c>
      <c r="AD482" s="147" t="str">
        <f t="shared" ca="1" si="42"/>
        <v/>
      </c>
      <c r="AE482" s="147" t="str">
        <f t="shared" ca="1" si="47"/>
        <v/>
      </c>
      <c r="AF482" s="25"/>
      <c r="AH482" s="147" t="str">
        <f ca="1">IF(C482="","",VLOOKUP(C482,'Шаг1.Выбор плиты'!C:Q,7,0))</f>
        <v/>
      </c>
      <c r="AI482" s="147" t="str">
        <f t="shared" ca="1" si="45"/>
        <v/>
      </c>
    </row>
    <row r="483" spans="1:35" x14ac:dyDescent="0.2">
      <c r="A483" s="151" t="str">
        <f ca="1">IF(C483="","",MAX($A$1:OFFSET(C483,-1,0))+1)</f>
        <v/>
      </c>
      <c r="B483" s="151" t="str">
        <f ca="1">IFERROR(IFERROR(IFERROR("Шаг2.Бланк заказа NEW №"&amp;VLOOKUP(A482+1,CHOOSE({1,2},'Шаг2.Бланк заказа NEW'!$B$19:$B$201,'Шаг2.Бланк заказа NEW'!$A$19:$A$201),1,0),
"Бланк OLD 0.8 04 №"&amp;VLOOKUP(A482+1-COUNT('Шаг2.Бланк заказа NEW'!$B$19:$B$201),CHOOSE({1,2},'Бланк OLD 0.8 04'!$B$18:$B$200,'Бланк OLD 0.8 04'!$A$18:$A$200),1,0)),
"Бланк OLD 2.0 04 №"&amp;VLOOKUP(A482+1-COUNT('Шаг2.Бланк заказа NEW'!$B$19:$B$201)-COUNT('Бланк OLD 0.8 04'!$B$18:$B$200),CHOOSE({1,2},'Бланк OLD 2.0 04 '!$B$18:$B$200,'Бланк OLD 2.0 04 '!$A$18:$A$200),1,0)),"")</f>
        <v/>
      </c>
      <c r="C483" s="152" t="str">
        <f ca="1">IFERROR(IFERROR(IFERROR(VLOOKUP(A482+1,CHOOSE({1,2},'Шаг2.Бланк заказа NEW'!$B$19:$B$201,'Шаг2.Бланк заказа NEW'!$A$19:$A$201),2,0),
VLOOKUP(A482+1-COUNT('Шаг2.Бланк заказа NEW'!$B$19:$B$201),CHOOSE({1,2},'Бланк OLD 0.8 04'!$B$18:$B$200,'Бланк OLD 0.8 04'!$A$18:$A$200),2,0)),
VLOOKUP(A482+1-COUNT('Шаг2.Бланк заказа NEW'!$B$19:$B$201)-COUNT('Бланк OLD 0.8 04'!$B$18:$B$200),CHOOSE({1,2},'Бланк OLD 2.0 04 '!$B$18:$B$200,'Бланк OLD 2.0 04 '!$A$18:$A$200),2,0)),"")</f>
        <v/>
      </c>
      <c r="D483" s="150" t="str">
        <f ca="1">IFERROR(VLOOKUP(C483,'Шаг1.Выбор плиты'!C:G,5,0),"")</f>
        <v/>
      </c>
      <c r="E483" s="147" t="str">
        <f ca="1">IFERROR(IFERROR(IF(VLOOKUP($A483,'Шаг2.Бланк заказа NEW'!$B$17:$N$201,2,0)="","",VLOOKUP($A483,'Шаг2.Бланк заказа NEW'!$B$17:$N$201,2,0)),
IF(VLOOKUP($A483-COUNT('Шаг2.Бланк заказа NEW'!$B$19:$B$201),'Бланк OLD 0.8 04'!$B$12:$K$200,2,0)="","",VLOOKUP($A483-COUNT('Шаг2.Бланк заказа NEW'!$B$19:$B$201),'Бланк OLD 0.8 04'!$B$12:$K$200,2,0))),
IF(VLOOKUP($A483-COUNT('Шаг2.Бланк заказа NEW'!$B$19:$B$201)-COUNT('Бланк OLD 0.8 04'!$B$18:$B$200),'Бланк OLD 2.0 04 '!$B$16:$K$200,2,0)="","",VLOOKUP($A483-COUNT('Шаг2.Бланк заказа NEW'!$B$19:$B$201)-COUNT('Бланк OLD 0.8 04'!$B$18:$B$200),'Бланк OLD 2.0 04 '!$B$16:$K$200,2,0)))</f>
        <v/>
      </c>
      <c r="F483" s="147" t="str">
        <f ca="1">IFERROR(IFERROR(IF(VLOOKUP($A483,'Шаг2.Бланк заказа NEW'!$B$17:$N$201,3,0)="","",VLOOKUP($A483,'Шаг2.Бланк заказа NEW'!$B$17:$N$201,3,0)),
IF(VLOOKUP($A483-COUNT('Шаг2.Бланк заказа NEW'!$B$19:$B$201),'Бланк OLD 0.8 04'!$B$12:$K$200,3,0)="","",VLOOKUP($A483-COUNT('Шаг2.Бланк заказа NEW'!$B$19:$B$201),'Бланк OLD 0.8 04'!$B$12:$K$200,3,0))),
IF(VLOOKUP($A483-COUNT('Шаг2.Бланк заказа NEW'!$B$19:$B$201)-COUNT('Бланк OLD 0.8 04'!$B$18:$B$200),'Бланк OLD 2.0 04 '!$B$16:$K$200,3,0)="","",VLOOKUP($A483-COUNT('Шаг2.Бланк заказа NEW'!$B$19:$B$201)-COUNT('Бланк OLD 0.8 04'!$B$18:$B$200),'Бланк OLD 2.0 04 '!$B$16:$K$200,3,0)))</f>
        <v/>
      </c>
      <c r="G483" s="176" t="str">
        <f ca="1">IF(IF(R483="","",IF(R483=1,SUMIFS('Шаг1.Выбор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плиты'!C:Q,12,0)),1))))))=0,
R483,
IF(R483="","",IF(R483=1,SUMIFS('Шаг1.Выбор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плиты'!N:N,R483,'Шаг1.Выбор плиты'!M:M,SMALL(INDIRECT("мм"&amp;VLOOKUP(C483,'Шаг1.Выбор плиты'!C:Q,12,0)),1)))))))</f>
        <v/>
      </c>
      <c r="H483" s="177" t="str">
        <f ca="1">IF(IF(S483="","",IF(S483=1,SUMIFS('Шаг1.Выбор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плиты'!C:Q,12,0)),1))))))=0,
S483,
IF(S483="","",IF(S483=1,SUMIFS('Шаг1.Выбор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плиты'!N:N,S483,'Шаг1.Выбор плиты'!M:M,SMALL(INDIRECT("мм"&amp;VLOOKUP(C483,'Шаг1.Выбор плиты'!C:Q,12,0)),1)))))))</f>
        <v/>
      </c>
      <c r="I483" s="147" t="str">
        <f ca="1">IFERROR(IFERROR(IF(VLOOKUP($A483,'Шаг2.Бланк заказа NEW'!$B$17:$N$201,6,0)="","",VLOOKUP($A483,'Шаг2.Бланк заказа NEW'!$B$17:$N$201,6,0)),
IF(VLOOKUP($A483-COUNT('Шаг2.Бланк заказа NEW'!$B$19:$B$201),'Бланк OLD 0.8 04'!$B$12:$K$200,6,0)="","",VLOOKUP($A483-COUNT('Шаг2.Бланк заказа NEW'!$B$19:$B$201),'Бланк OLD 0.8 04'!$B$12:$K$200,6,0))),
IF(VLOOKUP($A483-COUNT('Шаг2.Бланк заказа NEW'!$B$19:$B$201)-COUNT('Бланк OLD 0.8 04'!$B$18:$B$200),'Бланк OLD 2.0 04 '!$B$16:$K$200,6,0)="","",VLOOKUP($A483-COUNT('Шаг2.Бланк заказа NEW'!$B$19:$B$201)-COUNT('Бланк OLD 0.8 04'!$B$18:$B$200),'Бланк OLD 2.0 04 '!$B$16:$K$200,6,0)))</f>
        <v/>
      </c>
      <c r="J483" s="177" t="str">
        <f ca="1">IF(IF(T483="","",IF(T483=1,SUMIFS('Шаг1.Выбор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плиты'!C:Q,12,0)),1))))))=0,
T483,
IF(T483="","",IF(T483=1,SUMIFS('Шаг1.Выбор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плиты'!N:N,T483,'Шаг1.Выбор плиты'!M:M,SMALL(INDIRECT("мм"&amp;VLOOKUP(C483,'Шаг1.Выбор плиты'!C:Q,12,0)),1)))))))</f>
        <v/>
      </c>
      <c r="K483" s="177" t="str">
        <f ca="1">IF(IF(U483="","",IF(U483=1,SUMIFS('Шаг1.Выбор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плиты'!C:Q,12,0)),1))))))=0,
U483,
IF(U483="","",IF(U483=1,SUMIFS('Шаг1.Выбор плиты'!$G:$G,'Шаг1.Выбор плиты'!J:J,"*"&amp;RIGHT(VLOOKUP(C483,'Шаг1.Выбор плиты'!C:Q,8,0),4),'Шаг1.Выбор плиты'!L:L,IF(MID(C483,1,6)="ЛДСП P","TM"&amp;MID(VLOOKUP(C483,'Шаг1.Выбор плиты'!C:Q,10,0),3,2),MID(VLOOKUP(C483,'Шаг1.Выбор плиты'!C:Q,10,0),1,2)),
'Шаг1.Выбор плиты'!N:N,1),IF(SUMIFS('Шаг1.Выбор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плиты'!C:Q,12,0)),1))=0,
IF(SUMIFS('Шаг1.Выбор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плиты'!C:Q,12,0)),2))=0,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плиты'!C:Q,12,0)),3)),
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плиты'!C:Q,12,0)),2))),
(SUMIFS('Шаг1.Выбор плиты'!$G:$G,'Шаг1.Выбор плиты'!J:J,"*"&amp;RIGHT(VLOOKUP(C483,'Шаг1.Выбор плиты'!C:Q,8,0),4),'Шаг1.Выбор плиты'!L:L,VLOOKUP(C483,'Шаг1.Выбор плиты'!C:Q,10,0),'Шаг1.Выбор плиты'!N:N,U483,'Шаг1.Выбор плиты'!M:M,SMALL(INDIRECT("мм"&amp;VLOOKUP(C483,'Шаг1.Выбор плиты'!C:Q,12,0)),1)))))))</f>
        <v/>
      </c>
      <c r="L483" s="147" t="str">
        <f ca="1">IFERROR(IFERROR(IF(VLOOKUP($A483,'Шаг2.Бланк заказа NEW'!$B$17:$N$201,9,0)="","",VLOOKUP($A483,'Шаг2.Бланк заказа NEW'!$B$17:$N$201,9,0)),
IF(VLOOKUP($A483-COUNT('Шаг2.Бланк заказа NEW'!$B$19:$B$201),'Бланк OLD 0.8 04'!$B$12:$K$200,9,0)="","",VLOOKUP($A483-COUNT('Шаг2.Бланк заказа NEW'!$B$19:$B$201),'Бланк OLD 0.8 04'!$B$12:$K$200,9,0))),
IF(VLOOKUP($A483-COUNT('Шаг2.Бланк заказа NEW'!$B$19:$B$201)-COUNT('Бланк OLD 0.8 04'!$B$18:$B$200),'Бланк OLD 2.0 04 '!$B$16:$K$200,9,0)="","",VLOOKUP($A483-COUNT('Шаг2.Бланк заказа NEW'!$B$19:$B$201)-COUNT('Бланк OLD 0.8 04'!$B$18:$B$200),'Бланк OLD 2.0 04 '!$B$16:$K$200,9,0)))</f>
        <v/>
      </c>
      <c r="M483" s="154" t="str">
        <f t="shared" ca="1" si="44"/>
        <v/>
      </c>
      <c r="N483" s="153" t="str">
        <f ca="1">IFERROR(IF(VLOOKUP($A483,'Шаг2.Бланк заказа NEW'!$B$17:$N$201,11,0)="","",VLOOKUP($A483,'Шаг2.Бланк заказа NEW'!$B$17:$N$201,11,0)),
"Нет")</f>
        <v/>
      </c>
      <c r="O483" s="147" t="str">
        <f ca="1">IFERROR(IF(VLOOKUP($A483,'Шаг2.Бланк заказа NEW'!$B$17:$N$201,11,0)="","",VLOOKUP($A483,'Шаг2.Бланк заказа NEW'!$B$17:$N$201,12,0)),
"Нет")</f>
        <v/>
      </c>
      <c r="P483" s="153" t="str">
        <f ca="1">IFERROR(IF(VLOOKUP($A483,'Шаг2.Бланк заказа NEW'!$B$17:$N$201,13,0)="","",VLOOKUP($A483,'Шаг2.Бланк заказа NEW'!$B$17:$N$201,13,0)),
"Нет")</f>
        <v/>
      </c>
      <c r="Q483" s="147" t="str">
        <f ca="1">IFERROR(IF(VLOOKUP($A483,'Шаг2.Бланк заказа NEW'!$B$17:$O$201,14,0)="","",VLOOKUP($A483,'Шаг2.Бланк заказа NEW'!$B$17:$O$201,14,0)),"")</f>
        <v/>
      </c>
      <c r="R483" s="147" t="str">
        <f ca="1">IFERROR(IFERROR(IF(VLOOKUP($A483,'Шаг2.Бланк заказа NEW'!$B$17:$N$201,4,0)="","",VLOOKUP($A483,'Шаг2.Бланк заказа NEW'!$B$17:$N$201,4,0)),
IF(VLOOKUP($A483-COUNT('Шаг2.Бланк заказа NEW'!$B$19:$B$201),'Бланк OLD 0.8 04'!$B$12:$K$200,4,0)&gt;0,0.8,
IF(VLOOKUP($A483-COUNT('Шаг2.Бланк заказа NEW'!$B$19:$B$201),'Бланк OLD 0.8 04'!$B$12:$K$200,5,0)&gt;0,0.4,""))),
IF(VLOOKUP($A483-COUNT('Шаг2.Бланк заказа NEW'!$B$19:$B$201)-COUNT('Бланк OLD 0.8 04'!$B$18:$B$200),'Бланк OLD 2.0 04 '!$B$16:$K$200,4,0)&gt;0,2,IF(VLOOKUP($A483-COUNT('Шаг2.Бланк заказа NEW'!$B$19:$B$201)-COUNT('Бланк OLD 0.8 04'!$B$18:$B$200),'Бланк OLD 2.0 04 '!$B$16:$K$200,5,0)&gt;0,0.4,"")))</f>
        <v/>
      </c>
      <c r="S483" s="147" t="str">
        <f ca="1">IFERROR(IFERROR(IF(VLOOKUP($A483,'Шаг2.Бланк заказа NEW'!$B$17:$N$201,5,0)="","",VLOOKUP($A483,'Шаг2.Бланк заказа NEW'!$B$17:$N$201,5,0)),
IF(VLOOKUP($A483-COUNT('Шаг2.Бланк заказа NEW'!$B$19:$B$201),'Бланк OLD 0.8 04'!$B$12:$K$200,4,0)&gt;1,0.8,
IF(VLOOKUP($A483-COUNT('Шаг2.Бланк заказа NEW'!$B$19:$B$201),'Бланк OLD 0.8 04'!$B$12:$K$200,5,0)&gt;1,0.4,
IF(AND(VLOOKUP($A483-COUNT('Шаг2.Бланк заказа NEW'!$B$19:$B$201),'Бланк OLD 0.8 04'!$B$12:$K$200,4,0)&gt;0,VLOOKUP($A483-COUNT('Шаг2.Бланк заказа NEW'!$B$19:$B$201),'Бланк OLD 0.8 04'!$B$12:$K$200,5,0)&gt;0),0.4,"")))),
IF(VLOOKUP($A483-COUNT('Шаг2.Бланк заказа NEW'!$B$19:$B$201)-COUNT('Бланк OLD 0.8 04'!$B$18:$B$200),'Бланк OLD 2.0 04 '!$B$16:$K$200,4,0)&gt;1,2,
IF(VLOOKUP($A483-COUNT('Шаг2.Бланк заказа NEW'!$B$19:$B$201)-COUNT('Бланк OLD 0.8 04'!$B$18:$B$200),'Бланк OLD 2.0 04 '!$B$16:$K$200,5,0)&gt;1,0.4,IF(AND(VLOOKUP($A483-COUNT('Шаг2.Бланк заказа NEW'!$B$19:$B$201)-COUNT('Бланк OLD 0.8 04'!$B$18:$B$200),'Бланк OLD 2.0 04 '!$B$16:$K$200,4,0)&gt;0,VLOOKUP($A483-COUNT('Шаг2.Бланк заказа NEW'!$B$19:$B$201)-COUNT('Бланк OLD 0.8 04'!$B$18:$B$200),'Бланк OLD 2.0 04 '!$B$16:$K$200,5,0)&gt;0),0.4,""))))</f>
        <v/>
      </c>
      <c r="T483" s="147" t="str">
        <f ca="1">IFERROR(IFERROR(IF(VLOOKUP($A483,'Шаг2.Бланк заказа NEW'!$B$17:$N$201,7,0)="","",VLOOKUP($A483,'Шаг2.Бланк заказа NEW'!$B$17:$N$201,7,0)),
IF(VLOOKUP($A483-COUNT('Шаг2.Бланк заказа NEW'!$B$19:$B$201),'Бланк OLD 0.8 04'!$B$12:$K$200,7,0)&gt;0,0.8,
IF(VLOOKUP($A483-COUNT('Шаг2.Бланк заказа NEW'!$B$19:$B$201),'Бланк OLD 0.8 04'!$B$12:$K$200,8,0)&gt;0,0.4,""))),
IF(VLOOKUP($A483-COUNT('Шаг2.Бланк заказа NEW'!$B$19:$B$201)-COUNT('Бланк OLD 0.8 04'!$B$18:$B$200),'Бланк OLD 2.0 04 '!$B$16:$K$200,7,0)&gt;0,2,IF(VLOOKUP($A483-COUNT('Шаг2.Бланк заказа NEW'!$B$19:$B$201)-COUNT('Бланк OLD 0.8 04'!$B$18:$B$200),'Бланк OLD 2.0 04 '!$B$16:$K$200,8,0)&gt;0,0.4,"")))</f>
        <v/>
      </c>
      <c r="U483" s="147" t="str">
        <f ca="1">IFERROR(IFERROR(IF(VLOOKUP($A483,'Шаг2.Бланк заказа NEW'!$B$17:$N$201,8,0)="","",VLOOKUP($A483,'Шаг2.Бланк заказа NEW'!$B$17:$N$201,8,0)),
IF(VLOOKUP($A483-COUNT('Шаг2.Бланк заказа NEW'!$B$19:$B$201),'Бланк OLD 0.8 04'!$B$12:$K$200,7,0)&gt;1,0.8,
IF(VLOOKUP($A483-COUNT('Шаг2.Бланк заказа NEW'!$B$19:$B$201),'Бланк OLD 0.8 04'!$B$12:$K$200,8,0)&gt;1,0.4,
IF(AND(VLOOKUP($A483-COUNT('Шаг2.Бланк заказа NEW'!$B$19:$B$201),'Бланк OLD 0.8 04'!$B$12:$K$200,7,0)&gt;0,VLOOKUP($A483-COUNT('Шаг2.Бланк заказа NEW'!$B$19:$B$201),'Бланк OLD 0.8 04'!$B$12:$K$200,8,0)&gt;0),0.4,"")))),
IF(VLOOKUP($A483-COUNT('Шаг2.Бланк заказа NEW'!$B$19:$B$201)-COUNT('Бланк OLD 0.8 04'!$B$18:$B$200),'Бланк OLD 2.0 04 '!$B$16:$K$200,7,0)&gt;1,2,
IF(VLOOKUP($A483-COUNT('Шаг2.Бланк заказа NEW'!$B$19:$B$201)-COUNT('Бланк OLD 0.8 04'!$B$18:$B$200),'Бланк OLD 2.0 04 '!$B$16:$K$200,8,0)&gt;1,0.4,
IF(AND(VLOOKUP($A483-COUNT('Шаг2.Бланк заказа NEW'!$B$19:$B$201)-COUNT('Бланк OLD 0.8 04'!$B$18:$B$200),'Бланк OLD 2.0 04 '!$B$16:$K$200,7,0)&gt;0,VLOOKUP($A483-COUNT('Шаг2.Бланк заказа NEW'!$B$19:$B$201)-COUNT('Бланк OLD 0.8 04'!$B$18:$B$200),'Бланк OLD 2.0 04 '!$B$16:$K$200,8,0)&gt;0),0.4,""))))</f>
        <v/>
      </c>
      <c r="V483" s="146" t="str">
        <f ca="1">IFERROR(VLOOKUP(C483,'Шаг1.Выбор плиты'!C:S,12,0),"")</f>
        <v/>
      </c>
      <c r="W483" s="146" t="str">
        <f ca="1">IFERROR(VLOOKUP(C483,'Шаг1.Выбор плиты'!C:S,8,0),"")</f>
        <v/>
      </c>
      <c r="X483" s="146" t="str">
        <f ca="1">IFERROR(VLOOKUP(C483,'Шаг1.Выбор плиты'!C:S,10,0),"")</f>
        <v/>
      </c>
      <c r="Y483" s="147" t="str">
        <f t="shared" ca="1" si="46"/>
        <v/>
      </c>
      <c r="AD483" s="147" t="str">
        <f t="shared" ca="1" si="42"/>
        <v/>
      </c>
      <c r="AE483" s="147" t="str">
        <f t="shared" ca="1" si="47"/>
        <v/>
      </c>
      <c r="AF483" s="25"/>
      <c r="AH483" s="147" t="str">
        <f ca="1">IF(C483="","",VLOOKUP(C483,'Шаг1.Выбор плиты'!C:Q,7,0))</f>
        <v/>
      </c>
      <c r="AI483" s="147" t="str">
        <f t="shared" ca="1" si="45"/>
        <v/>
      </c>
    </row>
    <row r="484" spans="1:35" x14ac:dyDescent="0.2">
      <c r="A484" s="151" t="str">
        <f ca="1">IF(C484="","",MAX($A$1:OFFSET(C484,-1,0))+1)</f>
        <v/>
      </c>
      <c r="B484" s="151" t="str">
        <f ca="1">IFERROR(IFERROR(IFERROR("Шаг2.Бланк заказа NEW №"&amp;VLOOKUP(A483+1,CHOOSE({1,2},'Шаг2.Бланк заказа NEW'!$B$19:$B$201,'Шаг2.Бланк заказа NEW'!$A$19:$A$201),1,0),
"Бланк OLD 0.8 04 №"&amp;VLOOKUP(A483+1-COUNT('Шаг2.Бланк заказа NEW'!$B$19:$B$201),CHOOSE({1,2},'Бланк OLD 0.8 04'!$B$18:$B$200,'Бланк OLD 0.8 04'!$A$18:$A$200),1,0)),
"Бланк OLD 2.0 04 №"&amp;VLOOKUP(A483+1-COUNT('Шаг2.Бланк заказа NEW'!$B$19:$B$201)-COUNT('Бланк OLD 0.8 04'!$B$18:$B$200),CHOOSE({1,2},'Бланк OLD 2.0 04 '!$B$18:$B$200,'Бланк OLD 2.0 04 '!$A$18:$A$200),1,0)),"")</f>
        <v/>
      </c>
      <c r="C484" s="152" t="str">
        <f ca="1">IFERROR(IFERROR(IFERROR(VLOOKUP(A483+1,CHOOSE({1,2},'Шаг2.Бланк заказа NEW'!$B$19:$B$201,'Шаг2.Бланк заказа NEW'!$A$19:$A$201),2,0),
VLOOKUP(A483+1-COUNT('Шаг2.Бланк заказа NEW'!$B$19:$B$201),CHOOSE({1,2},'Бланк OLD 0.8 04'!$B$18:$B$200,'Бланк OLD 0.8 04'!$A$18:$A$200),2,0)),
VLOOKUP(A483+1-COUNT('Шаг2.Бланк заказа NEW'!$B$19:$B$201)-COUNT('Бланк OLD 0.8 04'!$B$18:$B$200),CHOOSE({1,2},'Бланк OLD 2.0 04 '!$B$18:$B$200,'Бланк OLD 2.0 04 '!$A$18:$A$200),2,0)),"")</f>
        <v/>
      </c>
      <c r="D484" s="150" t="str">
        <f ca="1">IFERROR(VLOOKUP(C484,'Шаг1.Выбор плиты'!C:G,5,0),"")</f>
        <v/>
      </c>
      <c r="E484" s="147" t="str">
        <f ca="1">IFERROR(IFERROR(IF(VLOOKUP($A484,'Шаг2.Бланк заказа NEW'!$B$17:$N$201,2,0)="","",VLOOKUP($A484,'Шаг2.Бланк заказа NEW'!$B$17:$N$201,2,0)),
IF(VLOOKUP($A484-COUNT('Шаг2.Бланк заказа NEW'!$B$19:$B$201),'Бланк OLD 0.8 04'!$B$12:$K$200,2,0)="","",VLOOKUP($A484-COUNT('Шаг2.Бланк заказа NEW'!$B$19:$B$201),'Бланк OLD 0.8 04'!$B$12:$K$200,2,0))),
IF(VLOOKUP($A484-COUNT('Шаг2.Бланк заказа NEW'!$B$19:$B$201)-COUNT('Бланк OLD 0.8 04'!$B$18:$B$200),'Бланк OLD 2.0 04 '!$B$16:$K$200,2,0)="","",VLOOKUP($A484-COUNT('Шаг2.Бланк заказа NEW'!$B$19:$B$201)-COUNT('Бланк OLD 0.8 04'!$B$18:$B$200),'Бланк OLD 2.0 04 '!$B$16:$K$200,2,0)))</f>
        <v/>
      </c>
      <c r="F484" s="147" t="str">
        <f ca="1">IFERROR(IFERROR(IF(VLOOKUP($A484,'Шаг2.Бланк заказа NEW'!$B$17:$N$201,3,0)="","",VLOOKUP($A484,'Шаг2.Бланк заказа NEW'!$B$17:$N$201,3,0)),
IF(VLOOKUP($A484-COUNT('Шаг2.Бланк заказа NEW'!$B$19:$B$201),'Бланк OLD 0.8 04'!$B$12:$K$200,3,0)="","",VLOOKUP($A484-COUNT('Шаг2.Бланк заказа NEW'!$B$19:$B$201),'Бланк OLD 0.8 04'!$B$12:$K$200,3,0))),
IF(VLOOKUP($A484-COUNT('Шаг2.Бланк заказа NEW'!$B$19:$B$201)-COUNT('Бланк OLD 0.8 04'!$B$18:$B$200),'Бланк OLD 2.0 04 '!$B$16:$K$200,3,0)="","",VLOOKUP($A484-COUNT('Шаг2.Бланк заказа NEW'!$B$19:$B$201)-COUNT('Бланк OLD 0.8 04'!$B$18:$B$200),'Бланк OLD 2.0 04 '!$B$16:$K$200,3,0)))</f>
        <v/>
      </c>
      <c r="G484" s="176" t="str">
        <f ca="1">IF(IF(R484="","",IF(R484=1,SUMIFS('Шаг1.Выбор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плиты'!C:Q,12,0)),1))))))=0,
R484,
IF(R484="","",IF(R484=1,SUMIFS('Шаг1.Выбор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плиты'!N:N,R484,'Шаг1.Выбор плиты'!M:M,SMALL(INDIRECT("мм"&amp;VLOOKUP(C484,'Шаг1.Выбор плиты'!C:Q,12,0)),1)))))))</f>
        <v/>
      </c>
      <c r="H484" s="177" t="str">
        <f ca="1">IF(IF(S484="","",IF(S484=1,SUMIFS('Шаг1.Выбор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плиты'!C:Q,12,0)),1))))))=0,
S484,
IF(S484="","",IF(S484=1,SUMIFS('Шаг1.Выбор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плиты'!N:N,S484,'Шаг1.Выбор плиты'!M:M,SMALL(INDIRECT("мм"&amp;VLOOKUP(C484,'Шаг1.Выбор плиты'!C:Q,12,0)),1)))))))</f>
        <v/>
      </c>
      <c r="I484" s="147" t="str">
        <f ca="1">IFERROR(IFERROR(IF(VLOOKUP($A484,'Шаг2.Бланк заказа NEW'!$B$17:$N$201,6,0)="","",VLOOKUP($A484,'Шаг2.Бланк заказа NEW'!$B$17:$N$201,6,0)),
IF(VLOOKUP($A484-COUNT('Шаг2.Бланк заказа NEW'!$B$19:$B$201),'Бланк OLD 0.8 04'!$B$12:$K$200,6,0)="","",VLOOKUP($A484-COUNT('Шаг2.Бланк заказа NEW'!$B$19:$B$201),'Бланк OLD 0.8 04'!$B$12:$K$200,6,0))),
IF(VLOOKUP($A484-COUNT('Шаг2.Бланк заказа NEW'!$B$19:$B$201)-COUNT('Бланк OLD 0.8 04'!$B$18:$B$200),'Бланк OLD 2.0 04 '!$B$16:$K$200,6,0)="","",VLOOKUP($A484-COUNT('Шаг2.Бланк заказа NEW'!$B$19:$B$201)-COUNT('Бланк OLD 0.8 04'!$B$18:$B$200),'Бланк OLD 2.0 04 '!$B$16:$K$200,6,0)))</f>
        <v/>
      </c>
      <c r="J484" s="177" t="str">
        <f ca="1">IF(IF(T484="","",IF(T484=1,SUMIFS('Шаг1.Выбор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плиты'!C:Q,12,0)),1))))))=0,
T484,
IF(T484="","",IF(T484=1,SUMIFS('Шаг1.Выбор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плиты'!N:N,T484,'Шаг1.Выбор плиты'!M:M,SMALL(INDIRECT("мм"&amp;VLOOKUP(C484,'Шаг1.Выбор плиты'!C:Q,12,0)),1)))))))</f>
        <v/>
      </c>
      <c r="K484" s="177" t="str">
        <f ca="1">IF(IF(U484="","",IF(U484=1,SUMIFS('Шаг1.Выбор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плиты'!C:Q,12,0)),1))))))=0,
U484,
IF(U484="","",IF(U484=1,SUMIFS('Шаг1.Выбор плиты'!$G:$G,'Шаг1.Выбор плиты'!J:J,"*"&amp;RIGHT(VLOOKUP(C484,'Шаг1.Выбор плиты'!C:Q,8,0),4),'Шаг1.Выбор плиты'!L:L,IF(MID(C484,1,6)="ЛДСП P","TM"&amp;MID(VLOOKUP(C484,'Шаг1.Выбор плиты'!C:Q,10,0),3,2),MID(VLOOKUP(C484,'Шаг1.Выбор плиты'!C:Q,10,0),1,2)),
'Шаг1.Выбор плиты'!N:N,1),IF(SUMIFS('Шаг1.Выбор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плиты'!C:Q,12,0)),1))=0,
IF(SUMIFS('Шаг1.Выбор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плиты'!C:Q,12,0)),2))=0,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плиты'!C:Q,12,0)),3)),
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плиты'!C:Q,12,0)),2))),
(SUMIFS('Шаг1.Выбор плиты'!$G:$G,'Шаг1.Выбор плиты'!J:J,"*"&amp;RIGHT(VLOOKUP(C484,'Шаг1.Выбор плиты'!C:Q,8,0),4),'Шаг1.Выбор плиты'!L:L,VLOOKUP(C484,'Шаг1.Выбор плиты'!C:Q,10,0),'Шаг1.Выбор плиты'!N:N,U484,'Шаг1.Выбор плиты'!M:M,SMALL(INDIRECT("мм"&amp;VLOOKUP(C484,'Шаг1.Выбор плиты'!C:Q,12,0)),1)))))))</f>
        <v/>
      </c>
      <c r="L484" s="147" t="str">
        <f ca="1">IFERROR(IFERROR(IF(VLOOKUP($A484,'Шаг2.Бланк заказа NEW'!$B$17:$N$201,9,0)="","",VLOOKUP($A484,'Шаг2.Бланк заказа NEW'!$B$17:$N$201,9,0)),
IF(VLOOKUP($A484-COUNT('Шаг2.Бланк заказа NEW'!$B$19:$B$201),'Бланк OLD 0.8 04'!$B$12:$K$200,9,0)="","",VLOOKUP($A484-COUNT('Шаг2.Бланк заказа NEW'!$B$19:$B$201),'Бланк OLD 0.8 04'!$B$12:$K$200,9,0))),
IF(VLOOKUP($A484-COUNT('Шаг2.Бланк заказа NEW'!$B$19:$B$201)-COUNT('Бланк OLD 0.8 04'!$B$18:$B$200),'Бланк OLD 2.0 04 '!$B$16:$K$200,9,0)="","",VLOOKUP($A484-COUNT('Шаг2.Бланк заказа NEW'!$B$19:$B$201)-COUNT('Бланк OLD 0.8 04'!$B$18:$B$200),'Бланк OLD 2.0 04 '!$B$16:$K$200,9,0)))</f>
        <v/>
      </c>
      <c r="M484" s="154" t="str">
        <f t="shared" ca="1" si="44"/>
        <v/>
      </c>
      <c r="N484" s="153" t="str">
        <f ca="1">IFERROR(IF(VLOOKUP($A484,'Шаг2.Бланк заказа NEW'!$B$17:$N$201,11,0)="","",VLOOKUP($A484,'Шаг2.Бланк заказа NEW'!$B$17:$N$201,11,0)),
"Нет")</f>
        <v/>
      </c>
      <c r="O484" s="147" t="str">
        <f ca="1">IFERROR(IF(VLOOKUP($A484,'Шаг2.Бланк заказа NEW'!$B$17:$N$201,11,0)="","",VLOOKUP($A484,'Шаг2.Бланк заказа NEW'!$B$17:$N$201,12,0)),
"Нет")</f>
        <v/>
      </c>
      <c r="P484" s="153" t="str">
        <f ca="1">IFERROR(IF(VLOOKUP($A484,'Шаг2.Бланк заказа NEW'!$B$17:$N$201,13,0)="","",VLOOKUP($A484,'Шаг2.Бланк заказа NEW'!$B$17:$N$201,13,0)),
"Нет")</f>
        <v/>
      </c>
      <c r="Q484" s="147" t="str">
        <f ca="1">IFERROR(IF(VLOOKUP($A484,'Шаг2.Бланк заказа NEW'!$B$17:$O$201,14,0)="","",VLOOKUP($A484,'Шаг2.Бланк заказа NEW'!$B$17:$O$201,14,0)),"")</f>
        <v/>
      </c>
      <c r="R484" s="147" t="str">
        <f ca="1">IFERROR(IFERROR(IF(VLOOKUP($A484,'Шаг2.Бланк заказа NEW'!$B$17:$N$201,4,0)="","",VLOOKUP($A484,'Шаг2.Бланк заказа NEW'!$B$17:$N$201,4,0)),
IF(VLOOKUP($A484-COUNT('Шаг2.Бланк заказа NEW'!$B$19:$B$201),'Бланк OLD 0.8 04'!$B$12:$K$200,4,0)&gt;0,0.8,
IF(VLOOKUP($A484-COUNT('Шаг2.Бланк заказа NEW'!$B$19:$B$201),'Бланк OLD 0.8 04'!$B$12:$K$200,5,0)&gt;0,0.4,""))),
IF(VLOOKUP($A484-COUNT('Шаг2.Бланк заказа NEW'!$B$19:$B$201)-COUNT('Бланк OLD 0.8 04'!$B$18:$B$200),'Бланк OLD 2.0 04 '!$B$16:$K$200,4,0)&gt;0,2,IF(VLOOKUP($A484-COUNT('Шаг2.Бланк заказа NEW'!$B$19:$B$201)-COUNT('Бланк OLD 0.8 04'!$B$18:$B$200),'Бланк OLD 2.0 04 '!$B$16:$K$200,5,0)&gt;0,0.4,"")))</f>
        <v/>
      </c>
      <c r="S484" s="147" t="str">
        <f ca="1">IFERROR(IFERROR(IF(VLOOKUP($A484,'Шаг2.Бланк заказа NEW'!$B$17:$N$201,5,0)="","",VLOOKUP($A484,'Шаг2.Бланк заказа NEW'!$B$17:$N$201,5,0)),
IF(VLOOKUP($A484-COUNT('Шаг2.Бланк заказа NEW'!$B$19:$B$201),'Бланк OLD 0.8 04'!$B$12:$K$200,4,0)&gt;1,0.8,
IF(VLOOKUP($A484-COUNT('Шаг2.Бланк заказа NEW'!$B$19:$B$201),'Бланк OLD 0.8 04'!$B$12:$K$200,5,0)&gt;1,0.4,
IF(AND(VLOOKUP($A484-COUNT('Шаг2.Бланк заказа NEW'!$B$19:$B$201),'Бланк OLD 0.8 04'!$B$12:$K$200,4,0)&gt;0,VLOOKUP($A484-COUNT('Шаг2.Бланк заказа NEW'!$B$19:$B$201),'Бланк OLD 0.8 04'!$B$12:$K$200,5,0)&gt;0),0.4,"")))),
IF(VLOOKUP($A484-COUNT('Шаг2.Бланк заказа NEW'!$B$19:$B$201)-COUNT('Бланк OLD 0.8 04'!$B$18:$B$200),'Бланк OLD 2.0 04 '!$B$16:$K$200,4,0)&gt;1,2,
IF(VLOOKUP($A484-COUNT('Шаг2.Бланк заказа NEW'!$B$19:$B$201)-COUNT('Бланк OLD 0.8 04'!$B$18:$B$200),'Бланк OLD 2.0 04 '!$B$16:$K$200,5,0)&gt;1,0.4,IF(AND(VLOOKUP($A484-COUNT('Шаг2.Бланк заказа NEW'!$B$19:$B$201)-COUNT('Бланк OLD 0.8 04'!$B$18:$B$200),'Бланк OLD 2.0 04 '!$B$16:$K$200,4,0)&gt;0,VLOOKUP($A484-COUNT('Шаг2.Бланк заказа NEW'!$B$19:$B$201)-COUNT('Бланк OLD 0.8 04'!$B$18:$B$200),'Бланк OLD 2.0 04 '!$B$16:$K$200,5,0)&gt;0),0.4,""))))</f>
        <v/>
      </c>
      <c r="T484" s="147" t="str">
        <f ca="1">IFERROR(IFERROR(IF(VLOOKUP($A484,'Шаг2.Бланк заказа NEW'!$B$17:$N$201,7,0)="","",VLOOKUP($A484,'Шаг2.Бланк заказа NEW'!$B$17:$N$201,7,0)),
IF(VLOOKUP($A484-COUNT('Шаг2.Бланк заказа NEW'!$B$19:$B$201),'Бланк OLD 0.8 04'!$B$12:$K$200,7,0)&gt;0,0.8,
IF(VLOOKUP($A484-COUNT('Шаг2.Бланк заказа NEW'!$B$19:$B$201),'Бланк OLD 0.8 04'!$B$12:$K$200,8,0)&gt;0,0.4,""))),
IF(VLOOKUP($A484-COUNT('Шаг2.Бланк заказа NEW'!$B$19:$B$201)-COUNT('Бланк OLD 0.8 04'!$B$18:$B$200),'Бланк OLD 2.0 04 '!$B$16:$K$200,7,0)&gt;0,2,IF(VLOOKUP($A484-COUNT('Шаг2.Бланк заказа NEW'!$B$19:$B$201)-COUNT('Бланк OLD 0.8 04'!$B$18:$B$200),'Бланк OLD 2.0 04 '!$B$16:$K$200,8,0)&gt;0,0.4,"")))</f>
        <v/>
      </c>
      <c r="U484" s="147" t="str">
        <f ca="1">IFERROR(IFERROR(IF(VLOOKUP($A484,'Шаг2.Бланк заказа NEW'!$B$17:$N$201,8,0)="","",VLOOKUP($A484,'Шаг2.Бланк заказа NEW'!$B$17:$N$201,8,0)),
IF(VLOOKUP($A484-COUNT('Шаг2.Бланк заказа NEW'!$B$19:$B$201),'Бланк OLD 0.8 04'!$B$12:$K$200,7,0)&gt;1,0.8,
IF(VLOOKUP($A484-COUNT('Шаг2.Бланк заказа NEW'!$B$19:$B$201),'Бланк OLD 0.8 04'!$B$12:$K$200,8,0)&gt;1,0.4,
IF(AND(VLOOKUP($A484-COUNT('Шаг2.Бланк заказа NEW'!$B$19:$B$201),'Бланк OLD 0.8 04'!$B$12:$K$200,7,0)&gt;0,VLOOKUP($A484-COUNT('Шаг2.Бланк заказа NEW'!$B$19:$B$201),'Бланк OLD 0.8 04'!$B$12:$K$200,8,0)&gt;0),0.4,"")))),
IF(VLOOKUP($A484-COUNT('Шаг2.Бланк заказа NEW'!$B$19:$B$201)-COUNT('Бланк OLD 0.8 04'!$B$18:$B$200),'Бланк OLD 2.0 04 '!$B$16:$K$200,7,0)&gt;1,2,
IF(VLOOKUP($A484-COUNT('Шаг2.Бланк заказа NEW'!$B$19:$B$201)-COUNT('Бланк OLD 0.8 04'!$B$18:$B$200),'Бланк OLD 2.0 04 '!$B$16:$K$200,8,0)&gt;1,0.4,
IF(AND(VLOOKUP($A484-COUNT('Шаг2.Бланк заказа NEW'!$B$19:$B$201)-COUNT('Бланк OLD 0.8 04'!$B$18:$B$200),'Бланк OLD 2.0 04 '!$B$16:$K$200,7,0)&gt;0,VLOOKUP($A484-COUNT('Шаг2.Бланк заказа NEW'!$B$19:$B$201)-COUNT('Бланк OLD 0.8 04'!$B$18:$B$200),'Бланк OLD 2.0 04 '!$B$16:$K$200,8,0)&gt;0),0.4,""))))</f>
        <v/>
      </c>
      <c r="V484" s="146" t="str">
        <f ca="1">IFERROR(VLOOKUP(C484,'Шаг1.Выбор плиты'!C:S,12,0),"")</f>
        <v/>
      </c>
      <c r="W484" s="146" t="str">
        <f ca="1">IFERROR(VLOOKUP(C484,'Шаг1.Выбор плиты'!C:S,8,0),"")</f>
        <v/>
      </c>
      <c r="X484" s="146" t="str">
        <f ca="1">IFERROR(VLOOKUP(C484,'Шаг1.Выбор плиты'!C:S,10,0),"")</f>
        <v/>
      </c>
      <c r="Y484" s="147" t="str">
        <f t="shared" ca="1" si="46"/>
        <v/>
      </c>
      <c r="AD484" s="147" t="str">
        <f t="shared" ca="1" si="42"/>
        <v/>
      </c>
      <c r="AE484" s="147" t="str">
        <f t="shared" ca="1" si="47"/>
        <v/>
      </c>
      <c r="AF484" s="25"/>
      <c r="AH484" s="147" t="str">
        <f ca="1">IF(C484="","",VLOOKUP(C484,'Шаг1.Выбор плиты'!C:Q,7,0))</f>
        <v/>
      </c>
      <c r="AI484" s="147" t="str">
        <f t="shared" ca="1" si="45"/>
        <v/>
      </c>
    </row>
    <row r="485" spans="1:35" x14ac:dyDescent="0.2">
      <c r="A485" s="151" t="str">
        <f ca="1">IF(C485="","",MAX($A$1:OFFSET(C485,-1,0))+1)</f>
        <v/>
      </c>
      <c r="B485" s="151" t="str">
        <f ca="1">IFERROR(IFERROR(IFERROR("Шаг2.Бланк заказа NEW №"&amp;VLOOKUP(A484+1,CHOOSE({1,2},'Шаг2.Бланк заказа NEW'!$B$19:$B$201,'Шаг2.Бланк заказа NEW'!$A$19:$A$201),1,0),
"Бланк OLD 0.8 04 №"&amp;VLOOKUP(A484+1-COUNT('Шаг2.Бланк заказа NEW'!$B$19:$B$201),CHOOSE({1,2},'Бланк OLD 0.8 04'!$B$18:$B$200,'Бланк OLD 0.8 04'!$A$18:$A$200),1,0)),
"Бланк OLD 2.0 04 №"&amp;VLOOKUP(A484+1-COUNT('Шаг2.Бланк заказа NEW'!$B$19:$B$201)-COUNT('Бланк OLD 0.8 04'!$B$18:$B$200),CHOOSE({1,2},'Бланк OLD 2.0 04 '!$B$18:$B$200,'Бланк OLD 2.0 04 '!$A$18:$A$200),1,0)),"")</f>
        <v/>
      </c>
      <c r="C485" s="152" t="str">
        <f ca="1">IFERROR(IFERROR(IFERROR(VLOOKUP(A484+1,CHOOSE({1,2},'Шаг2.Бланк заказа NEW'!$B$19:$B$201,'Шаг2.Бланк заказа NEW'!$A$19:$A$201),2,0),
VLOOKUP(A484+1-COUNT('Шаг2.Бланк заказа NEW'!$B$19:$B$201),CHOOSE({1,2},'Бланк OLD 0.8 04'!$B$18:$B$200,'Бланк OLD 0.8 04'!$A$18:$A$200),2,0)),
VLOOKUP(A484+1-COUNT('Шаг2.Бланк заказа NEW'!$B$19:$B$201)-COUNT('Бланк OLD 0.8 04'!$B$18:$B$200),CHOOSE({1,2},'Бланк OLD 2.0 04 '!$B$18:$B$200,'Бланк OLD 2.0 04 '!$A$18:$A$200),2,0)),"")</f>
        <v/>
      </c>
      <c r="D485" s="150" t="str">
        <f ca="1">IFERROR(VLOOKUP(C485,'Шаг1.Выбор плиты'!C:G,5,0),"")</f>
        <v/>
      </c>
      <c r="E485" s="147" t="str">
        <f ca="1">IFERROR(IFERROR(IF(VLOOKUP($A485,'Шаг2.Бланк заказа NEW'!$B$17:$N$201,2,0)="","",VLOOKUP($A485,'Шаг2.Бланк заказа NEW'!$B$17:$N$201,2,0)),
IF(VLOOKUP($A485-COUNT('Шаг2.Бланк заказа NEW'!$B$19:$B$201),'Бланк OLD 0.8 04'!$B$12:$K$200,2,0)="","",VLOOKUP($A485-COUNT('Шаг2.Бланк заказа NEW'!$B$19:$B$201),'Бланк OLD 0.8 04'!$B$12:$K$200,2,0))),
IF(VLOOKUP($A485-COUNT('Шаг2.Бланк заказа NEW'!$B$19:$B$201)-COUNT('Бланк OLD 0.8 04'!$B$18:$B$200),'Бланк OLD 2.0 04 '!$B$16:$K$200,2,0)="","",VLOOKUP($A485-COUNT('Шаг2.Бланк заказа NEW'!$B$19:$B$201)-COUNT('Бланк OLD 0.8 04'!$B$18:$B$200),'Бланк OLD 2.0 04 '!$B$16:$K$200,2,0)))</f>
        <v/>
      </c>
      <c r="F485" s="147" t="str">
        <f ca="1">IFERROR(IFERROR(IF(VLOOKUP($A485,'Шаг2.Бланк заказа NEW'!$B$17:$N$201,3,0)="","",VLOOKUP($A485,'Шаг2.Бланк заказа NEW'!$B$17:$N$201,3,0)),
IF(VLOOKUP($A485-COUNT('Шаг2.Бланк заказа NEW'!$B$19:$B$201),'Бланк OLD 0.8 04'!$B$12:$K$200,3,0)="","",VLOOKUP($A485-COUNT('Шаг2.Бланк заказа NEW'!$B$19:$B$201),'Бланк OLD 0.8 04'!$B$12:$K$200,3,0))),
IF(VLOOKUP($A485-COUNT('Шаг2.Бланк заказа NEW'!$B$19:$B$201)-COUNT('Бланк OLD 0.8 04'!$B$18:$B$200),'Бланк OLD 2.0 04 '!$B$16:$K$200,3,0)="","",VLOOKUP($A485-COUNT('Шаг2.Бланк заказа NEW'!$B$19:$B$201)-COUNT('Бланк OLD 0.8 04'!$B$18:$B$200),'Бланк OLD 2.0 04 '!$B$16:$K$200,3,0)))</f>
        <v/>
      </c>
      <c r="G485" s="176" t="str">
        <f ca="1">IF(IF(R485="","",IF(R485=1,SUMIFS('Шаг1.Выбор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плиты'!C:Q,12,0)),1))))))=0,
R485,
IF(R485="","",IF(R485=1,SUMIFS('Шаг1.Выбор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плиты'!N:N,R485,'Шаг1.Выбор плиты'!M:M,SMALL(INDIRECT("мм"&amp;VLOOKUP(C485,'Шаг1.Выбор плиты'!C:Q,12,0)),1)))))))</f>
        <v/>
      </c>
      <c r="H485" s="177" t="str">
        <f ca="1">IF(IF(S485="","",IF(S485=1,SUMIFS('Шаг1.Выбор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плиты'!C:Q,12,0)),1))))))=0,
S485,
IF(S485="","",IF(S485=1,SUMIFS('Шаг1.Выбор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плиты'!N:N,S485,'Шаг1.Выбор плиты'!M:M,SMALL(INDIRECT("мм"&amp;VLOOKUP(C485,'Шаг1.Выбор плиты'!C:Q,12,0)),1)))))))</f>
        <v/>
      </c>
      <c r="I485" s="147" t="str">
        <f ca="1">IFERROR(IFERROR(IF(VLOOKUP($A485,'Шаг2.Бланк заказа NEW'!$B$17:$N$201,6,0)="","",VLOOKUP($A485,'Шаг2.Бланк заказа NEW'!$B$17:$N$201,6,0)),
IF(VLOOKUP($A485-COUNT('Шаг2.Бланк заказа NEW'!$B$19:$B$201),'Бланк OLD 0.8 04'!$B$12:$K$200,6,0)="","",VLOOKUP($A485-COUNT('Шаг2.Бланк заказа NEW'!$B$19:$B$201),'Бланк OLD 0.8 04'!$B$12:$K$200,6,0))),
IF(VLOOKUP($A485-COUNT('Шаг2.Бланк заказа NEW'!$B$19:$B$201)-COUNT('Бланк OLD 0.8 04'!$B$18:$B$200),'Бланк OLD 2.0 04 '!$B$16:$K$200,6,0)="","",VLOOKUP($A485-COUNT('Шаг2.Бланк заказа NEW'!$B$19:$B$201)-COUNT('Бланк OLD 0.8 04'!$B$18:$B$200),'Бланк OLD 2.0 04 '!$B$16:$K$200,6,0)))</f>
        <v/>
      </c>
      <c r="J485" s="177" t="str">
        <f ca="1">IF(IF(T485="","",IF(T485=1,SUMIFS('Шаг1.Выбор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плиты'!C:Q,12,0)),1))))))=0,
T485,
IF(T485="","",IF(T485=1,SUMIFS('Шаг1.Выбор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плиты'!N:N,T485,'Шаг1.Выбор плиты'!M:M,SMALL(INDIRECT("мм"&amp;VLOOKUP(C485,'Шаг1.Выбор плиты'!C:Q,12,0)),1)))))))</f>
        <v/>
      </c>
      <c r="K485" s="177" t="str">
        <f ca="1">IF(IF(U485="","",IF(U485=1,SUMIFS('Шаг1.Выбор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плиты'!C:Q,12,0)),1))))))=0,
U485,
IF(U485="","",IF(U485=1,SUMIFS('Шаг1.Выбор плиты'!$G:$G,'Шаг1.Выбор плиты'!J:J,"*"&amp;RIGHT(VLOOKUP(C485,'Шаг1.Выбор плиты'!C:Q,8,0),4),'Шаг1.Выбор плиты'!L:L,IF(MID(C485,1,6)="ЛДСП P","TM"&amp;MID(VLOOKUP(C485,'Шаг1.Выбор плиты'!C:Q,10,0),3,2),MID(VLOOKUP(C485,'Шаг1.Выбор плиты'!C:Q,10,0),1,2)),
'Шаг1.Выбор плиты'!N:N,1),IF(SUMIFS('Шаг1.Выбор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плиты'!C:Q,12,0)),1))=0,
IF(SUMIFS('Шаг1.Выбор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плиты'!C:Q,12,0)),2))=0,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плиты'!C:Q,12,0)),3)),
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плиты'!C:Q,12,0)),2))),
(SUMIFS('Шаг1.Выбор плиты'!$G:$G,'Шаг1.Выбор плиты'!J:J,"*"&amp;RIGHT(VLOOKUP(C485,'Шаг1.Выбор плиты'!C:Q,8,0),4),'Шаг1.Выбор плиты'!L:L,VLOOKUP(C485,'Шаг1.Выбор плиты'!C:Q,10,0),'Шаг1.Выбор плиты'!N:N,U485,'Шаг1.Выбор плиты'!M:M,SMALL(INDIRECT("мм"&amp;VLOOKUP(C485,'Шаг1.Выбор плиты'!C:Q,12,0)),1)))))))</f>
        <v/>
      </c>
      <c r="L485" s="147" t="str">
        <f ca="1">IFERROR(IFERROR(IF(VLOOKUP($A485,'Шаг2.Бланк заказа NEW'!$B$17:$N$201,9,0)="","",VLOOKUP($A485,'Шаг2.Бланк заказа NEW'!$B$17:$N$201,9,0)),
IF(VLOOKUP($A485-COUNT('Шаг2.Бланк заказа NEW'!$B$19:$B$201),'Бланк OLD 0.8 04'!$B$12:$K$200,9,0)="","",VLOOKUP($A485-COUNT('Шаг2.Бланк заказа NEW'!$B$19:$B$201),'Бланк OLD 0.8 04'!$B$12:$K$200,9,0))),
IF(VLOOKUP($A485-COUNT('Шаг2.Бланк заказа NEW'!$B$19:$B$201)-COUNT('Бланк OLD 0.8 04'!$B$18:$B$200),'Бланк OLD 2.0 04 '!$B$16:$K$200,9,0)="","",VLOOKUP($A485-COUNT('Шаг2.Бланк заказа NEW'!$B$19:$B$201)-COUNT('Бланк OLD 0.8 04'!$B$18:$B$200),'Бланк OLD 2.0 04 '!$B$16:$K$200,9,0)))</f>
        <v/>
      </c>
      <c r="M485" s="154" t="str">
        <f t="shared" ca="1" si="44"/>
        <v/>
      </c>
      <c r="N485" s="153" t="str">
        <f ca="1">IFERROR(IF(VLOOKUP($A485,'Шаг2.Бланк заказа NEW'!$B$17:$N$201,11,0)="","",VLOOKUP($A485,'Шаг2.Бланк заказа NEW'!$B$17:$N$201,11,0)),
"Нет")</f>
        <v/>
      </c>
      <c r="O485" s="147" t="str">
        <f ca="1">IFERROR(IF(VLOOKUP($A485,'Шаг2.Бланк заказа NEW'!$B$17:$N$201,11,0)="","",VLOOKUP($A485,'Шаг2.Бланк заказа NEW'!$B$17:$N$201,12,0)),
"Нет")</f>
        <v/>
      </c>
      <c r="P485" s="153" t="str">
        <f ca="1">IFERROR(IF(VLOOKUP($A485,'Шаг2.Бланк заказа NEW'!$B$17:$N$201,13,0)="","",VLOOKUP($A485,'Шаг2.Бланк заказа NEW'!$B$17:$N$201,13,0)),
"Нет")</f>
        <v/>
      </c>
      <c r="Q485" s="147" t="str">
        <f ca="1">IFERROR(IF(VLOOKUP($A485,'Шаг2.Бланк заказа NEW'!$B$17:$O$201,14,0)="","",VLOOKUP($A485,'Шаг2.Бланк заказа NEW'!$B$17:$O$201,14,0)),"")</f>
        <v/>
      </c>
      <c r="R485" s="147" t="str">
        <f ca="1">IFERROR(IFERROR(IF(VLOOKUP($A485,'Шаг2.Бланк заказа NEW'!$B$17:$N$201,4,0)="","",VLOOKUP($A485,'Шаг2.Бланк заказа NEW'!$B$17:$N$201,4,0)),
IF(VLOOKUP($A485-COUNT('Шаг2.Бланк заказа NEW'!$B$19:$B$201),'Бланк OLD 0.8 04'!$B$12:$K$200,4,0)&gt;0,0.8,
IF(VLOOKUP($A485-COUNT('Шаг2.Бланк заказа NEW'!$B$19:$B$201),'Бланк OLD 0.8 04'!$B$12:$K$200,5,0)&gt;0,0.4,""))),
IF(VLOOKUP($A485-COUNT('Шаг2.Бланк заказа NEW'!$B$19:$B$201)-COUNT('Бланк OLD 0.8 04'!$B$18:$B$200),'Бланк OLD 2.0 04 '!$B$16:$K$200,4,0)&gt;0,2,IF(VLOOKUP($A485-COUNT('Шаг2.Бланк заказа NEW'!$B$19:$B$201)-COUNT('Бланк OLD 0.8 04'!$B$18:$B$200),'Бланк OLD 2.0 04 '!$B$16:$K$200,5,0)&gt;0,0.4,"")))</f>
        <v/>
      </c>
      <c r="S485" s="147" t="str">
        <f ca="1">IFERROR(IFERROR(IF(VLOOKUP($A485,'Шаг2.Бланк заказа NEW'!$B$17:$N$201,5,0)="","",VLOOKUP($A485,'Шаг2.Бланк заказа NEW'!$B$17:$N$201,5,0)),
IF(VLOOKUP($A485-COUNT('Шаг2.Бланк заказа NEW'!$B$19:$B$201),'Бланк OLD 0.8 04'!$B$12:$K$200,4,0)&gt;1,0.8,
IF(VLOOKUP($A485-COUNT('Шаг2.Бланк заказа NEW'!$B$19:$B$201),'Бланк OLD 0.8 04'!$B$12:$K$200,5,0)&gt;1,0.4,
IF(AND(VLOOKUP($A485-COUNT('Шаг2.Бланк заказа NEW'!$B$19:$B$201),'Бланк OLD 0.8 04'!$B$12:$K$200,4,0)&gt;0,VLOOKUP($A485-COUNT('Шаг2.Бланк заказа NEW'!$B$19:$B$201),'Бланк OLD 0.8 04'!$B$12:$K$200,5,0)&gt;0),0.4,"")))),
IF(VLOOKUP($A485-COUNT('Шаг2.Бланк заказа NEW'!$B$19:$B$201)-COUNT('Бланк OLD 0.8 04'!$B$18:$B$200),'Бланк OLD 2.0 04 '!$B$16:$K$200,4,0)&gt;1,2,
IF(VLOOKUP($A485-COUNT('Шаг2.Бланк заказа NEW'!$B$19:$B$201)-COUNT('Бланк OLD 0.8 04'!$B$18:$B$200),'Бланк OLD 2.0 04 '!$B$16:$K$200,5,0)&gt;1,0.4,IF(AND(VLOOKUP($A485-COUNT('Шаг2.Бланк заказа NEW'!$B$19:$B$201)-COUNT('Бланк OLD 0.8 04'!$B$18:$B$200),'Бланк OLD 2.0 04 '!$B$16:$K$200,4,0)&gt;0,VLOOKUP($A485-COUNT('Шаг2.Бланк заказа NEW'!$B$19:$B$201)-COUNT('Бланк OLD 0.8 04'!$B$18:$B$200),'Бланк OLD 2.0 04 '!$B$16:$K$200,5,0)&gt;0),0.4,""))))</f>
        <v/>
      </c>
      <c r="T485" s="147" t="str">
        <f ca="1">IFERROR(IFERROR(IF(VLOOKUP($A485,'Шаг2.Бланк заказа NEW'!$B$17:$N$201,7,0)="","",VLOOKUP($A485,'Шаг2.Бланк заказа NEW'!$B$17:$N$201,7,0)),
IF(VLOOKUP($A485-COUNT('Шаг2.Бланк заказа NEW'!$B$19:$B$201),'Бланк OLD 0.8 04'!$B$12:$K$200,7,0)&gt;0,0.8,
IF(VLOOKUP($A485-COUNT('Шаг2.Бланк заказа NEW'!$B$19:$B$201),'Бланк OLD 0.8 04'!$B$12:$K$200,8,0)&gt;0,0.4,""))),
IF(VLOOKUP($A485-COUNT('Шаг2.Бланк заказа NEW'!$B$19:$B$201)-COUNT('Бланк OLD 0.8 04'!$B$18:$B$200),'Бланк OLD 2.0 04 '!$B$16:$K$200,7,0)&gt;0,2,IF(VLOOKUP($A485-COUNT('Шаг2.Бланк заказа NEW'!$B$19:$B$201)-COUNT('Бланк OLD 0.8 04'!$B$18:$B$200),'Бланк OLD 2.0 04 '!$B$16:$K$200,8,0)&gt;0,0.4,"")))</f>
        <v/>
      </c>
      <c r="U485" s="147" t="str">
        <f ca="1">IFERROR(IFERROR(IF(VLOOKUP($A485,'Шаг2.Бланк заказа NEW'!$B$17:$N$201,8,0)="","",VLOOKUP($A485,'Шаг2.Бланк заказа NEW'!$B$17:$N$201,8,0)),
IF(VLOOKUP($A485-COUNT('Шаг2.Бланк заказа NEW'!$B$19:$B$201),'Бланк OLD 0.8 04'!$B$12:$K$200,7,0)&gt;1,0.8,
IF(VLOOKUP($A485-COUNT('Шаг2.Бланк заказа NEW'!$B$19:$B$201),'Бланк OLD 0.8 04'!$B$12:$K$200,8,0)&gt;1,0.4,
IF(AND(VLOOKUP($A485-COUNT('Шаг2.Бланк заказа NEW'!$B$19:$B$201),'Бланк OLD 0.8 04'!$B$12:$K$200,7,0)&gt;0,VLOOKUP($A485-COUNT('Шаг2.Бланк заказа NEW'!$B$19:$B$201),'Бланк OLD 0.8 04'!$B$12:$K$200,8,0)&gt;0),0.4,"")))),
IF(VLOOKUP($A485-COUNT('Шаг2.Бланк заказа NEW'!$B$19:$B$201)-COUNT('Бланк OLD 0.8 04'!$B$18:$B$200),'Бланк OLD 2.0 04 '!$B$16:$K$200,7,0)&gt;1,2,
IF(VLOOKUP($A485-COUNT('Шаг2.Бланк заказа NEW'!$B$19:$B$201)-COUNT('Бланк OLD 0.8 04'!$B$18:$B$200),'Бланк OLD 2.0 04 '!$B$16:$K$200,8,0)&gt;1,0.4,
IF(AND(VLOOKUP($A485-COUNT('Шаг2.Бланк заказа NEW'!$B$19:$B$201)-COUNT('Бланк OLD 0.8 04'!$B$18:$B$200),'Бланк OLD 2.0 04 '!$B$16:$K$200,7,0)&gt;0,VLOOKUP($A485-COUNT('Шаг2.Бланк заказа NEW'!$B$19:$B$201)-COUNT('Бланк OLD 0.8 04'!$B$18:$B$200),'Бланк OLD 2.0 04 '!$B$16:$K$200,8,0)&gt;0),0.4,""))))</f>
        <v/>
      </c>
      <c r="V485" s="146" t="str">
        <f ca="1">IFERROR(VLOOKUP(C485,'Шаг1.Выбор плиты'!C:S,12,0),"")</f>
        <v/>
      </c>
      <c r="W485" s="146" t="str">
        <f ca="1">IFERROR(VLOOKUP(C485,'Шаг1.Выбор плиты'!C:S,8,0),"")</f>
        <v/>
      </c>
      <c r="X485" s="146" t="str">
        <f ca="1">IFERROR(VLOOKUP(C485,'Шаг1.Выбор плиты'!C:S,10,0),"")</f>
        <v/>
      </c>
      <c r="Y485" s="147" t="str">
        <f t="shared" ca="1" si="46"/>
        <v/>
      </c>
      <c r="AD485" s="147" t="str">
        <f t="shared" ca="1" si="42"/>
        <v/>
      </c>
      <c r="AE485" s="147" t="str">
        <f t="shared" ca="1" si="47"/>
        <v/>
      </c>
      <c r="AF485" s="25"/>
      <c r="AH485" s="147" t="str">
        <f ca="1">IF(C485="","",VLOOKUP(C485,'Шаг1.Выбор плиты'!C:Q,7,0))</f>
        <v/>
      </c>
      <c r="AI485" s="147" t="str">
        <f t="shared" ca="1" si="45"/>
        <v/>
      </c>
    </row>
    <row r="486" spans="1:35" x14ac:dyDescent="0.2">
      <c r="A486" s="151" t="str">
        <f ca="1">IF(C486="","",MAX($A$1:OFFSET(C486,-1,0))+1)</f>
        <v/>
      </c>
      <c r="B486" s="151" t="str">
        <f ca="1">IFERROR(IFERROR(IFERROR("Шаг2.Бланк заказа NEW №"&amp;VLOOKUP(A485+1,CHOOSE({1,2},'Шаг2.Бланк заказа NEW'!$B$19:$B$201,'Шаг2.Бланк заказа NEW'!$A$19:$A$201),1,0),
"Бланк OLD 0.8 04 №"&amp;VLOOKUP(A485+1-COUNT('Шаг2.Бланк заказа NEW'!$B$19:$B$201),CHOOSE({1,2},'Бланк OLD 0.8 04'!$B$18:$B$200,'Бланк OLD 0.8 04'!$A$18:$A$200),1,0)),
"Бланк OLD 2.0 04 №"&amp;VLOOKUP(A485+1-COUNT('Шаг2.Бланк заказа NEW'!$B$19:$B$201)-COUNT('Бланк OLD 0.8 04'!$B$18:$B$200),CHOOSE({1,2},'Бланк OLD 2.0 04 '!$B$18:$B$200,'Бланк OLD 2.0 04 '!$A$18:$A$200),1,0)),"")</f>
        <v/>
      </c>
      <c r="C486" s="152" t="str">
        <f ca="1">IFERROR(IFERROR(IFERROR(VLOOKUP(A485+1,CHOOSE({1,2},'Шаг2.Бланк заказа NEW'!$B$19:$B$201,'Шаг2.Бланк заказа NEW'!$A$19:$A$201),2,0),
VLOOKUP(A485+1-COUNT('Шаг2.Бланк заказа NEW'!$B$19:$B$201),CHOOSE({1,2},'Бланк OLD 0.8 04'!$B$18:$B$200,'Бланк OLD 0.8 04'!$A$18:$A$200),2,0)),
VLOOKUP(A485+1-COUNT('Шаг2.Бланк заказа NEW'!$B$19:$B$201)-COUNT('Бланк OLD 0.8 04'!$B$18:$B$200),CHOOSE({1,2},'Бланк OLD 2.0 04 '!$B$18:$B$200,'Бланк OLD 2.0 04 '!$A$18:$A$200),2,0)),"")</f>
        <v/>
      </c>
      <c r="D486" s="150" t="str">
        <f ca="1">IFERROR(VLOOKUP(C486,'Шаг1.Выбор плиты'!C:G,5,0),"")</f>
        <v/>
      </c>
      <c r="E486" s="147" t="str">
        <f ca="1">IFERROR(IFERROR(IF(VLOOKUP($A486,'Шаг2.Бланк заказа NEW'!$B$17:$N$201,2,0)="","",VLOOKUP($A486,'Шаг2.Бланк заказа NEW'!$B$17:$N$201,2,0)),
IF(VLOOKUP($A486-COUNT('Шаг2.Бланк заказа NEW'!$B$19:$B$201),'Бланк OLD 0.8 04'!$B$12:$K$200,2,0)="","",VLOOKUP($A486-COUNT('Шаг2.Бланк заказа NEW'!$B$19:$B$201),'Бланк OLD 0.8 04'!$B$12:$K$200,2,0))),
IF(VLOOKUP($A486-COUNT('Шаг2.Бланк заказа NEW'!$B$19:$B$201)-COUNT('Бланк OLD 0.8 04'!$B$18:$B$200),'Бланк OLD 2.0 04 '!$B$16:$K$200,2,0)="","",VLOOKUP($A486-COUNT('Шаг2.Бланк заказа NEW'!$B$19:$B$201)-COUNT('Бланк OLD 0.8 04'!$B$18:$B$200),'Бланк OLD 2.0 04 '!$B$16:$K$200,2,0)))</f>
        <v/>
      </c>
      <c r="F486" s="147" t="str">
        <f ca="1">IFERROR(IFERROR(IF(VLOOKUP($A486,'Шаг2.Бланк заказа NEW'!$B$17:$N$201,3,0)="","",VLOOKUP($A486,'Шаг2.Бланк заказа NEW'!$B$17:$N$201,3,0)),
IF(VLOOKUP($A486-COUNT('Шаг2.Бланк заказа NEW'!$B$19:$B$201),'Бланк OLD 0.8 04'!$B$12:$K$200,3,0)="","",VLOOKUP($A486-COUNT('Шаг2.Бланк заказа NEW'!$B$19:$B$201),'Бланк OLD 0.8 04'!$B$12:$K$200,3,0))),
IF(VLOOKUP($A486-COUNT('Шаг2.Бланк заказа NEW'!$B$19:$B$201)-COUNT('Бланк OLD 0.8 04'!$B$18:$B$200),'Бланк OLD 2.0 04 '!$B$16:$K$200,3,0)="","",VLOOKUP($A486-COUNT('Шаг2.Бланк заказа NEW'!$B$19:$B$201)-COUNT('Бланк OLD 0.8 04'!$B$18:$B$200),'Бланк OLD 2.0 04 '!$B$16:$K$200,3,0)))</f>
        <v/>
      </c>
      <c r="G486" s="176" t="str">
        <f ca="1">IF(IF(R486="","",IF(R486=1,SUMIFS('Шаг1.Выбор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плиты'!C:Q,12,0)),1))))))=0,
R486,
IF(R486="","",IF(R486=1,SUMIFS('Шаг1.Выбор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плиты'!N:N,R486,'Шаг1.Выбор плиты'!M:M,SMALL(INDIRECT("мм"&amp;VLOOKUP(C486,'Шаг1.Выбор плиты'!C:Q,12,0)),1)))))))</f>
        <v/>
      </c>
      <c r="H486" s="177" t="str">
        <f ca="1">IF(IF(S486="","",IF(S486=1,SUMIFS('Шаг1.Выбор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плиты'!C:Q,12,0)),1))))))=0,
S486,
IF(S486="","",IF(S486=1,SUMIFS('Шаг1.Выбор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плиты'!N:N,S486,'Шаг1.Выбор плиты'!M:M,SMALL(INDIRECT("мм"&amp;VLOOKUP(C486,'Шаг1.Выбор плиты'!C:Q,12,0)),1)))))))</f>
        <v/>
      </c>
      <c r="I486" s="147" t="str">
        <f ca="1">IFERROR(IFERROR(IF(VLOOKUP($A486,'Шаг2.Бланк заказа NEW'!$B$17:$N$201,6,0)="","",VLOOKUP($A486,'Шаг2.Бланк заказа NEW'!$B$17:$N$201,6,0)),
IF(VLOOKUP($A486-COUNT('Шаг2.Бланк заказа NEW'!$B$19:$B$201),'Бланк OLD 0.8 04'!$B$12:$K$200,6,0)="","",VLOOKUP($A486-COUNT('Шаг2.Бланк заказа NEW'!$B$19:$B$201),'Бланк OLD 0.8 04'!$B$12:$K$200,6,0))),
IF(VLOOKUP($A486-COUNT('Шаг2.Бланк заказа NEW'!$B$19:$B$201)-COUNT('Бланк OLD 0.8 04'!$B$18:$B$200),'Бланк OLD 2.0 04 '!$B$16:$K$200,6,0)="","",VLOOKUP($A486-COUNT('Шаг2.Бланк заказа NEW'!$B$19:$B$201)-COUNT('Бланк OLD 0.8 04'!$B$18:$B$200),'Бланк OLD 2.0 04 '!$B$16:$K$200,6,0)))</f>
        <v/>
      </c>
      <c r="J486" s="177" t="str">
        <f ca="1">IF(IF(T486="","",IF(T486=1,SUMIFS('Шаг1.Выбор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плиты'!C:Q,12,0)),1))))))=0,
T486,
IF(T486="","",IF(T486=1,SUMIFS('Шаг1.Выбор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плиты'!N:N,T486,'Шаг1.Выбор плиты'!M:M,SMALL(INDIRECT("мм"&amp;VLOOKUP(C486,'Шаг1.Выбор плиты'!C:Q,12,0)),1)))))))</f>
        <v/>
      </c>
      <c r="K486" s="177" t="str">
        <f ca="1">IF(IF(U486="","",IF(U486=1,SUMIFS('Шаг1.Выбор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плиты'!C:Q,12,0)),1))))))=0,
U486,
IF(U486="","",IF(U486=1,SUMIFS('Шаг1.Выбор плиты'!$G:$G,'Шаг1.Выбор плиты'!J:J,"*"&amp;RIGHT(VLOOKUP(C486,'Шаг1.Выбор плиты'!C:Q,8,0),4),'Шаг1.Выбор плиты'!L:L,IF(MID(C486,1,6)="ЛДСП P","TM"&amp;MID(VLOOKUP(C486,'Шаг1.Выбор плиты'!C:Q,10,0),3,2),MID(VLOOKUP(C486,'Шаг1.Выбор плиты'!C:Q,10,0),1,2)),
'Шаг1.Выбор плиты'!N:N,1),IF(SUMIFS('Шаг1.Выбор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плиты'!C:Q,12,0)),1))=0,
IF(SUMIFS('Шаг1.Выбор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плиты'!C:Q,12,0)),2))=0,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плиты'!C:Q,12,0)),3)),
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плиты'!C:Q,12,0)),2))),
(SUMIFS('Шаг1.Выбор плиты'!$G:$G,'Шаг1.Выбор плиты'!J:J,"*"&amp;RIGHT(VLOOKUP(C486,'Шаг1.Выбор плиты'!C:Q,8,0),4),'Шаг1.Выбор плиты'!L:L,VLOOKUP(C486,'Шаг1.Выбор плиты'!C:Q,10,0),'Шаг1.Выбор плиты'!N:N,U486,'Шаг1.Выбор плиты'!M:M,SMALL(INDIRECT("мм"&amp;VLOOKUP(C486,'Шаг1.Выбор плиты'!C:Q,12,0)),1)))))))</f>
        <v/>
      </c>
      <c r="L486" s="147" t="str">
        <f ca="1">IFERROR(IFERROR(IF(VLOOKUP($A486,'Шаг2.Бланк заказа NEW'!$B$17:$N$201,9,0)="","",VLOOKUP($A486,'Шаг2.Бланк заказа NEW'!$B$17:$N$201,9,0)),
IF(VLOOKUP($A486-COUNT('Шаг2.Бланк заказа NEW'!$B$19:$B$201),'Бланк OLD 0.8 04'!$B$12:$K$200,9,0)="","",VLOOKUP($A486-COUNT('Шаг2.Бланк заказа NEW'!$B$19:$B$201),'Бланк OLD 0.8 04'!$B$12:$K$200,9,0))),
IF(VLOOKUP($A486-COUNT('Шаг2.Бланк заказа NEW'!$B$19:$B$201)-COUNT('Бланк OLD 0.8 04'!$B$18:$B$200),'Бланк OLD 2.0 04 '!$B$16:$K$200,9,0)="","",VLOOKUP($A486-COUNT('Шаг2.Бланк заказа NEW'!$B$19:$B$201)-COUNT('Бланк OLD 0.8 04'!$B$18:$B$200),'Бланк OLD 2.0 04 '!$B$16:$K$200,9,0)))</f>
        <v/>
      </c>
      <c r="M486" s="154" t="str">
        <f t="shared" ca="1" si="44"/>
        <v/>
      </c>
      <c r="N486" s="153" t="str">
        <f ca="1">IFERROR(IF(VLOOKUP($A486,'Шаг2.Бланк заказа NEW'!$B$17:$N$201,11,0)="","",VLOOKUP($A486,'Шаг2.Бланк заказа NEW'!$B$17:$N$201,11,0)),
"Нет")</f>
        <v/>
      </c>
      <c r="O486" s="147" t="str">
        <f ca="1">IFERROR(IF(VLOOKUP($A486,'Шаг2.Бланк заказа NEW'!$B$17:$N$201,11,0)="","",VLOOKUP($A486,'Шаг2.Бланк заказа NEW'!$B$17:$N$201,12,0)),
"Нет")</f>
        <v/>
      </c>
      <c r="P486" s="153" t="str">
        <f ca="1">IFERROR(IF(VLOOKUP($A486,'Шаг2.Бланк заказа NEW'!$B$17:$N$201,13,0)="","",VLOOKUP($A486,'Шаг2.Бланк заказа NEW'!$B$17:$N$201,13,0)),
"Нет")</f>
        <v/>
      </c>
      <c r="Q486" s="147" t="str">
        <f ca="1">IFERROR(IF(VLOOKUP($A486,'Шаг2.Бланк заказа NEW'!$B$17:$O$201,14,0)="","",VLOOKUP($A486,'Шаг2.Бланк заказа NEW'!$B$17:$O$201,14,0)),"")</f>
        <v/>
      </c>
      <c r="R486" s="147" t="str">
        <f ca="1">IFERROR(IFERROR(IF(VLOOKUP($A486,'Шаг2.Бланк заказа NEW'!$B$17:$N$201,4,0)="","",VLOOKUP($A486,'Шаг2.Бланк заказа NEW'!$B$17:$N$201,4,0)),
IF(VLOOKUP($A486-COUNT('Шаг2.Бланк заказа NEW'!$B$19:$B$201),'Бланк OLD 0.8 04'!$B$12:$K$200,4,0)&gt;0,0.8,
IF(VLOOKUP($A486-COUNT('Шаг2.Бланк заказа NEW'!$B$19:$B$201),'Бланк OLD 0.8 04'!$B$12:$K$200,5,0)&gt;0,0.4,""))),
IF(VLOOKUP($A486-COUNT('Шаг2.Бланк заказа NEW'!$B$19:$B$201)-COUNT('Бланк OLD 0.8 04'!$B$18:$B$200),'Бланк OLD 2.0 04 '!$B$16:$K$200,4,0)&gt;0,2,IF(VLOOKUP($A486-COUNT('Шаг2.Бланк заказа NEW'!$B$19:$B$201)-COUNT('Бланк OLD 0.8 04'!$B$18:$B$200),'Бланк OLD 2.0 04 '!$B$16:$K$200,5,0)&gt;0,0.4,"")))</f>
        <v/>
      </c>
      <c r="S486" s="147" t="str">
        <f ca="1">IFERROR(IFERROR(IF(VLOOKUP($A486,'Шаг2.Бланк заказа NEW'!$B$17:$N$201,5,0)="","",VLOOKUP($A486,'Шаг2.Бланк заказа NEW'!$B$17:$N$201,5,0)),
IF(VLOOKUP($A486-COUNT('Шаг2.Бланк заказа NEW'!$B$19:$B$201),'Бланк OLD 0.8 04'!$B$12:$K$200,4,0)&gt;1,0.8,
IF(VLOOKUP($A486-COUNT('Шаг2.Бланк заказа NEW'!$B$19:$B$201),'Бланк OLD 0.8 04'!$B$12:$K$200,5,0)&gt;1,0.4,
IF(AND(VLOOKUP($A486-COUNT('Шаг2.Бланк заказа NEW'!$B$19:$B$201),'Бланк OLD 0.8 04'!$B$12:$K$200,4,0)&gt;0,VLOOKUP($A486-COUNT('Шаг2.Бланк заказа NEW'!$B$19:$B$201),'Бланк OLD 0.8 04'!$B$12:$K$200,5,0)&gt;0),0.4,"")))),
IF(VLOOKUP($A486-COUNT('Шаг2.Бланк заказа NEW'!$B$19:$B$201)-COUNT('Бланк OLD 0.8 04'!$B$18:$B$200),'Бланк OLD 2.0 04 '!$B$16:$K$200,4,0)&gt;1,2,
IF(VLOOKUP($A486-COUNT('Шаг2.Бланк заказа NEW'!$B$19:$B$201)-COUNT('Бланк OLD 0.8 04'!$B$18:$B$200),'Бланк OLD 2.0 04 '!$B$16:$K$200,5,0)&gt;1,0.4,IF(AND(VLOOKUP($A486-COUNT('Шаг2.Бланк заказа NEW'!$B$19:$B$201)-COUNT('Бланк OLD 0.8 04'!$B$18:$B$200),'Бланк OLD 2.0 04 '!$B$16:$K$200,4,0)&gt;0,VLOOKUP($A486-COUNT('Шаг2.Бланк заказа NEW'!$B$19:$B$201)-COUNT('Бланк OLD 0.8 04'!$B$18:$B$200),'Бланк OLD 2.0 04 '!$B$16:$K$200,5,0)&gt;0),0.4,""))))</f>
        <v/>
      </c>
      <c r="T486" s="147" t="str">
        <f ca="1">IFERROR(IFERROR(IF(VLOOKUP($A486,'Шаг2.Бланк заказа NEW'!$B$17:$N$201,7,0)="","",VLOOKUP($A486,'Шаг2.Бланк заказа NEW'!$B$17:$N$201,7,0)),
IF(VLOOKUP($A486-COUNT('Шаг2.Бланк заказа NEW'!$B$19:$B$201),'Бланк OLD 0.8 04'!$B$12:$K$200,7,0)&gt;0,0.8,
IF(VLOOKUP($A486-COUNT('Шаг2.Бланк заказа NEW'!$B$19:$B$201),'Бланк OLD 0.8 04'!$B$12:$K$200,8,0)&gt;0,0.4,""))),
IF(VLOOKUP($A486-COUNT('Шаг2.Бланк заказа NEW'!$B$19:$B$201)-COUNT('Бланк OLD 0.8 04'!$B$18:$B$200),'Бланк OLD 2.0 04 '!$B$16:$K$200,7,0)&gt;0,2,IF(VLOOKUP($A486-COUNT('Шаг2.Бланк заказа NEW'!$B$19:$B$201)-COUNT('Бланк OLD 0.8 04'!$B$18:$B$200),'Бланк OLD 2.0 04 '!$B$16:$K$200,8,0)&gt;0,0.4,"")))</f>
        <v/>
      </c>
      <c r="U486" s="147" t="str">
        <f ca="1">IFERROR(IFERROR(IF(VLOOKUP($A486,'Шаг2.Бланк заказа NEW'!$B$17:$N$201,8,0)="","",VLOOKUP($A486,'Шаг2.Бланк заказа NEW'!$B$17:$N$201,8,0)),
IF(VLOOKUP($A486-COUNT('Шаг2.Бланк заказа NEW'!$B$19:$B$201),'Бланк OLD 0.8 04'!$B$12:$K$200,7,0)&gt;1,0.8,
IF(VLOOKUP($A486-COUNT('Шаг2.Бланк заказа NEW'!$B$19:$B$201),'Бланк OLD 0.8 04'!$B$12:$K$200,8,0)&gt;1,0.4,
IF(AND(VLOOKUP($A486-COUNT('Шаг2.Бланк заказа NEW'!$B$19:$B$201),'Бланк OLD 0.8 04'!$B$12:$K$200,7,0)&gt;0,VLOOKUP($A486-COUNT('Шаг2.Бланк заказа NEW'!$B$19:$B$201),'Бланк OLD 0.8 04'!$B$12:$K$200,8,0)&gt;0),0.4,"")))),
IF(VLOOKUP($A486-COUNT('Шаг2.Бланк заказа NEW'!$B$19:$B$201)-COUNT('Бланк OLD 0.8 04'!$B$18:$B$200),'Бланк OLD 2.0 04 '!$B$16:$K$200,7,0)&gt;1,2,
IF(VLOOKUP($A486-COUNT('Шаг2.Бланк заказа NEW'!$B$19:$B$201)-COUNT('Бланк OLD 0.8 04'!$B$18:$B$200),'Бланк OLD 2.0 04 '!$B$16:$K$200,8,0)&gt;1,0.4,
IF(AND(VLOOKUP($A486-COUNT('Шаг2.Бланк заказа NEW'!$B$19:$B$201)-COUNT('Бланк OLD 0.8 04'!$B$18:$B$200),'Бланк OLD 2.0 04 '!$B$16:$K$200,7,0)&gt;0,VLOOKUP($A486-COUNT('Шаг2.Бланк заказа NEW'!$B$19:$B$201)-COUNT('Бланк OLD 0.8 04'!$B$18:$B$200),'Бланк OLD 2.0 04 '!$B$16:$K$200,8,0)&gt;0),0.4,""))))</f>
        <v/>
      </c>
      <c r="V486" s="146" t="str">
        <f ca="1">IFERROR(VLOOKUP(C486,'Шаг1.Выбор плиты'!C:S,12,0),"")</f>
        <v/>
      </c>
      <c r="W486" s="146" t="str">
        <f ca="1">IFERROR(VLOOKUP(C486,'Шаг1.Выбор плиты'!C:S,8,0),"")</f>
        <v/>
      </c>
      <c r="X486" s="146" t="str">
        <f ca="1">IFERROR(VLOOKUP(C486,'Шаг1.Выбор плиты'!C:S,10,0),"")</f>
        <v/>
      </c>
      <c r="Y486" s="147" t="str">
        <f t="shared" ca="1" si="46"/>
        <v/>
      </c>
      <c r="AD486" s="147" t="str">
        <f t="shared" ca="1" si="42"/>
        <v/>
      </c>
      <c r="AE486" s="147" t="str">
        <f t="shared" ca="1" si="47"/>
        <v/>
      </c>
      <c r="AF486" s="25"/>
      <c r="AH486" s="147" t="str">
        <f ca="1">IF(C486="","",VLOOKUP(C486,'Шаг1.Выбор плиты'!C:Q,7,0))</f>
        <v/>
      </c>
      <c r="AI486" s="147" t="str">
        <f t="shared" ca="1" si="45"/>
        <v/>
      </c>
    </row>
    <row r="487" spans="1:35" x14ac:dyDescent="0.2">
      <c r="A487" s="151" t="str">
        <f ca="1">IF(C487="","",MAX($A$1:OFFSET(C487,-1,0))+1)</f>
        <v/>
      </c>
      <c r="B487" s="151" t="str">
        <f ca="1">IFERROR(IFERROR(IFERROR("Шаг2.Бланк заказа NEW №"&amp;VLOOKUP(A486+1,CHOOSE({1,2},'Шаг2.Бланк заказа NEW'!$B$19:$B$201,'Шаг2.Бланк заказа NEW'!$A$19:$A$201),1,0),
"Бланк OLD 0.8 04 №"&amp;VLOOKUP(A486+1-COUNT('Шаг2.Бланк заказа NEW'!$B$19:$B$201),CHOOSE({1,2},'Бланк OLD 0.8 04'!$B$18:$B$200,'Бланк OLD 0.8 04'!$A$18:$A$200),1,0)),
"Бланк OLD 2.0 04 №"&amp;VLOOKUP(A486+1-COUNT('Шаг2.Бланк заказа NEW'!$B$19:$B$201)-COUNT('Бланк OLD 0.8 04'!$B$18:$B$200),CHOOSE({1,2},'Бланк OLD 2.0 04 '!$B$18:$B$200,'Бланк OLD 2.0 04 '!$A$18:$A$200),1,0)),"")</f>
        <v/>
      </c>
      <c r="C487" s="152" t="str">
        <f ca="1">IFERROR(IFERROR(IFERROR(VLOOKUP(A486+1,CHOOSE({1,2},'Шаг2.Бланк заказа NEW'!$B$19:$B$201,'Шаг2.Бланк заказа NEW'!$A$19:$A$201),2,0),
VLOOKUP(A486+1-COUNT('Шаг2.Бланк заказа NEW'!$B$19:$B$201),CHOOSE({1,2},'Бланк OLD 0.8 04'!$B$18:$B$200,'Бланк OLD 0.8 04'!$A$18:$A$200),2,0)),
VLOOKUP(A486+1-COUNT('Шаг2.Бланк заказа NEW'!$B$19:$B$201)-COUNT('Бланк OLD 0.8 04'!$B$18:$B$200),CHOOSE({1,2},'Бланк OLD 2.0 04 '!$B$18:$B$200,'Бланк OLD 2.0 04 '!$A$18:$A$200),2,0)),"")</f>
        <v/>
      </c>
      <c r="D487" s="150" t="str">
        <f ca="1">IFERROR(VLOOKUP(C487,'Шаг1.Выбор плиты'!C:G,5,0),"")</f>
        <v/>
      </c>
      <c r="E487" s="147" t="str">
        <f ca="1">IFERROR(IFERROR(IF(VLOOKUP($A487,'Шаг2.Бланк заказа NEW'!$B$17:$N$201,2,0)="","",VLOOKUP($A487,'Шаг2.Бланк заказа NEW'!$B$17:$N$201,2,0)),
IF(VLOOKUP($A487-COUNT('Шаг2.Бланк заказа NEW'!$B$19:$B$201),'Бланк OLD 0.8 04'!$B$12:$K$200,2,0)="","",VLOOKUP($A487-COUNT('Шаг2.Бланк заказа NEW'!$B$19:$B$201),'Бланк OLD 0.8 04'!$B$12:$K$200,2,0))),
IF(VLOOKUP($A487-COUNT('Шаг2.Бланк заказа NEW'!$B$19:$B$201)-COUNT('Бланк OLD 0.8 04'!$B$18:$B$200),'Бланк OLD 2.0 04 '!$B$16:$K$200,2,0)="","",VLOOKUP($A487-COUNT('Шаг2.Бланк заказа NEW'!$B$19:$B$201)-COUNT('Бланк OLD 0.8 04'!$B$18:$B$200),'Бланк OLD 2.0 04 '!$B$16:$K$200,2,0)))</f>
        <v/>
      </c>
      <c r="F487" s="147" t="str">
        <f ca="1">IFERROR(IFERROR(IF(VLOOKUP($A487,'Шаг2.Бланк заказа NEW'!$B$17:$N$201,3,0)="","",VLOOKUP($A487,'Шаг2.Бланк заказа NEW'!$B$17:$N$201,3,0)),
IF(VLOOKUP($A487-COUNT('Шаг2.Бланк заказа NEW'!$B$19:$B$201),'Бланк OLD 0.8 04'!$B$12:$K$200,3,0)="","",VLOOKUP($A487-COUNT('Шаг2.Бланк заказа NEW'!$B$19:$B$201),'Бланк OLD 0.8 04'!$B$12:$K$200,3,0))),
IF(VLOOKUP($A487-COUNT('Шаг2.Бланк заказа NEW'!$B$19:$B$201)-COUNT('Бланк OLD 0.8 04'!$B$18:$B$200),'Бланк OLD 2.0 04 '!$B$16:$K$200,3,0)="","",VLOOKUP($A487-COUNT('Шаг2.Бланк заказа NEW'!$B$19:$B$201)-COUNT('Бланк OLD 0.8 04'!$B$18:$B$200),'Бланк OLD 2.0 04 '!$B$16:$K$200,3,0)))</f>
        <v/>
      </c>
      <c r="G487" s="176" t="str">
        <f ca="1">IF(IF(R487="","",IF(R487=1,SUMIFS('Шаг1.Выбор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плиты'!C:Q,12,0)),1))))))=0,
R487,
IF(R487="","",IF(R487=1,SUMIFS('Шаг1.Выбор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плиты'!N:N,R487,'Шаг1.Выбор плиты'!M:M,SMALL(INDIRECT("мм"&amp;VLOOKUP(C487,'Шаг1.Выбор плиты'!C:Q,12,0)),1)))))))</f>
        <v/>
      </c>
      <c r="H487" s="177" t="str">
        <f ca="1">IF(IF(S487="","",IF(S487=1,SUMIFS('Шаг1.Выбор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плиты'!C:Q,12,0)),1))))))=0,
S487,
IF(S487="","",IF(S487=1,SUMIFS('Шаг1.Выбор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плиты'!N:N,S487,'Шаг1.Выбор плиты'!M:M,SMALL(INDIRECT("мм"&amp;VLOOKUP(C487,'Шаг1.Выбор плиты'!C:Q,12,0)),1)))))))</f>
        <v/>
      </c>
      <c r="I487" s="147" t="str">
        <f ca="1">IFERROR(IFERROR(IF(VLOOKUP($A487,'Шаг2.Бланк заказа NEW'!$B$17:$N$201,6,0)="","",VLOOKUP($A487,'Шаг2.Бланк заказа NEW'!$B$17:$N$201,6,0)),
IF(VLOOKUP($A487-COUNT('Шаг2.Бланк заказа NEW'!$B$19:$B$201),'Бланк OLD 0.8 04'!$B$12:$K$200,6,0)="","",VLOOKUP($A487-COUNT('Шаг2.Бланк заказа NEW'!$B$19:$B$201),'Бланк OLD 0.8 04'!$B$12:$K$200,6,0))),
IF(VLOOKUP($A487-COUNT('Шаг2.Бланк заказа NEW'!$B$19:$B$201)-COUNT('Бланк OLD 0.8 04'!$B$18:$B$200),'Бланк OLD 2.0 04 '!$B$16:$K$200,6,0)="","",VLOOKUP($A487-COUNT('Шаг2.Бланк заказа NEW'!$B$19:$B$201)-COUNT('Бланк OLD 0.8 04'!$B$18:$B$200),'Бланк OLD 2.0 04 '!$B$16:$K$200,6,0)))</f>
        <v/>
      </c>
      <c r="J487" s="177" t="str">
        <f ca="1">IF(IF(T487="","",IF(T487=1,SUMIFS('Шаг1.Выбор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плиты'!C:Q,12,0)),1))))))=0,
T487,
IF(T487="","",IF(T487=1,SUMIFS('Шаг1.Выбор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плиты'!N:N,T487,'Шаг1.Выбор плиты'!M:M,SMALL(INDIRECT("мм"&amp;VLOOKUP(C487,'Шаг1.Выбор плиты'!C:Q,12,0)),1)))))))</f>
        <v/>
      </c>
      <c r="K487" s="177" t="str">
        <f ca="1">IF(IF(U487="","",IF(U487=1,SUMIFS('Шаг1.Выбор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плиты'!C:Q,12,0)),1))))))=0,
U487,
IF(U487="","",IF(U487=1,SUMIFS('Шаг1.Выбор плиты'!$G:$G,'Шаг1.Выбор плиты'!J:J,"*"&amp;RIGHT(VLOOKUP(C487,'Шаг1.Выбор плиты'!C:Q,8,0),4),'Шаг1.Выбор плиты'!L:L,IF(MID(C487,1,6)="ЛДСП P","TM"&amp;MID(VLOOKUP(C487,'Шаг1.Выбор плиты'!C:Q,10,0),3,2),MID(VLOOKUP(C487,'Шаг1.Выбор плиты'!C:Q,10,0),1,2)),
'Шаг1.Выбор плиты'!N:N,1),IF(SUMIFS('Шаг1.Выбор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плиты'!C:Q,12,0)),1))=0,
IF(SUMIFS('Шаг1.Выбор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плиты'!C:Q,12,0)),2))=0,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плиты'!C:Q,12,0)),3)),
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плиты'!C:Q,12,0)),2))),
(SUMIFS('Шаг1.Выбор плиты'!$G:$G,'Шаг1.Выбор плиты'!J:J,"*"&amp;RIGHT(VLOOKUP(C487,'Шаг1.Выбор плиты'!C:Q,8,0),4),'Шаг1.Выбор плиты'!L:L,VLOOKUP(C487,'Шаг1.Выбор плиты'!C:Q,10,0),'Шаг1.Выбор плиты'!N:N,U487,'Шаг1.Выбор плиты'!M:M,SMALL(INDIRECT("мм"&amp;VLOOKUP(C487,'Шаг1.Выбор плиты'!C:Q,12,0)),1)))))))</f>
        <v/>
      </c>
      <c r="L487" s="147" t="str">
        <f ca="1">IFERROR(IFERROR(IF(VLOOKUP($A487,'Шаг2.Бланк заказа NEW'!$B$17:$N$201,9,0)="","",VLOOKUP($A487,'Шаг2.Бланк заказа NEW'!$B$17:$N$201,9,0)),
IF(VLOOKUP($A487-COUNT('Шаг2.Бланк заказа NEW'!$B$19:$B$201),'Бланк OLD 0.8 04'!$B$12:$K$200,9,0)="","",VLOOKUP($A487-COUNT('Шаг2.Бланк заказа NEW'!$B$19:$B$201),'Бланк OLD 0.8 04'!$B$12:$K$200,9,0))),
IF(VLOOKUP($A487-COUNT('Шаг2.Бланк заказа NEW'!$B$19:$B$201)-COUNT('Бланк OLD 0.8 04'!$B$18:$B$200),'Бланк OLD 2.0 04 '!$B$16:$K$200,9,0)="","",VLOOKUP($A487-COUNT('Шаг2.Бланк заказа NEW'!$B$19:$B$201)-COUNT('Бланк OLD 0.8 04'!$B$18:$B$200),'Бланк OLD 2.0 04 '!$B$16:$K$200,9,0)))</f>
        <v/>
      </c>
      <c r="M487" s="154" t="str">
        <f t="shared" ca="1" si="44"/>
        <v/>
      </c>
      <c r="N487" s="153" t="str">
        <f ca="1">IFERROR(IF(VLOOKUP($A487,'Шаг2.Бланк заказа NEW'!$B$17:$N$201,11,0)="","",VLOOKUP($A487,'Шаг2.Бланк заказа NEW'!$B$17:$N$201,11,0)),
"Нет")</f>
        <v/>
      </c>
      <c r="O487" s="147" t="str">
        <f ca="1">IFERROR(IF(VLOOKUP($A487,'Шаг2.Бланк заказа NEW'!$B$17:$N$201,11,0)="","",VLOOKUP($A487,'Шаг2.Бланк заказа NEW'!$B$17:$N$201,12,0)),
"Нет")</f>
        <v/>
      </c>
      <c r="P487" s="153" t="str">
        <f ca="1">IFERROR(IF(VLOOKUP($A487,'Шаг2.Бланк заказа NEW'!$B$17:$N$201,13,0)="","",VLOOKUP($A487,'Шаг2.Бланк заказа NEW'!$B$17:$N$201,13,0)),
"Нет")</f>
        <v/>
      </c>
      <c r="Q487" s="147" t="str">
        <f ca="1">IFERROR(IF(VLOOKUP($A487,'Шаг2.Бланк заказа NEW'!$B$17:$O$201,14,0)="","",VLOOKUP($A487,'Шаг2.Бланк заказа NEW'!$B$17:$O$201,14,0)),"")</f>
        <v/>
      </c>
      <c r="R487" s="147" t="str">
        <f ca="1">IFERROR(IFERROR(IF(VLOOKUP($A487,'Шаг2.Бланк заказа NEW'!$B$17:$N$201,4,0)="","",VLOOKUP($A487,'Шаг2.Бланк заказа NEW'!$B$17:$N$201,4,0)),
IF(VLOOKUP($A487-COUNT('Шаг2.Бланк заказа NEW'!$B$19:$B$201),'Бланк OLD 0.8 04'!$B$12:$K$200,4,0)&gt;0,0.8,
IF(VLOOKUP($A487-COUNT('Шаг2.Бланк заказа NEW'!$B$19:$B$201),'Бланк OLD 0.8 04'!$B$12:$K$200,5,0)&gt;0,0.4,""))),
IF(VLOOKUP($A487-COUNT('Шаг2.Бланк заказа NEW'!$B$19:$B$201)-COUNT('Бланк OLD 0.8 04'!$B$18:$B$200),'Бланк OLD 2.0 04 '!$B$16:$K$200,4,0)&gt;0,2,IF(VLOOKUP($A487-COUNT('Шаг2.Бланк заказа NEW'!$B$19:$B$201)-COUNT('Бланк OLD 0.8 04'!$B$18:$B$200),'Бланк OLD 2.0 04 '!$B$16:$K$200,5,0)&gt;0,0.4,"")))</f>
        <v/>
      </c>
      <c r="S487" s="147" t="str">
        <f ca="1">IFERROR(IFERROR(IF(VLOOKUP($A487,'Шаг2.Бланк заказа NEW'!$B$17:$N$201,5,0)="","",VLOOKUP($A487,'Шаг2.Бланк заказа NEW'!$B$17:$N$201,5,0)),
IF(VLOOKUP($A487-COUNT('Шаг2.Бланк заказа NEW'!$B$19:$B$201),'Бланк OLD 0.8 04'!$B$12:$K$200,4,0)&gt;1,0.8,
IF(VLOOKUP($A487-COUNT('Шаг2.Бланк заказа NEW'!$B$19:$B$201),'Бланк OLD 0.8 04'!$B$12:$K$200,5,0)&gt;1,0.4,
IF(AND(VLOOKUP($A487-COUNT('Шаг2.Бланк заказа NEW'!$B$19:$B$201),'Бланк OLD 0.8 04'!$B$12:$K$200,4,0)&gt;0,VLOOKUP($A487-COUNT('Шаг2.Бланк заказа NEW'!$B$19:$B$201),'Бланк OLD 0.8 04'!$B$12:$K$200,5,0)&gt;0),0.4,"")))),
IF(VLOOKUP($A487-COUNT('Шаг2.Бланк заказа NEW'!$B$19:$B$201)-COUNT('Бланк OLD 0.8 04'!$B$18:$B$200),'Бланк OLD 2.0 04 '!$B$16:$K$200,4,0)&gt;1,2,
IF(VLOOKUP($A487-COUNT('Шаг2.Бланк заказа NEW'!$B$19:$B$201)-COUNT('Бланк OLD 0.8 04'!$B$18:$B$200),'Бланк OLD 2.0 04 '!$B$16:$K$200,5,0)&gt;1,0.4,IF(AND(VLOOKUP($A487-COUNT('Шаг2.Бланк заказа NEW'!$B$19:$B$201)-COUNT('Бланк OLD 0.8 04'!$B$18:$B$200),'Бланк OLD 2.0 04 '!$B$16:$K$200,4,0)&gt;0,VLOOKUP($A487-COUNT('Шаг2.Бланк заказа NEW'!$B$19:$B$201)-COUNT('Бланк OLD 0.8 04'!$B$18:$B$200),'Бланк OLD 2.0 04 '!$B$16:$K$200,5,0)&gt;0),0.4,""))))</f>
        <v/>
      </c>
      <c r="T487" s="147" t="str">
        <f ca="1">IFERROR(IFERROR(IF(VLOOKUP($A487,'Шаг2.Бланк заказа NEW'!$B$17:$N$201,7,0)="","",VLOOKUP($A487,'Шаг2.Бланк заказа NEW'!$B$17:$N$201,7,0)),
IF(VLOOKUP($A487-COUNT('Шаг2.Бланк заказа NEW'!$B$19:$B$201),'Бланк OLD 0.8 04'!$B$12:$K$200,7,0)&gt;0,0.8,
IF(VLOOKUP($A487-COUNT('Шаг2.Бланк заказа NEW'!$B$19:$B$201),'Бланк OLD 0.8 04'!$B$12:$K$200,8,0)&gt;0,0.4,""))),
IF(VLOOKUP($A487-COUNT('Шаг2.Бланк заказа NEW'!$B$19:$B$201)-COUNT('Бланк OLD 0.8 04'!$B$18:$B$200),'Бланк OLD 2.0 04 '!$B$16:$K$200,7,0)&gt;0,2,IF(VLOOKUP($A487-COUNT('Шаг2.Бланк заказа NEW'!$B$19:$B$201)-COUNT('Бланк OLD 0.8 04'!$B$18:$B$200),'Бланк OLD 2.0 04 '!$B$16:$K$200,8,0)&gt;0,0.4,"")))</f>
        <v/>
      </c>
      <c r="U487" s="147" t="str">
        <f ca="1">IFERROR(IFERROR(IF(VLOOKUP($A487,'Шаг2.Бланк заказа NEW'!$B$17:$N$201,8,0)="","",VLOOKUP($A487,'Шаг2.Бланк заказа NEW'!$B$17:$N$201,8,0)),
IF(VLOOKUP($A487-COUNT('Шаг2.Бланк заказа NEW'!$B$19:$B$201),'Бланк OLD 0.8 04'!$B$12:$K$200,7,0)&gt;1,0.8,
IF(VLOOKUP($A487-COUNT('Шаг2.Бланк заказа NEW'!$B$19:$B$201),'Бланк OLD 0.8 04'!$B$12:$K$200,8,0)&gt;1,0.4,
IF(AND(VLOOKUP($A487-COUNT('Шаг2.Бланк заказа NEW'!$B$19:$B$201),'Бланк OLD 0.8 04'!$B$12:$K$200,7,0)&gt;0,VLOOKUP($A487-COUNT('Шаг2.Бланк заказа NEW'!$B$19:$B$201),'Бланк OLD 0.8 04'!$B$12:$K$200,8,0)&gt;0),0.4,"")))),
IF(VLOOKUP($A487-COUNT('Шаг2.Бланк заказа NEW'!$B$19:$B$201)-COUNT('Бланк OLD 0.8 04'!$B$18:$B$200),'Бланк OLD 2.0 04 '!$B$16:$K$200,7,0)&gt;1,2,
IF(VLOOKUP($A487-COUNT('Шаг2.Бланк заказа NEW'!$B$19:$B$201)-COUNT('Бланк OLD 0.8 04'!$B$18:$B$200),'Бланк OLD 2.0 04 '!$B$16:$K$200,8,0)&gt;1,0.4,
IF(AND(VLOOKUP($A487-COUNT('Шаг2.Бланк заказа NEW'!$B$19:$B$201)-COUNT('Бланк OLD 0.8 04'!$B$18:$B$200),'Бланк OLD 2.0 04 '!$B$16:$K$200,7,0)&gt;0,VLOOKUP($A487-COUNT('Шаг2.Бланк заказа NEW'!$B$19:$B$201)-COUNT('Бланк OLD 0.8 04'!$B$18:$B$200),'Бланк OLD 2.0 04 '!$B$16:$K$200,8,0)&gt;0),0.4,""))))</f>
        <v/>
      </c>
      <c r="V487" s="146" t="str">
        <f ca="1">IFERROR(VLOOKUP(C487,'Шаг1.Выбор плиты'!C:S,12,0),"")</f>
        <v/>
      </c>
      <c r="W487" s="146" t="str">
        <f ca="1">IFERROR(VLOOKUP(C487,'Шаг1.Выбор плиты'!C:S,8,0),"")</f>
        <v/>
      </c>
      <c r="X487" s="146" t="str">
        <f ca="1">IFERROR(VLOOKUP(C487,'Шаг1.Выбор плиты'!C:S,10,0),"")</f>
        <v/>
      </c>
      <c r="Y487" s="147" t="str">
        <f t="shared" ca="1" si="46"/>
        <v/>
      </c>
      <c r="AD487" s="147" t="str">
        <f t="shared" ca="1" si="42"/>
        <v/>
      </c>
      <c r="AE487" s="147" t="str">
        <f t="shared" ca="1" si="47"/>
        <v/>
      </c>
      <c r="AF487" s="25"/>
      <c r="AH487" s="147" t="str">
        <f ca="1">IF(C487="","",VLOOKUP(C487,'Шаг1.Выбор плиты'!C:Q,7,0))</f>
        <v/>
      </c>
      <c r="AI487" s="147" t="str">
        <f t="shared" ca="1" si="45"/>
        <v/>
      </c>
    </row>
    <row r="488" spans="1:35" x14ac:dyDescent="0.2">
      <c r="A488" s="151" t="str">
        <f ca="1">IF(C488="","",MAX($A$1:OFFSET(C488,-1,0))+1)</f>
        <v/>
      </c>
      <c r="B488" s="151" t="str">
        <f ca="1">IFERROR(IFERROR(IFERROR("Шаг2.Бланк заказа NEW №"&amp;VLOOKUP(A487+1,CHOOSE({1,2},'Шаг2.Бланк заказа NEW'!$B$19:$B$201,'Шаг2.Бланк заказа NEW'!$A$19:$A$201),1,0),
"Бланк OLD 0.8 04 №"&amp;VLOOKUP(A487+1-COUNT('Шаг2.Бланк заказа NEW'!$B$19:$B$201),CHOOSE({1,2},'Бланк OLD 0.8 04'!$B$18:$B$200,'Бланк OLD 0.8 04'!$A$18:$A$200),1,0)),
"Бланк OLD 2.0 04 №"&amp;VLOOKUP(A487+1-COUNT('Шаг2.Бланк заказа NEW'!$B$19:$B$201)-COUNT('Бланк OLD 0.8 04'!$B$18:$B$200),CHOOSE({1,2},'Бланк OLD 2.0 04 '!$B$18:$B$200,'Бланк OLD 2.0 04 '!$A$18:$A$200),1,0)),"")</f>
        <v/>
      </c>
      <c r="C488" s="152" t="str">
        <f ca="1">IFERROR(IFERROR(IFERROR(VLOOKUP(A487+1,CHOOSE({1,2},'Шаг2.Бланк заказа NEW'!$B$19:$B$201,'Шаг2.Бланк заказа NEW'!$A$19:$A$201),2,0),
VLOOKUP(A487+1-COUNT('Шаг2.Бланк заказа NEW'!$B$19:$B$201),CHOOSE({1,2},'Бланк OLD 0.8 04'!$B$18:$B$200,'Бланк OLD 0.8 04'!$A$18:$A$200),2,0)),
VLOOKUP(A487+1-COUNT('Шаг2.Бланк заказа NEW'!$B$19:$B$201)-COUNT('Бланк OLD 0.8 04'!$B$18:$B$200),CHOOSE({1,2},'Бланк OLD 2.0 04 '!$B$18:$B$200,'Бланк OLD 2.0 04 '!$A$18:$A$200),2,0)),"")</f>
        <v/>
      </c>
      <c r="D488" s="150" t="str">
        <f ca="1">IFERROR(VLOOKUP(C488,'Шаг1.Выбор плиты'!C:G,5,0),"")</f>
        <v/>
      </c>
      <c r="E488" s="147" t="str">
        <f ca="1">IFERROR(IFERROR(IF(VLOOKUP($A488,'Шаг2.Бланк заказа NEW'!$B$17:$N$201,2,0)="","",VLOOKUP($A488,'Шаг2.Бланк заказа NEW'!$B$17:$N$201,2,0)),
IF(VLOOKUP($A488-COUNT('Шаг2.Бланк заказа NEW'!$B$19:$B$201),'Бланк OLD 0.8 04'!$B$12:$K$200,2,0)="","",VLOOKUP($A488-COUNT('Шаг2.Бланк заказа NEW'!$B$19:$B$201),'Бланк OLD 0.8 04'!$B$12:$K$200,2,0))),
IF(VLOOKUP($A488-COUNT('Шаг2.Бланк заказа NEW'!$B$19:$B$201)-COUNT('Бланк OLD 0.8 04'!$B$18:$B$200),'Бланк OLD 2.0 04 '!$B$16:$K$200,2,0)="","",VLOOKUP($A488-COUNT('Шаг2.Бланк заказа NEW'!$B$19:$B$201)-COUNT('Бланк OLD 0.8 04'!$B$18:$B$200),'Бланк OLD 2.0 04 '!$B$16:$K$200,2,0)))</f>
        <v/>
      </c>
      <c r="F488" s="147" t="str">
        <f ca="1">IFERROR(IFERROR(IF(VLOOKUP($A488,'Шаг2.Бланк заказа NEW'!$B$17:$N$201,3,0)="","",VLOOKUP($A488,'Шаг2.Бланк заказа NEW'!$B$17:$N$201,3,0)),
IF(VLOOKUP($A488-COUNT('Шаг2.Бланк заказа NEW'!$B$19:$B$201),'Бланк OLD 0.8 04'!$B$12:$K$200,3,0)="","",VLOOKUP($A488-COUNT('Шаг2.Бланк заказа NEW'!$B$19:$B$201),'Бланк OLD 0.8 04'!$B$12:$K$200,3,0))),
IF(VLOOKUP($A488-COUNT('Шаг2.Бланк заказа NEW'!$B$19:$B$201)-COUNT('Бланк OLD 0.8 04'!$B$18:$B$200),'Бланк OLD 2.0 04 '!$B$16:$K$200,3,0)="","",VLOOKUP($A488-COUNT('Шаг2.Бланк заказа NEW'!$B$19:$B$201)-COUNT('Бланк OLD 0.8 04'!$B$18:$B$200),'Бланк OLD 2.0 04 '!$B$16:$K$200,3,0)))</f>
        <v/>
      </c>
      <c r="G488" s="176" t="str">
        <f ca="1">IF(IF(R488="","",IF(R488=1,SUMIFS('Шаг1.Выбор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плиты'!C:Q,12,0)),1))))))=0,
R488,
IF(R488="","",IF(R488=1,SUMIFS('Шаг1.Выбор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плиты'!N:N,R488,'Шаг1.Выбор плиты'!M:M,SMALL(INDIRECT("мм"&amp;VLOOKUP(C488,'Шаг1.Выбор плиты'!C:Q,12,0)),1)))))))</f>
        <v/>
      </c>
      <c r="H488" s="177" t="str">
        <f ca="1">IF(IF(S488="","",IF(S488=1,SUMIFS('Шаг1.Выбор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плиты'!C:Q,12,0)),1))))))=0,
S488,
IF(S488="","",IF(S488=1,SUMIFS('Шаг1.Выбор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плиты'!N:N,S488,'Шаг1.Выбор плиты'!M:M,SMALL(INDIRECT("мм"&amp;VLOOKUP(C488,'Шаг1.Выбор плиты'!C:Q,12,0)),1)))))))</f>
        <v/>
      </c>
      <c r="I488" s="147" t="str">
        <f ca="1">IFERROR(IFERROR(IF(VLOOKUP($A488,'Шаг2.Бланк заказа NEW'!$B$17:$N$201,6,0)="","",VLOOKUP($A488,'Шаг2.Бланк заказа NEW'!$B$17:$N$201,6,0)),
IF(VLOOKUP($A488-COUNT('Шаг2.Бланк заказа NEW'!$B$19:$B$201),'Бланк OLD 0.8 04'!$B$12:$K$200,6,0)="","",VLOOKUP($A488-COUNT('Шаг2.Бланк заказа NEW'!$B$19:$B$201),'Бланк OLD 0.8 04'!$B$12:$K$200,6,0))),
IF(VLOOKUP($A488-COUNT('Шаг2.Бланк заказа NEW'!$B$19:$B$201)-COUNT('Бланк OLD 0.8 04'!$B$18:$B$200),'Бланк OLD 2.0 04 '!$B$16:$K$200,6,0)="","",VLOOKUP($A488-COUNT('Шаг2.Бланк заказа NEW'!$B$19:$B$201)-COUNT('Бланк OLD 0.8 04'!$B$18:$B$200),'Бланк OLD 2.0 04 '!$B$16:$K$200,6,0)))</f>
        <v/>
      </c>
      <c r="J488" s="177" t="str">
        <f ca="1">IF(IF(T488="","",IF(T488=1,SUMIFS('Шаг1.Выбор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плиты'!C:Q,12,0)),1))))))=0,
T488,
IF(T488="","",IF(T488=1,SUMIFS('Шаг1.Выбор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плиты'!N:N,T488,'Шаг1.Выбор плиты'!M:M,SMALL(INDIRECT("мм"&amp;VLOOKUP(C488,'Шаг1.Выбор плиты'!C:Q,12,0)),1)))))))</f>
        <v/>
      </c>
      <c r="K488" s="177" t="str">
        <f ca="1">IF(IF(U488="","",IF(U488=1,SUMIFS('Шаг1.Выбор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плиты'!C:Q,12,0)),1))))))=0,
U488,
IF(U488="","",IF(U488=1,SUMIFS('Шаг1.Выбор плиты'!$G:$G,'Шаг1.Выбор плиты'!J:J,"*"&amp;RIGHT(VLOOKUP(C488,'Шаг1.Выбор плиты'!C:Q,8,0),4),'Шаг1.Выбор плиты'!L:L,IF(MID(C488,1,6)="ЛДСП P","TM"&amp;MID(VLOOKUP(C488,'Шаг1.Выбор плиты'!C:Q,10,0),3,2),MID(VLOOKUP(C488,'Шаг1.Выбор плиты'!C:Q,10,0),1,2)),
'Шаг1.Выбор плиты'!N:N,1),IF(SUMIFS('Шаг1.Выбор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плиты'!C:Q,12,0)),1))=0,
IF(SUMIFS('Шаг1.Выбор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плиты'!C:Q,12,0)),2))=0,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плиты'!C:Q,12,0)),3)),
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плиты'!C:Q,12,0)),2))),
(SUMIFS('Шаг1.Выбор плиты'!$G:$G,'Шаг1.Выбор плиты'!J:J,"*"&amp;RIGHT(VLOOKUP(C488,'Шаг1.Выбор плиты'!C:Q,8,0),4),'Шаг1.Выбор плиты'!L:L,VLOOKUP(C488,'Шаг1.Выбор плиты'!C:Q,10,0),'Шаг1.Выбор плиты'!N:N,U488,'Шаг1.Выбор плиты'!M:M,SMALL(INDIRECT("мм"&amp;VLOOKUP(C488,'Шаг1.Выбор плиты'!C:Q,12,0)),1)))))))</f>
        <v/>
      </c>
      <c r="L488" s="147" t="str">
        <f ca="1">IFERROR(IFERROR(IF(VLOOKUP($A488,'Шаг2.Бланк заказа NEW'!$B$17:$N$201,9,0)="","",VLOOKUP($A488,'Шаг2.Бланк заказа NEW'!$B$17:$N$201,9,0)),
IF(VLOOKUP($A488-COUNT('Шаг2.Бланк заказа NEW'!$B$19:$B$201),'Бланк OLD 0.8 04'!$B$12:$K$200,9,0)="","",VLOOKUP($A488-COUNT('Шаг2.Бланк заказа NEW'!$B$19:$B$201),'Бланк OLD 0.8 04'!$B$12:$K$200,9,0))),
IF(VLOOKUP($A488-COUNT('Шаг2.Бланк заказа NEW'!$B$19:$B$201)-COUNT('Бланк OLD 0.8 04'!$B$18:$B$200),'Бланк OLD 2.0 04 '!$B$16:$K$200,9,0)="","",VLOOKUP($A488-COUNT('Шаг2.Бланк заказа NEW'!$B$19:$B$201)-COUNT('Бланк OLD 0.8 04'!$B$18:$B$200),'Бланк OLD 2.0 04 '!$B$16:$K$200,9,0)))</f>
        <v/>
      </c>
      <c r="M488" s="154" t="str">
        <f t="shared" ca="1" si="44"/>
        <v/>
      </c>
      <c r="N488" s="153" t="str">
        <f ca="1">IFERROR(IF(VLOOKUP($A488,'Шаг2.Бланк заказа NEW'!$B$17:$N$201,11,0)="","",VLOOKUP($A488,'Шаг2.Бланк заказа NEW'!$B$17:$N$201,11,0)),
"Нет")</f>
        <v/>
      </c>
      <c r="O488" s="147" t="str">
        <f ca="1">IFERROR(IF(VLOOKUP($A488,'Шаг2.Бланк заказа NEW'!$B$17:$N$201,11,0)="","",VLOOKUP($A488,'Шаг2.Бланк заказа NEW'!$B$17:$N$201,12,0)),
"Нет")</f>
        <v/>
      </c>
      <c r="P488" s="153" t="str">
        <f ca="1">IFERROR(IF(VLOOKUP($A488,'Шаг2.Бланк заказа NEW'!$B$17:$N$201,13,0)="","",VLOOKUP($A488,'Шаг2.Бланк заказа NEW'!$B$17:$N$201,13,0)),
"Нет")</f>
        <v/>
      </c>
      <c r="Q488" s="147" t="str">
        <f ca="1">IFERROR(IF(VLOOKUP($A488,'Шаг2.Бланк заказа NEW'!$B$17:$O$201,14,0)="","",VLOOKUP($A488,'Шаг2.Бланк заказа NEW'!$B$17:$O$201,14,0)),"")</f>
        <v/>
      </c>
      <c r="R488" s="147" t="str">
        <f ca="1">IFERROR(IFERROR(IF(VLOOKUP($A488,'Шаг2.Бланк заказа NEW'!$B$17:$N$201,4,0)="","",VLOOKUP($A488,'Шаг2.Бланк заказа NEW'!$B$17:$N$201,4,0)),
IF(VLOOKUP($A488-COUNT('Шаг2.Бланк заказа NEW'!$B$19:$B$201),'Бланк OLD 0.8 04'!$B$12:$K$200,4,0)&gt;0,0.8,
IF(VLOOKUP($A488-COUNT('Шаг2.Бланк заказа NEW'!$B$19:$B$201),'Бланк OLD 0.8 04'!$B$12:$K$200,5,0)&gt;0,0.4,""))),
IF(VLOOKUP($A488-COUNT('Шаг2.Бланк заказа NEW'!$B$19:$B$201)-COUNT('Бланк OLD 0.8 04'!$B$18:$B$200),'Бланк OLD 2.0 04 '!$B$16:$K$200,4,0)&gt;0,2,IF(VLOOKUP($A488-COUNT('Шаг2.Бланк заказа NEW'!$B$19:$B$201)-COUNT('Бланк OLD 0.8 04'!$B$18:$B$200),'Бланк OLD 2.0 04 '!$B$16:$K$200,5,0)&gt;0,0.4,"")))</f>
        <v/>
      </c>
      <c r="S488" s="147" t="str">
        <f ca="1">IFERROR(IFERROR(IF(VLOOKUP($A488,'Шаг2.Бланк заказа NEW'!$B$17:$N$201,5,0)="","",VLOOKUP($A488,'Шаг2.Бланк заказа NEW'!$B$17:$N$201,5,0)),
IF(VLOOKUP($A488-COUNT('Шаг2.Бланк заказа NEW'!$B$19:$B$201),'Бланк OLD 0.8 04'!$B$12:$K$200,4,0)&gt;1,0.8,
IF(VLOOKUP($A488-COUNT('Шаг2.Бланк заказа NEW'!$B$19:$B$201),'Бланк OLD 0.8 04'!$B$12:$K$200,5,0)&gt;1,0.4,
IF(AND(VLOOKUP($A488-COUNT('Шаг2.Бланк заказа NEW'!$B$19:$B$201),'Бланк OLD 0.8 04'!$B$12:$K$200,4,0)&gt;0,VLOOKUP($A488-COUNT('Шаг2.Бланк заказа NEW'!$B$19:$B$201),'Бланк OLD 0.8 04'!$B$12:$K$200,5,0)&gt;0),0.4,"")))),
IF(VLOOKUP($A488-COUNT('Шаг2.Бланк заказа NEW'!$B$19:$B$201)-COUNT('Бланк OLD 0.8 04'!$B$18:$B$200),'Бланк OLD 2.0 04 '!$B$16:$K$200,4,0)&gt;1,2,
IF(VLOOKUP($A488-COUNT('Шаг2.Бланк заказа NEW'!$B$19:$B$201)-COUNT('Бланк OLD 0.8 04'!$B$18:$B$200),'Бланк OLD 2.0 04 '!$B$16:$K$200,5,0)&gt;1,0.4,IF(AND(VLOOKUP($A488-COUNT('Шаг2.Бланк заказа NEW'!$B$19:$B$201)-COUNT('Бланк OLD 0.8 04'!$B$18:$B$200),'Бланк OLD 2.0 04 '!$B$16:$K$200,4,0)&gt;0,VLOOKUP($A488-COUNT('Шаг2.Бланк заказа NEW'!$B$19:$B$201)-COUNT('Бланк OLD 0.8 04'!$B$18:$B$200),'Бланк OLD 2.0 04 '!$B$16:$K$200,5,0)&gt;0),0.4,""))))</f>
        <v/>
      </c>
      <c r="T488" s="147" t="str">
        <f ca="1">IFERROR(IFERROR(IF(VLOOKUP($A488,'Шаг2.Бланк заказа NEW'!$B$17:$N$201,7,0)="","",VLOOKUP($A488,'Шаг2.Бланк заказа NEW'!$B$17:$N$201,7,0)),
IF(VLOOKUP($A488-COUNT('Шаг2.Бланк заказа NEW'!$B$19:$B$201),'Бланк OLD 0.8 04'!$B$12:$K$200,7,0)&gt;0,0.8,
IF(VLOOKUP($A488-COUNT('Шаг2.Бланк заказа NEW'!$B$19:$B$201),'Бланк OLD 0.8 04'!$B$12:$K$200,8,0)&gt;0,0.4,""))),
IF(VLOOKUP($A488-COUNT('Шаг2.Бланк заказа NEW'!$B$19:$B$201)-COUNT('Бланк OLD 0.8 04'!$B$18:$B$200),'Бланк OLD 2.0 04 '!$B$16:$K$200,7,0)&gt;0,2,IF(VLOOKUP($A488-COUNT('Шаг2.Бланк заказа NEW'!$B$19:$B$201)-COUNT('Бланк OLD 0.8 04'!$B$18:$B$200),'Бланк OLD 2.0 04 '!$B$16:$K$200,8,0)&gt;0,0.4,"")))</f>
        <v/>
      </c>
      <c r="U488" s="147" t="str">
        <f ca="1">IFERROR(IFERROR(IF(VLOOKUP($A488,'Шаг2.Бланк заказа NEW'!$B$17:$N$201,8,0)="","",VLOOKUP($A488,'Шаг2.Бланк заказа NEW'!$B$17:$N$201,8,0)),
IF(VLOOKUP($A488-COUNT('Шаг2.Бланк заказа NEW'!$B$19:$B$201),'Бланк OLD 0.8 04'!$B$12:$K$200,7,0)&gt;1,0.8,
IF(VLOOKUP($A488-COUNT('Шаг2.Бланк заказа NEW'!$B$19:$B$201),'Бланк OLD 0.8 04'!$B$12:$K$200,8,0)&gt;1,0.4,
IF(AND(VLOOKUP($A488-COUNT('Шаг2.Бланк заказа NEW'!$B$19:$B$201),'Бланк OLD 0.8 04'!$B$12:$K$200,7,0)&gt;0,VLOOKUP($A488-COUNT('Шаг2.Бланк заказа NEW'!$B$19:$B$201),'Бланк OLD 0.8 04'!$B$12:$K$200,8,0)&gt;0),0.4,"")))),
IF(VLOOKUP($A488-COUNT('Шаг2.Бланк заказа NEW'!$B$19:$B$201)-COUNT('Бланк OLD 0.8 04'!$B$18:$B$200),'Бланк OLD 2.0 04 '!$B$16:$K$200,7,0)&gt;1,2,
IF(VLOOKUP($A488-COUNT('Шаг2.Бланк заказа NEW'!$B$19:$B$201)-COUNT('Бланк OLD 0.8 04'!$B$18:$B$200),'Бланк OLD 2.0 04 '!$B$16:$K$200,8,0)&gt;1,0.4,
IF(AND(VLOOKUP($A488-COUNT('Шаг2.Бланк заказа NEW'!$B$19:$B$201)-COUNT('Бланк OLD 0.8 04'!$B$18:$B$200),'Бланк OLD 2.0 04 '!$B$16:$K$200,7,0)&gt;0,VLOOKUP($A488-COUNT('Шаг2.Бланк заказа NEW'!$B$19:$B$201)-COUNT('Бланк OLD 0.8 04'!$B$18:$B$200),'Бланк OLD 2.0 04 '!$B$16:$K$200,8,0)&gt;0),0.4,""))))</f>
        <v/>
      </c>
      <c r="V488" s="146" t="str">
        <f ca="1">IFERROR(VLOOKUP(C488,'Шаг1.Выбор плиты'!C:S,12,0),"")</f>
        <v/>
      </c>
      <c r="W488" s="146" t="str">
        <f ca="1">IFERROR(VLOOKUP(C488,'Шаг1.Выбор плиты'!C:S,8,0),"")</f>
        <v/>
      </c>
      <c r="X488" s="146" t="str">
        <f ca="1">IFERROR(VLOOKUP(C488,'Шаг1.Выбор плиты'!C:S,10,0),"")</f>
        <v/>
      </c>
      <c r="Y488" s="147" t="str">
        <f t="shared" ca="1" si="46"/>
        <v/>
      </c>
      <c r="AD488" s="147" t="str">
        <f t="shared" ca="1" si="42"/>
        <v/>
      </c>
      <c r="AE488" s="147" t="str">
        <f t="shared" ca="1" si="47"/>
        <v/>
      </c>
      <c r="AF488" s="25"/>
      <c r="AH488" s="147" t="str">
        <f ca="1">IF(C488="","",VLOOKUP(C488,'Шаг1.Выбор плиты'!C:Q,7,0))</f>
        <v/>
      </c>
      <c r="AI488" s="147" t="str">
        <f t="shared" ca="1" si="45"/>
        <v/>
      </c>
    </row>
    <row r="489" spans="1:35" x14ac:dyDescent="0.2">
      <c r="A489" s="151" t="str">
        <f ca="1">IF(C489="","",MAX($A$1:OFFSET(C489,-1,0))+1)</f>
        <v/>
      </c>
      <c r="B489" s="151" t="str">
        <f ca="1">IFERROR(IFERROR(IFERROR("Шаг2.Бланк заказа NEW №"&amp;VLOOKUP(A488+1,CHOOSE({1,2},'Шаг2.Бланк заказа NEW'!$B$19:$B$201,'Шаг2.Бланк заказа NEW'!$A$19:$A$201),1,0),
"Бланк OLD 0.8 04 №"&amp;VLOOKUP(A488+1-COUNT('Шаг2.Бланк заказа NEW'!$B$19:$B$201),CHOOSE({1,2},'Бланк OLD 0.8 04'!$B$18:$B$200,'Бланк OLD 0.8 04'!$A$18:$A$200),1,0)),
"Бланк OLD 2.0 04 №"&amp;VLOOKUP(A488+1-COUNT('Шаг2.Бланк заказа NEW'!$B$19:$B$201)-COUNT('Бланк OLD 0.8 04'!$B$18:$B$200),CHOOSE({1,2},'Бланк OLD 2.0 04 '!$B$18:$B$200,'Бланк OLD 2.0 04 '!$A$18:$A$200),1,0)),"")</f>
        <v/>
      </c>
      <c r="C489" s="152" t="str">
        <f ca="1">IFERROR(IFERROR(IFERROR(VLOOKUP(A488+1,CHOOSE({1,2},'Шаг2.Бланк заказа NEW'!$B$19:$B$201,'Шаг2.Бланк заказа NEW'!$A$19:$A$201),2,0),
VLOOKUP(A488+1-COUNT('Шаг2.Бланк заказа NEW'!$B$19:$B$201),CHOOSE({1,2},'Бланк OLD 0.8 04'!$B$18:$B$200,'Бланк OLD 0.8 04'!$A$18:$A$200),2,0)),
VLOOKUP(A488+1-COUNT('Шаг2.Бланк заказа NEW'!$B$19:$B$201)-COUNT('Бланк OLD 0.8 04'!$B$18:$B$200),CHOOSE({1,2},'Бланк OLD 2.0 04 '!$B$18:$B$200,'Бланк OLD 2.0 04 '!$A$18:$A$200),2,0)),"")</f>
        <v/>
      </c>
      <c r="D489" s="150" t="str">
        <f ca="1">IFERROR(VLOOKUP(C489,'Шаг1.Выбор плиты'!C:G,5,0),"")</f>
        <v/>
      </c>
      <c r="E489" s="147" t="str">
        <f ca="1">IFERROR(IFERROR(IF(VLOOKUP($A489,'Шаг2.Бланк заказа NEW'!$B$17:$N$201,2,0)="","",VLOOKUP($A489,'Шаг2.Бланк заказа NEW'!$B$17:$N$201,2,0)),
IF(VLOOKUP($A489-COUNT('Шаг2.Бланк заказа NEW'!$B$19:$B$201),'Бланк OLD 0.8 04'!$B$12:$K$200,2,0)="","",VLOOKUP($A489-COUNT('Шаг2.Бланк заказа NEW'!$B$19:$B$201),'Бланк OLD 0.8 04'!$B$12:$K$200,2,0))),
IF(VLOOKUP($A489-COUNT('Шаг2.Бланк заказа NEW'!$B$19:$B$201)-COUNT('Бланк OLD 0.8 04'!$B$18:$B$200),'Бланк OLD 2.0 04 '!$B$16:$K$200,2,0)="","",VLOOKUP($A489-COUNT('Шаг2.Бланк заказа NEW'!$B$19:$B$201)-COUNT('Бланк OLD 0.8 04'!$B$18:$B$200),'Бланк OLD 2.0 04 '!$B$16:$K$200,2,0)))</f>
        <v/>
      </c>
      <c r="F489" s="147" t="str">
        <f ca="1">IFERROR(IFERROR(IF(VLOOKUP($A489,'Шаг2.Бланк заказа NEW'!$B$17:$N$201,3,0)="","",VLOOKUP($A489,'Шаг2.Бланк заказа NEW'!$B$17:$N$201,3,0)),
IF(VLOOKUP($A489-COUNT('Шаг2.Бланк заказа NEW'!$B$19:$B$201),'Бланк OLD 0.8 04'!$B$12:$K$200,3,0)="","",VLOOKUP($A489-COUNT('Шаг2.Бланк заказа NEW'!$B$19:$B$201),'Бланк OLD 0.8 04'!$B$12:$K$200,3,0))),
IF(VLOOKUP($A489-COUNT('Шаг2.Бланк заказа NEW'!$B$19:$B$201)-COUNT('Бланк OLD 0.8 04'!$B$18:$B$200),'Бланк OLD 2.0 04 '!$B$16:$K$200,3,0)="","",VLOOKUP($A489-COUNT('Шаг2.Бланк заказа NEW'!$B$19:$B$201)-COUNT('Бланк OLD 0.8 04'!$B$18:$B$200),'Бланк OLD 2.0 04 '!$B$16:$K$200,3,0)))</f>
        <v/>
      </c>
      <c r="G489" s="176" t="str">
        <f ca="1">IF(IF(R489="","",IF(R489=1,SUMIFS('Шаг1.Выбор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плиты'!C:Q,12,0)),1))))))=0,
R489,
IF(R489="","",IF(R489=1,SUMIFS('Шаг1.Выбор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плиты'!N:N,R489,'Шаг1.Выбор плиты'!M:M,SMALL(INDIRECT("мм"&amp;VLOOKUP(C489,'Шаг1.Выбор плиты'!C:Q,12,0)),1)))))))</f>
        <v/>
      </c>
      <c r="H489" s="177" t="str">
        <f ca="1">IF(IF(S489="","",IF(S489=1,SUMIFS('Шаг1.Выбор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плиты'!C:Q,12,0)),1))))))=0,
S489,
IF(S489="","",IF(S489=1,SUMIFS('Шаг1.Выбор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плиты'!N:N,S489,'Шаг1.Выбор плиты'!M:M,SMALL(INDIRECT("мм"&amp;VLOOKUP(C489,'Шаг1.Выбор плиты'!C:Q,12,0)),1)))))))</f>
        <v/>
      </c>
      <c r="I489" s="147" t="str">
        <f ca="1">IFERROR(IFERROR(IF(VLOOKUP($A489,'Шаг2.Бланк заказа NEW'!$B$17:$N$201,6,0)="","",VLOOKUP($A489,'Шаг2.Бланк заказа NEW'!$B$17:$N$201,6,0)),
IF(VLOOKUP($A489-COUNT('Шаг2.Бланк заказа NEW'!$B$19:$B$201),'Бланк OLD 0.8 04'!$B$12:$K$200,6,0)="","",VLOOKUP($A489-COUNT('Шаг2.Бланк заказа NEW'!$B$19:$B$201),'Бланк OLD 0.8 04'!$B$12:$K$200,6,0))),
IF(VLOOKUP($A489-COUNT('Шаг2.Бланк заказа NEW'!$B$19:$B$201)-COUNT('Бланк OLD 0.8 04'!$B$18:$B$200),'Бланк OLD 2.0 04 '!$B$16:$K$200,6,0)="","",VLOOKUP($A489-COUNT('Шаг2.Бланк заказа NEW'!$B$19:$B$201)-COUNT('Бланк OLD 0.8 04'!$B$18:$B$200),'Бланк OLD 2.0 04 '!$B$16:$K$200,6,0)))</f>
        <v/>
      </c>
      <c r="J489" s="177" t="str">
        <f ca="1">IF(IF(T489="","",IF(T489=1,SUMIFS('Шаг1.Выбор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плиты'!C:Q,12,0)),1))))))=0,
T489,
IF(T489="","",IF(T489=1,SUMIFS('Шаг1.Выбор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плиты'!N:N,T489,'Шаг1.Выбор плиты'!M:M,SMALL(INDIRECT("мм"&amp;VLOOKUP(C489,'Шаг1.Выбор плиты'!C:Q,12,0)),1)))))))</f>
        <v/>
      </c>
      <c r="K489" s="177" t="str">
        <f ca="1">IF(IF(U489="","",IF(U489=1,SUMIFS('Шаг1.Выбор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плиты'!C:Q,12,0)),1))))))=0,
U489,
IF(U489="","",IF(U489=1,SUMIFS('Шаг1.Выбор плиты'!$G:$G,'Шаг1.Выбор плиты'!J:J,"*"&amp;RIGHT(VLOOKUP(C489,'Шаг1.Выбор плиты'!C:Q,8,0),4),'Шаг1.Выбор плиты'!L:L,IF(MID(C489,1,6)="ЛДСП P","TM"&amp;MID(VLOOKUP(C489,'Шаг1.Выбор плиты'!C:Q,10,0),3,2),MID(VLOOKUP(C489,'Шаг1.Выбор плиты'!C:Q,10,0),1,2)),
'Шаг1.Выбор плиты'!N:N,1),IF(SUMIFS('Шаг1.Выбор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плиты'!C:Q,12,0)),1))=0,
IF(SUMIFS('Шаг1.Выбор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плиты'!C:Q,12,0)),2))=0,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плиты'!C:Q,12,0)),3)),
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плиты'!C:Q,12,0)),2))),
(SUMIFS('Шаг1.Выбор плиты'!$G:$G,'Шаг1.Выбор плиты'!J:J,"*"&amp;RIGHT(VLOOKUP(C489,'Шаг1.Выбор плиты'!C:Q,8,0),4),'Шаг1.Выбор плиты'!L:L,VLOOKUP(C489,'Шаг1.Выбор плиты'!C:Q,10,0),'Шаг1.Выбор плиты'!N:N,U489,'Шаг1.Выбор плиты'!M:M,SMALL(INDIRECT("мм"&amp;VLOOKUP(C489,'Шаг1.Выбор плиты'!C:Q,12,0)),1)))))))</f>
        <v/>
      </c>
      <c r="L489" s="147" t="str">
        <f ca="1">IFERROR(IFERROR(IF(VLOOKUP($A489,'Шаг2.Бланк заказа NEW'!$B$17:$N$201,9,0)="","",VLOOKUP($A489,'Шаг2.Бланк заказа NEW'!$B$17:$N$201,9,0)),
IF(VLOOKUP($A489-COUNT('Шаг2.Бланк заказа NEW'!$B$19:$B$201),'Бланк OLD 0.8 04'!$B$12:$K$200,9,0)="","",VLOOKUP($A489-COUNT('Шаг2.Бланк заказа NEW'!$B$19:$B$201),'Бланк OLD 0.8 04'!$B$12:$K$200,9,0))),
IF(VLOOKUP($A489-COUNT('Шаг2.Бланк заказа NEW'!$B$19:$B$201)-COUNT('Бланк OLD 0.8 04'!$B$18:$B$200),'Бланк OLD 2.0 04 '!$B$16:$K$200,9,0)="","",VLOOKUP($A489-COUNT('Шаг2.Бланк заказа NEW'!$B$19:$B$201)-COUNT('Бланк OLD 0.8 04'!$B$18:$B$200),'Бланк OLD 2.0 04 '!$B$16:$K$200,9,0)))</f>
        <v/>
      </c>
      <c r="M489" s="154" t="str">
        <f t="shared" ca="1" si="44"/>
        <v/>
      </c>
      <c r="N489" s="153" t="str">
        <f ca="1">IFERROR(IF(VLOOKUP($A489,'Шаг2.Бланк заказа NEW'!$B$17:$N$201,11,0)="","",VLOOKUP($A489,'Шаг2.Бланк заказа NEW'!$B$17:$N$201,11,0)),
"Нет")</f>
        <v/>
      </c>
      <c r="O489" s="147" t="str">
        <f ca="1">IFERROR(IF(VLOOKUP($A489,'Шаг2.Бланк заказа NEW'!$B$17:$N$201,11,0)="","",VLOOKUP($A489,'Шаг2.Бланк заказа NEW'!$B$17:$N$201,12,0)),
"Нет")</f>
        <v/>
      </c>
      <c r="P489" s="153" t="str">
        <f ca="1">IFERROR(IF(VLOOKUP($A489,'Шаг2.Бланк заказа NEW'!$B$17:$N$201,13,0)="","",VLOOKUP($A489,'Шаг2.Бланк заказа NEW'!$B$17:$N$201,13,0)),
"Нет")</f>
        <v/>
      </c>
      <c r="Q489" s="147" t="str">
        <f ca="1">IFERROR(IF(VLOOKUP($A489,'Шаг2.Бланк заказа NEW'!$B$17:$O$201,14,0)="","",VLOOKUP($A489,'Шаг2.Бланк заказа NEW'!$B$17:$O$201,14,0)),"")</f>
        <v/>
      </c>
      <c r="R489" s="147" t="str">
        <f ca="1">IFERROR(IFERROR(IF(VLOOKUP($A489,'Шаг2.Бланк заказа NEW'!$B$17:$N$201,4,0)="","",VLOOKUP($A489,'Шаг2.Бланк заказа NEW'!$B$17:$N$201,4,0)),
IF(VLOOKUP($A489-COUNT('Шаг2.Бланк заказа NEW'!$B$19:$B$201),'Бланк OLD 0.8 04'!$B$12:$K$200,4,0)&gt;0,0.8,
IF(VLOOKUP($A489-COUNT('Шаг2.Бланк заказа NEW'!$B$19:$B$201),'Бланк OLD 0.8 04'!$B$12:$K$200,5,0)&gt;0,0.4,""))),
IF(VLOOKUP($A489-COUNT('Шаг2.Бланк заказа NEW'!$B$19:$B$201)-COUNT('Бланк OLD 0.8 04'!$B$18:$B$200),'Бланк OLD 2.0 04 '!$B$16:$K$200,4,0)&gt;0,2,IF(VLOOKUP($A489-COUNT('Шаг2.Бланк заказа NEW'!$B$19:$B$201)-COUNT('Бланк OLD 0.8 04'!$B$18:$B$200),'Бланк OLD 2.0 04 '!$B$16:$K$200,5,0)&gt;0,0.4,"")))</f>
        <v/>
      </c>
      <c r="S489" s="147" t="str">
        <f ca="1">IFERROR(IFERROR(IF(VLOOKUP($A489,'Шаг2.Бланк заказа NEW'!$B$17:$N$201,5,0)="","",VLOOKUP($A489,'Шаг2.Бланк заказа NEW'!$B$17:$N$201,5,0)),
IF(VLOOKUP($A489-COUNT('Шаг2.Бланк заказа NEW'!$B$19:$B$201),'Бланк OLD 0.8 04'!$B$12:$K$200,4,0)&gt;1,0.8,
IF(VLOOKUP($A489-COUNT('Шаг2.Бланк заказа NEW'!$B$19:$B$201),'Бланк OLD 0.8 04'!$B$12:$K$200,5,0)&gt;1,0.4,
IF(AND(VLOOKUP($A489-COUNT('Шаг2.Бланк заказа NEW'!$B$19:$B$201),'Бланк OLD 0.8 04'!$B$12:$K$200,4,0)&gt;0,VLOOKUP($A489-COUNT('Шаг2.Бланк заказа NEW'!$B$19:$B$201),'Бланк OLD 0.8 04'!$B$12:$K$200,5,0)&gt;0),0.4,"")))),
IF(VLOOKUP($A489-COUNT('Шаг2.Бланк заказа NEW'!$B$19:$B$201)-COUNT('Бланк OLD 0.8 04'!$B$18:$B$200),'Бланк OLD 2.0 04 '!$B$16:$K$200,4,0)&gt;1,2,
IF(VLOOKUP($A489-COUNT('Шаг2.Бланк заказа NEW'!$B$19:$B$201)-COUNT('Бланк OLD 0.8 04'!$B$18:$B$200),'Бланк OLD 2.0 04 '!$B$16:$K$200,5,0)&gt;1,0.4,IF(AND(VLOOKUP($A489-COUNT('Шаг2.Бланк заказа NEW'!$B$19:$B$201)-COUNT('Бланк OLD 0.8 04'!$B$18:$B$200),'Бланк OLD 2.0 04 '!$B$16:$K$200,4,0)&gt;0,VLOOKUP($A489-COUNT('Шаг2.Бланк заказа NEW'!$B$19:$B$201)-COUNT('Бланк OLD 0.8 04'!$B$18:$B$200),'Бланк OLD 2.0 04 '!$B$16:$K$200,5,0)&gt;0),0.4,""))))</f>
        <v/>
      </c>
      <c r="T489" s="147" t="str">
        <f ca="1">IFERROR(IFERROR(IF(VLOOKUP($A489,'Шаг2.Бланк заказа NEW'!$B$17:$N$201,7,0)="","",VLOOKUP($A489,'Шаг2.Бланк заказа NEW'!$B$17:$N$201,7,0)),
IF(VLOOKUP($A489-COUNT('Шаг2.Бланк заказа NEW'!$B$19:$B$201),'Бланк OLD 0.8 04'!$B$12:$K$200,7,0)&gt;0,0.8,
IF(VLOOKUP($A489-COUNT('Шаг2.Бланк заказа NEW'!$B$19:$B$201),'Бланк OLD 0.8 04'!$B$12:$K$200,8,0)&gt;0,0.4,""))),
IF(VLOOKUP($A489-COUNT('Шаг2.Бланк заказа NEW'!$B$19:$B$201)-COUNT('Бланк OLD 0.8 04'!$B$18:$B$200),'Бланк OLD 2.0 04 '!$B$16:$K$200,7,0)&gt;0,2,IF(VLOOKUP($A489-COUNT('Шаг2.Бланк заказа NEW'!$B$19:$B$201)-COUNT('Бланк OLD 0.8 04'!$B$18:$B$200),'Бланк OLD 2.0 04 '!$B$16:$K$200,8,0)&gt;0,0.4,"")))</f>
        <v/>
      </c>
      <c r="U489" s="147" t="str">
        <f ca="1">IFERROR(IFERROR(IF(VLOOKUP($A489,'Шаг2.Бланк заказа NEW'!$B$17:$N$201,8,0)="","",VLOOKUP($A489,'Шаг2.Бланк заказа NEW'!$B$17:$N$201,8,0)),
IF(VLOOKUP($A489-COUNT('Шаг2.Бланк заказа NEW'!$B$19:$B$201),'Бланк OLD 0.8 04'!$B$12:$K$200,7,0)&gt;1,0.8,
IF(VLOOKUP($A489-COUNT('Шаг2.Бланк заказа NEW'!$B$19:$B$201),'Бланк OLD 0.8 04'!$B$12:$K$200,8,0)&gt;1,0.4,
IF(AND(VLOOKUP($A489-COUNT('Шаг2.Бланк заказа NEW'!$B$19:$B$201),'Бланк OLD 0.8 04'!$B$12:$K$200,7,0)&gt;0,VLOOKUP($A489-COUNT('Шаг2.Бланк заказа NEW'!$B$19:$B$201),'Бланк OLD 0.8 04'!$B$12:$K$200,8,0)&gt;0),0.4,"")))),
IF(VLOOKUP($A489-COUNT('Шаг2.Бланк заказа NEW'!$B$19:$B$201)-COUNT('Бланк OLD 0.8 04'!$B$18:$B$200),'Бланк OLD 2.0 04 '!$B$16:$K$200,7,0)&gt;1,2,
IF(VLOOKUP($A489-COUNT('Шаг2.Бланк заказа NEW'!$B$19:$B$201)-COUNT('Бланк OLD 0.8 04'!$B$18:$B$200),'Бланк OLD 2.0 04 '!$B$16:$K$200,8,0)&gt;1,0.4,
IF(AND(VLOOKUP($A489-COUNT('Шаг2.Бланк заказа NEW'!$B$19:$B$201)-COUNT('Бланк OLD 0.8 04'!$B$18:$B$200),'Бланк OLD 2.0 04 '!$B$16:$K$200,7,0)&gt;0,VLOOKUP($A489-COUNT('Шаг2.Бланк заказа NEW'!$B$19:$B$201)-COUNT('Бланк OLD 0.8 04'!$B$18:$B$200),'Бланк OLD 2.0 04 '!$B$16:$K$200,8,0)&gt;0),0.4,""))))</f>
        <v/>
      </c>
      <c r="V489" s="146" t="str">
        <f ca="1">IFERROR(VLOOKUP(C489,'Шаг1.Выбор плиты'!C:S,12,0),"")</f>
        <v/>
      </c>
      <c r="W489" s="146" t="str">
        <f ca="1">IFERROR(VLOOKUP(C489,'Шаг1.Выбор плиты'!C:S,8,0),"")</f>
        <v/>
      </c>
      <c r="X489" s="146" t="str">
        <f ca="1">IFERROR(VLOOKUP(C489,'Шаг1.Выбор плиты'!C:S,10,0),"")</f>
        <v/>
      </c>
      <c r="Y489" s="147" t="str">
        <f t="shared" ca="1" si="46"/>
        <v/>
      </c>
      <c r="AD489" s="147" t="str">
        <f t="shared" ca="1" si="42"/>
        <v/>
      </c>
      <c r="AE489" s="147" t="str">
        <f t="shared" ca="1" si="47"/>
        <v/>
      </c>
      <c r="AF489" s="25"/>
      <c r="AH489" s="147" t="str">
        <f ca="1">IF(C489="","",VLOOKUP(C489,'Шаг1.Выбор плиты'!C:Q,7,0))</f>
        <v/>
      </c>
      <c r="AI489" s="147" t="str">
        <f t="shared" ca="1" si="45"/>
        <v/>
      </c>
    </row>
    <row r="490" spans="1:35" x14ac:dyDescent="0.2">
      <c r="A490" s="151" t="str">
        <f ca="1">IF(C490="","",MAX($A$1:OFFSET(C490,-1,0))+1)</f>
        <v/>
      </c>
      <c r="B490" s="151" t="str">
        <f ca="1">IFERROR(IFERROR(IFERROR("Шаг2.Бланк заказа NEW №"&amp;VLOOKUP(A489+1,CHOOSE({1,2},'Шаг2.Бланк заказа NEW'!$B$19:$B$201,'Шаг2.Бланк заказа NEW'!$A$19:$A$201),1,0),
"Бланк OLD 0.8 04 №"&amp;VLOOKUP(A489+1-COUNT('Шаг2.Бланк заказа NEW'!$B$19:$B$201),CHOOSE({1,2},'Бланк OLD 0.8 04'!$B$18:$B$200,'Бланк OLD 0.8 04'!$A$18:$A$200),1,0)),
"Бланк OLD 2.0 04 №"&amp;VLOOKUP(A489+1-COUNT('Шаг2.Бланк заказа NEW'!$B$19:$B$201)-COUNT('Бланк OLD 0.8 04'!$B$18:$B$200),CHOOSE({1,2},'Бланк OLD 2.0 04 '!$B$18:$B$200,'Бланк OLD 2.0 04 '!$A$18:$A$200),1,0)),"")</f>
        <v/>
      </c>
      <c r="C490" s="152" t="str">
        <f ca="1">IFERROR(IFERROR(IFERROR(VLOOKUP(A489+1,CHOOSE({1,2},'Шаг2.Бланк заказа NEW'!$B$19:$B$201,'Шаг2.Бланк заказа NEW'!$A$19:$A$201),2,0),
VLOOKUP(A489+1-COUNT('Шаг2.Бланк заказа NEW'!$B$19:$B$201),CHOOSE({1,2},'Бланк OLD 0.8 04'!$B$18:$B$200,'Бланк OLD 0.8 04'!$A$18:$A$200),2,0)),
VLOOKUP(A489+1-COUNT('Шаг2.Бланк заказа NEW'!$B$19:$B$201)-COUNT('Бланк OLD 0.8 04'!$B$18:$B$200),CHOOSE({1,2},'Бланк OLD 2.0 04 '!$B$18:$B$200,'Бланк OLD 2.0 04 '!$A$18:$A$200),2,0)),"")</f>
        <v/>
      </c>
      <c r="D490" s="150" t="str">
        <f ca="1">IFERROR(VLOOKUP(C490,'Шаг1.Выбор плиты'!C:G,5,0),"")</f>
        <v/>
      </c>
      <c r="E490" s="147" t="str">
        <f ca="1">IFERROR(IFERROR(IF(VLOOKUP($A490,'Шаг2.Бланк заказа NEW'!$B$17:$N$201,2,0)="","",VLOOKUP($A490,'Шаг2.Бланк заказа NEW'!$B$17:$N$201,2,0)),
IF(VLOOKUP($A490-COUNT('Шаг2.Бланк заказа NEW'!$B$19:$B$201),'Бланк OLD 0.8 04'!$B$12:$K$200,2,0)="","",VLOOKUP($A490-COUNT('Шаг2.Бланк заказа NEW'!$B$19:$B$201),'Бланк OLD 0.8 04'!$B$12:$K$200,2,0))),
IF(VLOOKUP($A490-COUNT('Шаг2.Бланк заказа NEW'!$B$19:$B$201)-COUNT('Бланк OLD 0.8 04'!$B$18:$B$200),'Бланк OLD 2.0 04 '!$B$16:$K$200,2,0)="","",VLOOKUP($A490-COUNT('Шаг2.Бланк заказа NEW'!$B$19:$B$201)-COUNT('Бланк OLD 0.8 04'!$B$18:$B$200),'Бланк OLD 2.0 04 '!$B$16:$K$200,2,0)))</f>
        <v/>
      </c>
      <c r="F490" s="147" t="str">
        <f ca="1">IFERROR(IFERROR(IF(VLOOKUP($A490,'Шаг2.Бланк заказа NEW'!$B$17:$N$201,3,0)="","",VLOOKUP($A490,'Шаг2.Бланк заказа NEW'!$B$17:$N$201,3,0)),
IF(VLOOKUP($A490-COUNT('Шаг2.Бланк заказа NEW'!$B$19:$B$201),'Бланк OLD 0.8 04'!$B$12:$K$200,3,0)="","",VLOOKUP($A490-COUNT('Шаг2.Бланк заказа NEW'!$B$19:$B$201),'Бланк OLD 0.8 04'!$B$12:$K$200,3,0))),
IF(VLOOKUP($A490-COUNT('Шаг2.Бланк заказа NEW'!$B$19:$B$201)-COUNT('Бланк OLD 0.8 04'!$B$18:$B$200),'Бланк OLD 2.0 04 '!$B$16:$K$200,3,0)="","",VLOOKUP($A490-COUNT('Шаг2.Бланк заказа NEW'!$B$19:$B$201)-COUNT('Бланк OLD 0.8 04'!$B$18:$B$200),'Бланк OLD 2.0 04 '!$B$16:$K$200,3,0)))</f>
        <v/>
      </c>
      <c r="G490" s="176" t="str">
        <f ca="1">IF(IF(R490="","",IF(R490=1,SUMIFS('Шаг1.Выбор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плиты'!C:Q,12,0)),1))))))=0,
R490,
IF(R490="","",IF(R490=1,SUMIFS('Шаг1.Выбор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плиты'!N:N,R490,'Шаг1.Выбор плиты'!M:M,SMALL(INDIRECT("мм"&amp;VLOOKUP(C490,'Шаг1.Выбор плиты'!C:Q,12,0)),1)))))))</f>
        <v/>
      </c>
      <c r="H490" s="177" t="str">
        <f ca="1">IF(IF(S490="","",IF(S490=1,SUMIFS('Шаг1.Выбор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плиты'!C:Q,12,0)),1))))))=0,
S490,
IF(S490="","",IF(S490=1,SUMIFS('Шаг1.Выбор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плиты'!N:N,S490,'Шаг1.Выбор плиты'!M:M,SMALL(INDIRECT("мм"&amp;VLOOKUP(C490,'Шаг1.Выбор плиты'!C:Q,12,0)),1)))))))</f>
        <v/>
      </c>
      <c r="I490" s="147" t="str">
        <f ca="1">IFERROR(IFERROR(IF(VLOOKUP($A490,'Шаг2.Бланк заказа NEW'!$B$17:$N$201,6,0)="","",VLOOKUP($A490,'Шаг2.Бланк заказа NEW'!$B$17:$N$201,6,0)),
IF(VLOOKUP($A490-COUNT('Шаг2.Бланк заказа NEW'!$B$19:$B$201),'Бланк OLD 0.8 04'!$B$12:$K$200,6,0)="","",VLOOKUP($A490-COUNT('Шаг2.Бланк заказа NEW'!$B$19:$B$201),'Бланк OLD 0.8 04'!$B$12:$K$200,6,0))),
IF(VLOOKUP($A490-COUNT('Шаг2.Бланк заказа NEW'!$B$19:$B$201)-COUNT('Бланк OLD 0.8 04'!$B$18:$B$200),'Бланк OLD 2.0 04 '!$B$16:$K$200,6,0)="","",VLOOKUP($A490-COUNT('Шаг2.Бланк заказа NEW'!$B$19:$B$201)-COUNT('Бланк OLD 0.8 04'!$B$18:$B$200),'Бланк OLD 2.0 04 '!$B$16:$K$200,6,0)))</f>
        <v/>
      </c>
      <c r="J490" s="177" t="str">
        <f ca="1">IF(IF(T490="","",IF(T490=1,SUMIFS('Шаг1.Выбор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плиты'!C:Q,12,0)),1))))))=0,
T490,
IF(T490="","",IF(T490=1,SUMIFS('Шаг1.Выбор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плиты'!N:N,T490,'Шаг1.Выбор плиты'!M:M,SMALL(INDIRECT("мм"&amp;VLOOKUP(C490,'Шаг1.Выбор плиты'!C:Q,12,0)),1)))))))</f>
        <v/>
      </c>
      <c r="K490" s="177" t="str">
        <f ca="1">IF(IF(U490="","",IF(U490=1,SUMIFS('Шаг1.Выбор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плиты'!C:Q,12,0)),1))))))=0,
U490,
IF(U490="","",IF(U490=1,SUMIFS('Шаг1.Выбор плиты'!$G:$G,'Шаг1.Выбор плиты'!J:J,"*"&amp;RIGHT(VLOOKUP(C490,'Шаг1.Выбор плиты'!C:Q,8,0),4),'Шаг1.Выбор плиты'!L:L,IF(MID(C490,1,6)="ЛДСП P","TM"&amp;MID(VLOOKUP(C490,'Шаг1.Выбор плиты'!C:Q,10,0),3,2),MID(VLOOKUP(C490,'Шаг1.Выбор плиты'!C:Q,10,0),1,2)),
'Шаг1.Выбор плиты'!N:N,1),IF(SUMIFS('Шаг1.Выбор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плиты'!C:Q,12,0)),1))=0,
IF(SUMIFS('Шаг1.Выбор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плиты'!C:Q,12,0)),2))=0,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плиты'!C:Q,12,0)),3)),
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плиты'!C:Q,12,0)),2))),
(SUMIFS('Шаг1.Выбор плиты'!$G:$G,'Шаг1.Выбор плиты'!J:J,"*"&amp;RIGHT(VLOOKUP(C490,'Шаг1.Выбор плиты'!C:Q,8,0),4),'Шаг1.Выбор плиты'!L:L,VLOOKUP(C490,'Шаг1.Выбор плиты'!C:Q,10,0),'Шаг1.Выбор плиты'!N:N,U490,'Шаг1.Выбор плиты'!M:M,SMALL(INDIRECT("мм"&amp;VLOOKUP(C490,'Шаг1.Выбор плиты'!C:Q,12,0)),1)))))))</f>
        <v/>
      </c>
      <c r="L490" s="147" t="str">
        <f ca="1">IFERROR(IFERROR(IF(VLOOKUP($A490,'Шаг2.Бланк заказа NEW'!$B$17:$N$201,9,0)="","",VLOOKUP($A490,'Шаг2.Бланк заказа NEW'!$B$17:$N$201,9,0)),
IF(VLOOKUP($A490-COUNT('Шаг2.Бланк заказа NEW'!$B$19:$B$201),'Бланк OLD 0.8 04'!$B$12:$K$200,9,0)="","",VLOOKUP($A490-COUNT('Шаг2.Бланк заказа NEW'!$B$19:$B$201),'Бланк OLD 0.8 04'!$B$12:$K$200,9,0))),
IF(VLOOKUP($A490-COUNT('Шаг2.Бланк заказа NEW'!$B$19:$B$201)-COUNT('Бланк OLD 0.8 04'!$B$18:$B$200),'Бланк OLD 2.0 04 '!$B$16:$K$200,9,0)="","",VLOOKUP($A490-COUNT('Шаг2.Бланк заказа NEW'!$B$19:$B$201)-COUNT('Бланк OLD 0.8 04'!$B$18:$B$200),'Бланк OLD 2.0 04 '!$B$16:$K$200,9,0)))</f>
        <v/>
      </c>
      <c r="M490" s="154" t="str">
        <f t="shared" ca="1" si="44"/>
        <v/>
      </c>
      <c r="N490" s="153" t="str">
        <f ca="1">IFERROR(IF(VLOOKUP($A490,'Шаг2.Бланк заказа NEW'!$B$17:$N$201,11,0)="","",VLOOKUP($A490,'Шаг2.Бланк заказа NEW'!$B$17:$N$201,11,0)),
"Нет")</f>
        <v/>
      </c>
      <c r="O490" s="147" t="str">
        <f ca="1">IFERROR(IF(VLOOKUP($A490,'Шаг2.Бланк заказа NEW'!$B$17:$N$201,11,0)="","",VLOOKUP($A490,'Шаг2.Бланк заказа NEW'!$B$17:$N$201,12,0)),
"Нет")</f>
        <v/>
      </c>
      <c r="P490" s="153" t="str">
        <f ca="1">IFERROR(IF(VLOOKUP($A490,'Шаг2.Бланк заказа NEW'!$B$17:$N$201,13,0)="","",VLOOKUP($A490,'Шаг2.Бланк заказа NEW'!$B$17:$N$201,13,0)),
"Нет")</f>
        <v/>
      </c>
      <c r="Q490" s="147" t="str">
        <f ca="1">IFERROR(IF(VLOOKUP($A490,'Шаг2.Бланк заказа NEW'!$B$17:$O$201,14,0)="","",VLOOKUP($A490,'Шаг2.Бланк заказа NEW'!$B$17:$O$201,14,0)),"")</f>
        <v/>
      </c>
      <c r="R490" s="147" t="str">
        <f ca="1">IFERROR(IFERROR(IF(VLOOKUP($A490,'Шаг2.Бланк заказа NEW'!$B$17:$N$201,4,0)="","",VLOOKUP($A490,'Шаг2.Бланк заказа NEW'!$B$17:$N$201,4,0)),
IF(VLOOKUP($A490-COUNT('Шаг2.Бланк заказа NEW'!$B$19:$B$201),'Бланк OLD 0.8 04'!$B$12:$K$200,4,0)&gt;0,0.8,
IF(VLOOKUP($A490-COUNT('Шаг2.Бланк заказа NEW'!$B$19:$B$201),'Бланк OLD 0.8 04'!$B$12:$K$200,5,0)&gt;0,0.4,""))),
IF(VLOOKUP($A490-COUNT('Шаг2.Бланк заказа NEW'!$B$19:$B$201)-COUNT('Бланк OLD 0.8 04'!$B$18:$B$200),'Бланк OLD 2.0 04 '!$B$16:$K$200,4,0)&gt;0,2,IF(VLOOKUP($A490-COUNT('Шаг2.Бланк заказа NEW'!$B$19:$B$201)-COUNT('Бланк OLD 0.8 04'!$B$18:$B$200),'Бланк OLD 2.0 04 '!$B$16:$K$200,5,0)&gt;0,0.4,"")))</f>
        <v/>
      </c>
      <c r="S490" s="147" t="str">
        <f ca="1">IFERROR(IFERROR(IF(VLOOKUP($A490,'Шаг2.Бланк заказа NEW'!$B$17:$N$201,5,0)="","",VLOOKUP($A490,'Шаг2.Бланк заказа NEW'!$B$17:$N$201,5,0)),
IF(VLOOKUP($A490-COUNT('Шаг2.Бланк заказа NEW'!$B$19:$B$201),'Бланк OLD 0.8 04'!$B$12:$K$200,4,0)&gt;1,0.8,
IF(VLOOKUP($A490-COUNT('Шаг2.Бланк заказа NEW'!$B$19:$B$201),'Бланк OLD 0.8 04'!$B$12:$K$200,5,0)&gt;1,0.4,
IF(AND(VLOOKUP($A490-COUNT('Шаг2.Бланк заказа NEW'!$B$19:$B$201),'Бланк OLD 0.8 04'!$B$12:$K$200,4,0)&gt;0,VLOOKUP($A490-COUNT('Шаг2.Бланк заказа NEW'!$B$19:$B$201),'Бланк OLD 0.8 04'!$B$12:$K$200,5,0)&gt;0),0.4,"")))),
IF(VLOOKUP($A490-COUNT('Шаг2.Бланк заказа NEW'!$B$19:$B$201)-COUNT('Бланк OLD 0.8 04'!$B$18:$B$200),'Бланк OLD 2.0 04 '!$B$16:$K$200,4,0)&gt;1,2,
IF(VLOOKUP($A490-COUNT('Шаг2.Бланк заказа NEW'!$B$19:$B$201)-COUNT('Бланк OLD 0.8 04'!$B$18:$B$200),'Бланк OLD 2.0 04 '!$B$16:$K$200,5,0)&gt;1,0.4,IF(AND(VLOOKUP($A490-COUNT('Шаг2.Бланк заказа NEW'!$B$19:$B$201)-COUNT('Бланк OLD 0.8 04'!$B$18:$B$200),'Бланк OLD 2.0 04 '!$B$16:$K$200,4,0)&gt;0,VLOOKUP($A490-COUNT('Шаг2.Бланк заказа NEW'!$B$19:$B$201)-COUNT('Бланк OLD 0.8 04'!$B$18:$B$200),'Бланк OLD 2.0 04 '!$B$16:$K$200,5,0)&gt;0),0.4,""))))</f>
        <v/>
      </c>
      <c r="T490" s="147" t="str">
        <f ca="1">IFERROR(IFERROR(IF(VLOOKUP($A490,'Шаг2.Бланк заказа NEW'!$B$17:$N$201,7,0)="","",VLOOKUP($A490,'Шаг2.Бланк заказа NEW'!$B$17:$N$201,7,0)),
IF(VLOOKUP($A490-COUNT('Шаг2.Бланк заказа NEW'!$B$19:$B$201),'Бланк OLD 0.8 04'!$B$12:$K$200,7,0)&gt;0,0.8,
IF(VLOOKUP($A490-COUNT('Шаг2.Бланк заказа NEW'!$B$19:$B$201),'Бланк OLD 0.8 04'!$B$12:$K$200,8,0)&gt;0,0.4,""))),
IF(VLOOKUP($A490-COUNT('Шаг2.Бланк заказа NEW'!$B$19:$B$201)-COUNT('Бланк OLD 0.8 04'!$B$18:$B$200),'Бланк OLD 2.0 04 '!$B$16:$K$200,7,0)&gt;0,2,IF(VLOOKUP($A490-COUNT('Шаг2.Бланк заказа NEW'!$B$19:$B$201)-COUNT('Бланк OLD 0.8 04'!$B$18:$B$200),'Бланк OLD 2.0 04 '!$B$16:$K$200,8,0)&gt;0,0.4,"")))</f>
        <v/>
      </c>
      <c r="U490" s="147" t="str">
        <f ca="1">IFERROR(IFERROR(IF(VLOOKUP($A490,'Шаг2.Бланк заказа NEW'!$B$17:$N$201,8,0)="","",VLOOKUP($A490,'Шаг2.Бланк заказа NEW'!$B$17:$N$201,8,0)),
IF(VLOOKUP($A490-COUNT('Шаг2.Бланк заказа NEW'!$B$19:$B$201),'Бланк OLD 0.8 04'!$B$12:$K$200,7,0)&gt;1,0.8,
IF(VLOOKUP($A490-COUNT('Шаг2.Бланк заказа NEW'!$B$19:$B$201),'Бланк OLD 0.8 04'!$B$12:$K$200,8,0)&gt;1,0.4,
IF(AND(VLOOKUP($A490-COUNT('Шаг2.Бланк заказа NEW'!$B$19:$B$201),'Бланк OLD 0.8 04'!$B$12:$K$200,7,0)&gt;0,VLOOKUP($A490-COUNT('Шаг2.Бланк заказа NEW'!$B$19:$B$201),'Бланк OLD 0.8 04'!$B$12:$K$200,8,0)&gt;0),0.4,"")))),
IF(VLOOKUP($A490-COUNT('Шаг2.Бланк заказа NEW'!$B$19:$B$201)-COUNT('Бланк OLD 0.8 04'!$B$18:$B$200),'Бланк OLD 2.0 04 '!$B$16:$K$200,7,0)&gt;1,2,
IF(VLOOKUP($A490-COUNT('Шаг2.Бланк заказа NEW'!$B$19:$B$201)-COUNT('Бланк OLD 0.8 04'!$B$18:$B$200),'Бланк OLD 2.0 04 '!$B$16:$K$200,8,0)&gt;1,0.4,
IF(AND(VLOOKUP($A490-COUNT('Шаг2.Бланк заказа NEW'!$B$19:$B$201)-COUNT('Бланк OLD 0.8 04'!$B$18:$B$200),'Бланк OLD 2.0 04 '!$B$16:$K$200,7,0)&gt;0,VLOOKUP($A490-COUNT('Шаг2.Бланк заказа NEW'!$B$19:$B$201)-COUNT('Бланк OLD 0.8 04'!$B$18:$B$200),'Бланк OLD 2.0 04 '!$B$16:$K$200,8,0)&gt;0),0.4,""))))</f>
        <v/>
      </c>
      <c r="V490" s="146" t="str">
        <f ca="1">IFERROR(VLOOKUP(C490,'Шаг1.Выбор плиты'!C:S,12,0),"")</f>
        <v/>
      </c>
      <c r="W490" s="146" t="str">
        <f ca="1">IFERROR(VLOOKUP(C490,'Шаг1.Выбор плиты'!C:S,8,0),"")</f>
        <v/>
      </c>
      <c r="X490" s="146" t="str">
        <f ca="1">IFERROR(VLOOKUP(C490,'Шаг1.Выбор плиты'!C:S,10,0),"")</f>
        <v/>
      </c>
      <c r="Y490" s="147" t="str">
        <f t="shared" ca="1" si="46"/>
        <v/>
      </c>
      <c r="AD490" s="147" t="str">
        <f t="shared" ca="1" si="42"/>
        <v/>
      </c>
      <c r="AE490" s="147" t="str">
        <f t="shared" ca="1" si="47"/>
        <v/>
      </c>
      <c r="AF490" s="25"/>
      <c r="AH490" s="147" t="str">
        <f ca="1">IF(C490="","",VLOOKUP(C490,'Шаг1.Выбор плиты'!C:Q,7,0))</f>
        <v/>
      </c>
      <c r="AI490" s="147" t="str">
        <f t="shared" ca="1" si="45"/>
        <v/>
      </c>
    </row>
    <row r="491" spans="1:35" x14ac:dyDescent="0.2">
      <c r="A491" s="151" t="str">
        <f ca="1">IF(C491="","",MAX($A$1:OFFSET(C491,-1,0))+1)</f>
        <v/>
      </c>
      <c r="B491" s="151" t="str">
        <f ca="1">IFERROR(IFERROR(IFERROR("Шаг2.Бланк заказа NEW №"&amp;VLOOKUP(A490+1,CHOOSE({1,2},'Шаг2.Бланк заказа NEW'!$B$19:$B$201,'Шаг2.Бланк заказа NEW'!$A$19:$A$201),1,0),
"Бланк OLD 0.8 04 №"&amp;VLOOKUP(A490+1-COUNT('Шаг2.Бланк заказа NEW'!$B$19:$B$201),CHOOSE({1,2},'Бланк OLD 0.8 04'!$B$18:$B$200,'Бланк OLD 0.8 04'!$A$18:$A$200),1,0)),
"Бланк OLD 2.0 04 №"&amp;VLOOKUP(A490+1-COUNT('Шаг2.Бланк заказа NEW'!$B$19:$B$201)-COUNT('Бланк OLD 0.8 04'!$B$18:$B$200),CHOOSE({1,2},'Бланк OLD 2.0 04 '!$B$18:$B$200,'Бланк OLD 2.0 04 '!$A$18:$A$200),1,0)),"")</f>
        <v/>
      </c>
      <c r="C491" s="152" t="str">
        <f ca="1">IFERROR(IFERROR(IFERROR(VLOOKUP(A490+1,CHOOSE({1,2},'Шаг2.Бланк заказа NEW'!$B$19:$B$201,'Шаг2.Бланк заказа NEW'!$A$19:$A$201),2,0),
VLOOKUP(A490+1-COUNT('Шаг2.Бланк заказа NEW'!$B$19:$B$201),CHOOSE({1,2},'Бланк OLD 0.8 04'!$B$18:$B$200,'Бланк OLD 0.8 04'!$A$18:$A$200),2,0)),
VLOOKUP(A490+1-COUNT('Шаг2.Бланк заказа NEW'!$B$19:$B$201)-COUNT('Бланк OLD 0.8 04'!$B$18:$B$200),CHOOSE({1,2},'Бланк OLD 2.0 04 '!$B$18:$B$200,'Бланк OLD 2.0 04 '!$A$18:$A$200),2,0)),"")</f>
        <v/>
      </c>
      <c r="D491" s="150" t="str">
        <f ca="1">IFERROR(VLOOKUP(C491,'Шаг1.Выбор плиты'!C:G,5,0),"")</f>
        <v/>
      </c>
      <c r="E491" s="147" t="str">
        <f ca="1">IFERROR(IFERROR(IF(VLOOKUP($A491,'Шаг2.Бланк заказа NEW'!$B$17:$N$201,2,0)="","",VLOOKUP($A491,'Шаг2.Бланк заказа NEW'!$B$17:$N$201,2,0)),
IF(VLOOKUP($A491-COUNT('Шаг2.Бланк заказа NEW'!$B$19:$B$201),'Бланк OLD 0.8 04'!$B$12:$K$200,2,0)="","",VLOOKUP($A491-COUNT('Шаг2.Бланк заказа NEW'!$B$19:$B$201),'Бланк OLD 0.8 04'!$B$12:$K$200,2,0))),
IF(VLOOKUP($A491-COUNT('Шаг2.Бланк заказа NEW'!$B$19:$B$201)-COUNT('Бланк OLD 0.8 04'!$B$18:$B$200),'Бланк OLD 2.0 04 '!$B$16:$K$200,2,0)="","",VLOOKUP($A491-COUNT('Шаг2.Бланк заказа NEW'!$B$19:$B$201)-COUNT('Бланк OLD 0.8 04'!$B$18:$B$200),'Бланк OLD 2.0 04 '!$B$16:$K$200,2,0)))</f>
        <v/>
      </c>
      <c r="F491" s="147" t="str">
        <f ca="1">IFERROR(IFERROR(IF(VLOOKUP($A491,'Шаг2.Бланк заказа NEW'!$B$17:$N$201,3,0)="","",VLOOKUP($A491,'Шаг2.Бланк заказа NEW'!$B$17:$N$201,3,0)),
IF(VLOOKUP($A491-COUNT('Шаг2.Бланк заказа NEW'!$B$19:$B$201),'Бланк OLD 0.8 04'!$B$12:$K$200,3,0)="","",VLOOKUP($A491-COUNT('Шаг2.Бланк заказа NEW'!$B$19:$B$201),'Бланк OLD 0.8 04'!$B$12:$K$200,3,0))),
IF(VLOOKUP($A491-COUNT('Шаг2.Бланк заказа NEW'!$B$19:$B$201)-COUNT('Бланк OLD 0.8 04'!$B$18:$B$200),'Бланк OLD 2.0 04 '!$B$16:$K$200,3,0)="","",VLOOKUP($A491-COUNT('Шаг2.Бланк заказа NEW'!$B$19:$B$201)-COUNT('Бланк OLD 0.8 04'!$B$18:$B$200),'Бланк OLD 2.0 04 '!$B$16:$K$200,3,0)))</f>
        <v/>
      </c>
      <c r="G491" s="176" t="str">
        <f ca="1">IF(IF(R491="","",IF(R491=1,SUMIFS('Шаг1.Выбор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плиты'!C:Q,12,0)),1))))))=0,
R491,
IF(R491="","",IF(R491=1,SUMIFS('Шаг1.Выбор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плиты'!N:N,R491,'Шаг1.Выбор плиты'!M:M,SMALL(INDIRECT("мм"&amp;VLOOKUP(C491,'Шаг1.Выбор плиты'!C:Q,12,0)),1)))))))</f>
        <v/>
      </c>
      <c r="H491" s="177" t="str">
        <f ca="1">IF(IF(S491="","",IF(S491=1,SUMIFS('Шаг1.Выбор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плиты'!C:Q,12,0)),1))))))=0,
S491,
IF(S491="","",IF(S491=1,SUMIFS('Шаг1.Выбор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плиты'!N:N,S491,'Шаг1.Выбор плиты'!M:M,SMALL(INDIRECT("мм"&amp;VLOOKUP(C491,'Шаг1.Выбор плиты'!C:Q,12,0)),1)))))))</f>
        <v/>
      </c>
      <c r="I491" s="147" t="str">
        <f ca="1">IFERROR(IFERROR(IF(VLOOKUP($A491,'Шаг2.Бланк заказа NEW'!$B$17:$N$201,6,0)="","",VLOOKUP($A491,'Шаг2.Бланк заказа NEW'!$B$17:$N$201,6,0)),
IF(VLOOKUP($A491-COUNT('Шаг2.Бланк заказа NEW'!$B$19:$B$201),'Бланк OLD 0.8 04'!$B$12:$K$200,6,0)="","",VLOOKUP($A491-COUNT('Шаг2.Бланк заказа NEW'!$B$19:$B$201),'Бланк OLD 0.8 04'!$B$12:$K$200,6,0))),
IF(VLOOKUP($A491-COUNT('Шаг2.Бланк заказа NEW'!$B$19:$B$201)-COUNT('Бланк OLD 0.8 04'!$B$18:$B$200),'Бланк OLD 2.0 04 '!$B$16:$K$200,6,0)="","",VLOOKUP($A491-COUNT('Шаг2.Бланк заказа NEW'!$B$19:$B$201)-COUNT('Бланк OLD 0.8 04'!$B$18:$B$200),'Бланк OLD 2.0 04 '!$B$16:$K$200,6,0)))</f>
        <v/>
      </c>
      <c r="J491" s="177" t="str">
        <f ca="1">IF(IF(T491="","",IF(T491=1,SUMIFS('Шаг1.Выбор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плиты'!C:Q,12,0)),1))))))=0,
T491,
IF(T491="","",IF(T491=1,SUMIFS('Шаг1.Выбор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плиты'!N:N,T491,'Шаг1.Выбор плиты'!M:M,SMALL(INDIRECT("мм"&amp;VLOOKUP(C491,'Шаг1.Выбор плиты'!C:Q,12,0)),1)))))))</f>
        <v/>
      </c>
      <c r="K491" s="177" t="str">
        <f ca="1">IF(IF(U491="","",IF(U491=1,SUMIFS('Шаг1.Выбор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плиты'!C:Q,12,0)),1))))))=0,
U491,
IF(U491="","",IF(U491=1,SUMIFS('Шаг1.Выбор плиты'!$G:$G,'Шаг1.Выбор плиты'!J:J,"*"&amp;RIGHT(VLOOKUP(C491,'Шаг1.Выбор плиты'!C:Q,8,0),4),'Шаг1.Выбор плиты'!L:L,IF(MID(C491,1,6)="ЛДСП P","TM"&amp;MID(VLOOKUP(C491,'Шаг1.Выбор плиты'!C:Q,10,0),3,2),MID(VLOOKUP(C491,'Шаг1.Выбор плиты'!C:Q,10,0),1,2)),
'Шаг1.Выбор плиты'!N:N,1),IF(SUMIFS('Шаг1.Выбор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плиты'!C:Q,12,0)),1))=0,
IF(SUMIFS('Шаг1.Выбор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плиты'!C:Q,12,0)),2))=0,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плиты'!C:Q,12,0)),3)),
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плиты'!C:Q,12,0)),2))),
(SUMIFS('Шаг1.Выбор плиты'!$G:$G,'Шаг1.Выбор плиты'!J:J,"*"&amp;RIGHT(VLOOKUP(C491,'Шаг1.Выбор плиты'!C:Q,8,0),4),'Шаг1.Выбор плиты'!L:L,VLOOKUP(C491,'Шаг1.Выбор плиты'!C:Q,10,0),'Шаг1.Выбор плиты'!N:N,U491,'Шаг1.Выбор плиты'!M:M,SMALL(INDIRECT("мм"&amp;VLOOKUP(C491,'Шаг1.Выбор плиты'!C:Q,12,0)),1)))))))</f>
        <v/>
      </c>
      <c r="L491" s="147" t="str">
        <f ca="1">IFERROR(IFERROR(IF(VLOOKUP($A491,'Шаг2.Бланк заказа NEW'!$B$17:$N$201,9,0)="","",VLOOKUP($A491,'Шаг2.Бланк заказа NEW'!$B$17:$N$201,9,0)),
IF(VLOOKUP($A491-COUNT('Шаг2.Бланк заказа NEW'!$B$19:$B$201),'Бланк OLD 0.8 04'!$B$12:$K$200,9,0)="","",VLOOKUP($A491-COUNT('Шаг2.Бланк заказа NEW'!$B$19:$B$201),'Бланк OLD 0.8 04'!$B$12:$K$200,9,0))),
IF(VLOOKUP($A491-COUNT('Шаг2.Бланк заказа NEW'!$B$19:$B$201)-COUNT('Бланк OLD 0.8 04'!$B$18:$B$200),'Бланк OLD 2.0 04 '!$B$16:$K$200,9,0)="","",VLOOKUP($A491-COUNT('Шаг2.Бланк заказа NEW'!$B$19:$B$201)-COUNT('Бланк OLD 0.8 04'!$B$18:$B$200),'Бланк OLD 2.0 04 '!$B$16:$K$200,9,0)))</f>
        <v/>
      </c>
      <c r="M491" s="154" t="str">
        <f t="shared" ca="1" si="44"/>
        <v/>
      </c>
      <c r="N491" s="153" t="str">
        <f ca="1">IFERROR(IF(VLOOKUP($A491,'Шаг2.Бланк заказа NEW'!$B$17:$N$201,11,0)="","",VLOOKUP($A491,'Шаг2.Бланк заказа NEW'!$B$17:$N$201,11,0)),
"Нет")</f>
        <v/>
      </c>
      <c r="O491" s="147" t="str">
        <f ca="1">IFERROR(IF(VLOOKUP($A491,'Шаг2.Бланк заказа NEW'!$B$17:$N$201,11,0)="","",VLOOKUP($A491,'Шаг2.Бланк заказа NEW'!$B$17:$N$201,12,0)),
"Нет")</f>
        <v/>
      </c>
      <c r="P491" s="153" t="str">
        <f ca="1">IFERROR(IF(VLOOKUP($A491,'Шаг2.Бланк заказа NEW'!$B$17:$N$201,13,0)="","",VLOOKUP($A491,'Шаг2.Бланк заказа NEW'!$B$17:$N$201,13,0)),
"Нет")</f>
        <v/>
      </c>
      <c r="Q491" s="147" t="str">
        <f ca="1">IFERROR(IF(VLOOKUP($A491,'Шаг2.Бланк заказа NEW'!$B$17:$O$201,14,0)="","",VLOOKUP($A491,'Шаг2.Бланк заказа NEW'!$B$17:$O$201,14,0)),"")</f>
        <v/>
      </c>
      <c r="R491" s="147" t="str">
        <f ca="1">IFERROR(IFERROR(IF(VLOOKUP($A491,'Шаг2.Бланк заказа NEW'!$B$17:$N$201,4,0)="","",VLOOKUP($A491,'Шаг2.Бланк заказа NEW'!$B$17:$N$201,4,0)),
IF(VLOOKUP($A491-COUNT('Шаг2.Бланк заказа NEW'!$B$19:$B$201),'Бланк OLD 0.8 04'!$B$12:$K$200,4,0)&gt;0,0.8,
IF(VLOOKUP($A491-COUNT('Шаг2.Бланк заказа NEW'!$B$19:$B$201),'Бланк OLD 0.8 04'!$B$12:$K$200,5,0)&gt;0,0.4,""))),
IF(VLOOKUP($A491-COUNT('Шаг2.Бланк заказа NEW'!$B$19:$B$201)-COUNT('Бланк OLD 0.8 04'!$B$18:$B$200),'Бланк OLD 2.0 04 '!$B$16:$K$200,4,0)&gt;0,2,IF(VLOOKUP($A491-COUNT('Шаг2.Бланк заказа NEW'!$B$19:$B$201)-COUNT('Бланк OLD 0.8 04'!$B$18:$B$200),'Бланк OLD 2.0 04 '!$B$16:$K$200,5,0)&gt;0,0.4,"")))</f>
        <v/>
      </c>
      <c r="S491" s="147" t="str">
        <f ca="1">IFERROR(IFERROR(IF(VLOOKUP($A491,'Шаг2.Бланк заказа NEW'!$B$17:$N$201,5,0)="","",VLOOKUP($A491,'Шаг2.Бланк заказа NEW'!$B$17:$N$201,5,0)),
IF(VLOOKUP($A491-COUNT('Шаг2.Бланк заказа NEW'!$B$19:$B$201),'Бланк OLD 0.8 04'!$B$12:$K$200,4,0)&gt;1,0.8,
IF(VLOOKUP($A491-COUNT('Шаг2.Бланк заказа NEW'!$B$19:$B$201),'Бланк OLD 0.8 04'!$B$12:$K$200,5,0)&gt;1,0.4,
IF(AND(VLOOKUP($A491-COUNT('Шаг2.Бланк заказа NEW'!$B$19:$B$201),'Бланк OLD 0.8 04'!$B$12:$K$200,4,0)&gt;0,VLOOKUP($A491-COUNT('Шаг2.Бланк заказа NEW'!$B$19:$B$201),'Бланк OLD 0.8 04'!$B$12:$K$200,5,0)&gt;0),0.4,"")))),
IF(VLOOKUP($A491-COUNT('Шаг2.Бланк заказа NEW'!$B$19:$B$201)-COUNT('Бланк OLD 0.8 04'!$B$18:$B$200),'Бланк OLD 2.0 04 '!$B$16:$K$200,4,0)&gt;1,2,
IF(VLOOKUP($A491-COUNT('Шаг2.Бланк заказа NEW'!$B$19:$B$201)-COUNT('Бланк OLD 0.8 04'!$B$18:$B$200),'Бланк OLD 2.0 04 '!$B$16:$K$200,5,0)&gt;1,0.4,IF(AND(VLOOKUP($A491-COUNT('Шаг2.Бланк заказа NEW'!$B$19:$B$201)-COUNT('Бланк OLD 0.8 04'!$B$18:$B$200),'Бланк OLD 2.0 04 '!$B$16:$K$200,4,0)&gt;0,VLOOKUP($A491-COUNT('Шаг2.Бланк заказа NEW'!$B$19:$B$201)-COUNT('Бланк OLD 0.8 04'!$B$18:$B$200),'Бланк OLD 2.0 04 '!$B$16:$K$200,5,0)&gt;0),0.4,""))))</f>
        <v/>
      </c>
      <c r="T491" s="147" t="str">
        <f ca="1">IFERROR(IFERROR(IF(VLOOKUP($A491,'Шаг2.Бланк заказа NEW'!$B$17:$N$201,7,0)="","",VLOOKUP($A491,'Шаг2.Бланк заказа NEW'!$B$17:$N$201,7,0)),
IF(VLOOKUP($A491-COUNT('Шаг2.Бланк заказа NEW'!$B$19:$B$201),'Бланк OLD 0.8 04'!$B$12:$K$200,7,0)&gt;0,0.8,
IF(VLOOKUP($A491-COUNT('Шаг2.Бланк заказа NEW'!$B$19:$B$201),'Бланк OLD 0.8 04'!$B$12:$K$200,8,0)&gt;0,0.4,""))),
IF(VLOOKUP($A491-COUNT('Шаг2.Бланк заказа NEW'!$B$19:$B$201)-COUNT('Бланк OLD 0.8 04'!$B$18:$B$200),'Бланк OLD 2.0 04 '!$B$16:$K$200,7,0)&gt;0,2,IF(VLOOKUP($A491-COUNT('Шаг2.Бланк заказа NEW'!$B$19:$B$201)-COUNT('Бланк OLD 0.8 04'!$B$18:$B$200),'Бланк OLD 2.0 04 '!$B$16:$K$200,8,0)&gt;0,0.4,"")))</f>
        <v/>
      </c>
      <c r="U491" s="147" t="str">
        <f ca="1">IFERROR(IFERROR(IF(VLOOKUP($A491,'Шаг2.Бланк заказа NEW'!$B$17:$N$201,8,0)="","",VLOOKUP($A491,'Шаг2.Бланк заказа NEW'!$B$17:$N$201,8,0)),
IF(VLOOKUP($A491-COUNT('Шаг2.Бланк заказа NEW'!$B$19:$B$201),'Бланк OLD 0.8 04'!$B$12:$K$200,7,0)&gt;1,0.8,
IF(VLOOKUP($A491-COUNT('Шаг2.Бланк заказа NEW'!$B$19:$B$201),'Бланк OLD 0.8 04'!$B$12:$K$200,8,0)&gt;1,0.4,
IF(AND(VLOOKUP($A491-COUNT('Шаг2.Бланк заказа NEW'!$B$19:$B$201),'Бланк OLD 0.8 04'!$B$12:$K$200,7,0)&gt;0,VLOOKUP($A491-COUNT('Шаг2.Бланк заказа NEW'!$B$19:$B$201),'Бланк OLD 0.8 04'!$B$12:$K$200,8,0)&gt;0),0.4,"")))),
IF(VLOOKUP($A491-COUNT('Шаг2.Бланк заказа NEW'!$B$19:$B$201)-COUNT('Бланк OLD 0.8 04'!$B$18:$B$200),'Бланк OLD 2.0 04 '!$B$16:$K$200,7,0)&gt;1,2,
IF(VLOOKUP($A491-COUNT('Шаг2.Бланк заказа NEW'!$B$19:$B$201)-COUNT('Бланк OLD 0.8 04'!$B$18:$B$200),'Бланк OLD 2.0 04 '!$B$16:$K$200,8,0)&gt;1,0.4,
IF(AND(VLOOKUP($A491-COUNT('Шаг2.Бланк заказа NEW'!$B$19:$B$201)-COUNT('Бланк OLD 0.8 04'!$B$18:$B$200),'Бланк OLD 2.0 04 '!$B$16:$K$200,7,0)&gt;0,VLOOKUP($A491-COUNT('Шаг2.Бланк заказа NEW'!$B$19:$B$201)-COUNT('Бланк OLD 0.8 04'!$B$18:$B$200),'Бланк OLD 2.0 04 '!$B$16:$K$200,8,0)&gt;0),0.4,""))))</f>
        <v/>
      </c>
      <c r="V491" s="146" t="str">
        <f ca="1">IFERROR(VLOOKUP(C491,'Шаг1.Выбор плиты'!C:S,12,0),"")</f>
        <v/>
      </c>
      <c r="W491" s="146" t="str">
        <f ca="1">IFERROR(VLOOKUP(C491,'Шаг1.Выбор плиты'!C:S,8,0),"")</f>
        <v/>
      </c>
      <c r="X491" s="146" t="str">
        <f ca="1">IFERROR(VLOOKUP(C491,'Шаг1.Выбор плиты'!C:S,10,0),"")</f>
        <v/>
      </c>
      <c r="Y491" s="147" t="str">
        <f t="shared" ca="1" si="46"/>
        <v/>
      </c>
      <c r="AD491" s="147" t="str">
        <f t="shared" ca="1" si="42"/>
        <v/>
      </c>
      <c r="AE491" s="147" t="str">
        <f t="shared" ca="1" si="47"/>
        <v/>
      </c>
      <c r="AF491" s="25"/>
      <c r="AH491" s="147" t="str">
        <f ca="1">IF(C491="","",VLOOKUP(C491,'Шаг1.Выбор плиты'!C:Q,7,0))</f>
        <v/>
      </c>
      <c r="AI491" s="147" t="str">
        <f t="shared" ca="1" si="45"/>
        <v/>
      </c>
    </row>
    <row r="492" spans="1:35" x14ac:dyDescent="0.2">
      <c r="A492" s="151" t="str">
        <f ca="1">IF(C492="","",MAX($A$1:OFFSET(C492,-1,0))+1)</f>
        <v/>
      </c>
      <c r="B492" s="151" t="str">
        <f ca="1">IFERROR(IFERROR(IFERROR("Шаг2.Бланк заказа NEW №"&amp;VLOOKUP(A491+1,CHOOSE({1,2},'Шаг2.Бланк заказа NEW'!$B$19:$B$201,'Шаг2.Бланк заказа NEW'!$A$19:$A$201),1,0),
"Бланк OLD 0.8 04 №"&amp;VLOOKUP(A491+1-COUNT('Шаг2.Бланк заказа NEW'!$B$19:$B$201),CHOOSE({1,2},'Бланк OLD 0.8 04'!$B$18:$B$200,'Бланк OLD 0.8 04'!$A$18:$A$200),1,0)),
"Бланк OLD 2.0 04 №"&amp;VLOOKUP(A491+1-COUNT('Шаг2.Бланк заказа NEW'!$B$19:$B$201)-COUNT('Бланк OLD 0.8 04'!$B$18:$B$200),CHOOSE({1,2},'Бланк OLD 2.0 04 '!$B$18:$B$200,'Бланк OLD 2.0 04 '!$A$18:$A$200),1,0)),"")</f>
        <v/>
      </c>
      <c r="C492" s="152" t="str">
        <f ca="1">IFERROR(IFERROR(IFERROR(VLOOKUP(A491+1,CHOOSE({1,2},'Шаг2.Бланк заказа NEW'!$B$19:$B$201,'Шаг2.Бланк заказа NEW'!$A$19:$A$201),2,0),
VLOOKUP(A491+1-COUNT('Шаг2.Бланк заказа NEW'!$B$19:$B$201),CHOOSE({1,2},'Бланк OLD 0.8 04'!$B$18:$B$200,'Бланк OLD 0.8 04'!$A$18:$A$200),2,0)),
VLOOKUP(A491+1-COUNT('Шаг2.Бланк заказа NEW'!$B$19:$B$201)-COUNT('Бланк OLD 0.8 04'!$B$18:$B$200),CHOOSE({1,2},'Бланк OLD 2.0 04 '!$B$18:$B$200,'Бланк OLD 2.0 04 '!$A$18:$A$200),2,0)),"")</f>
        <v/>
      </c>
      <c r="D492" s="150" t="str">
        <f ca="1">IFERROR(VLOOKUP(C492,'Шаг1.Выбор плиты'!C:G,5,0),"")</f>
        <v/>
      </c>
      <c r="E492" s="147" t="str">
        <f ca="1">IFERROR(IFERROR(IF(VLOOKUP($A492,'Шаг2.Бланк заказа NEW'!$B$17:$N$201,2,0)="","",VLOOKUP($A492,'Шаг2.Бланк заказа NEW'!$B$17:$N$201,2,0)),
IF(VLOOKUP($A492-COUNT('Шаг2.Бланк заказа NEW'!$B$19:$B$201),'Бланк OLD 0.8 04'!$B$12:$K$200,2,0)="","",VLOOKUP($A492-COUNT('Шаг2.Бланк заказа NEW'!$B$19:$B$201),'Бланк OLD 0.8 04'!$B$12:$K$200,2,0))),
IF(VLOOKUP($A492-COUNT('Шаг2.Бланк заказа NEW'!$B$19:$B$201)-COUNT('Бланк OLD 0.8 04'!$B$18:$B$200),'Бланк OLD 2.0 04 '!$B$16:$K$200,2,0)="","",VLOOKUP($A492-COUNT('Шаг2.Бланк заказа NEW'!$B$19:$B$201)-COUNT('Бланк OLD 0.8 04'!$B$18:$B$200),'Бланк OLD 2.0 04 '!$B$16:$K$200,2,0)))</f>
        <v/>
      </c>
      <c r="F492" s="147" t="str">
        <f ca="1">IFERROR(IFERROR(IF(VLOOKUP($A492,'Шаг2.Бланк заказа NEW'!$B$17:$N$201,3,0)="","",VLOOKUP($A492,'Шаг2.Бланк заказа NEW'!$B$17:$N$201,3,0)),
IF(VLOOKUP($A492-COUNT('Шаг2.Бланк заказа NEW'!$B$19:$B$201),'Бланк OLD 0.8 04'!$B$12:$K$200,3,0)="","",VLOOKUP($A492-COUNT('Шаг2.Бланк заказа NEW'!$B$19:$B$201),'Бланк OLD 0.8 04'!$B$12:$K$200,3,0))),
IF(VLOOKUP($A492-COUNT('Шаг2.Бланк заказа NEW'!$B$19:$B$201)-COUNT('Бланк OLD 0.8 04'!$B$18:$B$200),'Бланк OLD 2.0 04 '!$B$16:$K$200,3,0)="","",VLOOKUP($A492-COUNT('Шаг2.Бланк заказа NEW'!$B$19:$B$201)-COUNT('Бланк OLD 0.8 04'!$B$18:$B$200),'Бланк OLD 2.0 04 '!$B$16:$K$200,3,0)))</f>
        <v/>
      </c>
      <c r="G492" s="176" t="str">
        <f ca="1">IF(IF(R492="","",IF(R492=1,SUMIFS('Шаг1.Выбор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плиты'!C:Q,12,0)),1))))))=0,
R492,
IF(R492="","",IF(R492=1,SUMIFS('Шаг1.Выбор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плиты'!N:N,R492,'Шаг1.Выбор плиты'!M:M,SMALL(INDIRECT("мм"&amp;VLOOKUP(C492,'Шаг1.Выбор плиты'!C:Q,12,0)),1)))))))</f>
        <v/>
      </c>
      <c r="H492" s="177" t="str">
        <f ca="1">IF(IF(S492="","",IF(S492=1,SUMIFS('Шаг1.Выбор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плиты'!C:Q,12,0)),1))))))=0,
S492,
IF(S492="","",IF(S492=1,SUMIFS('Шаг1.Выбор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плиты'!N:N,S492,'Шаг1.Выбор плиты'!M:M,SMALL(INDIRECT("мм"&amp;VLOOKUP(C492,'Шаг1.Выбор плиты'!C:Q,12,0)),1)))))))</f>
        <v/>
      </c>
      <c r="I492" s="147" t="str">
        <f ca="1">IFERROR(IFERROR(IF(VLOOKUP($A492,'Шаг2.Бланк заказа NEW'!$B$17:$N$201,6,0)="","",VLOOKUP($A492,'Шаг2.Бланк заказа NEW'!$B$17:$N$201,6,0)),
IF(VLOOKUP($A492-COUNT('Шаг2.Бланк заказа NEW'!$B$19:$B$201),'Бланк OLD 0.8 04'!$B$12:$K$200,6,0)="","",VLOOKUP($A492-COUNT('Шаг2.Бланк заказа NEW'!$B$19:$B$201),'Бланк OLD 0.8 04'!$B$12:$K$200,6,0))),
IF(VLOOKUP($A492-COUNT('Шаг2.Бланк заказа NEW'!$B$19:$B$201)-COUNT('Бланк OLD 0.8 04'!$B$18:$B$200),'Бланк OLD 2.0 04 '!$B$16:$K$200,6,0)="","",VLOOKUP($A492-COUNT('Шаг2.Бланк заказа NEW'!$B$19:$B$201)-COUNT('Бланк OLD 0.8 04'!$B$18:$B$200),'Бланк OLD 2.0 04 '!$B$16:$K$200,6,0)))</f>
        <v/>
      </c>
      <c r="J492" s="177" t="str">
        <f ca="1">IF(IF(T492="","",IF(T492=1,SUMIFS('Шаг1.Выбор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плиты'!C:Q,12,0)),1))))))=0,
T492,
IF(T492="","",IF(T492=1,SUMIFS('Шаг1.Выбор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плиты'!N:N,T492,'Шаг1.Выбор плиты'!M:M,SMALL(INDIRECT("мм"&amp;VLOOKUP(C492,'Шаг1.Выбор плиты'!C:Q,12,0)),1)))))))</f>
        <v/>
      </c>
      <c r="K492" s="177" t="str">
        <f ca="1">IF(IF(U492="","",IF(U492=1,SUMIFS('Шаг1.Выбор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плиты'!C:Q,12,0)),1))))))=0,
U492,
IF(U492="","",IF(U492=1,SUMIFS('Шаг1.Выбор плиты'!$G:$G,'Шаг1.Выбор плиты'!J:J,"*"&amp;RIGHT(VLOOKUP(C492,'Шаг1.Выбор плиты'!C:Q,8,0),4),'Шаг1.Выбор плиты'!L:L,IF(MID(C492,1,6)="ЛДСП P","TM"&amp;MID(VLOOKUP(C492,'Шаг1.Выбор плиты'!C:Q,10,0),3,2),MID(VLOOKUP(C492,'Шаг1.Выбор плиты'!C:Q,10,0),1,2)),
'Шаг1.Выбор плиты'!N:N,1),IF(SUMIFS('Шаг1.Выбор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плиты'!C:Q,12,0)),1))=0,
IF(SUMIFS('Шаг1.Выбор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плиты'!C:Q,12,0)),2))=0,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плиты'!C:Q,12,0)),3)),
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плиты'!C:Q,12,0)),2))),
(SUMIFS('Шаг1.Выбор плиты'!$G:$G,'Шаг1.Выбор плиты'!J:J,"*"&amp;RIGHT(VLOOKUP(C492,'Шаг1.Выбор плиты'!C:Q,8,0),4),'Шаг1.Выбор плиты'!L:L,VLOOKUP(C492,'Шаг1.Выбор плиты'!C:Q,10,0),'Шаг1.Выбор плиты'!N:N,U492,'Шаг1.Выбор плиты'!M:M,SMALL(INDIRECT("мм"&amp;VLOOKUP(C492,'Шаг1.Выбор плиты'!C:Q,12,0)),1)))))))</f>
        <v/>
      </c>
      <c r="L492" s="147" t="str">
        <f ca="1">IFERROR(IFERROR(IF(VLOOKUP($A492,'Шаг2.Бланк заказа NEW'!$B$17:$N$201,9,0)="","",VLOOKUP($A492,'Шаг2.Бланк заказа NEW'!$B$17:$N$201,9,0)),
IF(VLOOKUP($A492-COUNT('Шаг2.Бланк заказа NEW'!$B$19:$B$201),'Бланк OLD 0.8 04'!$B$12:$K$200,9,0)="","",VLOOKUP($A492-COUNT('Шаг2.Бланк заказа NEW'!$B$19:$B$201),'Бланк OLD 0.8 04'!$B$12:$K$200,9,0))),
IF(VLOOKUP($A492-COUNT('Шаг2.Бланк заказа NEW'!$B$19:$B$201)-COUNT('Бланк OLD 0.8 04'!$B$18:$B$200),'Бланк OLD 2.0 04 '!$B$16:$K$200,9,0)="","",VLOOKUP($A492-COUNT('Шаг2.Бланк заказа NEW'!$B$19:$B$201)-COUNT('Бланк OLD 0.8 04'!$B$18:$B$200),'Бланк OLD 2.0 04 '!$B$16:$K$200,9,0)))</f>
        <v/>
      </c>
      <c r="M492" s="154" t="str">
        <f t="shared" ca="1" si="44"/>
        <v/>
      </c>
      <c r="N492" s="153" t="str">
        <f ca="1">IFERROR(IF(VLOOKUP($A492,'Шаг2.Бланк заказа NEW'!$B$17:$N$201,11,0)="","",VLOOKUP($A492,'Шаг2.Бланк заказа NEW'!$B$17:$N$201,11,0)),
"Нет")</f>
        <v/>
      </c>
      <c r="O492" s="147" t="str">
        <f ca="1">IFERROR(IF(VLOOKUP($A492,'Шаг2.Бланк заказа NEW'!$B$17:$N$201,11,0)="","",VLOOKUP($A492,'Шаг2.Бланк заказа NEW'!$B$17:$N$201,12,0)),
"Нет")</f>
        <v/>
      </c>
      <c r="P492" s="153" t="str">
        <f ca="1">IFERROR(IF(VLOOKUP($A492,'Шаг2.Бланк заказа NEW'!$B$17:$N$201,13,0)="","",VLOOKUP($A492,'Шаг2.Бланк заказа NEW'!$B$17:$N$201,13,0)),
"Нет")</f>
        <v/>
      </c>
      <c r="Q492" s="147" t="str">
        <f ca="1">IFERROR(IF(VLOOKUP($A492,'Шаг2.Бланк заказа NEW'!$B$17:$O$201,14,0)="","",VLOOKUP($A492,'Шаг2.Бланк заказа NEW'!$B$17:$O$201,14,0)),"")</f>
        <v/>
      </c>
      <c r="R492" s="147" t="str">
        <f ca="1">IFERROR(IFERROR(IF(VLOOKUP($A492,'Шаг2.Бланк заказа NEW'!$B$17:$N$201,4,0)="","",VLOOKUP($A492,'Шаг2.Бланк заказа NEW'!$B$17:$N$201,4,0)),
IF(VLOOKUP($A492-COUNT('Шаг2.Бланк заказа NEW'!$B$19:$B$201),'Бланк OLD 0.8 04'!$B$12:$K$200,4,0)&gt;0,0.8,
IF(VLOOKUP($A492-COUNT('Шаг2.Бланк заказа NEW'!$B$19:$B$201),'Бланк OLD 0.8 04'!$B$12:$K$200,5,0)&gt;0,0.4,""))),
IF(VLOOKUP($A492-COUNT('Шаг2.Бланк заказа NEW'!$B$19:$B$201)-COUNT('Бланк OLD 0.8 04'!$B$18:$B$200),'Бланк OLD 2.0 04 '!$B$16:$K$200,4,0)&gt;0,2,IF(VLOOKUP($A492-COUNT('Шаг2.Бланк заказа NEW'!$B$19:$B$201)-COUNT('Бланк OLD 0.8 04'!$B$18:$B$200),'Бланк OLD 2.0 04 '!$B$16:$K$200,5,0)&gt;0,0.4,"")))</f>
        <v/>
      </c>
      <c r="S492" s="147" t="str">
        <f ca="1">IFERROR(IFERROR(IF(VLOOKUP($A492,'Шаг2.Бланк заказа NEW'!$B$17:$N$201,5,0)="","",VLOOKUP($A492,'Шаг2.Бланк заказа NEW'!$B$17:$N$201,5,0)),
IF(VLOOKUP($A492-COUNT('Шаг2.Бланк заказа NEW'!$B$19:$B$201),'Бланк OLD 0.8 04'!$B$12:$K$200,4,0)&gt;1,0.8,
IF(VLOOKUP($A492-COUNT('Шаг2.Бланк заказа NEW'!$B$19:$B$201),'Бланк OLD 0.8 04'!$B$12:$K$200,5,0)&gt;1,0.4,
IF(AND(VLOOKUP($A492-COUNT('Шаг2.Бланк заказа NEW'!$B$19:$B$201),'Бланк OLD 0.8 04'!$B$12:$K$200,4,0)&gt;0,VLOOKUP($A492-COUNT('Шаг2.Бланк заказа NEW'!$B$19:$B$201),'Бланк OLD 0.8 04'!$B$12:$K$200,5,0)&gt;0),0.4,"")))),
IF(VLOOKUP($A492-COUNT('Шаг2.Бланк заказа NEW'!$B$19:$B$201)-COUNT('Бланк OLD 0.8 04'!$B$18:$B$200),'Бланк OLD 2.0 04 '!$B$16:$K$200,4,0)&gt;1,2,
IF(VLOOKUP($A492-COUNT('Шаг2.Бланк заказа NEW'!$B$19:$B$201)-COUNT('Бланк OLD 0.8 04'!$B$18:$B$200),'Бланк OLD 2.0 04 '!$B$16:$K$200,5,0)&gt;1,0.4,IF(AND(VLOOKUP($A492-COUNT('Шаг2.Бланк заказа NEW'!$B$19:$B$201)-COUNT('Бланк OLD 0.8 04'!$B$18:$B$200),'Бланк OLD 2.0 04 '!$B$16:$K$200,4,0)&gt;0,VLOOKUP($A492-COUNT('Шаг2.Бланк заказа NEW'!$B$19:$B$201)-COUNT('Бланк OLD 0.8 04'!$B$18:$B$200),'Бланк OLD 2.0 04 '!$B$16:$K$200,5,0)&gt;0),0.4,""))))</f>
        <v/>
      </c>
      <c r="T492" s="147" t="str">
        <f ca="1">IFERROR(IFERROR(IF(VLOOKUP($A492,'Шаг2.Бланк заказа NEW'!$B$17:$N$201,7,0)="","",VLOOKUP($A492,'Шаг2.Бланк заказа NEW'!$B$17:$N$201,7,0)),
IF(VLOOKUP($A492-COUNT('Шаг2.Бланк заказа NEW'!$B$19:$B$201),'Бланк OLD 0.8 04'!$B$12:$K$200,7,0)&gt;0,0.8,
IF(VLOOKUP($A492-COUNT('Шаг2.Бланк заказа NEW'!$B$19:$B$201),'Бланк OLD 0.8 04'!$B$12:$K$200,8,0)&gt;0,0.4,""))),
IF(VLOOKUP($A492-COUNT('Шаг2.Бланк заказа NEW'!$B$19:$B$201)-COUNT('Бланк OLD 0.8 04'!$B$18:$B$200),'Бланк OLD 2.0 04 '!$B$16:$K$200,7,0)&gt;0,2,IF(VLOOKUP($A492-COUNT('Шаг2.Бланк заказа NEW'!$B$19:$B$201)-COUNT('Бланк OLD 0.8 04'!$B$18:$B$200),'Бланк OLD 2.0 04 '!$B$16:$K$200,8,0)&gt;0,0.4,"")))</f>
        <v/>
      </c>
      <c r="U492" s="147" t="str">
        <f ca="1">IFERROR(IFERROR(IF(VLOOKUP($A492,'Шаг2.Бланк заказа NEW'!$B$17:$N$201,8,0)="","",VLOOKUP($A492,'Шаг2.Бланк заказа NEW'!$B$17:$N$201,8,0)),
IF(VLOOKUP($A492-COUNT('Шаг2.Бланк заказа NEW'!$B$19:$B$201),'Бланк OLD 0.8 04'!$B$12:$K$200,7,0)&gt;1,0.8,
IF(VLOOKUP($A492-COUNT('Шаг2.Бланк заказа NEW'!$B$19:$B$201),'Бланк OLD 0.8 04'!$B$12:$K$200,8,0)&gt;1,0.4,
IF(AND(VLOOKUP($A492-COUNT('Шаг2.Бланк заказа NEW'!$B$19:$B$201),'Бланк OLD 0.8 04'!$B$12:$K$200,7,0)&gt;0,VLOOKUP($A492-COUNT('Шаг2.Бланк заказа NEW'!$B$19:$B$201),'Бланк OLD 0.8 04'!$B$12:$K$200,8,0)&gt;0),0.4,"")))),
IF(VLOOKUP($A492-COUNT('Шаг2.Бланк заказа NEW'!$B$19:$B$201)-COUNT('Бланк OLD 0.8 04'!$B$18:$B$200),'Бланк OLD 2.0 04 '!$B$16:$K$200,7,0)&gt;1,2,
IF(VLOOKUP($A492-COUNT('Шаг2.Бланк заказа NEW'!$B$19:$B$201)-COUNT('Бланк OLD 0.8 04'!$B$18:$B$200),'Бланк OLD 2.0 04 '!$B$16:$K$200,8,0)&gt;1,0.4,
IF(AND(VLOOKUP($A492-COUNT('Шаг2.Бланк заказа NEW'!$B$19:$B$201)-COUNT('Бланк OLD 0.8 04'!$B$18:$B$200),'Бланк OLD 2.0 04 '!$B$16:$K$200,7,0)&gt;0,VLOOKUP($A492-COUNT('Шаг2.Бланк заказа NEW'!$B$19:$B$201)-COUNT('Бланк OLD 0.8 04'!$B$18:$B$200),'Бланк OLD 2.0 04 '!$B$16:$K$200,8,0)&gt;0),0.4,""))))</f>
        <v/>
      </c>
      <c r="V492" s="146" t="str">
        <f ca="1">IFERROR(VLOOKUP(C492,'Шаг1.Выбор плиты'!C:S,12,0),"")</f>
        <v/>
      </c>
      <c r="W492" s="146" t="str">
        <f ca="1">IFERROR(VLOOKUP(C492,'Шаг1.Выбор плиты'!C:S,8,0),"")</f>
        <v/>
      </c>
      <c r="X492" s="146" t="str">
        <f ca="1">IFERROR(VLOOKUP(C492,'Шаг1.Выбор плиты'!C:S,10,0),"")</f>
        <v/>
      </c>
      <c r="Y492" s="147" t="str">
        <f t="shared" ca="1" si="46"/>
        <v/>
      </c>
      <c r="AD492" s="147" t="str">
        <f t="shared" ca="1" si="42"/>
        <v/>
      </c>
      <c r="AE492" s="147" t="str">
        <f t="shared" ca="1" si="47"/>
        <v/>
      </c>
      <c r="AF492" s="25"/>
      <c r="AH492" s="147" t="str">
        <f ca="1">IF(C492="","",VLOOKUP(C492,'Шаг1.Выбор плиты'!C:Q,7,0))</f>
        <v/>
      </c>
      <c r="AI492" s="147" t="str">
        <f t="shared" ca="1" si="45"/>
        <v/>
      </c>
    </row>
    <row r="493" spans="1:35" x14ac:dyDescent="0.2">
      <c r="A493" s="151" t="str">
        <f ca="1">IF(C493="","",MAX($A$1:OFFSET(C493,-1,0))+1)</f>
        <v/>
      </c>
      <c r="B493" s="151" t="str">
        <f ca="1">IFERROR(IFERROR(IFERROR("Шаг2.Бланк заказа NEW №"&amp;VLOOKUP(A492+1,CHOOSE({1,2},'Шаг2.Бланк заказа NEW'!$B$19:$B$201,'Шаг2.Бланк заказа NEW'!$A$19:$A$201),1,0),
"Бланк OLD 0.8 04 №"&amp;VLOOKUP(A492+1-COUNT('Шаг2.Бланк заказа NEW'!$B$19:$B$201),CHOOSE({1,2},'Бланк OLD 0.8 04'!$B$18:$B$200,'Бланк OLD 0.8 04'!$A$18:$A$200),1,0)),
"Бланк OLD 2.0 04 №"&amp;VLOOKUP(A492+1-COUNT('Шаг2.Бланк заказа NEW'!$B$19:$B$201)-COUNT('Бланк OLD 0.8 04'!$B$18:$B$200),CHOOSE({1,2},'Бланк OLD 2.0 04 '!$B$18:$B$200,'Бланк OLD 2.0 04 '!$A$18:$A$200),1,0)),"")</f>
        <v/>
      </c>
      <c r="C493" s="152" t="str">
        <f ca="1">IFERROR(IFERROR(IFERROR(VLOOKUP(A492+1,CHOOSE({1,2},'Шаг2.Бланк заказа NEW'!$B$19:$B$201,'Шаг2.Бланк заказа NEW'!$A$19:$A$201),2,0),
VLOOKUP(A492+1-COUNT('Шаг2.Бланк заказа NEW'!$B$19:$B$201),CHOOSE({1,2},'Бланк OLD 0.8 04'!$B$18:$B$200,'Бланк OLD 0.8 04'!$A$18:$A$200),2,0)),
VLOOKUP(A492+1-COUNT('Шаг2.Бланк заказа NEW'!$B$19:$B$201)-COUNT('Бланк OLD 0.8 04'!$B$18:$B$200),CHOOSE({1,2},'Бланк OLD 2.0 04 '!$B$18:$B$200,'Бланк OLD 2.0 04 '!$A$18:$A$200),2,0)),"")</f>
        <v/>
      </c>
      <c r="D493" s="150" t="str">
        <f ca="1">IFERROR(VLOOKUP(C493,'Шаг1.Выбор плиты'!C:G,5,0),"")</f>
        <v/>
      </c>
      <c r="E493" s="147" t="str">
        <f ca="1">IFERROR(IFERROR(IF(VLOOKUP($A493,'Шаг2.Бланк заказа NEW'!$B$17:$N$201,2,0)="","",VLOOKUP($A493,'Шаг2.Бланк заказа NEW'!$B$17:$N$201,2,0)),
IF(VLOOKUP($A493-COUNT('Шаг2.Бланк заказа NEW'!$B$19:$B$201),'Бланк OLD 0.8 04'!$B$12:$K$200,2,0)="","",VLOOKUP($A493-COUNT('Шаг2.Бланк заказа NEW'!$B$19:$B$201),'Бланк OLD 0.8 04'!$B$12:$K$200,2,0))),
IF(VLOOKUP($A493-COUNT('Шаг2.Бланк заказа NEW'!$B$19:$B$201)-COUNT('Бланк OLD 0.8 04'!$B$18:$B$200),'Бланк OLD 2.0 04 '!$B$16:$K$200,2,0)="","",VLOOKUP($A493-COUNT('Шаг2.Бланк заказа NEW'!$B$19:$B$201)-COUNT('Бланк OLD 0.8 04'!$B$18:$B$200),'Бланк OLD 2.0 04 '!$B$16:$K$200,2,0)))</f>
        <v/>
      </c>
      <c r="F493" s="147" t="str">
        <f ca="1">IFERROR(IFERROR(IF(VLOOKUP($A493,'Шаг2.Бланк заказа NEW'!$B$17:$N$201,3,0)="","",VLOOKUP($A493,'Шаг2.Бланк заказа NEW'!$B$17:$N$201,3,0)),
IF(VLOOKUP($A493-COUNT('Шаг2.Бланк заказа NEW'!$B$19:$B$201),'Бланк OLD 0.8 04'!$B$12:$K$200,3,0)="","",VLOOKUP($A493-COUNT('Шаг2.Бланк заказа NEW'!$B$19:$B$201),'Бланк OLD 0.8 04'!$B$12:$K$200,3,0))),
IF(VLOOKUP($A493-COUNT('Шаг2.Бланк заказа NEW'!$B$19:$B$201)-COUNT('Бланк OLD 0.8 04'!$B$18:$B$200),'Бланк OLD 2.0 04 '!$B$16:$K$200,3,0)="","",VLOOKUP($A493-COUNT('Шаг2.Бланк заказа NEW'!$B$19:$B$201)-COUNT('Бланк OLD 0.8 04'!$B$18:$B$200),'Бланк OLD 2.0 04 '!$B$16:$K$200,3,0)))</f>
        <v/>
      </c>
      <c r="G493" s="176" t="str">
        <f ca="1">IF(IF(R493="","",IF(R493=1,SUMIFS('Шаг1.Выбор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плиты'!C:Q,12,0)),1))))))=0,
R493,
IF(R493="","",IF(R493=1,SUMIFS('Шаг1.Выбор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плиты'!N:N,R493,'Шаг1.Выбор плиты'!M:M,SMALL(INDIRECT("мм"&amp;VLOOKUP(C493,'Шаг1.Выбор плиты'!C:Q,12,0)),1)))))))</f>
        <v/>
      </c>
      <c r="H493" s="177" t="str">
        <f ca="1">IF(IF(S493="","",IF(S493=1,SUMIFS('Шаг1.Выбор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плиты'!C:Q,12,0)),1))))))=0,
S493,
IF(S493="","",IF(S493=1,SUMIFS('Шаг1.Выбор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плиты'!N:N,S493,'Шаг1.Выбор плиты'!M:M,SMALL(INDIRECT("мм"&amp;VLOOKUP(C493,'Шаг1.Выбор плиты'!C:Q,12,0)),1)))))))</f>
        <v/>
      </c>
      <c r="I493" s="147" t="str">
        <f ca="1">IFERROR(IFERROR(IF(VLOOKUP($A493,'Шаг2.Бланк заказа NEW'!$B$17:$N$201,6,0)="","",VLOOKUP($A493,'Шаг2.Бланк заказа NEW'!$B$17:$N$201,6,0)),
IF(VLOOKUP($A493-COUNT('Шаг2.Бланк заказа NEW'!$B$19:$B$201),'Бланк OLD 0.8 04'!$B$12:$K$200,6,0)="","",VLOOKUP($A493-COUNT('Шаг2.Бланк заказа NEW'!$B$19:$B$201),'Бланк OLD 0.8 04'!$B$12:$K$200,6,0))),
IF(VLOOKUP($A493-COUNT('Шаг2.Бланк заказа NEW'!$B$19:$B$201)-COUNT('Бланк OLD 0.8 04'!$B$18:$B$200),'Бланк OLD 2.0 04 '!$B$16:$K$200,6,0)="","",VLOOKUP($A493-COUNT('Шаг2.Бланк заказа NEW'!$B$19:$B$201)-COUNT('Бланк OLD 0.8 04'!$B$18:$B$200),'Бланк OLD 2.0 04 '!$B$16:$K$200,6,0)))</f>
        <v/>
      </c>
      <c r="J493" s="177" t="str">
        <f ca="1">IF(IF(T493="","",IF(T493=1,SUMIFS('Шаг1.Выбор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плиты'!C:Q,12,0)),1))))))=0,
T493,
IF(T493="","",IF(T493=1,SUMIFS('Шаг1.Выбор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плиты'!N:N,T493,'Шаг1.Выбор плиты'!M:M,SMALL(INDIRECT("мм"&amp;VLOOKUP(C493,'Шаг1.Выбор плиты'!C:Q,12,0)),1)))))))</f>
        <v/>
      </c>
      <c r="K493" s="177" t="str">
        <f ca="1">IF(IF(U493="","",IF(U493=1,SUMIFS('Шаг1.Выбор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плиты'!C:Q,12,0)),1))))))=0,
U493,
IF(U493="","",IF(U493=1,SUMIFS('Шаг1.Выбор плиты'!$G:$G,'Шаг1.Выбор плиты'!J:J,"*"&amp;RIGHT(VLOOKUP(C493,'Шаг1.Выбор плиты'!C:Q,8,0),4),'Шаг1.Выбор плиты'!L:L,IF(MID(C493,1,6)="ЛДСП P","TM"&amp;MID(VLOOKUP(C493,'Шаг1.Выбор плиты'!C:Q,10,0),3,2),MID(VLOOKUP(C493,'Шаг1.Выбор плиты'!C:Q,10,0),1,2)),
'Шаг1.Выбор плиты'!N:N,1),IF(SUMIFS('Шаг1.Выбор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плиты'!C:Q,12,0)),1))=0,
IF(SUMIFS('Шаг1.Выбор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плиты'!C:Q,12,0)),2))=0,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плиты'!C:Q,12,0)),3)),
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плиты'!C:Q,12,0)),2))),
(SUMIFS('Шаг1.Выбор плиты'!$G:$G,'Шаг1.Выбор плиты'!J:J,"*"&amp;RIGHT(VLOOKUP(C493,'Шаг1.Выбор плиты'!C:Q,8,0),4),'Шаг1.Выбор плиты'!L:L,VLOOKUP(C493,'Шаг1.Выбор плиты'!C:Q,10,0),'Шаг1.Выбор плиты'!N:N,U493,'Шаг1.Выбор плиты'!M:M,SMALL(INDIRECT("мм"&amp;VLOOKUP(C493,'Шаг1.Выбор плиты'!C:Q,12,0)),1)))))))</f>
        <v/>
      </c>
      <c r="L493" s="147" t="str">
        <f ca="1">IFERROR(IFERROR(IF(VLOOKUP($A493,'Шаг2.Бланк заказа NEW'!$B$17:$N$201,9,0)="","",VLOOKUP($A493,'Шаг2.Бланк заказа NEW'!$B$17:$N$201,9,0)),
IF(VLOOKUP($A493-COUNT('Шаг2.Бланк заказа NEW'!$B$19:$B$201),'Бланк OLD 0.8 04'!$B$12:$K$200,9,0)="","",VLOOKUP($A493-COUNT('Шаг2.Бланк заказа NEW'!$B$19:$B$201),'Бланк OLD 0.8 04'!$B$12:$K$200,9,0))),
IF(VLOOKUP($A493-COUNT('Шаг2.Бланк заказа NEW'!$B$19:$B$201)-COUNT('Бланк OLD 0.8 04'!$B$18:$B$200),'Бланк OLD 2.0 04 '!$B$16:$K$200,9,0)="","",VLOOKUP($A493-COUNT('Шаг2.Бланк заказа NEW'!$B$19:$B$201)-COUNT('Бланк OLD 0.8 04'!$B$18:$B$200),'Бланк OLD 2.0 04 '!$B$16:$K$200,9,0)))</f>
        <v/>
      </c>
      <c r="M493" s="154" t="str">
        <f t="shared" ca="1" si="44"/>
        <v/>
      </c>
      <c r="N493" s="153" t="str">
        <f ca="1">IFERROR(IF(VLOOKUP($A493,'Шаг2.Бланк заказа NEW'!$B$17:$N$201,11,0)="","",VLOOKUP($A493,'Шаг2.Бланк заказа NEW'!$B$17:$N$201,11,0)),
"Нет")</f>
        <v/>
      </c>
      <c r="O493" s="147" t="str">
        <f ca="1">IFERROR(IF(VLOOKUP($A493,'Шаг2.Бланк заказа NEW'!$B$17:$N$201,11,0)="","",VLOOKUP($A493,'Шаг2.Бланк заказа NEW'!$B$17:$N$201,12,0)),
"Нет")</f>
        <v/>
      </c>
      <c r="P493" s="153" t="str">
        <f ca="1">IFERROR(IF(VLOOKUP($A493,'Шаг2.Бланк заказа NEW'!$B$17:$N$201,13,0)="","",VLOOKUP($A493,'Шаг2.Бланк заказа NEW'!$B$17:$N$201,13,0)),
"Нет")</f>
        <v/>
      </c>
      <c r="Q493" s="147" t="str">
        <f ca="1">IFERROR(IF(VLOOKUP($A493,'Шаг2.Бланк заказа NEW'!$B$17:$O$201,14,0)="","",VLOOKUP($A493,'Шаг2.Бланк заказа NEW'!$B$17:$O$201,14,0)),"")</f>
        <v/>
      </c>
      <c r="R493" s="147" t="str">
        <f ca="1">IFERROR(IFERROR(IF(VLOOKUP($A493,'Шаг2.Бланк заказа NEW'!$B$17:$N$201,4,0)="","",VLOOKUP($A493,'Шаг2.Бланк заказа NEW'!$B$17:$N$201,4,0)),
IF(VLOOKUP($A493-COUNT('Шаг2.Бланк заказа NEW'!$B$19:$B$201),'Бланк OLD 0.8 04'!$B$12:$K$200,4,0)&gt;0,0.8,
IF(VLOOKUP($A493-COUNT('Шаг2.Бланк заказа NEW'!$B$19:$B$201),'Бланк OLD 0.8 04'!$B$12:$K$200,5,0)&gt;0,0.4,""))),
IF(VLOOKUP($A493-COUNT('Шаг2.Бланк заказа NEW'!$B$19:$B$201)-COUNT('Бланк OLD 0.8 04'!$B$18:$B$200),'Бланк OLD 2.0 04 '!$B$16:$K$200,4,0)&gt;0,2,IF(VLOOKUP($A493-COUNT('Шаг2.Бланк заказа NEW'!$B$19:$B$201)-COUNT('Бланк OLD 0.8 04'!$B$18:$B$200),'Бланк OLD 2.0 04 '!$B$16:$K$200,5,0)&gt;0,0.4,"")))</f>
        <v/>
      </c>
      <c r="S493" s="147" t="str">
        <f ca="1">IFERROR(IFERROR(IF(VLOOKUP($A493,'Шаг2.Бланк заказа NEW'!$B$17:$N$201,5,0)="","",VLOOKUP($A493,'Шаг2.Бланк заказа NEW'!$B$17:$N$201,5,0)),
IF(VLOOKUP($A493-COUNT('Шаг2.Бланк заказа NEW'!$B$19:$B$201),'Бланк OLD 0.8 04'!$B$12:$K$200,4,0)&gt;1,0.8,
IF(VLOOKUP($A493-COUNT('Шаг2.Бланк заказа NEW'!$B$19:$B$201),'Бланк OLD 0.8 04'!$B$12:$K$200,5,0)&gt;1,0.4,
IF(AND(VLOOKUP($A493-COUNT('Шаг2.Бланк заказа NEW'!$B$19:$B$201),'Бланк OLD 0.8 04'!$B$12:$K$200,4,0)&gt;0,VLOOKUP($A493-COUNT('Шаг2.Бланк заказа NEW'!$B$19:$B$201),'Бланк OLD 0.8 04'!$B$12:$K$200,5,0)&gt;0),0.4,"")))),
IF(VLOOKUP($A493-COUNT('Шаг2.Бланк заказа NEW'!$B$19:$B$201)-COUNT('Бланк OLD 0.8 04'!$B$18:$B$200),'Бланк OLD 2.0 04 '!$B$16:$K$200,4,0)&gt;1,2,
IF(VLOOKUP($A493-COUNT('Шаг2.Бланк заказа NEW'!$B$19:$B$201)-COUNT('Бланк OLD 0.8 04'!$B$18:$B$200),'Бланк OLD 2.0 04 '!$B$16:$K$200,5,0)&gt;1,0.4,IF(AND(VLOOKUP($A493-COUNT('Шаг2.Бланк заказа NEW'!$B$19:$B$201)-COUNT('Бланк OLD 0.8 04'!$B$18:$B$200),'Бланк OLD 2.0 04 '!$B$16:$K$200,4,0)&gt;0,VLOOKUP($A493-COUNT('Шаг2.Бланк заказа NEW'!$B$19:$B$201)-COUNT('Бланк OLD 0.8 04'!$B$18:$B$200),'Бланк OLD 2.0 04 '!$B$16:$K$200,5,0)&gt;0),0.4,""))))</f>
        <v/>
      </c>
      <c r="T493" s="147" t="str">
        <f ca="1">IFERROR(IFERROR(IF(VLOOKUP($A493,'Шаг2.Бланк заказа NEW'!$B$17:$N$201,7,0)="","",VLOOKUP($A493,'Шаг2.Бланк заказа NEW'!$B$17:$N$201,7,0)),
IF(VLOOKUP($A493-COUNT('Шаг2.Бланк заказа NEW'!$B$19:$B$201),'Бланк OLD 0.8 04'!$B$12:$K$200,7,0)&gt;0,0.8,
IF(VLOOKUP($A493-COUNT('Шаг2.Бланк заказа NEW'!$B$19:$B$201),'Бланк OLD 0.8 04'!$B$12:$K$200,8,0)&gt;0,0.4,""))),
IF(VLOOKUP($A493-COUNT('Шаг2.Бланк заказа NEW'!$B$19:$B$201)-COUNT('Бланк OLD 0.8 04'!$B$18:$B$200),'Бланк OLD 2.0 04 '!$B$16:$K$200,7,0)&gt;0,2,IF(VLOOKUP($A493-COUNT('Шаг2.Бланк заказа NEW'!$B$19:$B$201)-COUNT('Бланк OLD 0.8 04'!$B$18:$B$200),'Бланк OLD 2.0 04 '!$B$16:$K$200,8,0)&gt;0,0.4,"")))</f>
        <v/>
      </c>
      <c r="U493" s="147" t="str">
        <f ca="1">IFERROR(IFERROR(IF(VLOOKUP($A493,'Шаг2.Бланк заказа NEW'!$B$17:$N$201,8,0)="","",VLOOKUP($A493,'Шаг2.Бланк заказа NEW'!$B$17:$N$201,8,0)),
IF(VLOOKUP($A493-COUNT('Шаг2.Бланк заказа NEW'!$B$19:$B$201),'Бланк OLD 0.8 04'!$B$12:$K$200,7,0)&gt;1,0.8,
IF(VLOOKUP($A493-COUNT('Шаг2.Бланк заказа NEW'!$B$19:$B$201),'Бланк OLD 0.8 04'!$B$12:$K$200,8,0)&gt;1,0.4,
IF(AND(VLOOKUP($A493-COUNT('Шаг2.Бланк заказа NEW'!$B$19:$B$201),'Бланк OLD 0.8 04'!$B$12:$K$200,7,0)&gt;0,VLOOKUP($A493-COUNT('Шаг2.Бланк заказа NEW'!$B$19:$B$201),'Бланк OLD 0.8 04'!$B$12:$K$200,8,0)&gt;0),0.4,"")))),
IF(VLOOKUP($A493-COUNT('Шаг2.Бланк заказа NEW'!$B$19:$B$201)-COUNT('Бланк OLD 0.8 04'!$B$18:$B$200),'Бланк OLD 2.0 04 '!$B$16:$K$200,7,0)&gt;1,2,
IF(VLOOKUP($A493-COUNT('Шаг2.Бланк заказа NEW'!$B$19:$B$201)-COUNT('Бланк OLD 0.8 04'!$B$18:$B$200),'Бланк OLD 2.0 04 '!$B$16:$K$200,8,0)&gt;1,0.4,
IF(AND(VLOOKUP($A493-COUNT('Шаг2.Бланк заказа NEW'!$B$19:$B$201)-COUNT('Бланк OLD 0.8 04'!$B$18:$B$200),'Бланк OLD 2.0 04 '!$B$16:$K$200,7,0)&gt;0,VLOOKUP($A493-COUNT('Шаг2.Бланк заказа NEW'!$B$19:$B$201)-COUNT('Бланк OLD 0.8 04'!$B$18:$B$200),'Бланк OLD 2.0 04 '!$B$16:$K$200,8,0)&gt;0),0.4,""))))</f>
        <v/>
      </c>
      <c r="V493" s="146" t="str">
        <f ca="1">IFERROR(VLOOKUP(C493,'Шаг1.Выбор плиты'!C:S,12,0),"")</f>
        <v/>
      </c>
      <c r="W493" s="146" t="str">
        <f ca="1">IFERROR(VLOOKUP(C493,'Шаг1.Выбор плиты'!C:S,8,0),"")</f>
        <v/>
      </c>
      <c r="X493" s="146" t="str">
        <f ca="1">IFERROR(VLOOKUP(C493,'Шаг1.Выбор плиты'!C:S,10,0),"")</f>
        <v/>
      </c>
      <c r="Y493" s="147" t="str">
        <f t="shared" ca="1" si="46"/>
        <v/>
      </c>
      <c r="AD493" s="147" t="str">
        <f t="shared" ca="1" si="42"/>
        <v/>
      </c>
      <c r="AE493" s="147" t="str">
        <f t="shared" ca="1" si="47"/>
        <v/>
      </c>
      <c r="AF493" s="25"/>
      <c r="AH493" s="147" t="str">
        <f ca="1">IF(C493="","",VLOOKUP(C493,'Шаг1.Выбор плиты'!C:Q,7,0))</f>
        <v/>
      </c>
      <c r="AI493" s="147" t="str">
        <f t="shared" ca="1" si="45"/>
        <v/>
      </c>
    </row>
    <row r="494" spans="1:35" x14ac:dyDescent="0.2">
      <c r="A494" s="151" t="str">
        <f ca="1">IF(C494="","",MAX($A$1:OFFSET(C494,-1,0))+1)</f>
        <v/>
      </c>
      <c r="B494" s="151" t="str">
        <f ca="1">IFERROR(IFERROR(IFERROR("Шаг2.Бланк заказа NEW №"&amp;VLOOKUP(A493+1,CHOOSE({1,2},'Шаг2.Бланк заказа NEW'!$B$19:$B$201,'Шаг2.Бланк заказа NEW'!$A$19:$A$201),1,0),
"Бланк OLD 0.8 04 №"&amp;VLOOKUP(A493+1-COUNT('Шаг2.Бланк заказа NEW'!$B$19:$B$201),CHOOSE({1,2},'Бланк OLD 0.8 04'!$B$18:$B$200,'Бланк OLD 0.8 04'!$A$18:$A$200),1,0)),
"Бланк OLD 2.0 04 №"&amp;VLOOKUP(A493+1-COUNT('Шаг2.Бланк заказа NEW'!$B$19:$B$201)-COUNT('Бланк OLD 0.8 04'!$B$18:$B$200),CHOOSE({1,2},'Бланк OLD 2.0 04 '!$B$18:$B$200,'Бланк OLD 2.0 04 '!$A$18:$A$200),1,0)),"")</f>
        <v/>
      </c>
      <c r="C494" s="152" t="str">
        <f ca="1">IFERROR(IFERROR(IFERROR(VLOOKUP(A493+1,CHOOSE({1,2},'Шаг2.Бланк заказа NEW'!$B$19:$B$201,'Шаг2.Бланк заказа NEW'!$A$19:$A$201),2,0),
VLOOKUP(A493+1-COUNT('Шаг2.Бланк заказа NEW'!$B$19:$B$201),CHOOSE({1,2},'Бланк OLD 0.8 04'!$B$18:$B$200,'Бланк OLD 0.8 04'!$A$18:$A$200),2,0)),
VLOOKUP(A493+1-COUNT('Шаг2.Бланк заказа NEW'!$B$19:$B$201)-COUNT('Бланк OLD 0.8 04'!$B$18:$B$200),CHOOSE({1,2},'Бланк OLD 2.0 04 '!$B$18:$B$200,'Бланк OLD 2.0 04 '!$A$18:$A$200),2,0)),"")</f>
        <v/>
      </c>
      <c r="D494" s="150" t="str">
        <f ca="1">IFERROR(VLOOKUP(C494,'Шаг1.Выбор плиты'!C:G,5,0),"")</f>
        <v/>
      </c>
      <c r="E494" s="147" t="str">
        <f ca="1">IFERROR(IFERROR(IF(VLOOKUP($A494,'Шаг2.Бланк заказа NEW'!$B$17:$N$201,2,0)="","",VLOOKUP($A494,'Шаг2.Бланк заказа NEW'!$B$17:$N$201,2,0)),
IF(VLOOKUP($A494-COUNT('Шаг2.Бланк заказа NEW'!$B$19:$B$201),'Бланк OLD 0.8 04'!$B$12:$K$200,2,0)="","",VLOOKUP($A494-COUNT('Шаг2.Бланк заказа NEW'!$B$19:$B$201),'Бланк OLD 0.8 04'!$B$12:$K$200,2,0))),
IF(VLOOKUP($A494-COUNT('Шаг2.Бланк заказа NEW'!$B$19:$B$201)-COUNT('Бланк OLD 0.8 04'!$B$18:$B$200),'Бланк OLD 2.0 04 '!$B$16:$K$200,2,0)="","",VLOOKUP($A494-COUNT('Шаг2.Бланк заказа NEW'!$B$19:$B$201)-COUNT('Бланк OLD 0.8 04'!$B$18:$B$200),'Бланк OLD 2.0 04 '!$B$16:$K$200,2,0)))</f>
        <v/>
      </c>
      <c r="F494" s="147" t="str">
        <f ca="1">IFERROR(IFERROR(IF(VLOOKUP($A494,'Шаг2.Бланк заказа NEW'!$B$17:$N$201,3,0)="","",VLOOKUP($A494,'Шаг2.Бланк заказа NEW'!$B$17:$N$201,3,0)),
IF(VLOOKUP($A494-COUNT('Шаг2.Бланк заказа NEW'!$B$19:$B$201),'Бланк OLD 0.8 04'!$B$12:$K$200,3,0)="","",VLOOKUP($A494-COUNT('Шаг2.Бланк заказа NEW'!$B$19:$B$201),'Бланк OLD 0.8 04'!$B$12:$K$200,3,0))),
IF(VLOOKUP($A494-COUNT('Шаг2.Бланк заказа NEW'!$B$19:$B$201)-COUNT('Бланк OLD 0.8 04'!$B$18:$B$200),'Бланк OLD 2.0 04 '!$B$16:$K$200,3,0)="","",VLOOKUP($A494-COUNT('Шаг2.Бланк заказа NEW'!$B$19:$B$201)-COUNT('Бланк OLD 0.8 04'!$B$18:$B$200),'Бланк OLD 2.0 04 '!$B$16:$K$200,3,0)))</f>
        <v/>
      </c>
      <c r="G494" s="176" t="str">
        <f ca="1">IF(IF(R494="","",IF(R494=1,SUMIFS('Шаг1.Выбор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плиты'!C:Q,12,0)),1))))))=0,
R494,
IF(R494="","",IF(R494=1,SUMIFS('Шаг1.Выбор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плиты'!N:N,R494,'Шаг1.Выбор плиты'!M:M,SMALL(INDIRECT("мм"&amp;VLOOKUP(C494,'Шаг1.Выбор плиты'!C:Q,12,0)),1)))))))</f>
        <v/>
      </c>
      <c r="H494" s="177" t="str">
        <f ca="1">IF(IF(S494="","",IF(S494=1,SUMIFS('Шаг1.Выбор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плиты'!C:Q,12,0)),1))))))=0,
S494,
IF(S494="","",IF(S494=1,SUMIFS('Шаг1.Выбор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плиты'!N:N,S494,'Шаг1.Выбор плиты'!M:M,SMALL(INDIRECT("мм"&amp;VLOOKUP(C494,'Шаг1.Выбор плиты'!C:Q,12,0)),1)))))))</f>
        <v/>
      </c>
      <c r="I494" s="147" t="str">
        <f ca="1">IFERROR(IFERROR(IF(VLOOKUP($A494,'Шаг2.Бланк заказа NEW'!$B$17:$N$201,6,0)="","",VLOOKUP($A494,'Шаг2.Бланк заказа NEW'!$B$17:$N$201,6,0)),
IF(VLOOKUP($A494-COUNT('Шаг2.Бланк заказа NEW'!$B$19:$B$201),'Бланк OLD 0.8 04'!$B$12:$K$200,6,0)="","",VLOOKUP($A494-COUNT('Шаг2.Бланк заказа NEW'!$B$19:$B$201),'Бланк OLD 0.8 04'!$B$12:$K$200,6,0))),
IF(VLOOKUP($A494-COUNT('Шаг2.Бланк заказа NEW'!$B$19:$B$201)-COUNT('Бланк OLD 0.8 04'!$B$18:$B$200),'Бланк OLD 2.0 04 '!$B$16:$K$200,6,0)="","",VLOOKUP($A494-COUNT('Шаг2.Бланк заказа NEW'!$B$19:$B$201)-COUNT('Бланк OLD 0.8 04'!$B$18:$B$200),'Бланк OLD 2.0 04 '!$B$16:$K$200,6,0)))</f>
        <v/>
      </c>
      <c r="J494" s="177" t="str">
        <f ca="1">IF(IF(T494="","",IF(T494=1,SUMIFS('Шаг1.Выбор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плиты'!C:Q,12,0)),1))))))=0,
T494,
IF(T494="","",IF(T494=1,SUMIFS('Шаг1.Выбор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плиты'!N:N,T494,'Шаг1.Выбор плиты'!M:M,SMALL(INDIRECT("мм"&amp;VLOOKUP(C494,'Шаг1.Выбор плиты'!C:Q,12,0)),1)))))))</f>
        <v/>
      </c>
      <c r="K494" s="177" t="str">
        <f ca="1">IF(IF(U494="","",IF(U494=1,SUMIFS('Шаг1.Выбор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плиты'!C:Q,12,0)),1))))))=0,
U494,
IF(U494="","",IF(U494=1,SUMIFS('Шаг1.Выбор плиты'!$G:$G,'Шаг1.Выбор плиты'!J:J,"*"&amp;RIGHT(VLOOKUP(C494,'Шаг1.Выбор плиты'!C:Q,8,0),4),'Шаг1.Выбор плиты'!L:L,IF(MID(C494,1,6)="ЛДСП P","TM"&amp;MID(VLOOKUP(C494,'Шаг1.Выбор плиты'!C:Q,10,0),3,2),MID(VLOOKUP(C494,'Шаг1.Выбор плиты'!C:Q,10,0),1,2)),
'Шаг1.Выбор плиты'!N:N,1),IF(SUMIFS('Шаг1.Выбор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плиты'!C:Q,12,0)),1))=0,
IF(SUMIFS('Шаг1.Выбор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плиты'!C:Q,12,0)),2))=0,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плиты'!C:Q,12,0)),3)),
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плиты'!C:Q,12,0)),2))),
(SUMIFS('Шаг1.Выбор плиты'!$G:$G,'Шаг1.Выбор плиты'!J:J,"*"&amp;RIGHT(VLOOKUP(C494,'Шаг1.Выбор плиты'!C:Q,8,0),4),'Шаг1.Выбор плиты'!L:L,VLOOKUP(C494,'Шаг1.Выбор плиты'!C:Q,10,0),'Шаг1.Выбор плиты'!N:N,U494,'Шаг1.Выбор плиты'!M:M,SMALL(INDIRECT("мм"&amp;VLOOKUP(C494,'Шаг1.Выбор плиты'!C:Q,12,0)),1)))))))</f>
        <v/>
      </c>
      <c r="L494" s="147" t="str">
        <f ca="1">IFERROR(IFERROR(IF(VLOOKUP($A494,'Шаг2.Бланк заказа NEW'!$B$17:$N$201,9,0)="","",VLOOKUP($A494,'Шаг2.Бланк заказа NEW'!$B$17:$N$201,9,0)),
IF(VLOOKUP($A494-COUNT('Шаг2.Бланк заказа NEW'!$B$19:$B$201),'Бланк OLD 0.8 04'!$B$12:$K$200,9,0)="","",VLOOKUP($A494-COUNT('Шаг2.Бланк заказа NEW'!$B$19:$B$201),'Бланк OLD 0.8 04'!$B$12:$K$200,9,0))),
IF(VLOOKUP($A494-COUNT('Шаг2.Бланк заказа NEW'!$B$19:$B$201)-COUNT('Бланк OLD 0.8 04'!$B$18:$B$200),'Бланк OLD 2.0 04 '!$B$16:$K$200,9,0)="","",VLOOKUP($A494-COUNT('Шаг2.Бланк заказа NEW'!$B$19:$B$201)-COUNT('Бланк OLD 0.8 04'!$B$18:$B$200),'Бланк OLD 2.0 04 '!$B$16:$K$200,9,0)))</f>
        <v/>
      </c>
      <c r="M494" s="154" t="str">
        <f t="shared" ca="1" si="44"/>
        <v/>
      </c>
      <c r="N494" s="153" t="str">
        <f ca="1">IFERROR(IF(VLOOKUP($A494,'Шаг2.Бланк заказа NEW'!$B$17:$N$201,11,0)="","",VLOOKUP($A494,'Шаг2.Бланк заказа NEW'!$B$17:$N$201,11,0)),
"Нет")</f>
        <v/>
      </c>
      <c r="O494" s="147" t="str">
        <f ca="1">IFERROR(IF(VLOOKUP($A494,'Шаг2.Бланк заказа NEW'!$B$17:$N$201,11,0)="","",VLOOKUP($A494,'Шаг2.Бланк заказа NEW'!$B$17:$N$201,12,0)),
"Нет")</f>
        <v/>
      </c>
      <c r="P494" s="153" t="str">
        <f ca="1">IFERROR(IF(VLOOKUP($A494,'Шаг2.Бланк заказа NEW'!$B$17:$N$201,13,0)="","",VLOOKUP($A494,'Шаг2.Бланк заказа NEW'!$B$17:$N$201,13,0)),
"Нет")</f>
        <v/>
      </c>
      <c r="Q494" s="147" t="str">
        <f ca="1">IFERROR(IF(VLOOKUP($A494,'Шаг2.Бланк заказа NEW'!$B$17:$O$201,14,0)="","",VLOOKUP($A494,'Шаг2.Бланк заказа NEW'!$B$17:$O$201,14,0)),"")</f>
        <v/>
      </c>
      <c r="R494" s="147" t="str">
        <f ca="1">IFERROR(IFERROR(IF(VLOOKUP($A494,'Шаг2.Бланк заказа NEW'!$B$17:$N$201,4,0)="","",VLOOKUP($A494,'Шаг2.Бланк заказа NEW'!$B$17:$N$201,4,0)),
IF(VLOOKUP($A494-COUNT('Шаг2.Бланк заказа NEW'!$B$19:$B$201),'Бланк OLD 0.8 04'!$B$12:$K$200,4,0)&gt;0,0.8,
IF(VLOOKUP($A494-COUNT('Шаг2.Бланк заказа NEW'!$B$19:$B$201),'Бланк OLD 0.8 04'!$B$12:$K$200,5,0)&gt;0,0.4,""))),
IF(VLOOKUP($A494-COUNT('Шаг2.Бланк заказа NEW'!$B$19:$B$201)-COUNT('Бланк OLD 0.8 04'!$B$18:$B$200),'Бланк OLD 2.0 04 '!$B$16:$K$200,4,0)&gt;0,2,IF(VLOOKUP($A494-COUNT('Шаг2.Бланк заказа NEW'!$B$19:$B$201)-COUNT('Бланк OLD 0.8 04'!$B$18:$B$200),'Бланк OLD 2.0 04 '!$B$16:$K$200,5,0)&gt;0,0.4,"")))</f>
        <v/>
      </c>
      <c r="S494" s="147" t="str">
        <f ca="1">IFERROR(IFERROR(IF(VLOOKUP($A494,'Шаг2.Бланк заказа NEW'!$B$17:$N$201,5,0)="","",VLOOKUP($A494,'Шаг2.Бланк заказа NEW'!$B$17:$N$201,5,0)),
IF(VLOOKUP($A494-COUNT('Шаг2.Бланк заказа NEW'!$B$19:$B$201),'Бланк OLD 0.8 04'!$B$12:$K$200,4,0)&gt;1,0.8,
IF(VLOOKUP($A494-COUNT('Шаг2.Бланк заказа NEW'!$B$19:$B$201),'Бланк OLD 0.8 04'!$B$12:$K$200,5,0)&gt;1,0.4,
IF(AND(VLOOKUP($A494-COUNT('Шаг2.Бланк заказа NEW'!$B$19:$B$201),'Бланк OLD 0.8 04'!$B$12:$K$200,4,0)&gt;0,VLOOKUP($A494-COUNT('Шаг2.Бланк заказа NEW'!$B$19:$B$201),'Бланк OLD 0.8 04'!$B$12:$K$200,5,0)&gt;0),0.4,"")))),
IF(VLOOKUP($A494-COUNT('Шаг2.Бланк заказа NEW'!$B$19:$B$201)-COUNT('Бланк OLD 0.8 04'!$B$18:$B$200),'Бланк OLD 2.0 04 '!$B$16:$K$200,4,0)&gt;1,2,
IF(VLOOKUP($A494-COUNT('Шаг2.Бланк заказа NEW'!$B$19:$B$201)-COUNT('Бланк OLD 0.8 04'!$B$18:$B$200),'Бланк OLD 2.0 04 '!$B$16:$K$200,5,0)&gt;1,0.4,IF(AND(VLOOKUP($A494-COUNT('Шаг2.Бланк заказа NEW'!$B$19:$B$201)-COUNT('Бланк OLD 0.8 04'!$B$18:$B$200),'Бланк OLD 2.0 04 '!$B$16:$K$200,4,0)&gt;0,VLOOKUP($A494-COUNT('Шаг2.Бланк заказа NEW'!$B$19:$B$201)-COUNT('Бланк OLD 0.8 04'!$B$18:$B$200),'Бланк OLD 2.0 04 '!$B$16:$K$200,5,0)&gt;0),0.4,""))))</f>
        <v/>
      </c>
      <c r="T494" s="147" t="str">
        <f ca="1">IFERROR(IFERROR(IF(VLOOKUP($A494,'Шаг2.Бланк заказа NEW'!$B$17:$N$201,7,0)="","",VLOOKUP($A494,'Шаг2.Бланк заказа NEW'!$B$17:$N$201,7,0)),
IF(VLOOKUP($A494-COUNT('Шаг2.Бланк заказа NEW'!$B$19:$B$201),'Бланк OLD 0.8 04'!$B$12:$K$200,7,0)&gt;0,0.8,
IF(VLOOKUP($A494-COUNT('Шаг2.Бланк заказа NEW'!$B$19:$B$201),'Бланк OLD 0.8 04'!$B$12:$K$200,8,0)&gt;0,0.4,""))),
IF(VLOOKUP($A494-COUNT('Шаг2.Бланк заказа NEW'!$B$19:$B$201)-COUNT('Бланк OLD 0.8 04'!$B$18:$B$200),'Бланк OLD 2.0 04 '!$B$16:$K$200,7,0)&gt;0,2,IF(VLOOKUP($A494-COUNT('Шаг2.Бланк заказа NEW'!$B$19:$B$201)-COUNT('Бланк OLD 0.8 04'!$B$18:$B$200),'Бланк OLD 2.0 04 '!$B$16:$K$200,8,0)&gt;0,0.4,"")))</f>
        <v/>
      </c>
      <c r="U494" s="147" t="str">
        <f ca="1">IFERROR(IFERROR(IF(VLOOKUP($A494,'Шаг2.Бланк заказа NEW'!$B$17:$N$201,8,0)="","",VLOOKUP($A494,'Шаг2.Бланк заказа NEW'!$B$17:$N$201,8,0)),
IF(VLOOKUP($A494-COUNT('Шаг2.Бланк заказа NEW'!$B$19:$B$201),'Бланк OLD 0.8 04'!$B$12:$K$200,7,0)&gt;1,0.8,
IF(VLOOKUP($A494-COUNT('Шаг2.Бланк заказа NEW'!$B$19:$B$201),'Бланк OLD 0.8 04'!$B$12:$K$200,8,0)&gt;1,0.4,
IF(AND(VLOOKUP($A494-COUNT('Шаг2.Бланк заказа NEW'!$B$19:$B$201),'Бланк OLD 0.8 04'!$B$12:$K$200,7,0)&gt;0,VLOOKUP($A494-COUNT('Шаг2.Бланк заказа NEW'!$B$19:$B$201),'Бланк OLD 0.8 04'!$B$12:$K$200,8,0)&gt;0),0.4,"")))),
IF(VLOOKUP($A494-COUNT('Шаг2.Бланк заказа NEW'!$B$19:$B$201)-COUNT('Бланк OLD 0.8 04'!$B$18:$B$200),'Бланк OLD 2.0 04 '!$B$16:$K$200,7,0)&gt;1,2,
IF(VLOOKUP($A494-COUNT('Шаг2.Бланк заказа NEW'!$B$19:$B$201)-COUNT('Бланк OLD 0.8 04'!$B$18:$B$200),'Бланк OLD 2.0 04 '!$B$16:$K$200,8,0)&gt;1,0.4,
IF(AND(VLOOKUP($A494-COUNT('Шаг2.Бланк заказа NEW'!$B$19:$B$201)-COUNT('Бланк OLD 0.8 04'!$B$18:$B$200),'Бланк OLD 2.0 04 '!$B$16:$K$200,7,0)&gt;0,VLOOKUP($A494-COUNT('Шаг2.Бланк заказа NEW'!$B$19:$B$201)-COUNT('Бланк OLD 0.8 04'!$B$18:$B$200),'Бланк OLD 2.0 04 '!$B$16:$K$200,8,0)&gt;0),0.4,""))))</f>
        <v/>
      </c>
      <c r="V494" s="146" t="str">
        <f ca="1">IFERROR(VLOOKUP(C494,'Шаг1.Выбор плиты'!C:S,12,0),"")</f>
        <v/>
      </c>
      <c r="W494" s="146" t="str">
        <f ca="1">IFERROR(VLOOKUP(C494,'Шаг1.Выбор плиты'!C:S,8,0),"")</f>
        <v/>
      </c>
      <c r="X494" s="146" t="str">
        <f ca="1">IFERROR(VLOOKUP(C494,'Шаг1.Выбор плиты'!C:S,10,0),"")</f>
        <v/>
      </c>
      <c r="Y494" s="147" t="str">
        <f t="shared" ca="1" si="46"/>
        <v/>
      </c>
      <c r="AD494" s="147" t="str">
        <f t="shared" ca="1" si="42"/>
        <v/>
      </c>
      <c r="AE494" s="147" t="str">
        <f t="shared" ca="1" si="47"/>
        <v/>
      </c>
      <c r="AF494" s="25"/>
      <c r="AH494" s="147" t="str">
        <f ca="1">IF(C494="","",VLOOKUP(C494,'Шаг1.Выбор плиты'!C:Q,7,0))</f>
        <v/>
      </c>
      <c r="AI494" s="147" t="str">
        <f t="shared" ca="1" si="45"/>
        <v/>
      </c>
    </row>
    <row r="495" spans="1:35" x14ac:dyDescent="0.2">
      <c r="A495" s="151" t="str">
        <f ca="1">IF(C495="","",MAX($A$1:OFFSET(C495,-1,0))+1)</f>
        <v/>
      </c>
      <c r="B495" s="151" t="str">
        <f ca="1">IFERROR(IFERROR(IFERROR("Шаг2.Бланк заказа NEW №"&amp;VLOOKUP(A494+1,CHOOSE({1,2},'Шаг2.Бланк заказа NEW'!$B$19:$B$201,'Шаг2.Бланк заказа NEW'!$A$19:$A$201),1,0),
"Бланк OLD 0.8 04 №"&amp;VLOOKUP(A494+1-COUNT('Шаг2.Бланк заказа NEW'!$B$19:$B$201),CHOOSE({1,2},'Бланк OLD 0.8 04'!$B$18:$B$200,'Бланк OLD 0.8 04'!$A$18:$A$200),1,0)),
"Бланк OLD 2.0 04 №"&amp;VLOOKUP(A494+1-COUNT('Шаг2.Бланк заказа NEW'!$B$19:$B$201)-COUNT('Бланк OLD 0.8 04'!$B$18:$B$200),CHOOSE({1,2},'Бланк OLD 2.0 04 '!$B$18:$B$200,'Бланк OLD 2.0 04 '!$A$18:$A$200),1,0)),"")</f>
        <v/>
      </c>
      <c r="C495" s="152" t="str">
        <f ca="1">IFERROR(IFERROR(IFERROR(VLOOKUP(A494+1,CHOOSE({1,2},'Шаг2.Бланк заказа NEW'!$B$19:$B$201,'Шаг2.Бланк заказа NEW'!$A$19:$A$201),2,0),
VLOOKUP(A494+1-COUNT('Шаг2.Бланк заказа NEW'!$B$19:$B$201),CHOOSE({1,2},'Бланк OLD 0.8 04'!$B$18:$B$200,'Бланк OLD 0.8 04'!$A$18:$A$200),2,0)),
VLOOKUP(A494+1-COUNT('Шаг2.Бланк заказа NEW'!$B$19:$B$201)-COUNT('Бланк OLD 0.8 04'!$B$18:$B$200),CHOOSE({1,2},'Бланк OLD 2.0 04 '!$B$18:$B$200,'Бланк OLD 2.0 04 '!$A$18:$A$200),2,0)),"")</f>
        <v/>
      </c>
      <c r="D495" s="150" t="str">
        <f ca="1">IFERROR(VLOOKUP(C495,'Шаг1.Выбор плиты'!C:G,5,0),"")</f>
        <v/>
      </c>
      <c r="E495" s="147" t="str">
        <f ca="1">IFERROR(IFERROR(IF(VLOOKUP($A495,'Шаг2.Бланк заказа NEW'!$B$17:$N$201,2,0)="","",VLOOKUP($A495,'Шаг2.Бланк заказа NEW'!$B$17:$N$201,2,0)),
IF(VLOOKUP($A495-COUNT('Шаг2.Бланк заказа NEW'!$B$19:$B$201),'Бланк OLD 0.8 04'!$B$12:$K$200,2,0)="","",VLOOKUP($A495-COUNT('Шаг2.Бланк заказа NEW'!$B$19:$B$201),'Бланк OLD 0.8 04'!$B$12:$K$200,2,0))),
IF(VLOOKUP($A495-COUNT('Шаг2.Бланк заказа NEW'!$B$19:$B$201)-COUNT('Бланк OLD 0.8 04'!$B$18:$B$200),'Бланк OLD 2.0 04 '!$B$16:$K$200,2,0)="","",VLOOKUP($A495-COUNT('Шаг2.Бланк заказа NEW'!$B$19:$B$201)-COUNT('Бланк OLD 0.8 04'!$B$18:$B$200),'Бланк OLD 2.0 04 '!$B$16:$K$200,2,0)))</f>
        <v/>
      </c>
      <c r="F495" s="147" t="str">
        <f ca="1">IFERROR(IFERROR(IF(VLOOKUP($A495,'Шаг2.Бланк заказа NEW'!$B$17:$N$201,3,0)="","",VLOOKUP($A495,'Шаг2.Бланк заказа NEW'!$B$17:$N$201,3,0)),
IF(VLOOKUP($A495-COUNT('Шаг2.Бланк заказа NEW'!$B$19:$B$201),'Бланк OLD 0.8 04'!$B$12:$K$200,3,0)="","",VLOOKUP($A495-COUNT('Шаг2.Бланк заказа NEW'!$B$19:$B$201),'Бланк OLD 0.8 04'!$B$12:$K$200,3,0))),
IF(VLOOKUP($A495-COUNT('Шаг2.Бланк заказа NEW'!$B$19:$B$201)-COUNT('Бланк OLD 0.8 04'!$B$18:$B$200),'Бланк OLD 2.0 04 '!$B$16:$K$200,3,0)="","",VLOOKUP($A495-COUNT('Шаг2.Бланк заказа NEW'!$B$19:$B$201)-COUNT('Бланк OLD 0.8 04'!$B$18:$B$200),'Бланк OLD 2.0 04 '!$B$16:$K$200,3,0)))</f>
        <v/>
      </c>
      <c r="G495" s="176" t="str">
        <f ca="1">IF(IF(R495="","",IF(R495=1,SUMIFS('Шаг1.Выбор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плиты'!C:Q,12,0)),1))))))=0,
R495,
IF(R495="","",IF(R495=1,SUMIFS('Шаг1.Выбор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плиты'!N:N,R495,'Шаг1.Выбор плиты'!M:M,SMALL(INDIRECT("мм"&amp;VLOOKUP(C495,'Шаг1.Выбор плиты'!C:Q,12,0)),1)))))))</f>
        <v/>
      </c>
      <c r="H495" s="177" t="str">
        <f ca="1">IF(IF(S495="","",IF(S495=1,SUMIFS('Шаг1.Выбор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плиты'!C:Q,12,0)),1))))))=0,
S495,
IF(S495="","",IF(S495=1,SUMIFS('Шаг1.Выбор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плиты'!N:N,S495,'Шаг1.Выбор плиты'!M:M,SMALL(INDIRECT("мм"&amp;VLOOKUP(C495,'Шаг1.Выбор плиты'!C:Q,12,0)),1)))))))</f>
        <v/>
      </c>
      <c r="I495" s="147" t="str">
        <f ca="1">IFERROR(IFERROR(IF(VLOOKUP($A495,'Шаг2.Бланк заказа NEW'!$B$17:$N$201,6,0)="","",VLOOKUP($A495,'Шаг2.Бланк заказа NEW'!$B$17:$N$201,6,0)),
IF(VLOOKUP($A495-COUNT('Шаг2.Бланк заказа NEW'!$B$19:$B$201),'Бланк OLD 0.8 04'!$B$12:$K$200,6,0)="","",VLOOKUP($A495-COUNT('Шаг2.Бланк заказа NEW'!$B$19:$B$201),'Бланк OLD 0.8 04'!$B$12:$K$200,6,0))),
IF(VLOOKUP($A495-COUNT('Шаг2.Бланк заказа NEW'!$B$19:$B$201)-COUNT('Бланк OLD 0.8 04'!$B$18:$B$200),'Бланк OLD 2.0 04 '!$B$16:$K$200,6,0)="","",VLOOKUP($A495-COUNT('Шаг2.Бланк заказа NEW'!$B$19:$B$201)-COUNT('Бланк OLD 0.8 04'!$B$18:$B$200),'Бланк OLD 2.0 04 '!$B$16:$K$200,6,0)))</f>
        <v/>
      </c>
      <c r="J495" s="177" t="str">
        <f ca="1">IF(IF(T495="","",IF(T495=1,SUMIFS('Шаг1.Выбор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плиты'!C:Q,12,0)),1))))))=0,
T495,
IF(T495="","",IF(T495=1,SUMIFS('Шаг1.Выбор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плиты'!N:N,T495,'Шаг1.Выбор плиты'!M:M,SMALL(INDIRECT("мм"&amp;VLOOKUP(C495,'Шаг1.Выбор плиты'!C:Q,12,0)),1)))))))</f>
        <v/>
      </c>
      <c r="K495" s="177" t="str">
        <f ca="1">IF(IF(U495="","",IF(U495=1,SUMIFS('Шаг1.Выбор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плиты'!C:Q,12,0)),1))))))=0,
U495,
IF(U495="","",IF(U495=1,SUMIFS('Шаг1.Выбор плиты'!$G:$G,'Шаг1.Выбор плиты'!J:J,"*"&amp;RIGHT(VLOOKUP(C495,'Шаг1.Выбор плиты'!C:Q,8,0),4),'Шаг1.Выбор плиты'!L:L,IF(MID(C495,1,6)="ЛДСП P","TM"&amp;MID(VLOOKUP(C495,'Шаг1.Выбор плиты'!C:Q,10,0),3,2),MID(VLOOKUP(C495,'Шаг1.Выбор плиты'!C:Q,10,0),1,2)),
'Шаг1.Выбор плиты'!N:N,1),IF(SUMIFS('Шаг1.Выбор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плиты'!C:Q,12,0)),1))=0,
IF(SUMIFS('Шаг1.Выбор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плиты'!C:Q,12,0)),2))=0,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плиты'!C:Q,12,0)),3)),
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плиты'!C:Q,12,0)),2))),
(SUMIFS('Шаг1.Выбор плиты'!$G:$G,'Шаг1.Выбор плиты'!J:J,"*"&amp;RIGHT(VLOOKUP(C495,'Шаг1.Выбор плиты'!C:Q,8,0),4),'Шаг1.Выбор плиты'!L:L,VLOOKUP(C495,'Шаг1.Выбор плиты'!C:Q,10,0),'Шаг1.Выбор плиты'!N:N,U495,'Шаг1.Выбор плиты'!M:M,SMALL(INDIRECT("мм"&amp;VLOOKUP(C495,'Шаг1.Выбор плиты'!C:Q,12,0)),1)))))))</f>
        <v/>
      </c>
      <c r="L495" s="147" t="str">
        <f ca="1">IFERROR(IFERROR(IF(VLOOKUP($A495,'Шаг2.Бланк заказа NEW'!$B$17:$N$201,9,0)="","",VLOOKUP($A495,'Шаг2.Бланк заказа NEW'!$B$17:$N$201,9,0)),
IF(VLOOKUP($A495-COUNT('Шаг2.Бланк заказа NEW'!$B$19:$B$201),'Бланк OLD 0.8 04'!$B$12:$K$200,9,0)="","",VLOOKUP($A495-COUNT('Шаг2.Бланк заказа NEW'!$B$19:$B$201),'Бланк OLD 0.8 04'!$B$12:$K$200,9,0))),
IF(VLOOKUP($A495-COUNT('Шаг2.Бланк заказа NEW'!$B$19:$B$201)-COUNT('Бланк OLD 0.8 04'!$B$18:$B$200),'Бланк OLD 2.0 04 '!$B$16:$K$200,9,0)="","",VLOOKUP($A495-COUNT('Шаг2.Бланк заказа NEW'!$B$19:$B$201)-COUNT('Бланк OLD 0.8 04'!$B$18:$B$200),'Бланк OLD 2.0 04 '!$B$16:$K$200,9,0)))</f>
        <v/>
      </c>
      <c r="M495" s="154" t="str">
        <f t="shared" ca="1" si="44"/>
        <v/>
      </c>
      <c r="N495" s="153" t="str">
        <f ca="1">IFERROR(IF(VLOOKUP($A495,'Шаг2.Бланк заказа NEW'!$B$17:$N$201,11,0)="","",VLOOKUP($A495,'Шаг2.Бланк заказа NEW'!$B$17:$N$201,11,0)),
"Нет")</f>
        <v/>
      </c>
      <c r="O495" s="147" t="str">
        <f ca="1">IFERROR(IF(VLOOKUP($A495,'Шаг2.Бланк заказа NEW'!$B$17:$N$201,11,0)="","",VLOOKUP($A495,'Шаг2.Бланк заказа NEW'!$B$17:$N$201,12,0)),
"Нет")</f>
        <v/>
      </c>
      <c r="P495" s="153" t="str">
        <f ca="1">IFERROR(IF(VLOOKUP($A495,'Шаг2.Бланк заказа NEW'!$B$17:$N$201,13,0)="","",VLOOKUP($A495,'Шаг2.Бланк заказа NEW'!$B$17:$N$201,13,0)),
"Нет")</f>
        <v/>
      </c>
      <c r="Q495" s="147" t="str">
        <f ca="1">IFERROR(IF(VLOOKUP($A495,'Шаг2.Бланк заказа NEW'!$B$17:$O$201,14,0)="","",VLOOKUP($A495,'Шаг2.Бланк заказа NEW'!$B$17:$O$201,14,0)),"")</f>
        <v/>
      </c>
      <c r="R495" s="147" t="str">
        <f ca="1">IFERROR(IFERROR(IF(VLOOKUP($A495,'Шаг2.Бланк заказа NEW'!$B$17:$N$201,4,0)="","",VLOOKUP($A495,'Шаг2.Бланк заказа NEW'!$B$17:$N$201,4,0)),
IF(VLOOKUP($A495-COUNT('Шаг2.Бланк заказа NEW'!$B$19:$B$201),'Бланк OLD 0.8 04'!$B$12:$K$200,4,0)&gt;0,0.8,
IF(VLOOKUP($A495-COUNT('Шаг2.Бланк заказа NEW'!$B$19:$B$201),'Бланк OLD 0.8 04'!$B$12:$K$200,5,0)&gt;0,0.4,""))),
IF(VLOOKUP($A495-COUNT('Шаг2.Бланк заказа NEW'!$B$19:$B$201)-COUNT('Бланк OLD 0.8 04'!$B$18:$B$200),'Бланк OLD 2.0 04 '!$B$16:$K$200,4,0)&gt;0,2,IF(VLOOKUP($A495-COUNT('Шаг2.Бланк заказа NEW'!$B$19:$B$201)-COUNT('Бланк OLD 0.8 04'!$B$18:$B$200),'Бланк OLD 2.0 04 '!$B$16:$K$200,5,0)&gt;0,0.4,"")))</f>
        <v/>
      </c>
      <c r="S495" s="147" t="str">
        <f ca="1">IFERROR(IFERROR(IF(VLOOKUP($A495,'Шаг2.Бланк заказа NEW'!$B$17:$N$201,5,0)="","",VLOOKUP($A495,'Шаг2.Бланк заказа NEW'!$B$17:$N$201,5,0)),
IF(VLOOKUP($A495-COUNT('Шаг2.Бланк заказа NEW'!$B$19:$B$201),'Бланк OLD 0.8 04'!$B$12:$K$200,4,0)&gt;1,0.8,
IF(VLOOKUP($A495-COUNT('Шаг2.Бланк заказа NEW'!$B$19:$B$201),'Бланк OLD 0.8 04'!$B$12:$K$200,5,0)&gt;1,0.4,
IF(AND(VLOOKUP($A495-COUNT('Шаг2.Бланк заказа NEW'!$B$19:$B$201),'Бланк OLD 0.8 04'!$B$12:$K$200,4,0)&gt;0,VLOOKUP($A495-COUNT('Шаг2.Бланк заказа NEW'!$B$19:$B$201),'Бланк OLD 0.8 04'!$B$12:$K$200,5,0)&gt;0),0.4,"")))),
IF(VLOOKUP($A495-COUNT('Шаг2.Бланк заказа NEW'!$B$19:$B$201)-COUNT('Бланк OLD 0.8 04'!$B$18:$B$200),'Бланк OLD 2.0 04 '!$B$16:$K$200,4,0)&gt;1,2,
IF(VLOOKUP($A495-COUNT('Шаг2.Бланк заказа NEW'!$B$19:$B$201)-COUNT('Бланк OLD 0.8 04'!$B$18:$B$200),'Бланк OLD 2.0 04 '!$B$16:$K$200,5,0)&gt;1,0.4,IF(AND(VLOOKUP($A495-COUNT('Шаг2.Бланк заказа NEW'!$B$19:$B$201)-COUNT('Бланк OLD 0.8 04'!$B$18:$B$200),'Бланк OLD 2.0 04 '!$B$16:$K$200,4,0)&gt;0,VLOOKUP($A495-COUNT('Шаг2.Бланк заказа NEW'!$B$19:$B$201)-COUNT('Бланк OLD 0.8 04'!$B$18:$B$200),'Бланк OLD 2.0 04 '!$B$16:$K$200,5,0)&gt;0),0.4,""))))</f>
        <v/>
      </c>
      <c r="T495" s="147" t="str">
        <f ca="1">IFERROR(IFERROR(IF(VLOOKUP($A495,'Шаг2.Бланк заказа NEW'!$B$17:$N$201,7,0)="","",VLOOKUP($A495,'Шаг2.Бланк заказа NEW'!$B$17:$N$201,7,0)),
IF(VLOOKUP($A495-COUNT('Шаг2.Бланк заказа NEW'!$B$19:$B$201),'Бланк OLD 0.8 04'!$B$12:$K$200,7,0)&gt;0,0.8,
IF(VLOOKUP($A495-COUNT('Шаг2.Бланк заказа NEW'!$B$19:$B$201),'Бланк OLD 0.8 04'!$B$12:$K$200,8,0)&gt;0,0.4,""))),
IF(VLOOKUP($A495-COUNT('Шаг2.Бланк заказа NEW'!$B$19:$B$201)-COUNT('Бланк OLD 0.8 04'!$B$18:$B$200),'Бланк OLD 2.0 04 '!$B$16:$K$200,7,0)&gt;0,2,IF(VLOOKUP($A495-COUNT('Шаг2.Бланк заказа NEW'!$B$19:$B$201)-COUNT('Бланк OLD 0.8 04'!$B$18:$B$200),'Бланк OLD 2.0 04 '!$B$16:$K$200,8,0)&gt;0,0.4,"")))</f>
        <v/>
      </c>
      <c r="U495" s="147" t="str">
        <f ca="1">IFERROR(IFERROR(IF(VLOOKUP($A495,'Шаг2.Бланк заказа NEW'!$B$17:$N$201,8,0)="","",VLOOKUP($A495,'Шаг2.Бланк заказа NEW'!$B$17:$N$201,8,0)),
IF(VLOOKUP($A495-COUNT('Шаг2.Бланк заказа NEW'!$B$19:$B$201),'Бланк OLD 0.8 04'!$B$12:$K$200,7,0)&gt;1,0.8,
IF(VLOOKUP($A495-COUNT('Шаг2.Бланк заказа NEW'!$B$19:$B$201),'Бланк OLD 0.8 04'!$B$12:$K$200,8,0)&gt;1,0.4,
IF(AND(VLOOKUP($A495-COUNT('Шаг2.Бланк заказа NEW'!$B$19:$B$201),'Бланк OLD 0.8 04'!$B$12:$K$200,7,0)&gt;0,VLOOKUP($A495-COUNT('Шаг2.Бланк заказа NEW'!$B$19:$B$201),'Бланк OLD 0.8 04'!$B$12:$K$200,8,0)&gt;0),0.4,"")))),
IF(VLOOKUP($A495-COUNT('Шаг2.Бланк заказа NEW'!$B$19:$B$201)-COUNT('Бланк OLD 0.8 04'!$B$18:$B$200),'Бланк OLD 2.0 04 '!$B$16:$K$200,7,0)&gt;1,2,
IF(VLOOKUP($A495-COUNT('Шаг2.Бланк заказа NEW'!$B$19:$B$201)-COUNT('Бланк OLD 0.8 04'!$B$18:$B$200),'Бланк OLD 2.0 04 '!$B$16:$K$200,8,0)&gt;1,0.4,
IF(AND(VLOOKUP($A495-COUNT('Шаг2.Бланк заказа NEW'!$B$19:$B$201)-COUNT('Бланк OLD 0.8 04'!$B$18:$B$200),'Бланк OLD 2.0 04 '!$B$16:$K$200,7,0)&gt;0,VLOOKUP($A495-COUNT('Шаг2.Бланк заказа NEW'!$B$19:$B$201)-COUNT('Бланк OLD 0.8 04'!$B$18:$B$200),'Бланк OLD 2.0 04 '!$B$16:$K$200,8,0)&gt;0),0.4,""))))</f>
        <v/>
      </c>
      <c r="V495" s="146" t="str">
        <f ca="1">IFERROR(VLOOKUP(C495,'Шаг1.Выбор плиты'!C:S,12,0),"")</f>
        <v/>
      </c>
      <c r="W495" s="146" t="str">
        <f ca="1">IFERROR(VLOOKUP(C495,'Шаг1.Выбор плиты'!C:S,8,0),"")</f>
        <v/>
      </c>
      <c r="X495" s="146" t="str">
        <f ca="1">IFERROR(VLOOKUP(C495,'Шаг1.Выбор плиты'!C:S,10,0),"")</f>
        <v/>
      </c>
      <c r="Y495" s="147" t="str">
        <f t="shared" ca="1" si="46"/>
        <v/>
      </c>
      <c r="AD495" s="147" t="str">
        <f t="shared" ca="1" si="42"/>
        <v/>
      </c>
      <c r="AE495" s="147" t="str">
        <f t="shared" ca="1" si="47"/>
        <v/>
      </c>
      <c r="AF495" s="25"/>
      <c r="AH495" s="147" t="str">
        <f ca="1">IF(C495="","",VLOOKUP(C495,'Шаг1.Выбор плиты'!C:Q,7,0))</f>
        <v/>
      </c>
      <c r="AI495" s="147" t="str">
        <f t="shared" ca="1" si="45"/>
        <v/>
      </c>
    </row>
    <row r="496" spans="1:35" x14ac:dyDescent="0.2">
      <c r="A496" s="151" t="str">
        <f ca="1">IF(C496="","",MAX($A$1:OFFSET(C496,-1,0))+1)</f>
        <v/>
      </c>
      <c r="B496" s="151" t="str">
        <f ca="1">IFERROR(IFERROR(IFERROR("Шаг2.Бланк заказа NEW №"&amp;VLOOKUP(A495+1,CHOOSE({1,2},'Шаг2.Бланк заказа NEW'!$B$19:$B$201,'Шаг2.Бланк заказа NEW'!$A$19:$A$201),1,0),
"Бланк OLD 0.8 04 №"&amp;VLOOKUP(A495+1-COUNT('Шаг2.Бланк заказа NEW'!$B$19:$B$201),CHOOSE({1,2},'Бланк OLD 0.8 04'!$B$18:$B$200,'Бланк OLD 0.8 04'!$A$18:$A$200),1,0)),
"Бланк OLD 2.0 04 №"&amp;VLOOKUP(A495+1-COUNT('Шаг2.Бланк заказа NEW'!$B$19:$B$201)-COUNT('Бланк OLD 0.8 04'!$B$18:$B$200),CHOOSE({1,2},'Бланк OLD 2.0 04 '!$B$18:$B$200,'Бланк OLD 2.0 04 '!$A$18:$A$200),1,0)),"")</f>
        <v/>
      </c>
      <c r="C496" s="152" t="str">
        <f ca="1">IFERROR(IFERROR(IFERROR(VLOOKUP(A495+1,CHOOSE({1,2},'Шаг2.Бланк заказа NEW'!$B$19:$B$201,'Шаг2.Бланк заказа NEW'!$A$19:$A$201),2,0),
VLOOKUP(A495+1-COUNT('Шаг2.Бланк заказа NEW'!$B$19:$B$201),CHOOSE({1,2},'Бланк OLD 0.8 04'!$B$18:$B$200,'Бланк OLD 0.8 04'!$A$18:$A$200),2,0)),
VLOOKUP(A495+1-COUNT('Шаг2.Бланк заказа NEW'!$B$19:$B$201)-COUNT('Бланк OLD 0.8 04'!$B$18:$B$200),CHOOSE({1,2},'Бланк OLD 2.0 04 '!$B$18:$B$200,'Бланк OLD 2.0 04 '!$A$18:$A$200),2,0)),"")</f>
        <v/>
      </c>
      <c r="D496" s="150" t="str">
        <f ca="1">IFERROR(VLOOKUP(C496,'Шаг1.Выбор плиты'!C:G,5,0),"")</f>
        <v/>
      </c>
      <c r="E496" s="147" t="str">
        <f ca="1">IFERROR(IFERROR(IF(VLOOKUP($A496,'Шаг2.Бланк заказа NEW'!$B$17:$N$201,2,0)="","",VLOOKUP($A496,'Шаг2.Бланк заказа NEW'!$B$17:$N$201,2,0)),
IF(VLOOKUP($A496-COUNT('Шаг2.Бланк заказа NEW'!$B$19:$B$201),'Бланк OLD 0.8 04'!$B$12:$K$200,2,0)="","",VLOOKUP($A496-COUNT('Шаг2.Бланк заказа NEW'!$B$19:$B$201),'Бланк OLD 0.8 04'!$B$12:$K$200,2,0))),
IF(VLOOKUP($A496-COUNT('Шаг2.Бланк заказа NEW'!$B$19:$B$201)-COUNT('Бланк OLD 0.8 04'!$B$18:$B$200),'Бланк OLD 2.0 04 '!$B$16:$K$200,2,0)="","",VLOOKUP($A496-COUNT('Шаг2.Бланк заказа NEW'!$B$19:$B$201)-COUNT('Бланк OLD 0.8 04'!$B$18:$B$200),'Бланк OLD 2.0 04 '!$B$16:$K$200,2,0)))</f>
        <v/>
      </c>
      <c r="F496" s="147" t="str">
        <f ca="1">IFERROR(IFERROR(IF(VLOOKUP($A496,'Шаг2.Бланк заказа NEW'!$B$17:$N$201,3,0)="","",VLOOKUP($A496,'Шаг2.Бланк заказа NEW'!$B$17:$N$201,3,0)),
IF(VLOOKUP($A496-COUNT('Шаг2.Бланк заказа NEW'!$B$19:$B$201),'Бланк OLD 0.8 04'!$B$12:$K$200,3,0)="","",VLOOKUP($A496-COUNT('Шаг2.Бланк заказа NEW'!$B$19:$B$201),'Бланк OLD 0.8 04'!$B$12:$K$200,3,0))),
IF(VLOOKUP($A496-COUNT('Шаг2.Бланк заказа NEW'!$B$19:$B$201)-COUNT('Бланк OLD 0.8 04'!$B$18:$B$200),'Бланк OLD 2.0 04 '!$B$16:$K$200,3,0)="","",VLOOKUP($A496-COUNT('Шаг2.Бланк заказа NEW'!$B$19:$B$201)-COUNT('Бланк OLD 0.8 04'!$B$18:$B$200),'Бланк OLD 2.0 04 '!$B$16:$K$200,3,0)))</f>
        <v/>
      </c>
      <c r="G496" s="176" t="str">
        <f ca="1">IF(IF(R496="","",IF(R496=1,SUMIFS('Шаг1.Выбор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плиты'!C:Q,12,0)),1))))))=0,
R496,
IF(R496="","",IF(R496=1,SUMIFS('Шаг1.Выбор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плиты'!N:N,R496,'Шаг1.Выбор плиты'!M:M,SMALL(INDIRECT("мм"&amp;VLOOKUP(C496,'Шаг1.Выбор плиты'!C:Q,12,0)),1)))))))</f>
        <v/>
      </c>
      <c r="H496" s="177" t="str">
        <f ca="1">IF(IF(S496="","",IF(S496=1,SUMIFS('Шаг1.Выбор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плиты'!C:Q,12,0)),1))))))=0,
S496,
IF(S496="","",IF(S496=1,SUMIFS('Шаг1.Выбор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плиты'!N:N,S496,'Шаг1.Выбор плиты'!M:M,SMALL(INDIRECT("мм"&amp;VLOOKUP(C496,'Шаг1.Выбор плиты'!C:Q,12,0)),1)))))))</f>
        <v/>
      </c>
      <c r="I496" s="147" t="str">
        <f ca="1">IFERROR(IFERROR(IF(VLOOKUP($A496,'Шаг2.Бланк заказа NEW'!$B$17:$N$201,6,0)="","",VLOOKUP($A496,'Шаг2.Бланк заказа NEW'!$B$17:$N$201,6,0)),
IF(VLOOKUP($A496-COUNT('Шаг2.Бланк заказа NEW'!$B$19:$B$201),'Бланк OLD 0.8 04'!$B$12:$K$200,6,0)="","",VLOOKUP($A496-COUNT('Шаг2.Бланк заказа NEW'!$B$19:$B$201),'Бланк OLD 0.8 04'!$B$12:$K$200,6,0))),
IF(VLOOKUP($A496-COUNT('Шаг2.Бланк заказа NEW'!$B$19:$B$201)-COUNT('Бланк OLD 0.8 04'!$B$18:$B$200),'Бланк OLD 2.0 04 '!$B$16:$K$200,6,0)="","",VLOOKUP($A496-COUNT('Шаг2.Бланк заказа NEW'!$B$19:$B$201)-COUNT('Бланк OLD 0.8 04'!$B$18:$B$200),'Бланк OLD 2.0 04 '!$B$16:$K$200,6,0)))</f>
        <v/>
      </c>
      <c r="J496" s="177" t="str">
        <f ca="1">IF(IF(T496="","",IF(T496=1,SUMIFS('Шаг1.Выбор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плиты'!C:Q,12,0)),1))))))=0,
T496,
IF(T496="","",IF(T496=1,SUMIFS('Шаг1.Выбор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плиты'!N:N,T496,'Шаг1.Выбор плиты'!M:M,SMALL(INDIRECT("мм"&amp;VLOOKUP(C496,'Шаг1.Выбор плиты'!C:Q,12,0)),1)))))))</f>
        <v/>
      </c>
      <c r="K496" s="177" t="str">
        <f ca="1">IF(IF(U496="","",IF(U496=1,SUMIFS('Шаг1.Выбор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плиты'!C:Q,12,0)),1))))))=0,
U496,
IF(U496="","",IF(U496=1,SUMIFS('Шаг1.Выбор плиты'!$G:$G,'Шаг1.Выбор плиты'!J:J,"*"&amp;RIGHT(VLOOKUP(C496,'Шаг1.Выбор плиты'!C:Q,8,0),4),'Шаг1.Выбор плиты'!L:L,IF(MID(C496,1,6)="ЛДСП P","TM"&amp;MID(VLOOKUP(C496,'Шаг1.Выбор плиты'!C:Q,10,0),3,2),MID(VLOOKUP(C496,'Шаг1.Выбор плиты'!C:Q,10,0),1,2)),
'Шаг1.Выбор плиты'!N:N,1),IF(SUMIFS('Шаг1.Выбор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плиты'!C:Q,12,0)),1))=0,
IF(SUMIFS('Шаг1.Выбор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плиты'!C:Q,12,0)),2))=0,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плиты'!C:Q,12,0)),3)),
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плиты'!C:Q,12,0)),2))),
(SUMIFS('Шаг1.Выбор плиты'!$G:$G,'Шаг1.Выбор плиты'!J:J,"*"&amp;RIGHT(VLOOKUP(C496,'Шаг1.Выбор плиты'!C:Q,8,0),4),'Шаг1.Выбор плиты'!L:L,VLOOKUP(C496,'Шаг1.Выбор плиты'!C:Q,10,0),'Шаг1.Выбор плиты'!N:N,U496,'Шаг1.Выбор плиты'!M:M,SMALL(INDIRECT("мм"&amp;VLOOKUP(C496,'Шаг1.Выбор плиты'!C:Q,12,0)),1)))))))</f>
        <v/>
      </c>
      <c r="L496" s="147" t="str">
        <f ca="1">IFERROR(IFERROR(IF(VLOOKUP($A496,'Шаг2.Бланк заказа NEW'!$B$17:$N$201,9,0)="","",VLOOKUP($A496,'Шаг2.Бланк заказа NEW'!$B$17:$N$201,9,0)),
IF(VLOOKUP($A496-COUNT('Шаг2.Бланк заказа NEW'!$B$19:$B$201),'Бланк OLD 0.8 04'!$B$12:$K$200,9,0)="","",VLOOKUP($A496-COUNT('Шаг2.Бланк заказа NEW'!$B$19:$B$201),'Бланк OLD 0.8 04'!$B$12:$K$200,9,0))),
IF(VLOOKUP($A496-COUNT('Шаг2.Бланк заказа NEW'!$B$19:$B$201)-COUNT('Бланк OLD 0.8 04'!$B$18:$B$200),'Бланк OLD 2.0 04 '!$B$16:$K$200,9,0)="","",VLOOKUP($A496-COUNT('Шаг2.Бланк заказа NEW'!$B$19:$B$201)-COUNT('Бланк OLD 0.8 04'!$B$18:$B$200),'Бланк OLD 2.0 04 '!$B$16:$K$200,9,0)))</f>
        <v/>
      </c>
      <c r="M496" s="154" t="str">
        <f t="shared" ca="1" si="44"/>
        <v/>
      </c>
      <c r="N496" s="153" t="str">
        <f ca="1">IFERROR(IF(VLOOKUP($A496,'Шаг2.Бланк заказа NEW'!$B$17:$N$201,11,0)="","",VLOOKUP($A496,'Шаг2.Бланк заказа NEW'!$B$17:$N$201,11,0)),
"Нет")</f>
        <v/>
      </c>
      <c r="O496" s="147" t="str">
        <f ca="1">IFERROR(IF(VLOOKUP($A496,'Шаг2.Бланк заказа NEW'!$B$17:$N$201,11,0)="","",VLOOKUP($A496,'Шаг2.Бланк заказа NEW'!$B$17:$N$201,12,0)),
"Нет")</f>
        <v/>
      </c>
      <c r="P496" s="153" t="str">
        <f ca="1">IFERROR(IF(VLOOKUP($A496,'Шаг2.Бланк заказа NEW'!$B$17:$N$201,13,0)="","",VLOOKUP($A496,'Шаг2.Бланк заказа NEW'!$B$17:$N$201,13,0)),
"Нет")</f>
        <v/>
      </c>
      <c r="Q496" s="147" t="str">
        <f ca="1">IFERROR(IF(VLOOKUP($A496,'Шаг2.Бланк заказа NEW'!$B$17:$O$201,14,0)="","",VLOOKUP($A496,'Шаг2.Бланк заказа NEW'!$B$17:$O$201,14,0)),"")</f>
        <v/>
      </c>
      <c r="R496" s="147" t="str">
        <f ca="1">IFERROR(IFERROR(IF(VLOOKUP($A496,'Шаг2.Бланк заказа NEW'!$B$17:$N$201,4,0)="","",VLOOKUP($A496,'Шаг2.Бланк заказа NEW'!$B$17:$N$201,4,0)),
IF(VLOOKUP($A496-COUNT('Шаг2.Бланк заказа NEW'!$B$19:$B$201),'Бланк OLD 0.8 04'!$B$12:$K$200,4,0)&gt;0,0.8,
IF(VLOOKUP($A496-COUNT('Шаг2.Бланк заказа NEW'!$B$19:$B$201),'Бланк OLD 0.8 04'!$B$12:$K$200,5,0)&gt;0,0.4,""))),
IF(VLOOKUP($A496-COUNT('Шаг2.Бланк заказа NEW'!$B$19:$B$201)-COUNT('Бланк OLD 0.8 04'!$B$18:$B$200),'Бланк OLD 2.0 04 '!$B$16:$K$200,4,0)&gt;0,2,IF(VLOOKUP($A496-COUNT('Шаг2.Бланк заказа NEW'!$B$19:$B$201)-COUNT('Бланк OLD 0.8 04'!$B$18:$B$200),'Бланк OLD 2.0 04 '!$B$16:$K$200,5,0)&gt;0,0.4,"")))</f>
        <v/>
      </c>
      <c r="S496" s="147" t="str">
        <f ca="1">IFERROR(IFERROR(IF(VLOOKUP($A496,'Шаг2.Бланк заказа NEW'!$B$17:$N$201,5,0)="","",VLOOKUP($A496,'Шаг2.Бланк заказа NEW'!$B$17:$N$201,5,0)),
IF(VLOOKUP($A496-COUNT('Шаг2.Бланк заказа NEW'!$B$19:$B$201),'Бланк OLD 0.8 04'!$B$12:$K$200,4,0)&gt;1,0.8,
IF(VLOOKUP($A496-COUNT('Шаг2.Бланк заказа NEW'!$B$19:$B$201),'Бланк OLD 0.8 04'!$B$12:$K$200,5,0)&gt;1,0.4,
IF(AND(VLOOKUP($A496-COUNT('Шаг2.Бланк заказа NEW'!$B$19:$B$201),'Бланк OLD 0.8 04'!$B$12:$K$200,4,0)&gt;0,VLOOKUP($A496-COUNT('Шаг2.Бланк заказа NEW'!$B$19:$B$201),'Бланк OLD 0.8 04'!$B$12:$K$200,5,0)&gt;0),0.4,"")))),
IF(VLOOKUP($A496-COUNT('Шаг2.Бланк заказа NEW'!$B$19:$B$201)-COUNT('Бланк OLD 0.8 04'!$B$18:$B$200),'Бланк OLD 2.0 04 '!$B$16:$K$200,4,0)&gt;1,2,
IF(VLOOKUP($A496-COUNT('Шаг2.Бланк заказа NEW'!$B$19:$B$201)-COUNT('Бланк OLD 0.8 04'!$B$18:$B$200),'Бланк OLD 2.0 04 '!$B$16:$K$200,5,0)&gt;1,0.4,IF(AND(VLOOKUP($A496-COUNT('Шаг2.Бланк заказа NEW'!$B$19:$B$201)-COUNT('Бланк OLD 0.8 04'!$B$18:$B$200),'Бланк OLD 2.0 04 '!$B$16:$K$200,4,0)&gt;0,VLOOKUP($A496-COUNT('Шаг2.Бланк заказа NEW'!$B$19:$B$201)-COUNT('Бланк OLD 0.8 04'!$B$18:$B$200),'Бланк OLD 2.0 04 '!$B$16:$K$200,5,0)&gt;0),0.4,""))))</f>
        <v/>
      </c>
      <c r="T496" s="147" t="str">
        <f ca="1">IFERROR(IFERROR(IF(VLOOKUP($A496,'Шаг2.Бланк заказа NEW'!$B$17:$N$201,7,0)="","",VLOOKUP($A496,'Шаг2.Бланк заказа NEW'!$B$17:$N$201,7,0)),
IF(VLOOKUP($A496-COUNT('Шаг2.Бланк заказа NEW'!$B$19:$B$201),'Бланк OLD 0.8 04'!$B$12:$K$200,7,0)&gt;0,0.8,
IF(VLOOKUP($A496-COUNT('Шаг2.Бланк заказа NEW'!$B$19:$B$201),'Бланк OLD 0.8 04'!$B$12:$K$200,8,0)&gt;0,0.4,""))),
IF(VLOOKUP($A496-COUNT('Шаг2.Бланк заказа NEW'!$B$19:$B$201)-COUNT('Бланк OLD 0.8 04'!$B$18:$B$200),'Бланк OLD 2.0 04 '!$B$16:$K$200,7,0)&gt;0,2,IF(VLOOKUP($A496-COUNT('Шаг2.Бланк заказа NEW'!$B$19:$B$201)-COUNT('Бланк OLD 0.8 04'!$B$18:$B$200),'Бланк OLD 2.0 04 '!$B$16:$K$200,8,0)&gt;0,0.4,"")))</f>
        <v/>
      </c>
      <c r="U496" s="147" t="str">
        <f ca="1">IFERROR(IFERROR(IF(VLOOKUP($A496,'Шаг2.Бланк заказа NEW'!$B$17:$N$201,8,0)="","",VLOOKUP($A496,'Шаг2.Бланк заказа NEW'!$B$17:$N$201,8,0)),
IF(VLOOKUP($A496-COUNT('Шаг2.Бланк заказа NEW'!$B$19:$B$201),'Бланк OLD 0.8 04'!$B$12:$K$200,7,0)&gt;1,0.8,
IF(VLOOKUP($A496-COUNT('Шаг2.Бланк заказа NEW'!$B$19:$B$201),'Бланк OLD 0.8 04'!$B$12:$K$200,8,0)&gt;1,0.4,
IF(AND(VLOOKUP($A496-COUNT('Шаг2.Бланк заказа NEW'!$B$19:$B$201),'Бланк OLD 0.8 04'!$B$12:$K$200,7,0)&gt;0,VLOOKUP($A496-COUNT('Шаг2.Бланк заказа NEW'!$B$19:$B$201),'Бланк OLD 0.8 04'!$B$12:$K$200,8,0)&gt;0),0.4,"")))),
IF(VLOOKUP($A496-COUNT('Шаг2.Бланк заказа NEW'!$B$19:$B$201)-COUNT('Бланк OLD 0.8 04'!$B$18:$B$200),'Бланк OLD 2.0 04 '!$B$16:$K$200,7,0)&gt;1,2,
IF(VLOOKUP($A496-COUNT('Шаг2.Бланк заказа NEW'!$B$19:$B$201)-COUNT('Бланк OLD 0.8 04'!$B$18:$B$200),'Бланк OLD 2.0 04 '!$B$16:$K$200,8,0)&gt;1,0.4,
IF(AND(VLOOKUP($A496-COUNT('Шаг2.Бланк заказа NEW'!$B$19:$B$201)-COUNT('Бланк OLD 0.8 04'!$B$18:$B$200),'Бланк OLD 2.0 04 '!$B$16:$K$200,7,0)&gt;0,VLOOKUP($A496-COUNT('Шаг2.Бланк заказа NEW'!$B$19:$B$201)-COUNT('Бланк OLD 0.8 04'!$B$18:$B$200),'Бланк OLD 2.0 04 '!$B$16:$K$200,8,0)&gt;0),0.4,""))))</f>
        <v/>
      </c>
      <c r="V496" s="146" t="str">
        <f ca="1">IFERROR(VLOOKUP(C496,'Шаг1.Выбор плиты'!C:S,12,0),"")</f>
        <v/>
      </c>
      <c r="W496" s="146" t="str">
        <f ca="1">IFERROR(VLOOKUP(C496,'Шаг1.Выбор плиты'!C:S,8,0),"")</f>
        <v/>
      </c>
      <c r="X496" s="146" t="str">
        <f ca="1">IFERROR(VLOOKUP(C496,'Шаг1.Выбор плиты'!C:S,10,0),"")</f>
        <v/>
      </c>
      <c r="Y496" s="147" t="str">
        <f t="shared" ca="1" si="46"/>
        <v/>
      </c>
      <c r="AD496" s="147" t="str">
        <f t="shared" ca="1" si="42"/>
        <v/>
      </c>
      <c r="AE496" s="147" t="str">
        <f t="shared" ca="1" si="47"/>
        <v/>
      </c>
      <c r="AF496" s="25"/>
      <c r="AH496" s="147" t="str">
        <f ca="1">IF(C496="","",VLOOKUP(C496,'Шаг1.Выбор плиты'!C:Q,7,0))</f>
        <v/>
      </c>
      <c r="AI496" s="147" t="str">
        <f t="shared" ca="1" si="45"/>
        <v/>
      </c>
    </row>
    <row r="497" spans="1:35" x14ac:dyDescent="0.2">
      <c r="A497" s="151" t="str">
        <f ca="1">IF(C497="","",MAX($A$1:OFFSET(C497,-1,0))+1)</f>
        <v/>
      </c>
      <c r="B497" s="151" t="str">
        <f ca="1">IFERROR(IFERROR(IFERROR("Шаг2.Бланк заказа NEW №"&amp;VLOOKUP(A496+1,CHOOSE({1,2},'Шаг2.Бланк заказа NEW'!$B$19:$B$201,'Шаг2.Бланк заказа NEW'!$A$19:$A$201),1,0),
"Бланк OLD 0.8 04 №"&amp;VLOOKUP(A496+1-COUNT('Шаг2.Бланк заказа NEW'!$B$19:$B$201),CHOOSE({1,2},'Бланк OLD 0.8 04'!$B$18:$B$200,'Бланк OLD 0.8 04'!$A$18:$A$200),1,0)),
"Бланк OLD 2.0 04 №"&amp;VLOOKUP(A496+1-COUNT('Шаг2.Бланк заказа NEW'!$B$19:$B$201)-COUNT('Бланк OLD 0.8 04'!$B$18:$B$200),CHOOSE({1,2},'Бланк OLD 2.0 04 '!$B$18:$B$200,'Бланк OLD 2.0 04 '!$A$18:$A$200),1,0)),"")</f>
        <v/>
      </c>
      <c r="C497" s="152" t="str">
        <f ca="1">IFERROR(IFERROR(IFERROR(VLOOKUP(A496+1,CHOOSE({1,2},'Шаг2.Бланк заказа NEW'!$B$19:$B$201,'Шаг2.Бланк заказа NEW'!$A$19:$A$201),2,0),
VLOOKUP(A496+1-COUNT('Шаг2.Бланк заказа NEW'!$B$19:$B$201),CHOOSE({1,2},'Бланк OLD 0.8 04'!$B$18:$B$200,'Бланк OLD 0.8 04'!$A$18:$A$200),2,0)),
VLOOKUP(A496+1-COUNT('Шаг2.Бланк заказа NEW'!$B$19:$B$201)-COUNT('Бланк OLD 0.8 04'!$B$18:$B$200),CHOOSE({1,2},'Бланк OLD 2.0 04 '!$B$18:$B$200,'Бланк OLD 2.0 04 '!$A$18:$A$200),2,0)),"")</f>
        <v/>
      </c>
      <c r="D497" s="150" t="str">
        <f ca="1">IFERROR(VLOOKUP(C497,'Шаг1.Выбор плиты'!C:G,5,0),"")</f>
        <v/>
      </c>
      <c r="E497" s="147" t="str">
        <f ca="1">IFERROR(IFERROR(IF(VLOOKUP($A497,'Шаг2.Бланк заказа NEW'!$B$17:$N$201,2,0)="","",VLOOKUP($A497,'Шаг2.Бланк заказа NEW'!$B$17:$N$201,2,0)),
IF(VLOOKUP($A497-COUNT('Шаг2.Бланк заказа NEW'!$B$19:$B$201),'Бланк OLD 0.8 04'!$B$12:$K$200,2,0)="","",VLOOKUP($A497-COUNT('Шаг2.Бланк заказа NEW'!$B$19:$B$201),'Бланк OLD 0.8 04'!$B$12:$K$200,2,0))),
IF(VLOOKUP($A497-COUNT('Шаг2.Бланк заказа NEW'!$B$19:$B$201)-COUNT('Бланк OLD 0.8 04'!$B$18:$B$200),'Бланк OLD 2.0 04 '!$B$16:$K$200,2,0)="","",VLOOKUP($A497-COUNT('Шаг2.Бланк заказа NEW'!$B$19:$B$201)-COUNT('Бланк OLD 0.8 04'!$B$18:$B$200),'Бланк OLD 2.0 04 '!$B$16:$K$200,2,0)))</f>
        <v/>
      </c>
      <c r="F497" s="147" t="str">
        <f ca="1">IFERROR(IFERROR(IF(VLOOKUP($A497,'Шаг2.Бланк заказа NEW'!$B$17:$N$201,3,0)="","",VLOOKUP($A497,'Шаг2.Бланк заказа NEW'!$B$17:$N$201,3,0)),
IF(VLOOKUP($A497-COUNT('Шаг2.Бланк заказа NEW'!$B$19:$B$201),'Бланк OLD 0.8 04'!$B$12:$K$200,3,0)="","",VLOOKUP($A497-COUNT('Шаг2.Бланк заказа NEW'!$B$19:$B$201),'Бланк OLD 0.8 04'!$B$12:$K$200,3,0))),
IF(VLOOKUP($A497-COUNT('Шаг2.Бланк заказа NEW'!$B$19:$B$201)-COUNT('Бланк OLD 0.8 04'!$B$18:$B$200),'Бланк OLD 2.0 04 '!$B$16:$K$200,3,0)="","",VLOOKUP($A497-COUNT('Шаг2.Бланк заказа NEW'!$B$19:$B$201)-COUNT('Бланк OLD 0.8 04'!$B$18:$B$200),'Бланк OLD 2.0 04 '!$B$16:$K$200,3,0)))</f>
        <v/>
      </c>
      <c r="G497" s="176" t="str">
        <f ca="1">IF(IF(R497="","",IF(R497=1,SUMIFS('Шаг1.Выбор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плиты'!C:Q,12,0)),1))))))=0,
R497,
IF(R497="","",IF(R497=1,SUMIFS('Шаг1.Выбор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плиты'!N:N,R497,'Шаг1.Выбор плиты'!M:M,SMALL(INDIRECT("мм"&amp;VLOOKUP(C497,'Шаг1.Выбор плиты'!C:Q,12,0)),1)))))))</f>
        <v/>
      </c>
      <c r="H497" s="177" t="str">
        <f ca="1">IF(IF(S497="","",IF(S497=1,SUMIFS('Шаг1.Выбор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плиты'!C:Q,12,0)),1))))))=0,
S497,
IF(S497="","",IF(S497=1,SUMIFS('Шаг1.Выбор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плиты'!N:N,S497,'Шаг1.Выбор плиты'!M:M,SMALL(INDIRECT("мм"&amp;VLOOKUP(C497,'Шаг1.Выбор плиты'!C:Q,12,0)),1)))))))</f>
        <v/>
      </c>
      <c r="I497" s="147" t="str">
        <f ca="1">IFERROR(IFERROR(IF(VLOOKUP($A497,'Шаг2.Бланк заказа NEW'!$B$17:$N$201,6,0)="","",VLOOKUP($A497,'Шаг2.Бланк заказа NEW'!$B$17:$N$201,6,0)),
IF(VLOOKUP($A497-COUNT('Шаг2.Бланк заказа NEW'!$B$19:$B$201),'Бланк OLD 0.8 04'!$B$12:$K$200,6,0)="","",VLOOKUP($A497-COUNT('Шаг2.Бланк заказа NEW'!$B$19:$B$201),'Бланк OLD 0.8 04'!$B$12:$K$200,6,0))),
IF(VLOOKUP($A497-COUNT('Шаг2.Бланк заказа NEW'!$B$19:$B$201)-COUNT('Бланк OLD 0.8 04'!$B$18:$B$200),'Бланк OLD 2.0 04 '!$B$16:$K$200,6,0)="","",VLOOKUP($A497-COUNT('Шаг2.Бланк заказа NEW'!$B$19:$B$201)-COUNT('Бланк OLD 0.8 04'!$B$18:$B$200),'Бланк OLD 2.0 04 '!$B$16:$K$200,6,0)))</f>
        <v/>
      </c>
      <c r="J497" s="177" t="str">
        <f ca="1">IF(IF(T497="","",IF(T497=1,SUMIFS('Шаг1.Выбор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плиты'!C:Q,12,0)),1))))))=0,
T497,
IF(T497="","",IF(T497=1,SUMIFS('Шаг1.Выбор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плиты'!N:N,T497,'Шаг1.Выбор плиты'!M:M,SMALL(INDIRECT("мм"&amp;VLOOKUP(C497,'Шаг1.Выбор плиты'!C:Q,12,0)),1)))))))</f>
        <v/>
      </c>
      <c r="K497" s="177" t="str">
        <f ca="1">IF(IF(U497="","",IF(U497=1,SUMIFS('Шаг1.Выбор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плиты'!C:Q,12,0)),1))))))=0,
U497,
IF(U497="","",IF(U497=1,SUMIFS('Шаг1.Выбор плиты'!$G:$G,'Шаг1.Выбор плиты'!J:J,"*"&amp;RIGHT(VLOOKUP(C497,'Шаг1.Выбор плиты'!C:Q,8,0),4),'Шаг1.Выбор плиты'!L:L,IF(MID(C497,1,6)="ЛДСП P","TM"&amp;MID(VLOOKUP(C497,'Шаг1.Выбор плиты'!C:Q,10,0),3,2),MID(VLOOKUP(C497,'Шаг1.Выбор плиты'!C:Q,10,0),1,2)),
'Шаг1.Выбор плиты'!N:N,1),IF(SUMIFS('Шаг1.Выбор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плиты'!C:Q,12,0)),1))=0,
IF(SUMIFS('Шаг1.Выбор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плиты'!C:Q,12,0)),2))=0,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плиты'!C:Q,12,0)),3)),
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плиты'!C:Q,12,0)),2))),
(SUMIFS('Шаг1.Выбор плиты'!$G:$G,'Шаг1.Выбор плиты'!J:J,"*"&amp;RIGHT(VLOOKUP(C497,'Шаг1.Выбор плиты'!C:Q,8,0),4),'Шаг1.Выбор плиты'!L:L,VLOOKUP(C497,'Шаг1.Выбор плиты'!C:Q,10,0),'Шаг1.Выбор плиты'!N:N,U497,'Шаг1.Выбор плиты'!M:M,SMALL(INDIRECT("мм"&amp;VLOOKUP(C497,'Шаг1.Выбор плиты'!C:Q,12,0)),1)))))))</f>
        <v/>
      </c>
      <c r="L497" s="147" t="str">
        <f ca="1">IFERROR(IFERROR(IF(VLOOKUP($A497,'Шаг2.Бланк заказа NEW'!$B$17:$N$201,9,0)="","",VLOOKUP($A497,'Шаг2.Бланк заказа NEW'!$B$17:$N$201,9,0)),
IF(VLOOKUP($A497-COUNT('Шаг2.Бланк заказа NEW'!$B$19:$B$201),'Бланк OLD 0.8 04'!$B$12:$K$200,9,0)="","",VLOOKUP($A497-COUNT('Шаг2.Бланк заказа NEW'!$B$19:$B$201),'Бланк OLD 0.8 04'!$B$12:$K$200,9,0))),
IF(VLOOKUP($A497-COUNT('Шаг2.Бланк заказа NEW'!$B$19:$B$201)-COUNT('Бланк OLD 0.8 04'!$B$18:$B$200),'Бланк OLD 2.0 04 '!$B$16:$K$200,9,0)="","",VLOOKUP($A497-COUNT('Шаг2.Бланк заказа NEW'!$B$19:$B$201)-COUNT('Бланк OLD 0.8 04'!$B$18:$B$200),'Бланк OLD 2.0 04 '!$B$16:$K$200,9,0)))</f>
        <v/>
      </c>
      <c r="M497" s="154" t="str">
        <f t="shared" ca="1" si="44"/>
        <v/>
      </c>
      <c r="N497" s="153" t="str">
        <f ca="1">IFERROR(IF(VLOOKUP($A497,'Шаг2.Бланк заказа NEW'!$B$17:$N$201,11,0)="","",VLOOKUP($A497,'Шаг2.Бланк заказа NEW'!$B$17:$N$201,11,0)),
"Нет")</f>
        <v/>
      </c>
      <c r="O497" s="147" t="str">
        <f ca="1">IFERROR(IF(VLOOKUP($A497,'Шаг2.Бланк заказа NEW'!$B$17:$N$201,11,0)="","",VLOOKUP($A497,'Шаг2.Бланк заказа NEW'!$B$17:$N$201,12,0)),
"Нет")</f>
        <v/>
      </c>
      <c r="P497" s="153" t="str">
        <f ca="1">IFERROR(IF(VLOOKUP($A497,'Шаг2.Бланк заказа NEW'!$B$17:$N$201,13,0)="","",VLOOKUP($A497,'Шаг2.Бланк заказа NEW'!$B$17:$N$201,13,0)),
"Нет")</f>
        <v/>
      </c>
      <c r="Q497" s="147" t="str">
        <f ca="1">IFERROR(IF(VLOOKUP($A497,'Шаг2.Бланк заказа NEW'!$B$17:$O$201,14,0)="","",VLOOKUP($A497,'Шаг2.Бланк заказа NEW'!$B$17:$O$201,14,0)),"")</f>
        <v/>
      </c>
      <c r="R497" s="147" t="str">
        <f ca="1">IFERROR(IFERROR(IF(VLOOKUP($A497,'Шаг2.Бланк заказа NEW'!$B$17:$N$201,4,0)="","",VLOOKUP($A497,'Шаг2.Бланк заказа NEW'!$B$17:$N$201,4,0)),
IF(VLOOKUP($A497-COUNT('Шаг2.Бланк заказа NEW'!$B$19:$B$201),'Бланк OLD 0.8 04'!$B$12:$K$200,4,0)&gt;0,0.8,
IF(VLOOKUP($A497-COUNT('Шаг2.Бланк заказа NEW'!$B$19:$B$201),'Бланк OLD 0.8 04'!$B$12:$K$200,5,0)&gt;0,0.4,""))),
IF(VLOOKUP($A497-COUNT('Шаг2.Бланк заказа NEW'!$B$19:$B$201)-COUNT('Бланк OLD 0.8 04'!$B$18:$B$200),'Бланк OLD 2.0 04 '!$B$16:$K$200,4,0)&gt;0,2,IF(VLOOKUP($A497-COUNT('Шаг2.Бланк заказа NEW'!$B$19:$B$201)-COUNT('Бланк OLD 0.8 04'!$B$18:$B$200),'Бланк OLD 2.0 04 '!$B$16:$K$200,5,0)&gt;0,0.4,"")))</f>
        <v/>
      </c>
      <c r="S497" s="147" t="str">
        <f ca="1">IFERROR(IFERROR(IF(VLOOKUP($A497,'Шаг2.Бланк заказа NEW'!$B$17:$N$201,5,0)="","",VLOOKUP($A497,'Шаг2.Бланк заказа NEW'!$B$17:$N$201,5,0)),
IF(VLOOKUP($A497-COUNT('Шаг2.Бланк заказа NEW'!$B$19:$B$201),'Бланк OLD 0.8 04'!$B$12:$K$200,4,0)&gt;1,0.8,
IF(VLOOKUP($A497-COUNT('Шаг2.Бланк заказа NEW'!$B$19:$B$201),'Бланк OLD 0.8 04'!$B$12:$K$200,5,0)&gt;1,0.4,
IF(AND(VLOOKUP($A497-COUNT('Шаг2.Бланк заказа NEW'!$B$19:$B$201),'Бланк OLD 0.8 04'!$B$12:$K$200,4,0)&gt;0,VLOOKUP($A497-COUNT('Шаг2.Бланк заказа NEW'!$B$19:$B$201),'Бланк OLD 0.8 04'!$B$12:$K$200,5,0)&gt;0),0.4,"")))),
IF(VLOOKUP($A497-COUNT('Шаг2.Бланк заказа NEW'!$B$19:$B$201)-COUNT('Бланк OLD 0.8 04'!$B$18:$B$200),'Бланк OLD 2.0 04 '!$B$16:$K$200,4,0)&gt;1,2,
IF(VLOOKUP($A497-COUNT('Шаг2.Бланк заказа NEW'!$B$19:$B$201)-COUNT('Бланк OLD 0.8 04'!$B$18:$B$200),'Бланк OLD 2.0 04 '!$B$16:$K$200,5,0)&gt;1,0.4,IF(AND(VLOOKUP($A497-COUNT('Шаг2.Бланк заказа NEW'!$B$19:$B$201)-COUNT('Бланк OLD 0.8 04'!$B$18:$B$200),'Бланк OLD 2.0 04 '!$B$16:$K$200,4,0)&gt;0,VLOOKUP($A497-COUNT('Шаг2.Бланк заказа NEW'!$B$19:$B$201)-COUNT('Бланк OLD 0.8 04'!$B$18:$B$200),'Бланк OLD 2.0 04 '!$B$16:$K$200,5,0)&gt;0),0.4,""))))</f>
        <v/>
      </c>
      <c r="T497" s="147" t="str">
        <f ca="1">IFERROR(IFERROR(IF(VLOOKUP($A497,'Шаг2.Бланк заказа NEW'!$B$17:$N$201,7,0)="","",VLOOKUP($A497,'Шаг2.Бланк заказа NEW'!$B$17:$N$201,7,0)),
IF(VLOOKUP($A497-COUNT('Шаг2.Бланк заказа NEW'!$B$19:$B$201),'Бланк OLD 0.8 04'!$B$12:$K$200,7,0)&gt;0,0.8,
IF(VLOOKUP($A497-COUNT('Шаг2.Бланк заказа NEW'!$B$19:$B$201),'Бланк OLD 0.8 04'!$B$12:$K$200,8,0)&gt;0,0.4,""))),
IF(VLOOKUP($A497-COUNT('Шаг2.Бланк заказа NEW'!$B$19:$B$201)-COUNT('Бланк OLD 0.8 04'!$B$18:$B$200),'Бланк OLD 2.0 04 '!$B$16:$K$200,7,0)&gt;0,2,IF(VLOOKUP($A497-COUNT('Шаг2.Бланк заказа NEW'!$B$19:$B$201)-COUNT('Бланк OLD 0.8 04'!$B$18:$B$200),'Бланк OLD 2.0 04 '!$B$16:$K$200,8,0)&gt;0,0.4,"")))</f>
        <v/>
      </c>
      <c r="U497" s="147" t="str">
        <f ca="1">IFERROR(IFERROR(IF(VLOOKUP($A497,'Шаг2.Бланк заказа NEW'!$B$17:$N$201,8,0)="","",VLOOKUP($A497,'Шаг2.Бланк заказа NEW'!$B$17:$N$201,8,0)),
IF(VLOOKUP($A497-COUNT('Шаг2.Бланк заказа NEW'!$B$19:$B$201),'Бланк OLD 0.8 04'!$B$12:$K$200,7,0)&gt;1,0.8,
IF(VLOOKUP($A497-COUNT('Шаг2.Бланк заказа NEW'!$B$19:$B$201),'Бланк OLD 0.8 04'!$B$12:$K$200,8,0)&gt;1,0.4,
IF(AND(VLOOKUP($A497-COUNT('Шаг2.Бланк заказа NEW'!$B$19:$B$201),'Бланк OLD 0.8 04'!$B$12:$K$200,7,0)&gt;0,VLOOKUP($A497-COUNT('Шаг2.Бланк заказа NEW'!$B$19:$B$201),'Бланк OLD 0.8 04'!$B$12:$K$200,8,0)&gt;0),0.4,"")))),
IF(VLOOKUP($A497-COUNT('Шаг2.Бланк заказа NEW'!$B$19:$B$201)-COUNT('Бланк OLD 0.8 04'!$B$18:$B$200),'Бланк OLD 2.0 04 '!$B$16:$K$200,7,0)&gt;1,2,
IF(VLOOKUP($A497-COUNT('Шаг2.Бланк заказа NEW'!$B$19:$B$201)-COUNT('Бланк OLD 0.8 04'!$B$18:$B$200),'Бланк OLD 2.0 04 '!$B$16:$K$200,8,0)&gt;1,0.4,
IF(AND(VLOOKUP($A497-COUNT('Шаг2.Бланк заказа NEW'!$B$19:$B$201)-COUNT('Бланк OLD 0.8 04'!$B$18:$B$200),'Бланк OLD 2.0 04 '!$B$16:$K$200,7,0)&gt;0,VLOOKUP($A497-COUNT('Шаг2.Бланк заказа NEW'!$B$19:$B$201)-COUNT('Бланк OLD 0.8 04'!$B$18:$B$200),'Бланк OLD 2.0 04 '!$B$16:$K$200,8,0)&gt;0),0.4,""))))</f>
        <v/>
      </c>
      <c r="V497" s="146" t="str">
        <f ca="1">IFERROR(VLOOKUP(C497,'Шаг1.Выбор плиты'!C:S,12,0),"")</f>
        <v/>
      </c>
      <c r="W497" s="146" t="str">
        <f ca="1">IFERROR(VLOOKUP(C497,'Шаг1.Выбор плиты'!C:S,8,0),"")</f>
        <v/>
      </c>
      <c r="X497" s="146" t="str">
        <f ca="1">IFERROR(VLOOKUP(C497,'Шаг1.Выбор плиты'!C:S,10,0),"")</f>
        <v/>
      </c>
      <c r="Y497" s="147" t="str">
        <f t="shared" ca="1" si="46"/>
        <v/>
      </c>
      <c r="AD497" s="147" t="str">
        <f t="shared" ca="1" si="42"/>
        <v/>
      </c>
      <c r="AE497" s="147" t="str">
        <f t="shared" ca="1" si="47"/>
        <v/>
      </c>
      <c r="AF497" s="25"/>
      <c r="AH497" s="147" t="str">
        <f ca="1">IF(C497="","",VLOOKUP(C497,'Шаг1.Выбор плиты'!C:Q,7,0))</f>
        <v/>
      </c>
      <c r="AI497" s="147" t="str">
        <f t="shared" ca="1" si="45"/>
        <v/>
      </c>
    </row>
    <row r="498" spans="1:35" x14ac:dyDescent="0.2">
      <c r="A498" s="151" t="str">
        <f ca="1">IF(C498="","",MAX($A$1:OFFSET(C498,-1,0))+1)</f>
        <v/>
      </c>
      <c r="B498" s="151" t="str">
        <f ca="1">IFERROR(IFERROR(IFERROR("Шаг2.Бланк заказа NEW №"&amp;VLOOKUP(A497+1,CHOOSE({1,2},'Шаг2.Бланк заказа NEW'!$B$19:$B$201,'Шаг2.Бланк заказа NEW'!$A$19:$A$201),1,0),
"Бланк OLD 0.8 04 №"&amp;VLOOKUP(A497+1-COUNT('Шаг2.Бланк заказа NEW'!$B$19:$B$201),CHOOSE({1,2},'Бланк OLD 0.8 04'!$B$18:$B$200,'Бланк OLD 0.8 04'!$A$18:$A$200),1,0)),
"Бланк OLD 2.0 04 №"&amp;VLOOKUP(A497+1-COUNT('Шаг2.Бланк заказа NEW'!$B$19:$B$201)-COUNT('Бланк OLD 0.8 04'!$B$18:$B$200),CHOOSE({1,2},'Бланк OLD 2.0 04 '!$B$18:$B$200,'Бланк OLD 2.0 04 '!$A$18:$A$200),1,0)),"")</f>
        <v/>
      </c>
      <c r="C498" s="152" t="str">
        <f ca="1">IFERROR(IFERROR(IFERROR(VLOOKUP(A497+1,CHOOSE({1,2},'Шаг2.Бланк заказа NEW'!$B$19:$B$201,'Шаг2.Бланк заказа NEW'!$A$19:$A$201),2,0),
VLOOKUP(A497+1-COUNT('Шаг2.Бланк заказа NEW'!$B$19:$B$201),CHOOSE({1,2},'Бланк OLD 0.8 04'!$B$18:$B$200,'Бланк OLD 0.8 04'!$A$18:$A$200),2,0)),
VLOOKUP(A497+1-COUNT('Шаг2.Бланк заказа NEW'!$B$19:$B$201)-COUNT('Бланк OLD 0.8 04'!$B$18:$B$200),CHOOSE({1,2},'Бланк OLD 2.0 04 '!$B$18:$B$200,'Бланк OLD 2.0 04 '!$A$18:$A$200),2,0)),"")</f>
        <v/>
      </c>
      <c r="D498" s="150" t="str">
        <f ca="1">IFERROR(VLOOKUP(C498,'Шаг1.Выбор плиты'!C:G,5,0),"")</f>
        <v/>
      </c>
      <c r="E498" s="147" t="str">
        <f ca="1">IFERROR(IFERROR(IF(VLOOKUP($A498,'Шаг2.Бланк заказа NEW'!$B$17:$N$201,2,0)="","",VLOOKUP($A498,'Шаг2.Бланк заказа NEW'!$B$17:$N$201,2,0)),
IF(VLOOKUP($A498-COUNT('Шаг2.Бланк заказа NEW'!$B$19:$B$201),'Бланк OLD 0.8 04'!$B$12:$K$200,2,0)="","",VLOOKUP($A498-COUNT('Шаг2.Бланк заказа NEW'!$B$19:$B$201),'Бланк OLD 0.8 04'!$B$12:$K$200,2,0))),
IF(VLOOKUP($A498-COUNT('Шаг2.Бланк заказа NEW'!$B$19:$B$201)-COUNT('Бланк OLD 0.8 04'!$B$18:$B$200),'Бланк OLD 2.0 04 '!$B$16:$K$200,2,0)="","",VLOOKUP($A498-COUNT('Шаг2.Бланк заказа NEW'!$B$19:$B$201)-COUNT('Бланк OLD 0.8 04'!$B$18:$B$200),'Бланк OLD 2.0 04 '!$B$16:$K$200,2,0)))</f>
        <v/>
      </c>
      <c r="F498" s="147" t="str">
        <f ca="1">IFERROR(IFERROR(IF(VLOOKUP($A498,'Шаг2.Бланк заказа NEW'!$B$17:$N$201,3,0)="","",VLOOKUP($A498,'Шаг2.Бланк заказа NEW'!$B$17:$N$201,3,0)),
IF(VLOOKUP($A498-COUNT('Шаг2.Бланк заказа NEW'!$B$19:$B$201),'Бланк OLD 0.8 04'!$B$12:$K$200,3,0)="","",VLOOKUP($A498-COUNT('Шаг2.Бланк заказа NEW'!$B$19:$B$201),'Бланк OLD 0.8 04'!$B$12:$K$200,3,0))),
IF(VLOOKUP($A498-COUNT('Шаг2.Бланк заказа NEW'!$B$19:$B$201)-COUNT('Бланк OLD 0.8 04'!$B$18:$B$200),'Бланк OLD 2.0 04 '!$B$16:$K$200,3,0)="","",VLOOKUP($A498-COUNT('Шаг2.Бланк заказа NEW'!$B$19:$B$201)-COUNT('Бланк OLD 0.8 04'!$B$18:$B$200),'Бланк OLD 2.0 04 '!$B$16:$K$200,3,0)))</f>
        <v/>
      </c>
      <c r="G498" s="176" t="str">
        <f ca="1">IF(IF(R498="","",IF(R498=1,SUMIFS('Шаг1.Выбор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плиты'!C:Q,12,0)),1))))))=0,
R498,
IF(R498="","",IF(R498=1,SUMIFS('Шаг1.Выбор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плиты'!N:N,R498,'Шаг1.Выбор плиты'!M:M,SMALL(INDIRECT("мм"&amp;VLOOKUP(C498,'Шаг1.Выбор плиты'!C:Q,12,0)),1)))))))</f>
        <v/>
      </c>
      <c r="H498" s="177" t="str">
        <f ca="1">IF(IF(S498="","",IF(S498=1,SUMIFS('Шаг1.Выбор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плиты'!C:Q,12,0)),1))))))=0,
S498,
IF(S498="","",IF(S498=1,SUMIFS('Шаг1.Выбор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плиты'!N:N,S498,'Шаг1.Выбор плиты'!M:M,SMALL(INDIRECT("мм"&amp;VLOOKUP(C498,'Шаг1.Выбор плиты'!C:Q,12,0)),1)))))))</f>
        <v/>
      </c>
      <c r="I498" s="147" t="str">
        <f ca="1">IFERROR(IFERROR(IF(VLOOKUP($A498,'Шаг2.Бланк заказа NEW'!$B$17:$N$201,6,0)="","",VLOOKUP($A498,'Шаг2.Бланк заказа NEW'!$B$17:$N$201,6,0)),
IF(VLOOKUP($A498-COUNT('Шаг2.Бланк заказа NEW'!$B$19:$B$201),'Бланк OLD 0.8 04'!$B$12:$K$200,6,0)="","",VLOOKUP($A498-COUNT('Шаг2.Бланк заказа NEW'!$B$19:$B$201),'Бланк OLD 0.8 04'!$B$12:$K$200,6,0))),
IF(VLOOKUP($A498-COUNT('Шаг2.Бланк заказа NEW'!$B$19:$B$201)-COUNT('Бланк OLD 0.8 04'!$B$18:$B$200),'Бланк OLD 2.0 04 '!$B$16:$K$200,6,0)="","",VLOOKUP($A498-COUNT('Шаг2.Бланк заказа NEW'!$B$19:$B$201)-COUNT('Бланк OLD 0.8 04'!$B$18:$B$200),'Бланк OLD 2.0 04 '!$B$16:$K$200,6,0)))</f>
        <v/>
      </c>
      <c r="J498" s="177" t="str">
        <f ca="1">IF(IF(T498="","",IF(T498=1,SUMIFS('Шаг1.Выбор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плиты'!C:Q,12,0)),1))))))=0,
T498,
IF(T498="","",IF(T498=1,SUMIFS('Шаг1.Выбор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плиты'!N:N,T498,'Шаг1.Выбор плиты'!M:M,SMALL(INDIRECT("мм"&amp;VLOOKUP(C498,'Шаг1.Выбор плиты'!C:Q,12,0)),1)))))))</f>
        <v/>
      </c>
      <c r="K498" s="177" t="str">
        <f ca="1">IF(IF(U498="","",IF(U498=1,SUMIFS('Шаг1.Выбор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плиты'!C:Q,12,0)),1))))))=0,
U498,
IF(U498="","",IF(U498=1,SUMIFS('Шаг1.Выбор плиты'!$G:$G,'Шаг1.Выбор плиты'!J:J,"*"&amp;RIGHT(VLOOKUP(C498,'Шаг1.Выбор плиты'!C:Q,8,0),4),'Шаг1.Выбор плиты'!L:L,IF(MID(C498,1,6)="ЛДСП P","TM"&amp;MID(VLOOKUP(C498,'Шаг1.Выбор плиты'!C:Q,10,0),3,2),MID(VLOOKUP(C498,'Шаг1.Выбор плиты'!C:Q,10,0),1,2)),
'Шаг1.Выбор плиты'!N:N,1),IF(SUMIFS('Шаг1.Выбор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плиты'!C:Q,12,0)),1))=0,
IF(SUMIFS('Шаг1.Выбор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плиты'!C:Q,12,0)),2))=0,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плиты'!C:Q,12,0)),3)),
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плиты'!C:Q,12,0)),2))),
(SUMIFS('Шаг1.Выбор плиты'!$G:$G,'Шаг1.Выбор плиты'!J:J,"*"&amp;RIGHT(VLOOKUP(C498,'Шаг1.Выбор плиты'!C:Q,8,0),4),'Шаг1.Выбор плиты'!L:L,VLOOKUP(C498,'Шаг1.Выбор плиты'!C:Q,10,0),'Шаг1.Выбор плиты'!N:N,U498,'Шаг1.Выбор плиты'!M:M,SMALL(INDIRECT("мм"&amp;VLOOKUP(C498,'Шаг1.Выбор плиты'!C:Q,12,0)),1)))))))</f>
        <v/>
      </c>
      <c r="L498" s="147" t="str">
        <f ca="1">IFERROR(IFERROR(IF(VLOOKUP($A498,'Шаг2.Бланк заказа NEW'!$B$17:$N$201,9,0)="","",VLOOKUP($A498,'Шаг2.Бланк заказа NEW'!$B$17:$N$201,9,0)),
IF(VLOOKUP($A498-COUNT('Шаг2.Бланк заказа NEW'!$B$19:$B$201),'Бланк OLD 0.8 04'!$B$12:$K$200,9,0)="","",VLOOKUP($A498-COUNT('Шаг2.Бланк заказа NEW'!$B$19:$B$201),'Бланк OLD 0.8 04'!$B$12:$K$200,9,0))),
IF(VLOOKUP($A498-COUNT('Шаг2.Бланк заказа NEW'!$B$19:$B$201)-COUNT('Бланк OLD 0.8 04'!$B$18:$B$200),'Бланк OLD 2.0 04 '!$B$16:$K$200,9,0)="","",VLOOKUP($A498-COUNT('Шаг2.Бланк заказа NEW'!$B$19:$B$201)-COUNT('Бланк OLD 0.8 04'!$B$18:$B$200),'Бланк OLD 2.0 04 '!$B$16:$K$200,9,0)))</f>
        <v/>
      </c>
      <c r="M498" s="154" t="str">
        <f t="shared" ca="1" si="44"/>
        <v/>
      </c>
      <c r="N498" s="153" t="str">
        <f ca="1">IFERROR(IF(VLOOKUP($A498,'Шаг2.Бланк заказа NEW'!$B$17:$N$201,11,0)="","",VLOOKUP($A498,'Шаг2.Бланк заказа NEW'!$B$17:$N$201,11,0)),
"Нет")</f>
        <v/>
      </c>
      <c r="O498" s="147" t="str">
        <f ca="1">IFERROR(IF(VLOOKUP($A498,'Шаг2.Бланк заказа NEW'!$B$17:$N$201,11,0)="","",VLOOKUP($A498,'Шаг2.Бланк заказа NEW'!$B$17:$N$201,12,0)),
"Нет")</f>
        <v/>
      </c>
      <c r="P498" s="153" t="str">
        <f ca="1">IFERROR(IF(VLOOKUP($A498,'Шаг2.Бланк заказа NEW'!$B$17:$N$201,13,0)="","",VLOOKUP($A498,'Шаг2.Бланк заказа NEW'!$B$17:$N$201,13,0)),
"Нет")</f>
        <v/>
      </c>
      <c r="Q498" s="147" t="str">
        <f ca="1">IFERROR(IF(VLOOKUP($A498,'Шаг2.Бланк заказа NEW'!$B$17:$O$201,14,0)="","",VLOOKUP($A498,'Шаг2.Бланк заказа NEW'!$B$17:$O$201,14,0)),"")</f>
        <v/>
      </c>
      <c r="R498" s="147" t="str">
        <f ca="1">IFERROR(IFERROR(IF(VLOOKUP($A498,'Шаг2.Бланк заказа NEW'!$B$17:$N$201,4,0)="","",VLOOKUP($A498,'Шаг2.Бланк заказа NEW'!$B$17:$N$201,4,0)),
IF(VLOOKUP($A498-COUNT('Шаг2.Бланк заказа NEW'!$B$19:$B$201),'Бланк OLD 0.8 04'!$B$12:$K$200,4,0)&gt;0,0.8,
IF(VLOOKUP($A498-COUNT('Шаг2.Бланк заказа NEW'!$B$19:$B$201),'Бланк OLD 0.8 04'!$B$12:$K$200,5,0)&gt;0,0.4,""))),
IF(VLOOKUP($A498-COUNT('Шаг2.Бланк заказа NEW'!$B$19:$B$201)-COUNT('Бланк OLD 0.8 04'!$B$18:$B$200),'Бланк OLD 2.0 04 '!$B$16:$K$200,4,0)&gt;0,2,IF(VLOOKUP($A498-COUNT('Шаг2.Бланк заказа NEW'!$B$19:$B$201)-COUNT('Бланк OLD 0.8 04'!$B$18:$B$200),'Бланк OLD 2.0 04 '!$B$16:$K$200,5,0)&gt;0,0.4,"")))</f>
        <v/>
      </c>
      <c r="S498" s="147" t="str">
        <f ca="1">IFERROR(IFERROR(IF(VLOOKUP($A498,'Шаг2.Бланк заказа NEW'!$B$17:$N$201,5,0)="","",VLOOKUP($A498,'Шаг2.Бланк заказа NEW'!$B$17:$N$201,5,0)),
IF(VLOOKUP($A498-COUNT('Шаг2.Бланк заказа NEW'!$B$19:$B$201),'Бланк OLD 0.8 04'!$B$12:$K$200,4,0)&gt;1,0.8,
IF(VLOOKUP($A498-COUNT('Шаг2.Бланк заказа NEW'!$B$19:$B$201),'Бланк OLD 0.8 04'!$B$12:$K$200,5,0)&gt;1,0.4,
IF(AND(VLOOKUP($A498-COUNT('Шаг2.Бланк заказа NEW'!$B$19:$B$201),'Бланк OLD 0.8 04'!$B$12:$K$200,4,0)&gt;0,VLOOKUP($A498-COUNT('Шаг2.Бланк заказа NEW'!$B$19:$B$201),'Бланк OLD 0.8 04'!$B$12:$K$200,5,0)&gt;0),0.4,"")))),
IF(VLOOKUP($A498-COUNT('Шаг2.Бланк заказа NEW'!$B$19:$B$201)-COUNT('Бланк OLD 0.8 04'!$B$18:$B$200),'Бланк OLD 2.0 04 '!$B$16:$K$200,4,0)&gt;1,2,
IF(VLOOKUP($A498-COUNT('Шаг2.Бланк заказа NEW'!$B$19:$B$201)-COUNT('Бланк OLD 0.8 04'!$B$18:$B$200),'Бланк OLD 2.0 04 '!$B$16:$K$200,5,0)&gt;1,0.4,IF(AND(VLOOKUP($A498-COUNT('Шаг2.Бланк заказа NEW'!$B$19:$B$201)-COUNT('Бланк OLD 0.8 04'!$B$18:$B$200),'Бланк OLD 2.0 04 '!$B$16:$K$200,4,0)&gt;0,VLOOKUP($A498-COUNT('Шаг2.Бланк заказа NEW'!$B$19:$B$201)-COUNT('Бланк OLD 0.8 04'!$B$18:$B$200),'Бланк OLD 2.0 04 '!$B$16:$K$200,5,0)&gt;0),0.4,""))))</f>
        <v/>
      </c>
      <c r="T498" s="147" t="str">
        <f ca="1">IFERROR(IFERROR(IF(VLOOKUP($A498,'Шаг2.Бланк заказа NEW'!$B$17:$N$201,7,0)="","",VLOOKUP($A498,'Шаг2.Бланк заказа NEW'!$B$17:$N$201,7,0)),
IF(VLOOKUP($A498-COUNT('Шаг2.Бланк заказа NEW'!$B$19:$B$201),'Бланк OLD 0.8 04'!$B$12:$K$200,7,0)&gt;0,0.8,
IF(VLOOKUP($A498-COUNT('Шаг2.Бланк заказа NEW'!$B$19:$B$201),'Бланк OLD 0.8 04'!$B$12:$K$200,8,0)&gt;0,0.4,""))),
IF(VLOOKUP($A498-COUNT('Шаг2.Бланк заказа NEW'!$B$19:$B$201)-COUNT('Бланк OLD 0.8 04'!$B$18:$B$200),'Бланк OLD 2.0 04 '!$B$16:$K$200,7,0)&gt;0,2,IF(VLOOKUP($A498-COUNT('Шаг2.Бланк заказа NEW'!$B$19:$B$201)-COUNT('Бланк OLD 0.8 04'!$B$18:$B$200),'Бланк OLD 2.0 04 '!$B$16:$K$200,8,0)&gt;0,0.4,"")))</f>
        <v/>
      </c>
      <c r="U498" s="147" t="str">
        <f ca="1">IFERROR(IFERROR(IF(VLOOKUP($A498,'Шаг2.Бланк заказа NEW'!$B$17:$N$201,8,0)="","",VLOOKUP($A498,'Шаг2.Бланк заказа NEW'!$B$17:$N$201,8,0)),
IF(VLOOKUP($A498-COUNT('Шаг2.Бланк заказа NEW'!$B$19:$B$201),'Бланк OLD 0.8 04'!$B$12:$K$200,7,0)&gt;1,0.8,
IF(VLOOKUP($A498-COUNT('Шаг2.Бланк заказа NEW'!$B$19:$B$201),'Бланк OLD 0.8 04'!$B$12:$K$200,8,0)&gt;1,0.4,
IF(AND(VLOOKUP($A498-COUNT('Шаг2.Бланк заказа NEW'!$B$19:$B$201),'Бланк OLD 0.8 04'!$B$12:$K$200,7,0)&gt;0,VLOOKUP($A498-COUNT('Шаг2.Бланк заказа NEW'!$B$19:$B$201),'Бланк OLD 0.8 04'!$B$12:$K$200,8,0)&gt;0),0.4,"")))),
IF(VLOOKUP($A498-COUNT('Шаг2.Бланк заказа NEW'!$B$19:$B$201)-COUNT('Бланк OLD 0.8 04'!$B$18:$B$200),'Бланк OLD 2.0 04 '!$B$16:$K$200,7,0)&gt;1,2,
IF(VLOOKUP($A498-COUNT('Шаг2.Бланк заказа NEW'!$B$19:$B$201)-COUNT('Бланк OLD 0.8 04'!$B$18:$B$200),'Бланк OLD 2.0 04 '!$B$16:$K$200,8,0)&gt;1,0.4,
IF(AND(VLOOKUP($A498-COUNT('Шаг2.Бланк заказа NEW'!$B$19:$B$201)-COUNT('Бланк OLD 0.8 04'!$B$18:$B$200),'Бланк OLD 2.0 04 '!$B$16:$K$200,7,0)&gt;0,VLOOKUP($A498-COUNT('Шаг2.Бланк заказа NEW'!$B$19:$B$201)-COUNT('Бланк OLD 0.8 04'!$B$18:$B$200),'Бланк OLD 2.0 04 '!$B$16:$K$200,8,0)&gt;0),0.4,""))))</f>
        <v/>
      </c>
      <c r="V498" s="146" t="str">
        <f ca="1">IFERROR(VLOOKUP(C498,'Шаг1.Выбор плиты'!C:S,12,0),"")</f>
        <v/>
      </c>
      <c r="W498" s="146" t="str">
        <f ca="1">IFERROR(VLOOKUP(C498,'Шаг1.Выбор плиты'!C:S,8,0),"")</f>
        <v/>
      </c>
      <c r="X498" s="146" t="str">
        <f ca="1">IFERROR(VLOOKUP(C498,'Шаг1.Выбор плиты'!C:S,10,0),"")</f>
        <v/>
      </c>
      <c r="Y498" s="147" t="str">
        <f t="shared" ca="1" si="46"/>
        <v/>
      </c>
      <c r="AD498" s="147" t="str">
        <f t="shared" ca="1" si="42"/>
        <v/>
      </c>
      <c r="AE498" s="147" t="str">
        <f t="shared" ca="1" si="47"/>
        <v/>
      </c>
      <c r="AF498" s="25"/>
      <c r="AH498" s="147" t="str">
        <f ca="1">IF(C498="","",VLOOKUP(C498,'Шаг1.Выбор плиты'!C:Q,7,0))</f>
        <v/>
      </c>
      <c r="AI498" s="147" t="str">
        <f t="shared" ca="1" si="45"/>
        <v/>
      </c>
    </row>
    <row r="499" spans="1:35" x14ac:dyDescent="0.2">
      <c r="A499" s="151" t="str">
        <f ca="1">IF(C499="","",MAX($A$1:OFFSET(C499,-1,0))+1)</f>
        <v/>
      </c>
      <c r="B499" s="151" t="str">
        <f ca="1">IFERROR(IFERROR(IFERROR("Шаг2.Бланк заказа NEW №"&amp;VLOOKUP(A498+1,CHOOSE({1,2},'Шаг2.Бланк заказа NEW'!$B$19:$B$201,'Шаг2.Бланк заказа NEW'!$A$19:$A$201),1,0),
"Бланк OLD 0.8 04 №"&amp;VLOOKUP(A498+1-COUNT('Шаг2.Бланк заказа NEW'!$B$19:$B$201),CHOOSE({1,2},'Бланк OLD 0.8 04'!$B$18:$B$200,'Бланк OLD 0.8 04'!$A$18:$A$200),1,0)),
"Бланк OLD 2.0 04 №"&amp;VLOOKUP(A498+1-COUNT('Шаг2.Бланк заказа NEW'!$B$19:$B$201)-COUNT('Бланк OLD 0.8 04'!$B$18:$B$200),CHOOSE({1,2},'Бланк OLD 2.0 04 '!$B$18:$B$200,'Бланк OLD 2.0 04 '!$A$18:$A$200),1,0)),"")</f>
        <v/>
      </c>
      <c r="C499" s="152" t="str">
        <f ca="1">IFERROR(IFERROR(IFERROR(VLOOKUP(A498+1,CHOOSE({1,2},'Шаг2.Бланк заказа NEW'!$B$19:$B$201,'Шаг2.Бланк заказа NEW'!$A$19:$A$201),2,0),
VLOOKUP(A498+1-COUNT('Шаг2.Бланк заказа NEW'!$B$19:$B$201),CHOOSE({1,2},'Бланк OLD 0.8 04'!$B$18:$B$200,'Бланк OLD 0.8 04'!$A$18:$A$200),2,0)),
VLOOKUP(A498+1-COUNT('Шаг2.Бланк заказа NEW'!$B$19:$B$201)-COUNT('Бланк OLD 0.8 04'!$B$18:$B$200),CHOOSE({1,2},'Бланк OLD 2.0 04 '!$B$18:$B$200,'Бланк OLD 2.0 04 '!$A$18:$A$200),2,0)),"")</f>
        <v/>
      </c>
      <c r="D499" s="150" t="str">
        <f ca="1">IFERROR(VLOOKUP(C499,'Шаг1.Выбор плиты'!C:G,5,0),"")</f>
        <v/>
      </c>
      <c r="E499" s="147" t="str">
        <f ca="1">IFERROR(IFERROR(IF(VLOOKUP($A499,'Шаг2.Бланк заказа NEW'!$B$17:$N$201,2,0)="","",VLOOKUP($A499,'Шаг2.Бланк заказа NEW'!$B$17:$N$201,2,0)),
IF(VLOOKUP($A499-COUNT('Шаг2.Бланк заказа NEW'!$B$19:$B$201),'Бланк OLD 0.8 04'!$B$12:$K$200,2,0)="","",VLOOKUP($A499-COUNT('Шаг2.Бланк заказа NEW'!$B$19:$B$201),'Бланк OLD 0.8 04'!$B$12:$K$200,2,0))),
IF(VLOOKUP($A499-COUNT('Шаг2.Бланк заказа NEW'!$B$19:$B$201)-COUNT('Бланк OLD 0.8 04'!$B$18:$B$200),'Бланк OLD 2.0 04 '!$B$16:$K$200,2,0)="","",VLOOKUP($A499-COUNT('Шаг2.Бланк заказа NEW'!$B$19:$B$201)-COUNT('Бланк OLD 0.8 04'!$B$18:$B$200),'Бланк OLD 2.0 04 '!$B$16:$K$200,2,0)))</f>
        <v/>
      </c>
      <c r="F499" s="147" t="str">
        <f ca="1">IFERROR(IFERROR(IF(VLOOKUP($A499,'Шаг2.Бланк заказа NEW'!$B$17:$N$201,3,0)="","",VLOOKUP($A499,'Шаг2.Бланк заказа NEW'!$B$17:$N$201,3,0)),
IF(VLOOKUP($A499-COUNT('Шаг2.Бланк заказа NEW'!$B$19:$B$201),'Бланк OLD 0.8 04'!$B$12:$K$200,3,0)="","",VLOOKUP($A499-COUNT('Шаг2.Бланк заказа NEW'!$B$19:$B$201),'Бланк OLD 0.8 04'!$B$12:$K$200,3,0))),
IF(VLOOKUP($A499-COUNT('Шаг2.Бланк заказа NEW'!$B$19:$B$201)-COUNT('Бланк OLD 0.8 04'!$B$18:$B$200),'Бланк OLD 2.0 04 '!$B$16:$K$200,3,0)="","",VLOOKUP($A499-COUNT('Шаг2.Бланк заказа NEW'!$B$19:$B$201)-COUNT('Бланк OLD 0.8 04'!$B$18:$B$200),'Бланк OLD 2.0 04 '!$B$16:$K$200,3,0)))</f>
        <v/>
      </c>
      <c r="G499" s="176" t="str">
        <f ca="1">IF(IF(R499="","",IF(R499=1,SUMIFS('Шаг1.Выбор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плиты'!C:Q,12,0)),1))))))=0,
R499,
IF(R499="","",IF(R499=1,SUMIFS('Шаг1.Выбор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плиты'!N:N,R499,'Шаг1.Выбор плиты'!M:M,SMALL(INDIRECT("мм"&amp;VLOOKUP(C499,'Шаг1.Выбор плиты'!C:Q,12,0)),1)))))))</f>
        <v/>
      </c>
      <c r="H499" s="177" t="str">
        <f ca="1">IF(IF(S499="","",IF(S499=1,SUMIFS('Шаг1.Выбор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плиты'!C:Q,12,0)),1))))))=0,
S499,
IF(S499="","",IF(S499=1,SUMIFS('Шаг1.Выбор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плиты'!N:N,S499,'Шаг1.Выбор плиты'!M:M,SMALL(INDIRECT("мм"&amp;VLOOKUP(C499,'Шаг1.Выбор плиты'!C:Q,12,0)),1)))))))</f>
        <v/>
      </c>
      <c r="I499" s="147" t="str">
        <f ca="1">IFERROR(IFERROR(IF(VLOOKUP($A499,'Шаг2.Бланк заказа NEW'!$B$17:$N$201,6,0)="","",VLOOKUP($A499,'Шаг2.Бланк заказа NEW'!$B$17:$N$201,6,0)),
IF(VLOOKUP($A499-COUNT('Шаг2.Бланк заказа NEW'!$B$19:$B$201),'Бланк OLD 0.8 04'!$B$12:$K$200,6,0)="","",VLOOKUP($A499-COUNT('Шаг2.Бланк заказа NEW'!$B$19:$B$201),'Бланк OLD 0.8 04'!$B$12:$K$200,6,0))),
IF(VLOOKUP($A499-COUNT('Шаг2.Бланк заказа NEW'!$B$19:$B$201)-COUNT('Бланк OLD 0.8 04'!$B$18:$B$200),'Бланк OLD 2.0 04 '!$B$16:$K$200,6,0)="","",VLOOKUP($A499-COUNT('Шаг2.Бланк заказа NEW'!$B$19:$B$201)-COUNT('Бланк OLD 0.8 04'!$B$18:$B$200),'Бланк OLD 2.0 04 '!$B$16:$K$200,6,0)))</f>
        <v/>
      </c>
      <c r="J499" s="177" t="str">
        <f ca="1">IF(IF(T499="","",IF(T499=1,SUMIFS('Шаг1.Выбор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плиты'!C:Q,12,0)),1))))))=0,
T499,
IF(T499="","",IF(T499=1,SUMIFS('Шаг1.Выбор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плиты'!N:N,T499,'Шаг1.Выбор плиты'!M:M,SMALL(INDIRECT("мм"&amp;VLOOKUP(C499,'Шаг1.Выбор плиты'!C:Q,12,0)),1)))))))</f>
        <v/>
      </c>
      <c r="K499" s="177" t="str">
        <f ca="1">IF(IF(U499="","",IF(U499=1,SUMIFS('Шаг1.Выбор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плиты'!C:Q,12,0)),1))))))=0,
U499,
IF(U499="","",IF(U499=1,SUMIFS('Шаг1.Выбор плиты'!$G:$G,'Шаг1.Выбор плиты'!J:J,"*"&amp;RIGHT(VLOOKUP(C499,'Шаг1.Выбор плиты'!C:Q,8,0),4),'Шаг1.Выбор плиты'!L:L,IF(MID(C499,1,6)="ЛДСП P","TM"&amp;MID(VLOOKUP(C499,'Шаг1.Выбор плиты'!C:Q,10,0),3,2),MID(VLOOKUP(C499,'Шаг1.Выбор плиты'!C:Q,10,0),1,2)),
'Шаг1.Выбор плиты'!N:N,1),IF(SUMIFS('Шаг1.Выбор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плиты'!C:Q,12,0)),1))=0,
IF(SUMIFS('Шаг1.Выбор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плиты'!C:Q,12,0)),2))=0,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плиты'!C:Q,12,0)),3)),
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плиты'!C:Q,12,0)),2))),
(SUMIFS('Шаг1.Выбор плиты'!$G:$G,'Шаг1.Выбор плиты'!J:J,"*"&amp;RIGHT(VLOOKUP(C499,'Шаг1.Выбор плиты'!C:Q,8,0),4),'Шаг1.Выбор плиты'!L:L,VLOOKUP(C499,'Шаг1.Выбор плиты'!C:Q,10,0),'Шаг1.Выбор плиты'!N:N,U499,'Шаг1.Выбор плиты'!M:M,SMALL(INDIRECT("мм"&amp;VLOOKUP(C499,'Шаг1.Выбор плиты'!C:Q,12,0)),1)))))))</f>
        <v/>
      </c>
      <c r="L499" s="147" t="str">
        <f ca="1">IFERROR(IFERROR(IF(VLOOKUP($A499,'Шаг2.Бланк заказа NEW'!$B$17:$N$201,9,0)="","",VLOOKUP($A499,'Шаг2.Бланк заказа NEW'!$B$17:$N$201,9,0)),
IF(VLOOKUP($A499-COUNT('Шаг2.Бланк заказа NEW'!$B$19:$B$201),'Бланк OLD 0.8 04'!$B$12:$K$200,9,0)="","",VLOOKUP($A499-COUNT('Шаг2.Бланк заказа NEW'!$B$19:$B$201),'Бланк OLD 0.8 04'!$B$12:$K$200,9,0))),
IF(VLOOKUP($A499-COUNT('Шаг2.Бланк заказа NEW'!$B$19:$B$201)-COUNT('Бланк OLD 0.8 04'!$B$18:$B$200),'Бланк OLD 2.0 04 '!$B$16:$K$200,9,0)="","",VLOOKUP($A499-COUNT('Шаг2.Бланк заказа NEW'!$B$19:$B$201)-COUNT('Бланк OLD 0.8 04'!$B$18:$B$200),'Бланк OLD 2.0 04 '!$B$16:$K$200,9,0)))</f>
        <v/>
      </c>
      <c r="M499" s="154" t="str">
        <f t="shared" ca="1" si="44"/>
        <v/>
      </c>
      <c r="N499" s="153" t="str">
        <f ca="1">IFERROR(IF(VLOOKUP($A499,'Шаг2.Бланк заказа NEW'!$B$17:$N$201,11,0)="","",VLOOKUP($A499,'Шаг2.Бланк заказа NEW'!$B$17:$N$201,11,0)),
"Нет")</f>
        <v/>
      </c>
      <c r="O499" s="147" t="str">
        <f ca="1">IFERROR(IF(VLOOKUP($A499,'Шаг2.Бланк заказа NEW'!$B$17:$N$201,11,0)="","",VLOOKUP($A499,'Шаг2.Бланк заказа NEW'!$B$17:$N$201,12,0)),
"Нет")</f>
        <v/>
      </c>
      <c r="P499" s="153" t="str">
        <f ca="1">IFERROR(IF(VLOOKUP($A499,'Шаг2.Бланк заказа NEW'!$B$17:$N$201,13,0)="","",VLOOKUP($A499,'Шаг2.Бланк заказа NEW'!$B$17:$N$201,13,0)),
"Нет")</f>
        <v/>
      </c>
      <c r="Q499" s="147" t="str">
        <f ca="1">IFERROR(IF(VLOOKUP($A499,'Шаг2.Бланк заказа NEW'!$B$17:$O$201,14,0)="","",VLOOKUP($A499,'Шаг2.Бланк заказа NEW'!$B$17:$O$201,14,0)),"")</f>
        <v/>
      </c>
      <c r="R499" s="147" t="str">
        <f ca="1">IFERROR(IFERROR(IF(VLOOKUP($A499,'Шаг2.Бланк заказа NEW'!$B$17:$N$201,4,0)="","",VLOOKUP($A499,'Шаг2.Бланк заказа NEW'!$B$17:$N$201,4,0)),
IF(VLOOKUP($A499-COUNT('Шаг2.Бланк заказа NEW'!$B$19:$B$201),'Бланк OLD 0.8 04'!$B$12:$K$200,4,0)&gt;0,0.8,
IF(VLOOKUP($A499-COUNT('Шаг2.Бланк заказа NEW'!$B$19:$B$201),'Бланк OLD 0.8 04'!$B$12:$K$200,5,0)&gt;0,0.4,""))),
IF(VLOOKUP($A499-COUNT('Шаг2.Бланк заказа NEW'!$B$19:$B$201)-COUNT('Бланк OLD 0.8 04'!$B$18:$B$200),'Бланк OLD 2.0 04 '!$B$16:$K$200,4,0)&gt;0,2,IF(VLOOKUP($A499-COUNT('Шаг2.Бланк заказа NEW'!$B$19:$B$201)-COUNT('Бланк OLD 0.8 04'!$B$18:$B$200),'Бланк OLD 2.0 04 '!$B$16:$K$200,5,0)&gt;0,0.4,"")))</f>
        <v/>
      </c>
      <c r="S499" s="147" t="str">
        <f ca="1">IFERROR(IFERROR(IF(VLOOKUP($A499,'Шаг2.Бланк заказа NEW'!$B$17:$N$201,5,0)="","",VLOOKUP($A499,'Шаг2.Бланк заказа NEW'!$B$17:$N$201,5,0)),
IF(VLOOKUP($A499-COUNT('Шаг2.Бланк заказа NEW'!$B$19:$B$201),'Бланк OLD 0.8 04'!$B$12:$K$200,4,0)&gt;1,0.8,
IF(VLOOKUP($A499-COUNT('Шаг2.Бланк заказа NEW'!$B$19:$B$201),'Бланк OLD 0.8 04'!$B$12:$K$200,5,0)&gt;1,0.4,
IF(AND(VLOOKUP($A499-COUNT('Шаг2.Бланк заказа NEW'!$B$19:$B$201),'Бланк OLD 0.8 04'!$B$12:$K$200,4,0)&gt;0,VLOOKUP($A499-COUNT('Шаг2.Бланк заказа NEW'!$B$19:$B$201),'Бланк OLD 0.8 04'!$B$12:$K$200,5,0)&gt;0),0.4,"")))),
IF(VLOOKUP($A499-COUNT('Шаг2.Бланк заказа NEW'!$B$19:$B$201)-COUNT('Бланк OLD 0.8 04'!$B$18:$B$200),'Бланк OLD 2.0 04 '!$B$16:$K$200,4,0)&gt;1,2,
IF(VLOOKUP($A499-COUNT('Шаг2.Бланк заказа NEW'!$B$19:$B$201)-COUNT('Бланк OLD 0.8 04'!$B$18:$B$200),'Бланк OLD 2.0 04 '!$B$16:$K$200,5,0)&gt;1,0.4,IF(AND(VLOOKUP($A499-COUNT('Шаг2.Бланк заказа NEW'!$B$19:$B$201)-COUNT('Бланк OLD 0.8 04'!$B$18:$B$200),'Бланк OLD 2.0 04 '!$B$16:$K$200,4,0)&gt;0,VLOOKUP($A499-COUNT('Шаг2.Бланк заказа NEW'!$B$19:$B$201)-COUNT('Бланк OLD 0.8 04'!$B$18:$B$200),'Бланк OLD 2.0 04 '!$B$16:$K$200,5,0)&gt;0),0.4,""))))</f>
        <v/>
      </c>
      <c r="T499" s="147" t="str">
        <f ca="1">IFERROR(IFERROR(IF(VLOOKUP($A499,'Шаг2.Бланк заказа NEW'!$B$17:$N$201,7,0)="","",VLOOKUP($A499,'Шаг2.Бланк заказа NEW'!$B$17:$N$201,7,0)),
IF(VLOOKUP($A499-COUNT('Шаг2.Бланк заказа NEW'!$B$19:$B$201),'Бланк OLD 0.8 04'!$B$12:$K$200,7,0)&gt;0,0.8,
IF(VLOOKUP($A499-COUNT('Шаг2.Бланк заказа NEW'!$B$19:$B$201),'Бланк OLD 0.8 04'!$B$12:$K$200,8,0)&gt;0,0.4,""))),
IF(VLOOKUP($A499-COUNT('Шаг2.Бланк заказа NEW'!$B$19:$B$201)-COUNT('Бланк OLD 0.8 04'!$B$18:$B$200),'Бланк OLD 2.0 04 '!$B$16:$K$200,7,0)&gt;0,2,IF(VLOOKUP($A499-COUNT('Шаг2.Бланк заказа NEW'!$B$19:$B$201)-COUNT('Бланк OLD 0.8 04'!$B$18:$B$200),'Бланк OLD 2.0 04 '!$B$16:$K$200,8,0)&gt;0,0.4,"")))</f>
        <v/>
      </c>
      <c r="U499" s="147" t="str">
        <f ca="1">IFERROR(IFERROR(IF(VLOOKUP($A499,'Шаг2.Бланк заказа NEW'!$B$17:$N$201,8,0)="","",VLOOKUP($A499,'Шаг2.Бланк заказа NEW'!$B$17:$N$201,8,0)),
IF(VLOOKUP($A499-COUNT('Шаг2.Бланк заказа NEW'!$B$19:$B$201),'Бланк OLD 0.8 04'!$B$12:$K$200,7,0)&gt;1,0.8,
IF(VLOOKUP($A499-COUNT('Шаг2.Бланк заказа NEW'!$B$19:$B$201),'Бланк OLD 0.8 04'!$B$12:$K$200,8,0)&gt;1,0.4,
IF(AND(VLOOKUP($A499-COUNT('Шаг2.Бланк заказа NEW'!$B$19:$B$201),'Бланк OLD 0.8 04'!$B$12:$K$200,7,0)&gt;0,VLOOKUP($A499-COUNT('Шаг2.Бланк заказа NEW'!$B$19:$B$201),'Бланк OLD 0.8 04'!$B$12:$K$200,8,0)&gt;0),0.4,"")))),
IF(VLOOKUP($A499-COUNT('Шаг2.Бланк заказа NEW'!$B$19:$B$201)-COUNT('Бланк OLD 0.8 04'!$B$18:$B$200),'Бланк OLD 2.0 04 '!$B$16:$K$200,7,0)&gt;1,2,
IF(VLOOKUP($A499-COUNT('Шаг2.Бланк заказа NEW'!$B$19:$B$201)-COUNT('Бланк OLD 0.8 04'!$B$18:$B$200),'Бланк OLD 2.0 04 '!$B$16:$K$200,8,0)&gt;1,0.4,
IF(AND(VLOOKUP($A499-COUNT('Шаг2.Бланк заказа NEW'!$B$19:$B$201)-COUNT('Бланк OLD 0.8 04'!$B$18:$B$200),'Бланк OLD 2.0 04 '!$B$16:$K$200,7,0)&gt;0,VLOOKUP($A499-COUNT('Шаг2.Бланк заказа NEW'!$B$19:$B$201)-COUNT('Бланк OLD 0.8 04'!$B$18:$B$200),'Бланк OLD 2.0 04 '!$B$16:$K$200,8,0)&gt;0),0.4,""))))</f>
        <v/>
      </c>
      <c r="V499" s="146" t="str">
        <f ca="1">IFERROR(VLOOKUP(C499,'Шаг1.Выбор плиты'!C:S,12,0),"")</f>
        <v/>
      </c>
      <c r="W499" s="146" t="str">
        <f ca="1">IFERROR(VLOOKUP(C499,'Шаг1.Выбор плиты'!C:S,8,0),"")</f>
        <v/>
      </c>
      <c r="X499" s="146" t="str">
        <f ca="1">IFERROR(VLOOKUP(C499,'Шаг1.Выбор плиты'!C:S,10,0),"")</f>
        <v/>
      </c>
      <c r="Y499" s="147" t="str">
        <f t="shared" ca="1" si="46"/>
        <v/>
      </c>
      <c r="AD499" s="147" t="str">
        <f t="shared" ca="1" si="42"/>
        <v/>
      </c>
      <c r="AE499" s="147" t="str">
        <f t="shared" ca="1" si="47"/>
        <v/>
      </c>
      <c r="AF499" s="25"/>
      <c r="AH499" s="147" t="str">
        <f ca="1">IF(C499="","",VLOOKUP(C499,'Шаг1.Выбор плиты'!C:Q,7,0))</f>
        <v/>
      </c>
      <c r="AI499" s="147" t="str">
        <f t="shared" ca="1" si="45"/>
        <v/>
      </c>
    </row>
    <row r="500" spans="1:35" x14ac:dyDescent="0.2">
      <c r="A500" s="151" t="str">
        <f ca="1">IF(C500="","",MAX($A$1:OFFSET(C500,-1,0))+1)</f>
        <v/>
      </c>
      <c r="B500" s="151" t="str">
        <f ca="1">IFERROR(IFERROR(IFERROR("Шаг2.Бланк заказа NEW №"&amp;VLOOKUP(A499+1,CHOOSE({1,2},'Шаг2.Бланк заказа NEW'!$B$19:$B$201,'Шаг2.Бланк заказа NEW'!$A$19:$A$201),1,0),
"Бланк OLD 0.8 04 №"&amp;VLOOKUP(A499+1-COUNT('Шаг2.Бланк заказа NEW'!$B$19:$B$201),CHOOSE({1,2},'Бланк OLD 0.8 04'!$B$18:$B$200,'Бланк OLD 0.8 04'!$A$18:$A$200),1,0)),
"Бланк OLD 2.0 04 №"&amp;VLOOKUP(A499+1-COUNT('Шаг2.Бланк заказа NEW'!$B$19:$B$201)-COUNT('Бланк OLD 0.8 04'!$B$18:$B$200),CHOOSE({1,2},'Бланк OLD 2.0 04 '!$B$18:$B$200,'Бланк OLD 2.0 04 '!$A$18:$A$200),1,0)),"")</f>
        <v/>
      </c>
      <c r="C500" s="152" t="str">
        <f ca="1">IFERROR(IFERROR(IFERROR(VLOOKUP(A499+1,CHOOSE({1,2},'Шаг2.Бланк заказа NEW'!$B$19:$B$201,'Шаг2.Бланк заказа NEW'!$A$19:$A$201),2,0),
VLOOKUP(A499+1-COUNT('Шаг2.Бланк заказа NEW'!$B$19:$B$201),CHOOSE({1,2},'Бланк OLD 0.8 04'!$B$18:$B$200,'Бланк OLD 0.8 04'!$A$18:$A$200),2,0)),
VLOOKUP(A499+1-COUNT('Шаг2.Бланк заказа NEW'!$B$19:$B$201)-COUNT('Бланк OLD 0.8 04'!$B$18:$B$200),CHOOSE({1,2},'Бланк OLD 2.0 04 '!$B$18:$B$200,'Бланк OLD 2.0 04 '!$A$18:$A$200),2,0)),"")</f>
        <v/>
      </c>
      <c r="D500" s="150" t="str">
        <f ca="1">IFERROR(VLOOKUP(C500,'Шаг1.Выбор плиты'!C:G,5,0),"")</f>
        <v/>
      </c>
      <c r="E500" s="147" t="str">
        <f ca="1">IFERROR(IFERROR(IF(VLOOKUP($A500,'Шаг2.Бланк заказа NEW'!$B$17:$N$201,2,0)="","",VLOOKUP($A500,'Шаг2.Бланк заказа NEW'!$B$17:$N$201,2,0)),
IF(VLOOKUP($A500-COUNT('Шаг2.Бланк заказа NEW'!$B$19:$B$201),'Бланк OLD 0.8 04'!$B$12:$K$200,2,0)="","",VLOOKUP($A500-COUNT('Шаг2.Бланк заказа NEW'!$B$19:$B$201),'Бланк OLD 0.8 04'!$B$12:$K$200,2,0))),
IF(VLOOKUP($A500-COUNT('Шаг2.Бланк заказа NEW'!$B$19:$B$201)-COUNT('Бланк OLD 0.8 04'!$B$18:$B$200),'Бланк OLD 2.0 04 '!$B$16:$K$200,2,0)="","",VLOOKUP($A500-COUNT('Шаг2.Бланк заказа NEW'!$B$19:$B$201)-COUNT('Бланк OLD 0.8 04'!$B$18:$B$200),'Бланк OLD 2.0 04 '!$B$16:$K$200,2,0)))</f>
        <v/>
      </c>
      <c r="F500" s="147" t="str">
        <f ca="1">IFERROR(IFERROR(IF(VLOOKUP($A500,'Шаг2.Бланк заказа NEW'!$B$17:$N$201,3,0)="","",VLOOKUP($A500,'Шаг2.Бланк заказа NEW'!$B$17:$N$201,3,0)),
IF(VLOOKUP($A500-COUNT('Шаг2.Бланк заказа NEW'!$B$19:$B$201),'Бланк OLD 0.8 04'!$B$12:$K$200,3,0)="","",VLOOKUP($A500-COUNT('Шаг2.Бланк заказа NEW'!$B$19:$B$201),'Бланк OLD 0.8 04'!$B$12:$K$200,3,0))),
IF(VLOOKUP($A500-COUNT('Шаг2.Бланк заказа NEW'!$B$19:$B$201)-COUNT('Бланк OLD 0.8 04'!$B$18:$B$200),'Бланк OLD 2.0 04 '!$B$16:$K$200,3,0)="","",VLOOKUP($A500-COUNT('Шаг2.Бланк заказа NEW'!$B$19:$B$201)-COUNT('Бланк OLD 0.8 04'!$B$18:$B$200),'Бланк OLD 2.0 04 '!$B$16:$K$200,3,0)))</f>
        <v/>
      </c>
      <c r="G500" s="176" t="str">
        <f ca="1">IF(IF(R500="","",IF(R500=1,SUMIFS('Шаг1.Выбор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плиты'!C:Q,12,0)),1))))))=0,
R500,
IF(R500="","",IF(R500=1,SUMIFS('Шаг1.Выбор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плиты'!N:N,R500,'Шаг1.Выбор плиты'!M:M,SMALL(INDIRECT("мм"&amp;VLOOKUP(C500,'Шаг1.Выбор плиты'!C:Q,12,0)),1)))))))</f>
        <v/>
      </c>
      <c r="H500" s="177" t="str">
        <f ca="1">IF(IF(S500="","",IF(S500=1,SUMIFS('Шаг1.Выбор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плиты'!C:Q,12,0)),1))))))=0,
S500,
IF(S500="","",IF(S500=1,SUMIFS('Шаг1.Выбор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плиты'!N:N,S500,'Шаг1.Выбор плиты'!M:M,SMALL(INDIRECT("мм"&amp;VLOOKUP(C500,'Шаг1.Выбор плиты'!C:Q,12,0)),1)))))))</f>
        <v/>
      </c>
      <c r="I500" s="147" t="str">
        <f ca="1">IFERROR(IFERROR(IF(VLOOKUP($A500,'Шаг2.Бланк заказа NEW'!$B$17:$N$201,6,0)="","",VLOOKUP($A500,'Шаг2.Бланк заказа NEW'!$B$17:$N$201,6,0)),
IF(VLOOKUP($A500-COUNT('Шаг2.Бланк заказа NEW'!$B$19:$B$201),'Бланк OLD 0.8 04'!$B$12:$K$200,6,0)="","",VLOOKUP($A500-COUNT('Шаг2.Бланк заказа NEW'!$B$19:$B$201),'Бланк OLD 0.8 04'!$B$12:$K$200,6,0))),
IF(VLOOKUP($A500-COUNT('Шаг2.Бланк заказа NEW'!$B$19:$B$201)-COUNT('Бланк OLD 0.8 04'!$B$18:$B$200),'Бланк OLD 2.0 04 '!$B$16:$K$200,6,0)="","",VLOOKUP($A500-COUNT('Шаг2.Бланк заказа NEW'!$B$19:$B$201)-COUNT('Бланк OLD 0.8 04'!$B$18:$B$200),'Бланк OLD 2.0 04 '!$B$16:$K$200,6,0)))</f>
        <v/>
      </c>
      <c r="J500" s="177" t="str">
        <f ca="1">IF(IF(T500="","",IF(T500=1,SUMIFS('Шаг1.Выбор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плиты'!C:Q,12,0)),1))))))=0,
T500,
IF(T500="","",IF(T500=1,SUMIFS('Шаг1.Выбор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плиты'!N:N,T500,'Шаг1.Выбор плиты'!M:M,SMALL(INDIRECT("мм"&amp;VLOOKUP(C500,'Шаг1.Выбор плиты'!C:Q,12,0)),1)))))))</f>
        <v/>
      </c>
      <c r="K500" s="177" t="str">
        <f ca="1">IF(IF(U500="","",IF(U500=1,SUMIFS('Шаг1.Выбор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плиты'!C:Q,12,0)),1))))))=0,
U500,
IF(U500="","",IF(U500=1,SUMIFS('Шаг1.Выбор плиты'!$G:$G,'Шаг1.Выбор плиты'!J:J,"*"&amp;RIGHT(VLOOKUP(C500,'Шаг1.Выбор плиты'!C:Q,8,0),4),'Шаг1.Выбор плиты'!L:L,IF(MID(C500,1,6)="ЛДСП P","TM"&amp;MID(VLOOKUP(C500,'Шаг1.Выбор плиты'!C:Q,10,0),3,2),MID(VLOOKUP(C500,'Шаг1.Выбор плиты'!C:Q,10,0),1,2)),
'Шаг1.Выбор плиты'!N:N,1),IF(SUMIFS('Шаг1.Выбор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плиты'!C:Q,12,0)),1))=0,
IF(SUMIFS('Шаг1.Выбор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плиты'!C:Q,12,0)),2))=0,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плиты'!C:Q,12,0)),3)),
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плиты'!C:Q,12,0)),2))),
(SUMIFS('Шаг1.Выбор плиты'!$G:$G,'Шаг1.Выбор плиты'!J:J,"*"&amp;RIGHT(VLOOKUP(C500,'Шаг1.Выбор плиты'!C:Q,8,0),4),'Шаг1.Выбор плиты'!L:L,VLOOKUP(C500,'Шаг1.Выбор плиты'!C:Q,10,0),'Шаг1.Выбор плиты'!N:N,U500,'Шаг1.Выбор плиты'!M:M,SMALL(INDIRECT("мм"&amp;VLOOKUP(C500,'Шаг1.Выбор плиты'!C:Q,12,0)),1)))))))</f>
        <v/>
      </c>
      <c r="L500" s="147" t="str">
        <f ca="1">IFERROR(IFERROR(IF(VLOOKUP($A500,'Шаг2.Бланк заказа NEW'!$B$17:$N$201,9,0)="","",VLOOKUP($A500,'Шаг2.Бланк заказа NEW'!$B$17:$N$201,9,0)),
IF(VLOOKUP($A500-COUNT('Шаг2.Бланк заказа NEW'!$B$19:$B$201),'Бланк OLD 0.8 04'!$B$12:$K$200,9,0)="","",VLOOKUP($A500-COUNT('Шаг2.Бланк заказа NEW'!$B$19:$B$201),'Бланк OLD 0.8 04'!$B$12:$K$200,9,0))),
IF(VLOOKUP($A500-COUNT('Шаг2.Бланк заказа NEW'!$B$19:$B$201)-COUNT('Бланк OLD 0.8 04'!$B$18:$B$200),'Бланк OLD 2.0 04 '!$B$16:$K$200,9,0)="","",VLOOKUP($A500-COUNT('Шаг2.Бланк заказа NEW'!$B$19:$B$201)-COUNT('Бланк OLD 0.8 04'!$B$18:$B$200),'Бланк OLD 2.0 04 '!$B$16:$K$200,9,0)))</f>
        <v/>
      </c>
      <c r="M500" s="154" t="str">
        <f t="shared" ca="1" si="44"/>
        <v/>
      </c>
      <c r="N500" s="153" t="str">
        <f ca="1">IFERROR(IF(VLOOKUP($A500,'Шаг2.Бланк заказа NEW'!$B$17:$N$201,11,0)="","",VLOOKUP($A500,'Шаг2.Бланк заказа NEW'!$B$17:$N$201,11,0)),
"Нет")</f>
        <v/>
      </c>
      <c r="O500" s="147" t="str">
        <f ca="1">IFERROR(IF(VLOOKUP($A500,'Шаг2.Бланк заказа NEW'!$B$17:$N$201,11,0)="","",VLOOKUP($A500,'Шаг2.Бланк заказа NEW'!$B$17:$N$201,12,0)),
"Нет")</f>
        <v/>
      </c>
      <c r="P500" s="153" t="str">
        <f ca="1">IFERROR(IF(VLOOKUP($A500,'Шаг2.Бланк заказа NEW'!$B$17:$N$201,13,0)="","",VLOOKUP($A500,'Шаг2.Бланк заказа NEW'!$B$17:$N$201,13,0)),
"Нет")</f>
        <v/>
      </c>
      <c r="Q500" s="147" t="str">
        <f ca="1">IFERROR(IF(VLOOKUP($A500,'Шаг2.Бланк заказа NEW'!$B$17:$O$201,14,0)="","",VLOOKUP($A500,'Шаг2.Бланк заказа NEW'!$B$17:$O$201,14,0)),"")</f>
        <v/>
      </c>
      <c r="R500" s="147" t="str">
        <f ca="1">IFERROR(IFERROR(IF(VLOOKUP($A500,'Шаг2.Бланк заказа NEW'!$B$17:$N$201,4,0)="","",VLOOKUP($A500,'Шаг2.Бланк заказа NEW'!$B$17:$N$201,4,0)),
IF(VLOOKUP($A500-COUNT('Шаг2.Бланк заказа NEW'!$B$19:$B$201),'Бланк OLD 0.8 04'!$B$12:$K$200,4,0)&gt;0,0.8,
IF(VLOOKUP($A500-COUNT('Шаг2.Бланк заказа NEW'!$B$19:$B$201),'Бланк OLD 0.8 04'!$B$12:$K$200,5,0)&gt;0,0.4,""))),
IF(VLOOKUP($A500-COUNT('Шаг2.Бланк заказа NEW'!$B$19:$B$201)-COUNT('Бланк OLD 0.8 04'!$B$18:$B$200),'Бланк OLD 2.0 04 '!$B$16:$K$200,4,0)&gt;0,2,IF(VLOOKUP($A500-COUNT('Шаг2.Бланк заказа NEW'!$B$19:$B$201)-COUNT('Бланк OLD 0.8 04'!$B$18:$B$200),'Бланк OLD 2.0 04 '!$B$16:$K$200,5,0)&gt;0,0.4,"")))</f>
        <v/>
      </c>
      <c r="S500" s="147" t="str">
        <f ca="1">IFERROR(IFERROR(IF(VLOOKUP($A500,'Шаг2.Бланк заказа NEW'!$B$17:$N$201,5,0)="","",VLOOKUP($A500,'Шаг2.Бланк заказа NEW'!$B$17:$N$201,5,0)),
IF(VLOOKUP($A500-COUNT('Шаг2.Бланк заказа NEW'!$B$19:$B$201),'Бланк OLD 0.8 04'!$B$12:$K$200,4,0)&gt;1,0.8,
IF(VLOOKUP($A500-COUNT('Шаг2.Бланк заказа NEW'!$B$19:$B$201),'Бланк OLD 0.8 04'!$B$12:$K$200,5,0)&gt;1,0.4,
IF(AND(VLOOKUP($A500-COUNT('Шаг2.Бланк заказа NEW'!$B$19:$B$201),'Бланк OLD 0.8 04'!$B$12:$K$200,4,0)&gt;0,VLOOKUP($A500-COUNT('Шаг2.Бланк заказа NEW'!$B$19:$B$201),'Бланк OLD 0.8 04'!$B$12:$K$200,5,0)&gt;0),0.4,"")))),
IF(VLOOKUP($A500-COUNT('Шаг2.Бланк заказа NEW'!$B$19:$B$201)-COUNT('Бланк OLD 0.8 04'!$B$18:$B$200),'Бланк OLD 2.0 04 '!$B$16:$K$200,4,0)&gt;1,2,
IF(VLOOKUP($A500-COUNT('Шаг2.Бланк заказа NEW'!$B$19:$B$201)-COUNT('Бланк OLD 0.8 04'!$B$18:$B$200),'Бланк OLD 2.0 04 '!$B$16:$K$200,5,0)&gt;1,0.4,IF(AND(VLOOKUP($A500-COUNT('Шаг2.Бланк заказа NEW'!$B$19:$B$201)-COUNT('Бланк OLD 0.8 04'!$B$18:$B$200),'Бланк OLD 2.0 04 '!$B$16:$K$200,4,0)&gt;0,VLOOKUP($A500-COUNT('Шаг2.Бланк заказа NEW'!$B$19:$B$201)-COUNT('Бланк OLD 0.8 04'!$B$18:$B$200),'Бланк OLD 2.0 04 '!$B$16:$K$200,5,0)&gt;0),0.4,""))))</f>
        <v/>
      </c>
      <c r="T500" s="147" t="str">
        <f ca="1">IFERROR(IFERROR(IF(VLOOKUP($A500,'Шаг2.Бланк заказа NEW'!$B$17:$N$201,7,0)="","",VLOOKUP($A500,'Шаг2.Бланк заказа NEW'!$B$17:$N$201,7,0)),
IF(VLOOKUP($A500-COUNT('Шаг2.Бланк заказа NEW'!$B$19:$B$201),'Бланк OLD 0.8 04'!$B$12:$K$200,7,0)&gt;0,0.8,
IF(VLOOKUP($A500-COUNT('Шаг2.Бланк заказа NEW'!$B$19:$B$201),'Бланк OLD 0.8 04'!$B$12:$K$200,8,0)&gt;0,0.4,""))),
IF(VLOOKUP($A500-COUNT('Шаг2.Бланк заказа NEW'!$B$19:$B$201)-COUNT('Бланк OLD 0.8 04'!$B$18:$B$200),'Бланк OLD 2.0 04 '!$B$16:$K$200,7,0)&gt;0,2,IF(VLOOKUP($A500-COUNT('Шаг2.Бланк заказа NEW'!$B$19:$B$201)-COUNT('Бланк OLD 0.8 04'!$B$18:$B$200),'Бланк OLD 2.0 04 '!$B$16:$K$200,8,0)&gt;0,0.4,"")))</f>
        <v/>
      </c>
      <c r="U500" s="147" t="str">
        <f ca="1">IFERROR(IFERROR(IF(VLOOKUP($A500,'Шаг2.Бланк заказа NEW'!$B$17:$N$201,8,0)="","",VLOOKUP($A500,'Шаг2.Бланк заказа NEW'!$B$17:$N$201,8,0)),
IF(VLOOKUP($A500-COUNT('Шаг2.Бланк заказа NEW'!$B$19:$B$201),'Бланк OLD 0.8 04'!$B$12:$K$200,7,0)&gt;1,0.8,
IF(VLOOKUP($A500-COUNT('Шаг2.Бланк заказа NEW'!$B$19:$B$201),'Бланк OLD 0.8 04'!$B$12:$K$200,8,0)&gt;1,0.4,
IF(AND(VLOOKUP($A500-COUNT('Шаг2.Бланк заказа NEW'!$B$19:$B$201),'Бланк OLD 0.8 04'!$B$12:$K$200,7,0)&gt;0,VLOOKUP($A500-COUNT('Шаг2.Бланк заказа NEW'!$B$19:$B$201),'Бланк OLD 0.8 04'!$B$12:$K$200,8,0)&gt;0),0.4,"")))),
IF(VLOOKUP($A500-COUNT('Шаг2.Бланк заказа NEW'!$B$19:$B$201)-COUNT('Бланк OLD 0.8 04'!$B$18:$B$200),'Бланк OLD 2.0 04 '!$B$16:$K$200,7,0)&gt;1,2,
IF(VLOOKUP($A500-COUNT('Шаг2.Бланк заказа NEW'!$B$19:$B$201)-COUNT('Бланк OLD 0.8 04'!$B$18:$B$200),'Бланк OLD 2.0 04 '!$B$16:$K$200,8,0)&gt;1,0.4,
IF(AND(VLOOKUP($A500-COUNT('Шаг2.Бланк заказа NEW'!$B$19:$B$201)-COUNT('Бланк OLD 0.8 04'!$B$18:$B$200),'Бланк OLD 2.0 04 '!$B$16:$K$200,7,0)&gt;0,VLOOKUP($A500-COUNT('Шаг2.Бланк заказа NEW'!$B$19:$B$201)-COUNT('Бланк OLD 0.8 04'!$B$18:$B$200),'Бланк OLD 2.0 04 '!$B$16:$K$200,8,0)&gt;0),0.4,""))))</f>
        <v/>
      </c>
      <c r="V500" s="146" t="str">
        <f ca="1">IFERROR(VLOOKUP(C500,'Шаг1.Выбор плиты'!C:S,12,0),"")</f>
        <v/>
      </c>
      <c r="W500" s="146" t="str">
        <f ca="1">IFERROR(VLOOKUP(C500,'Шаг1.Выбор плиты'!C:S,8,0),"")</f>
        <v/>
      </c>
      <c r="X500" s="146" t="str">
        <f ca="1">IFERROR(VLOOKUP(C500,'Шаг1.Выбор плиты'!C:S,10,0),"")</f>
        <v/>
      </c>
      <c r="Y500" s="147" t="str">
        <f t="shared" ca="1" si="46"/>
        <v/>
      </c>
      <c r="AD500" s="147" t="str">
        <f t="shared" ca="1" si="42"/>
        <v/>
      </c>
      <c r="AE500" s="147" t="str">
        <f t="shared" ca="1" si="47"/>
        <v/>
      </c>
      <c r="AF500" s="25"/>
      <c r="AH500" s="147" t="str">
        <f ca="1">IF(C500="","",VLOOKUP(C500,'Шаг1.Выбор плиты'!C:Q,7,0))</f>
        <v/>
      </c>
      <c r="AI500" s="147" t="str">
        <f t="shared" ca="1" si="45"/>
        <v/>
      </c>
    </row>
    <row r="501" spans="1:35" x14ac:dyDescent="0.2">
      <c r="A501" s="151" t="str">
        <f ca="1">IF(C501="","",MAX($A$1:OFFSET(C501,-1,0))+1)</f>
        <v/>
      </c>
      <c r="B501" s="151" t="str">
        <f ca="1">IFERROR(IFERROR(IFERROR("Шаг2.Бланк заказа NEW №"&amp;VLOOKUP(A500+1,CHOOSE({1,2},'Шаг2.Бланк заказа NEW'!$B$19:$B$201,'Шаг2.Бланк заказа NEW'!$A$19:$A$201),1,0),
"Бланк OLD 0.8 04 №"&amp;VLOOKUP(A500+1-COUNT('Шаг2.Бланк заказа NEW'!$B$19:$B$201),CHOOSE({1,2},'Бланк OLD 0.8 04'!$B$18:$B$200,'Бланк OLD 0.8 04'!$A$18:$A$200),1,0)),
"Бланк OLD 2.0 04 №"&amp;VLOOKUP(A500+1-COUNT('Шаг2.Бланк заказа NEW'!$B$19:$B$201)-COUNT('Бланк OLD 0.8 04'!$B$18:$B$200),CHOOSE({1,2},'Бланк OLD 2.0 04 '!$B$18:$B$200,'Бланк OLD 2.0 04 '!$A$18:$A$200),1,0)),"")</f>
        <v/>
      </c>
      <c r="C501" s="152" t="str">
        <f ca="1">IFERROR(IFERROR(IFERROR(VLOOKUP(A500+1,CHOOSE({1,2},'Шаг2.Бланк заказа NEW'!$B$19:$B$201,'Шаг2.Бланк заказа NEW'!$A$19:$A$201),2,0),
VLOOKUP(A500+1-COUNT('Шаг2.Бланк заказа NEW'!$B$19:$B$201),CHOOSE({1,2},'Бланк OLD 0.8 04'!$B$18:$B$200,'Бланк OLD 0.8 04'!$A$18:$A$200),2,0)),
VLOOKUP(A500+1-COUNT('Шаг2.Бланк заказа NEW'!$B$19:$B$201)-COUNT('Бланк OLD 0.8 04'!$B$18:$B$200),CHOOSE({1,2},'Бланк OLD 2.0 04 '!$B$18:$B$200,'Бланк OLD 2.0 04 '!$A$18:$A$200),2,0)),"")</f>
        <v/>
      </c>
      <c r="D501" s="150" t="str">
        <f ca="1">IFERROR(VLOOKUP(C501,'Шаг1.Выбор плиты'!C:G,5,0),"")</f>
        <v/>
      </c>
      <c r="E501" s="147" t="str">
        <f ca="1">IFERROR(IFERROR(IF(VLOOKUP($A501,'Шаг2.Бланк заказа NEW'!$B$17:$N$201,2,0)="","",VLOOKUP($A501,'Шаг2.Бланк заказа NEW'!$B$17:$N$201,2,0)),
IF(VLOOKUP($A501-COUNT('Шаг2.Бланк заказа NEW'!$B$19:$B$201),'Бланк OLD 0.8 04'!$B$12:$K$200,2,0)="","",VLOOKUP($A501-COUNT('Шаг2.Бланк заказа NEW'!$B$19:$B$201),'Бланк OLD 0.8 04'!$B$12:$K$200,2,0))),
IF(VLOOKUP($A501-COUNT('Шаг2.Бланк заказа NEW'!$B$19:$B$201)-COUNT('Бланк OLD 0.8 04'!$B$18:$B$200),'Бланк OLD 2.0 04 '!$B$16:$K$200,2,0)="","",VLOOKUP($A501-COUNT('Шаг2.Бланк заказа NEW'!$B$19:$B$201)-COUNT('Бланк OLD 0.8 04'!$B$18:$B$200),'Бланк OLD 2.0 04 '!$B$16:$K$200,2,0)))</f>
        <v/>
      </c>
      <c r="F501" s="147" t="str">
        <f ca="1">IFERROR(IFERROR(IF(VLOOKUP($A501,'Шаг2.Бланк заказа NEW'!$B$17:$N$201,3,0)="","",VLOOKUP($A501,'Шаг2.Бланк заказа NEW'!$B$17:$N$201,3,0)),
IF(VLOOKUP($A501-COUNT('Шаг2.Бланк заказа NEW'!$B$19:$B$201),'Бланк OLD 0.8 04'!$B$12:$K$200,3,0)="","",VLOOKUP($A501-COUNT('Шаг2.Бланк заказа NEW'!$B$19:$B$201),'Бланк OLD 0.8 04'!$B$12:$K$200,3,0))),
IF(VLOOKUP($A501-COUNT('Шаг2.Бланк заказа NEW'!$B$19:$B$201)-COUNT('Бланк OLD 0.8 04'!$B$18:$B$200),'Бланк OLD 2.0 04 '!$B$16:$K$200,3,0)="","",VLOOKUP($A501-COUNT('Шаг2.Бланк заказа NEW'!$B$19:$B$201)-COUNT('Бланк OLD 0.8 04'!$B$18:$B$200),'Бланк OLD 2.0 04 '!$B$16:$K$200,3,0)))</f>
        <v/>
      </c>
      <c r="G501" s="176" t="str">
        <f ca="1">IF(IF(R501="","",IF(R501=1,SUMIFS('Шаг1.Выбор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плиты'!C:Q,12,0)),1))))))=0,
R501,
IF(R501="","",IF(R501=1,SUMIFS('Шаг1.Выбор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плиты'!N:N,R501,'Шаг1.Выбор плиты'!M:M,SMALL(INDIRECT("мм"&amp;VLOOKUP(C501,'Шаг1.Выбор плиты'!C:Q,12,0)),1)))))))</f>
        <v/>
      </c>
      <c r="H501" s="177" t="str">
        <f ca="1">IF(IF(S501="","",IF(S501=1,SUMIFS('Шаг1.Выбор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плиты'!C:Q,12,0)),1))))))=0,
S501,
IF(S501="","",IF(S501=1,SUMIFS('Шаг1.Выбор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плиты'!N:N,S501,'Шаг1.Выбор плиты'!M:M,SMALL(INDIRECT("мм"&amp;VLOOKUP(C501,'Шаг1.Выбор плиты'!C:Q,12,0)),1)))))))</f>
        <v/>
      </c>
      <c r="I501" s="147" t="str">
        <f ca="1">IFERROR(IFERROR(IF(VLOOKUP($A501,'Шаг2.Бланк заказа NEW'!$B$17:$N$201,6,0)="","",VLOOKUP($A501,'Шаг2.Бланк заказа NEW'!$B$17:$N$201,6,0)),
IF(VLOOKUP($A501-COUNT('Шаг2.Бланк заказа NEW'!$B$19:$B$201),'Бланк OLD 0.8 04'!$B$12:$K$200,6,0)="","",VLOOKUP($A501-COUNT('Шаг2.Бланк заказа NEW'!$B$19:$B$201),'Бланк OLD 0.8 04'!$B$12:$K$200,6,0))),
IF(VLOOKUP($A501-COUNT('Шаг2.Бланк заказа NEW'!$B$19:$B$201)-COUNT('Бланк OLD 0.8 04'!$B$18:$B$200),'Бланк OLD 2.0 04 '!$B$16:$K$200,6,0)="","",VLOOKUP($A501-COUNT('Шаг2.Бланк заказа NEW'!$B$19:$B$201)-COUNT('Бланк OLD 0.8 04'!$B$18:$B$200),'Бланк OLD 2.0 04 '!$B$16:$K$200,6,0)))</f>
        <v/>
      </c>
      <c r="J501" s="177" t="str">
        <f ca="1">IF(IF(T501="","",IF(T501=1,SUMIFS('Шаг1.Выбор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плиты'!C:Q,12,0)),1))))))=0,
T501,
IF(T501="","",IF(T501=1,SUMIFS('Шаг1.Выбор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плиты'!N:N,T501,'Шаг1.Выбор плиты'!M:M,SMALL(INDIRECT("мм"&amp;VLOOKUP(C501,'Шаг1.Выбор плиты'!C:Q,12,0)),1)))))))</f>
        <v/>
      </c>
      <c r="K501" s="177" t="str">
        <f ca="1">IF(IF(U501="","",IF(U501=1,SUMIFS('Шаг1.Выбор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плиты'!C:Q,12,0)),1))))))=0,
U501,
IF(U501="","",IF(U501=1,SUMIFS('Шаг1.Выбор плиты'!$G:$G,'Шаг1.Выбор плиты'!J:J,"*"&amp;RIGHT(VLOOKUP(C501,'Шаг1.Выбор плиты'!C:Q,8,0),4),'Шаг1.Выбор плиты'!L:L,IF(MID(C501,1,6)="ЛДСП P","TM"&amp;MID(VLOOKUP(C501,'Шаг1.Выбор плиты'!C:Q,10,0),3,2),MID(VLOOKUP(C501,'Шаг1.Выбор плиты'!C:Q,10,0),1,2)),
'Шаг1.Выбор плиты'!N:N,1),IF(SUMIFS('Шаг1.Выбор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плиты'!C:Q,12,0)),1))=0,
IF(SUMIFS('Шаг1.Выбор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плиты'!C:Q,12,0)),2))=0,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плиты'!C:Q,12,0)),3)),
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плиты'!C:Q,12,0)),2))),
(SUMIFS('Шаг1.Выбор плиты'!$G:$G,'Шаг1.Выбор плиты'!J:J,"*"&amp;RIGHT(VLOOKUP(C501,'Шаг1.Выбор плиты'!C:Q,8,0),4),'Шаг1.Выбор плиты'!L:L,VLOOKUP(C501,'Шаг1.Выбор плиты'!C:Q,10,0),'Шаг1.Выбор плиты'!N:N,U501,'Шаг1.Выбор плиты'!M:M,SMALL(INDIRECT("мм"&amp;VLOOKUP(C501,'Шаг1.Выбор плиты'!C:Q,12,0)),1)))))))</f>
        <v/>
      </c>
      <c r="L501" s="147" t="str">
        <f ca="1">IFERROR(IFERROR(IF(VLOOKUP($A501,'Шаг2.Бланк заказа NEW'!$B$17:$N$201,9,0)="","",VLOOKUP($A501,'Шаг2.Бланк заказа NEW'!$B$17:$N$201,9,0)),
IF(VLOOKUP($A501-COUNT('Шаг2.Бланк заказа NEW'!$B$19:$B$201),'Бланк OLD 0.8 04'!$B$12:$K$200,9,0)="","",VLOOKUP($A501-COUNT('Шаг2.Бланк заказа NEW'!$B$19:$B$201),'Бланк OLD 0.8 04'!$B$12:$K$200,9,0))),
IF(VLOOKUP($A501-COUNT('Шаг2.Бланк заказа NEW'!$B$19:$B$201)-COUNT('Бланк OLD 0.8 04'!$B$18:$B$200),'Бланк OLD 2.0 04 '!$B$16:$K$200,9,0)="","",VLOOKUP($A501-COUNT('Шаг2.Бланк заказа NEW'!$B$19:$B$201)-COUNT('Бланк OLD 0.8 04'!$B$18:$B$200),'Бланк OLD 2.0 04 '!$B$16:$K$200,9,0)))</f>
        <v/>
      </c>
      <c r="M501" s="154" t="str">
        <f t="shared" ca="1" si="44"/>
        <v/>
      </c>
      <c r="N501" s="153" t="str">
        <f ca="1">IFERROR(IF(VLOOKUP($A501,'Шаг2.Бланк заказа NEW'!$B$17:$N$201,11,0)="","",VLOOKUP($A501,'Шаг2.Бланк заказа NEW'!$B$17:$N$201,11,0)),
"Нет")</f>
        <v/>
      </c>
      <c r="O501" s="147" t="str">
        <f ca="1">IFERROR(IF(VLOOKUP($A501,'Шаг2.Бланк заказа NEW'!$B$17:$N$201,11,0)="","",VLOOKUP($A501,'Шаг2.Бланк заказа NEW'!$B$17:$N$201,12,0)),
"Нет")</f>
        <v/>
      </c>
      <c r="P501" s="153" t="str">
        <f ca="1">IFERROR(IF(VLOOKUP($A501,'Шаг2.Бланк заказа NEW'!$B$17:$N$201,13,0)="","",VLOOKUP($A501,'Шаг2.Бланк заказа NEW'!$B$17:$N$201,13,0)),
"Нет")</f>
        <v/>
      </c>
      <c r="Q501" s="147" t="str">
        <f ca="1">IFERROR(IF(VLOOKUP($A501,'Шаг2.Бланк заказа NEW'!$B$17:$O$201,14,0)="","",VLOOKUP($A501,'Шаг2.Бланк заказа NEW'!$B$17:$O$201,14,0)),"")</f>
        <v/>
      </c>
      <c r="R501" s="147" t="str">
        <f ca="1">IFERROR(IFERROR(IF(VLOOKUP($A501,'Шаг2.Бланк заказа NEW'!$B$17:$N$201,4,0)="","",VLOOKUP($A501,'Шаг2.Бланк заказа NEW'!$B$17:$N$201,4,0)),
IF(VLOOKUP($A501-COUNT('Шаг2.Бланк заказа NEW'!$B$19:$B$201),'Бланк OLD 0.8 04'!$B$12:$K$200,4,0)&gt;0,0.8,
IF(VLOOKUP($A501-COUNT('Шаг2.Бланк заказа NEW'!$B$19:$B$201),'Бланк OLD 0.8 04'!$B$12:$K$200,5,0)&gt;0,0.4,""))),
IF(VLOOKUP($A501-COUNT('Шаг2.Бланк заказа NEW'!$B$19:$B$201)-COUNT('Бланк OLD 0.8 04'!$B$18:$B$200),'Бланк OLD 2.0 04 '!$B$16:$K$200,4,0)&gt;0,2,IF(VLOOKUP($A501-COUNT('Шаг2.Бланк заказа NEW'!$B$19:$B$201)-COUNT('Бланк OLD 0.8 04'!$B$18:$B$200),'Бланк OLD 2.0 04 '!$B$16:$K$200,5,0)&gt;0,0.4,"")))</f>
        <v/>
      </c>
      <c r="S501" s="147" t="str">
        <f ca="1">IFERROR(IFERROR(IF(VLOOKUP($A501,'Шаг2.Бланк заказа NEW'!$B$17:$N$201,5,0)="","",VLOOKUP($A501,'Шаг2.Бланк заказа NEW'!$B$17:$N$201,5,0)),
IF(VLOOKUP($A501-COUNT('Шаг2.Бланк заказа NEW'!$B$19:$B$201),'Бланк OLD 0.8 04'!$B$12:$K$200,4,0)&gt;1,0.8,
IF(VLOOKUP($A501-COUNT('Шаг2.Бланк заказа NEW'!$B$19:$B$201),'Бланк OLD 0.8 04'!$B$12:$K$200,5,0)&gt;1,0.4,
IF(AND(VLOOKUP($A501-COUNT('Шаг2.Бланк заказа NEW'!$B$19:$B$201),'Бланк OLD 0.8 04'!$B$12:$K$200,4,0)&gt;0,VLOOKUP($A501-COUNT('Шаг2.Бланк заказа NEW'!$B$19:$B$201),'Бланк OLD 0.8 04'!$B$12:$K$200,5,0)&gt;0),0.4,"")))),
IF(VLOOKUP($A501-COUNT('Шаг2.Бланк заказа NEW'!$B$19:$B$201)-COUNT('Бланк OLD 0.8 04'!$B$18:$B$200),'Бланк OLD 2.0 04 '!$B$16:$K$200,4,0)&gt;1,2,
IF(VLOOKUP($A501-COUNT('Шаг2.Бланк заказа NEW'!$B$19:$B$201)-COUNT('Бланк OLD 0.8 04'!$B$18:$B$200),'Бланк OLD 2.0 04 '!$B$16:$K$200,5,0)&gt;1,0.4,IF(AND(VLOOKUP($A501-COUNT('Шаг2.Бланк заказа NEW'!$B$19:$B$201)-COUNT('Бланк OLD 0.8 04'!$B$18:$B$200),'Бланк OLD 2.0 04 '!$B$16:$K$200,4,0)&gt;0,VLOOKUP($A501-COUNT('Шаг2.Бланк заказа NEW'!$B$19:$B$201)-COUNT('Бланк OLD 0.8 04'!$B$18:$B$200),'Бланк OLD 2.0 04 '!$B$16:$K$200,5,0)&gt;0),0.4,""))))</f>
        <v/>
      </c>
      <c r="T501" s="147" t="str">
        <f ca="1">IFERROR(IFERROR(IF(VLOOKUP($A501,'Шаг2.Бланк заказа NEW'!$B$17:$N$201,7,0)="","",VLOOKUP($A501,'Шаг2.Бланк заказа NEW'!$B$17:$N$201,7,0)),
IF(VLOOKUP($A501-COUNT('Шаг2.Бланк заказа NEW'!$B$19:$B$201),'Бланк OLD 0.8 04'!$B$12:$K$200,7,0)&gt;0,0.8,
IF(VLOOKUP($A501-COUNT('Шаг2.Бланк заказа NEW'!$B$19:$B$201),'Бланк OLD 0.8 04'!$B$12:$K$200,8,0)&gt;0,0.4,""))),
IF(VLOOKUP($A501-COUNT('Шаг2.Бланк заказа NEW'!$B$19:$B$201)-COUNT('Бланк OLD 0.8 04'!$B$18:$B$200),'Бланк OLD 2.0 04 '!$B$16:$K$200,7,0)&gt;0,2,IF(VLOOKUP($A501-COUNT('Шаг2.Бланк заказа NEW'!$B$19:$B$201)-COUNT('Бланк OLD 0.8 04'!$B$18:$B$200),'Бланк OLD 2.0 04 '!$B$16:$K$200,8,0)&gt;0,0.4,"")))</f>
        <v/>
      </c>
      <c r="U501" s="147" t="str">
        <f ca="1">IFERROR(IFERROR(IF(VLOOKUP($A501,'Шаг2.Бланк заказа NEW'!$B$17:$N$201,8,0)="","",VLOOKUP($A501,'Шаг2.Бланк заказа NEW'!$B$17:$N$201,8,0)),
IF(VLOOKUP($A501-COUNT('Шаг2.Бланк заказа NEW'!$B$19:$B$201),'Бланк OLD 0.8 04'!$B$12:$K$200,7,0)&gt;1,0.8,
IF(VLOOKUP($A501-COUNT('Шаг2.Бланк заказа NEW'!$B$19:$B$201),'Бланк OLD 0.8 04'!$B$12:$K$200,8,0)&gt;1,0.4,
IF(AND(VLOOKUP($A501-COUNT('Шаг2.Бланк заказа NEW'!$B$19:$B$201),'Бланк OLD 0.8 04'!$B$12:$K$200,7,0)&gt;0,VLOOKUP($A501-COUNT('Шаг2.Бланк заказа NEW'!$B$19:$B$201),'Бланк OLD 0.8 04'!$B$12:$K$200,8,0)&gt;0),0.4,"")))),
IF(VLOOKUP($A501-COUNT('Шаг2.Бланк заказа NEW'!$B$19:$B$201)-COUNT('Бланк OLD 0.8 04'!$B$18:$B$200),'Бланк OLD 2.0 04 '!$B$16:$K$200,7,0)&gt;1,2,
IF(VLOOKUP($A501-COUNT('Шаг2.Бланк заказа NEW'!$B$19:$B$201)-COUNT('Бланк OLD 0.8 04'!$B$18:$B$200),'Бланк OLD 2.0 04 '!$B$16:$K$200,8,0)&gt;1,0.4,
IF(AND(VLOOKUP($A501-COUNT('Шаг2.Бланк заказа NEW'!$B$19:$B$201)-COUNT('Бланк OLD 0.8 04'!$B$18:$B$200),'Бланк OLD 2.0 04 '!$B$16:$K$200,7,0)&gt;0,VLOOKUP($A501-COUNT('Шаг2.Бланк заказа NEW'!$B$19:$B$201)-COUNT('Бланк OLD 0.8 04'!$B$18:$B$200),'Бланк OLD 2.0 04 '!$B$16:$K$200,8,0)&gt;0),0.4,""))))</f>
        <v/>
      </c>
      <c r="V501" s="146" t="str">
        <f ca="1">IFERROR(VLOOKUP(C501,'Шаг1.Выбор плиты'!C:S,12,0),"")</f>
        <v/>
      </c>
      <c r="W501" s="146" t="str">
        <f ca="1">IFERROR(VLOOKUP(C501,'Шаг1.Выбор плиты'!C:S,8,0),"")</f>
        <v/>
      </c>
      <c r="X501" s="146" t="str">
        <f ca="1">IFERROR(VLOOKUP(C501,'Шаг1.Выбор плиты'!C:S,10,0),"")</f>
        <v/>
      </c>
      <c r="Y501" s="147" t="str">
        <f t="shared" ca="1" si="46"/>
        <v/>
      </c>
      <c r="AD501" s="147" t="str">
        <f t="shared" ca="1" si="42"/>
        <v/>
      </c>
      <c r="AE501" s="147" t="str">
        <f t="shared" ca="1" si="47"/>
        <v/>
      </c>
      <c r="AF501" s="25"/>
      <c r="AH501" s="147" t="str">
        <f ca="1">IF(C501="","",VLOOKUP(C501,'Шаг1.Выбор плиты'!C:Q,7,0))</f>
        <v/>
      </c>
      <c r="AI501" s="147" t="str">
        <f t="shared" ca="1" si="45"/>
        <v/>
      </c>
    </row>
    <row r="502" spans="1:35" x14ac:dyDescent="0.2">
      <c r="A502" s="151" t="str">
        <f ca="1">IF(C502="","",MAX($A$1:OFFSET(C502,-1,0))+1)</f>
        <v/>
      </c>
      <c r="B502" s="151" t="str">
        <f ca="1">IFERROR(IFERROR(IFERROR("Шаг2.Бланк заказа NEW №"&amp;VLOOKUP(A501+1,CHOOSE({1,2},'Шаг2.Бланк заказа NEW'!$B$19:$B$201,'Шаг2.Бланк заказа NEW'!$A$19:$A$201),1,0),
"Бланк OLD 0.8 04 №"&amp;VLOOKUP(A501+1-COUNT('Шаг2.Бланк заказа NEW'!$B$19:$B$201),CHOOSE({1,2},'Бланк OLD 0.8 04'!$B$18:$B$200,'Бланк OLD 0.8 04'!$A$18:$A$200),1,0)),
"Бланк OLD 2.0 04 №"&amp;VLOOKUP(A501+1-COUNT('Шаг2.Бланк заказа NEW'!$B$19:$B$201)-COUNT('Бланк OLD 0.8 04'!$B$18:$B$200),CHOOSE({1,2},'Бланк OLD 2.0 04 '!$B$18:$B$200,'Бланк OLD 2.0 04 '!$A$18:$A$200),1,0)),"")</f>
        <v/>
      </c>
      <c r="C502" s="152" t="str">
        <f ca="1">IFERROR(IFERROR(IFERROR(VLOOKUP(A501+1,CHOOSE({1,2},'Шаг2.Бланк заказа NEW'!$B$19:$B$201,'Шаг2.Бланк заказа NEW'!$A$19:$A$201),2,0),
VLOOKUP(A501+1-COUNT('Шаг2.Бланк заказа NEW'!$B$19:$B$201),CHOOSE({1,2},'Бланк OLD 0.8 04'!$B$18:$B$200,'Бланк OLD 0.8 04'!$A$18:$A$200),2,0)),
VLOOKUP(A501+1-COUNT('Шаг2.Бланк заказа NEW'!$B$19:$B$201)-COUNT('Бланк OLD 0.8 04'!$B$18:$B$200),CHOOSE({1,2},'Бланк OLD 2.0 04 '!$B$18:$B$200,'Бланк OLD 2.0 04 '!$A$18:$A$200),2,0)),"")</f>
        <v/>
      </c>
      <c r="D502" s="150" t="str">
        <f ca="1">IFERROR(VLOOKUP(C502,'Шаг1.Выбор плиты'!C:G,5,0),"")</f>
        <v/>
      </c>
      <c r="E502" s="147" t="str">
        <f ca="1">IFERROR(IFERROR(IF(VLOOKUP($A502,'Шаг2.Бланк заказа NEW'!$B$17:$N$201,2,0)="","",VLOOKUP($A502,'Шаг2.Бланк заказа NEW'!$B$17:$N$201,2,0)),
IF(VLOOKUP($A502-COUNT('Шаг2.Бланк заказа NEW'!$B$19:$B$201),'Бланк OLD 0.8 04'!$B$12:$K$200,2,0)="","",VLOOKUP($A502-COUNT('Шаг2.Бланк заказа NEW'!$B$19:$B$201),'Бланк OLD 0.8 04'!$B$12:$K$200,2,0))),
IF(VLOOKUP($A502-COUNT('Шаг2.Бланк заказа NEW'!$B$19:$B$201)-COUNT('Бланк OLD 0.8 04'!$B$18:$B$200),'Бланк OLD 2.0 04 '!$B$16:$K$200,2,0)="","",VLOOKUP($A502-COUNT('Шаг2.Бланк заказа NEW'!$B$19:$B$201)-COUNT('Бланк OLD 0.8 04'!$B$18:$B$200),'Бланк OLD 2.0 04 '!$B$16:$K$200,2,0)))</f>
        <v/>
      </c>
      <c r="F502" s="147" t="str">
        <f ca="1">IFERROR(IFERROR(IF(VLOOKUP($A502,'Шаг2.Бланк заказа NEW'!$B$17:$N$201,3,0)="","",VLOOKUP($A502,'Шаг2.Бланк заказа NEW'!$B$17:$N$201,3,0)),
IF(VLOOKUP($A502-COUNT('Шаг2.Бланк заказа NEW'!$B$19:$B$201),'Бланк OLD 0.8 04'!$B$12:$K$200,3,0)="","",VLOOKUP($A502-COUNT('Шаг2.Бланк заказа NEW'!$B$19:$B$201),'Бланк OLD 0.8 04'!$B$12:$K$200,3,0))),
IF(VLOOKUP($A502-COUNT('Шаг2.Бланк заказа NEW'!$B$19:$B$201)-COUNT('Бланк OLD 0.8 04'!$B$18:$B$200),'Бланк OLD 2.0 04 '!$B$16:$K$200,3,0)="","",VLOOKUP($A502-COUNT('Шаг2.Бланк заказа NEW'!$B$19:$B$201)-COUNT('Бланк OLD 0.8 04'!$B$18:$B$200),'Бланк OLD 2.0 04 '!$B$16:$K$200,3,0)))</f>
        <v/>
      </c>
      <c r="G502" s="176" t="str">
        <f ca="1">IF(IF(R502="","",IF(R502=1,SUMIFS('Шаг1.Выбор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плиты'!C:Q,12,0)),1))))))=0,
R502,
IF(R502="","",IF(R502=1,SUMIFS('Шаг1.Выбор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плиты'!N:N,R502,'Шаг1.Выбор плиты'!M:M,SMALL(INDIRECT("мм"&amp;VLOOKUP(C502,'Шаг1.Выбор плиты'!C:Q,12,0)),1)))))))</f>
        <v/>
      </c>
      <c r="H502" s="177" t="str">
        <f ca="1">IF(IF(S502="","",IF(S502=1,SUMIFS('Шаг1.Выбор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плиты'!C:Q,12,0)),1))))))=0,
S502,
IF(S502="","",IF(S502=1,SUMIFS('Шаг1.Выбор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плиты'!N:N,S502,'Шаг1.Выбор плиты'!M:M,SMALL(INDIRECT("мм"&amp;VLOOKUP(C502,'Шаг1.Выбор плиты'!C:Q,12,0)),1)))))))</f>
        <v/>
      </c>
      <c r="I502" s="147" t="str">
        <f ca="1">IFERROR(IFERROR(IF(VLOOKUP($A502,'Шаг2.Бланк заказа NEW'!$B$17:$N$201,6,0)="","",VLOOKUP($A502,'Шаг2.Бланк заказа NEW'!$B$17:$N$201,6,0)),
IF(VLOOKUP($A502-COUNT('Шаг2.Бланк заказа NEW'!$B$19:$B$201),'Бланк OLD 0.8 04'!$B$12:$K$200,6,0)="","",VLOOKUP($A502-COUNT('Шаг2.Бланк заказа NEW'!$B$19:$B$201),'Бланк OLD 0.8 04'!$B$12:$K$200,6,0))),
IF(VLOOKUP($A502-COUNT('Шаг2.Бланк заказа NEW'!$B$19:$B$201)-COUNT('Бланк OLD 0.8 04'!$B$18:$B$200),'Бланк OLD 2.0 04 '!$B$16:$K$200,6,0)="","",VLOOKUP($A502-COUNT('Шаг2.Бланк заказа NEW'!$B$19:$B$201)-COUNT('Бланк OLD 0.8 04'!$B$18:$B$200),'Бланк OLD 2.0 04 '!$B$16:$K$200,6,0)))</f>
        <v/>
      </c>
      <c r="J502" s="177" t="str">
        <f ca="1">IF(IF(T502="","",IF(T502=1,SUMIFS('Шаг1.Выбор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плиты'!C:Q,12,0)),1))))))=0,
T502,
IF(T502="","",IF(T502=1,SUMIFS('Шаг1.Выбор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плиты'!N:N,T502,'Шаг1.Выбор плиты'!M:M,SMALL(INDIRECT("мм"&amp;VLOOKUP(C502,'Шаг1.Выбор плиты'!C:Q,12,0)),1)))))))</f>
        <v/>
      </c>
      <c r="K502" s="177" t="str">
        <f ca="1">IF(IF(U502="","",IF(U502=1,SUMIFS('Шаг1.Выбор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плиты'!C:Q,12,0)),1))))))=0,
U502,
IF(U502="","",IF(U502=1,SUMIFS('Шаг1.Выбор плиты'!$G:$G,'Шаг1.Выбор плиты'!J:J,"*"&amp;RIGHT(VLOOKUP(C502,'Шаг1.Выбор плиты'!C:Q,8,0),4),'Шаг1.Выбор плиты'!L:L,IF(MID(C502,1,6)="ЛДСП P","TM"&amp;MID(VLOOKUP(C502,'Шаг1.Выбор плиты'!C:Q,10,0),3,2),MID(VLOOKUP(C502,'Шаг1.Выбор плиты'!C:Q,10,0),1,2)),
'Шаг1.Выбор плиты'!N:N,1),IF(SUMIFS('Шаг1.Выбор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плиты'!C:Q,12,0)),1))=0,
IF(SUMIFS('Шаг1.Выбор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плиты'!C:Q,12,0)),2))=0,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плиты'!C:Q,12,0)),3)),
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плиты'!C:Q,12,0)),2))),
(SUMIFS('Шаг1.Выбор плиты'!$G:$G,'Шаг1.Выбор плиты'!J:J,"*"&amp;RIGHT(VLOOKUP(C502,'Шаг1.Выбор плиты'!C:Q,8,0),4),'Шаг1.Выбор плиты'!L:L,VLOOKUP(C502,'Шаг1.Выбор плиты'!C:Q,10,0),'Шаг1.Выбор плиты'!N:N,U502,'Шаг1.Выбор плиты'!M:M,SMALL(INDIRECT("мм"&amp;VLOOKUP(C502,'Шаг1.Выбор плиты'!C:Q,12,0)),1)))))))</f>
        <v/>
      </c>
      <c r="L502" s="147" t="str">
        <f ca="1">IFERROR(IFERROR(IF(VLOOKUP($A502,'Шаг2.Бланк заказа NEW'!$B$17:$N$201,9,0)="","",VLOOKUP($A502,'Шаг2.Бланк заказа NEW'!$B$17:$N$201,9,0)),
IF(VLOOKUP($A502-COUNT('Шаг2.Бланк заказа NEW'!$B$19:$B$201),'Бланк OLD 0.8 04'!$B$12:$K$200,9,0)="","",VLOOKUP($A502-COUNT('Шаг2.Бланк заказа NEW'!$B$19:$B$201),'Бланк OLD 0.8 04'!$B$12:$K$200,9,0))),
IF(VLOOKUP($A502-COUNT('Шаг2.Бланк заказа NEW'!$B$19:$B$201)-COUNT('Бланк OLD 0.8 04'!$B$18:$B$200),'Бланк OLD 2.0 04 '!$B$16:$K$200,9,0)="","",VLOOKUP($A502-COUNT('Шаг2.Бланк заказа NEW'!$B$19:$B$201)-COUNT('Бланк OLD 0.8 04'!$B$18:$B$200),'Бланк OLD 2.0 04 '!$B$16:$K$200,9,0)))</f>
        <v/>
      </c>
      <c r="M502" s="154" t="str">
        <f t="shared" ca="1" si="44"/>
        <v/>
      </c>
      <c r="N502" s="153" t="str">
        <f ca="1">IFERROR(IF(VLOOKUP($A502,'Шаг2.Бланк заказа NEW'!$B$17:$N$201,11,0)="","",VLOOKUP($A502,'Шаг2.Бланк заказа NEW'!$B$17:$N$201,11,0)),
"Нет")</f>
        <v/>
      </c>
      <c r="O502" s="147" t="str">
        <f ca="1">IFERROR(IF(VLOOKUP($A502,'Шаг2.Бланк заказа NEW'!$B$17:$N$201,11,0)="","",VLOOKUP($A502,'Шаг2.Бланк заказа NEW'!$B$17:$N$201,12,0)),
"Нет")</f>
        <v/>
      </c>
      <c r="P502" s="153" t="str">
        <f ca="1">IFERROR(IF(VLOOKUP($A502,'Шаг2.Бланк заказа NEW'!$B$17:$N$201,13,0)="","",VLOOKUP($A502,'Шаг2.Бланк заказа NEW'!$B$17:$N$201,13,0)),
"Нет")</f>
        <v/>
      </c>
      <c r="Q502" s="147" t="str">
        <f ca="1">IFERROR(IF(VLOOKUP($A502,'Шаг2.Бланк заказа NEW'!$B$17:$O$201,14,0)="","",VLOOKUP($A502,'Шаг2.Бланк заказа NEW'!$B$17:$O$201,14,0)),"")</f>
        <v/>
      </c>
      <c r="R502" s="147" t="str">
        <f ca="1">IFERROR(IFERROR(IF(VLOOKUP($A502,'Шаг2.Бланк заказа NEW'!$B$17:$N$201,4,0)="","",VLOOKUP($A502,'Шаг2.Бланк заказа NEW'!$B$17:$N$201,4,0)),
IF(VLOOKUP($A502-COUNT('Шаг2.Бланк заказа NEW'!$B$19:$B$201),'Бланк OLD 0.8 04'!$B$12:$K$200,4,0)&gt;0,0.8,
IF(VLOOKUP($A502-COUNT('Шаг2.Бланк заказа NEW'!$B$19:$B$201),'Бланк OLD 0.8 04'!$B$12:$K$200,5,0)&gt;0,0.4,""))),
IF(VLOOKUP($A502-COUNT('Шаг2.Бланк заказа NEW'!$B$19:$B$201)-COUNT('Бланк OLD 0.8 04'!$B$18:$B$200),'Бланк OLD 2.0 04 '!$B$16:$K$200,4,0)&gt;0,2,IF(VLOOKUP($A502-COUNT('Шаг2.Бланк заказа NEW'!$B$19:$B$201)-COUNT('Бланк OLD 0.8 04'!$B$18:$B$200),'Бланк OLD 2.0 04 '!$B$16:$K$200,5,0)&gt;0,0.4,"")))</f>
        <v/>
      </c>
      <c r="S502" s="147" t="str">
        <f ca="1">IFERROR(IFERROR(IF(VLOOKUP($A502,'Шаг2.Бланк заказа NEW'!$B$17:$N$201,5,0)="","",VLOOKUP($A502,'Шаг2.Бланк заказа NEW'!$B$17:$N$201,5,0)),
IF(VLOOKUP($A502-COUNT('Шаг2.Бланк заказа NEW'!$B$19:$B$201),'Бланк OLD 0.8 04'!$B$12:$K$200,4,0)&gt;1,0.8,
IF(VLOOKUP($A502-COUNT('Шаг2.Бланк заказа NEW'!$B$19:$B$201),'Бланк OLD 0.8 04'!$B$12:$K$200,5,0)&gt;1,0.4,
IF(AND(VLOOKUP($A502-COUNT('Шаг2.Бланк заказа NEW'!$B$19:$B$201),'Бланк OLD 0.8 04'!$B$12:$K$200,4,0)&gt;0,VLOOKUP($A502-COUNT('Шаг2.Бланк заказа NEW'!$B$19:$B$201),'Бланк OLD 0.8 04'!$B$12:$K$200,5,0)&gt;0),0.4,"")))),
IF(VLOOKUP($A502-COUNT('Шаг2.Бланк заказа NEW'!$B$19:$B$201)-COUNT('Бланк OLD 0.8 04'!$B$18:$B$200),'Бланк OLD 2.0 04 '!$B$16:$K$200,4,0)&gt;1,2,
IF(VLOOKUP($A502-COUNT('Шаг2.Бланк заказа NEW'!$B$19:$B$201)-COUNT('Бланк OLD 0.8 04'!$B$18:$B$200),'Бланк OLD 2.0 04 '!$B$16:$K$200,5,0)&gt;1,0.4,IF(AND(VLOOKUP($A502-COUNT('Шаг2.Бланк заказа NEW'!$B$19:$B$201)-COUNT('Бланк OLD 0.8 04'!$B$18:$B$200),'Бланк OLD 2.0 04 '!$B$16:$K$200,4,0)&gt;0,VLOOKUP($A502-COUNT('Шаг2.Бланк заказа NEW'!$B$19:$B$201)-COUNT('Бланк OLD 0.8 04'!$B$18:$B$200),'Бланк OLD 2.0 04 '!$B$16:$K$200,5,0)&gt;0),0.4,""))))</f>
        <v/>
      </c>
      <c r="T502" s="147" t="str">
        <f ca="1">IFERROR(IFERROR(IF(VLOOKUP($A502,'Шаг2.Бланк заказа NEW'!$B$17:$N$201,7,0)="","",VLOOKUP($A502,'Шаг2.Бланк заказа NEW'!$B$17:$N$201,7,0)),
IF(VLOOKUP($A502-COUNT('Шаг2.Бланк заказа NEW'!$B$19:$B$201),'Бланк OLD 0.8 04'!$B$12:$K$200,7,0)&gt;0,0.8,
IF(VLOOKUP($A502-COUNT('Шаг2.Бланк заказа NEW'!$B$19:$B$201),'Бланк OLD 0.8 04'!$B$12:$K$200,8,0)&gt;0,0.4,""))),
IF(VLOOKUP($A502-COUNT('Шаг2.Бланк заказа NEW'!$B$19:$B$201)-COUNT('Бланк OLD 0.8 04'!$B$18:$B$200),'Бланк OLD 2.0 04 '!$B$16:$K$200,7,0)&gt;0,2,IF(VLOOKUP($A502-COUNT('Шаг2.Бланк заказа NEW'!$B$19:$B$201)-COUNT('Бланк OLD 0.8 04'!$B$18:$B$200),'Бланк OLD 2.0 04 '!$B$16:$K$200,8,0)&gt;0,0.4,"")))</f>
        <v/>
      </c>
      <c r="U502" s="147" t="str">
        <f ca="1">IFERROR(IFERROR(IF(VLOOKUP($A502,'Шаг2.Бланк заказа NEW'!$B$17:$N$201,8,0)="","",VLOOKUP($A502,'Шаг2.Бланк заказа NEW'!$B$17:$N$201,8,0)),
IF(VLOOKUP($A502-COUNT('Шаг2.Бланк заказа NEW'!$B$19:$B$201),'Бланк OLD 0.8 04'!$B$12:$K$200,7,0)&gt;1,0.8,
IF(VLOOKUP($A502-COUNT('Шаг2.Бланк заказа NEW'!$B$19:$B$201),'Бланк OLD 0.8 04'!$B$12:$K$200,8,0)&gt;1,0.4,
IF(AND(VLOOKUP($A502-COUNT('Шаг2.Бланк заказа NEW'!$B$19:$B$201),'Бланк OLD 0.8 04'!$B$12:$K$200,7,0)&gt;0,VLOOKUP($A502-COUNT('Шаг2.Бланк заказа NEW'!$B$19:$B$201),'Бланк OLD 0.8 04'!$B$12:$K$200,8,0)&gt;0),0.4,"")))),
IF(VLOOKUP($A502-COUNT('Шаг2.Бланк заказа NEW'!$B$19:$B$201)-COUNT('Бланк OLD 0.8 04'!$B$18:$B$200),'Бланк OLD 2.0 04 '!$B$16:$K$200,7,0)&gt;1,2,
IF(VLOOKUP($A502-COUNT('Шаг2.Бланк заказа NEW'!$B$19:$B$201)-COUNT('Бланк OLD 0.8 04'!$B$18:$B$200),'Бланк OLD 2.0 04 '!$B$16:$K$200,8,0)&gt;1,0.4,
IF(AND(VLOOKUP($A502-COUNT('Шаг2.Бланк заказа NEW'!$B$19:$B$201)-COUNT('Бланк OLD 0.8 04'!$B$18:$B$200),'Бланк OLD 2.0 04 '!$B$16:$K$200,7,0)&gt;0,VLOOKUP($A502-COUNT('Шаг2.Бланк заказа NEW'!$B$19:$B$201)-COUNT('Бланк OLD 0.8 04'!$B$18:$B$200),'Бланк OLD 2.0 04 '!$B$16:$K$200,8,0)&gt;0),0.4,""))))</f>
        <v/>
      </c>
      <c r="V502" s="146" t="str">
        <f ca="1">IFERROR(VLOOKUP(C502,'Шаг1.Выбор плиты'!C:S,12,0),"")</f>
        <v/>
      </c>
      <c r="W502" s="146" t="str">
        <f ca="1">IFERROR(VLOOKUP(C502,'Шаг1.Выбор плиты'!C:S,8,0),"")</f>
        <v/>
      </c>
      <c r="X502" s="146" t="str">
        <f ca="1">IFERROR(VLOOKUP(C502,'Шаг1.Выбор плиты'!C:S,10,0),"")</f>
        <v/>
      </c>
      <c r="Y502" s="147" t="str">
        <f t="shared" ca="1" si="46"/>
        <v/>
      </c>
      <c r="AD502" s="147" t="str">
        <f t="shared" ca="1" si="42"/>
        <v/>
      </c>
      <c r="AE502" s="147" t="str">
        <f t="shared" ca="1" si="47"/>
        <v/>
      </c>
      <c r="AF502" s="25"/>
      <c r="AH502" s="147" t="str">
        <f ca="1">IF(C502="","",VLOOKUP(C502,'Шаг1.Выбор плиты'!C:Q,7,0))</f>
        <v/>
      </c>
      <c r="AI502" s="147" t="str">
        <f t="shared" ca="1" si="45"/>
        <v/>
      </c>
    </row>
    <row r="503" spans="1:35" x14ac:dyDescent="0.2">
      <c r="A503" s="151" t="str">
        <f ca="1">IF(C503="","",MAX($A$1:OFFSET(C503,-1,0))+1)</f>
        <v/>
      </c>
      <c r="B503" s="151" t="str">
        <f ca="1">IFERROR(IFERROR(IFERROR("Шаг2.Бланк заказа NEW №"&amp;VLOOKUP(A502+1,CHOOSE({1,2},'Шаг2.Бланк заказа NEW'!$B$19:$B$201,'Шаг2.Бланк заказа NEW'!$A$19:$A$201),1,0),
"Бланк OLD 0.8 04 №"&amp;VLOOKUP(A502+1-COUNT('Шаг2.Бланк заказа NEW'!$B$19:$B$201),CHOOSE({1,2},'Бланк OLD 0.8 04'!$B$18:$B$200,'Бланк OLD 0.8 04'!$A$18:$A$200),1,0)),
"Бланк OLD 2.0 04 №"&amp;VLOOKUP(A502+1-COUNT('Шаг2.Бланк заказа NEW'!$B$19:$B$201)-COUNT('Бланк OLD 0.8 04'!$B$18:$B$200),CHOOSE({1,2},'Бланк OLD 2.0 04 '!$B$18:$B$200,'Бланк OLD 2.0 04 '!$A$18:$A$200),1,0)),"")</f>
        <v/>
      </c>
      <c r="C503" s="152" t="str">
        <f ca="1">IFERROR(IFERROR(IFERROR(VLOOKUP(A502+1,CHOOSE({1,2},'Шаг2.Бланк заказа NEW'!$B$19:$B$201,'Шаг2.Бланк заказа NEW'!$A$19:$A$201),2,0),
VLOOKUP(A502+1-COUNT('Шаг2.Бланк заказа NEW'!$B$19:$B$201),CHOOSE({1,2},'Бланк OLD 0.8 04'!$B$18:$B$200,'Бланк OLD 0.8 04'!$A$18:$A$200),2,0)),
VLOOKUP(A502+1-COUNT('Шаг2.Бланк заказа NEW'!$B$19:$B$201)-COUNT('Бланк OLD 0.8 04'!$B$18:$B$200),CHOOSE({1,2},'Бланк OLD 2.0 04 '!$B$18:$B$200,'Бланк OLD 2.0 04 '!$A$18:$A$200),2,0)),"")</f>
        <v/>
      </c>
      <c r="D503" s="150" t="str">
        <f ca="1">IFERROR(VLOOKUP(C503,'Шаг1.Выбор плиты'!C:G,5,0),"")</f>
        <v/>
      </c>
      <c r="E503" s="147" t="str">
        <f ca="1">IFERROR(IFERROR(IF(VLOOKUP($A503,'Шаг2.Бланк заказа NEW'!$B$17:$N$201,2,0)="","",VLOOKUP($A503,'Шаг2.Бланк заказа NEW'!$B$17:$N$201,2,0)),
IF(VLOOKUP($A503-COUNT('Шаг2.Бланк заказа NEW'!$B$19:$B$201),'Бланк OLD 0.8 04'!$B$12:$K$200,2,0)="","",VLOOKUP($A503-COUNT('Шаг2.Бланк заказа NEW'!$B$19:$B$201),'Бланк OLD 0.8 04'!$B$12:$K$200,2,0))),
IF(VLOOKUP($A503-COUNT('Шаг2.Бланк заказа NEW'!$B$19:$B$201)-COUNT('Бланк OLD 0.8 04'!$B$18:$B$200),'Бланк OLD 2.0 04 '!$B$16:$K$200,2,0)="","",VLOOKUP($A503-COUNT('Шаг2.Бланк заказа NEW'!$B$19:$B$201)-COUNT('Бланк OLD 0.8 04'!$B$18:$B$200),'Бланк OLD 2.0 04 '!$B$16:$K$200,2,0)))</f>
        <v/>
      </c>
      <c r="F503" s="147" t="str">
        <f ca="1">IFERROR(IFERROR(IF(VLOOKUP($A503,'Шаг2.Бланк заказа NEW'!$B$17:$N$201,3,0)="","",VLOOKUP($A503,'Шаг2.Бланк заказа NEW'!$B$17:$N$201,3,0)),
IF(VLOOKUP($A503-COUNT('Шаг2.Бланк заказа NEW'!$B$19:$B$201),'Бланк OLD 0.8 04'!$B$12:$K$200,3,0)="","",VLOOKUP($A503-COUNT('Шаг2.Бланк заказа NEW'!$B$19:$B$201),'Бланк OLD 0.8 04'!$B$12:$K$200,3,0))),
IF(VLOOKUP($A503-COUNT('Шаг2.Бланк заказа NEW'!$B$19:$B$201)-COUNT('Бланк OLD 0.8 04'!$B$18:$B$200),'Бланк OLD 2.0 04 '!$B$16:$K$200,3,0)="","",VLOOKUP($A503-COUNT('Шаг2.Бланк заказа NEW'!$B$19:$B$201)-COUNT('Бланк OLD 0.8 04'!$B$18:$B$200),'Бланк OLD 2.0 04 '!$B$16:$K$200,3,0)))</f>
        <v/>
      </c>
      <c r="G503" s="176" t="str">
        <f ca="1">IF(IF(R503="","",IF(R503=1,SUMIFS('Шаг1.Выбор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плиты'!C:Q,12,0)),1))))))=0,
R503,
IF(R503="","",IF(R503=1,SUMIFS('Шаг1.Выбор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плиты'!N:N,R503,'Шаг1.Выбор плиты'!M:M,SMALL(INDIRECT("мм"&amp;VLOOKUP(C503,'Шаг1.Выбор плиты'!C:Q,12,0)),1)))))))</f>
        <v/>
      </c>
      <c r="H503" s="177" t="str">
        <f ca="1">IF(IF(S503="","",IF(S503=1,SUMIFS('Шаг1.Выбор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плиты'!C:Q,12,0)),1))))))=0,
S503,
IF(S503="","",IF(S503=1,SUMIFS('Шаг1.Выбор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плиты'!N:N,S503,'Шаг1.Выбор плиты'!M:M,SMALL(INDIRECT("мм"&amp;VLOOKUP(C503,'Шаг1.Выбор плиты'!C:Q,12,0)),1)))))))</f>
        <v/>
      </c>
      <c r="I503" s="147" t="str">
        <f ca="1">IFERROR(IFERROR(IF(VLOOKUP($A503,'Шаг2.Бланк заказа NEW'!$B$17:$N$201,6,0)="","",VLOOKUP($A503,'Шаг2.Бланк заказа NEW'!$B$17:$N$201,6,0)),
IF(VLOOKUP($A503-COUNT('Шаг2.Бланк заказа NEW'!$B$19:$B$201),'Бланк OLD 0.8 04'!$B$12:$K$200,6,0)="","",VLOOKUP($A503-COUNT('Шаг2.Бланк заказа NEW'!$B$19:$B$201),'Бланк OLD 0.8 04'!$B$12:$K$200,6,0))),
IF(VLOOKUP($A503-COUNT('Шаг2.Бланк заказа NEW'!$B$19:$B$201)-COUNT('Бланк OLD 0.8 04'!$B$18:$B$200),'Бланк OLD 2.0 04 '!$B$16:$K$200,6,0)="","",VLOOKUP($A503-COUNT('Шаг2.Бланк заказа NEW'!$B$19:$B$201)-COUNT('Бланк OLD 0.8 04'!$B$18:$B$200),'Бланк OLD 2.0 04 '!$B$16:$K$200,6,0)))</f>
        <v/>
      </c>
      <c r="J503" s="177" t="str">
        <f ca="1">IF(IF(T503="","",IF(T503=1,SUMIFS('Шаг1.Выбор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плиты'!C:Q,12,0)),1))))))=0,
T503,
IF(T503="","",IF(T503=1,SUMIFS('Шаг1.Выбор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плиты'!N:N,T503,'Шаг1.Выбор плиты'!M:M,SMALL(INDIRECT("мм"&amp;VLOOKUP(C503,'Шаг1.Выбор плиты'!C:Q,12,0)),1)))))))</f>
        <v/>
      </c>
      <c r="K503" s="177" t="str">
        <f ca="1">IF(IF(U503="","",IF(U503=1,SUMIFS('Шаг1.Выбор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плиты'!C:Q,12,0)),1))))))=0,
U503,
IF(U503="","",IF(U503=1,SUMIFS('Шаг1.Выбор плиты'!$G:$G,'Шаг1.Выбор плиты'!J:J,"*"&amp;RIGHT(VLOOKUP(C503,'Шаг1.Выбор плиты'!C:Q,8,0),4),'Шаг1.Выбор плиты'!L:L,IF(MID(C503,1,6)="ЛДСП P","TM"&amp;MID(VLOOKUP(C503,'Шаг1.Выбор плиты'!C:Q,10,0),3,2),MID(VLOOKUP(C503,'Шаг1.Выбор плиты'!C:Q,10,0),1,2)),
'Шаг1.Выбор плиты'!N:N,1),IF(SUMIFS('Шаг1.Выбор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плиты'!C:Q,12,0)),1))=0,
IF(SUMIFS('Шаг1.Выбор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плиты'!C:Q,12,0)),2))=0,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плиты'!C:Q,12,0)),3)),
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плиты'!C:Q,12,0)),2))),
(SUMIFS('Шаг1.Выбор плиты'!$G:$G,'Шаг1.Выбор плиты'!J:J,"*"&amp;RIGHT(VLOOKUP(C503,'Шаг1.Выбор плиты'!C:Q,8,0),4),'Шаг1.Выбор плиты'!L:L,VLOOKUP(C503,'Шаг1.Выбор плиты'!C:Q,10,0),'Шаг1.Выбор плиты'!N:N,U503,'Шаг1.Выбор плиты'!M:M,SMALL(INDIRECT("мм"&amp;VLOOKUP(C503,'Шаг1.Выбор плиты'!C:Q,12,0)),1)))))))</f>
        <v/>
      </c>
      <c r="L503" s="147" t="str">
        <f ca="1">IFERROR(IFERROR(IF(VLOOKUP($A503,'Шаг2.Бланк заказа NEW'!$B$17:$N$201,9,0)="","",VLOOKUP($A503,'Шаг2.Бланк заказа NEW'!$B$17:$N$201,9,0)),
IF(VLOOKUP($A503-COUNT('Шаг2.Бланк заказа NEW'!$B$19:$B$201),'Бланк OLD 0.8 04'!$B$12:$K$200,9,0)="","",VLOOKUP($A503-COUNT('Шаг2.Бланк заказа NEW'!$B$19:$B$201),'Бланк OLD 0.8 04'!$B$12:$K$200,9,0))),
IF(VLOOKUP($A503-COUNT('Шаг2.Бланк заказа NEW'!$B$19:$B$201)-COUNT('Бланк OLD 0.8 04'!$B$18:$B$200),'Бланк OLD 2.0 04 '!$B$16:$K$200,9,0)="","",VLOOKUP($A503-COUNT('Шаг2.Бланк заказа NEW'!$B$19:$B$201)-COUNT('Бланк OLD 0.8 04'!$B$18:$B$200),'Бланк OLD 2.0 04 '!$B$16:$K$200,9,0)))</f>
        <v/>
      </c>
      <c r="M503" s="154" t="str">
        <f t="shared" ca="1" si="44"/>
        <v/>
      </c>
      <c r="N503" s="153" t="str">
        <f ca="1">IFERROR(IF(VLOOKUP($A503,'Шаг2.Бланк заказа NEW'!$B$17:$N$201,11,0)="","",VLOOKUP($A503,'Шаг2.Бланк заказа NEW'!$B$17:$N$201,11,0)),
"Нет")</f>
        <v/>
      </c>
      <c r="O503" s="147" t="str">
        <f ca="1">IFERROR(IF(VLOOKUP($A503,'Шаг2.Бланк заказа NEW'!$B$17:$N$201,11,0)="","",VLOOKUP($A503,'Шаг2.Бланк заказа NEW'!$B$17:$N$201,12,0)),
"Нет")</f>
        <v/>
      </c>
      <c r="P503" s="153" t="str">
        <f ca="1">IFERROR(IF(VLOOKUP($A503,'Шаг2.Бланк заказа NEW'!$B$17:$N$201,13,0)="","",VLOOKUP($A503,'Шаг2.Бланк заказа NEW'!$B$17:$N$201,13,0)),
"Нет")</f>
        <v/>
      </c>
      <c r="Q503" s="147" t="str">
        <f ca="1">IFERROR(IF(VLOOKUP($A503,'Шаг2.Бланк заказа NEW'!$B$17:$O$201,14,0)="","",VLOOKUP($A503,'Шаг2.Бланк заказа NEW'!$B$17:$O$201,14,0)),"")</f>
        <v/>
      </c>
      <c r="R503" s="147" t="str">
        <f ca="1">IFERROR(IFERROR(IF(VLOOKUP($A503,'Шаг2.Бланк заказа NEW'!$B$17:$N$201,4,0)="","",VLOOKUP($A503,'Шаг2.Бланк заказа NEW'!$B$17:$N$201,4,0)),
IF(VLOOKUP($A503-COUNT('Шаг2.Бланк заказа NEW'!$B$19:$B$201),'Бланк OLD 0.8 04'!$B$12:$K$200,4,0)&gt;0,0.8,
IF(VLOOKUP($A503-COUNT('Шаг2.Бланк заказа NEW'!$B$19:$B$201),'Бланк OLD 0.8 04'!$B$12:$K$200,5,0)&gt;0,0.4,""))),
IF(VLOOKUP($A503-COUNT('Шаг2.Бланк заказа NEW'!$B$19:$B$201)-COUNT('Бланк OLD 0.8 04'!$B$18:$B$200),'Бланк OLD 2.0 04 '!$B$16:$K$200,4,0)&gt;0,2,IF(VLOOKUP($A503-COUNT('Шаг2.Бланк заказа NEW'!$B$19:$B$201)-COUNT('Бланк OLD 0.8 04'!$B$18:$B$200),'Бланк OLD 2.0 04 '!$B$16:$K$200,5,0)&gt;0,0.4,"")))</f>
        <v/>
      </c>
      <c r="S503" s="147" t="str">
        <f ca="1">IFERROR(IFERROR(IF(VLOOKUP($A503,'Шаг2.Бланк заказа NEW'!$B$17:$N$201,5,0)="","",VLOOKUP($A503,'Шаг2.Бланк заказа NEW'!$B$17:$N$201,5,0)),
IF(VLOOKUP($A503-COUNT('Шаг2.Бланк заказа NEW'!$B$19:$B$201),'Бланк OLD 0.8 04'!$B$12:$K$200,4,0)&gt;1,0.8,
IF(VLOOKUP($A503-COUNT('Шаг2.Бланк заказа NEW'!$B$19:$B$201),'Бланк OLD 0.8 04'!$B$12:$K$200,5,0)&gt;1,0.4,
IF(AND(VLOOKUP($A503-COUNT('Шаг2.Бланк заказа NEW'!$B$19:$B$201),'Бланк OLD 0.8 04'!$B$12:$K$200,4,0)&gt;0,VLOOKUP($A503-COUNT('Шаг2.Бланк заказа NEW'!$B$19:$B$201),'Бланк OLD 0.8 04'!$B$12:$K$200,5,0)&gt;0),0.4,"")))),
IF(VLOOKUP($A503-COUNT('Шаг2.Бланк заказа NEW'!$B$19:$B$201)-COUNT('Бланк OLD 0.8 04'!$B$18:$B$200),'Бланк OLD 2.0 04 '!$B$16:$K$200,4,0)&gt;1,2,
IF(VLOOKUP($A503-COUNT('Шаг2.Бланк заказа NEW'!$B$19:$B$201)-COUNT('Бланк OLD 0.8 04'!$B$18:$B$200),'Бланк OLD 2.0 04 '!$B$16:$K$200,5,0)&gt;1,0.4,IF(AND(VLOOKUP($A503-COUNT('Шаг2.Бланк заказа NEW'!$B$19:$B$201)-COUNT('Бланк OLD 0.8 04'!$B$18:$B$200),'Бланк OLD 2.0 04 '!$B$16:$K$200,4,0)&gt;0,VLOOKUP($A503-COUNT('Шаг2.Бланк заказа NEW'!$B$19:$B$201)-COUNT('Бланк OLD 0.8 04'!$B$18:$B$200),'Бланк OLD 2.0 04 '!$B$16:$K$200,5,0)&gt;0),0.4,""))))</f>
        <v/>
      </c>
      <c r="T503" s="147" t="str">
        <f ca="1">IFERROR(IFERROR(IF(VLOOKUP($A503,'Шаг2.Бланк заказа NEW'!$B$17:$N$201,7,0)="","",VLOOKUP($A503,'Шаг2.Бланк заказа NEW'!$B$17:$N$201,7,0)),
IF(VLOOKUP($A503-COUNT('Шаг2.Бланк заказа NEW'!$B$19:$B$201),'Бланк OLD 0.8 04'!$B$12:$K$200,7,0)&gt;0,0.8,
IF(VLOOKUP($A503-COUNT('Шаг2.Бланк заказа NEW'!$B$19:$B$201),'Бланк OLD 0.8 04'!$B$12:$K$200,8,0)&gt;0,0.4,""))),
IF(VLOOKUP($A503-COUNT('Шаг2.Бланк заказа NEW'!$B$19:$B$201)-COUNT('Бланк OLD 0.8 04'!$B$18:$B$200),'Бланк OLD 2.0 04 '!$B$16:$K$200,7,0)&gt;0,2,IF(VLOOKUP($A503-COUNT('Шаг2.Бланк заказа NEW'!$B$19:$B$201)-COUNT('Бланк OLD 0.8 04'!$B$18:$B$200),'Бланк OLD 2.0 04 '!$B$16:$K$200,8,0)&gt;0,0.4,"")))</f>
        <v/>
      </c>
      <c r="U503" s="147" t="str">
        <f ca="1">IFERROR(IFERROR(IF(VLOOKUP($A503,'Шаг2.Бланк заказа NEW'!$B$17:$N$201,8,0)="","",VLOOKUP($A503,'Шаг2.Бланк заказа NEW'!$B$17:$N$201,8,0)),
IF(VLOOKUP($A503-COUNT('Шаг2.Бланк заказа NEW'!$B$19:$B$201),'Бланк OLD 0.8 04'!$B$12:$K$200,7,0)&gt;1,0.8,
IF(VLOOKUP($A503-COUNT('Шаг2.Бланк заказа NEW'!$B$19:$B$201),'Бланк OLD 0.8 04'!$B$12:$K$200,8,0)&gt;1,0.4,
IF(AND(VLOOKUP($A503-COUNT('Шаг2.Бланк заказа NEW'!$B$19:$B$201),'Бланк OLD 0.8 04'!$B$12:$K$200,7,0)&gt;0,VLOOKUP($A503-COUNT('Шаг2.Бланк заказа NEW'!$B$19:$B$201),'Бланк OLD 0.8 04'!$B$12:$K$200,8,0)&gt;0),0.4,"")))),
IF(VLOOKUP($A503-COUNT('Шаг2.Бланк заказа NEW'!$B$19:$B$201)-COUNT('Бланк OLD 0.8 04'!$B$18:$B$200),'Бланк OLD 2.0 04 '!$B$16:$K$200,7,0)&gt;1,2,
IF(VLOOKUP($A503-COUNT('Шаг2.Бланк заказа NEW'!$B$19:$B$201)-COUNT('Бланк OLD 0.8 04'!$B$18:$B$200),'Бланк OLD 2.0 04 '!$B$16:$K$200,8,0)&gt;1,0.4,
IF(AND(VLOOKUP($A503-COUNT('Шаг2.Бланк заказа NEW'!$B$19:$B$201)-COUNT('Бланк OLD 0.8 04'!$B$18:$B$200),'Бланк OLD 2.0 04 '!$B$16:$K$200,7,0)&gt;0,VLOOKUP($A503-COUNT('Шаг2.Бланк заказа NEW'!$B$19:$B$201)-COUNT('Бланк OLD 0.8 04'!$B$18:$B$200),'Бланк OLD 2.0 04 '!$B$16:$K$200,8,0)&gt;0),0.4,""))))</f>
        <v/>
      </c>
      <c r="V503" s="146" t="str">
        <f ca="1">IFERROR(VLOOKUP(C503,'Шаг1.Выбор плиты'!C:S,12,0),"")</f>
        <v/>
      </c>
      <c r="W503" s="146" t="str">
        <f ca="1">IFERROR(VLOOKUP(C503,'Шаг1.Выбор плиты'!C:S,8,0),"")</f>
        <v/>
      </c>
      <c r="X503" s="146" t="str">
        <f ca="1">IFERROR(VLOOKUP(C503,'Шаг1.Выбор плиты'!C:S,10,0),"")</f>
        <v/>
      </c>
      <c r="Y503" s="147" t="str">
        <f t="shared" ca="1" si="46"/>
        <v/>
      </c>
      <c r="AD503" s="147" t="str">
        <f t="shared" ca="1" si="42"/>
        <v/>
      </c>
      <c r="AE503" s="147" t="str">
        <f t="shared" ca="1" si="47"/>
        <v/>
      </c>
      <c r="AF503" s="25"/>
      <c r="AH503" s="147" t="str">
        <f ca="1">IF(C503="","",VLOOKUP(C503,'Шаг1.Выбор плиты'!C:Q,7,0))</f>
        <v/>
      </c>
      <c r="AI503" s="147" t="str">
        <f t="shared" ca="1" si="45"/>
        <v/>
      </c>
    </row>
    <row r="504" spans="1:35" x14ac:dyDescent="0.2">
      <c r="A504" s="151" t="str">
        <f ca="1">IF(C504="","",MAX($A$1:OFFSET(C504,-1,0))+1)</f>
        <v/>
      </c>
      <c r="B504" s="151" t="str">
        <f ca="1">IFERROR(IFERROR(IFERROR("Шаг2.Бланк заказа NEW №"&amp;VLOOKUP(A503+1,CHOOSE({1,2},'Шаг2.Бланк заказа NEW'!$B$19:$B$201,'Шаг2.Бланк заказа NEW'!$A$19:$A$201),1,0),
"Бланк OLD 0.8 04 №"&amp;VLOOKUP(A503+1-COUNT('Шаг2.Бланк заказа NEW'!$B$19:$B$201),CHOOSE({1,2},'Бланк OLD 0.8 04'!$B$18:$B$200,'Бланк OLD 0.8 04'!$A$18:$A$200),1,0)),
"Бланк OLD 2.0 04 №"&amp;VLOOKUP(A503+1-COUNT('Шаг2.Бланк заказа NEW'!$B$19:$B$201)-COUNT('Бланк OLD 0.8 04'!$B$18:$B$200),CHOOSE({1,2},'Бланк OLD 2.0 04 '!$B$18:$B$200,'Бланк OLD 2.0 04 '!$A$18:$A$200),1,0)),"")</f>
        <v/>
      </c>
      <c r="C504" s="152" t="str">
        <f ca="1">IFERROR(IFERROR(IFERROR(VLOOKUP(A503+1,CHOOSE({1,2},'Шаг2.Бланк заказа NEW'!$B$19:$B$201,'Шаг2.Бланк заказа NEW'!$A$19:$A$201),2,0),
VLOOKUP(A503+1-COUNT('Шаг2.Бланк заказа NEW'!$B$19:$B$201),CHOOSE({1,2},'Бланк OLD 0.8 04'!$B$18:$B$200,'Бланк OLD 0.8 04'!$A$18:$A$200),2,0)),
VLOOKUP(A503+1-COUNT('Шаг2.Бланк заказа NEW'!$B$19:$B$201)-COUNT('Бланк OLD 0.8 04'!$B$18:$B$200),CHOOSE({1,2},'Бланк OLD 2.0 04 '!$B$18:$B$200,'Бланк OLD 2.0 04 '!$A$18:$A$200),2,0)),"")</f>
        <v/>
      </c>
      <c r="D504" s="150" t="str">
        <f ca="1">IFERROR(VLOOKUP(C504,'Шаг1.Выбор плиты'!C:G,5,0),"")</f>
        <v/>
      </c>
      <c r="E504" s="147" t="str">
        <f ca="1">IFERROR(IFERROR(IF(VLOOKUP($A504,'Шаг2.Бланк заказа NEW'!$B$17:$N$201,2,0)="","",VLOOKUP($A504,'Шаг2.Бланк заказа NEW'!$B$17:$N$201,2,0)),
IF(VLOOKUP($A504-COUNT('Шаг2.Бланк заказа NEW'!$B$19:$B$201),'Бланк OLD 0.8 04'!$B$12:$K$200,2,0)="","",VLOOKUP($A504-COUNT('Шаг2.Бланк заказа NEW'!$B$19:$B$201),'Бланк OLD 0.8 04'!$B$12:$K$200,2,0))),
IF(VLOOKUP($A504-COUNT('Шаг2.Бланк заказа NEW'!$B$19:$B$201)-COUNT('Бланк OLD 0.8 04'!$B$18:$B$200),'Бланк OLD 2.0 04 '!$B$16:$K$200,2,0)="","",VLOOKUP($A504-COUNT('Шаг2.Бланк заказа NEW'!$B$19:$B$201)-COUNT('Бланк OLD 0.8 04'!$B$18:$B$200),'Бланк OLD 2.0 04 '!$B$16:$K$200,2,0)))</f>
        <v/>
      </c>
      <c r="F504" s="147" t="str">
        <f ca="1">IFERROR(IFERROR(IF(VLOOKUP($A504,'Шаг2.Бланк заказа NEW'!$B$17:$N$201,3,0)="","",VLOOKUP($A504,'Шаг2.Бланк заказа NEW'!$B$17:$N$201,3,0)),
IF(VLOOKUP($A504-COUNT('Шаг2.Бланк заказа NEW'!$B$19:$B$201),'Бланк OLD 0.8 04'!$B$12:$K$200,3,0)="","",VLOOKUP($A504-COUNT('Шаг2.Бланк заказа NEW'!$B$19:$B$201),'Бланк OLD 0.8 04'!$B$12:$K$200,3,0))),
IF(VLOOKUP($A504-COUNT('Шаг2.Бланк заказа NEW'!$B$19:$B$201)-COUNT('Бланк OLD 0.8 04'!$B$18:$B$200),'Бланк OLD 2.0 04 '!$B$16:$K$200,3,0)="","",VLOOKUP($A504-COUNT('Шаг2.Бланк заказа NEW'!$B$19:$B$201)-COUNT('Бланк OLD 0.8 04'!$B$18:$B$200),'Бланк OLD 2.0 04 '!$B$16:$K$200,3,0)))</f>
        <v/>
      </c>
      <c r="G504" s="176" t="str">
        <f ca="1">IF(IF(R504="","",IF(R504=1,SUMIFS('Шаг1.Выбор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плиты'!C:Q,12,0)),1))))))=0,
R504,
IF(R504="","",IF(R504=1,SUMIFS('Шаг1.Выбор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плиты'!N:N,R504,'Шаг1.Выбор плиты'!M:M,SMALL(INDIRECT("мм"&amp;VLOOKUP(C504,'Шаг1.Выбор плиты'!C:Q,12,0)),1)))))))</f>
        <v/>
      </c>
      <c r="H504" s="177" t="str">
        <f ca="1">IF(IF(S504="","",IF(S504=1,SUMIFS('Шаг1.Выбор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плиты'!C:Q,12,0)),1))))))=0,
S504,
IF(S504="","",IF(S504=1,SUMIFS('Шаг1.Выбор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плиты'!N:N,S504,'Шаг1.Выбор плиты'!M:M,SMALL(INDIRECT("мм"&amp;VLOOKUP(C504,'Шаг1.Выбор плиты'!C:Q,12,0)),1)))))))</f>
        <v/>
      </c>
      <c r="I504" s="147" t="str">
        <f ca="1">IFERROR(IFERROR(IF(VLOOKUP($A504,'Шаг2.Бланк заказа NEW'!$B$17:$N$201,6,0)="","",VLOOKUP($A504,'Шаг2.Бланк заказа NEW'!$B$17:$N$201,6,0)),
IF(VLOOKUP($A504-COUNT('Шаг2.Бланк заказа NEW'!$B$19:$B$201),'Бланк OLD 0.8 04'!$B$12:$K$200,6,0)="","",VLOOKUP($A504-COUNT('Шаг2.Бланк заказа NEW'!$B$19:$B$201),'Бланк OLD 0.8 04'!$B$12:$K$200,6,0))),
IF(VLOOKUP($A504-COUNT('Шаг2.Бланк заказа NEW'!$B$19:$B$201)-COUNT('Бланк OLD 0.8 04'!$B$18:$B$200),'Бланк OLD 2.0 04 '!$B$16:$K$200,6,0)="","",VLOOKUP($A504-COUNT('Шаг2.Бланк заказа NEW'!$B$19:$B$201)-COUNT('Бланк OLD 0.8 04'!$B$18:$B$200),'Бланк OLD 2.0 04 '!$B$16:$K$200,6,0)))</f>
        <v/>
      </c>
      <c r="J504" s="177" t="str">
        <f ca="1">IF(IF(T504="","",IF(T504=1,SUMIFS('Шаг1.Выбор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плиты'!C:Q,12,0)),1))))))=0,
T504,
IF(T504="","",IF(T504=1,SUMIFS('Шаг1.Выбор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плиты'!N:N,T504,'Шаг1.Выбор плиты'!M:M,SMALL(INDIRECT("мм"&amp;VLOOKUP(C504,'Шаг1.Выбор плиты'!C:Q,12,0)),1)))))))</f>
        <v/>
      </c>
      <c r="K504" s="177" t="str">
        <f ca="1">IF(IF(U504="","",IF(U504=1,SUMIFS('Шаг1.Выбор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плиты'!C:Q,12,0)),1))))))=0,
U504,
IF(U504="","",IF(U504=1,SUMIFS('Шаг1.Выбор плиты'!$G:$G,'Шаг1.Выбор плиты'!J:J,"*"&amp;RIGHT(VLOOKUP(C504,'Шаг1.Выбор плиты'!C:Q,8,0),4),'Шаг1.Выбор плиты'!L:L,IF(MID(C504,1,6)="ЛДСП P","TM"&amp;MID(VLOOKUP(C504,'Шаг1.Выбор плиты'!C:Q,10,0),3,2),MID(VLOOKUP(C504,'Шаг1.Выбор плиты'!C:Q,10,0),1,2)),
'Шаг1.Выбор плиты'!N:N,1),IF(SUMIFS('Шаг1.Выбор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плиты'!C:Q,12,0)),1))=0,
IF(SUMIFS('Шаг1.Выбор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плиты'!C:Q,12,0)),2))=0,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плиты'!C:Q,12,0)),3)),
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плиты'!C:Q,12,0)),2))),
(SUMIFS('Шаг1.Выбор плиты'!$G:$G,'Шаг1.Выбор плиты'!J:J,"*"&amp;RIGHT(VLOOKUP(C504,'Шаг1.Выбор плиты'!C:Q,8,0),4),'Шаг1.Выбор плиты'!L:L,VLOOKUP(C504,'Шаг1.Выбор плиты'!C:Q,10,0),'Шаг1.Выбор плиты'!N:N,U504,'Шаг1.Выбор плиты'!M:M,SMALL(INDIRECT("мм"&amp;VLOOKUP(C504,'Шаг1.Выбор плиты'!C:Q,12,0)),1)))))))</f>
        <v/>
      </c>
      <c r="L504" s="147" t="str">
        <f ca="1">IFERROR(IFERROR(IF(VLOOKUP($A504,'Шаг2.Бланк заказа NEW'!$B$17:$N$201,9,0)="","",VLOOKUP($A504,'Шаг2.Бланк заказа NEW'!$B$17:$N$201,9,0)),
IF(VLOOKUP($A504-COUNT('Шаг2.Бланк заказа NEW'!$B$19:$B$201),'Бланк OLD 0.8 04'!$B$12:$K$200,9,0)="","",VLOOKUP($A504-COUNT('Шаг2.Бланк заказа NEW'!$B$19:$B$201),'Бланк OLD 0.8 04'!$B$12:$K$200,9,0))),
IF(VLOOKUP($A504-COUNT('Шаг2.Бланк заказа NEW'!$B$19:$B$201)-COUNT('Бланк OLD 0.8 04'!$B$18:$B$200),'Бланк OLD 2.0 04 '!$B$16:$K$200,9,0)="","",VLOOKUP($A504-COUNT('Шаг2.Бланк заказа NEW'!$B$19:$B$201)-COUNT('Бланк OLD 0.8 04'!$B$18:$B$200),'Бланк OLD 2.0 04 '!$B$16:$K$200,9,0)))</f>
        <v/>
      </c>
      <c r="M504" s="154" t="str">
        <f t="shared" ca="1" si="44"/>
        <v/>
      </c>
      <c r="N504" s="153" t="str">
        <f ca="1">IFERROR(IF(VLOOKUP($A504,'Шаг2.Бланк заказа NEW'!$B$17:$N$201,11,0)="","",VLOOKUP($A504,'Шаг2.Бланк заказа NEW'!$B$17:$N$201,11,0)),
"Нет")</f>
        <v/>
      </c>
      <c r="O504" s="147" t="str">
        <f ca="1">IFERROR(IF(VLOOKUP($A504,'Шаг2.Бланк заказа NEW'!$B$17:$N$201,11,0)="","",VLOOKUP($A504,'Шаг2.Бланк заказа NEW'!$B$17:$N$201,12,0)),
"Нет")</f>
        <v/>
      </c>
      <c r="P504" s="153" t="str">
        <f ca="1">IFERROR(IF(VLOOKUP($A504,'Шаг2.Бланк заказа NEW'!$B$17:$N$201,13,0)="","",VLOOKUP($A504,'Шаг2.Бланк заказа NEW'!$B$17:$N$201,13,0)),
"Нет")</f>
        <v/>
      </c>
      <c r="Q504" s="147" t="str">
        <f ca="1">IFERROR(IF(VLOOKUP($A504,'Шаг2.Бланк заказа NEW'!$B$17:$O$201,14,0)="","",VLOOKUP($A504,'Шаг2.Бланк заказа NEW'!$B$17:$O$201,14,0)),"")</f>
        <v/>
      </c>
      <c r="R504" s="147" t="str">
        <f ca="1">IFERROR(IFERROR(IF(VLOOKUP($A504,'Шаг2.Бланк заказа NEW'!$B$17:$N$201,4,0)="","",VLOOKUP($A504,'Шаг2.Бланк заказа NEW'!$B$17:$N$201,4,0)),
IF(VLOOKUP($A504-COUNT('Шаг2.Бланк заказа NEW'!$B$19:$B$201),'Бланк OLD 0.8 04'!$B$12:$K$200,4,0)&gt;0,0.8,
IF(VLOOKUP($A504-COUNT('Шаг2.Бланк заказа NEW'!$B$19:$B$201),'Бланк OLD 0.8 04'!$B$12:$K$200,5,0)&gt;0,0.4,""))),
IF(VLOOKUP($A504-COUNT('Шаг2.Бланк заказа NEW'!$B$19:$B$201)-COUNT('Бланк OLD 0.8 04'!$B$18:$B$200),'Бланк OLD 2.0 04 '!$B$16:$K$200,4,0)&gt;0,2,IF(VLOOKUP($A504-COUNT('Шаг2.Бланк заказа NEW'!$B$19:$B$201)-COUNT('Бланк OLD 0.8 04'!$B$18:$B$200),'Бланк OLD 2.0 04 '!$B$16:$K$200,5,0)&gt;0,0.4,"")))</f>
        <v/>
      </c>
      <c r="S504" s="147" t="str">
        <f ca="1">IFERROR(IFERROR(IF(VLOOKUP($A504,'Шаг2.Бланк заказа NEW'!$B$17:$N$201,5,0)="","",VLOOKUP($A504,'Шаг2.Бланк заказа NEW'!$B$17:$N$201,5,0)),
IF(VLOOKUP($A504-COUNT('Шаг2.Бланк заказа NEW'!$B$19:$B$201),'Бланк OLD 0.8 04'!$B$12:$K$200,4,0)&gt;1,0.8,
IF(VLOOKUP($A504-COUNT('Шаг2.Бланк заказа NEW'!$B$19:$B$201),'Бланк OLD 0.8 04'!$B$12:$K$200,5,0)&gt;1,0.4,
IF(AND(VLOOKUP($A504-COUNT('Шаг2.Бланк заказа NEW'!$B$19:$B$201),'Бланк OLD 0.8 04'!$B$12:$K$200,4,0)&gt;0,VLOOKUP($A504-COUNT('Шаг2.Бланк заказа NEW'!$B$19:$B$201),'Бланк OLD 0.8 04'!$B$12:$K$200,5,0)&gt;0),0.4,"")))),
IF(VLOOKUP($A504-COUNT('Шаг2.Бланк заказа NEW'!$B$19:$B$201)-COUNT('Бланк OLD 0.8 04'!$B$18:$B$200),'Бланк OLD 2.0 04 '!$B$16:$K$200,4,0)&gt;1,2,
IF(VLOOKUP($A504-COUNT('Шаг2.Бланк заказа NEW'!$B$19:$B$201)-COUNT('Бланк OLD 0.8 04'!$B$18:$B$200),'Бланк OLD 2.0 04 '!$B$16:$K$200,5,0)&gt;1,0.4,IF(AND(VLOOKUP($A504-COUNT('Шаг2.Бланк заказа NEW'!$B$19:$B$201)-COUNT('Бланк OLD 0.8 04'!$B$18:$B$200),'Бланк OLD 2.0 04 '!$B$16:$K$200,4,0)&gt;0,VLOOKUP($A504-COUNT('Шаг2.Бланк заказа NEW'!$B$19:$B$201)-COUNT('Бланк OLD 0.8 04'!$B$18:$B$200),'Бланк OLD 2.0 04 '!$B$16:$K$200,5,0)&gt;0),0.4,""))))</f>
        <v/>
      </c>
      <c r="T504" s="147" t="str">
        <f ca="1">IFERROR(IFERROR(IF(VLOOKUP($A504,'Шаг2.Бланк заказа NEW'!$B$17:$N$201,7,0)="","",VLOOKUP($A504,'Шаг2.Бланк заказа NEW'!$B$17:$N$201,7,0)),
IF(VLOOKUP($A504-COUNT('Шаг2.Бланк заказа NEW'!$B$19:$B$201),'Бланк OLD 0.8 04'!$B$12:$K$200,7,0)&gt;0,0.8,
IF(VLOOKUP($A504-COUNT('Шаг2.Бланк заказа NEW'!$B$19:$B$201),'Бланк OLD 0.8 04'!$B$12:$K$200,8,0)&gt;0,0.4,""))),
IF(VLOOKUP($A504-COUNT('Шаг2.Бланк заказа NEW'!$B$19:$B$201)-COUNT('Бланк OLD 0.8 04'!$B$18:$B$200),'Бланк OLD 2.0 04 '!$B$16:$K$200,7,0)&gt;0,2,IF(VLOOKUP($A504-COUNT('Шаг2.Бланк заказа NEW'!$B$19:$B$201)-COUNT('Бланк OLD 0.8 04'!$B$18:$B$200),'Бланк OLD 2.0 04 '!$B$16:$K$200,8,0)&gt;0,0.4,"")))</f>
        <v/>
      </c>
      <c r="U504" s="147" t="str">
        <f ca="1">IFERROR(IFERROR(IF(VLOOKUP($A504,'Шаг2.Бланк заказа NEW'!$B$17:$N$201,8,0)="","",VLOOKUP($A504,'Шаг2.Бланк заказа NEW'!$B$17:$N$201,8,0)),
IF(VLOOKUP($A504-COUNT('Шаг2.Бланк заказа NEW'!$B$19:$B$201),'Бланк OLD 0.8 04'!$B$12:$K$200,7,0)&gt;1,0.8,
IF(VLOOKUP($A504-COUNT('Шаг2.Бланк заказа NEW'!$B$19:$B$201),'Бланк OLD 0.8 04'!$B$12:$K$200,8,0)&gt;1,0.4,
IF(AND(VLOOKUP($A504-COUNT('Шаг2.Бланк заказа NEW'!$B$19:$B$201),'Бланк OLD 0.8 04'!$B$12:$K$200,7,0)&gt;0,VLOOKUP($A504-COUNT('Шаг2.Бланк заказа NEW'!$B$19:$B$201),'Бланк OLD 0.8 04'!$B$12:$K$200,8,0)&gt;0),0.4,"")))),
IF(VLOOKUP($A504-COUNT('Шаг2.Бланк заказа NEW'!$B$19:$B$201)-COUNT('Бланк OLD 0.8 04'!$B$18:$B$200),'Бланк OLD 2.0 04 '!$B$16:$K$200,7,0)&gt;1,2,
IF(VLOOKUP($A504-COUNT('Шаг2.Бланк заказа NEW'!$B$19:$B$201)-COUNT('Бланк OLD 0.8 04'!$B$18:$B$200),'Бланк OLD 2.0 04 '!$B$16:$K$200,8,0)&gt;1,0.4,
IF(AND(VLOOKUP($A504-COUNT('Шаг2.Бланк заказа NEW'!$B$19:$B$201)-COUNT('Бланк OLD 0.8 04'!$B$18:$B$200),'Бланк OLD 2.0 04 '!$B$16:$K$200,7,0)&gt;0,VLOOKUP($A504-COUNT('Шаг2.Бланк заказа NEW'!$B$19:$B$201)-COUNT('Бланк OLD 0.8 04'!$B$18:$B$200),'Бланк OLD 2.0 04 '!$B$16:$K$200,8,0)&gt;0),0.4,""))))</f>
        <v/>
      </c>
      <c r="V504" s="146" t="str">
        <f ca="1">IFERROR(VLOOKUP(C504,'Шаг1.Выбор плиты'!C:S,12,0),"")</f>
        <v/>
      </c>
      <c r="W504" s="146" t="str">
        <f ca="1">IFERROR(VLOOKUP(C504,'Шаг1.Выбор плиты'!C:S,8,0),"")</f>
        <v/>
      </c>
      <c r="X504" s="146" t="str">
        <f ca="1">IFERROR(VLOOKUP(C504,'Шаг1.Выбор плиты'!C:S,10,0),"")</f>
        <v/>
      </c>
      <c r="Y504" s="147" t="str">
        <f t="shared" ca="1" si="46"/>
        <v/>
      </c>
      <c r="AD504" s="147" t="str">
        <f t="shared" ca="1" si="42"/>
        <v/>
      </c>
      <c r="AE504" s="147" t="str">
        <f t="shared" ca="1" si="47"/>
        <v/>
      </c>
      <c r="AF504" s="25"/>
      <c r="AH504" s="147" t="str">
        <f ca="1">IF(C504="","",VLOOKUP(C504,'Шаг1.Выбор плиты'!C:Q,7,0))</f>
        <v/>
      </c>
      <c r="AI504" s="147" t="str">
        <f t="shared" ca="1" si="45"/>
        <v/>
      </c>
    </row>
    <row r="505" spans="1:35" x14ac:dyDescent="0.2">
      <c r="A505" s="151" t="str">
        <f ca="1">IF(C505="","",MAX($A$1:OFFSET(C505,-1,0))+1)</f>
        <v/>
      </c>
      <c r="B505" s="151" t="str">
        <f ca="1">IFERROR(IFERROR(IFERROR("Шаг2.Бланк заказа NEW №"&amp;VLOOKUP(A504+1,CHOOSE({1,2},'Шаг2.Бланк заказа NEW'!$B$19:$B$201,'Шаг2.Бланк заказа NEW'!$A$19:$A$201),1,0),
"Бланк OLD 0.8 04 №"&amp;VLOOKUP(A504+1-COUNT('Шаг2.Бланк заказа NEW'!$B$19:$B$201),CHOOSE({1,2},'Бланк OLD 0.8 04'!$B$18:$B$200,'Бланк OLD 0.8 04'!$A$18:$A$200),1,0)),
"Бланк OLD 2.0 04 №"&amp;VLOOKUP(A504+1-COUNT('Шаг2.Бланк заказа NEW'!$B$19:$B$201)-COUNT('Бланк OLD 0.8 04'!$B$18:$B$200),CHOOSE({1,2},'Бланк OLD 2.0 04 '!$B$18:$B$200,'Бланк OLD 2.0 04 '!$A$18:$A$200),1,0)),"")</f>
        <v/>
      </c>
      <c r="C505" s="152" t="str">
        <f ca="1">IFERROR(IFERROR(IFERROR(VLOOKUP(A504+1,CHOOSE({1,2},'Шаг2.Бланк заказа NEW'!$B$19:$B$201,'Шаг2.Бланк заказа NEW'!$A$19:$A$201),2,0),
VLOOKUP(A504+1-COUNT('Шаг2.Бланк заказа NEW'!$B$19:$B$201),CHOOSE({1,2},'Бланк OLD 0.8 04'!$B$18:$B$200,'Бланк OLD 0.8 04'!$A$18:$A$200),2,0)),
VLOOKUP(A504+1-COUNT('Шаг2.Бланк заказа NEW'!$B$19:$B$201)-COUNT('Бланк OLD 0.8 04'!$B$18:$B$200),CHOOSE({1,2},'Бланк OLD 2.0 04 '!$B$18:$B$200,'Бланк OLD 2.0 04 '!$A$18:$A$200),2,0)),"")</f>
        <v/>
      </c>
      <c r="D505" s="150" t="str">
        <f ca="1">IFERROR(VLOOKUP(C505,'Шаг1.Выбор плиты'!C:G,5,0),"")</f>
        <v/>
      </c>
      <c r="E505" s="147" t="str">
        <f ca="1">IFERROR(IFERROR(IF(VLOOKUP($A505,'Шаг2.Бланк заказа NEW'!$B$17:$N$201,2,0)="","",VLOOKUP($A505,'Шаг2.Бланк заказа NEW'!$B$17:$N$201,2,0)),
IF(VLOOKUP($A505-COUNT('Шаг2.Бланк заказа NEW'!$B$19:$B$201),'Бланк OLD 0.8 04'!$B$12:$K$200,2,0)="","",VLOOKUP($A505-COUNT('Шаг2.Бланк заказа NEW'!$B$19:$B$201),'Бланк OLD 0.8 04'!$B$12:$K$200,2,0))),
IF(VLOOKUP($A505-COUNT('Шаг2.Бланк заказа NEW'!$B$19:$B$201)-COUNT('Бланк OLD 0.8 04'!$B$18:$B$200),'Бланк OLD 2.0 04 '!$B$16:$K$200,2,0)="","",VLOOKUP($A505-COUNT('Шаг2.Бланк заказа NEW'!$B$19:$B$201)-COUNT('Бланк OLD 0.8 04'!$B$18:$B$200),'Бланк OLD 2.0 04 '!$B$16:$K$200,2,0)))</f>
        <v/>
      </c>
      <c r="F505" s="147" t="str">
        <f ca="1">IFERROR(IFERROR(IF(VLOOKUP($A505,'Шаг2.Бланк заказа NEW'!$B$17:$N$201,3,0)="","",VLOOKUP($A505,'Шаг2.Бланк заказа NEW'!$B$17:$N$201,3,0)),
IF(VLOOKUP($A505-COUNT('Шаг2.Бланк заказа NEW'!$B$19:$B$201),'Бланк OLD 0.8 04'!$B$12:$K$200,3,0)="","",VLOOKUP($A505-COUNT('Шаг2.Бланк заказа NEW'!$B$19:$B$201),'Бланк OLD 0.8 04'!$B$12:$K$200,3,0))),
IF(VLOOKUP($A505-COUNT('Шаг2.Бланк заказа NEW'!$B$19:$B$201)-COUNT('Бланк OLD 0.8 04'!$B$18:$B$200),'Бланк OLD 2.0 04 '!$B$16:$K$200,3,0)="","",VLOOKUP($A505-COUNT('Шаг2.Бланк заказа NEW'!$B$19:$B$201)-COUNT('Бланк OLD 0.8 04'!$B$18:$B$200),'Бланк OLD 2.0 04 '!$B$16:$K$200,3,0)))</f>
        <v/>
      </c>
      <c r="G505" s="176" t="str">
        <f ca="1">IF(IF(R505="","",IF(R505=1,SUMIFS('Шаг1.Выбор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плиты'!C:Q,12,0)),1))))))=0,
R505,
IF(R505="","",IF(R505=1,SUMIFS('Шаг1.Выбор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плиты'!N:N,R505,'Шаг1.Выбор плиты'!M:M,SMALL(INDIRECT("мм"&amp;VLOOKUP(C505,'Шаг1.Выбор плиты'!C:Q,12,0)),1)))))))</f>
        <v/>
      </c>
      <c r="H505" s="177" t="str">
        <f ca="1">IF(IF(S505="","",IF(S505=1,SUMIFS('Шаг1.Выбор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плиты'!C:Q,12,0)),1))))))=0,
S505,
IF(S505="","",IF(S505=1,SUMIFS('Шаг1.Выбор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плиты'!N:N,S505,'Шаг1.Выбор плиты'!M:M,SMALL(INDIRECT("мм"&amp;VLOOKUP(C505,'Шаг1.Выбор плиты'!C:Q,12,0)),1)))))))</f>
        <v/>
      </c>
      <c r="I505" s="147" t="str">
        <f ca="1">IFERROR(IFERROR(IF(VLOOKUP($A505,'Шаг2.Бланк заказа NEW'!$B$17:$N$201,6,0)="","",VLOOKUP($A505,'Шаг2.Бланк заказа NEW'!$B$17:$N$201,6,0)),
IF(VLOOKUP($A505-COUNT('Шаг2.Бланк заказа NEW'!$B$19:$B$201),'Бланк OLD 0.8 04'!$B$12:$K$200,6,0)="","",VLOOKUP($A505-COUNT('Шаг2.Бланк заказа NEW'!$B$19:$B$201),'Бланк OLD 0.8 04'!$B$12:$K$200,6,0))),
IF(VLOOKUP($A505-COUNT('Шаг2.Бланк заказа NEW'!$B$19:$B$201)-COUNT('Бланк OLD 0.8 04'!$B$18:$B$200),'Бланк OLD 2.0 04 '!$B$16:$K$200,6,0)="","",VLOOKUP($A505-COUNT('Шаг2.Бланк заказа NEW'!$B$19:$B$201)-COUNT('Бланк OLD 0.8 04'!$B$18:$B$200),'Бланк OLD 2.0 04 '!$B$16:$K$200,6,0)))</f>
        <v/>
      </c>
      <c r="J505" s="177" t="str">
        <f ca="1">IF(IF(T505="","",IF(T505=1,SUMIFS('Шаг1.Выбор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плиты'!C:Q,12,0)),1))))))=0,
T505,
IF(T505="","",IF(T505=1,SUMIFS('Шаг1.Выбор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плиты'!N:N,T505,'Шаг1.Выбор плиты'!M:M,SMALL(INDIRECT("мм"&amp;VLOOKUP(C505,'Шаг1.Выбор плиты'!C:Q,12,0)),1)))))))</f>
        <v/>
      </c>
      <c r="K505" s="177" t="str">
        <f ca="1">IF(IF(U505="","",IF(U505=1,SUMIFS('Шаг1.Выбор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плиты'!C:Q,12,0)),1))))))=0,
U505,
IF(U505="","",IF(U505=1,SUMIFS('Шаг1.Выбор плиты'!$G:$G,'Шаг1.Выбор плиты'!J:J,"*"&amp;RIGHT(VLOOKUP(C505,'Шаг1.Выбор плиты'!C:Q,8,0),4),'Шаг1.Выбор плиты'!L:L,IF(MID(C505,1,6)="ЛДСП P","TM"&amp;MID(VLOOKUP(C505,'Шаг1.Выбор плиты'!C:Q,10,0),3,2),MID(VLOOKUP(C505,'Шаг1.Выбор плиты'!C:Q,10,0),1,2)),
'Шаг1.Выбор плиты'!N:N,1),IF(SUMIFS('Шаг1.Выбор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плиты'!C:Q,12,0)),1))=0,
IF(SUMIFS('Шаг1.Выбор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плиты'!C:Q,12,0)),2))=0,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плиты'!C:Q,12,0)),3)),
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плиты'!C:Q,12,0)),2))),
(SUMIFS('Шаг1.Выбор плиты'!$G:$G,'Шаг1.Выбор плиты'!J:J,"*"&amp;RIGHT(VLOOKUP(C505,'Шаг1.Выбор плиты'!C:Q,8,0),4),'Шаг1.Выбор плиты'!L:L,VLOOKUP(C505,'Шаг1.Выбор плиты'!C:Q,10,0),'Шаг1.Выбор плиты'!N:N,U505,'Шаг1.Выбор плиты'!M:M,SMALL(INDIRECT("мм"&amp;VLOOKUP(C505,'Шаг1.Выбор плиты'!C:Q,12,0)),1)))))))</f>
        <v/>
      </c>
      <c r="L505" s="147" t="str">
        <f ca="1">IFERROR(IFERROR(IF(VLOOKUP($A505,'Шаг2.Бланк заказа NEW'!$B$17:$N$201,9,0)="","",VLOOKUP($A505,'Шаг2.Бланк заказа NEW'!$B$17:$N$201,9,0)),
IF(VLOOKUP($A505-COUNT('Шаг2.Бланк заказа NEW'!$B$19:$B$201),'Бланк OLD 0.8 04'!$B$12:$K$200,9,0)="","",VLOOKUP($A505-COUNT('Шаг2.Бланк заказа NEW'!$B$19:$B$201),'Бланк OLD 0.8 04'!$B$12:$K$200,9,0))),
IF(VLOOKUP($A505-COUNT('Шаг2.Бланк заказа NEW'!$B$19:$B$201)-COUNT('Бланк OLD 0.8 04'!$B$18:$B$200),'Бланк OLD 2.0 04 '!$B$16:$K$200,9,0)="","",VLOOKUP($A505-COUNT('Шаг2.Бланк заказа NEW'!$B$19:$B$201)-COUNT('Бланк OLD 0.8 04'!$B$18:$B$200),'Бланк OLD 2.0 04 '!$B$16:$K$200,9,0)))</f>
        <v/>
      </c>
      <c r="M505" s="154" t="str">
        <f t="shared" ca="1" si="44"/>
        <v/>
      </c>
      <c r="N505" s="153" t="str">
        <f ca="1">IFERROR(IF(VLOOKUP($A505,'Шаг2.Бланк заказа NEW'!$B$17:$N$201,11,0)="","",VLOOKUP($A505,'Шаг2.Бланк заказа NEW'!$B$17:$N$201,11,0)),
"Нет")</f>
        <v/>
      </c>
      <c r="O505" s="147" t="str">
        <f ca="1">IFERROR(IF(VLOOKUP($A505,'Шаг2.Бланк заказа NEW'!$B$17:$N$201,11,0)="","",VLOOKUP($A505,'Шаг2.Бланк заказа NEW'!$B$17:$N$201,12,0)),
"Нет")</f>
        <v/>
      </c>
      <c r="P505" s="153" t="str">
        <f ca="1">IFERROR(IF(VLOOKUP($A505,'Шаг2.Бланк заказа NEW'!$B$17:$N$201,13,0)="","",VLOOKUP($A505,'Шаг2.Бланк заказа NEW'!$B$17:$N$201,13,0)),
"Нет")</f>
        <v/>
      </c>
      <c r="Q505" s="147" t="str">
        <f ca="1">IFERROR(IF(VLOOKUP($A505,'Шаг2.Бланк заказа NEW'!$B$17:$O$201,14,0)="","",VLOOKUP($A505,'Шаг2.Бланк заказа NEW'!$B$17:$O$201,14,0)),"")</f>
        <v/>
      </c>
      <c r="R505" s="147" t="str">
        <f ca="1">IFERROR(IFERROR(IF(VLOOKUP($A505,'Шаг2.Бланк заказа NEW'!$B$17:$N$201,4,0)="","",VLOOKUP($A505,'Шаг2.Бланк заказа NEW'!$B$17:$N$201,4,0)),
IF(VLOOKUP($A505-COUNT('Шаг2.Бланк заказа NEW'!$B$19:$B$201),'Бланк OLD 0.8 04'!$B$12:$K$200,4,0)&gt;0,0.8,
IF(VLOOKUP($A505-COUNT('Шаг2.Бланк заказа NEW'!$B$19:$B$201),'Бланк OLD 0.8 04'!$B$12:$K$200,5,0)&gt;0,0.4,""))),
IF(VLOOKUP($A505-COUNT('Шаг2.Бланк заказа NEW'!$B$19:$B$201)-COUNT('Бланк OLD 0.8 04'!$B$18:$B$200),'Бланк OLD 2.0 04 '!$B$16:$K$200,4,0)&gt;0,2,IF(VLOOKUP($A505-COUNT('Шаг2.Бланк заказа NEW'!$B$19:$B$201)-COUNT('Бланк OLD 0.8 04'!$B$18:$B$200),'Бланк OLD 2.0 04 '!$B$16:$K$200,5,0)&gt;0,0.4,"")))</f>
        <v/>
      </c>
      <c r="S505" s="147" t="str">
        <f ca="1">IFERROR(IFERROR(IF(VLOOKUP($A505,'Шаг2.Бланк заказа NEW'!$B$17:$N$201,5,0)="","",VLOOKUP($A505,'Шаг2.Бланк заказа NEW'!$B$17:$N$201,5,0)),
IF(VLOOKUP($A505-COUNT('Шаг2.Бланк заказа NEW'!$B$19:$B$201),'Бланк OLD 0.8 04'!$B$12:$K$200,4,0)&gt;1,0.8,
IF(VLOOKUP($A505-COUNT('Шаг2.Бланк заказа NEW'!$B$19:$B$201),'Бланк OLD 0.8 04'!$B$12:$K$200,5,0)&gt;1,0.4,
IF(AND(VLOOKUP($A505-COUNT('Шаг2.Бланк заказа NEW'!$B$19:$B$201),'Бланк OLD 0.8 04'!$B$12:$K$200,4,0)&gt;0,VLOOKUP($A505-COUNT('Шаг2.Бланк заказа NEW'!$B$19:$B$201),'Бланк OLD 0.8 04'!$B$12:$K$200,5,0)&gt;0),0.4,"")))),
IF(VLOOKUP($A505-COUNT('Шаг2.Бланк заказа NEW'!$B$19:$B$201)-COUNT('Бланк OLD 0.8 04'!$B$18:$B$200),'Бланк OLD 2.0 04 '!$B$16:$K$200,4,0)&gt;1,2,
IF(VLOOKUP($A505-COUNT('Шаг2.Бланк заказа NEW'!$B$19:$B$201)-COUNT('Бланк OLD 0.8 04'!$B$18:$B$200),'Бланк OLD 2.0 04 '!$B$16:$K$200,5,0)&gt;1,0.4,IF(AND(VLOOKUP($A505-COUNT('Шаг2.Бланк заказа NEW'!$B$19:$B$201)-COUNT('Бланк OLD 0.8 04'!$B$18:$B$200),'Бланк OLD 2.0 04 '!$B$16:$K$200,4,0)&gt;0,VLOOKUP($A505-COUNT('Шаг2.Бланк заказа NEW'!$B$19:$B$201)-COUNT('Бланк OLD 0.8 04'!$B$18:$B$200),'Бланк OLD 2.0 04 '!$B$16:$K$200,5,0)&gt;0),0.4,""))))</f>
        <v/>
      </c>
      <c r="T505" s="147" t="str">
        <f ca="1">IFERROR(IFERROR(IF(VLOOKUP($A505,'Шаг2.Бланк заказа NEW'!$B$17:$N$201,7,0)="","",VLOOKUP($A505,'Шаг2.Бланк заказа NEW'!$B$17:$N$201,7,0)),
IF(VLOOKUP($A505-COUNT('Шаг2.Бланк заказа NEW'!$B$19:$B$201),'Бланк OLD 0.8 04'!$B$12:$K$200,7,0)&gt;0,0.8,
IF(VLOOKUP($A505-COUNT('Шаг2.Бланк заказа NEW'!$B$19:$B$201),'Бланк OLD 0.8 04'!$B$12:$K$200,8,0)&gt;0,0.4,""))),
IF(VLOOKUP($A505-COUNT('Шаг2.Бланк заказа NEW'!$B$19:$B$201)-COUNT('Бланк OLD 0.8 04'!$B$18:$B$200),'Бланк OLD 2.0 04 '!$B$16:$K$200,7,0)&gt;0,2,IF(VLOOKUP($A505-COUNT('Шаг2.Бланк заказа NEW'!$B$19:$B$201)-COUNT('Бланк OLD 0.8 04'!$B$18:$B$200),'Бланк OLD 2.0 04 '!$B$16:$K$200,8,0)&gt;0,0.4,"")))</f>
        <v/>
      </c>
      <c r="U505" s="147" t="str">
        <f ca="1">IFERROR(IFERROR(IF(VLOOKUP($A505,'Шаг2.Бланк заказа NEW'!$B$17:$N$201,8,0)="","",VLOOKUP($A505,'Шаг2.Бланк заказа NEW'!$B$17:$N$201,8,0)),
IF(VLOOKUP($A505-COUNT('Шаг2.Бланк заказа NEW'!$B$19:$B$201),'Бланк OLD 0.8 04'!$B$12:$K$200,7,0)&gt;1,0.8,
IF(VLOOKUP($A505-COUNT('Шаг2.Бланк заказа NEW'!$B$19:$B$201),'Бланк OLD 0.8 04'!$B$12:$K$200,8,0)&gt;1,0.4,
IF(AND(VLOOKUP($A505-COUNT('Шаг2.Бланк заказа NEW'!$B$19:$B$201),'Бланк OLD 0.8 04'!$B$12:$K$200,7,0)&gt;0,VLOOKUP($A505-COUNT('Шаг2.Бланк заказа NEW'!$B$19:$B$201),'Бланк OLD 0.8 04'!$B$12:$K$200,8,0)&gt;0),0.4,"")))),
IF(VLOOKUP($A505-COUNT('Шаг2.Бланк заказа NEW'!$B$19:$B$201)-COUNT('Бланк OLD 0.8 04'!$B$18:$B$200),'Бланк OLD 2.0 04 '!$B$16:$K$200,7,0)&gt;1,2,
IF(VLOOKUP($A505-COUNT('Шаг2.Бланк заказа NEW'!$B$19:$B$201)-COUNT('Бланк OLD 0.8 04'!$B$18:$B$200),'Бланк OLD 2.0 04 '!$B$16:$K$200,8,0)&gt;1,0.4,
IF(AND(VLOOKUP($A505-COUNT('Шаг2.Бланк заказа NEW'!$B$19:$B$201)-COUNT('Бланк OLD 0.8 04'!$B$18:$B$200),'Бланк OLD 2.0 04 '!$B$16:$K$200,7,0)&gt;0,VLOOKUP($A505-COUNT('Шаг2.Бланк заказа NEW'!$B$19:$B$201)-COUNT('Бланк OLD 0.8 04'!$B$18:$B$200),'Бланк OLD 2.0 04 '!$B$16:$K$200,8,0)&gt;0),0.4,""))))</f>
        <v/>
      </c>
      <c r="V505" s="146" t="str">
        <f ca="1">IFERROR(VLOOKUP(C505,'Шаг1.Выбор плиты'!C:S,12,0),"")</f>
        <v/>
      </c>
      <c r="W505" s="146" t="str">
        <f ca="1">IFERROR(VLOOKUP(C505,'Шаг1.Выбор плиты'!C:S,8,0),"")</f>
        <v/>
      </c>
      <c r="X505" s="146" t="str">
        <f ca="1">IFERROR(VLOOKUP(C505,'Шаг1.Выбор плиты'!C:S,10,0),"")</f>
        <v/>
      </c>
      <c r="Y505" s="147" t="str">
        <f t="shared" ca="1" si="46"/>
        <v/>
      </c>
      <c r="AD505" s="147" t="str">
        <f t="shared" ca="1" si="42"/>
        <v/>
      </c>
      <c r="AE505" s="147" t="str">
        <f t="shared" ca="1" si="47"/>
        <v/>
      </c>
      <c r="AF505" s="25"/>
      <c r="AH505" s="147" t="str">
        <f ca="1">IF(C505="","",VLOOKUP(C505,'Шаг1.Выбор плиты'!C:Q,7,0))</f>
        <v/>
      </c>
      <c r="AI505" s="147" t="str">
        <f t="shared" ca="1" si="45"/>
        <v/>
      </c>
    </row>
    <row r="506" spans="1:35" x14ac:dyDescent="0.2">
      <c r="A506" s="151" t="str">
        <f ca="1">IF(C506="","",MAX($A$1:OFFSET(C506,-1,0))+1)</f>
        <v/>
      </c>
      <c r="B506" s="151" t="str">
        <f ca="1">IFERROR(IFERROR(IFERROR("Шаг2.Бланк заказа NEW №"&amp;VLOOKUP(A505+1,CHOOSE({1,2},'Шаг2.Бланк заказа NEW'!$B$19:$B$201,'Шаг2.Бланк заказа NEW'!$A$19:$A$201),1,0),
"Бланк OLD 0.8 04 №"&amp;VLOOKUP(A505+1-COUNT('Шаг2.Бланк заказа NEW'!$B$19:$B$201),CHOOSE({1,2},'Бланк OLD 0.8 04'!$B$18:$B$200,'Бланк OLD 0.8 04'!$A$18:$A$200),1,0)),
"Бланк OLD 2.0 04 №"&amp;VLOOKUP(A505+1-COUNT('Шаг2.Бланк заказа NEW'!$B$19:$B$201)-COUNT('Бланк OLD 0.8 04'!$B$18:$B$200),CHOOSE({1,2},'Бланк OLD 2.0 04 '!$B$18:$B$200,'Бланк OLD 2.0 04 '!$A$18:$A$200),1,0)),"")</f>
        <v/>
      </c>
      <c r="C506" s="152" t="str">
        <f ca="1">IFERROR(IFERROR(IFERROR(VLOOKUP(A505+1,CHOOSE({1,2},'Шаг2.Бланк заказа NEW'!$B$19:$B$201,'Шаг2.Бланк заказа NEW'!$A$19:$A$201),2,0),
VLOOKUP(A505+1-COUNT('Шаг2.Бланк заказа NEW'!$B$19:$B$201),CHOOSE({1,2},'Бланк OLD 0.8 04'!$B$18:$B$200,'Бланк OLD 0.8 04'!$A$18:$A$200),2,0)),
VLOOKUP(A505+1-COUNT('Шаг2.Бланк заказа NEW'!$B$19:$B$201)-COUNT('Бланк OLD 0.8 04'!$B$18:$B$200),CHOOSE({1,2},'Бланк OLD 2.0 04 '!$B$18:$B$200,'Бланк OLD 2.0 04 '!$A$18:$A$200),2,0)),"")</f>
        <v/>
      </c>
      <c r="D506" s="150" t="str">
        <f ca="1">IFERROR(VLOOKUP(C506,'Шаг1.Выбор плиты'!C:G,5,0),"")</f>
        <v/>
      </c>
      <c r="E506" s="147" t="str">
        <f ca="1">IFERROR(IFERROR(IF(VLOOKUP($A506,'Шаг2.Бланк заказа NEW'!$B$17:$N$201,2,0)="","",VLOOKUP($A506,'Шаг2.Бланк заказа NEW'!$B$17:$N$201,2,0)),
IF(VLOOKUP($A506-COUNT('Шаг2.Бланк заказа NEW'!$B$19:$B$201),'Бланк OLD 0.8 04'!$B$12:$K$200,2,0)="","",VLOOKUP($A506-COUNT('Шаг2.Бланк заказа NEW'!$B$19:$B$201),'Бланк OLD 0.8 04'!$B$12:$K$200,2,0))),
IF(VLOOKUP($A506-COUNT('Шаг2.Бланк заказа NEW'!$B$19:$B$201)-COUNT('Бланк OLD 0.8 04'!$B$18:$B$200),'Бланк OLD 2.0 04 '!$B$16:$K$200,2,0)="","",VLOOKUP($A506-COUNT('Шаг2.Бланк заказа NEW'!$B$19:$B$201)-COUNT('Бланк OLD 0.8 04'!$B$18:$B$200),'Бланк OLD 2.0 04 '!$B$16:$K$200,2,0)))</f>
        <v/>
      </c>
      <c r="F506" s="147" t="str">
        <f ca="1">IFERROR(IFERROR(IF(VLOOKUP($A506,'Шаг2.Бланк заказа NEW'!$B$17:$N$201,3,0)="","",VLOOKUP($A506,'Шаг2.Бланк заказа NEW'!$B$17:$N$201,3,0)),
IF(VLOOKUP($A506-COUNT('Шаг2.Бланк заказа NEW'!$B$19:$B$201),'Бланк OLD 0.8 04'!$B$12:$K$200,3,0)="","",VLOOKUP($A506-COUNT('Шаг2.Бланк заказа NEW'!$B$19:$B$201),'Бланк OLD 0.8 04'!$B$12:$K$200,3,0))),
IF(VLOOKUP($A506-COUNT('Шаг2.Бланк заказа NEW'!$B$19:$B$201)-COUNT('Бланк OLD 0.8 04'!$B$18:$B$200),'Бланк OLD 2.0 04 '!$B$16:$K$200,3,0)="","",VLOOKUP($A506-COUNT('Шаг2.Бланк заказа NEW'!$B$19:$B$201)-COUNT('Бланк OLD 0.8 04'!$B$18:$B$200),'Бланк OLD 2.0 04 '!$B$16:$K$200,3,0)))</f>
        <v/>
      </c>
      <c r="G506" s="176" t="str">
        <f ca="1">IF(IF(R506="","",IF(R506=1,SUMIFS('Шаг1.Выбор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плиты'!C:Q,12,0)),1))))))=0,
R506,
IF(R506="","",IF(R506=1,SUMIFS('Шаг1.Выбор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плиты'!N:N,R506,'Шаг1.Выбор плиты'!M:M,SMALL(INDIRECT("мм"&amp;VLOOKUP(C506,'Шаг1.Выбор плиты'!C:Q,12,0)),1)))))))</f>
        <v/>
      </c>
      <c r="H506" s="177" t="str">
        <f ca="1">IF(IF(S506="","",IF(S506=1,SUMIFS('Шаг1.Выбор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плиты'!C:Q,12,0)),1))))))=0,
S506,
IF(S506="","",IF(S506=1,SUMIFS('Шаг1.Выбор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плиты'!N:N,S506,'Шаг1.Выбор плиты'!M:M,SMALL(INDIRECT("мм"&amp;VLOOKUP(C506,'Шаг1.Выбор плиты'!C:Q,12,0)),1)))))))</f>
        <v/>
      </c>
      <c r="I506" s="147" t="str">
        <f ca="1">IFERROR(IFERROR(IF(VLOOKUP($A506,'Шаг2.Бланк заказа NEW'!$B$17:$N$201,6,0)="","",VLOOKUP($A506,'Шаг2.Бланк заказа NEW'!$B$17:$N$201,6,0)),
IF(VLOOKUP($A506-COUNT('Шаг2.Бланк заказа NEW'!$B$19:$B$201),'Бланк OLD 0.8 04'!$B$12:$K$200,6,0)="","",VLOOKUP($A506-COUNT('Шаг2.Бланк заказа NEW'!$B$19:$B$201),'Бланк OLD 0.8 04'!$B$12:$K$200,6,0))),
IF(VLOOKUP($A506-COUNT('Шаг2.Бланк заказа NEW'!$B$19:$B$201)-COUNT('Бланк OLD 0.8 04'!$B$18:$B$200),'Бланк OLD 2.0 04 '!$B$16:$K$200,6,0)="","",VLOOKUP($A506-COUNT('Шаг2.Бланк заказа NEW'!$B$19:$B$201)-COUNT('Бланк OLD 0.8 04'!$B$18:$B$200),'Бланк OLD 2.0 04 '!$B$16:$K$200,6,0)))</f>
        <v/>
      </c>
      <c r="J506" s="177" t="str">
        <f ca="1">IF(IF(T506="","",IF(T506=1,SUMIFS('Шаг1.Выбор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плиты'!C:Q,12,0)),1))))))=0,
T506,
IF(T506="","",IF(T506=1,SUMIFS('Шаг1.Выбор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плиты'!N:N,T506,'Шаг1.Выбор плиты'!M:M,SMALL(INDIRECT("мм"&amp;VLOOKUP(C506,'Шаг1.Выбор плиты'!C:Q,12,0)),1)))))))</f>
        <v/>
      </c>
      <c r="K506" s="177" t="str">
        <f ca="1">IF(IF(U506="","",IF(U506=1,SUMIFS('Шаг1.Выбор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плиты'!C:Q,12,0)),1))))))=0,
U506,
IF(U506="","",IF(U506=1,SUMIFS('Шаг1.Выбор плиты'!$G:$G,'Шаг1.Выбор плиты'!J:J,"*"&amp;RIGHT(VLOOKUP(C506,'Шаг1.Выбор плиты'!C:Q,8,0),4),'Шаг1.Выбор плиты'!L:L,IF(MID(C506,1,6)="ЛДСП P","TM"&amp;MID(VLOOKUP(C506,'Шаг1.Выбор плиты'!C:Q,10,0),3,2),MID(VLOOKUP(C506,'Шаг1.Выбор плиты'!C:Q,10,0),1,2)),
'Шаг1.Выбор плиты'!N:N,1),IF(SUMIFS('Шаг1.Выбор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плиты'!C:Q,12,0)),1))=0,
IF(SUMIFS('Шаг1.Выбор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плиты'!C:Q,12,0)),2))=0,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плиты'!C:Q,12,0)),3)),
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плиты'!C:Q,12,0)),2))),
(SUMIFS('Шаг1.Выбор плиты'!$G:$G,'Шаг1.Выбор плиты'!J:J,"*"&amp;RIGHT(VLOOKUP(C506,'Шаг1.Выбор плиты'!C:Q,8,0),4),'Шаг1.Выбор плиты'!L:L,VLOOKUP(C506,'Шаг1.Выбор плиты'!C:Q,10,0),'Шаг1.Выбор плиты'!N:N,U506,'Шаг1.Выбор плиты'!M:M,SMALL(INDIRECT("мм"&amp;VLOOKUP(C506,'Шаг1.Выбор плиты'!C:Q,12,0)),1)))))))</f>
        <v/>
      </c>
      <c r="L506" s="147" t="str">
        <f ca="1">IFERROR(IFERROR(IF(VLOOKUP($A506,'Шаг2.Бланк заказа NEW'!$B$17:$N$201,9,0)="","",VLOOKUP($A506,'Шаг2.Бланк заказа NEW'!$B$17:$N$201,9,0)),
IF(VLOOKUP($A506-COUNT('Шаг2.Бланк заказа NEW'!$B$19:$B$201),'Бланк OLD 0.8 04'!$B$12:$K$200,9,0)="","",VLOOKUP($A506-COUNT('Шаг2.Бланк заказа NEW'!$B$19:$B$201),'Бланк OLD 0.8 04'!$B$12:$K$200,9,0))),
IF(VLOOKUP($A506-COUNT('Шаг2.Бланк заказа NEW'!$B$19:$B$201)-COUNT('Бланк OLD 0.8 04'!$B$18:$B$200),'Бланк OLD 2.0 04 '!$B$16:$K$200,9,0)="","",VLOOKUP($A506-COUNT('Шаг2.Бланк заказа NEW'!$B$19:$B$201)-COUNT('Бланк OLD 0.8 04'!$B$18:$B$200),'Бланк OLD 2.0 04 '!$B$16:$K$200,9,0)))</f>
        <v/>
      </c>
      <c r="M506" s="154" t="str">
        <f t="shared" ca="1" si="44"/>
        <v/>
      </c>
      <c r="N506" s="153" t="str">
        <f ca="1">IFERROR(IF(VLOOKUP($A506,'Шаг2.Бланк заказа NEW'!$B$17:$N$201,11,0)="","",VLOOKUP($A506,'Шаг2.Бланк заказа NEW'!$B$17:$N$201,11,0)),
"Нет")</f>
        <v/>
      </c>
      <c r="O506" s="147" t="str">
        <f ca="1">IFERROR(IF(VLOOKUP($A506,'Шаг2.Бланк заказа NEW'!$B$17:$N$201,11,0)="","",VLOOKUP($A506,'Шаг2.Бланк заказа NEW'!$B$17:$N$201,12,0)),
"Нет")</f>
        <v/>
      </c>
      <c r="P506" s="153" t="str">
        <f ca="1">IFERROR(IF(VLOOKUP($A506,'Шаг2.Бланк заказа NEW'!$B$17:$N$201,13,0)="","",VLOOKUP($A506,'Шаг2.Бланк заказа NEW'!$B$17:$N$201,13,0)),
"Нет")</f>
        <v/>
      </c>
      <c r="Q506" s="147" t="str">
        <f ca="1">IFERROR(IF(VLOOKUP($A506,'Шаг2.Бланк заказа NEW'!$B$17:$O$201,14,0)="","",VLOOKUP($A506,'Шаг2.Бланк заказа NEW'!$B$17:$O$201,14,0)),"")</f>
        <v/>
      </c>
      <c r="R506" s="147" t="str">
        <f ca="1">IFERROR(IFERROR(IF(VLOOKUP($A506,'Шаг2.Бланк заказа NEW'!$B$17:$N$201,4,0)="","",VLOOKUP($A506,'Шаг2.Бланк заказа NEW'!$B$17:$N$201,4,0)),
IF(VLOOKUP($A506-COUNT('Шаг2.Бланк заказа NEW'!$B$19:$B$201),'Бланк OLD 0.8 04'!$B$12:$K$200,4,0)&gt;0,0.8,
IF(VLOOKUP($A506-COUNT('Шаг2.Бланк заказа NEW'!$B$19:$B$201),'Бланк OLD 0.8 04'!$B$12:$K$200,5,0)&gt;0,0.4,""))),
IF(VLOOKUP($A506-COUNT('Шаг2.Бланк заказа NEW'!$B$19:$B$201)-COUNT('Бланк OLD 0.8 04'!$B$18:$B$200),'Бланк OLD 2.0 04 '!$B$16:$K$200,4,0)&gt;0,2,IF(VLOOKUP($A506-COUNT('Шаг2.Бланк заказа NEW'!$B$19:$B$201)-COUNT('Бланк OLD 0.8 04'!$B$18:$B$200),'Бланк OLD 2.0 04 '!$B$16:$K$200,5,0)&gt;0,0.4,"")))</f>
        <v/>
      </c>
      <c r="S506" s="147" t="str">
        <f ca="1">IFERROR(IFERROR(IF(VLOOKUP($A506,'Шаг2.Бланк заказа NEW'!$B$17:$N$201,5,0)="","",VLOOKUP($A506,'Шаг2.Бланк заказа NEW'!$B$17:$N$201,5,0)),
IF(VLOOKUP($A506-COUNT('Шаг2.Бланк заказа NEW'!$B$19:$B$201),'Бланк OLD 0.8 04'!$B$12:$K$200,4,0)&gt;1,0.8,
IF(VLOOKUP($A506-COUNT('Шаг2.Бланк заказа NEW'!$B$19:$B$201),'Бланк OLD 0.8 04'!$B$12:$K$200,5,0)&gt;1,0.4,
IF(AND(VLOOKUP($A506-COUNT('Шаг2.Бланк заказа NEW'!$B$19:$B$201),'Бланк OLD 0.8 04'!$B$12:$K$200,4,0)&gt;0,VLOOKUP($A506-COUNT('Шаг2.Бланк заказа NEW'!$B$19:$B$201),'Бланк OLD 0.8 04'!$B$12:$K$200,5,0)&gt;0),0.4,"")))),
IF(VLOOKUP($A506-COUNT('Шаг2.Бланк заказа NEW'!$B$19:$B$201)-COUNT('Бланк OLD 0.8 04'!$B$18:$B$200),'Бланк OLD 2.0 04 '!$B$16:$K$200,4,0)&gt;1,2,
IF(VLOOKUP($A506-COUNT('Шаг2.Бланк заказа NEW'!$B$19:$B$201)-COUNT('Бланк OLD 0.8 04'!$B$18:$B$200),'Бланк OLD 2.0 04 '!$B$16:$K$200,5,0)&gt;1,0.4,IF(AND(VLOOKUP($A506-COUNT('Шаг2.Бланк заказа NEW'!$B$19:$B$201)-COUNT('Бланк OLD 0.8 04'!$B$18:$B$200),'Бланк OLD 2.0 04 '!$B$16:$K$200,4,0)&gt;0,VLOOKUP($A506-COUNT('Шаг2.Бланк заказа NEW'!$B$19:$B$201)-COUNT('Бланк OLD 0.8 04'!$B$18:$B$200),'Бланк OLD 2.0 04 '!$B$16:$K$200,5,0)&gt;0),0.4,""))))</f>
        <v/>
      </c>
      <c r="T506" s="147" t="str">
        <f ca="1">IFERROR(IFERROR(IF(VLOOKUP($A506,'Шаг2.Бланк заказа NEW'!$B$17:$N$201,7,0)="","",VLOOKUP($A506,'Шаг2.Бланк заказа NEW'!$B$17:$N$201,7,0)),
IF(VLOOKUP($A506-COUNT('Шаг2.Бланк заказа NEW'!$B$19:$B$201),'Бланк OLD 0.8 04'!$B$12:$K$200,7,0)&gt;0,0.8,
IF(VLOOKUP($A506-COUNT('Шаг2.Бланк заказа NEW'!$B$19:$B$201),'Бланк OLD 0.8 04'!$B$12:$K$200,8,0)&gt;0,0.4,""))),
IF(VLOOKUP($A506-COUNT('Шаг2.Бланк заказа NEW'!$B$19:$B$201)-COUNT('Бланк OLD 0.8 04'!$B$18:$B$200),'Бланк OLD 2.0 04 '!$B$16:$K$200,7,0)&gt;0,2,IF(VLOOKUP($A506-COUNT('Шаг2.Бланк заказа NEW'!$B$19:$B$201)-COUNT('Бланк OLD 0.8 04'!$B$18:$B$200),'Бланк OLD 2.0 04 '!$B$16:$K$200,8,0)&gt;0,0.4,"")))</f>
        <v/>
      </c>
      <c r="U506" s="147" t="str">
        <f ca="1">IFERROR(IFERROR(IF(VLOOKUP($A506,'Шаг2.Бланк заказа NEW'!$B$17:$N$201,8,0)="","",VLOOKUP($A506,'Шаг2.Бланк заказа NEW'!$B$17:$N$201,8,0)),
IF(VLOOKUP($A506-COUNT('Шаг2.Бланк заказа NEW'!$B$19:$B$201),'Бланк OLD 0.8 04'!$B$12:$K$200,7,0)&gt;1,0.8,
IF(VLOOKUP($A506-COUNT('Шаг2.Бланк заказа NEW'!$B$19:$B$201),'Бланк OLD 0.8 04'!$B$12:$K$200,8,0)&gt;1,0.4,
IF(AND(VLOOKUP($A506-COUNT('Шаг2.Бланк заказа NEW'!$B$19:$B$201),'Бланк OLD 0.8 04'!$B$12:$K$200,7,0)&gt;0,VLOOKUP($A506-COUNT('Шаг2.Бланк заказа NEW'!$B$19:$B$201),'Бланк OLD 0.8 04'!$B$12:$K$200,8,0)&gt;0),0.4,"")))),
IF(VLOOKUP($A506-COUNT('Шаг2.Бланк заказа NEW'!$B$19:$B$201)-COUNT('Бланк OLD 0.8 04'!$B$18:$B$200),'Бланк OLD 2.0 04 '!$B$16:$K$200,7,0)&gt;1,2,
IF(VLOOKUP($A506-COUNT('Шаг2.Бланк заказа NEW'!$B$19:$B$201)-COUNT('Бланк OLD 0.8 04'!$B$18:$B$200),'Бланк OLD 2.0 04 '!$B$16:$K$200,8,0)&gt;1,0.4,
IF(AND(VLOOKUP($A506-COUNT('Шаг2.Бланк заказа NEW'!$B$19:$B$201)-COUNT('Бланк OLD 0.8 04'!$B$18:$B$200),'Бланк OLD 2.0 04 '!$B$16:$K$200,7,0)&gt;0,VLOOKUP($A506-COUNT('Шаг2.Бланк заказа NEW'!$B$19:$B$201)-COUNT('Бланк OLD 0.8 04'!$B$18:$B$200),'Бланк OLD 2.0 04 '!$B$16:$K$200,8,0)&gt;0),0.4,""))))</f>
        <v/>
      </c>
      <c r="V506" s="146" t="str">
        <f ca="1">IFERROR(VLOOKUP(C506,'Шаг1.Выбор плиты'!C:S,12,0),"")</f>
        <v/>
      </c>
      <c r="W506" s="146" t="str">
        <f ca="1">IFERROR(VLOOKUP(C506,'Шаг1.Выбор плиты'!C:S,8,0),"")</f>
        <v/>
      </c>
      <c r="X506" s="146" t="str">
        <f ca="1">IFERROR(VLOOKUP(C506,'Шаг1.Выбор плиты'!C:S,10,0),"")</f>
        <v/>
      </c>
      <c r="Y506" s="147" t="str">
        <f t="shared" ca="1" si="46"/>
        <v/>
      </c>
      <c r="AD506" s="147" t="str">
        <f t="shared" ca="1" si="42"/>
        <v/>
      </c>
      <c r="AE506" s="147" t="str">
        <f t="shared" ca="1" si="47"/>
        <v/>
      </c>
      <c r="AF506" s="25"/>
      <c r="AH506" s="147" t="str">
        <f ca="1">IF(C506="","",VLOOKUP(C506,'Шаг1.Выбор плиты'!C:Q,7,0))</f>
        <v/>
      </c>
      <c r="AI506" s="147" t="str">
        <f t="shared" ca="1" si="45"/>
        <v/>
      </c>
    </row>
    <row r="507" spans="1:35" x14ac:dyDescent="0.2">
      <c r="A507" s="151" t="str">
        <f ca="1">IF(C507="","",MAX($A$1:OFFSET(C507,-1,0))+1)</f>
        <v/>
      </c>
      <c r="B507" s="151" t="str">
        <f ca="1">IFERROR(IFERROR(IFERROR("Шаг2.Бланк заказа NEW №"&amp;VLOOKUP(A506+1,CHOOSE({1,2},'Шаг2.Бланк заказа NEW'!$B$19:$B$201,'Шаг2.Бланк заказа NEW'!$A$19:$A$201),1,0),
"Бланк OLD 0.8 04 №"&amp;VLOOKUP(A506+1-COUNT('Шаг2.Бланк заказа NEW'!$B$19:$B$201),CHOOSE({1,2},'Бланк OLD 0.8 04'!$B$18:$B$200,'Бланк OLD 0.8 04'!$A$18:$A$200),1,0)),
"Бланк OLD 2.0 04 №"&amp;VLOOKUP(A506+1-COUNT('Шаг2.Бланк заказа NEW'!$B$19:$B$201)-COUNT('Бланк OLD 0.8 04'!$B$18:$B$200),CHOOSE({1,2},'Бланк OLD 2.0 04 '!$B$18:$B$200,'Бланк OLD 2.0 04 '!$A$18:$A$200),1,0)),"")</f>
        <v/>
      </c>
      <c r="C507" s="152" t="str">
        <f ca="1">IFERROR(IFERROR(IFERROR(VLOOKUP(A506+1,CHOOSE({1,2},'Шаг2.Бланк заказа NEW'!$B$19:$B$201,'Шаг2.Бланк заказа NEW'!$A$19:$A$201),2,0),
VLOOKUP(A506+1-COUNT('Шаг2.Бланк заказа NEW'!$B$19:$B$201),CHOOSE({1,2},'Бланк OLD 0.8 04'!$B$18:$B$200,'Бланк OLD 0.8 04'!$A$18:$A$200),2,0)),
VLOOKUP(A506+1-COUNT('Шаг2.Бланк заказа NEW'!$B$19:$B$201)-COUNT('Бланк OLD 0.8 04'!$B$18:$B$200),CHOOSE({1,2},'Бланк OLD 2.0 04 '!$B$18:$B$200,'Бланк OLD 2.0 04 '!$A$18:$A$200),2,0)),"")</f>
        <v/>
      </c>
      <c r="D507" s="150" t="str">
        <f ca="1">IFERROR(VLOOKUP(C507,'Шаг1.Выбор плиты'!C:G,5,0),"")</f>
        <v/>
      </c>
      <c r="E507" s="147" t="str">
        <f ca="1">IFERROR(IFERROR(IF(VLOOKUP($A507,'Шаг2.Бланк заказа NEW'!$B$17:$N$201,2,0)="","",VLOOKUP($A507,'Шаг2.Бланк заказа NEW'!$B$17:$N$201,2,0)),
IF(VLOOKUP($A507-COUNT('Шаг2.Бланк заказа NEW'!$B$19:$B$201),'Бланк OLD 0.8 04'!$B$12:$K$200,2,0)="","",VLOOKUP($A507-COUNT('Шаг2.Бланк заказа NEW'!$B$19:$B$201),'Бланк OLD 0.8 04'!$B$12:$K$200,2,0))),
IF(VLOOKUP($A507-COUNT('Шаг2.Бланк заказа NEW'!$B$19:$B$201)-COUNT('Бланк OLD 0.8 04'!$B$18:$B$200),'Бланк OLD 2.0 04 '!$B$16:$K$200,2,0)="","",VLOOKUP($A507-COUNT('Шаг2.Бланк заказа NEW'!$B$19:$B$201)-COUNT('Бланк OLD 0.8 04'!$B$18:$B$200),'Бланк OLD 2.0 04 '!$B$16:$K$200,2,0)))</f>
        <v/>
      </c>
      <c r="F507" s="147" t="str">
        <f ca="1">IFERROR(IFERROR(IF(VLOOKUP($A507,'Шаг2.Бланк заказа NEW'!$B$17:$N$201,3,0)="","",VLOOKUP($A507,'Шаг2.Бланк заказа NEW'!$B$17:$N$201,3,0)),
IF(VLOOKUP($A507-COUNT('Шаг2.Бланк заказа NEW'!$B$19:$B$201),'Бланк OLD 0.8 04'!$B$12:$K$200,3,0)="","",VLOOKUP($A507-COUNT('Шаг2.Бланк заказа NEW'!$B$19:$B$201),'Бланк OLD 0.8 04'!$B$12:$K$200,3,0))),
IF(VLOOKUP($A507-COUNT('Шаг2.Бланк заказа NEW'!$B$19:$B$201)-COUNT('Бланк OLD 0.8 04'!$B$18:$B$200),'Бланк OLD 2.0 04 '!$B$16:$K$200,3,0)="","",VLOOKUP($A507-COUNT('Шаг2.Бланк заказа NEW'!$B$19:$B$201)-COUNT('Бланк OLD 0.8 04'!$B$18:$B$200),'Бланк OLD 2.0 04 '!$B$16:$K$200,3,0)))</f>
        <v/>
      </c>
      <c r="G507" s="176" t="str">
        <f ca="1">IF(IF(R507="","",IF(R507=1,SUMIFS('Шаг1.Выбор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плиты'!C:Q,12,0)),1))))))=0,
R507,
IF(R507="","",IF(R507=1,SUMIFS('Шаг1.Выбор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плиты'!N:N,R507,'Шаг1.Выбор плиты'!M:M,SMALL(INDIRECT("мм"&amp;VLOOKUP(C507,'Шаг1.Выбор плиты'!C:Q,12,0)),1)))))))</f>
        <v/>
      </c>
      <c r="H507" s="177" t="str">
        <f ca="1">IF(IF(S507="","",IF(S507=1,SUMIFS('Шаг1.Выбор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плиты'!C:Q,12,0)),1))))))=0,
S507,
IF(S507="","",IF(S507=1,SUMIFS('Шаг1.Выбор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плиты'!N:N,S507,'Шаг1.Выбор плиты'!M:M,SMALL(INDIRECT("мм"&amp;VLOOKUP(C507,'Шаг1.Выбор плиты'!C:Q,12,0)),1)))))))</f>
        <v/>
      </c>
      <c r="I507" s="147" t="str">
        <f ca="1">IFERROR(IFERROR(IF(VLOOKUP($A507,'Шаг2.Бланк заказа NEW'!$B$17:$N$201,6,0)="","",VLOOKUP($A507,'Шаг2.Бланк заказа NEW'!$B$17:$N$201,6,0)),
IF(VLOOKUP($A507-COUNT('Шаг2.Бланк заказа NEW'!$B$19:$B$201),'Бланк OLD 0.8 04'!$B$12:$K$200,6,0)="","",VLOOKUP($A507-COUNT('Шаг2.Бланк заказа NEW'!$B$19:$B$201),'Бланк OLD 0.8 04'!$B$12:$K$200,6,0))),
IF(VLOOKUP($A507-COUNT('Шаг2.Бланк заказа NEW'!$B$19:$B$201)-COUNT('Бланк OLD 0.8 04'!$B$18:$B$200),'Бланк OLD 2.0 04 '!$B$16:$K$200,6,0)="","",VLOOKUP($A507-COUNT('Шаг2.Бланк заказа NEW'!$B$19:$B$201)-COUNT('Бланк OLD 0.8 04'!$B$18:$B$200),'Бланк OLD 2.0 04 '!$B$16:$K$200,6,0)))</f>
        <v/>
      </c>
      <c r="J507" s="177" t="str">
        <f ca="1">IF(IF(T507="","",IF(T507=1,SUMIFS('Шаг1.Выбор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плиты'!C:Q,12,0)),1))))))=0,
T507,
IF(T507="","",IF(T507=1,SUMIFS('Шаг1.Выбор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плиты'!N:N,T507,'Шаг1.Выбор плиты'!M:M,SMALL(INDIRECT("мм"&amp;VLOOKUP(C507,'Шаг1.Выбор плиты'!C:Q,12,0)),1)))))))</f>
        <v/>
      </c>
      <c r="K507" s="177" t="str">
        <f ca="1">IF(IF(U507="","",IF(U507=1,SUMIFS('Шаг1.Выбор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плиты'!C:Q,12,0)),1))))))=0,
U507,
IF(U507="","",IF(U507=1,SUMIFS('Шаг1.Выбор плиты'!$G:$G,'Шаг1.Выбор плиты'!J:J,"*"&amp;RIGHT(VLOOKUP(C507,'Шаг1.Выбор плиты'!C:Q,8,0),4),'Шаг1.Выбор плиты'!L:L,IF(MID(C507,1,6)="ЛДСП P","TM"&amp;MID(VLOOKUP(C507,'Шаг1.Выбор плиты'!C:Q,10,0),3,2),MID(VLOOKUP(C507,'Шаг1.Выбор плиты'!C:Q,10,0),1,2)),
'Шаг1.Выбор плиты'!N:N,1),IF(SUMIFS('Шаг1.Выбор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плиты'!C:Q,12,0)),1))=0,
IF(SUMIFS('Шаг1.Выбор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плиты'!C:Q,12,0)),2))=0,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плиты'!C:Q,12,0)),3)),
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плиты'!C:Q,12,0)),2))),
(SUMIFS('Шаг1.Выбор плиты'!$G:$G,'Шаг1.Выбор плиты'!J:J,"*"&amp;RIGHT(VLOOKUP(C507,'Шаг1.Выбор плиты'!C:Q,8,0),4),'Шаг1.Выбор плиты'!L:L,VLOOKUP(C507,'Шаг1.Выбор плиты'!C:Q,10,0),'Шаг1.Выбор плиты'!N:N,U507,'Шаг1.Выбор плиты'!M:M,SMALL(INDIRECT("мм"&amp;VLOOKUP(C507,'Шаг1.Выбор плиты'!C:Q,12,0)),1)))))))</f>
        <v/>
      </c>
      <c r="L507" s="147" t="str">
        <f ca="1">IFERROR(IFERROR(IF(VLOOKUP($A507,'Шаг2.Бланк заказа NEW'!$B$17:$N$201,9,0)="","",VLOOKUP($A507,'Шаг2.Бланк заказа NEW'!$B$17:$N$201,9,0)),
IF(VLOOKUP($A507-COUNT('Шаг2.Бланк заказа NEW'!$B$19:$B$201),'Бланк OLD 0.8 04'!$B$12:$K$200,9,0)="","",VLOOKUP($A507-COUNT('Шаг2.Бланк заказа NEW'!$B$19:$B$201),'Бланк OLD 0.8 04'!$B$12:$K$200,9,0))),
IF(VLOOKUP($A507-COUNT('Шаг2.Бланк заказа NEW'!$B$19:$B$201)-COUNT('Бланк OLD 0.8 04'!$B$18:$B$200),'Бланк OLD 2.0 04 '!$B$16:$K$200,9,0)="","",VLOOKUP($A507-COUNT('Шаг2.Бланк заказа NEW'!$B$19:$B$201)-COUNT('Бланк OLD 0.8 04'!$B$18:$B$200),'Бланк OLD 2.0 04 '!$B$16:$K$200,9,0)))</f>
        <v/>
      </c>
      <c r="M507" s="154" t="str">
        <f t="shared" ca="1" si="44"/>
        <v/>
      </c>
      <c r="N507" s="153" t="str">
        <f ca="1">IFERROR(IF(VLOOKUP($A507,'Шаг2.Бланк заказа NEW'!$B$17:$N$201,11,0)="","",VLOOKUP($A507,'Шаг2.Бланк заказа NEW'!$B$17:$N$201,11,0)),
"Нет")</f>
        <v/>
      </c>
      <c r="O507" s="147" t="str">
        <f ca="1">IFERROR(IF(VLOOKUP($A507,'Шаг2.Бланк заказа NEW'!$B$17:$N$201,11,0)="","",VLOOKUP($A507,'Шаг2.Бланк заказа NEW'!$B$17:$N$201,12,0)),
"Нет")</f>
        <v/>
      </c>
      <c r="P507" s="153" t="str">
        <f ca="1">IFERROR(IF(VLOOKUP($A507,'Шаг2.Бланк заказа NEW'!$B$17:$N$201,13,0)="","",VLOOKUP($A507,'Шаг2.Бланк заказа NEW'!$B$17:$N$201,13,0)),
"Нет")</f>
        <v/>
      </c>
      <c r="Q507" s="147" t="str">
        <f ca="1">IFERROR(IF(VLOOKUP($A507,'Шаг2.Бланк заказа NEW'!$B$17:$O$201,14,0)="","",VLOOKUP($A507,'Шаг2.Бланк заказа NEW'!$B$17:$O$201,14,0)),"")</f>
        <v/>
      </c>
      <c r="R507" s="147" t="str">
        <f ca="1">IFERROR(IFERROR(IF(VLOOKUP($A507,'Шаг2.Бланк заказа NEW'!$B$17:$N$201,4,0)="","",VLOOKUP($A507,'Шаг2.Бланк заказа NEW'!$B$17:$N$201,4,0)),
IF(VLOOKUP($A507-COUNT('Шаг2.Бланк заказа NEW'!$B$19:$B$201),'Бланк OLD 0.8 04'!$B$12:$K$200,4,0)&gt;0,0.8,
IF(VLOOKUP($A507-COUNT('Шаг2.Бланк заказа NEW'!$B$19:$B$201),'Бланк OLD 0.8 04'!$B$12:$K$200,5,0)&gt;0,0.4,""))),
IF(VLOOKUP($A507-COUNT('Шаг2.Бланк заказа NEW'!$B$19:$B$201)-COUNT('Бланк OLD 0.8 04'!$B$18:$B$200),'Бланк OLD 2.0 04 '!$B$16:$K$200,4,0)&gt;0,2,IF(VLOOKUP($A507-COUNT('Шаг2.Бланк заказа NEW'!$B$19:$B$201)-COUNT('Бланк OLD 0.8 04'!$B$18:$B$200),'Бланк OLD 2.0 04 '!$B$16:$K$200,5,0)&gt;0,0.4,"")))</f>
        <v/>
      </c>
      <c r="S507" s="147" t="str">
        <f ca="1">IFERROR(IFERROR(IF(VLOOKUP($A507,'Шаг2.Бланк заказа NEW'!$B$17:$N$201,5,0)="","",VLOOKUP($A507,'Шаг2.Бланк заказа NEW'!$B$17:$N$201,5,0)),
IF(VLOOKUP($A507-COUNT('Шаг2.Бланк заказа NEW'!$B$19:$B$201),'Бланк OLD 0.8 04'!$B$12:$K$200,4,0)&gt;1,0.8,
IF(VLOOKUP($A507-COUNT('Шаг2.Бланк заказа NEW'!$B$19:$B$201),'Бланк OLD 0.8 04'!$B$12:$K$200,5,0)&gt;1,0.4,
IF(AND(VLOOKUP($A507-COUNT('Шаг2.Бланк заказа NEW'!$B$19:$B$201),'Бланк OLD 0.8 04'!$B$12:$K$200,4,0)&gt;0,VLOOKUP($A507-COUNT('Шаг2.Бланк заказа NEW'!$B$19:$B$201),'Бланк OLD 0.8 04'!$B$12:$K$200,5,0)&gt;0),0.4,"")))),
IF(VLOOKUP($A507-COUNT('Шаг2.Бланк заказа NEW'!$B$19:$B$201)-COUNT('Бланк OLD 0.8 04'!$B$18:$B$200),'Бланк OLD 2.0 04 '!$B$16:$K$200,4,0)&gt;1,2,
IF(VLOOKUP($A507-COUNT('Шаг2.Бланк заказа NEW'!$B$19:$B$201)-COUNT('Бланк OLD 0.8 04'!$B$18:$B$200),'Бланк OLD 2.0 04 '!$B$16:$K$200,5,0)&gt;1,0.4,IF(AND(VLOOKUP($A507-COUNT('Шаг2.Бланк заказа NEW'!$B$19:$B$201)-COUNT('Бланк OLD 0.8 04'!$B$18:$B$200),'Бланк OLD 2.0 04 '!$B$16:$K$200,4,0)&gt;0,VLOOKUP($A507-COUNT('Шаг2.Бланк заказа NEW'!$B$19:$B$201)-COUNT('Бланк OLD 0.8 04'!$B$18:$B$200),'Бланк OLD 2.0 04 '!$B$16:$K$200,5,0)&gt;0),0.4,""))))</f>
        <v/>
      </c>
      <c r="T507" s="147" t="str">
        <f ca="1">IFERROR(IFERROR(IF(VLOOKUP($A507,'Шаг2.Бланк заказа NEW'!$B$17:$N$201,7,0)="","",VLOOKUP($A507,'Шаг2.Бланк заказа NEW'!$B$17:$N$201,7,0)),
IF(VLOOKUP($A507-COUNT('Шаг2.Бланк заказа NEW'!$B$19:$B$201),'Бланк OLD 0.8 04'!$B$12:$K$200,7,0)&gt;0,0.8,
IF(VLOOKUP($A507-COUNT('Шаг2.Бланк заказа NEW'!$B$19:$B$201),'Бланк OLD 0.8 04'!$B$12:$K$200,8,0)&gt;0,0.4,""))),
IF(VLOOKUP($A507-COUNT('Шаг2.Бланк заказа NEW'!$B$19:$B$201)-COUNT('Бланк OLD 0.8 04'!$B$18:$B$200),'Бланк OLD 2.0 04 '!$B$16:$K$200,7,0)&gt;0,2,IF(VLOOKUP($A507-COUNT('Шаг2.Бланк заказа NEW'!$B$19:$B$201)-COUNT('Бланк OLD 0.8 04'!$B$18:$B$200),'Бланк OLD 2.0 04 '!$B$16:$K$200,8,0)&gt;0,0.4,"")))</f>
        <v/>
      </c>
      <c r="U507" s="147" t="str">
        <f ca="1">IFERROR(IFERROR(IF(VLOOKUP($A507,'Шаг2.Бланк заказа NEW'!$B$17:$N$201,8,0)="","",VLOOKUP($A507,'Шаг2.Бланк заказа NEW'!$B$17:$N$201,8,0)),
IF(VLOOKUP($A507-COUNT('Шаг2.Бланк заказа NEW'!$B$19:$B$201),'Бланк OLD 0.8 04'!$B$12:$K$200,7,0)&gt;1,0.8,
IF(VLOOKUP($A507-COUNT('Шаг2.Бланк заказа NEW'!$B$19:$B$201),'Бланк OLD 0.8 04'!$B$12:$K$200,8,0)&gt;1,0.4,
IF(AND(VLOOKUP($A507-COUNT('Шаг2.Бланк заказа NEW'!$B$19:$B$201),'Бланк OLD 0.8 04'!$B$12:$K$200,7,0)&gt;0,VLOOKUP($A507-COUNT('Шаг2.Бланк заказа NEW'!$B$19:$B$201),'Бланк OLD 0.8 04'!$B$12:$K$200,8,0)&gt;0),0.4,"")))),
IF(VLOOKUP($A507-COUNT('Шаг2.Бланк заказа NEW'!$B$19:$B$201)-COUNT('Бланк OLD 0.8 04'!$B$18:$B$200),'Бланк OLD 2.0 04 '!$B$16:$K$200,7,0)&gt;1,2,
IF(VLOOKUP($A507-COUNT('Шаг2.Бланк заказа NEW'!$B$19:$B$201)-COUNT('Бланк OLD 0.8 04'!$B$18:$B$200),'Бланк OLD 2.0 04 '!$B$16:$K$200,8,0)&gt;1,0.4,
IF(AND(VLOOKUP($A507-COUNT('Шаг2.Бланк заказа NEW'!$B$19:$B$201)-COUNT('Бланк OLD 0.8 04'!$B$18:$B$200),'Бланк OLD 2.0 04 '!$B$16:$K$200,7,0)&gt;0,VLOOKUP($A507-COUNT('Шаг2.Бланк заказа NEW'!$B$19:$B$201)-COUNT('Бланк OLD 0.8 04'!$B$18:$B$200),'Бланк OLD 2.0 04 '!$B$16:$K$200,8,0)&gt;0),0.4,""))))</f>
        <v/>
      </c>
      <c r="V507" s="146" t="str">
        <f ca="1">IFERROR(VLOOKUP(C507,'Шаг1.Выбор плиты'!C:S,12,0),"")</f>
        <v/>
      </c>
      <c r="W507" s="146" t="str">
        <f ca="1">IFERROR(VLOOKUP(C507,'Шаг1.Выбор плиты'!C:S,8,0),"")</f>
        <v/>
      </c>
      <c r="X507" s="146" t="str">
        <f ca="1">IFERROR(VLOOKUP(C507,'Шаг1.Выбор плиты'!C:S,10,0),"")</f>
        <v/>
      </c>
      <c r="Y507" s="147" t="str">
        <f t="shared" ca="1" si="46"/>
        <v/>
      </c>
      <c r="AD507" s="147" t="str">
        <f t="shared" ca="1" si="42"/>
        <v/>
      </c>
      <c r="AE507" s="147" t="str">
        <f t="shared" ca="1" si="47"/>
        <v/>
      </c>
      <c r="AF507" s="25"/>
      <c r="AH507" s="147" t="str">
        <f ca="1">IF(C507="","",VLOOKUP(C507,'Шаг1.Выбор плиты'!C:Q,7,0))</f>
        <v/>
      </c>
      <c r="AI507" s="147" t="str">
        <f t="shared" ca="1" si="45"/>
        <v/>
      </c>
    </row>
    <row r="508" spans="1:35" x14ac:dyDescent="0.2">
      <c r="A508" s="151" t="str">
        <f ca="1">IF(C508="","",MAX($A$1:OFFSET(C508,-1,0))+1)</f>
        <v/>
      </c>
      <c r="B508" s="151" t="str">
        <f ca="1">IFERROR(IFERROR(IFERROR("Шаг2.Бланк заказа NEW №"&amp;VLOOKUP(A507+1,CHOOSE({1,2},'Шаг2.Бланк заказа NEW'!$B$19:$B$201,'Шаг2.Бланк заказа NEW'!$A$19:$A$201),1,0),
"Бланк OLD 0.8 04 №"&amp;VLOOKUP(A507+1-COUNT('Шаг2.Бланк заказа NEW'!$B$19:$B$201),CHOOSE({1,2},'Бланк OLD 0.8 04'!$B$18:$B$200,'Бланк OLD 0.8 04'!$A$18:$A$200),1,0)),
"Бланк OLD 2.0 04 №"&amp;VLOOKUP(A507+1-COUNT('Шаг2.Бланк заказа NEW'!$B$19:$B$201)-COUNT('Бланк OLD 0.8 04'!$B$18:$B$200),CHOOSE({1,2},'Бланк OLD 2.0 04 '!$B$18:$B$200,'Бланк OLD 2.0 04 '!$A$18:$A$200),1,0)),"")</f>
        <v/>
      </c>
      <c r="C508" s="152" t="str">
        <f ca="1">IFERROR(IFERROR(IFERROR(VLOOKUP(A507+1,CHOOSE({1,2},'Шаг2.Бланк заказа NEW'!$B$19:$B$201,'Шаг2.Бланк заказа NEW'!$A$19:$A$201),2,0),
VLOOKUP(A507+1-COUNT('Шаг2.Бланк заказа NEW'!$B$19:$B$201),CHOOSE({1,2},'Бланк OLD 0.8 04'!$B$18:$B$200,'Бланк OLD 0.8 04'!$A$18:$A$200),2,0)),
VLOOKUP(A507+1-COUNT('Шаг2.Бланк заказа NEW'!$B$19:$B$201)-COUNT('Бланк OLD 0.8 04'!$B$18:$B$200),CHOOSE({1,2},'Бланк OLD 2.0 04 '!$B$18:$B$200,'Бланк OLD 2.0 04 '!$A$18:$A$200),2,0)),"")</f>
        <v/>
      </c>
      <c r="D508" s="150" t="str">
        <f ca="1">IFERROR(VLOOKUP(C508,'Шаг1.Выбор плиты'!C:G,5,0),"")</f>
        <v/>
      </c>
      <c r="E508" s="147" t="str">
        <f ca="1">IFERROR(IFERROR(IF(VLOOKUP($A508,'Шаг2.Бланк заказа NEW'!$B$17:$N$201,2,0)="","",VLOOKUP($A508,'Шаг2.Бланк заказа NEW'!$B$17:$N$201,2,0)),
IF(VLOOKUP($A508-COUNT('Шаг2.Бланк заказа NEW'!$B$19:$B$201),'Бланк OLD 0.8 04'!$B$12:$K$200,2,0)="","",VLOOKUP($A508-COUNT('Шаг2.Бланк заказа NEW'!$B$19:$B$201),'Бланк OLD 0.8 04'!$B$12:$K$200,2,0))),
IF(VLOOKUP($A508-COUNT('Шаг2.Бланк заказа NEW'!$B$19:$B$201)-COUNT('Бланк OLD 0.8 04'!$B$18:$B$200),'Бланк OLD 2.0 04 '!$B$16:$K$200,2,0)="","",VLOOKUP($A508-COUNT('Шаг2.Бланк заказа NEW'!$B$19:$B$201)-COUNT('Бланк OLD 0.8 04'!$B$18:$B$200),'Бланк OLD 2.0 04 '!$B$16:$K$200,2,0)))</f>
        <v/>
      </c>
      <c r="F508" s="147" t="str">
        <f ca="1">IFERROR(IFERROR(IF(VLOOKUP($A508,'Шаг2.Бланк заказа NEW'!$B$17:$N$201,3,0)="","",VLOOKUP($A508,'Шаг2.Бланк заказа NEW'!$B$17:$N$201,3,0)),
IF(VLOOKUP($A508-COUNT('Шаг2.Бланк заказа NEW'!$B$19:$B$201),'Бланк OLD 0.8 04'!$B$12:$K$200,3,0)="","",VLOOKUP($A508-COUNT('Шаг2.Бланк заказа NEW'!$B$19:$B$201),'Бланк OLD 0.8 04'!$B$12:$K$200,3,0))),
IF(VLOOKUP($A508-COUNT('Шаг2.Бланк заказа NEW'!$B$19:$B$201)-COUNT('Бланк OLD 0.8 04'!$B$18:$B$200),'Бланк OLD 2.0 04 '!$B$16:$K$200,3,0)="","",VLOOKUP($A508-COUNT('Шаг2.Бланк заказа NEW'!$B$19:$B$201)-COUNT('Бланк OLD 0.8 04'!$B$18:$B$200),'Бланк OLD 2.0 04 '!$B$16:$K$200,3,0)))</f>
        <v/>
      </c>
      <c r="G508" s="176" t="str">
        <f ca="1">IF(IF(R508="","",IF(R508=1,SUMIFS('Шаг1.Выбор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плиты'!C:Q,12,0)),1))))))=0,
R508,
IF(R508="","",IF(R508=1,SUMIFS('Шаг1.Выбор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плиты'!N:N,R508,'Шаг1.Выбор плиты'!M:M,SMALL(INDIRECT("мм"&amp;VLOOKUP(C508,'Шаг1.Выбор плиты'!C:Q,12,0)),1)))))))</f>
        <v/>
      </c>
      <c r="H508" s="177" t="str">
        <f ca="1">IF(IF(S508="","",IF(S508=1,SUMIFS('Шаг1.Выбор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плиты'!C:Q,12,0)),1))))))=0,
S508,
IF(S508="","",IF(S508=1,SUMIFS('Шаг1.Выбор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плиты'!N:N,S508,'Шаг1.Выбор плиты'!M:M,SMALL(INDIRECT("мм"&amp;VLOOKUP(C508,'Шаг1.Выбор плиты'!C:Q,12,0)),1)))))))</f>
        <v/>
      </c>
      <c r="I508" s="147" t="str">
        <f ca="1">IFERROR(IFERROR(IF(VLOOKUP($A508,'Шаг2.Бланк заказа NEW'!$B$17:$N$201,6,0)="","",VLOOKUP($A508,'Шаг2.Бланк заказа NEW'!$B$17:$N$201,6,0)),
IF(VLOOKUP($A508-COUNT('Шаг2.Бланк заказа NEW'!$B$19:$B$201),'Бланк OLD 0.8 04'!$B$12:$K$200,6,0)="","",VLOOKUP($A508-COUNT('Шаг2.Бланк заказа NEW'!$B$19:$B$201),'Бланк OLD 0.8 04'!$B$12:$K$200,6,0))),
IF(VLOOKUP($A508-COUNT('Шаг2.Бланк заказа NEW'!$B$19:$B$201)-COUNT('Бланк OLD 0.8 04'!$B$18:$B$200),'Бланк OLD 2.0 04 '!$B$16:$K$200,6,0)="","",VLOOKUP($A508-COUNT('Шаг2.Бланк заказа NEW'!$B$19:$B$201)-COUNT('Бланк OLD 0.8 04'!$B$18:$B$200),'Бланк OLD 2.0 04 '!$B$16:$K$200,6,0)))</f>
        <v/>
      </c>
      <c r="J508" s="177" t="str">
        <f ca="1">IF(IF(T508="","",IF(T508=1,SUMIFS('Шаг1.Выбор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плиты'!C:Q,12,0)),1))))))=0,
T508,
IF(T508="","",IF(T508=1,SUMIFS('Шаг1.Выбор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плиты'!N:N,T508,'Шаг1.Выбор плиты'!M:M,SMALL(INDIRECT("мм"&amp;VLOOKUP(C508,'Шаг1.Выбор плиты'!C:Q,12,0)),1)))))))</f>
        <v/>
      </c>
      <c r="K508" s="177" t="str">
        <f ca="1">IF(IF(U508="","",IF(U508=1,SUMIFS('Шаг1.Выбор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плиты'!C:Q,12,0)),1))))))=0,
U508,
IF(U508="","",IF(U508=1,SUMIFS('Шаг1.Выбор плиты'!$G:$G,'Шаг1.Выбор плиты'!J:J,"*"&amp;RIGHT(VLOOKUP(C508,'Шаг1.Выбор плиты'!C:Q,8,0),4),'Шаг1.Выбор плиты'!L:L,IF(MID(C508,1,6)="ЛДСП P","TM"&amp;MID(VLOOKUP(C508,'Шаг1.Выбор плиты'!C:Q,10,0),3,2),MID(VLOOKUP(C508,'Шаг1.Выбор плиты'!C:Q,10,0),1,2)),
'Шаг1.Выбор плиты'!N:N,1),IF(SUMIFS('Шаг1.Выбор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плиты'!C:Q,12,0)),1))=0,
IF(SUMIFS('Шаг1.Выбор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плиты'!C:Q,12,0)),2))=0,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плиты'!C:Q,12,0)),3)),
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плиты'!C:Q,12,0)),2))),
(SUMIFS('Шаг1.Выбор плиты'!$G:$G,'Шаг1.Выбор плиты'!J:J,"*"&amp;RIGHT(VLOOKUP(C508,'Шаг1.Выбор плиты'!C:Q,8,0),4),'Шаг1.Выбор плиты'!L:L,VLOOKUP(C508,'Шаг1.Выбор плиты'!C:Q,10,0),'Шаг1.Выбор плиты'!N:N,U508,'Шаг1.Выбор плиты'!M:M,SMALL(INDIRECT("мм"&amp;VLOOKUP(C508,'Шаг1.Выбор плиты'!C:Q,12,0)),1)))))))</f>
        <v/>
      </c>
      <c r="L508" s="147" t="str">
        <f ca="1">IFERROR(IFERROR(IF(VLOOKUP($A508,'Шаг2.Бланк заказа NEW'!$B$17:$N$201,9,0)="","",VLOOKUP($A508,'Шаг2.Бланк заказа NEW'!$B$17:$N$201,9,0)),
IF(VLOOKUP($A508-COUNT('Шаг2.Бланк заказа NEW'!$B$19:$B$201),'Бланк OLD 0.8 04'!$B$12:$K$200,9,0)="","",VLOOKUP($A508-COUNT('Шаг2.Бланк заказа NEW'!$B$19:$B$201),'Бланк OLD 0.8 04'!$B$12:$K$200,9,0))),
IF(VLOOKUP($A508-COUNT('Шаг2.Бланк заказа NEW'!$B$19:$B$201)-COUNT('Бланк OLD 0.8 04'!$B$18:$B$200),'Бланк OLD 2.0 04 '!$B$16:$K$200,9,0)="","",VLOOKUP($A508-COUNT('Шаг2.Бланк заказа NEW'!$B$19:$B$201)-COUNT('Бланк OLD 0.8 04'!$B$18:$B$200),'Бланк OLD 2.0 04 '!$B$16:$K$200,9,0)))</f>
        <v/>
      </c>
      <c r="M508" s="154" t="str">
        <f t="shared" ca="1" si="44"/>
        <v/>
      </c>
      <c r="N508" s="153" t="str">
        <f ca="1">IFERROR(IF(VLOOKUP($A508,'Шаг2.Бланк заказа NEW'!$B$17:$N$201,11,0)="","",VLOOKUP($A508,'Шаг2.Бланк заказа NEW'!$B$17:$N$201,11,0)),
"Нет")</f>
        <v/>
      </c>
      <c r="O508" s="147" t="str">
        <f ca="1">IFERROR(IF(VLOOKUP($A508,'Шаг2.Бланк заказа NEW'!$B$17:$N$201,11,0)="","",VLOOKUP($A508,'Шаг2.Бланк заказа NEW'!$B$17:$N$201,12,0)),
"Нет")</f>
        <v/>
      </c>
      <c r="P508" s="153" t="str">
        <f ca="1">IFERROR(IF(VLOOKUP($A508,'Шаг2.Бланк заказа NEW'!$B$17:$N$201,13,0)="","",VLOOKUP($A508,'Шаг2.Бланк заказа NEW'!$B$17:$N$201,13,0)),
"Нет")</f>
        <v/>
      </c>
      <c r="Q508" s="147" t="str">
        <f ca="1">IFERROR(IF(VLOOKUP($A508,'Шаг2.Бланк заказа NEW'!$B$17:$O$201,14,0)="","",VLOOKUP($A508,'Шаг2.Бланк заказа NEW'!$B$17:$O$201,14,0)),"")</f>
        <v/>
      </c>
      <c r="R508" s="147" t="str">
        <f ca="1">IFERROR(IFERROR(IF(VLOOKUP($A508,'Шаг2.Бланк заказа NEW'!$B$17:$N$201,4,0)="","",VLOOKUP($A508,'Шаг2.Бланк заказа NEW'!$B$17:$N$201,4,0)),
IF(VLOOKUP($A508-COUNT('Шаг2.Бланк заказа NEW'!$B$19:$B$201),'Бланк OLD 0.8 04'!$B$12:$K$200,4,0)&gt;0,0.8,
IF(VLOOKUP($A508-COUNT('Шаг2.Бланк заказа NEW'!$B$19:$B$201),'Бланк OLD 0.8 04'!$B$12:$K$200,5,0)&gt;0,0.4,""))),
IF(VLOOKUP($A508-COUNT('Шаг2.Бланк заказа NEW'!$B$19:$B$201)-COUNT('Бланк OLD 0.8 04'!$B$18:$B$200),'Бланк OLD 2.0 04 '!$B$16:$K$200,4,0)&gt;0,2,IF(VLOOKUP($A508-COUNT('Шаг2.Бланк заказа NEW'!$B$19:$B$201)-COUNT('Бланк OLD 0.8 04'!$B$18:$B$200),'Бланк OLD 2.0 04 '!$B$16:$K$200,5,0)&gt;0,0.4,"")))</f>
        <v/>
      </c>
      <c r="S508" s="147" t="str">
        <f ca="1">IFERROR(IFERROR(IF(VLOOKUP($A508,'Шаг2.Бланк заказа NEW'!$B$17:$N$201,5,0)="","",VLOOKUP($A508,'Шаг2.Бланк заказа NEW'!$B$17:$N$201,5,0)),
IF(VLOOKUP($A508-COUNT('Шаг2.Бланк заказа NEW'!$B$19:$B$201),'Бланк OLD 0.8 04'!$B$12:$K$200,4,0)&gt;1,0.8,
IF(VLOOKUP($A508-COUNT('Шаг2.Бланк заказа NEW'!$B$19:$B$201),'Бланк OLD 0.8 04'!$B$12:$K$200,5,0)&gt;1,0.4,
IF(AND(VLOOKUP($A508-COUNT('Шаг2.Бланк заказа NEW'!$B$19:$B$201),'Бланк OLD 0.8 04'!$B$12:$K$200,4,0)&gt;0,VLOOKUP($A508-COUNT('Шаг2.Бланк заказа NEW'!$B$19:$B$201),'Бланк OLD 0.8 04'!$B$12:$K$200,5,0)&gt;0),0.4,"")))),
IF(VLOOKUP($A508-COUNT('Шаг2.Бланк заказа NEW'!$B$19:$B$201)-COUNT('Бланк OLD 0.8 04'!$B$18:$B$200),'Бланк OLD 2.0 04 '!$B$16:$K$200,4,0)&gt;1,2,
IF(VLOOKUP($A508-COUNT('Шаг2.Бланк заказа NEW'!$B$19:$B$201)-COUNT('Бланк OLD 0.8 04'!$B$18:$B$200),'Бланк OLD 2.0 04 '!$B$16:$K$200,5,0)&gt;1,0.4,IF(AND(VLOOKUP($A508-COUNT('Шаг2.Бланк заказа NEW'!$B$19:$B$201)-COUNT('Бланк OLD 0.8 04'!$B$18:$B$200),'Бланк OLD 2.0 04 '!$B$16:$K$200,4,0)&gt;0,VLOOKUP($A508-COUNT('Шаг2.Бланк заказа NEW'!$B$19:$B$201)-COUNT('Бланк OLD 0.8 04'!$B$18:$B$200),'Бланк OLD 2.0 04 '!$B$16:$K$200,5,0)&gt;0),0.4,""))))</f>
        <v/>
      </c>
      <c r="T508" s="147" t="str">
        <f ca="1">IFERROR(IFERROR(IF(VLOOKUP($A508,'Шаг2.Бланк заказа NEW'!$B$17:$N$201,7,0)="","",VLOOKUP($A508,'Шаг2.Бланк заказа NEW'!$B$17:$N$201,7,0)),
IF(VLOOKUP($A508-COUNT('Шаг2.Бланк заказа NEW'!$B$19:$B$201),'Бланк OLD 0.8 04'!$B$12:$K$200,7,0)&gt;0,0.8,
IF(VLOOKUP($A508-COUNT('Шаг2.Бланк заказа NEW'!$B$19:$B$201),'Бланк OLD 0.8 04'!$B$12:$K$200,8,0)&gt;0,0.4,""))),
IF(VLOOKUP($A508-COUNT('Шаг2.Бланк заказа NEW'!$B$19:$B$201)-COUNT('Бланк OLD 0.8 04'!$B$18:$B$200),'Бланк OLD 2.0 04 '!$B$16:$K$200,7,0)&gt;0,2,IF(VLOOKUP($A508-COUNT('Шаг2.Бланк заказа NEW'!$B$19:$B$201)-COUNT('Бланк OLD 0.8 04'!$B$18:$B$200),'Бланк OLD 2.0 04 '!$B$16:$K$200,8,0)&gt;0,0.4,"")))</f>
        <v/>
      </c>
      <c r="U508" s="147" t="str">
        <f ca="1">IFERROR(IFERROR(IF(VLOOKUP($A508,'Шаг2.Бланк заказа NEW'!$B$17:$N$201,8,0)="","",VLOOKUP($A508,'Шаг2.Бланк заказа NEW'!$B$17:$N$201,8,0)),
IF(VLOOKUP($A508-COUNT('Шаг2.Бланк заказа NEW'!$B$19:$B$201),'Бланк OLD 0.8 04'!$B$12:$K$200,7,0)&gt;1,0.8,
IF(VLOOKUP($A508-COUNT('Шаг2.Бланк заказа NEW'!$B$19:$B$201),'Бланк OLD 0.8 04'!$B$12:$K$200,8,0)&gt;1,0.4,
IF(AND(VLOOKUP($A508-COUNT('Шаг2.Бланк заказа NEW'!$B$19:$B$201),'Бланк OLD 0.8 04'!$B$12:$K$200,7,0)&gt;0,VLOOKUP($A508-COUNT('Шаг2.Бланк заказа NEW'!$B$19:$B$201),'Бланк OLD 0.8 04'!$B$12:$K$200,8,0)&gt;0),0.4,"")))),
IF(VLOOKUP($A508-COUNT('Шаг2.Бланк заказа NEW'!$B$19:$B$201)-COUNT('Бланк OLD 0.8 04'!$B$18:$B$200),'Бланк OLD 2.0 04 '!$B$16:$K$200,7,0)&gt;1,2,
IF(VLOOKUP($A508-COUNT('Шаг2.Бланк заказа NEW'!$B$19:$B$201)-COUNT('Бланк OLD 0.8 04'!$B$18:$B$200),'Бланк OLD 2.0 04 '!$B$16:$K$200,8,0)&gt;1,0.4,
IF(AND(VLOOKUP($A508-COUNT('Шаг2.Бланк заказа NEW'!$B$19:$B$201)-COUNT('Бланк OLD 0.8 04'!$B$18:$B$200),'Бланк OLD 2.0 04 '!$B$16:$K$200,7,0)&gt;0,VLOOKUP($A508-COUNT('Шаг2.Бланк заказа NEW'!$B$19:$B$201)-COUNT('Бланк OLD 0.8 04'!$B$18:$B$200),'Бланк OLD 2.0 04 '!$B$16:$K$200,8,0)&gt;0),0.4,""))))</f>
        <v/>
      </c>
      <c r="V508" s="146" t="str">
        <f ca="1">IFERROR(VLOOKUP(C508,'Шаг1.Выбор плиты'!C:S,12,0),"")</f>
        <v/>
      </c>
      <c r="W508" s="146" t="str">
        <f ca="1">IFERROR(VLOOKUP(C508,'Шаг1.Выбор плиты'!C:S,8,0),"")</f>
        <v/>
      </c>
      <c r="X508" s="146" t="str">
        <f ca="1">IFERROR(VLOOKUP(C508,'Шаг1.Выбор плиты'!C:S,10,0),"")</f>
        <v/>
      </c>
      <c r="Y508" s="147" t="str">
        <f t="shared" ca="1" si="46"/>
        <v/>
      </c>
      <c r="AD508" s="147" t="str">
        <f t="shared" ca="1" si="42"/>
        <v/>
      </c>
      <c r="AE508" s="147" t="str">
        <f t="shared" ca="1" si="47"/>
        <v/>
      </c>
      <c r="AF508" s="25"/>
      <c r="AH508" s="147" t="str">
        <f ca="1">IF(C508="","",VLOOKUP(C508,'Шаг1.Выбор плиты'!C:Q,7,0))</f>
        <v/>
      </c>
      <c r="AI508" s="147" t="str">
        <f t="shared" ca="1" si="45"/>
        <v/>
      </c>
    </row>
    <row r="509" spans="1:35" x14ac:dyDescent="0.2">
      <c r="A509" s="151" t="str">
        <f ca="1">IF(C509="","",MAX($A$1:OFFSET(C509,-1,0))+1)</f>
        <v/>
      </c>
      <c r="B509" s="151" t="str">
        <f ca="1">IFERROR(IFERROR(IFERROR("Шаг2.Бланк заказа NEW №"&amp;VLOOKUP(A508+1,CHOOSE({1,2},'Шаг2.Бланк заказа NEW'!$B$19:$B$201,'Шаг2.Бланк заказа NEW'!$A$19:$A$201),1,0),
"Бланк OLD 0.8 04 №"&amp;VLOOKUP(A508+1-COUNT('Шаг2.Бланк заказа NEW'!$B$19:$B$201),CHOOSE({1,2},'Бланк OLD 0.8 04'!$B$18:$B$200,'Бланк OLD 0.8 04'!$A$18:$A$200),1,0)),
"Бланк OLD 2.0 04 №"&amp;VLOOKUP(A508+1-COUNT('Шаг2.Бланк заказа NEW'!$B$19:$B$201)-COUNT('Бланк OLD 0.8 04'!$B$18:$B$200),CHOOSE({1,2},'Бланк OLD 2.0 04 '!$B$18:$B$200,'Бланк OLD 2.0 04 '!$A$18:$A$200),1,0)),"")</f>
        <v/>
      </c>
      <c r="C509" s="152" t="str">
        <f ca="1">IFERROR(IFERROR(IFERROR(VLOOKUP(A508+1,CHOOSE({1,2},'Шаг2.Бланк заказа NEW'!$B$19:$B$201,'Шаг2.Бланк заказа NEW'!$A$19:$A$201),2,0),
VLOOKUP(A508+1-COUNT('Шаг2.Бланк заказа NEW'!$B$19:$B$201),CHOOSE({1,2},'Бланк OLD 0.8 04'!$B$18:$B$200,'Бланк OLD 0.8 04'!$A$18:$A$200),2,0)),
VLOOKUP(A508+1-COUNT('Шаг2.Бланк заказа NEW'!$B$19:$B$201)-COUNT('Бланк OLD 0.8 04'!$B$18:$B$200),CHOOSE({1,2},'Бланк OLD 2.0 04 '!$B$18:$B$200,'Бланк OLD 2.0 04 '!$A$18:$A$200),2,0)),"")</f>
        <v/>
      </c>
      <c r="D509" s="150" t="str">
        <f ca="1">IFERROR(VLOOKUP(C509,'Шаг1.Выбор плиты'!C:G,5,0),"")</f>
        <v/>
      </c>
      <c r="E509" s="147" t="str">
        <f ca="1">IFERROR(IFERROR(IF(VLOOKUP($A509,'Шаг2.Бланк заказа NEW'!$B$17:$N$201,2,0)="","",VLOOKUP($A509,'Шаг2.Бланк заказа NEW'!$B$17:$N$201,2,0)),
IF(VLOOKUP($A509-COUNT('Шаг2.Бланк заказа NEW'!$B$19:$B$201),'Бланк OLD 0.8 04'!$B$12:$K$200,2,0)="","",VLOOKUP($A509-COUNT('Шаг2.Бланк заказа NEW'!$B$19:$B$201),'Бланк OLD 0.8 04'!$B$12:$K$200,2,0))),
IF(VLOOKUP($A509-COUNT('Шаг2.Бланк заказа NEW'!$B$19:$B$201)-COUNT('Бланк OLD 0.8 04'!$B$18:$B$200),'Бланк OLD 2.0 04 '!$B$16:$K$200,2,0)="","",VLOOKUP($A509-COUNT('Шаг2.Бланк заказа NEW'!$B$19:$B$201)-COUNT('Бланк OLD 0.8 04'!$B$18:$B$200),'Бланк OLD 2.0 04 '!$B$16:$K$200,2,0)))</f>
        <v/>
      </c>
      <c r="F509" s="147" t="str">
        <f ca="1">IFERROR(IFERROR(IF(VLOOKUP($A509,'Шаг2.Бланк заказа NEW'!$B$17:$N$201,3,0)="","",VLOOKUP($A509,'Шаг2.Бланк заказа NEW'!$B$17:$N$201,3,0)),
IF(VLOOKUP($A509-COUNT('Шаг2.Бланк заказа NEW'!$B$19:$B$201),'Бланк OLD 0.8 04'!$B$12:$K$200,3,0)="","",VLOOKUP($A509-COUNT('Шаг2.Бланк заказа NEW'!$B$19:$B$201),'Бланк OLD 0.8 04'!$B$12:$K$200,3,0))),
IF(VLOOKUP($A509-COUNT('Шаг2.Бланк заказа NEW'!$B$19:$B$201)-COUNT('Бланк OLD 0.8 04'!$B$18:$B$200),'Бланк OLD 2.0 04 '!$B$16:$K$200,3,0)="","",VLOOKUP($A509-COUNT('Шаг2.Бланк заказа NEW'!$B$19:$B$201)-COUNT('Бланк OLD 0.8 04'!$B$18:$B$200),'Бланк OLD 2.0 04 '!$B$16:$K$200,3,0)))</f>
        <v/>
      </c>
      <c r="G509" s="176" t="str">
        <f ca="1">IF(IF(R509="","",IF(R509=1,SUMIFS('Шаг1.Выбор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плиты'!C:Q,12,0)),1))))))=0,
R509,
IF(R509="","",IF(R509=1,SUMIFS('Шаг1.Выбор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плиты'!N:N,R509,'Шаг1.Выбор плиты'!M:M,SMALL(INDIRECT("мм"&amp;VLOOKUP(C509,'Шаг1.Выбор плиты'!C:Q,12,0)),1)))))))</f>
        <v/>
      </c>
      <c r="H509" s="177" t="str">
        <f ca="1">IF(IF(S509="","",IF(S509=1,SUMIFS('Шаг1.Выбор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плиты'!C:Q,12,0)),1))))))=0,
S509,
IF(S509="","",IF(S509=1,SUMIFS('Шаг1.Выбор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плиты'!N:N,S509,'Шаг1.Выбор плиты'!M:M,SMALL(INDIRECT("мм"&amp;VLOOKUP(C509,'Шаг1.Выбор плиты'!C:Q,12,0)),1)))))))</f>
        <v/>
      </c>
      <c r="I509" s="147" t="str">
        <f ca="1">IFERROR(IFERROR(IF(VLOOKUP($A509,'Шаг2.Бланк заказа NEW'!$B$17:$N$201,6,0)="","",VLOOKUP($A509,'Шаг2.Бланк заказа NEW'!$B$17:$N$201,6,0)),
IF(VLOOKUP($A509-COUNT('Шаг2.Бланк заказа NEW'!$B$19:$B$201),'Бланк OLD 0.8 04'!$B$12:$K$200,6,0)="","",VLOOKUP($A509-COUNT('Шаг2.Бланк заказа NEW'!$B$19:$B$201),'Бланк OLD 0.8 04'!$B$12:$K$200,6,0))),
IF(VLOOKUP($A509-COUNT('Шаг2.Бланк заказа NEW'!$B$19:$B$201)-COUNT('Бланк OLD 0.8 04'!$B$18:$B$200),'Бланк OLD 2.0 04 '!$B$16:$K$200,6,0)="","",VLOOKUP($A509-COUNT('Шаг2.Бланк заказа NEW'!$B$19:$B$201)-COUNT('Бланк OLD 0.8 04'!$B$18:$B$200),'Бланк OLD 2.0 04 '!$B$16:$K$200,6,0)))</f>
        <v/>
      </c>
      <c r="J509" s="177" t="str">
        <f ca="1">IF(IF(T509="","",IF(T509=1,SUMIFS('Шаг1.Выбор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плиты'!C:Q,12,0)),1))))))=0,
T509,
IF(T509="","",IF(T509=1,SUMIFS('Шаг1.Выбор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плиты'!N:N,T509,'Шаг1.Выбор плиты'!M:M,SMALL(INDIRECT("мм"&amp;VLOOKUP(C509,'Шаг1.Выбор плиты'!C:Q,12,0)),1)))))))</f>
        <v/>
      </c>
      <c r="K509" s="177" t="str">
        <f ca="1">IF(IF(U509="","",IF(U509=1,SUMIFS('Шаг1.Выбор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плиты'!C:Q,12,0)),1))))))=0,
U509,
IF(U509="","",IF(U509=1,SUMIFS('Шаг1.Выбор плиты'!$G:$G,'Шаг1.Выбор плиты'!J:J,"*"&amp;RIGHT(VLOOKUP(C509,'Шаг1.Выбор плиты'!C:Q,8,0),4),'Шаг1.Выбор плиты'!L:L,IF(MID(C509,1,6)="ЛДСП P","TM"&amp;MID(VLOOKUP(C509,'Шаг1.Выбор плиты'!C:Q,10,0),3,2),MID(VLOOKUP(C509,'Шаг1.Выбор плиты'!C:Q,10,0),1,2)),
'Шаг1.Выбор плиты'!N:N,1),IF(SUMIFS('Шаг1.Выбор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плиты'!C:Q,12,0)),1))=0,
IF(SUMIFS('Шаг1.Выбор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плиты'!C:Q,12,0)),2))=0,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плиты'!C:Q,12,0)),3)),
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плиты'!C:Q,12,0)),2))),
(SUMIFS('Шаг1.Выбор плиты'!$G:$G,'Шаг1.Выбор плиты'!J:J,"*"&amp;RIGHT(VLOOKUP(C509,'Шаг1.Выбор плиты'!C:Q,8,0),4),'Шаг1.Выбор плиты'!L:L,VLOOKUP(C509,'Шаг1.Выбор плиты'!C:Q,10,0),'Шаг1.Выбор плиты'!N:N,U509,'Шаг1.Выбор плиты'!M:M,SMALL(INDIRECT("мм"&amp;VLOOKUP(C509,'Шаг1.Выбор плиты'!C:Q,12,0)),1)))))))</f>
        <v/>
      </c>
      <c r="L509" s="147" t="str">
        <f ca="1">IFERROR(IFERROR(IF(VLOOKUP($A509,'Шаг2.Бланк заказа NEW'!$B$17:$N$201,9,0)="","",VLOOKUP($A509,'Шаг2.Бланк заказа NEW'!$B$17:$N$201,9,0)),
IF(VLOOKUP($A509-COUNT('Шаг2.Бланк заказа NEW'!$B$19:$B$201),'Бланк OLD 0.8 04'!$B$12:$K$200,9,0)="","",VLOOKUP($A509-COUNT('Шаг2.Бланк заказа NEW'!$B$19:$B$201),'Бланк OLD 0.8 04'!$B$12:$K$200,9,0))),
IF(VLOOKUP($A509-COUNT('Шаг2.Бланк заказа NEW'!$B$19:$B$201)-COUNT('Бланк OLD 0.8 04'!$B$18:$B$200),'Бланк OLD 2.0 04 '!$B$16:$K$200,9,0)="","",VLOOKUP($A509-COUNT('Шаг2.Бланк заказа NEW'!$B$19:$B$201)-COUNT('Бланк OLD 0.8 04'!$B$18:$B$200),'Бланк OLD 2.0 04 '!$B$16:$K$200,9,0)))</f>
        <v/>
      </c>
      <c r="M509" s="154" t="str">
        <f t="shared" ca="1" si="44"/>
        <v/>
      </c>
      <c r="N509" s="153" t="str">
        <f ca="1">IFERROR(IF(VLOOKUP($A509,'Шаг2.Бланк заказа NEW'!$B$17:$N$201,11,0)="","",VLOOKUP($A509,'Шаг2.Бланк заказа NEW'!$B$17:$N$201,11,0)),
"Нет")</f>
        <v/>
      </c>
      <c r="O509" s="147" t="str">
        <f ca="1">IFERROR(IF(VLOOKUP($A509,'Шаг2.Бланк заказа NEW'!$B$17:$N$201,11,0)="","",VLOOKUP($A509,'Шаг2.Бланк заказа NEW'!$B$17:$N$201,12,0)),
"Нет")</f>
        <v/>
      </c>
      <c r="P509" s="153" t="str">
        <f ca="1">IFERROR(IF(VLOOKUP($A509,'Шаг2.Бланк заказа NEW'!$B$17:$N$201,13,0)="","",VLOOKUP($A509,'Шаг2.Бланк заказа NEW'!$B$17:$N$201,13,0)),
"Нет")</f>
        <v/>
      </c>
      <c r="Q509" s="147" t="str">
        <f ca="1">IFERROR(IF(VLOOKUP($A509,'Шаг2.Бланк заказа NEW'!$B$17:$O$201,14,0)="","",VLOOKUP($A509,'Шаг2.Бланк заказа NEW'!$B$17:$O$201,14,0)),"")</f>
        <v/>
      </c>
      <c r="R509" s="147" t="str">
        <f ca="1">IFERROR(IFERROR(IF(VLOOKUP($A509,'Шаг2.Бланк заказа NEW'!$B$17:$N$201,4,0)="","",VLOOKUP($A509,'Шаг2.Бланк заказа NEW'!$B$17:$N$201,4,0)),
IF(VLOOKUP($A509-COUNT('Шаг2.Бланк заказа NEW'!$B$19:$B$201),'Бланк OLD 0.8 04'!$B$12:$K$200,4,0)&gt;0,0.8,
IF(VLOOKUP($A509-COUNT('Шаг2.Бланк заказа NEW'!$B$19:$B$201),'Бланк OLD 0.8 04'!$B$12:$K$200,5,0)&gt;0,0.4,""))),
IF(VLOOKUP($A509-COUNT('Шаг2.Бланк заказа NEW'!$B$19:$B$201)-COUNT('Бланк OLD 0.8 04'!$B$18:$B$200),'Бланк OLD 2.0 04 '!$B$16:$K$200,4,0)&gt;0,2,IF(VLOOKUP($A509-COUNT('Шаг2.Бланк заказа NEW'!$B$19:$B$201)-COUNT('Бланк OLD 0.8 04'!$B$18:$B$200),'Бланк OLD 2.0 04 '!$B$16:$K$200,5,0)&gt;0,0.4,"")))</f>
        <v/>
      </c>
      <c r="S509" s="147" t="str">
        <f ca="1">IFERROR(IFERROR(IF(VLOOKUP($A509,'Шаг2.Бланк заказа NEW'!$B$17:$N$201,5,0)="","",VLOOKUP($A509,'Шаг2.Бланк заказа NEW'!$B$17:$N$201,5,0)),
IF(VLOOKUP($A509-COUNT('Шаг2.Бланк заказа NEW'!$B$19:$B$201),'Бланк OLD 0.8 04'!$B$12:$K$200,4,0)&gt;1,0.8,
IF(VLOOKUP($A509-COUNT('Шаг2.Бланк заказа NEW'!$B$19:$B$201),'Бланк OLD 0.8 04'!$B$12:$K$200,5,0)&gt;1,0.4,
IF(AND(VLOOKUP($A509-COUNT('Шаг2.Бланк заказа NEW'!$B$19:$B$201),'Бланк OLD 0.8 04'!$B$12:$K$200,4,0)&gt;0,VLOOKUP($A509-COUNT('Шаг2.Бланк заказа NEW'!$B$19:$B$201),'Бланк OLD 0.8 04'!$B$12:$K$200,5,0)&gt;0),0.4,"")))),
IF(VLOOKUP($A509-COUNT('Шаг2.Бланк заказа NEW'!$B$19:$B$201)-COUNT('Бланк OLD 0.8 04'!$B$18:$B$200),'Бланк OLD 2.0 04 '!$B$16:$K$200,4,0)&gt;1,2,
IF(VLOOKUP($A509-COUNT('Шаг2.Бланк заказа NEW'!$B$19:$B$201)-COUNT('Бланк OLD 0.8 04'!$B$18:$B$200),'Бланк OLD 2.0 04 '!$B$16:$K$200,5,0)&gt;1,0.4,IF(AND(VLOOKUP($A509-COUNT('Шаг2.Бланк заказа NEW'!$B$19:$B$201)-COUNT('Бланк OLD 0.8 04'!$B$18:$B$200),'Бланк OLD 2.0 04 '!$B$16:$K$200,4,0)&gt;0,VLOOKUP($A509-COUNT('Шаг2.Бланк заказа NEW'!$B$19:$B$201)-COUNT('Бланк OLD 0.8 04'!$B$18:$B$200),'Бланк OLD 2.0 04 '!$B$16:$K$200,5,0)&gt;0),0.4,""))))</f>
        <v/>
      </c>
      <c r="T509" s="147" t="str">
        <f ca="1">IFERROR(IFERROR(IF(VLOOKUP($A509,'Шаг2.Бланк заказа NEW'!$B$17:$N$201,7,0)="","",VLOOKUP($A509,'Шаг2.Бланк заказа NEW'!$B$17:$N$201,7,0)),
IF(VLOOKUP($A509-COUNT('Шаг2.Бланк заказа NEW'!$B$19:$B$201),'Бланк OLD 0.8 04'!$B$12:$K$200,7,0)&gt;0,0.8,
IF(VLOOKUP($A509-COUNT('Шаг2.Бланк заказа NEW'!$B$19:$B$201),'Бланк OLD 0.8 04'!$B$12:$K$200,8,0)&gt;0,0.4,""))),
IF(VLOOKUP($A509-COUNT('Шаг2.Бланк заказа NEW'!$B$19:$B$201)-COUNT('Бланк OLD 0.8 04'!$B$18:$B$200),'Бланк OLD 2.0 04 '!$B$16:$K$200,7,0)&gt;0,2,IF(VLOOKUP($A509-COUNT('Шаг2.Бланк заказа NEW'!$B$19:$B$201)-COUNT('Бланк OLD 0.8 04'!$B$18:$B$200),'Бланк OLD 2.0 04 '!$B$16:$K$200,8,0)&gt;0,0.4,"")))</f>
        <v/>
      </c>
      <c r="U509" s="147" t="str">
        <f ca="1">IFERROR(IFERROR(IF(VLOOKUP($A509,'Шаг2.Бланк заказа NEW'!$B$17:$N$201,8,0)="","",VLOOKUP($A509,'Шаг2.Бланк заказа NEW'!$B$17:$N$201,8,0)),
IF(VLOOKUP($A509-COUNT('Шаг2.Бланк заказа NEW'!$B$19:$B$201),'Бланк OLD 0.8 04'!$B$12:$K$200,7,0)&gt;1,0.8,
IF(VLOOKUP($A509-COUNT('Шаг2.Бланк заказа NEW'!$B$19:$B$201),'Бланк OLD 0.8 04'!$B$12:$K$200,8,0)&gt;1,0.4,
IF(AND(VLOOKUP($A509-COUNT('Шаг2.Бланк заказа NEW'!$B$19:$B$201),'Бланк OLD 0.8 04'!$B$12:$K$200,7,0)&gt;0,VLOOKUP($A509-COUNT('Шаг2.Бланк заказа NEW'!$B$19:$B$201),'Бланк OLD 0.8 04'!$B$12:$K$200,8,0)&gt;0),0.4,"")))),
IF(VLOOKUP($A509-COUNT('Шаг2.Бланк заказа NEW'!$B$19:$B$201)-COUNT('Бланк OLD 0.8 04'!$B$18:$B$200),'Бланк OLD 2.0 04 '!$B$16:$K$200,7,0)&gt;1,2,
IF(VLOOKUP($A509-COUNT('Шаг2.Бланк заказа NEW'!$B$19:$B$201)-COUNT('Бланк OLD 0.8 04'!$B$18:$B$200),'Бланк OLD 2.0 04 '!$B$16:$K$200,8,0)&gt;1,0.4,
IF(AND(VLOOKUP($A509-COUNT('Шаг2.Бланк заказа NEW'!$B$19:$B$201)-COUNT('Бланк OLD 0.8 04'!$B$18:$B$200),'Бланк OLD 2.0 04 '!$B$16:$K$200,7,0)&gt;0,VLOOKUP($A509-COUNT('Шаг2.Бланк заказа NEW'!$B$19:$B$201)-COUNT('Бланк OLD 0.8 04'!$B$18:$B$200),'Бланк OLD 2.0 04 '!$B$16:$K$200,8,0)&gt;0),0.4,""))))</f>
        <v/>
      </c>
      <c r="V509" s="146" t="str">
        <f ca="1">IFERROR(VLOOKUP(C509,'Шаг1.Выбор плиты'!C:S,12,0),"")</f>
        <v/>
      </c>
      <c r="W509" s="146" t="str">
        <f ca="1">IFERROR(VLOOKUP(C509,'Шаг1.Выбор плиты'!C:S,8,0),"")</f>
        <v/>
      </c>
      <c r="X509" s="146" t="str">
        <f ca="1">IFERROR(VLOOKUP(C509,'Шаг1.Выбор плиты'!C:S,10,0),"")</f>
        <v/>
      </c>
      <c r="Y509" s="147" t="str">
        <f t="shared" ca="1" si="46"/>
        <v/>
      </c>
      <c r="AD509" s="147" t="str">
        <f t="shared" ref="AD509:AD572" ca="1" si="48">IF(C509="","",0)</f>
        <v/>
      </c>
      <c r="AE509" s="147" t="str">
        <f t="shared" ca="1" si="47"/>
        <v/>
      </c>
      <c r="AF509" s="25"/>
      <c r="AH509" s="147" t="str">
        <f ca="1">IF(C509="","",VLOOKUP(C509,'Шаг1.Выбор плиты'!C:Q,7,0))</f>
        <v/>
      </c>
      <c r="AI509" s="147" t="str">
        <f t="shared" ca="1" si="45"/>
        <v/>
      </c>
    </row>
    <row r="510" spans="1:35" x14ac:dyDescent="0.2">
      <c r="A510" s="151" t="str">
        <f ca="1">IF(C510="","",MAX($A$1:OFFSET(C510,-1,0))+1)</f>
        <v/>
      </c>
      <c r="B510" s="151" t="str">
        <f ca="1">IFERROR(IFERROR(IFERROR("Шаг2.Бланк заказа NEW №"&amp;VLOOKUP(A509+1,CHOOSE({1,2},'Шаг2.Бланк заказа NEW'!$B$19:$B$201,'Шаг2.Бланк заказа NEW'!$A$19:$A$201),1,0),
"Бланк OLD 0.8 04 №"&amp;VLOOKUP(A509+1-COUNT('Шаг2.Бланк заказа NEW'!$B$19:$B$201),CHOOSE({1,2},'Бланк OLD 0.8 04'!$B$18:$B$200,'Бланк OLD 0.8 04'!$A$18:$A$200),1,0)),
"Бланк OLD 2.0 04 №"&amp;VLOOKUP(A509+1-COUNT('Шаг2.Бланк заказа NEW'!$B$19:$B$201)-COUNT('Бланк OLD 0.8 04'!$B$18:$B$200),CHOOSE({1,2},'Бланк OLD 2.0 04 '!$B$18:$B$200,'Бланк OLD 2.0 04 '!$A$18:$A$200),1,0)),"")</f>
        <v/>
      </c>
      <c r="C510" s="152" t="str">
        <f ca="1">IFERROR(IFERROR(IFERROR(VLOOKUP(A509+1,CHOOSE({1,2},'Шаг2.Бланк заказа NEW'!$B$19:$B$201,'Шаг2.Бланк заказа NEW'!$A$19:$A$201),2,0),
VLOOKUP(A509+1-COUNT('Шаг2.Бланк заказа NEW'!$B$19:$B$201),CHOOSE({1,2},'Бланк OLD 0.8 04'!$B$18:$B$200,'Бланк OLD 0.8 04'!$A$18:$A$200),2,0)),
VLOOKUP(A509+1-COUNT('Шаг2.Бланк заказа NEW'!$B$19:$B$201)-COUNT('Бланк OLD 0.8 04'!$B$18:$B$200),CHOOSE({1,2},'Бланк OLD 2.0 04 '!$B$18:$B$200,'Бланк OLD 2.0 04 '!$A$18:$A$200),2,0)),"")</f>
        <v/>
      </c>
      <c r="D510" s="150" t="str">
        <f ca="1">IFERROR(VLOOKUP(C510,'Шаг1.Выбор плиты'!C:G,5,0),"")</f>
        <v/>
      </c>
      <c r="E510" s="147" t="str">
        <f ca="1">IFERROR(IFERROR(IF(VLOOKUP($A510,'Шаг2.Бланк заказа NEW'!$B$17:$N$201,2,0)="","",VLOOKUP($A510,'Шаг2.Бланк заказа NEW'!$B$17:$N$201,2,0)),
IF(VLOOKUP($A510-COUNT('Шаг2.Бланк заказа NEW'!$B$19:$B$201),'Бланк OLD 0.8 04'!$B$12:$K$200,2,0)="","",VLOOKUP($A510-COUNT('Шаг2.Бланк заказа NEW'!$B$19:$B$201),'Бланк OLD 0.8 04'!$B$12:$K$200,2,0))),
IF(VLOOKUP($A510-COUNT('Шаг2.Бланк заказа NEW'!$B$19:$B$201)-COUNT('Бланк OLD 0.8 04'!$B$18:$B$200),'Бланк OLD 2.0 04 '!$B$16:$K$200,2,0)="","",VLOOKUP($A510-COUNT('Шаг2.Бланк заказа NEW'!$B$19:$B$201)-COUNT('Бланк OLD 0.8 04'!$B$18:$B$200),'Бланк OLD 2.0 04 '!$B$16:$K$200,2,0)))</f>
        <v/>
      </c>
      <c r="F510" s="147" t="str">
        <f ca="1">IFERROR(IFERROR(IF(VLOOKUP($A510,'Шаг2.Бланк заказа NEW'!$B$17:$N$201,3,0)="","",VLOOKUP($A510,'Шаг2.Бланк заказа NEW'!$B$17:$N$201,3,0)),
IF(VLOOKUP($A510-COUNT('Шаг2.Бланк заказа NEW'!$B$19:$B$201),'Бланк OLD 0.8 04'!$B$12:$K$200,3,0)="","",VLOOKUP($A510-COUNT('Шаг2.Бланк заказа NEW'!$B$19:$B$201),'Бланк OLD 0.8 04'!$B$12:$K$200,3,0))),
IF(VLOOKUP($A510-COUNT('Шаг2.Бланк заказа NEW'!$B$19:$B$201)-COUNT('Бланк OLD 0.8 04'!$B$18:$B$200),'Бланк OLD 2.0 04 '!$B$16:$K$200,3,0)="","",VLOOKUP($A510-COUNT('Шаг2.Бланк заказа NEW'!$B$19:$B$201)-COUNT('Бланк OLD 0.8 04'!$B$18:$B$200),'Бланк OLD 2.0 04 '!$B$16:$K$200,3,0)))</f>
        <v/>
      </c>
      <c r="G510" s="176" t="str">
        <f ca="1">IF(IF(R510="","",IF(R510=1,SUMIFS('Шаг1.Выбор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плиты'!C:Q,12,0)),1))))))=0,
R510,
IF(R510="","",IF(R510=1,SUMIFS('Шаг1.Выбор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плиты'!N:N,R510,'Шаг1.Выбор плиты'!M:M,SMALL(INDIRECT("мм"&amp;VLOOKUP(C510,'Шаг1.Выбор плиты'!C:Q,12,0)),1)))))))</f>
        <v/>
      </c>
      <c r="H510" s="177" t="str">
        <f ca="1">IF(IF(S510="","",IF(S510=1,SUMIFS('Шаг1.Выбор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плиты'!C:Q,12,0)),1))))))=0,
S510,
IF(S510="","",IF(S510=1,SUMIFS('Шаг1.Выбор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плиты'!N:N,S510,'Шаг1.Выбор плиты'!M:M,SMALL(INDIRECT("мм"&amp;VLOOKUP(C510,'Шаг1.Выбор плиты'!C:Q,12,0)),1)))))))</f>
        <v/>
      </c>
      <c r="I510" s="147" t="str">
        <f ca="1">IFERROR(IFERROR(IF(VLOOKUP($A510,'Шаг2.Бланк заказа NEW'!$B$17:$N$201,6,0)="","",VLOOKUP($A510,'Шаг2.Бланк заказа NEW'!$B$17:$N$201,6,0)),
IF(VLOOKUP($A510-COUNT('Шаг2.Бланк заказа NEW'!$B$19:$B$201),'Бланк OLD 0.8 04'!$B$12:$K$200,6,0)="","",VLOOKUP($A510-COUNT('Шаг2.Бланк заказа NEW'!$B$19:$B$201),'Бланк OLD 0.8 04'!$B$12:$K$200,6,0))),
IF(VLOOKUP($A510-COUNT('Шаг2.Бланк заказа NEW'!$B$19:$B$201)-COUNT('Бланк OLD 0.8 04'!$B$18:$B$200),'Бланк OLD 2.0 04 '!$B$16:$K$200,6,0)="","",VLOOKUP($A510-COUNT('Шаг2.Бланк заказа NEW'!$B$19:$B$201)-COUNT('Бланк OLD 0.8 04'!$B$18:$B$200),'Бланк OLD 2.0 04 '!$B$16:$K$200,6,0)))</f>
        <v/>
      </c>
      <c r="J510" s="177" t="str">
        <f ca="1">IF(IF(T510="","",IF(T510=1,SUMIFS('Шаг1.Выбор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плиты'!C:Q,12,0)),1))))))=0,
T510,
IF(T510="","",IF(T510=1,SUMIFS('Шаг1.Выбор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плиты'!N:N,T510,'Шаг1.Выбор плиты'!M:M,SMALL(INDIRECT("мм"&amp;VLOOKUP(C510,'Шаг1.Выбор плиты'!C:Q,12,0)),1)))))))</f>
        <v/>
      </c>
      <c r="K510" s="177" t="str">
        <f ca="1">IF(IF(U510="","",IF(U510=1,SUMIFS('Шаг1.Выбор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плиты'!C:Q,12,0)),1))))))=0,
U510,
IF(U510="","",IF(U510=1,SUMIFS('Шаг1.Выбор плиты'!$G:$G,'Шаг1.Выбор плиты'!J:J,"*"&amp;RIGHT(VLOOKUP(C510,'Шаг1.Выбор плиты'!C:Q,8,0),4),'Шаг1.Выбор плиты'!L:L,IF(MID(C510,1,6)="ЛДСП P","TM"&amp;MID(VLOOKUP(C510,'Шаг1.Выбор плиты'!C:Q,10,0),3,2),MID(VLOOKUP(C510,'Шаг1.Выбор плиты'!C:Q,10,0),1,2)),
'Шаг1.Выбор плиты'!N:N,1),IF(SUMIFS('Шаг1.Выбор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плиты'!C:Q,12,0)),1))=0,
IF(SUMIFS('Шаг1.Выбор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плиты'!C:Q,12,0)),2))=0,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плиты'!C:Q,12,0)),3)),
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плиты'!C:Q,12,0)),2))),
(SUMIFS('Шаг1.Выбор плиты'!$G:$G,'Шаг1.Выбор плиты'!J:J,"*"&amp;RIGHT(VLOOKUP(C510,'Шаг1.Выбор плиты'!C:Q,8,0),4),'Шаг1.Выбор плиты'!L:L,VLOOKUP(C510,'Шаг1.Выбор плиты'!C:Q,10,0),'Шаг1.Выбор плиты'!N:N,U510,'Шаг1.Выбор плиты'!M:M,SMALL(INDIRECT("мм"&amp;VLOOKUP(C510,'Шаг1.Выбор плиты'!C:Q,12,0)),1)))))))</f>
        <v/>
      </c>
      <c r="L510" s="147" t="str">
        <f ca="1">IFERROR(IFERROR(IF(VLOOKUP($A510,'Шаг2.Бланк заказа NEW'!$B$17:$N$201,9,0)="","",VLOOKUP($A510,'Шаг2.Бланк заказа NEW'!$B$17:$N$201,9,0)),
IF(VLOOKUP($A510-COUNT('Шаг2.Бланк заказа NEW'!$B$19:$B$201),'Бланк OLD 0.8 04'!$B$12:$K$200,9,0)="","",VLOOKUP($A510-COUNT('Шаг2.Бланк заказа NEW'!$B$19:$B$201),'Бланк OLD 0.8 04'!$B$12:$K$200,9,0))),
IF(VLOOKUP($A510-COUNT('Шаг2.Бланк заказа NEW'!$B$19:$B$201)-COUNT('Бланк OLD 0.8 04'!$B$18:$B$200),'Бланк OLD 2.0 04 '!$B$16:$K$200,9,0)="","",VLOOKUP($A510-COUNT('Шаг2.Бланк заказа NEW'!$B$19:$B$201)-COUNT('Бланк OLD 0.8 04'!$B$18:$B$200),'Бланк OLD 2.0 04 '!$B$16:$K$200,9,0)))</f>
        <v/>
      </c>
      <c r="M510" s="154" t="str">
        <f t="shared" ca="1" si="44"/>
        <v/>
      </c>
      <c r="N510" s="153" t="str">
        <f ca="1">IFERROR(IF(VLOOKUP($A510,'Шаг2.Бланк заказа NEW'!$B$17:$N$201,11,0)="","",VLOOKUP($A510,'Шаг2.Бланк заказа NEW'!$B$17:$N$201,11,0)),
"Нет")</f>
        <v/>
      </c>
      <c r="O510" s="147" t="str">
        <f ca="1">IFERROR(IF(VLOOKUP($A510,'Шаг2.Бланк заказа NEW'!$B$17:$N$201,11,0)="","",VLOOKUP($A510,'Шаг2.Бланк заказа NEW'!$B$17:$N$201,12,0)),
"Нет")</f>
        <v/>
      </c>
      <c r="P510" s="153" t="str">
        <f ca="1">IFERROR(IF(VLOOKUP($A510,'Шаг2.Бланк заказа NEW'!$B$17:$N$201,13,0)="","",VLOOKUP($A510,'Шаг2.Бланк заказа NEW'!$B$17:$N$201,13,0)),
"Нет")</f>
        <v/>
      </c>
      <c r="Q510" s="147" t="str">
        <f ca="1">IFERROR(IF(VLOOKUP($A510,'Шаг2.Бланк заказа NEW'!$B$17:$O$201,14,0)="","",VLOOKUP($A510,'Шаг2.Бланк заказа NEW'!$B$17:$O$201,14,0)),"")</f>
        <v/>
      </c>
      <c r="R510" s="147" t="str">
        <f ca="1">IFERROR(IFERROR(IF(VLOOKUP($A510,'Шаг2.Бланк заказа NEW'!$B$17:$N$201,4,0)="","",VLOOKUP($A510,'Шаг2.Бланк заказа NEW'!$B$17:$N$201,4,0)),
IF(VLOOKUP($A510-COUNT('Шаг2.Бланк заказа NEW'!$B$19:$B$201),'Бланк OLD 0.8 04'!$B$12:$K$200,4,0)&gt;0,0.8,
IF(VLOOKUP($A510-COUNT('Шаг2.Бланк заказа NEW'!$B$19:$B$201),'Бланк OLD 0.8 04'!$B$12:$K$200,5,0)&gt;0,0.4,""))),
IF(VLOOKUP($A510-COUNT('Шаг2.Бланк заказа NEW'!$B$19:$B$201)-COUNT('Бланк OLD 0.8 04'!$B$18:$B$200),'Бланк OLD 2.0 04 '!$B$16:$K$200,4,0)&gt;0,2,IF(VLOOKUP($A510-COUNT('Шаг2.Бланк заказа NEW'!$B$19:$B$201)-COUNT('Бланк OLD 0.8 04'!$B$18:$B$200),'Бланк OLD 2.0 04 '!$B$16:$K$200,5,0)&gt;0,0.4,"")))</f>
        <v/>
      </c>
      <c r="S510" s="147" t="str">
        <f ca="1">IFERROR(IFERROR(IF(VLOOKUP($A510,'Шаг2.Бланк заказа NEW'!$B$17:$N$201,5,0)="","",VLOOKUP($A510,'Шаг2.Бланк заказа NEW'!$B$17:$N$201,5,0)),
IF(VLOOKUP($A510-COUNT('Шаг2.Бланк заказа NEW'!$B$19:$B$201),'Бланк OLD 0.8 04'!$B$12:$K$200,4,0)&gt;1,0.8,
IF(VLOOKUP($A510-COUNT('Шаг2.Бланк заказа NEW'!$B$19:$B$201),'Бланк OLD 0.8 04'!$B$12:$K$200,5,0)&gt;1,0.4,
IF(AND(VLOOKUP($A510-COUNT('Шаг2.Бланк заказа NEW'!$B$19:$B$201),'Бланк OLD 0.8 04'!$B$12:$K$200,4,0)&gt;0,VLOOKUP($A510-COUNT('Шаг2.Бланк заказа NEW'!$B$19:$B$201),'Бланк OLD 0.8 04'!$B$12:$K$200,5,0)&gt;0),0.4,"")))),
IF(VLOOKUP($A510-COUNT('Шаг2.Бланк заказа NEW'!$B$19:$B$201)-COUNT('Бланк OLD 0.8 04'!$B$18:$B$200),'Бланк OLD 2.0 04 '!$B$16:$K$200,4,0)&gt;1,2,
IF(VLOOKUP($A510-COUNT('Шаг2.Бланк заказа NEW'!$B$19:$B$201)-COUNT('Бланк OLD 0.8 04'!$B$18:$B$200),'Бланк OLD 2.0 04 '!$B$16:$K$200,5,0)&gt;1,0.4,IF(AND(VLOOKUP($A510-COUNT('Шаг2.Бланк заказа NEW'!$B$19:$B$201)-COUNT('Бланк OLD 0.8 04'!$B$18:$B$200),'Бланк OLD 2.0 04 '!$B$16:$K$200,4,0)&gt;0,VLOOKUP($A510-COUNT('Шаг2.Бланк заказа NEW'!$B$19:$B$201)-COUNT('Бланк OLD 0.8 04'!$B$18:$B$200),'Бланк OLD 2.0 04 '!$B$16:$K$200,5,0)&gt;0),0.4,""))))</f>
        <v/>
      </c>
      <c r="T510" s="147" t="str">
        <f ca="1">IFERROR(IFERROR(IF(VLOOKUP($A510,'Шаг2.Бланк заказа NEW'!$B$17:$N$201,7,0)="","",VLOOKUP($A510,'Шаг2.Бланк заказа NEW'!$B$17:$N$201,7,0)),
IF(VLOOKUP($A510-COUNT('Шаг2.Бланк заказа NEW'!$B$19:$B$201),'Бланк OLD 0.8 04'!$B$12:$K$200,7,0)&gt;0,0.8,
IF(VLOOKUP($A510-COUNT('Шаг2.Бланк заказа NEW'!$B$19:$B$201),'Бланк OLD 0.8 04'!$B$12:$K$200,8,0)&gt;0,0.4,""))),
IF(VLOOKUP($A510-COUNT('Шаг2.Бланк заказа NEW'!$B$19:$B$201)-COUNT('Бланк OLD 0.8 04'!$B$18:$B$200),'Бланк OLD 2.0 04 '!$B$16:$K$200,7,0)&gt;0,2,IF(VLOOKUP($A510-COUNT('Шаг2.Бланк заказа NEW'!$B$19:$B$201)-COUNT('Бланк OLD 0.8 04'!$B$18:$B$200),'Бланк OLD 2.0 04 '!$B$16:$K$200,8,0)&gt;0,0.4,"")))</f>
        <v/>
      </c>
      <c r="U510" s="147" t="str">
        <f ca="1">IFERROR(IFERROR(IF(VLOOKUP($A510,'Шаг2.Бланк заказа NEW'!$B$17:$N$201,8,0)="","",VLOOKUP($A510,'Шаг2.Бланк заказа NEW'!$B$17:$N$201,8,0)),
IF(VLOOKUP($A510-COUNT('Шаг2.Бланк заказа NEW'!$B$19:$B$201),'Бланк OLD 0.8 04'!$B$12:$K$200,7,0)&gt;1,0.8,
IF(VLOOKUP($A510-COUNT('Шаг2.Бланк заказа NEW'!$B$19:$B$201),'Бланк OLD 0.8 04'!$B$12:$K$200,8,0)&gt;1,0.4,
IF(AND(VLOOKUP($A510-COUNT('Шаг2.Бланк заказа NEW'!$B$19:$B$201),'Бланк OLD 0.8 04'!$B$12:$K$200,7,0)&gt;0,VLOOKUP($A510-COUNT('Шаг2.Бланк заказа NEW'!$B$19:$B$201),'Бланк OLD 0.8 04'!$B$12:$K$200,8,0)&gt;0),0.4,"")))),
IF(VLOOKUP($A510-COUNT('Шаг2.Бланк заказа NEW'!$B$19:$B$201)-COUNT('Бланк OLD 0.8 04'!$B$18:$B$200),'Бланк OLD 2.0 04 '!$B$16:$K$200,7,0)&gt;1,2,
IF(VLOOKUP($A510-COUNT('Шаг2.Бланк заказа NEW'!$B$19:$B$201)-COUNT('Бланк OLD 0.8 04'!$B$18:$B$200),'Бланк OLD 2.0 04 '!$B$16:$K$200,8,0)&gt;1,0.4,
IF(AND(VLOOKUP($A510-COUNT('Шаг2.Бланк заказа NEW'!$B$19:$B$201)-COUNT('Бланк OLD 0.8 04'!$B$18:$B$200),'Бланк OLD 2.0 04 '!$B$16:$K$200,7,0)&gt;0,VLOOKUP($A510-COUNT('Шаг2.Бланк заказа NEW'!$B$19:$B$201)-COUNT('Бланк OLD 0.8 04'!$B$18:$B$200),'Бланк OLD 2.0 04 '!$B$16:$K$200,8,0)&gt;0),0.4,""))))</f>
        <v/>
      </c>
      <c r="V510" s="146" t="str">
        <f ca="1">IFERROR(VLOOKUP(C510,'Шаг1.Выбор плиты'!C:S,12,0),"")</f>
        <v/>
      </c>
      <c r="W510" s="146" t="str">
        <f ca="1">IFERROR(VLOOKUP(C510,'Шаг1.Выбор плиты'!C:S,8,0),"")</f>
        <v/>
      </c>
      <c r="X510" s="146" t="str">
        <f ca="1">IFERROR(VLOOKUP(C510,'Шаг1.Выбор плиты'!C:S,10,0),"")</f>
        <v/>
      </c>
      <c r="Y510" s="147" t="str">
        <f t="shared" ca="1" si="46"/>
        <v/>
      </c>
      <c r="AD510" s="147" t="str">
        <f t="shared" ca="1" si="48"/>
        <v/>
      </c>
      <c r="AE510" s="147" t="str">
        <f t="shared" ca="1" si="47"/>
        <v/>
      </c>
      <c r="AF510" s="25"/>
      <c r="AH510" s="147" t="str">
        <f ca="1">IF(C510="","",VLOOKUP(C510,'Шаг1.Выбор плиты'!C:Q,7,0))</f>
        <v/>
      </c>
      <c r="AI510" s="147" t="str">
        <f t="shared" ca="1" si="45"/>
        <v/>
      </c>
    </row>
    <row r="511" spans="1:35" x14ac:dyDescent="0.2">
      <c r="A511" s="151" t="str">
        <f ca="1">IF(C511="","",MAX($A$1:OFFSET(C511,-1,0))+1)</f>
        <v/>
      </c>
      <c r="B511" s="151" t="str">
        <f ca="1">IFERROR(IFERROR(IFERROR("Шаг2.Бланк заказа NEW №"&amp;VLOOKUP(A510+1,CHOOSE({1,2},'Шаг2.Бланк заказа NEW'!$B$19:$B$201,'Шаг2.Бланк заказа NEW'!$A$19:$A$201),1,0),
"Бланк OLD 0.8 04 №"&amp;VLOOKUP(A510+1-COUNT('Шаг2.Бланк заказа NEW'!$B$19:$B$201),CHOOSE({1,2},'Бланк OLD 0.8 04'!$B$18:$B$200,'Бланк OLD 0.8 04'!$A$18:$A$200),1,0)),
"Бланк OLD 2.0 04 №"&amp;VLOOKUP(A510+1-COUNT('Шаг2.Бланк заказа NEW'!$B$19:$B$201)-COUNT('Бланк OLD 0.8 04'!$B$18:$B$200),CHOOSE({1,2},'Бланк OLD 2.0 04 '!$B$18:$B$200,'Бланк OLD 2.0 04 '!$A$18:$A$200),1,0)),"")</f>
        <v/>
      </c>
      <c r="C511" s="152" t="str">
        <f ca="1">IFERROR(IFERROR(IFERROR(VLOOKUP(A510+1,CHOOSE({1,2},'Шаг2.Бланк заказа NEW'!$B$19:$B$201,'Шаг2.Бланк заказа NEW'!$A$19:$A$201),2,0),
VLOOKUP(A510+1-COUNT('Шаг2.Бланк заказа NEW'!$B$19:$B$201),CHOOSE({1,2},'Бланк OLD 0.8 04'!$B$18:$B$200,'Бланк OLD 0.8 04'!$A$18:$A$200),2,0)),
VLOOKUP(A510+1-COUNT('Шаг2.Бланк заказа NEW'!$B$19:$B$201)-COUNT('Бланк OLD 0.8 04'!$B$18:$B$200),CHOOSE({1,2},'Бланк OLD 2.0 04 '!$B$18:$B$200,'Бланк OLD 2.0 04 '!$A$18:$A$200),2,0)),"")</f>
        <v/>
      </c>
      <c r="D511" s="150" t="str">
        <f ca="1">IFERROR(VLOOKUP(C511,'Шаг1.Выбор плиты'!C:G,5,0),"")</f>
        <v/>
      </c>
      <c r="E511" s="147" t="str">
        <f ca="1">IFERROR(IFERROR(IF(VLOOKUP($A511,'Шаг2.Бланк заказа NEW'!$B$17:$N$201,2,0)="","",VLOOKUP($A511,'Шаг2.Бланк заказа NEW'!$B$17:$N$201,2,0)),
IF(VLOOKUP($A511-COUNT('Шаг2.Бланк заказа NEW'!$B$19:$B$201),'Бланк OLD 0.8 04'!$B$12:$K$200,2,0)="","",VLOOKUP($A511-COUNT('Шаг2.Бланк заказа NEW'!$B$19:$B$201),'Бланк OLD 0.8 04'!$B$12:$K$200,2,0))),
IF(VLOOKUP($A511-COUNT('Шаг2.Бланк заказа NEW'!$B$19:$B$201)-COUNT('Бланк OLD 0.8 04'!$B$18:$B$200),'Бланк OLD 2.0 04 '!$B$16:$K$200,2,0)="","",VLOOKUP($A511-COUNT('Шаг2.Бланк заказа NEW'!$B$19:$B$201)-COUNT('Бланк OLD 0.8 04'!$B$18:$B$200),'Бланк OLD 2.0 04 '!$B$16:$K$200,2,0)))</f>
        <v/>
      </c>
      <c r="F511" s="147" t="str">
        <f ca="1">IFERROR(IFERROR(IF(VLOOKUP($A511,'Шаг2.Бланк заказа NEW'!$B$17:$N$201,3,0)="","",VLOOKUP($A511,'Шаг2.Бланк заказа NEW'!$B$17:$N$201,3,0)),
IF(VLOOKUP($A511-COUNT('Шаг2.Бланк заказа NEW'!$B$19:$B$201),'Бланк OLD 0.8 04'!$B$12:$K$200,3,0)="","",VLOOKUP($A511-COUNT('Шаг2.Бланк заказа NEW'!$B$19:$B$201),'Бланк OLD 0.8 04'!$B$12:$K$200,3,0))),
IF(VLOOKUP($A511-COUNT('Шаг2.Бланк заказа NEW'!$B$19:$B$201)-COUNT('Бланк OLD 0.8 04'!$B$18:$B$200),'Бланк OLD 2.0 04 '!$B$16:$K$200,3,0)="","",VLOOKUP($A511-COUNT('Шаг2.Бланк заказа NEW'!$B$19:$B$201)-COUNT('Бланк OLD 0.8 04'!$B$18:$B$200),'Бланк OLD 2.0 04 '!$B$16:$K$200,3,0)))</f>
        <v/>
      </c>
      <c r="G511" s="176" t="str">
        <f ca="1">IF(IF(R511="","",IF(R511=1,SUMIFS('Шаг1.Выбор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плиты'!C:Q,12,0)),1))))))=0,
R511,
IF(R511="","",IF(R511=1,SUMIFS('Шаг1.Выбор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плиты'!N:N,R511,'Шаг1.Выбор плиты'!M:M,SMALL(INDIRECT("мм"&amp;VLOOKUP(C511,'Шаг1.Выбор плиты'!C:Q,12,0)),1)))))))</f>
        <v/>
      </c>
      <c r="H511" s="177" t="str">
        <f ca="1">IF(IF(S511="","",IF(S511=1,SUMIFS('Шаг1.Выбор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плиты'!C:Q,12,0)),1))))))=0,
S511,
IF(S511="","",IF(S511=1,SUMIFS('Шаг1.Выбор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плиты'!N:N,S511,'Шаг1.Выбор плиты'!M:M,SMALL(INDIRECT("мм"&amp;VLOOKUP(C511,'Шаг1.Выбор плиты'!C:Q,12,0)),1)))))))</f>
        <v/>
      </c>
      <c r="I511" s="147" t="str">
        <f ca="1">IFERROR(IFERROR(IF(VLOOKUP($A511,'Шаг2.Бланк заказа NEW'!$B$17:$N$201,6,0)="","",VLOOKUP($A511,'Шаг2.Бланк заказа NEW'!$B$17:$N$201,6,0)),
IF(VLOOKUP($A511-COUNT('Шаг2.Бланк заказа NEW'!$B$19:$B$201),'Бланк OLD 0.8 04'!$B$12:$K$200,6,0)="","",VLOOKUP($A511-COUNT('Шаг2.Бланк заказа NEW'!$B$19:$B$201),'Бланк OLD 0.8 04'!$B$12:$K$200,6,0))),
IF(VLOOKUP($A511-COUNT('Шаг2.Бланк заказа NEW'!$B$19:$B$201)-COUNT('Бланк OLD 0.8 04'!$B$18:$B$200),'Бланк OLD 2.0 04 '!$B$16:$K$200,6,0)="","",VLOOKUP($A511-COUNT('Шаг2.Бланк заказа NEW'!$B$19:$B$201)-COUNT('Бланк OLD 0.8 04'!$B$18:$B$200),'Бланк OLD 2.0 04 '!$B$16:$K$200,6,0)))</f>
        <v/>
      </c>
      <c r="J511" s="177" t="str">
        <f ca="1">IF(IF(T511="","",IF(T511=1,SUMIFS('Шаг1.Выбор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плиты'!C:Q,12,0)),1))))))=0,
T511,
IF(T511="","",IF(T511=1,SUMIFS('Шаг1.Выбор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плиты'!N:N,T511,'Шаг1.Выбор плиты'!M:M,SMALL(INDIRECT("мм"&amp;VLOOKUP(C511,'Шаг1.Выбор плиты'!C:Q,12,0)),1)))))))</f>
        <v/>
      </c>
      <c r="K511" s="177" t="str">
        <f ca="1">IF(IF(U511="","",IF(U511=1,SUMIFS('Шаг1.Выбор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плиты'!C:Q,12,0)),1))))))=0,
U511,
IF(U511="","",IF(U511=1,SUMIFS('Шаг1.Выбор плиты'!$G:$G,'Шаг1.Выбор плиты'!J:J,"*"&amp;RIGHT(VLOOKUP(C511,'Шаг1.Выбор плиты'!C:Q,8,0),4),'Шаг1.Выбор плиты'!L:L,IF(MID(C511,1,6)="ЛДСП P","TM"&amp;MID(VLOOKUP(C511,'Шаг1.Выбор плиты'!C:Q,10,0),3,2),MID(VLOOKUP(C511,'Шаг1.Выбор плиты'!C:Q,10,0),1,2)),
'Шаг1.Выбор плиты'!N:N,1),IF(SUMIFS('Шаг1.Выбор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плиты'!C:Q,12,0)),1))=0,
IF(SUMIFS('Шаг1.Выбор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плиты'!C:Q,12,0)),2))=0,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плиты'!C:Q,12,0)),3)),
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плиты'!C:Q,12,0)),2))),
(SUMIFS('Шаг1.Выбор плиты'!$G:$G,'Шаг1.Выбор плиты'!J:J,"*"&amp;RIGHT(VLOOKUP(C511,'Шаг1.Выбор плиты'!C:Q,8,0),4),'Шаг1.Выбор плиты'!L:L,VLOOKUP(C511,'Шаг1.Выбор плиты'!C:Q,10,0),'Шаг1.Выбор плиты'!N:N,U511,'Шаг1.Выбор плиты'!M:M,SMALL(INDIRECT("мм"&amp;VLOOKUP(C511,'Шаг1.Выбор плиты'!C:Q,12,0)),1)))))))</f>
        <v/>
      </c>
      <c r="L511" s="147" t="str">
        <f ca="1">IFERROR(IFERROR(IF(VLOOKUP($A511,'Шаг2.Бланк заказа NEW'!$B$17:$N$201,9,0)="","",VLOOKUP($A511,'Шаг2.Бланк заказа NEW'!$B$17:$N$201,9,0)),
IF(VLOOKUP($A511-COUNT('Шаг2.Бланк заказа NEW'!$B$19:$B$201),'Бланк OLD 0.8 04'!$B$12:$K$200,9,0)="","",VLOOKUP($A511-COUNT('Шаг2.Бланк заказа NEW'!$B$19:$B$201),'Бланк OLD 0.8 04'!$B$12:$K$200,9,0))),
IF(VLOOKUP($A511-COUNT('Шаг2.Бланк заказа NEW'!$B$19:$B$201)-COUNT('Бланк OLD 0.8 04'!$B$18:$B$200),'Бланк OLD 2.0 04 '!$B$16:$K$200,9,0)="","",VLOOKUP($A511-COUNT('Шаг2.Бланк заказа NEW'!$B$19:$B$201)-COUNT('Бланк OLD 0.8 04'!$B$18:$B$200),'Бланк OLD 2.0 04 '!$B$16:$K$200,9,0)))</f>
        <v/>
      </c>
      <c r="M511" s="154" t="str">
        <f t="shared" ca="1" si="44"/>
        <v/>
      </c>
      <c r="N511" s="153" t="str">
        <f ca="1">IFERROR(IF(VLOOKUP($A511,'Шаг2.Бланк заказа NEW'!$B$17:$N$201,11,0)="","",VLOOKUP($A511,'Шаг2.Бланк заказа NEW'!$B$17:$N$201,11,0)),
"Нет")</f>
        <v/>
      </c>
      <c r="O511" s="147" t="str">
        <f ca="1">IFERROR(IF(VLOOKUP($A511,'Шаг2.Бланк заказа NEW'!$B$17:$N$201,11,0)="","",VLOOKUP($A511,'Шаг2.Бланк заказа NEW'!$B$17:$N$201,12,0)),
"Нет")</f>
        <v/>
      </c>
      <c r="P511" s="153" t="str">
        <f ca="1">IFERROR(IF(VLOOKUP($A511,'Шаг2.Бланк заказа NEW'!$B$17:$N$201,13,0)="","",VLOOKUP($A511,'Шаг2.Бланк заказа NEW'!$B$17:$N$201,13,0)),
"Нет")</f>
        <v/>
      </c>
      <c r="Q511" s="147" t="str">
        <f ca="1">IFERROR(IF(VLOOKUP($A511,'Шаг2.Бланк заказа NEW'!$B$17:$O$201,14,0)="","",VLOOKUP($A511,'Шаг2.Бланк заказа NEW'!$B$17:$O$201,14,0)),"")</f>
        <v/>
      </c>
      <c r="R511" s="147" t="str">
        <f ca="1">IFERROR(IFERROR(IF(VLOOKUP($A511,'Шаг2.Бланк заказа NEW'!$B$17:$N$201,4,0)="","",VLOOKUP($A511,'Шаг2.Бланк заказа NEW'!$B$17:$N$201,4,0)),
IF(VLOOKUP($A511-COUNT('Шаг2.Бланк заказа NEW'!$B$19:$B$201),'Бланк OLD 0.8 04'!$B$12:$K$200,4,0)&gt;0,0.8,
IF(VLOOKUP($A511-COUNT('Шаг2.Бланк заказа NEW'!$B$19:$B$201),'Бланк OLD 0.8 04'!$B$12:$K$200,5,0)&gt;0,0.4,""))),
IF(VLOOKUP($A511-COUNT('Шаг2.Бланк заказа NEW'!$B$19:$B$201)-COUNT('Бланк OLD 0.8 04'!$B$18:$B$200),'Бланк OLD 2.0 04 '!$B$16:$K$200,4,0)&gt;0,2,IF(VLOOKUP($A511-COUNT('Шаг2.Бланк заказа NEW'!$B$19:$B$201)-COUNT('Бланк OLD 0.8 04'!$B$18:$B$200),'Бланк OLD 2.0 04 '!$B$16:$K$200,5,0)&gt;0,0.4,"")))</f>
        <v/>
      </c>
      <c r="S511" s="147" t="str">
        <f ca="1">IFERROR(IFERROR(IF(VLOOKUP($A511,'Шаг2.Бланк заказа NEW'!$B$17:$N$201,5,0)="","",VLOOKUP($A511,'Шаг2.Бланк заказа NEW'!$B$17:$N$201,5,0)),
IF(VLOOKUP($A511-COUNT('Шаг2.Бланк заказа NEW'!$B$19:$B$201),'Бланк OLD 0.8 04'!$B$12:$K$200,4,0)&gt;1,0.8,
IF(VLOOKUP($A511-COUNT('Шаг2.Бланк заказа NEW'!$B$19:$B$201),'Бланк OLD 0.8 04'!$B$12:$K$200,5,0)&gt;1,0.4,
IF(AND(VLOOKUP($A511-COUNT('Шаг2.Бланк заказа NEW'!$B$19:$B$201),'Бланк OLD 0.8 04'!$B$12:$K$200,4,0)&gt;0,VLOOKUP($A511-COUNT('Шаг2.Бланк заказа NEW'!$B$19:$B$201),'Бланк OLD 0.8 04'!$B$12:$K$200,5,0)&gt;0),0.4,"")))),
IF(VLOOKUP($A511-COUNT('Шаг2.Бланк заказа NEW'!$B$19:$B$201)-COUNT('Бланк OLD 0.8 04'!$B$18:$B$200),'Бланк OLD 2.0 04 '!$B$16:$K$200,4,0)&gt;1,2,
IF(VLOOKUP($A511-COUNT('Шаг2.Бланк заказа NEW'!$B$19:$B$201)-COUNT('Бланк OLD 0.8 04'!$B$18:$B$200),'Бланк OLD 2.0 04 '!$B$16:$K$200,5,0)&gt;1,0.4,IF(AND(VLOOKUP($A511-COUNT('Шаг2.Бланк заказа NEW'!$B$19:$B$201)-COUNT('Бланк OLD 0.8 04'!$B$18:$B$200),'Бланк OLD 2.0 04 '!$B$16:$K$200,4,0)&gt;0,VLOOKUP($A511-COUNT('Шаг2.Бланк заказа NEW'!$B$19:$B$201)-COUNT('Бланк OLD 0.8 04'!$B$18:$B$200),'Бланк OLD 2.0 04 '!$B$16:$K$200,5,0)&gt;0),0.4,""))))</f>
        <v/>
      </c>
      <c r="T511" s="147" t="str">
        <f ca="1">IFERROR(IFERROR(IF(VLOOKUP($A511,'Шаг2.Бланк заказа NEW'!$B$17:$N$201,7,0)="","",VLOOKUP($A511,'Шаг2.Бланк заказа NEW'!$B$17:$N$201,7,0)),
IF(VLOOKUP($A511-COUNT('Шаг2.Бланк заказа NEW'!$B$19:$B$201),'Бланк OLD 0.8 04'!$B$12:$K$200,7,0)&gt;0,0.8,
IF(VLOOKUP($A511-COUNT('Шаг2.Бланк заказа NEW'!$B$19:$B$201),'Бланк OLD 0.8 04'!$B$12:$K$200,8,0)&gt;0,0.4,""))),
IF(VLOOKUP($A511-COUNT('Шаг2.Бланк заказа NEW'!$B$19:$B$201)-COUNT('Бланк OLD 0.8 04'!$B$18:$B$200),'Бланк OLD 2.0 04 '!$B$16:$K$200,7,0)&gt;0,2,IF(VLOOKUP($A511-COUNT('Шаг2.Бланк заказа NEW'!$B$19:$B$201)-COUNT('Бланк OLD 0.8 04'!$B$18:$B$200),'Бланк OLD 2.0 04 '!$B$16:$K$200,8,0)&gt;0,0.4,"")))</f>
        <v/>
      </c>
      <c r="U511" s="147" t="str">
        <f ca="1">IFERROR(IFERROR(IF(VLOOKUP($A511,'Шаг2.Бланк заказа NEW'!$B$17:$N$201,8,0)="","",VLOOKUP($A511,'Шаг2.Бланк заказа NEW'!$B$17:$N$201,8,0)),
IF(VLOOKUP($A511-COUNT('Шаг2.Бланк заказа NEW'!$B$19:$B$201),'Бланк OLD 0.8 04'!$B$12:$K$200,7,0)&gt;1,0.8,
IF(VLOOKUP($A511-COUNT('Шаг2.Бланк заказа NEW'!$B$19:$B$201),'Бланк OLD 0.8 04'!$B$12:$K$200,8,0)&gt;1,0.4,
IF(AND(VLOOKUP($A511-COUNT('Шаг2.Бланк заказа NEW'!$B$19:$B$201),'Бланк OLD 0.8 04'!$B$12:$K$200,7,0)&gt;0,VLOOKUP($A511-COUNT('Шаг2.Бланк заказа NEW'!$B$19:$B$201),'Бланк OLD 0.8 04'!$B$12:$K$200,8,0)&gt;0),0.4,"")))),
IF(VLOOKUP($A511-COUNT('Шаг2.Бланк заказа NEW'!$B$19:$B$201)-COUNT('Бланк OLD 0.8 04'!$B$18:$B$200),'Бланк OLD 2.0 04 '!$B$16:$K$200,7,0)&gt;1,2,
IF(VLOOKUP($A511-COUNT('Шаг2.Бланк заказа NEW'!$B$19:$B$201)-COUNT('Бланк OLD 0.8 04'!$B$18:$B$200),'Бланк OLD 2.0 04 '!$B$16:$K$200,8,0)&gt;1,0.4,
IF(AND(VLOOKUP($A511-COUNT('Шаг2.Бланк заказа NEW'!$B$19:$B$201)-COUNT('Бланк OLD 0.8 04'!$B$18:$B$200),'Бланк OLD 2.0 04 '!$B$16:$K$200,7,0)&gt;0,VLOOKUP($A511-COUNT('Шаг2.Бланк заказа NEW'!$B$19:$B$201)-COUNT('Бланк OLD 0.8 04'!$B$18:$B$200),'Бланк OLD 2.0 04 '!$B$16:$K$200,8,0)&gt;0),0.4,""))))</f>
        <v/>
      </c>
      <c r="V511" s="146" t="str">
        <f ca="1">IFERROR(VLOOKUP(C511,'Шаг1.Выбор плиты'!C:S,12,0),"")</f>
        <v/>
      </c>
      <c r="W511" s="146" t="str">
        <f ca="1">IFERROR(VLOOKUP(C511,'Шаг1.Выбор плиты'!C:S,8,0),"")</f>
        <v/>
      </c>
      <c r="X511" s="146" t="str">
        <f ca="1">IFERROR(VLOOKUP(C511,'Шаг1.Выбор плиты'!C:S,10,0),"")</f>
        <v/>
      </c>
      <c r="Y511" s="147" t="str">
        <f t="shared" ca="1" si="46"/>
        <v/>
      </c>
      <c r="AD511" s="147" t="str">
        <f t="shared" ca="1" si="48"/>
        <v/>
      </c>
      <c r="AE511" s="147" t="str">
        <f t="shared" ca="1" si="47"/>
        <v/>
      </c>
      <c r="AF511" s="25"/>
      <c r="AH511" s="147" t="str">
        <f ca="1">IF(C511="","",VLOOKUP(C511,'Шаг1.Выбор плиты'!C:Q,7,0))</f>
        <v/>
      </c>
      <c r="AI511" s="147" t="str">
        <f t="shared" ca="1" si="45"/>
        <v/>
      </c>
    </row>
    <row r="512" spans="1:35" x14ac:dyDescent="0.2">
      <c r="A512" s="151" t="str">
        <f ca="1">IF(C512="","",MAX($A$1:OFFSET(C512,-1,0))+1)</f>
        <v/>
      </c>
      <c r="B512" s="151" t="str">
        <f ca="1">IFERROR(IFERROR(IFERROR("Шаг2.Бланк заказа NEW №"&amp;VLOOKUP(A511+1,CHOOSE({1,2},'Шаг2.Бланк заказа NEW'!$B$19:$B$201,'Шаг2.Бланк заказа NEW'!$A$19:$A$201),1,0),
"Бланк OLD 0.8 04 №"&amp;VLOOKUP(A511+1-COUNT('Шаг2.Бланк заказа NEW'!$B$19:$B$201),CHOOSE({1,2},'Бланк OLD 0.8 04'!$B$18:$B$200,'Бланк OLD 0.8 04'!$A$18:$A$200),1,0)),
"Бланк OLD 2.0 04 №"&amp;VLOOKUP(A511+1-COUNT('Шаг2.Бланк заказа NEW'!$B$19:$B$201)-COUNT('Бланк OLD 0.8 04'!$B$18:$B$200),CHOOSE({1,2},'Бланк OLD 2.0 04 '!$B$18:$B$200,'Бланк OLD 2.0 04 '!$A$18:$A$200),1,0)),"")</f>
        <v/>
      </c>
      <c r="C512" s="152" t="str">
        <f ca="1">IFERROR(IFERROR(IFERROR(VLOOKUP(A511+1,CHOOSE({1,2},'Шаг2.Бланк заказа NEW'!$B$19:$B$201,'Шаг2.Бланк заказа NEW'!$A$19:$A$201),2,0),
VLOOKUP(A511+1-COUNT('Шаг2.Бланк заказа NEW'!$B$19:$B$201),CHOOSE({1,2},'Бланк OLD 0.8 04'!$B$18:$B$200,'Бланк OLD 0.8 04'!$A$18:$A$200),2,0)),
VLOOKUP(A511+1-COUNT('Шаг2.Бланк заказа NEW'!$B$19:$B$201)-COUNT('Бланк OLD 0.8 04'!$B$18:$B$200),CHOOSE({1,2},'Бланк OLD 2.0 04 '!$B$18:$B$200,'Бланк OLD 2.0 04 '!$A$18:$A$200),2,0)),"")</f>
        <v/>
      </c>
      <c r="D512" s="150" t="str">
        <f ca="1">IFERROR(VLOOKUP(C512,'Шаг1.Выбор плиты'!C:G,5,0),"")</f>
        <v/>
      </c>
      <c r="E512" s="147" t="str">
        <f ca="1">IFERROR(IFERROR(IF(VLOOKUP($A512,'Шаг2.Бланк заказа NEW'!$B$17:$N$201,2,0)="","",VLOOKUP($A512,'Шаг2.Бланк заказа NEW'!$B$17:$N$201,2,0)),
IF(VLOOKUP($A512-COUNT('Шаг2.Бланк заказа NEW'!$B$19:$B$201),'Бланк OLD 0.8 04'!$B$12:$K$200,2,0)="","",VLOOKUP($A512-COUNT('Шаг2.Бланк заказа NEW'!$B$19:$B$201),'Бланк OLD 0.8 04'!$B$12:$K$200,2,0))),
IF(VLOOKUP($A512-COUNT('Шаг2.Бланк заказа NEW'!$B$19:$B$201)-COUNT('Бланк OLD 0.8 04'!$B$18:$B$200),'Бланк OLD 2.0 04 '!$B$16:$K$200,2,0)="","",VLOOKUP($A512-COUNT('Шаг2.Бланк заказа NEW'!$B$19:$B$201)-COUNT('Бланк OLD 0.8 04'!$B$18:$B$200),'Бланк OLD 2.0 04 '!$B$16:$K$200,2,0)))</f>
        <v/>
      </c>
      <c r="F512" s="147" t="str">
        <f ca="1">IFERROR(IFERROR(IF(VLOOKUP($A512,'Шаг2.Бланк заказа NEW'!$B$17:$N$201,3,0)="","",VLOOKUP($A512,'Шаг2.Бланк заказа NEW'!$B$17:$N$201,3,0)),
IF(VLOOKUP($A512-COUNT('Шаг2.Бланк заказа NEW'!$B$19:$B$201),'Бланк OLD 0.8 04'!$B$12:$K$200,3,0)="","",VLOOKUP($A512-COUNT('Шаг2.Бланк заказа NEW'!$B$19:$B$201),'Бланк OLD 0.8 04'!$B$12:$K$200,3,0))),
IF(VLOOKUP($A512-COUNT('Шаг2.Бланк заказа NEW'!$B$19:$B$201)-COUNT('Бланк OLD 0.8 04'!$B$18:$B$200),'Бланк OLD 2.0 04 '!$B$16:$K$200,3,0)="","",VLOOKUP($A512-COUNT('Шаг2.Бланк заказа NEW'!$B$19:$B$201)-COUNT('Бланк OLD 0.8 04'!$B$18:$B$200),'Бланк OLD 2.0 04 '!$B$16:$K$200,3,0)))</f>
        <v/>
      </c>
      <c r="G512" s="176" t="str">
        <f ca="1">IF(IF(R512="","",IF(R512=1,SUMIFS('Шаг1.Выбор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плиты'!C:Q,12,0)),1))))))=0,
R512,
IF(R512="","",IF(R512=1,SUMIFS('Шаг1.Выбор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плиты'!N:N,R512,'Шаг1.Выбор плиты'!M:M,SMALL(INDIRECT("мм"&amp;VLOOKUP(C512,'Шаг1.Выбор плиты'!C:Q,12,0)),1)))))))</f>
        <v/>
      </c>
      <c r="H512" s="177" t="str">
        <f ca="1">IF(IF(S512="","",IF(S512=1,SUMIFS('Шаг1.Выбор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плиты'!C:Q,12,0)),1))))))=0,
S512,
IF(S512="","",IF(S512=1,SUMIFS('Шаг1.Выбор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плиты'!N:N,S512,'Шаг1.Выбор плиты'!M:M,SMALL(INDIRECT("мм"&amp;VLOOKUP(C512,'Шаг1.Выбор плиты'!C:Q,12,0)),1)))))))</f>
        <v/>
      </c>
      <c r="I512" s="147" t="str">
        <f ca="1">IFERROR(IFERROR(IF(VLOOKUP($A512,'Шаг2.Бланк заказа NEW'!$B$17:$N$201,6,0)="","",VLOOKUP($A512,'Шаг2.Бланк заказа NEW'!$B$17:$N$201,6,0)),
IF(VLOOKUP($A512-COUNT('Шаг2.Бланк заказа NEW'!$B$19:$B$201),'Бланк OLD 0.8 04'!$B$12:$K$200,6,0)="","",VLOOKUP($A512-COUNT('Шаг2.Бланк заказа NEW'!$B$19:$B$201),'Бланк OLD 0.8 04'!$B$12:$K$200,6,0))),
IF(VLOOKUP($A512-COUNT('Шаг2.Бланк заказа NEW'!$B$19:$B$201)-COUNT('Бланк OLD 0.8 04'!$B$18:$B$200),'Бланк OLD 2.0 04 '!$B$16:$K$200,6,0)="","",VLOOKUP($A512-COUNT('Шаг2.Бланк заказа NEW'!$B$19:$B$201)-COUNT('Бланк OLD 0.8 04'!$B$18:$B$200),'Бланк OLD 2.0 04 '!$B$16:$K$200,6,0)))</f>
        <v/>
      </c>
      <c r="J512" s="177" t="str">
        <f ca="1">IF(IF(T512="","",IF(T512=1,SUMIFS('Шаг1.Выбор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плиты'!C:Q,12,0)),1))))))=0,
T512,
IF(T512="","",IF(T512=1,SUMIFS('Шаг1.Выбор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плиты'!N:N,T512,'Шаг1.Выбор плиты'!M:M,SMALL(INDIRECT("мм"&amp;VLOOKUP(C512,'Шаг1.Выбор плиты'!C:Q,12,0)),1)))))))</f>
        <v/>
      </c>
      <c r="K512" s="177" t="str">
        <f ca="1">IF(IF(U512="","",IF(U512=1,SUMIFS('Шаг1.Выбор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плиты'!C:Q,12,0)),1))))))=0,
U512,
IF(U512="","",IF(U512=1,SUMIFS('Шаг1.Выбор плиты'!$G:$G,'Шаг1.Выбор плиты'!J:J,"*"&amp;RIGHT(VLOOKUP(C512,'Шаг1.Выбор плиты'!C:Q,8,0),4),'Шаг1.Выбор плиты'!L:L,IF(MID(C512,1,6)="ЛДСП P","TM"&amp;MID(VLOOKUP(C512,'Шаг1.Выбор плиты'!C:Q,10,0),3,2),MID(VLOOKUP(C512,'Шаг1.Выбор плиты'!C:Q,10,0),1,2)),
'Шаг1.Выбор плиты'!N:N,1),IF(SUMIFS('Шаг1.Выбор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плиты'!C:Q,12,0)),1))=0,
IF(SUMIFS('Шаг1.Выбор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плиты'!C:Q,12,0)),2))=0,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плиты'!C:Q,12,0)),3)),
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плиты'!C:Q,12,0)),2))),
(SUMIFS('Шаг1.Выбор плиты'!$G:$G,'Шаг1.Выбор плиты'!J:J,"*"&amp;RIGHT(VLOOKUP(C512,'Шаг1.Выбор плиты'!C:Q,8,0),4),'Шаг1.Выбор плиты'!L:L,VLOOKUP(C512,'Шаг1.Выбор плиты'!C:Q,10,0),'Шаг1.Выбор плиты'!N:N,U512,'Шаг1.Выбор плиты'!M:M,SMALL(INDIRECT("мм"&amp;VLOOKUP(C512,'Шаг1.Выбор плиты'!C:Q,12,0)),1)))))))</f>
        <v/>
      </c>
      <c r="L512" s="147" t="str">
        <f ca="1">IFERROR(IFERROR(IF(VLOOKUP($A512,'Шаг2.Бланк заказа NEW'!$B$17:$N$201,9,0)="","",VLOOKUP($A512,'Шаг2.Бланк заказа NEW'!$B$17:$N$201,9,0)),
IF(VLOOKUP($A512-COUNT('Шаг2.Бланк заказа NEW'!$B$19:$B$201),'Бланк OLD 0.8 04'!$B$12:$K$200,9,0)="","",VLOOKUP($A512-COUNT('Шаг2.Бланк заказа NEW'!$B$19:$B$201),'Бланк OLD 0.8 04'!$B$12:$K$200,9,0))),
IF(VLOOKUP($A512-COUNT('Шаг2.Бланк заказа NEW'!$B$19:$B$201)-COUNT('Бланк OLD 0.8 04'!$B$18:$B$200),'Бланк OLD 2.0 04 '!$B$16:$K$200,9,0)="","",VLOOKUP($A512-COUNT('Шаг2.Бланк заказа NEW'!$B$19:$B$201)-COUNT('Бланк OLD 0.8 04'!$B$18:$B$200),'Бланк OLD 2.0 04 '!$B$16:$K$200,9,0)))</f>
        <v/>
      </c>
      <c r="M512" s="154" t="str">
        <f t="shared" ca="1" si="44"/>
        <v/>
      </c>
      <c r="N512" s="153" t="str">
        <f ca="1">IFERROR(IF(VLOOKUP($A512,'Шаг2.Бланк заказа NEW'!$B$17:$N$201,11,0)="","",VLOOKUP($A512,'Шаг2.Бланк заказа NEW'!$B$17:$N$201,11,0)),
"Нет")</f>
        <v/>
      </c>
      <c r="O512" s="147" t="str">
        <f ca="1">IFERROR(IF(VLOOKUP($A512,'Шаг2.Бланк заказа NEW'!$B$17:$N$201,11,0)="","",VLOOKUP($A512,'Шаг2.Бланк заказа NEW'!$B$17:$N$201,12,0)),
"Нет")</f>
        <v/>
      </c>
      <c r="P512" s="153" t="str">
        <f ca="1">IFERROR(IF(VLOOKUP($A512,'Шаг2.Бланк заказа NEW'!$B$17:$N$201,13,0)="","",VLOOKUP($A512,'Шаг2.Бланк заказа NEW'!$B$17:$N$201,13,0)),
"Нет")</f>
        <v/>
      </c>
      <c r="Q512" s="147" t="str">
        <f ca="1">IFERROR(IF(VLOOKUP($A512,'Шаг2.Бланк заказа NEW'!$B$17:$O$201,14,0)="","",VLOOKUP($A512,'Шаг2.Бланк заказа NEW'!$B$17:$O$201,14,0)),"")</f>
        <v/>
      </c>
      <c r="R512" s="147" t="str">
        <f ca="1">IFERROR(IFERROR(IF(VLOOKUP($A512,'Шаг2.Бланк заказа NEW'!$B$17:$N$201,4,0)="","",VLOOKUP($A512,'Шаг2.Бланк заказа NEW'!$B$17:$N$201,4,0)),
IF(VLOOKUP($A512-COUNT('Шаг2.Бланк заказа NEW'!$B$19:$B$201),'Бланк OLD 0.8 04'!$B$12:$K$200,4,0)&gt;0,0.8,
IF(VLOOKUP($A512-COUNT('Шаг2.Бланк заказа NEW'!$B$19:$B$201),'Бланк OLD 0.8 04'!$B$12:$K$200,5,0)&gt;0,0.4,""))),
IF(VLOOKUP($A512-COUNT('Шаг2.Бланк заказа NEW'!$B$19:$B$201)-COUNT('Бланк OLD 0.8 04'!$B$18:$B$200),'Бланк OLD 2.0 04 '!$B$16:$K$200,4,0)&gt;0,2,IF(VLOOKUP($A512-COUNT('Шаг2.Бланк заказа NEW'!$B$19:$B$201)-COUNT('Бланк OLD 0.8 04'!$B$18:$B$200),'Бланк OLD 2.0 04 '!$B$16:$K$200,5,0)&gt;0,0.4,"")))</f>
        <v/>
      </c>
      <c r="S512" s="147" t="str">
        <f ca="1">IFERROR(IFERROR(IF(VLOOKUP($A512,'Шаг2.Бланк заказа NEW'!$B$17:$N$201,5,0)="","",VLOOKUP($A512,'Шаг2.Бланк заказа NEW'!$B$17:$N$201,5,0)),
IF(VLOOKUP($A512-COUNT('Шаг2.Бланк заказа NEW'!$B$19:$B$201),'Бланк OLD 0.8 04'!$B$12:$K$200,4,0)&gt;1,0.8,
IF(VLOOKUP($A512-COUNT('Шаг2.Бланк заказа NEW'!$B$19:$B$201),'Бланк OLD 0.8 04'!$B$12:$K$200,5,0)&gt;1,0.4,
IF(AND(VLOOKUP($A512-COUNT('Шаг2.Бланк заказа NEW'!$B$19:$B$201),'Бланк OLD 0.8 04'!$B$12:$K$200,4,0)&gt;0,VLOOKUP($A512-COUNT('Шаг2.Бланк заказа NEW'!$B$19:$B$201),'Бланк OLD 0.8 04'!$B$12:$K$200,5,0)&gt;0),0.4,"")))),
IF(VLOOKUP($A512-COUNT('Шаг2.Бланк заказа NEW'!$B$19:$B$201)-COUNT('Бланк OLD 0.8 04'!$B$18:$B$200),'Бланк OLD 2.0 04 '!$B$16:$K$200,4,0)&gt;1,2,
IF(VLOOKUP($A512-COUNT('Шаг2.Бланк заказа NEW'!$B$19:$B$201)-COUNT('Бланк OLD 0.8 04'!$B$18:$B$200),'Бланк OLD 2.0 04 '!$B$16:$K$200,5,0)&gt;1,0.4,IF(AND(VLOOKUP($A512-COUNT('Шаг2.Бланк заказа NEW'!$B$19:$B$201)-COUNT('Бланк OLD 0.8 04'!$B$18:$B$200),'Бланк OLD 2.0 04 '!$B$16:$K$200,4,0)&gt;0,VLOOKUP($A512-COUNT('Шаг2.Бланк заказа NEW'!$B$19:$B$201)-COUNT('Бланк OLD 0.8 04'!$B$18:$B$200),'Бланк OLD 2.0 04 '!$B$16:$K$200,5,0)&gt;0),0.4,""))))</f>
        <v/>
      </c>
      <c r="T512" s="147" t="str">
        <f ca="1">IFERROR(IFERROR(IF(VLOOKUP($A512,'Шаг2.Бланк заказа NEW'!$B$17:$N$201,7,0)="","",VLOOKUP($A512,'Шаг2.Бланк заказа NEW'!$B$17:$N$201,7,0)),
IF(VLOOKUP($A512-COUNT('Шаг2.Бланк заказа NEW'!$B$19:$B$201),'Бланк OLD 0.8 04'!$B$12:$K$200,7,0)&gt;0,0.8,
IF(VLOOKUP($A512-COUNT('Шаг2.Бланк заказа NEW'!$B$19:$B$201),'Бланк OLD 0.8 04'!$B$12:$K$200,8,0)&gt;0,0.4,""))),
IF(VLOOKUP($A512-COUNT('Шаг2.Бланк заказа NEW'!$B$19:$B$201)-COUNT('Бланк OLD 0.8 04'!$B$18:$B$200),'Бланк OLD 2.0 04 '!$B$16:$K$200,7,0)&gt;0,2,IF(VLOOKUP($A512-COUNT('Шаг2.Бланк заказа NEW'!$B$19:$B$201)-COUNT('Бланк OLD 0.8 04'!$B$18:$B$200),'Бланк OLD 2.0 04 '!$B$16:$K$200,8,0)&gt;0,0.4,"")))</f>
        <v/>
      </c>
      <c r="U512" s="147" t="str">
        <f ca="1">IFERROR(IFERROR(IF(VLOOKUP($A512,'Шаг2.Бланк заказа NEW'!$B$17:$N$201,8,0)="","",VLOOKUP($A512,'Шаг2.Бланк заказа NEW'!$B$17:$N$201,8,0)),
IF(VLOOKUP($A512-COUNT('Шаг2.Бланк заказа NEW'!$B$19:$B$201),'Бланк OLD 0.8 04'!$B$12:$K$200,7,0)&gt;1,0.8,
IF(VLOOKUP($A512-COUNT('Шаг2.Бланк заказа NEW'!$B$19:$B$201),'Бланк OLD 0.8 04'!$B$12:$K$200,8,0)&gt;1,0.4,
IF(AND(VLOOKUP($A512-COUNT('Шаг2.Бланк заказа NEW'!$B$19:$B$201),'Бланк OLD 0.8 04'!$B$12:$K$200,7,0)&gt;0,VLOOKUP($A512-COUNT('Шаг2.Бланк заказа NEW'!$B$19:$B$201),'Бланк OLD 0.8 04'!$B$12:$K$200,8,0)&gt;0),0.4,"")))),
IF(VLOOKUP($A512-COUNT('Шаг2.Бланк заказа NEW'!$B$19:$B$201)-COUNT('Бланк OLD 0.8 04'!$B$18:$B$200),'Бланк OLD 2.0 04 '!$B$16:$K$200,7,0)&gt;1,2,
IF(VLOOKUP($A512-COUNT('Шаг2.Бланк заказа NEW'!$B$19:$B$201)-COUNT('Бланк OLD 0.8 04'!$B$18:$B$200),'Бланк OLD 2.0 04 '!$B$16:$K$200,8,0)&gt;1,0.4,
IF(AND(VLOOKUP($A512-COUNT('Шаг2.Бланк заказа NEW'!$B$19:$B$201)-COUNT('Бланк OLD 0.8 04'!$B$18:$B$200),'Бланк OLD 2.0 04 '!$B$16:$K$200,7,0)&gt;0,VLOOKUP($A512-COUNT('Шаг2.Бланк заказа NEW'!$B$19:$B$201)-COUNT('Бланк OLD 0.8 04'!$B$18:$B$200),'Бланк OLD 2.0 04 '!$B$16:$K$200,8,0)&gt;0),0.4,""))))</f>
        <v/>
      </c>
      <c r="V512" s="146" t="str">
        <f ca="1">IFERROR(VLOOKUP(C512,'Шаг1.Выбор плиты'!C:S,12,0),"")</f>
        <v/>
      </c>
      <c r="W512" s="146" t="str">
        <f ca="1">IFERROR(VLOOKUP(C512,'Шаг1.Выбор плиты'!C:S,8,0),"")</f>
        <v/>
      </c>
      <c r="X512" s="146" t="str">
        <f ca="1">IFERROR(VLOOKUP(C512,'Шаг1.Выбор плиты'!C:S,10,0),"")</f>
        <v/>
      </c>
      <c r="Y512" s="147" t="str">
        <f t="shared" ca="1" si="46"/>
        <v/>
      </c>
      <c r="AD512" s="147" t="str">
        <f t="shared" ca="1" si="48"/>
        <v/>
      </c>
      <c r="AE512" s="147" t="str">
        <f t="shared" ca="1" si="47"/>
        <v/>
      </c>
      <c r="AF512" s="25"/>
      <c r="AH512" s="147" t="str">
        <f ca="1">IF(C512="","",VLOOKUP(C512,'Шаг1.Выбор плиты'!C:Q,7,0))</f>
        <v/>
      </c>
      <c r="AI512" s="147" t="str">
        <f t="shared" ca="1" si="45"/>
        <v/>
      </c>
    </row>
    <row r="513" spans="1:35" x14ac:dyDescent="0.2">
      <c r="A513" s="151" t="str">
        <f ca="1">IF(C513="","",MAX($A$1:OFFSET(C513,-1,0))+1)</f>
        <v/>
      </c>
      <c r="B513" s="151" t="str">
        <f ca="1">IFERROR(IFERROR(IFERROR("Шаг2.Бланк заказа NEW №"&amp;VLOOKUP(A512+1,CHOOSE({1,2},'Шаг2.Бланк заказа NEW'!$B$19:$B$201,'Шаг2.Бланк заказа NEW'!$A$19:$A$201),1,0),
"Бланк OLD 0.8 04 №"&amp;VLOOKUP(A512+1-COUNT('Шаг2.Бланк заказа NEW'!$B$19:$B$201),CHOOSE({1,2},'Бланк OLD 0.8 04'!$B$18:$B$200,'Бланк OLD 0.8 04'!$A$18:$A$200),1,0)),
"Бланк OLD 2.0 04 №"&amp;VLOOKUP(A512+1-COUNT('Шаг2.Бланк заказа NEW'!$B$19:$B$201)-COUNT('Бланк OLD 0.8 04'!$B$18:$B$200),CHOOSE({1,2},'Бланк OLD 2.0 04 '!$B$18:$B$200,'Бланк OLD 2.0 04 '!$A$18:$A$200),1,0)),"")</f>
        <v/>
      </c>
      <c r="C513" s="152" t="str">
        <f ca="1">IFERROR(IFERROR(IFERROR(VLOOKUP(A512+1,CHOOSE({1,2},'Шаг2.Бланк заказа NEW'!$B$19:$B$201,'Шаг2.Бланк заказа NEW'!$A$19:$A$201),2,0),
VLOOKUP(A512+1-COUNT('Шаг2.Бланк заказа NEW'!$B$19:$B$201),CHOOSE({1,2},'Бланк OLD 0.8 04'!$B$18:$B$200,'Бланк OLD 0.8 04'!$A$18:$A$200),2,0)),
VLOOKUP(A512+1-COUNT('Шаг2.Бланк заказа NEW'!$B$19:$B$201)-COUNT('Бланк OLD 0.8 04'!$B$18:$B$200),CHOOSE({1,2},'Бланк OLD 2.0 04 '!$B$18:$B$200,'Бланк OLD 2.0 04 '!$A$18:$A$200),2,0)),"")</f>
        <v/>
      </c>
      <c r="D513" s="150" t="str">
        <f ca="1">IFERROR(VLOOKUP(C513,'Шаг1.Выбор плиты'!C:G,5,0),"")</f>
        <v/>
      </c>
      <c r="E513" s="147" t="str">
        <f ca="1">IFERROR(IFERROR(IF(VLOOKUP($A513,'Шаг2.Бланк заказа NEW'!$B$17:$N$201,2,0)="","",VLOOKUP($A513,'Шаг2.Бланк заказа NEW'!$B$17:$N$201,2,0)),
IF(VLOOKUP($A513-COUNT('Шаг2.Бланк заказа NEW'!$B$19:$B$201),'Бланк OLD 0.8 04'!$B$12:$K$200,2,0)="","",VLOOKUP($A513-COUNT('Шаг2.Бланк заказа NEW'!$B$19:$B$201),'Бланк OLD 0.8 04'!$B$12:$K$200,2,0))),
IF(VLOOKUP($A513-COUNT('Шаг2.Бланк заказа NEW'!$B$19:$B$201)-COUNT('Бланк OLD 0.8 04'!$B$18:$B$200),'Бланк OLD 2.0 04 '!$B$16:$K$200,2,0)="","",VLOOKUP($A513-COUNT('Шаг2.Бланк заказа NEW'!$B$19:$B$201)-COUNT('Бланк OLD 0.8 04'!$B$18:$B$200),'Бланк OLD 2.0 04 '!$B$16:$K$200,2,0)))</f>
        <v/>
      </c>
      <c r="F513" s="147" t="str">
        <f ca="1">IFERROR(IFERROR(IF(VLOOKUP($A513,'Шаг2.Бланк заказа NEW'!$B$17:$N$201,3,0)="","",VLOOKUP($A513,'Шаг2.Бланк заказа NEW'!$B$17:$N$201,3,0)),
IF(VLOOKUP($A513-COUNT('Шаг2.Бланк заказа NEW'!$B$19:$B$201),'Бланк OLD 0.8 04'!$B$12:$K$200,3,0)="","",VLOOKUP($A513-COUNT('Шаг2.Бланк заказа NEW'!$B$19:$B$201),'Бланк OLD 0.8 04'!$B$12:$K$200,3,0))),
IF(VLOOKUP($A513-COUNT('Шаг2.Бланк заказа NEW'!$B$19:$B$201)-COUNT('Бланк OLD 0.8 04'!$B$18:$B$200),'Бланк OLD 2.0 04 '!$B$16:$K$200,3,0)="","",VLOOKUP($A513-COUNT('Шаг2.Бланк заказа NEW'!$B$19:$B$201)-COUNT('Бланк OLD 0.8 04'!$B$18:$B$200),'Бланк OLD 2.0 04 '!$B$16:$K$200,3,0)))</f>
        <v/>
      </c>
      <c r="G513" s="176" t="str">
        <f ca="1">IF(IF(R513="","",IF(R513=1,SUMIFS('Шаг1.Выбор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плиты'!C:Q,12,0)),1))))))=0,
R513,
IF(R513="","",IF(R513=1,SUMIFS('Шаг1.Выбор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плиты'!N:N,R513,'Шаг1.Выбор плиты'!M:M,SMALL(INDIRECT("мм"&amp;VLOOKUP(C513,'Шаг1.Выбор плиты'!C:Q,12,0)),1)))))))</f>
        <v/>
      </c>
      <c r="H513" s="177" t="str">
        <f ca="1">IF(IF(S513="","",IF(S513=1,SUMIFS('Шаг1.Выбор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плиты'!C:Q,12,0)),1))))))=0,
S513,
IF(S513="","",IF(S513=1,SUMIFS('Шаг1.Выбор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плиты'!N:N,S513,'Шаг1.Выбор плиты'!M:M,SMALL(INDIRECT("мм"&amp;VLOOKUP(C513,'Шаг1.Выбор плиты'!C:Q,12,0)),1)))))))</f>
        <v/>
      </c>
      <c r="I513" s="147" t="str">
        <f ca="1">IFERROR(IFERROR(IF(VLOOKUP($A513,'Шаг2.Бланк заказа NEW'!$B$17:$N$201,6,0)="","",VLOOKUP($A513,'Шаг2.Бланк заказа NEW'!$B$17:$N$201,6,0)),
IF(VLOOKUP($A513-COUNT('Шаг2.Бланк заказа NEW'!$B$19:$B$201),'Бланк OLD 0.8 04'!$B$12:$K$200,6,0)="","",VLOOKUP($A513-COUNT('Шаг2.Бланк заказа NEW'!$B$19:$B$201),'Бланк OLD 0.8 04'!$B$12:$K$200,6,0))),
IF(VLOOKUP($A513-COUNT('Шаг2.Бланк заказа NEW'!$B$19:$B$201)-COUNT('Бланк OLD 0.8 04'!$B$18:$B$200),'Бланк OLD 2.0 04 '!$B$16:$K$200,6,0)="","",VLOOKUP($A513-COUNT('Шаг2.Бланк заказа NEW'!$B$19:$B$201)-COUNT('Бланк OLD 0.8 04'!$B$18:$B$200),'Бланк OLD 2.0 04 '!$B$16:$K$200,6,0)))</f>
        <v/>
      </c>
      <c r="J513" s="177" t="str">
        <f ca="1">IF(IF(T513="","",IF(T513=1,SUMIFS('Шаг1.Выбор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плиты'!C:Q,12,0)),1))))))=0,
T513,
IF(T513="","",IF(T513=1,SUMIFS('Шаг1.Выбор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плиты'!N:N,T513,'Шаг1.Выбор плиты'!M:M,SMALL(INDIRECT("мм"&amp;VLOOKUP(C513,'Шаг1.Выбор плиты'!C:Q,12,0)),1)))))))</f>
        <v/>
      </c>
      <c r="K513" s="177" t="str">
        <f ca="1">IF(IF(U513="","",IF(U513=1,SUMIFS('Шаг1.Выбор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плиты'!C:Q,12,0)),1))))))=0,
U513,
IF(U513="","",IF(U513=1,SUMIFS('Шаг1.Выбор плиты'!$G:$G,'Шаг1.Выбор плиты'!J:J,"*"&amp;RIGHT(VLOOKUP(C513,'Шаг1.Выбор плиты'!C:Q,8,0),4),'Шаг1.Выбор плиты'!L:L,IF(MID(C513,1,6)="ЛДСП P","TM"&amp;MID(VLOOKUP(C513,'Шаг1.Выбор плиты'!C:Q,10,0),3,2),MID(VLOOKUP(C513,'Шаг1.Выбор плиты'!C:Q,10,0),1,2)),
'Шаг1.Выбор плиты'!N:N,1),IF(SUMIFS('Шаг1.Выбор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плиты'!C:Q,12,0)),1))=0,
IF(SUMIFS('Шаг1.Выбор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плиты'!C:Q,12,0)),2))=0,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плиты'!C:Q,12,0)),3)),
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плиты'!C:Q,12,0)),2))),
(SUMIFS('Шаг1.Выбор плиты'!$G:$G,'Шаг1.Выбор плиты'!J:J,"*"&amp;RIGHT(VLOOKUP(C513,'Шаг1.Выбор плиты'!C:Q,8,0),4),'Шаг1.Выбор плиты'!L:L,VLOOKUP(C513,'Шаг1.Выбор плиты'!C:Q,10,0),'Шаг1.Выбор плиты'!N:N,U513,'Шаг1.Выбор плиты'!M:M,SMALL(INDIRECT("мм"&amp;VLOOKUP(C513,'Шаг1.Выбор плиты'!C:Q,12,0)),1)))))))</f>
        <v/>
      </c>
      <c r="L513" s="147" t="str">
        <f ca="1">IFERROR(IFERROR(IF(VLOOKUP($A513,'Шаг2.Бланк заказа NEW'!$B$17:$N$201,9,0)="","",VLOOKUP($A513,'Шаг2.Бланк заказа NEW'!$B$17:$N$201,9,0)),
IF(VLOOKUP($A513-COUNT('Шаг2.Бланк заказа NEW'!$B$19:$B$201),'Бланк OLD 0.8 04'!$B$12:$K$200,9,0)="","",VLOOKUP($A513-COUNT('Шаг2.Бланк заказа NEW'!$B$19:$B$201),'Бланк OLD 0.8 04'!$B$12:$K$200,9,0))),
IF(VLOOKUP($A513-COUNT('Шаг2.Бланк заказа NEW'!$B$19:$B$201)-COUNT('Бланк OLD 0.8 04'!$B$18:$B$200),'Бланк OLD 2.0 04 '!$B$16:$K$200,9,0)="","",VLOOKUP($A513-COUNT('Шаг2.Бланк заказа NEW'!$B$19:$B$201)-COUNT('Бланк OLD 0.8 04'!$B$18:$B$200),'Бланк OLD 2.0 04 '!$B$16:$K$200,9,0)))</f>
        <v/>
      </c>
      <c r="M513" s="154" t="str">
        <f t="shared" ref="M513:M576" ca="1" si="49">IFERROR((F513/1000)*(I513/1000)*L513,"")</f>
        <v/>
      </c>
      <c r="N513" s="153" t="str">
        <f ca="1">IFERROR(IF(VLOOKUP($A513,'Шаг2.Бланк заказа NEW'!$B$17:$N$201,11,0)="","",VLOOKUP($A513,'Шаг2.Бланк заказа NEW'!$B$17:$N$201,11,0)),
"Нет")</f>
        <v/>
      </c>
      <c r="O513" s="147" t="str">
        <f ca="1">IFERROR(IF(VLOOKUP($A513,'Шаг2.Бланк заказа NEW'!$B$17:$N$201,11,0)="","",VLOOKUP($A513,'Шаг2.Бланк заказа NEW'!$B$17:$N$201,12,0)),
"Нет")</f>
        <v/>
      </c>
      <c r="P513" s="153" t="str">
        <f ca="1">IFERROR(IF(VLOOKUP($A513,'Шаг2.Бланк заказа NEW'!$B$17:$N$201,13,0)="","",VLOOKUP($A513,'Шаг2.Бланк заказа NEW'!$B$17:$N$201,13,0)),
"Нет")</f>
        <v/>
      </c>
      <c r="Q513" s="147" t="str">
        <f ca="1">IFERROR(IF(VLOOKUP($A513,'Шаг2.Бланк заказа NEW'!$B$17:$O$201,14,0)="","",VLOOKUP($A513,'Шаг2.Бланк заказа NEW'!$B$17:$O$201,14,0)),"")</f>
        <v/>
      </c>
      <c r="R513" s="147" t="str">
        <f ca="1">IFERROR(IFERROR(IF(VLOOKUP($A513,'Шаг2.Бланк заказа NEW'!$B$17:$N$201,4,0)="","",VLOOKUP($A513,'Шаг2.Бланк заказа NEW'!$B$17:$N$201,4,0)),
IF(VLOOKUP($A513-COUNT('Шаг2.Бланк заказа NEW'!$B$19:$B$201),'Бланк OLD 0.8 04'!$B$12:$K$200,4,0)&gt;0,0.8,
IF(VLOOKUP($A513-COUNT('Шаг2.Бланк заказа NEW'!$B$19:$B$201),'Бланк OLD 0.8 04'!$B$12:$K$200,5,0)&gt;0,0.4,""))),
IF(VLOOKUP($A513-COUNT('Шаг2.Бланк заказа NEW'!$B$19:$B$201)-COUNT('Бланк OLD 0.8 04'!$B$18:$B$200),'Бланк OLD 2.0 04 '!$B$16:$K$200,4,0)&gt;0,2,IF(VLOOKUP($A513-COUNT('Шаг2.Бланк заказа NEW'!$B$19:$B$201)-COUNT('Бланк OLD 0.8 04'!$B$18:$B$200),'Бланк OLD 2.0 04 '!$B$16:$K$200,5,0)&gt;0,0.4,"")))</f>
        <v/>
      </c>
      <c r="S513" s="147" t="str">
        <f ca="1">IFERROR(IFERROR(IF(VLOOKUP($A513,'Шаг2.Бланк заказа NEW'!$B$17:$N$201,5,0)="","",VLOOKUP($A513,'Шаг2.Бланк заказа NEW'!$B$17:$N$201,5,0)),
IF(VLOOKUP($A513-COUNT('Шаг2.Бланк заказа NEW'!$B$19:$B$201),'Бланк OLD 0.8 04'!$B$12:$K$200,4,0)&gt;1,0.8,
IF(VLOOKUP($A513-COUNT('Шаг2.Бланк заказа NEW'!$B$19:$B$201),'Бланк OLD 0.8 04'!$B$12:$K$200,5,0)&gt;1,0.4,
IF(AND(VLOOKUP($A513-COUNT('Шаг2.Бланк заказа NEW'!$B$19:$B$201),'Бланк OLD 0.8 04'!$B$12:$K$200,4,0)&gt;0,VLOOKUP($A513-COUNT('Шаг2.Бланк заказа NEW'!$B$19:$B$201),'Бланк OLD 0.8 04'!$B$12:$K$200,5,0)&gt;0),0.4,"")))),
IF(VLOOKUP($A513-COUNT('Шаг2.Бланк заказа NEW'!$B$19:$B$201)-COUNT('Бланк OLD 0.8 04'!$B$18:$B$200),'Бланк OLD 2.0 04 '!$B$16:$K$200,4,0)&gt;1,2,
IF(VLOOKUP($A513-COUNT('Шаг2.Бланк заказа NEW'!$B$19:$B$201)-COUNT('Бланк OLD 0.8 04'!$B$18:$B$200),'Бланк OLD 2.0 04 '!$B$16:$K$200,5,0)&gt;1,0.4,IF(AND(VLOOKUP($A513-COUNT('Шаг2.Бланк заказа NEW'!$B$19:$B$201)-COUNT('Бланк OLD 0.8 04'!$B$18:$B$200),'Бланк OLD 2.0 04 '!$B$16:$K$200,4,0)&gt;0,VLOOKUP($A513-COUNT('Шаг2.Бланк заказа NEW'!$B$19:$B$201)-COUNT('Бланк OLD 0.8 04'!$B$18:$B$200),'Бланк OLD 2.0 04 '!$B$16:$K$200,5,0)&gt;0),0.4,""))))</f>
        <v/>
      </c>
      <c r="T513" s="147" t="str">
        <f ca="1">IFERROR(IFERROR(IF(VLOOKUP($A513,'Шаг2.Бланк заказа NEW'!$B$17:$N$201,7,0)="","",VLOOKUP($A513,'Шаг2.Бланк заказа NEW'!$B$17:$N$201,7,0)),
IF(VLOOKUP($A513-COUNT('Шаг2.Бланк заказа NEW'!$B$19:$B$201),'Бланк OLD 0.8 04'!$B$12:$K$200,7,0)&gt;0,0.8,
IF(VLOOKUP($A513-COUNT('Шаг2.Бланк заказа NEW'!$B$19:$B$201),'Бланк OLD 0.8 04'!$B$12:$K$200,8,0)&gt;0,0.4,""))),
IF(VLOOKUP($A513-COUNT('Шаг2.Бланк заказа NEW'!$B$19:$B$201)-COUNT('Бланк OLD 0.8 04'!$B$18:$B$200),'Бланк OLD 2.0 04 '!$B$16:$K$200,7,0)&gt;0,2,IF(VLOOKUP($A513-COUNT('Шаг2.Бланк заказа NEW'!$B$19:$B$201)-COUNT('Бланк OLD 0.8 04'!$B$18:$B$200),'Бланк OLD 2.0 04 '!$B$16:$K$200,8,0)&gt;0,0.4,"")))</f>
        <v/>
      </c>
      <c r="U513" s="147" t="str">
        <f ca="1">IFERROR(IFERROR(IF(VLOOKUP($A513,'Шаг2.Бланк заказа NEW'!$B$17:$N$201,8,0)="","",VLOOKUP($A513,'Шаг2.Бланк заказа NEW'!$B$17:$N$201,8,0)),
IF(VLOOKUP($A513-COUNT('Шаг2.Бланк заказа NEW'!$B$19:$B$201),'Бланк OLD 0.8 04'!$B$12:$K$200,7,0)&gt;1,0.8,
IF(VLOOKUP($A513-COUNT('Шаг2.Бланк заказа NEW'!$B$19:$B$201),'Бланк OLD 0.8 04'!$B$12:$K$200,8,0)&gt;1,0.4,
IF(AND(VLOOKUP($A513-COUNT('Шаг2.Бланк заказа NEW'!$B$19:$B$201),'Бланк OLD 0.8 04'!$B$12:$K$200,7,0)&gt;0,VLOOKUP($A513-COUNT('Шаг2.Бланк заказа NEW'!$B$19:$B$201),'Бланк OLD 0.8 04'!$B$12:$K$200,8,0)&gt;0),0.4,"")))),
IF(VLOOKUP($A513-COUNT('Шаг2.Бланк заказа NEW'!$B$19:$B$201)-COUNT('Бланк OLD 0.8 04'!$B$18:$B$200),'Бланк OLD 2.0 04 '!$B$16:$K$200,7,0)&gt;1,2,
IF(VLOOKUP($A513-COUNT('Шаг2.Бланк заказа NEW'!$B$19:$B$201)-COUNT('Бланк OLD 0.8 04'!$B$18:$B$200),'Бланк OLD 2.0 04 '!$B$16:$K$200,8,0)&gt;1,0.4,
IF(AND(VLOOKUP($A513-COUNT('Шаг2.Бланк заказа NEW'!$B$19:$B$201)-COUNT('Бланк OLD 0.8 04'!$B$18:$B$200),'Бланк OLD 2.0 04 '!$B$16:$K$200,7,0)&gt;0,VLOOKUP($A513-COUNT('Шаг2.Бланк заказа NEW'!$B$19:$B$201)-COUNT('Бланк OLD 0.8 04'!$B$18:$B$200),'Бланк OLD 2.0 04 '!$B$16:$K$200,8,0)&gt;0),0.4,""))))</f>
        <v/>
      </c>
      <c r="V513" s="146" t="str">
        <f ca="1">IFERROR(VLOOKUP(C513,'Шаг1.Выбор плиты'!C:S,12,0),"")</f>
        <v/>
      </c>
      <c r="W513" s="146" t="str">
        <f ca="1">IFERROR(VLOOKUP(C513,'Шаг1.Выбор плиты'!C:S,8,0),"")</f>
        <v/>
      </c>
      <c r="X513" s="146" t="str">
        <f ca="1">IFERROR(VLOOKUP(C513,'Шаг1.Выбор плиты'!C:S,10,0),"")</f>
        <v/>
      </c>
      <c r="Y513" s="147" t="str">
        <f t="shared" ca="1" si="46"/>
        <v/>
      </c>
      <c r="AD513" s="147" t="str">
        <f t="shared" ca="1" si="48"/>
        <v/>
      </c>
      <c r="AE513" s="147" t="str">
        <f t="shared" ca="1" si="47"/>
        <v/>
      </c>
      <c r="AF513" s="25"/>
      <c r="AH513" s="147" t="str">
        <f ca="1">IF(C513="","",VLOOKUP(C513,'Шаг1.Выбор плиты'!C:Q,7,0))</f>
        <v/>
      </c>
      <c r="AI513" s="147" t="str">
        <f t="shared" ref="AI513:AI576" ca="1" si="50">IF(N513="","",IF(N513="да",1,0))</f>
        <v/>
      </c>
    </row>
    <row r="514" spans="1:35" x14ac:dyDescent="0.2">
      <c r="A514" s="151" t="str">
        <f ca="1">IF(C514="","",MAX($A$1:OFFSET(C514,-1,0))+1)</f>
        <v/>
      </c>
      <c r="B514" s="151" t="str">
        <f ca="1">IFERROR(IFERROR(IFERROR("Шаг2.Бланк заказа NEW №"&amp;VLOOKUP(A513+1,CHOOSE({1,2},'Шаг2.Бланк заказа NEW'!$B$19:$B$201,'Шаг2.Бланк заказа NEW'!$A$19:$A$201),1,0),
"Бланк OLD 0.8 04 №"&amp;VLOOKUP(A513+1-COUNT('Шаг2.Бланк заказа NEW'!$B$19:$B$201),CHOOSE({1,2},'Бланк OLD 0.8 04'!$B$18:$B$200,'Бланк OLD 0.8 04'!$A$18:$A$200),1,0)),
"Бланк OLD 2.0 04 №"&amp;VLOOKUP(A513+1-COUNT('Шаг2.Бланк заказа NEW'!$B$19:$B$201)-COUNT('Бланк OLD 0.8 04'!$B$18:$B$200),CHOOSE({1,2},'Бланк OLD 2.0 04 '!$B$18:$B$200,'Бланк OLD 2.0 04 '!$A$18:$A$200),1,0)),"")</f>
        <v/>
      </c>
      <c r="C514" s="152" t="str">
        <f ca="1">IFERROR(IFERROR(IFERROR(VLOOKUP(A513+1,CHOOSE({1,2},'Шаг2.Бланк заказа NEW'!$B$19:$B$201,'Шаг2.Бланк заказа NEW'!$A$19:$A$201),2,0),
VLOOKUP(A513+1-COUNT('Шаг2.Бланк заказа NEW'!$B$19:$B$201),CHOOSE({1,2},'Бланк OLD 0.8 04'!$B$18:$B$200,'Бланк OLD 0.8 04'!$A$18:$A$200),2,0)),
VLOOKUP(A513+1-COUNT('Шаг2.Бланк заказа NEW'!$B$19:$B$201)-COUNT('Бланк OLD 0.8 04'!$B$18:$B$200),CHOOSE({1,2},'Бланк OLD 2.0 04 '!$B$18:$B$200,'Бланк OLD 2.0 04 '!$A$18:$A$200),2,0)),"")</f>
        <v/>
      </c>
      <c r="D514" s="150" t="str">
        <f ca="1">IFERROR(VLOOKUP(C514,'Шаг1.Выбор плиты'!C:G,5,0),"")</f>
        <v/>
      </c>
      <c r="E514" s="147" t="str">
        <f ca="1">IFERROR(IFERROR(IF(VLOOKUP($A514,'Шаг2.Бланк заказа NEW'!$B$17:$N$201,2,0)="","",VLOOKUP($A514,'Шаг2.Бланк заказа NEW'!$B$17:$N$201,2,0)),
IF(VLOOKUP($A514-COUNT('Шаг2.Бланк заказа NEW'!$B$19:$B$201),'Бланк OLD 0.8 04'!$B$12:$K$200,2,0)="","",VLOOKUP($A514-COUNT('Шаг2.Бланк заказа NEW'!$B$19:$B$201),'Бланк OLD 0.8 04'!$B$12:$K$200,2,0))),
IF(VLOOKUP($A514-COUNT('Шаг2.Бланк заказа NEW'!$B$19:$B$201)-COUNT('Бланк OLD 0.8 04'!$B$18:$B$200),'Бланк OLD 2.0 04 '!$B$16:$K$200,2,0)="","",VLOOKUP($A514-COUNT('Шаг2.Бланк заказа NEW'!$B$19:$B$201)-COUNT('Бланк OLD 0.8 04'!$B$18:$B$200),'Бланк OLD 2.0 04 '!$B$16:$K$200,2,0)))</f>
        <v/>
      </c>
      <c r="F514" s="147" t="str">
        <f ca="1">IFERROR(IFERROR(IF(VLOOKUP($A514,'Шаг2.Бланк заказа NEW'!$B$17:$N$201,3,0)="","",VLOOKUP($A514,'Шаг2.Бланк заказа NEW'!$B$17:$N$201,3,0)),
IF(VLOOKUP($A514-COUNT('Шаг2.Бланк заказа NEW'!$B$19:$B$201),'Бланк OLD 0.8 04'!$B$12:$K$200,3,0)="","",VLOOKUP($A514-COUNT('Шаг2.Бланк заказа NEW'!$B$19:$B$201),'Бланк OLD 0.8 04'!$B$12:$K$200,3,0))),
IF(VLOOKUP($A514-COUNT('Шаг2.Бланк заказа NEW'!$B$19:$B$201)-COUNT('Бланк OLD 0.8 04'!$B$18:$B$200),'Бланк OLD 2.0 04 '!$B$16:$K$200,3,0)="","",VLOOKUP($A514-COUNT('Шаг2.Бланк заказа NEW'!$B$19:$B$201)-COUNT('Бланк OLD 0.8 04'!$B$18:$B$200),'Бланк OLD 2.0 04 '!$B$16:$K$200,3,0)))</f>
        <v/>
      </c>
      <c r="G514" s="176" t="str">
        <f ca="1">IF(IF(R514="","",IF(R514=1,SUMIFS('Шаг1.Выбор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плиты'!C:Q,12,0)),1))))))=0,
R514,
IF(R514="","",IF(R514=1,SUMIFS('Шаг1.Выбор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плиты'!N:N,R514,'Шаг1.Выбор плиты'!M:M,SMALL(INDIRECT("мм"&amp;VLOOKUP(C514,'Шаг1.Выбор плиты'!C:Q,12,0)),1)))))))</f>
        <v/>
      </c>
      <c r="H514" s="177" t="str">
        <f ca="1">IF(IF(S514="","",IF(S514=1,SUMIFS('Шаг1.Выбор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плиты'!C:Q,12,0)),1))))))=0,
S514,
IF(S514="","",IF(S514=1,SUMIFS('Шаг1.Выбор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плиты'!N:N,S514,'Шаг1.Выбор плиты'!M:M,SMALL(INDIRECT("мм"&amp;VLOOKUP(C514,'Шаг1.Выбор плиты'!C:Q,12,0)),1)))))))</f>
        <v/>
      </c>
      <c r="I514" s="147" t="str">
        <f ca="1">IFERROR(IFERROR(IF(VLOOKUP($A514,'Шаг2.Бланк заказа NEW'!$B$17:$N$201,6,0)="","",VLOOKUP($A514,'Шаг2.Бланк заказа NEW'!$B$17:$N$201,6,0)),
IF(VLOOKUP($A514-COUNT('Шаг2.Бланк заказа NEW'!$B$19:$B$201),'Бланк OLD 0.8 04'!$B$12:$K$200,6,0)="","",VLOOKUP($A514-COUNT('Шаг2.Бланк заказа NEW'!$B$19:$B$201),'Бланк OLD 0.8 04'!$B$12:$K$200,6,0))),
IF(VLOOKUP($A514-COUNT('Шаг2.Бланк заказа NEW'!$B$19:$B$201)-COUNT('Бланк OLD 0.8 04'!$B$18:$B$200),'Бланк OLD 2.0 04 '!$B$16:$K$200,6,0)="","",VLOOKUP($A514-COUNT('Шаг2.Бланк заказа NEW'!$B$19:$B$201)-COUNT('Бланк OLD 0.8 04'!$B$18:$B$200),'Бланк OLD 2.0 04 '!$B$16:$K$200,6,0)))</f>
        <v/>
      </c>
      <c r="J514" s="177" t="str">
        <f ca="1">IF(IF(T514="","",IF(T514=1,SUMIFS('Шаг1.Выбор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плиты'!C:Q,12,0)),1))))))=0,
T514,
IF(T514="","",IF(T514=1,SUMIFS('Шаг1.Выбор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плиты'!N:N,T514,'Шаг1.Выбор плиты'!M:M,SMALL(INDIRECT("мм"&amp;VLOOKUP(C514,'Шаг1.Выбор плиты'!C:Q,12,0)),1)))))))</f>
        <v/>
      </c>
      <c r="K514" s="177" t="str">
        <f ca="1">IF(IF(U514="","",IF(U514=1,SUMIFS('Шаг1.Выбор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плиты'!C:Q,12,0)),1))))))=0,
U514,
IF(U514="","",IF(U514=1,SUMIFS('Шаг1.Выбор плиты'!$G:$G,'Шаг1.Выбор плиты'!J:J,"*"&amp;RIGHT(VLOOKUP(C514,'Шаг1.Выбор плиты'!C:Q,8,0),4),'Шаг1.Выбор плиты'!L:L,IF(MID(C514,1,6)="ЛДСП P","TM"&amp;MID(VLOOKUP(C514,'Шаг1.Выбор плиты'!C:Q,10,0),3,2),MID(VLOOKUP(C514,'Шаг1.Выбор плиты'!C:Q,10,0),1,2)),
'Шаг1.Выбор плиты'!N:N,1),IF(SUMIFS('Шаг1.Выбор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плиты'!C:Q,12,0)),1))=0,
IF(SUMIFS('Шаг1.Выбор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плиты'!C:Q,12,0)),2))=0,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плиты'!C:Q,12,0)),3)),
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плиты'!C:Q,12,0)),2))),
(SUMIFS('Шаг1.Выбор плиты'!$G:$G,'Шаг1.Выбор плиты'!J:J,"*"&amp;RIGHT(VLOOKUP(C514,'Шаг1.Выбор плиты'!C:Q,8,0),4),'Шаг1.Выбор плиты'!L:L,VLOOKUP(C514,'Шаг1.Выбор плиты'!C:Q,10,0),'Шаг1.Выбор плиты'!N:N,U514,'Шаг1.Выбор плиты'!M:M,SMALL(INDIRECT("мм"&amp;VLOOKUP(C514,'Шаг1.Выбор плиты'!C:Q,12,0)),1)))))))</f>
        <v/>
      </c>
      <c r="L514" s="147" t="str">
        <f ca="1">IFERROR(IFERROR(IF(VLOOKUP($A514,'Шаг2.Бланк заказа NEW'!$B$17:$N$201,9,0)="","",VLOOKUP($A514,'Шаг2.Бланк заказа NEW'!$B$17:$N$201,9,0)),
IF(VLOOKUP($A514-COUNT('Шаг2.Бланк заказа NEW'!$B$19:$B$201),'Бланк OLD 0.8 04'!$B$12:$K$200,9,0)="","",VLOOKUP($A514-COUNT('Шаг2.Бланк заказа NEW'!$B$19:$B$201),'Бланк OLD 0.8 04'!$B$12:$K$200,9,0))),
IF(VLOOKUP($A514-COUNT('Шаг2.Бланк заказа NEW'!$B$19:$B$201)-COUNT('Бланк OLD 0.8 04'!$B$18:$B$200),'Бланк OLD 2.0 04 '!$B$16:$K$200,9,0)="","",VLOOKUP($A514-COUNT('Шаг2.Бланк заказа NEW'!$B$19:$B$201)-COUNT('Бланк OLD 0.8 04'!$B$18:$B$200),'Бланк OLD 2.0 04 '!$B$16:$K$200,9,0)))</f>
        <v/>
      </c>
      <c r="M514" s="154" t="str">
        <f t="shared" ca="1" si="49"/>
        <v/>
      </c>
      <c r="N514" s="153" t="str">
        <f ca="1">IFERROR(IF(VLOOKUP($A514,'Шаг2.Бланк заказа NEW'!$B$17:$N$201,11,0)="","",VLOOKUP($A514,'Шаг2.Бланк заказа NEW'!$B$17:$N$201,11,0)),
"Нет")</f>
        <v/>
      </c>
      <c r="O514" s="147" t="str">
        <f ca="1">IFERROR(IF(VLOOKUP($A514,'Шаг2.Бланк заказа NEW'!$B$17:$N$201,11,0)="","",VLOOKUP($A514,'Шаг2.Бланк заказа NEW'!$B$17:$N$201,12,0)),
"Нет")</f>
        <v/>
      </c>
      <c r="P514" s="153" t="str">
        <f ca="1">IFERROR(IF(VLOOKUP($A514,'Шаг2.Бланк заказа NEW'!$B$17:$N$201,13,0)="","",VLOOKUP($A514,'Шаг2.Бланк заказа NEW'!$B$17:$N$201,13,0)),
"Нет")</f>
        <v/>
      </c>
      <c r="Q514" s="147" t="str">
        <f ca="1">IFERROR(IF(VLOOKUP($A514,'Шаг2.Бланк заказа NEW'!$B$17:$O$201,14,0)="","",VLOOKUP($A514,'Шаг2.Бланк заказа NEW'!$B$17:$O$201,14,0)),"")</f>
        <v/>
      </c>
      <c r="R514" s="147" t="str">
        <f ca="1">IFERROR(IFERROR(IF(VLOOKUP($A514,'Шаг2.Бланк заказа NEW'!$B$17:$N$201,4,0)="","",VLOOKUP($A514,'Шаг2.Бланк заказа NEW'!$B$17:$N$201,4,0)),
IF(VLOOKUP($A514-COUNT('Шаг2.Бланк заказа NEW'!$B$19:$B$201),'Бланк OLD 0.8 04'!$B$12:$K$200,4,0)&gt;0,0.8,
IF(VLOOKUP($A514-COUNT('Шаг2.Бланк заказа NEW'!$B$19:$B$201),'Бланк OLD 0.8 04'!$B$12:$K$200,5,0)&gt;0,0.4,""))),
IF(VLOOKUP($A514-COUNT('Шаг2.Бланк заказа NEW'!$B$19:$B$201)-COUNT('Бланк OLD 0.8 04'!$B$18:$B$200),'Бланк OLD 2.0 04 '!$B$16:$K$200,4,0)&gt;0,2,IF(VLOOKUP($A514-COUNT('Шаг2.Бланк заказа NEW'!$B$19:$B$201)-COUNT('Бланк OLD 0.8 04'!$B$18:$B$200),'Бланк OLD 2.0 04 '!$B$16:$K$200,5,0)&gt;0,0.4,"")))</f>
        <v/>
      </c>
      <c r="S514" s="147" t="str">
        <f ca="1">IFERROR(IFERROR(IF(VLOOKUP($A514,'Шаг2.Бланк заказа NEW'!$B$17:$N$201,5,0)="","",VLOOKUP($A514,'Шаг2.Бланк заказа NEW'!$B$17:$N$201,5,0)),
IF(VLOOKUP($A514-COUNT('Шаг2.Бланк заказа NEW'!$B$19:$B$201),'Бланк OLD 0.8 04'!$B$12:$K$200,4,0)&gt;1,0.8,
IF(VLOOKUP($A514-COUNT('Шаг2.Бланк заказа NEW'!$B$19:$B$201),'Бланк OLD 0.8 04'!$B$12:$K$200,5,0)&gt;1,0.4,
IF(AND(VLOOKUP($A514-COUNT('Шаг2.Бланк заказа NEW'!$B$19:$B$201),'Бланк OLD 0.8 04'!$B$12:$K$200,4,0)&gt;0,VLOOKUP($A514-COUNT('Шаг2.Бланк заказа NEW'!$B$19:$B$201),'Бланк OLD 0.8 04'!$B$12:$K$200,5,0)&gt;0),0.4,"")))),
IF(VLOOKUP($A514-COUNT('Шаг2.Бланк заказа NEW'!$B$19:$B$201)-COUNT('Бланк OLD 0.8 04'!$B$18:$B$200),'Бланк OLD 2.0 04 '!$B$16:$K$200,4,0)&gt;1,2,
IF(VLOOKUP($A514-COUNT('Шаг2.Бланк заказа NEW'!$B$19:$B$201)-COUNT('Бланк OLD 0.8 04'!$B$18:$B$200),'Бланк OLD 2.0 04 '!$B$16:$K$200,5,0)&gt;1,0.4,IF(AND(VLOOKUP($A514-COUNT('Шаг2.Бланк заказа NEW'!$B$19:$B$201)-COUNT('Бланк OLD 0.8 04'!$B$18:$B$200),'Бланк OLD 2.0 04 '!$B$16:$K$200,4,0)&gt;0,VLOOKUP($A514-COUNT('Шаг2.Бланк заказа NEW'!$B$19:$B$201)-COUNT('Бланк OLD 0.8 04'!$B$18:$B$200),'Бланк OLD 2.0 04 '!$B$16:$K$200,5,0)&gt;0),0.4,""))))</f>
        <v/>
      </c>
      <c r="T514" s="147" t="str">
        <f ca="1">IFERROR(IFERROR(IF(VLOOKUP($A514,'Шаг2.Бланк заказа NEW'!$B$17:$N$201,7,0)="","",VLOOKUP($A514,'Шаг2.Бланк заказа NEW'!$B$17:$N$201,7,0)),
IF(VLOOKUP($A514-COUNT('Шаг2.Бланк заказа NEW'!$B$19:$B$201),'Бланк OLD 0.8 04'!$B$12:$K$200,7,0)&gt;0,0.8,
IF(VLOOKUP($A514-COUNT('Шаг2.Бланк заказа NEW'!$B$19:$B$201),'Бланк OLD 0.8 04'!$B$12:$K$200,8,0)&gt;0,0.4,""))),
IF(VLOOKUP($A514-COUNT('Шаг2.Бланк заказа NEW'!$B$19:$B$201)-COUNT('Бланк OLD 0.8 04'!$B$18:$B$200),'Бланк OLD 2.0 04 '!$B$16:$K$200,7,0)&gt;0,2,IF(VLOOKUP($A514-COUNT('Шаг2.Бланк заказа NEW'!$B$19:$B$201)-COUNT('Бланк OLD 0.8 04'!$B$18:$B$200),'Бланк OLD 2.0 04 '!$B$16:$K$200,8,0)&gt;0,0.4,"")))</f>
        <v/>
      </c>
      <c r="U514" s="147" t="str">
        <f ca="1">IFERROR(IFERROR(IF(VLOOKUP($A514,'Шаг2.Бланк заказа NEW'!$B$17:$N$201,8,0)="","",VLOOKUP($A514,'Шаг2.Бланк заказа NEW'!$B$17:$N$201,8,0)),
IF(VLOOKUP($A514-COUNT('Шаг2.Бланк заказа NEW'!$B$19:$B$201),'Бланк OLD 0.8 04'!$B$12:$K$200,7,0)&gt;1,0.8,
IF(VLOOKUP($A514-COUNT('Шаг2.Бланк заказа NEW'!$B$19:$B$201),'Бланк OLD 0.8 04'!$B$12:$K$200,8,0)&gt;1,0.4,
IF(AND(VLOOKUP($A514-COUNT('Шаг2.Бланк заказа NEW'!$B$19:$B$201),'Бланк OLD 0.8 04'!$B$12:$K$200,7,0)&gt;0,VLOOKUP($A514-COUNT('Шаг2.Бланк заказа NEW'!$B$19:$B$201),'Бланк OLD 0.8 04'!$B$12:$K$200,8,0)&gt;0),0.4,"")))),
IF(VLOOKUP($A514-COUNT('Шаг2.Бланк заказа NEW'!$B$19:$B$201)-COUNT('Бланк OLD 0.8 04'!$B$18:$B$200),'Бланк OLD 2.0 04 '!$B$16:$K$200,7,0)&gt;1,2,
IF(VLOOKUP($A514-COUNT('Шаг2.Бланк заказа NEW'!$B$19:$B$201)-COUNT('Бланк OLD 0.8 04'!$B$18:$B$200),'Бланк OLD 2.0 04 '!$B$16:$K$200,8,0)&gt;1,0.4,
IF(AND(VLOOKUP($A514-COUNT('Шаг2.Бланк заказа NEW'!$B$19:$B$201)-COUNT('Бланк OLD 0.8 04'!$B$18:$B$200),'Бланк OLD 2.0 04 '!$B$16:$K$200,7,0)&gt;0,VLOOKUP($A514-COUNT('Шаг2.Бланк заказа NEW'!$B$19:$B$201)-COUNT('Бланк OLD 0.8 04'!$B$18:$B$200),'Бланк OLD 2.0 04 '!$B$16:$K$200,8,0)&gt;0),0.4,""))))</f>
        <v/>
      </c>
      <c r="V514" s="146" t="str">
        <f ca="1">IFERROR(VLOOKUP(C514,'Шаг1.Выбор плиты'!C:S,12,0),"")</f>
        <v/>
      </c>
      <c r="W514" s="146" t="str">
        <f ca="1">IFERROR(VLOOKUP(C514,'Шаг1.Выбор плиты'!C:S,8,0),"")</f>
        <v/>
      </c>
      <c r="X514" s="146" t="str">
        <f ca="1">IFERROR(VLOOKUP(C514,'Шаг1.Выбор плиты'!C:S,10,0),"")</f>
        <v/>
      </c>
      <c r="Y514" s="147" t="str">
        <f t="shared" ca="1" si="46"/>
        <v/>
      </c>
      <c r="AD514" s="147" t="str">
        <f t="shared" ca="1" si="48"/>
        <v/>
      </c>
      <c r="AE514" s="147" t="str">
        <f t="shared" ca="1" si="47"/>
        <v/>
      </c>
      <c r="AF514" s="25"/>
      <c r="AH514" s="147" t="str">
        <f ca="1">IF(C514="","",VLOOKUP(C514,'Шаг1.Выбор плиты'!C:Q,7,0))</f>
        <v/>
      </c>
      <c r="AI514" s="147" t="str">
        <f t="shared" ca="1" si="50"/>
        <v/>
      </c>
    </row>
    <row r="515" spans="1:35" x14ac:dyDescent="0.2">
      <c r="A515" s="151" t="str">
        <f ca="1">IF(C515="","",MAX($A$1:OFFSET(C515,-1,0))+1)</f>
        <v/>
      </c>
      <c r="B515" s="151" t="str">
        <f ca="1">IFERROR(IFERROR(IFERROR("Шаг2.Бланк заказа NEW №"&amp;VLOOKUP(A514+1,CHOOSE({1,2},'Шаг2.Бланк заказа NEW'!$B$19:$B$201,'Шаг2.Бланк заказа NEW'!$A$19:$A$201),1,0),
"Бланк OLD 0.8 04 №"&amp;VLOOKUP(A514+1-COUNT('Шаг2.Бланк заказа NEW'!$B$19:$B$201),CHOOSE({1,2},'Бланк OLD 0.8 04'!$B$18:$B$200,'Бланк OLD 0.8 04'!$A$18:$A$200),1,0)),
"Бланк OLD 2.0 04 №"&amp;VLOOKUP(A514+1-COUNT('Шаг2.Бланк заказа NEW'!$B$19:$B$201)-COUNT('Бланк OLD 0.8 04'!$B$18:$B$200),CHOOSE({1,2},'Бланк OLD 2.0 04 '!$B$18:$B$200,'Бланк OLD 2.0 04 '!$A$18:$A$200),1,0)),"")</f>
        <v/>
      </c>
      <c r="C515" s="152" t="str">
        <f ca="1">IFERROR(IFERROR(IFERROR(VLOOKUP(A514+1,CHOOSE({1,2},'Шаг2.Бланк заказа NEW'!$B$19:$B$201,'Шаг2.Бланк заказа NEW'!$A$19:$A$201),2,0),
VLOOKUP(A514+1-COUNT('Шаг2.Бланк заказа NEW'!$B$19:$B$201),CHOOSE({1,2},'Бланк OLD 0.8 04'!$B$18:$B$200,'Бланк OLD 0.8 04'!$A$18:$A$200),2,0)),
VLOOKUP(A514+1-COUNT('Шаг2.Бланк заказа NEW'!$B$19:$B$201)-COUNT('Бланк OLD 0.8 04'!$B$18:$B$200),CHOOSE({1,2},'Бланк OLD 2.0 04 '!$B$18:$B$200,'Бланк OLD 2.0 04 '!$A$18:$A$200),2,0)),"")</f>
        <v/>
      </c>
      <c r="D515" s="150" t="str">
        <f ca="1">IFERROR(VLOOKUP(C515,'Шаг1.Выбор плиты'!C:G,5,0),"")</f>
        <v/>
      </c>
      <c r="E515" s="147" t="str">
        <f ca="1">IFERROR(IFERROR(IF(VLOOKUP($A515,'Шаг2.Бланк заказа NEW'!$B$17:$N$201,2,0)="","",VLOOKUP($A515,'Шаг2.Бланк заказа NEW'!$B$17:$N$201,2,0)),
IF(VLOOKUP($A515-COUNT('Шаг2.Бланк заказа NEW'!$B$19:$B$201),'Бланк OLD 0.8 04'!$B$12:$K$200,2,0)="","",VLOOKUP($A515-COUNT('Шаг2.Бланк заказа NEW'!$B$19:$B$201),'Бланк OLD 0.8 04'!$B$12:$K$200,2,0))),
IF(VLOOKUP($A515-COUNT('Шаг2.Бланк заказа NEW'!$B$19:$B$201)-COUNT('Бланк OLD 0.8 04'!$B$18:$B$200),'Бланк OLD 2.0 04 '!$B$16:$K$200,2,0)="","",VLOOKUP($A515-COUNT('Шаг2.Бланк заказа NEW'!$B$19:$B$201)-COUNT('Бланк OLD 0.8 04'!$B$18:$B$200),'Бланк OLD 2.0 04 '!$B$16:$K$200,2,0)))</f>
        <v/>
      </c>
      <c r="F515" s="147" t="str">
        <f ca="1">IFERROR(IFERROR(IF(VLOOKUP($A515,'Шаг2.Бланк заказа NEW'!$B$17:$N$201,3,0)="","",VLOOKUP($A515,'Шаг2.Бланк заказа NEW'!$B$17:$N$201,3,0)),
IF(VLOOKUP($A515-COUNT('Шаг2.Бланк заказа NEW'!$B$19:$B$201),'Бланк OLD 0.8 04'!$B$12:$K$200,3,0)="","",VLOOKUP($A515-COUNT('Шаг2.Бланк заказа NEW'!$B$19:$B$201),'Бланк OLD 0.8 04'!$B$12:$K$200,3,0))),
IF(VLOOKUP($A515-COUNT('Шаг2.Бланк заказа NEW'!$B$19:$B$201)-COUNT('Бланк OLD 0.8 04'!$B$18:$B$200),'Бланк OLD 2.0 04 '!$B$16:$K$200,3,0)="","",VLOOKUP($A515-COUNT('Шаг2.Бланк заказа NEW'!$B$19:$B$201)-COUNT('Бланк OLD 0.8 04'!$B$18:$B$200),'Бланк OLD 2.0 04 '!$B$16:$K$200,3,0)))</f>
        <v/>
      </c>
      <c r="G515" s="176" t="str">
        <f ca="1">IF(IF(R515="","",IF(R515=1,SUMIFS('Шаг1.Выбор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плиты'!C:Q,12,0)),1))))))=0,
R515,
IF(R515="","",IF(R515=1,SUMIFS('Шаг1.Выбор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плиты'!N:N,R515,'Шаг1.Выбор плиты'!M:M,SMALL(INDIRECT("мм"&amp;VLOOKUP(C515,'Шаг1.Выбор плиты'!C:Q,12,0)),1)))))))</f>
        <v/>
      </c>
      <c r="H515" s="177" t="str">
        <f ca="1">IF(IF(S515="","",IF(S515=1,SUMIFS('Шаг1.Выбор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плиты'!C:Q,12,0)),1))))))=0,
S515,
IF(S515="","",IF(S515=1,SUMIFS('Шаг1.Выбор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плиты'!N:N,S515,'Шаг1.Выбор плиты'!M:M,SMALL(INDIRECT("мм"&amp;VLOOKUP(C515,'Шаг1.Выбор плиты'!C:Q,12,0)),1)))))))</f>
        <v/>
      </c>
      <c r="I515" s="147" t="str">
        <f ca="1">IFERROR(IFERROR(IF(VLOOKUP($A515,'Шаг2.Бланк заказа NEW'!$B$17:$N$201,6,0)="","",VLOOKUP($A515,'Шаг2.Бланк заказа NEW'!$B$17:$N$201,6,0)),
IF(VLOOKUP($A515-COUNT('Шаг2.Бланк заказа NEW'!$B$19:$B$201),'Бланк OLD 0.8 04'!$B$12:$K$200,6,0)="","",VLOOKUP($A515-COUNT('Шаг2.Бланк заказа NEW'!$B$19:$B$201),'Бланк OLD 0.8 04'!$B$12:$K$200,6,0))),
IF(VLOOKUP($A515-COUNT('Шаг2.Бланк заказа NEW'!$B$19:$B$201)-COUNT('Бланк OLD 0.8 04'!$B$18:$B$200),'Бланк OLD 2.0 04 '!$B$16:$K$200,6,0)="","",VLOOKUP($A515-COUNT('Шаг2.Бланк заказа NEW'!$B$19:$B$201)-COUNT('Бланк OLD 0.8 04'!$B$18:$B$200),'Бланк OLD 2.0 04 '!$B$16:$K$200,6,0)))</f>
        <v/>
      </c>
      <c r="J515" s="177" t="str">
        <f ca="1">IF(IF(T515="","",IF(T515=1,SUMIFS('Шаг1.Выбор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плиты'!C:Q,12,0)),1))))))=0,
T515,
IF(T515="","",IF(T515=1,SUMIFS('Шаг1.Выбор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плиты'!N:N,T515,'Шаг1.Выбор плиты'!M:M,SMALL(INDIRECT("мм"&amp;VLOOKUP(C515,'Шаг1.Выбор плиты'!C:Q,12,0)),1)))))))</f>
        <v/>
      </c>
      <c r="K515" s="177" t="str">
        <f ca="1">IF(IF(U515="","",IF(U515=1,SUMIFS('Шаг1.Выбор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плиты'!C:Q,12,0)),1))))))=0,
U515,
IF(U515="","",IF(U515=1,SUMIFS('Шаг1.Выбор плиты'!$G:$G,'Шаг1.Выбор плиты'!J:J,"*"&amp;RIGHT(VLOOKUP(C515,'Шаг1.Выбор плиты'!C:Q,8,0),4),'Шаг1.Выбор плиты'!L:L,IF(MID(C515,1,6)="ЛДСП P","TM"&amp;MID(VLOOKUP(C515,'Шаг1.Выбор плиты'!C:Q,10,0),3,2),MID(VLOOKUP(C515,'Шаг1.Выбор плиты'!C:Q,10,0),1,2)),
'Шаг1.Выбор плиты'!N:N,1),IF(SUMIFS('Шаг1.Выбор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плиты'!C:Q,12,0)),1))=0,
IF(SUMIFS('Шаг1.Выбор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плиты'!C:Q,12,0)),2))=0,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плиты'!C:Q,12,0)),3)),
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плиты'!C:Q,12,0)),2))),
(SUMIFS('Шаг1.Выбор плиты'!$G:$G,'Шаг1.Выбор плиты'!J:J,"*"&amp;RIGHT(VLOOKUP(C515,'Шаг1.Выбор плиты'!C:Q,8,0),4),'Шаг1.Выбор плиты'!L:L,VLOOKUP(C515,'Шаг1.Выбор плиты'!C:Q,10,0),'Шаг1.Выбор плиты'!N:N,U515,'Шаг1.Выбор плиты'!M:M,SMALL(INDIRECT("мм"&amp;VLOOKUP(C515,'Шаг1.Выбор плиты'!C:Q,12,0)),1)))))))</f>
        <v/>
      </c>
      <c r="L515" s="147" t="str">
        <f ca="1">IFERROR(IFERROR(IF(VLOOKUP($A515,'Шаг2.Бланк заказа NEW'!$B$17:$N$201,9,0)="","",VLOOKUP($A515,'Шаг2.Бланк заказа NEW'!$B$17:$N$201,9,0)),
IF(VLOOKUP($A515-COUNT('Шаг2.Бланк заказа NEW'!$B$19:$B$201),'Бланк OLD 0.8 04'!$B$12:$K$200,9,0)="","",VLOOKUP($A515-COUNT('Шаг2.Бланк заказа NEW'!$B$19:$B$201),'Бланк OLD 0.8 04'!$B$12:$K$200,9,0))),
IF(VLOOKUP($A515-COUNT('Шаг2.Бланк заказа NEW'!$B$19:$B$201)-COUNT('Бланк OLD 0.8 04'!$B$18:$B$200),'Бланк OLD 2.0 04 '!$B$16:$K$200,9,0)="","",VLOOKUP($A515-COUNT('Шаг2.Бланк заказа NEW'!$B$19:$B$201)-COUNT('Бланк OLD 0.8 04'!$B$18:$B$200),'Бланк OLD 2.0 04 '!$B$16:$K$200,9,0)))</f>
        <v/>
      </c>
      <c r="M515" s="154" t="str">
        <f t="shared" ca="1" si="49"/>
        <v/>
      </c>
      <c r="N515" s="153" t="str">
        <f ca="1">IFERROR(IF(VLOOKUP($A515,'Шаг2.Бланк заказа NEW'!$B$17:$N$201,11,0)="","",VLOOKUP($A515,'Шаг2.Бланк заказа NEW'!$B$17:$N$201,11,0)),
"Нет")</f>
        <v/>
      </c>
      <c r="O515" s="147" t="str">
        <f ca="1">IFERROR(IF(VLOOKUP($A515,'Шаг2.Бланк заказа NEW'!$B$17:$N$201,11,0)="","",VLOOKUP($A515,'Шаг2.Бланк заказа NEW'!$B$17:$N$201,12,0)),
"Нет")</f>
        <v/>
      </c>
      <c r="P515" s="153" t="str">
        <f ca="1">IFERROR(IF(VLOOKUP($A515,'Шаг2.Бланк заказа NEW'!$B$17:$N$201,13,0)="","",VLOOKUP($A515,'Шаг2.Бланк заказа NEW'!$B$17:$N$201,13,0)),
"Нет")</f>
        <v/>
      </c>
      <c r="Q515" s="147" t="str">
        <f ca="1">IFERROR(IF(VLOOKUP($A515,'Шаг2.Бланк заказа NEW'!$B$17:$O$201,14,0)="","",VLOOKUP($A515,'Шаг2.Бланк заказа NEW'!$B$17:$O$201,14,0)),"")</f>
        <v/>
      </c>
      <c r="R515" s="147" t="str">
        <f ca="1">IFERROR(IFERROR(IF(VLOOKUP($A515,'Шаг2.Бланк заказа NEW'!$B$17:$N$201,4,0)="","",VLOOKUP($A515,'Шаг2.Бланк заказа NEW'!$B$17:$N$201,4,0)),
IF(VLOOKUP($A515-COUNT('Шаг2.Бланк заказа NEW'!$B$19:$B$201),'Бланк OLD 0.8 04'!$B$12:$K$200,4,0)&gt;0,0.8,
IF(VLOOKUP($A515-COUNT('Шаг2.Бланк заказа NEW'!$B$19:$B$201),'Бланк OLD 0.8 04'!$B$12:$K$200,5,0)&gt;0,0.4,""))),
IF(VLOOKUP($A515-COUNT('Шаг2.Бланк заказа NEW'!$B$19:$B$201)-COUNT('Бланк OLD 0.8 04'!$B$18:$B$200),'Бланк OLD 2.0 04 '!$B$16:$K$200,4,0)&gt;0,2,IF(VLOOKUP($A515-COUNT('Шаг2.Бланк заказа NEW'!$B$19:$B$201)-COUNT('Бланк OLD 0.8 04'!$B$18:$B$200),'Бланк OLD 2.0 04 '!$B$16:$K$200,5,0)&gt;0,0.4,"")))</f>
        <v/>
      </c>
      <c r="S515" s="147" t="str">
        <f ca="1">IFERROR(IFERROR(IF(VLOOKUP($A515,'Шаг2.Бланк заказа NEW'!$B$17:$N$201,5,0)="","",VLOOKUP($A515,'Шаг2.Бланк заказа NEW'!$B$17:$N$201,5,0)),
IF(VLOOKUP($A515-COUNT('Шаг2.Бланк заказа NEW'!$B$19:$B$201),'Бланк OLD 0.8 04'!$B$12:$K$200,4,0)&gt;1,0.8,
IF(VLOOKUP($A515-COUNT('Шаг2.Бланк заказа NEW'!$B$19:$B$201),'Бланк OLD 0.8 04'!$B$12:$K$200,5,0)&gt;1,0.4,
IF(AND(VLOOKUP($A515-COUNT('Шаг2.Бланк заказа NEW'!$B$19:$B$201),'Бланк OLD 0.8 04'!$B$12:$K$200,4,0)&gt;0,VLOOKUP($A515-COUNT('Шаг2.Бланк заказа NEW'!$B$19:$B$201),'Бланк OLD 0.8 04'!$B$12:$K$200,5,0)&gt;0),0.4,"")))),
IF(VLOOKUP($A515-COUNT('Шаг2.Бланк заказа NEW'!$B$19:$B$201)-COUNT('Бланк OLD 0.8 04'!$B$18:$B$200),'Бланк OLD 2.0 04 '!$B$16:$K$200,4,0)&gt;1,2,
IF(VLOOKUP($A515-COUNT('Шаг2.Бланк заказа NEW'!$B$19:$B$201)-COUNT('Бланк OLD 0.8 04'!$B$18:$B$200),'Бланк OLD 2.0 04 '!$B$16:$K$200,5,0)&gt;1,0.4,IF(AND(VLOOKUP($A515-COUNT('Шаг2.Бланк заказа NEW'!$B$19:$B$201)-COUNT('Бланк OLD 0.8 04'!$B$18:$B$200),'Бланк OLD 2.0 04 '!$B$16:$K$200,4,0)&gt;0,VLOOKUP($A515-COUNT('Шаг2.Бланк заказа NEW'!$B$19:$B$201)-COUNT('Бланк OLD 0.8 04'!$B$18:$B$200),'Бланк OLD 2.0 04 '!$B$16:$K$200,5,0)&gt;0),0.4,""))))</f>
        <v/>
      </c>
      <c r="T515" s="147" t="str">
        <f ca="1">IFERROR(IFERROR(IF(VLOOKUP($A515,'Шаг2.Бланк заказа NEW'!$B$17:$N$201,7,0)="","",VLOOKUP($A515,'Шаг2.Бланк заказа NEW'!$B$17:$N$201,7,0)),
IF(VLOOKUP($A515-COUNT('Шаг2.Бланк заказа NEW'!$B$19:$B$201),'Бланк OLD 0.8 04'!$B$12:$K$200,7,0)&gt;0,0.8,
IF(VLOOKUP($A515-COUNT('Шаг2.Бланк заказа NEW'!$B$19:$B$201),'Бланк OLD 0.8 04'!$B$12:$K$200,8,0)&gt;0,0.4,""))),
IF(VLOOKUP($A515-COUNT('Шаг2.Бланк заказа NEW'!$B$19:$B$201)-COUNT('Бланк OLD 0.8 04'!$B$18:$B$200),'Бланк OLD 2.0 04 '!$B$16:$K$200,7,0)&gt;0,2,IF(VLOOKUP($A515-COUNT('Шаг2.Бланк заказа NEW'!$B$19:$B$201)-COUNT('Бланк OLD 0.8 04'!$B$18:$B$200),'Бланк OLD 2.0 04 '!$B$16:$K$200,8,0)&gt;0,0.4,"")))</f>
        <v/>
      </c>
      <c r="U515" s="147" t="str">
        <f ca="1">IFERROR(IFERROR(IF(VLOOKUP($A515,'Шаг2.Бланк заказа NEW'!$B$17:$N$201,8,0)="","",VLOOKUP($A515,'Шаг2.Бланк заказа NEW'!$B$17:$N$201,8,0)),
IF(VLOOKUP($A515-COUNT('Шаг2.Бланк заказа NEW'!$B$19:$B$201),'Бланк OLD 0.8 04'!$B$12:$K$200,7,0)&gt;1,0.8,
IF(VLOOKUP($A515-COUNT('Шаг2.Бланк заказа NEW'!$B$19:$B$201),'Бланк OLD 0.8 04'!$B$12:$K$200,8,0)&gt;1,0.4,
IF(AND(VLOOKUP($A515-COUNT('Шаг2.Бланк заказа NEW'!$B$19:$B$201),'Бланк OLD 0.8 04'!$B$12:$K$200,7,0)&gt;0,VLOOKUP($A515-COUNT('Шаг2.Бланк заказа NEW'!$B$19:$B$201),'Бланк OLD 0.8 04'!$B$12:$K$200,8,0)&gt;0),0.4,"")))),
IF(VLOOKUP($A515-COUNT('Шаг2.Бланк заказа NEW'!$B$19:$B$201)-COUNT('Бланк OLD 0.8 04'!$B$18:$B$200),'Бланк OLD 2.0 04 '!$B$16:$K$200,7,0)&gt;1,2,
IF(VLOOKUP($A515-COUNT('Шаг2.Бланк заказа NEW'!$B$19:$B$201)-COUNT('Бланк OLD 0.8 04'!$B$18:$B$200),'Бланк OLD 2.0 04 '!$B$16:$K$200,8,0)&gt;1,0.4,
IF(AND(VLOOKUP($A515-COUNT('Шаг2.Бланк заказа NEW'!$B$19:$B$201)-COUNT('Бланк OLD 0.8 04'!$B$18:$B$200),'Бланк OLD 2.0 04 '!$B$16:$K$200,7,0)&gt;0,VLOOKUP($A515-COUNT('Шаг2.Бланк заказа NEW'!$B$19:$B$201)-COUNT('Бланк OLD 0.8 04'!$B$18:$B$200),'Бланк OLD 2.0 04 '!$B$16:$K$200,8,0)&gt;0),0.4,""))))</f>
        <v/>
      </c>
      <c r="V515" s="146" t="str">
        <f ca="1">IFERROR(VLOOKUP(C515,'Шаг1.Выбор плиты'!C:S,12,0),"")</f>
        <v/>
      </c>
      <c r="W515" s="146" t="str">
        <f ca="1">IFERROR(VLOOKUP(C515,'Шаг1.Выбор плиты'!C:S,8,0),"")</f>
        <v/>
      </c>
      <c r="X515" s="146" t="str">
        <f ca="1">IFERROR(VLOOKUP(C515,'Шаг1.Выбор плиты'!C:S,10,0),"")</f>
        <v/>
      </c>
      <c r="Y515" s="147" t="str">
        <f t="shared" ref="Y515:Y578" ca="1" si="51">IF(C515="","",$Z$7)</f>
        <v/>
      </c>
      <c r="AD515" s="147" t="str">
        <f t="shared" ca="1" si="48"/>
        <v/>
      </c>
      <c r="AE515" s="147" t="str">
        <f t="shared" ref="AE515:AE578" ca="1" si="52">IF(B515="","","kwadrat"&amp;(V515*1))</f>
        <v/>
      </c>
      <c r="AF515" s="25"/>
      <c r="AH515" s="147" t="str">
        <f ca="1">IF(C515="","",VLOOKUP(C515,'Шаг1.Выбор плиты'!C:Q,7,0))</f>
        <v/>
      </c>
      <c r="AI515" s="147" t="str">
        <f t="shared" ca="1" si="50"/>
        <v/>
      </c>
    </row>
    <row r="516" spans="1:35" x14ac:dyDescent="0.2">
      <c r="A516" s="151" t="str">
        <f ca="1">IF(C516="","",MAX($A$1:OFFSET(C516,-1,0))+1)</f>
        <v/>
      </c>
      <c r="B516" s="151" t="str">
        <f ca="1">IFERROR(IFERROR(IFERROR("Шаг2.Бланк заказа NEW №"&amp;VLOOKUP(A515+1,CHOOSE({1,2},'Шаг2.Бланк заказа NEW'!$B$19:$B$201,'Шаг2.Бланк заказа NEW'!$A$19:$A$201),1,0),
"Бланк OLD 0.8 04 №"&amp;VLOOKUP(A515+1-COUNT('Шаг2.Бланк заказа NEW'!$B$19:$B$201),CHOOSE({1,2},'Бланк OLD 0.8 04'!$B$18:$B$200,'Бланк OLD 0.8 04'!$A$18:$A$200),1,0)),
"Бланк OLD 2.0 04 №"&amp;VLOOKUP(A515+1-COUNT('Шаг2.Бланк заказа NEW'!$B$19:$B$201)-COUNT('Бланк OLD 0.8 04'!$B$18:$B$200),CHOOSE({1,2},'Бланк OLD 2.0 04 '!$B$18:$B$200,'Бланк OLD 2.0 04 '!$A$18:$A$200),1,0)),"")</f>
        <v/>
      </c>
      <c r="C516" s="152" t="str">
        <f ca="1">IFERROR(IFERROR(IFERROR(VLOOKUP(A515+1,CHOOSE({1,2},'Шаг2.Бланк заказа NEW'!$B$19:$B$201,'Шаг2.Бланк заказа NEW'!$A$19:$A$201),2,0),
VLOOKUP(A515+1-COUNT('Шаг2.Бланк заказа NEW'!$B$19:$B$201),CHOOSE({1,2},'Бланк OLD 0.8 04'!$B$18:$B$200,'Бланк OLD 0.8 04'!$A$18:$A$200),2,0)),
VLOOKUP(A515+1-COUNT('Шаг2.Бланк заказа NEW'!$B$19:$B$201)-COUNT('Бланк OLD 0.8 04'!$B$18:$B$200),CHOOSE({1,2},'Бланк OLD 2.0 04 '!$B$18:$B$200,'Бланк OLD 2.0 04 '!$A$18:$A$200),2,0)),"")</f>
        <v/>
      </c>
      <c r="D516" s="150" t="str">
        <f ca="1">IFERROR(VLOOKUP(C516,'Шаг1.Выбор плиты'!C:G,5,0),"")</f>
        <v/>
      </c>
      <c r="E516" s="147" t="str">
        <f ca="1">IFERROR(IFERROR(IF(VLOOKUP($A516,'Шаг2.Бланк заказа NEW'!$B$17:$N$201,2,0)="","",VLOOKUP($A516,'Шаг2.Бланк заказа NEW'!$B$17:$N$201,2,0)),
IF(VLOOKUP($A516-COUNT('Шаг2.Бланк заказа NEW'!$B$19:$B$201),'Бланк OLD 0.8 04'!$B$12:$K$200,2,0)="","",VLOOKUP($A516-COUNT('Шаг2.Бланк заказа NEW'!$B$19:$B$201),'Бланк OLD 0.8 04'!$B$12:$K$200,2,0))),
IF(VLOOKUP($A516-COUNT('Шаг2.Бланк заказа NEW'!$B$19:$B$201)-COUNT('Бланк OLD 0.8 04'!$B$18:$B$200),'Бланк OLD 2.0 04 '!$B$16:$K$200,2,0)="","",VLOOKUP($A516-COUNT('Шаг2.Бланк заказа NEW'!$B$19:$B$201)-COUNT('Бланк OLD 0.8 04'!$B$18:$B$200),'Бланк OLD 2.0 04 '!$B$16:$K$200,2,0)))</f>
        <v/>
      </c>
      <c r="F516" s="147" t="str">
        <f ca="1">IFERROR(IFERROR(IF(VLOOKUP($A516,'Шаг2.Бланк заказа NEW'!$B$17:$N$201,3,0)="","",VLOOKUP($A516,'Шаг2.Бланк заказа NEW'!$B$17:$N$201,3,0)),
IF(VLOOKUP($A516-COUNT('Шаг2.Бланк заказа NEW'!$B$19:$B$201),'Бланк OLD 0.8 04'!$B$12:$K$200,3,0)="","",VLOOKUP($A516-COUNT('Шаг2.Бланк заказа NEW'!$B$19:$B$201),'Бланк OLD 0.8 04'!$B$12:$K$200,3,0))),
IF(VLOOKUP($A516-COUNT('Шаг2.Бланк заказа NEW'!$B$19:$B$201)-COUNT('Бланк OLD 0.8 04'!$B$18:$B$200),'Бланк OLD 2.0 04 '!$B$16:$K$200,3,0)="","",VLOOKUP($A516-COUNT('Шаг2.Бланк заказа NEW'!$B$19:$B$201)-COUNT('Бланк OLD 0.8 04'!$B$18:$B$200),'Бланк OLD 2.0 04 '!$B$16:$K$200,3,0)))</f>
        <v/>
      </c>
      <c r="G516" s="176" t="str">
        <f ca="1">IF(IF(R516="","",IF(R516=1,SUMIFS('Шаг1.Выбор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плиты'!C:Q,12,0)),1))))))=0,
R516,
IF(R516="","",IF(R516=1,SUMIFS('Шаг1.Выбор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плиты'!N:N,R516,'Шаг1.Выбор плиты'!M:M,SMALL(INDIRECT("мм"&amp;VLOOKUP(C516,'Шаг1.Выбор плиты'!C:Q,12,0)),1)))))))</f>
        <v/>
      </c>
      <c r="H516" s="177" t="str">
        <f ca="1">IF(IF(S516="","",IF(S516=1,SUMIFS('Шаг1.Выбор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плиты'!C:Q,12,0)),1))))))=0,
S516,
IF(S516="","",IF(S516=1,SUMIFS('Шаг1.Выбор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плиты'!N:N,S516,'Шаг1.Выбор плиты'!M:M,SMALL(INDIRECT("мм"&amp;VLOOKUP(C516,'Шаг1.Выбор плиты'!C:Q,12,0)),1)))))))</f>
        <v/>
      </c>
      <c r="I516" s="147" t="str">
        <f ca="1">IFERROR(IFERROR(IF(VLOOKUP($A516,'Шаг2.Бланк заказа NEW'!$B$17:$N$201,6,0)="","",VLOOKUP($A516,'Шаг2.Бланк заказа NEW'!$B$17:$N$201,6,0)),
IF(VLOOKUP($A516-COUNT('Шаг2.Бланк заказа NEW'!$B$19:$B$201),'Бланк OLD 0.8 04'!$B$12:$K$200,6,0)="","",VLOOKUP($A516-COUNT('Шаг2.Бланк заказа NEW'!$B$19:$B$201),'Бланк OLD 0.8 04'!$B$12:$K$200,6,0))),
IF(VLOOKUP($A516-COUNT('Шаг2.Бланк заказа NEW'!$B$19:$B$201)-COUNT('Бланк OLD 0.8 04'!$B$18:$B$200),'Бланк OLD 2.0 04 '!$B$16:$K$200,6,0)="","",VLOOKUP($A516-COUNT('Шаг2.Бланк заказа NEW'!$B$19:$B$201)-COUNT('Бланк OLD 0.8 04'!$B$18:$B$200),'Бланк OLD 2.0 04 '!$B$16:$K$200,6,0)))</f>
        <v/>
      </c>
      <c r="J516" s="177" t="str">
        <f ca="1">IF(IF(T516="","",IF(T516=1,SUMIFS('Шаг1.Выбор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плиты'!C:Q,12,0)),1))))))=0,
T516,
IF(T516="","",IF(T516=1,SUMIFS('Шаг1.Выбор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плиты'!N:N,T516,'Шаг1.Выбор плиты'!M:M,SMALL(INDIRECT("мм"&amp;VLOOKUP(C516,'Шаг1.Выбор плиты'!C:Q,12,0)),1)))))))</f>
        <v/>
      </c>
      <c r="K516" s="177" t="str">
        <f ca="1">IF(IF(U516="","",IF(U516=1,SUMIFS('Шаг1.Выбор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плиты'!C:Q,12,0)),1))))))=0,
U516,
IF(U516="","",IF(U516=1,SUMIFS('Шаг1.Выбор плиты'!$G:$G,'Шаг1.Выбор плиты'!J:J,"*"&amp;RIGHT(VLOOKUP(C516,'Шаг1.Выбор плиты'!C:Q,8,0),4),'Шаг1.Выбор плиты'!L:L,IF(MID(C516,1,6)="ЛДСП P","TM"&amp;MID(VLOOKUP(C516,'Шаг1.Выбор плиты'!C:Q,10,0),3,2),MID(VLOOKUP(C516,'Шаг1.Выбор плиты'!C:Q,10,0),1,2)),
'Шаг1.Выбор плиты'!N:N,1),IF(SUMIFS('Шаг1.Выбор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плиты'!C:Q,12,0)),1))=0,
IF(SUMIFS('Шаг1.Выбор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плиты'!C:Q,12,0)),2))=0,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плиты'!C:Q,12,0)),3)),
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плиты'!C:Q,12,0)),2))),
(SUMIFS('Шаг1.Выбор плиты'!$G:$G,'Шаг1.Выбор плиты'!J:J,"*"&amp;RIGHT(VLOOKUP(C516,'Шаг1.Выбор плиты'!C:Q,8,0),4),'Шаг1.Выбор плиты'!L:L,VLOOKUP(C516,'Шаг1.Выбор плиты'!C:Q,10,0),'Шаг1.Выбор плиты'!N:N,U516,'Шаг1.Выбор плиты'!M:M,SMALL(INDIRECT("мм"&amp;VLOOKUP(C516,'Шаг1.Выбор плиты'!C:Q,12,0)),1)))))))</f>
        <v/>
      </c>
      <c r="L516" s="147" t="str">
        <f ca="1">IFERROR(IFERROR(IF(VLOOKUP($A516,'Шаг2.Бланк заказа NEW'!$B$17:$N$201,9,0)="","",VLOOKUP($A516,'Шаг2.Бланк заказа NEW'!$B$17:$N$201,9,0)),
IF(VLOOKUP($A516-COUNT('Шаг2.Бланк заказа NEW'!$B$19:$B$201),'Бланк OLD 0.8 04'!$B$12:$K$200,9,0)="","",VLOOKUP($A516-COUNT('Шаг2.Бланк заказа NEW'!$B$19:$B$201),'Бланк OLD 0.8 04'!$B$12:$K$200,9,0))),
IF(VLOOKUP($A516-COUNT('Шаг2.Бланк заказа NEW'!$B$19:$B$201)-COUNT('Бланк OLD 0.8 04'!$B$18:$B$200),'Бланк OLD 2.0 04 '!$B$16:$K$200,9,0)="","",VLOOKUP($A516-COUNT('Шаг2.Бланк заказа NEW'!$B$19:$B$201)-COUNT('Бланк OLD 0.8 04'!$B$18:$B$200),'Бланк OLD 2.0 04 '!$B$16:$K$200,9,0)))</f>
        <v/>
      </c>
      <c r="M516" s="154" t="str">
        <f t="shared" ca="1" si="49"/>
        <v/>
      </c>
      <c r="N516" s="153" t="str">
        <f ca="1">IFERROR(IF(VLOOKUP($A516,'Шаг2.Бланк заказа NEW'!$B$17:$N$201,11,0)="","",VLOOKUP($A516,'Шаг2.Бланк заказа NEW'!$B$17:$N$201,11,0)),
"Нет")</f>
        <v/>
      </c>
      <c r="O516" s="147" t="str">
        <f ca="1">IFERROR(IF(VLOOKUP($A516,'Шаг2.Бланк заказа NEW'!$B$17:$N$201,11,0)="","",VLOOKUP($A516,'Шаг2.Бланк заказа NEW'!$B$17:$N$201,12,0)),
"Нет")</f>
        <v/>
      </c>
      <c r="P516" s="153" t="str">
        <f ca="1">IFERROR(IF(VLOOKUP($A516,'Шаг2.Бланк заказа NEW'!$B$17:$N$201,13,0)="","",VLOOKUP($A516,'Шаг2.Бланк заказа NEW'!$B$17:$N$201,13,0)),
"Нет")</f>
        <v/>
      </c>
      <c r="Q516" s="147" t="str">
        <f ca="1">IFERROR(IF(VLOOKUP($A516,'Шаг2.Бланк заказа NEW'!$B$17:$O$201,14,0)="","",VLOOKUP($A516,'Шаг2.Бланк заказа NEW'!$B$17:$O$201,14,0)),"")</f>
        <v/>
      </c>
      <c r="R516" s="147" t="str">
        <f ca="1">IFERROR(IFERROR(IF(VLOOKUP($A516,'Шаг2.Бланк заказа NEW'!$B$17:$N$201,4,0)="","",VLOOKUP($A516,'Шаг2.Бланк заказа NEW'!$B$17:$N$201,4,0)),
IF(VLOOKUP($A516-COUNT('Шаг2.Бланк заказа NEW'!$B$19:$B$201),'Бланк OLD 0.8 04'!$B$12:$K$200,4,0)&gt;0,0.8,
IF(VLOOKUP($A516-COUNT('Шаг2.Бланк заказа NEW'!$B$19:$B$201),'Бланк OLD 0.8 04'!$B$12:$K$200,5,0)&gt;0,0.4,""))),
IF(VLOOKUP($A516-COUNT('Шаг2.Бланк заказа NEW'!$B$19:$B$201)-COUNT('Бланк OLD 0.8 04'!$B$18:$B$200),'Бланк OLD 2.0 04 '!$B$16:$K$200,4,0)&gt;0,2,IF(VLOOKUP($A516-COUNT('Шаг2.Бланк заказа NEW'!$B$19:$B$201)-COUNT('Бланк OLD 0.8 04'!$B$18:$B$200),'Бланк OLD 2.0 04 '!$B$16:$K$200,5,0)&gt;0,0.4,"")))</f>
        <v/>
      </c>
      <c r="S516" s="147" t="str">
        <f ca="1">IFERROR(IFERROR(IF(VLOOKUP($A516,'Шаг2.Бланк заказа NEW'!$B$17:$N$201,5,0)="","",VLOOKUP($A516,'Шаг2.Бланк заказа NEW'!$B$17:$N$201,5,0)),
IF(VLOOKUP($A516-COUNT('Шаг2.Бланк заказа NEW'!$B$19:$B$201),'Бланк OLD 0.8 04'!$B$12:$K$200,4,0)&gt;1,0.8,
IF(VLOOKUP($A516-COUNT('Шаг2.Бланк заказа NEW'!$B$19:$B$201),'Бланк OLD 0.8 04'!$B$12:$K$200,5,0)&gt;1,0.4,
IF(AND(VLOOKUP($A516-COUNT('Шаг2.Бланк заказа NEW'!$B$19:$B$201),'Бланк OLD 0.8 04'!$B$12:$K$200,4,0)&gt;0,VLOOKUP($A516-COUNT('Шаг2.Бланк заказа NEW'!$B$19:$B$201),'Бланк OLD 0.8 04'!$B$12:$K$200,5,0)&gt;0),0.4,"")))),
IF(VLOOKUP($A516-COUNT('Шаг2.Бланк заказа NEW'!$B$19:$B$201)-COUNT('Бланк OLD 0.8 04'!$B$18:$B$200),'Бланк OLD 2.0 04 '!$B$16:$K$200,4,0)&gt;1,2,
IF(VLOOKUP($A516-COUNT('Шаг2.Бланк заказа NEW'!$B$19:$B$201)-COUNT('Бланк OLD 0.8 04'!$B$18:$B$200),'Бланк OLD 2.0 04 '!$B$16:$K$200,5,0)&gt;1,0.4,IF(AND(VLOOKUP($A516-COUNT('Шаг2.Бланк заказа NEW'!$B$19:$B$201)-COUNT('Бланк OLD 0.8 04'!$B$18:$B$200),'Бланк OLD 2.0 04 '!$B$16:$K$200,4,0)&gt;0,VLOOKUP($A516-COUNT('Шаг2.Бланк заказа NEW'!$B$19:$B$201)-COUNT('Бланк OLD 0.8 04'!$B$18:$B$200),'Бланк OLD 2.0 04 '!$B$16:$K$200,5,0)&gt;0),0.4,""))))</f>
        <v/>
      </c>
      <c r="T516" s="147" t="str">
        <f ca="1">IFERROR(IFERROR(IF(VLOOKUP($A516,'Шаг2.Бланк заказа NEW'!$B$17:$N$201,7,0)="","",VLOOKUP($A516,'Шаг2.Бланк заказа NEW'!$B$17:$N$201,7,0)),
IF(VLOOKUP($A516-COUNT('Шаг2.Бланк заказа NEW'!$B$19:$B$201),'Бланк OLD 0.8 04'!$B$12:$K$200,7,0)&gt;0,0.8,
IF(VLOOKUP($A516-COUNT('Шаг2.Бланк заказа NEW'!$B$19:$B$201),'Бланк OLD 0.8 04'!$B$12:$K$200,8,0)&gt;0,0.4,""))),
IF(VLOOKUP($A516-COUNT('Шаг2.Бланк заказа NEW'!$B$19:$B$201)-COUNT('Бланк OLD 0.8 04'!$B$18:$B$200),'Бланк OLD 2.0 04 '!$B$16:$K$200,7,0)&gt;0,2,IF(VLOOKUP($A516-COUNT('Шаг2.Бланк заказа NEW'!$B$19:$B$201)-COUNT('Бланк OLD 0.8 04'!$B$18:$B$200),'Бланк OLD 2.0 04 '!$B$16:$K$200,8,0)&gt;0,0.4,"")))</f>
        <v/>
      </c>
      <c r="U516" s="147" t="str">
        <f ca="1">IFERROR(IFERROR(IF(VLOOKUP($A516,'Шаг2.Бланк заказа NEW'!$B$17:$N$201,8,0)="","",VLOOKUP($A516,'Шаг2.Бланк заказа NEW'!$B$17:$N$201,8,0)),
IF(VLOOKUP($A516-COUNT('Шаг2.Бланк заказа NEW'!$B$19:$B$201),'Бланк OLD 0.8 04'!$B$12:$K$200,7,0)&gt;1,0.8,
IF(VLOOKUP($A516-COUNT('Шаг2.Бланк заказа NEW'!$B$19:$B$201),'Бланк OLD 0.8 04'!$B$12:$K$200,8,0)&gt;1,0.4,
IF(AND(VLOOKUP($A516-COUNT('Шаг2.Бланк заказа NEW'!$B$19:$B$201),'Бланк OLD 0.8 04'!$B$12:$K$200,7,0)&gt;0,VLOOKUP($A516-COUNT('Шаг2.Бланк заказа NEW'!$B$19:$B$201),'Бланк OLD 0.8 04'!$B$12:$K$200,8,0)&gt;0),0.4,"")))),
IF(VLOOKUP($A516-COUNT('Шаг2.Бланк заказа NEW'!$B$19:$B$201)-COUNT('Бланк OLD 0.8 04'!$B$18:$B$200),'Бланк OLD 2.0 04 '!$B$16:$K$200,7,0)&gt;1,2,
IF(VLOOKUP($A516-COUNT('Шаг2.Бланк заказа NEW'!$B$19:$B$201)-COUNT('Бланк OLD 0.8 04'!$B$18:$B$200),'Бланк OLD 2.0 04 '!$B$16:$K$200,8,0)&gt;1,0.4,
IF(AND(VLOOKUP($A516-COUNT('Шаг2.Бланк заказа NEW'!$B$19:$B$201)-COUNT('Бланк OLD 0.8 04'!$B$18:$B$200),'Бланк OLD 2.0 04 '!$B$16:$K$200,7,0)&gt;0,VLOOKUP($A516-COUNT('Шаг2.Бланк заказа NEW'!$B$19:$B$201)-COUNT('Бланк OLD 0.8 04'!$B$18:$B$200),'Бланк OLD 2.0 04 '!$B$16:$K$200,8,0)&gt;0),0.4,""))))</f>
        <v/>
      </c>
      <c r="V516" s="146" t="str">
        <f ca="1">IFERROR(VLOOKUP(C516,'Шаг1.Выбор плиты'!C:S,12,0),"")</f>
        <v/>
      </c>
      <c r="W516" s="146" t="str">
        <f ca="1">IFERROR(VLOOKUP(C516,'Шаг1.Выбор плиты'!C:S,8,0),"")</f>
        <v/>
      </c>
      <c r="X516" s="146" t="str">
        <f ca="1">IFERROR(VLOOKUP(C516,'Шаг1.Выбор плиты'!C:S,10,0),"")</f>
        <v/>
      </c>
      <c r="Y516" s="147" t="str">
        <f t="shared" ca="1" si="51"/>
        <v/>
      </c>
      <c r="AD516" s="147" t="str">
        <f t="shared" ca="1" si="48"/>
        <v/>
      </c>
      <c r="AE516" s="147" t="str">
        <f t="shared" ca="1" si="52"/>
        <v/>
      </c>
      <c r="AF516" s="25"/>
      <c r="AH516" s="147" t="str">
        <f ca="1">IF(C516="","",VLOOKUP(C516,'Шаг1.Выбор плиты'!C:Q,7,0))</f>
        <v/>
      </c>
      <c r="AI516" s="147" t="str">
        <f t="shared" ca="1" si="50"/>
        <v/>
      </c>
    </row>
    <row r="517" spans="1:35" x14ac:dyDescent="0.2">
      <c r="A517" s="151" t="str">
        <f ca="1">IF(C517="","",MAX($A$1:OFFSET(C517,-1,0))+1)</f>
        <v/>
      </c>
      <c r="B517" s="151" t="str">
        <f ca="1">IFERROR(IFERROR(IFERROR("Шаг2.Бланк заказа NEW №"&amp;VLOOKUP(A516+1,CHOOSE({1,2},'Шаг2.Бланк заказа NEW'!$B$19:$B$201,'Шаг2.Бланк заказа NEW'!$A$19:$A$201),1,0),
"Бланк OLD 0.8 04 №"&amp;VLOOKUP(A516+1-COUNT('Шаг2.Бланк заказа NEW'!$B$19:$B$201),CHOOSE({1,2},'Бланк OLD 0.8 04'!$B$18:$B$200,'Бланк OLD 0.8 04'!$A$18:$A$200),1,0)),
"Бланк OLD 2.0 04 №"&amp;VLOOKUP(A516+1-COUNT('Шаг2.Бланк заказа NEW'!$B$19:$B$201)-COUNT('Бланк OLD 0.8 04'!$B$18:$B$200),CHOOSE({1,2},'Бланк OLD 2.0 04 '!$B$18:$B$200,'Бланк OLD 2.0 04 '!$A$18:$A$200),1,0)),"")</f>
        <v/>
      </c>
      <c r="C517" s="152" t="str">
        <f ca="1">IFERROR(IFERROR(IFERROR(VLOOKUP(A516+1,CHOOSE({1,2},'Шаг2.Бланк заказа NEW'!$B$19:$B$201,'Шаг2.Бланк заказа NEW'!$A$19:$A$201),2,0),
VLOOKUP(A516+1-COUNT('Шаг2.Бланк заказа NEW'!$B$19:$B$201),CHOOSE({1,2},'Бланк OLD 0.8 04'!$B$18:$B$200,'Бланк OLD 0.8 04'!$A$18:$A$200),2,0)),
VLOOKUP(A516+1-COUNT('Шаг2.Бланк заказа NEW'!$B$19:$B$201)-COUNT('Бланк OLD 0.8 04'!$B$18:$B$200),CHOOSE({1,2},'Бланк OLD 2.0 04 '!$B$18:$B$200,'Бланк OLD 2.0 04 '!$A$18:$A$200),2,0)),"")</f>
        <v/>
      </c>
      <c r="D517" s="150" t="str">
        <f ca="1">IFERROR(VLOOKUP(C517,'Шаг1.Выбор плиты'!C:G,5,0),"")</f>
        <v/>
      </c>
      <c r="E517" s="147" t="str">
        <f ca="1">IFERROR(IFERROR(IF(VLOOKUP($A517,'Шаг2.Бланк заказа NEW'!$B$17:$N$201,2,0)="","",VLOOKUP($A517,'Шаг2.Бланк заказа NEW'!$B$17:$N$201,2,0)),
IF(VLOOKUP($A517-COUNT('Шаг2.Бланк заказа NEW'!$B$19:$B$201),'Бланк OLD 0.8 04'!$B$12:$K$200,2,0)="","",VLOOKUP($A517-COUNT('Шаг2.Бланк заказа NEW'!$B$19:$B$201),'Бланк OLD 0.8 04'!$B$12:$K$200,2,0))),
IF(VLOOKUP($A517-COUNT('Шаг2.Бланк заказа NEW'!$B$19:$B$201)-COUNT('Бланк OLD 0.8 04'!$B$18:$B$200),'Бланк OLD 2.0 04 '!$B$16:$K$200,2,0)="","",VLOOKUP($A517-COUNT('Шаг2.Бланк заказа NEW'!$B$19:$B$201)-COUNT('Бланк OLD 0.8 04'!$B$18:$B$200),'Бланк OLD 2.0 04 '!$B$16:$K$200,2,0)))</f>
        <v/>
      </c>
      <c r="F517" s="147" t="str">
        <f ca="1">IFERROR(IFERROR(IF(VLOOKUP($A517,'Шаг2.Бланк заказа NEW'!$B$17:$N$201,3,0)="","",VLOOKUP($A517,'Шаг2.Бланк заказа NEW'!$B$17:$N$201,3,0)),
IF(VLOOKUP($A517-COUNT('Шаг2.Бланк заказа NEW'!$B$19:$B$201),'Бланк OLD 0.8 04'!$B$12:$K$200,3,0)="","",VLOOKUP($A517-COUNT('Шаг2.Бланк заказа NEW'!$B$19:$B$201),'Бланк OLD 0.8 04'!$B$12:$K$200,3,0))),
IF(VLOOKUP($A517-COUNT('Шаг2.Бланк заказа NEW'!$B$19:$B$201)-COUNT('Бланк OLD 0.8 04'!$B$18:$B$200),'Бланк OLD 2.0 04 '!$B$16:$K$200,3,0)="","",VLOOKUP($A517-COUNT('Шаг2.Бланк заказа NEW'!$B$19:$B$201)-COUNT('Бланк OLD 0.8 04'!$B$18:$B$200),'Бланк OLD 2.0 04 '!$B$16:$K$200,3,0)))</f>
        <v/>
      </c>
      <c r="G517" s="176" t="str">
        <f ca="1">IF(IF(R517="","",IF(R517=1,SUMIFS('Шаг1.Выбор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плиты'!C:Q,12,0)),1))))))=0,
R517,
IF(R517="","",IF(R517=1,SUMIFS('Шаг1.Выбор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плиты'!N:N,R517,'Шаг1.Выбор плиты'!M:M,SMALL(INDIRECT("мм"&amp;VLOOKUP(C517,'Шаг1.Выбор плиты'!C:Q,12,0)),1)))))))</f>
        <v/>
      </c>
      <c r="H517" s="177" t="str">
        <f ca="1">IF(IF(S517="","",IF(S517=1,SUMIFS('Шаг1.Выбор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плиты'!C:Q,12,0)),1))))))=0,
S517,
IF(S517="","",IF(S517=1,SUMIFS('Шаг1.Выбор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плиты'!N:N,S517,'Шаг1.Выбор плиты'!M:M,SMALL(INDIRECT("мм"&amp;VLOOKUP(C517,'Шаг1.Выбор плиты'!C:Q,12,0)),1)))))))</f>
        <v/>
      </c>
      <c r="I517" s="147" t="str">
        <f ca="1">IFERROR(IFERROR(IF(VLOOKUP($A517,'Шаг2.Бланк заказа NEW'!$B$17:$N$201,6,0)="","",VLOOKUP($A517,'Шаг2.Бланк заказа NEW'!$B$17:$N$201,6,0)),
IF(VLOOKUP($A517-COUNT('Шаг2.Бланк заказа NEW'!$B$19:$B$201),'Бланк OLD 0.8 04'!$B$12:$K$200,6,0)="","",VLOOKUP($A517-COUNT('Шаг2.Бланк заказа NEW'!$B$19:$B$201),'Бланк OLD 0.8 04'!$B$12:$K$200,6,0))),
IF(VLOOKUP($A517-COUNT('Шаг2.Бланк заказа NEW'!$B$19:$B$201)-COUNT('Бланк OLD 0.8 04'!$B$18:$B$200),'Бланк OLD 2.0 04 '!$B$16:$K$200,6,0)="","",VLOOKUP($A517-COUNT('Шаг2.Бланк заказа NEW'!$B$19:$B$201)-COUNT('Бланк OLD 0.8 04'!$B$18:$B$200),'Бланк OLD 2.0 04 '!$B$16:$K$200,6,0)))</f>
        <v/>
      </c>
      <c r="J517" s="177" t="str">
        <f ca="1">IF(IF(T517="","",IF(T517=1,SUMIFS('Шаг1.Выбор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плиты'!C:Q,12,0)),1))))))=0,
T517,
IF(T517="","",IF(T517=1,SUMIFS('Шаг1.Выбор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плиты'!N:N,T517,'Шаг1.Выбор плиты'!M:M,SMALL(INDIRECT("мм"&amp;VLOOKUP(C517,'Шаг1.Выбор плиты'!C:Q,12,0)),1)))))))</f>
        <v/>
      </c>
      <c r="K517" s="177" t="str">
        <f ca="1">IF(IF(U517="","",IF(U517=1,SUMIFS('Шаг1.Выбор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плиты'!C:Q,12,0)),1))))))=0,
U517,
IF(U517="","",IF(U517=1,SUMIFS('Шаг1.Выбор плиты'!$G:$G,'Шаг1.Выбор плиты'!J:J,"*"&amp;RIGHT(VLOOKUP(C517,'Шаг1.Выбор плиты'!C:Q,8,0),4),'Шаг1.Выбор плиты'!L:L,IF(MID(C517,1,6)="ЛДСП P","TM"&amp;MID(VLOOKUP(C517,'Шаг1.Выбор плиты'!C:Q,10,0),3,2),MID(VLOOKUP(C517,'Шаг1.Выбор плиты'!C:Q,10,0),1,2)),
'Шаг1.Выбор плиты'!N:N,1),IF(SUMIFS('Шаг1.Выбор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плиты'!C:Q,12,0)),1))=0,
IF(SUMIFS('Шаг1.Выбор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плиты'!C:Q,12,0)),2))=0,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плиты'!C:Q,12,0)),3)),
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плиты'!C:Q,12,0)),2))),
(SUMIFS('Шаг1.Выбор плиты'!$G:$G,'Шаг1.Выбор плиты'!J:J,"*"&amp;RIGHT(VLOOKUP(C517,'Шаг1.Выбор плиты'!C:Q,8,0),4),'Шаг1.Выбор плиты'!L:L,VLOOKUP(C517,'Шаг1.Выбор плиты'!C:Q,10,0),'Шаг1.Выбор плиты'!N:N,U517,'Шаг1.Выбор плиты'!M:M,SMALL(INDIRECT("мм"&amp;VLOOKUP(C517,'Шаг1.Выбор плиты'!C:Q,12,0)),1)))))))</f>
        <v/>
      </c>
      <c r="L517" s="147" t="str">
        <f ca="1">IFERROR(IFERROR(IF(VLOOKUP($A517,'Шаг2.Бланк заказа NEW'!$B$17:$N$201,9,0)="","",VLOOKUP($A517,'Шаг2.Бланк заказа NEW'!$B$17:$N$201,9,0)),
IF(VLOOKUP($A517-COUNT('Шаг2.Бланк заказа NEW'!$B$19:$B$201),'Бланк OLD 0.8 04'!$B$12:$K$200,9,0)="","",VLOOKUP($A517-COUNT('Шаг2.Бланк заказа NEW'!$B$19:$B$201),'Бланк OLD 0.8 04'!$B$12:$K$200,9,0))),
IF(VLOOKUP($A517-COUNT('Шаг2.Бланк заказа NEW'!$B$19:$B$201)-COUNT('Бланк OLD 0.8 04'!$B$18:$B$200),'Бланк OLD 2.0 04 '!$B$16:$K$200,9,0)="","",VLOOKUP($A517-COUNT('Шаг2.Бланк заказа NEW'!$B$19:$B$201)-COUNT('Бланк OLD 0.8 04'!$B$18:$B$200),'Бланк OLD 2.0 04 '!$B$16:$K$200,9,0)))</f>
        <v/>
      </c>
      <c r="M517" s="154" t="str">
        <f t="shared" ca="1" si="49"/>
        <v/>
      </c>
      <c r="N517" s="153" t="str">
        <f ca="1">IFERROR(IF(VLOOKUP($A517,'Шаг2.Бланк заказа NEW'!$B$17:$N$201,11,0)="","",VLOOKUP($A517,'Шаг2.Бланк заказа NEW'!$B$17:$N$201,11,0)),
"Нет")</f>
        <v/>
      </c>
      <c r="O517" s="147" t="str">
        <f ca="1">IFERROR(IF(VLOOKUP($A517,'Шаг2.Бланк заказа NEW'!$B$17:$N$201,11,0)="","",VLOOKUP($A517,'Шаг2.Бланк заказа NEW'!$B$17:$N$201,12,0)),
"Нет")</f>
        <v/>
      </c>
      <c r="P517" s="153" t="str">
        <f ca="1">IFERROR(IF(VLOOKUP($A517,'Шаг2.Бланк заказа NEW'!$B$17:$N$201,13,0)="","",VLOOKUP($A517,'Шаг2.Бланк заказа NEW'!$B$17:$N$201,13,0)),
"Нет")</f>
        <v/>
      </c>
      <c r="Q517" s="147" t="str">
        <f ca="1">IFERROR(IF(VLOOKUP($A517,'Шаг2.Бланк заказа NEW'!$B$17:$O$201,14,0)="","",VLOOKUP($A517,'Шаг2.Бланк заказа NEW'!$B$17:$O$201,14,0)),"")</f>
        <v/>
      </c>
      <c r="R517" s="147" t="str">
        <f ca="1">IFERROR(IFERROR(IF(VLOOKUP($A517,'Шаг2.Бланк заказа NEW'!$B$17:$N$201,4,0)="","",VLOOKUP($A517,'Шаг2.Бланк заказа NEW'!$B$17:$N$201,4,0)),
IF(VLOOKUP($A517-COUNT('Шаг2.Бланк заказа NEW'!$B$19:$B$201),'Бланк OLD 0.8 04'!$B$12:$K$200,4,0)&gt;0,0.8,
IF(VLOOKUP($A517-COUNT('Шаг2.Бланк заказа NEW'!$B$19:$B$201),'Бланк OLD 0.8 04'!$B$12:$K$200,5,0)&gt;0,0.4,""))),
IF(VLOOKUP($A517-COUNT('Шаг2.Бланк заказа NEW'!$B$19:$B$201)-COUNT('Бланк OLD 0.8 04'!$B$18:$B$200),'Бланк OLD 2.0 04 '!$B$16:$K$200,4,0)&gt;0,2,IF(VLOOKUP($A517-COUNT('Шаг2.Бланк заказа NEW'!$B$19:$B$201)-COUNT('Бланк OLD 0.8 04'!$B$18:$B$200),'Бланк OLD 2.0 04 '!$B$16:$K$200,5,0)&gt;0,0.4,"")))</f>
        <v/>
      </c>
      <c r="S517" s="147" t="str">
        <f ca="1">IFERROR(IFERROR(IF(VLOOKUP($A517,'Шаг2.Бланк заказа NEW'!$B$17:$N$201,5,0)="","",VLOOKUP($A517,'Шаг2.Бланк заказа NEW'!$B$17:$N$201,5,0)),
IF(VLOOKUP($A517-COUNT('Шаг2.Бланк заказа NEW'!$B$19:$B$201),'Бланк OLD 0.8 04'!$B$12:$K$200,4,0)&gt;1,0.8,
IF(VLOOKUP($A517-COUNT('Шаг2.Бланк заказа NEW'!$B$19:$B$201),'Бланк OLD 0.8 04'!$B$12:$K$200,5,0)&gt;1,0.4,
IF(AND(VLOOKUP($A517-COUNT('Шаг2.Бланк заказа NEW'!$B$19:$B$201),'Бланк OLD 0.8 04'!$B$12:$K$200,4,0)&gt;0,VLOOKUP($A517-COUNT('Шаг2.Бланк заказа NEW'!$B$19:$B$201),'Бланк OLD 0.8 04'!$B$12:$K$200,5,0)&gt;0),0.4,"")))),
IF(VLOOKUP($A517-COUNT('Шаг2.Бланк заказа NEW'!$B$19:$B$201)-COUNT('Бланк OLD 0.8 04'!$B$18:$B$200),'Бланк OLD 2.0 04 '!$B$16:$K$200,4,0)&gt;1,2,
IF(VLOOKUP($A517-COUNT('Шаг2.Бланк заказа NEW'!$B$19:$B$201)-COUNT('Бланк OLD 0.8 04'!$B$18:$B$200),'Бланк OLD 2.0 04 '!$B$16:$K$200,5,0)&gt;1,0.4,IF(AND(VLOOKUP($A517-COUNT('Шаг2.Бланк заказа NEW'!$B$19:$B$201)-COUNT('Бланк OLD 0.8 04'!$B$18:$B$200),'Бланк OLD 2.0 04 '!$B$16:$K$200,4,0)&gt;0,VLOOKUP($A517-COUNT('Шаг2.Бланк заказа NEW'!$B$19:$B$201)-COUNT('Бланк OLD 0.8 04'!$B$18:$B$200),'Бланк OLD 2.0 04 '!$B$16:$K$200,5,0)&gt;0),0.4,""))))</f>
        <v/>
      </c>
      <c r="T517" s="147" t="str">
        <f ca="1">IFERROR(IFERROR(IF(VLOOKUP($A517,'Шаг2.Бланк заказа NEW'!$B$17:$N$201,7,0)="","",VLOOKUP($A517,'Шаг2.Бланк заказа NEW'!$B$17:$N$201,7,0)),
IF(VLOOKUP($A517-COUNT('Шаг2.Бланк заказа NEW'!$B$19:$B$201),'Бланк OLD 0.8 04'!$B$12:$K$200,7,0)&gt;0,0.8,
IF(VLOOKUP($A517-COUNT('Шаг2.Бланк заказа NEW'!$B$19:$B$201),'Бланк OLD 0.8 04'!$B$12:$K$200,8,0)&gt;0,0.4,""))),
IF(VLOOKUP($A517-COUNT('Шаг2.Бланк заказа NEW'!$B$19:$B$201)-COUNT('Бланк OLD 0.8 04'!$B$18:$B$200),'Бланк OLD 2.0 04 '!$B$16:$K$200,7,0)&gt;0,2,IF(VLOOKUP($A517-COUNT('Шаг2.Бланк заказа NEW'!$B$19:$B$201)-COUNT('Бланк OLD 0.8 04'!$B$18:$B$200),'Бланк OLD 2.0 04 '!$B$16:$K$200,8,0)&gt;0,0.4,"")))</f>
        <v/>
      </c>
      <c r="U517" s="147" t="str">
        <f ca="1">IFERROR(IFERROR(IF(VLOOKUP($A517,'Шаг2.Бланк заказа NEW'!$B$17:$N$201,8,0)="","",VLOOKUP($A517,'Шаг2.Бланк заказа NEW'!$B$17:$N$201,8,0)),
IF(VLOOKUP($A517-COUNT('Шаг2.Бланк заказа NEW'!$B$19:$B$201),'Бланк OLD 0.8 04'!$B$12:$K$200,7,0)&gt;1,0.8,
IF(VLOOKUP($A517-COUNT('Шаг2.Бланк заказа NEW'!$B$19:$B$201),'Бланк OLD 0.8 04'!$B$12:$K$200,8,0)&gt;1,0.4,
IF(AND(VLOOKUP($A517-COUNT('Шаг2.Бланк заказа NEW'!$B$19:$B$201),'Бланк OLD 0.8 04'!$B$12:$K$200,7,0)&gt;0,VLOOKUP($A517-COUNT('Шаг2.Бланк заказа NEW'!$B$19:$B$201),'Бланк OLD 0.8 04'!$B$12:$K$200,8,0)&gt;0),0.4,"")))),
IF(VLOOKUP($A517-COUNT('Шаг2.Бланк заказа NEW'!$B$19:$B$201)-COUNT('Бланк OLD 0.8 04'!$B$18:$B$200),'Бланк OLD 2.0 04 '!$B$16:$K$200,7,0)&gt;1,2,
IF(VLOOKUP($A517-COUNT('Шаг2.Бланк заказа NEW'!$B$19:$B$201)-COUNT('Бланк OLD 0.8 04'!$B$18:$B$200),'Бланк OLD 2.0 04 '!$B$16:$K$200,8,0)&gt;1,0.4,
IF(AND(VLOOKUP($A517-COUNT('Шаг2.Бланк заказа NEW'!$B$19:$B$201)-COUNT('Бланк OLD 0.8 04'!$B$18:$B$200),'Бланк OLD 2.0 04 '!$B$16:$K$200,7,0)&gt;0,VLOOKUP($A517-COUNT('Шаг2.Бланк заказа NEW'!$B$19:$B$201)-COUNT('Бланк OLD 0.8 04'!$B$18:$B$200),'Бланк OLD 2.0 04 '!$B$16:$K$200,8,0)&gt;0),0.4,""))))</f>
        <v/>
      </c>
      <c r="V517" s="146" t="str">
        <f ca="1">IFERROR(VLOOKUP(C517,'Шаг1.Выбор плиты'!C:S,12,0),"")</f>
        <v/>
      </c>
      <c r="W517" s="146" t="str">
        <f ca="1">IFERROR(VLOOKUP(C517,'Шаг1.Выбор плиты'!C:S,8,0),"")</f>
        <v/>
      </c>
      <c r="X517" s="146" t="str">
        <f ca="1">IFERROR(VLOOKUP(C517,'Шаг1.Выбор плиты'!C:S,10,0),"")</f>
        <v/>
      </c>
      <c r="Y517" s="147" t="str">
        <f t="shared" ca="1" si="51"/>
        <v/>
      </c>
      <c r="AD517" s="147" t="str">
        <f t="shared" ca="1" si="48"/>
        <v/>
      </c>
      <c r="AE517" s="147" t="str">
        <f t="shared" ca="1" si="52"/>
        <v/>
      </c>
      <c r="AF517" s="25"/>
      <c r="AH517" s="147" t="str">
        <f ca="1">IF(C517="","",VLOOKUP(C517,'Шаг1.Выбор плиты'!C:Q,7,0))</f>
        <v/>
      </c>
      <c r="AI517" s="147" t="str">
        <f t="shared" ca="1" si="50"/>
        <v/>
      </c>
    </row>
    <row r="518" spans="1:35" x14ac:dyDescent="0.2">
      <c r="A518" s="151" t="str">
        <f ca="1">IF(C518="","",MAX($A$1:OFFSET(C518,-1,0))+1)</f>
        <v/>
      </c>
      <c r="B518" s="151" t="str">
        <f ca="1">IFERROR(IFERROR(IFERROR("Шаг2.Бланк заказа NEW №"&amp;VLOOKUP(A517+1,CHOOSE({1,2},'Шаг2.Бланк заказа NEW'!$B$19:$B$201,'Шаг2.Бланк заказа NEW'!$A$19:$A$201),1,0),
"Бланк OLD 0.8 04 №"&amp;VLOOKUP(A517+1-COUNT('Шаг2.Бланк заказа NEW'!$B$19:$B$201),CHOOSE({1,2},'Бланк OLD 0.8 04'!$B$18:$B$200,'Бланк OLD 0.8 04'!$A$18:$A$200),1,0)),
"Бланк OLD 2.0 04 №"&amp;VLOOKUP(A517+1-COUNT('Шаг2.Бланк заказа NEW'!$B$19:$B$201)-COUNT('Бланк OLD 0.8 04'!$B$18:$B$200),CHOOSE({1,2},'Бланк OLD 2.0 04 '!$B$18:$B$200,'Бланк OLD 2.0 04 '!$A$18:$A$200),1,0)),"")</f>
        <v/>
      </c>
      <c r="C518" s="152" t="str">
        <f ca="1">IFERROR(IFERROR(IFERROR(VLOOKUP(A517+1,CHOOSE({1,2},'Шаг2.Бланк заказа NEW'!$B$19:$B$201,'Шаг2.Бланк заказа NEW'!$A$19:$A$201),2,0),
VLOOKUP(A517+1-COUNT('Шаг2.Бланк заказа NEW'!$B$19:$B$201),CHOOSE({1,2},'Бланк OLD 0.8 04'!$B$18:$B$200,'Бланк OLD 0.8 04'!$A$18:$A$200),2,0)),
VLOOKUP(A517+1-COUNT('Шаг2.Бланк заказа NEW'!$B$19:$B$201)-COUNT('Бланк OLD 0.8 04'!$B$18:$B$200),CHOOSE({1,2},'Бланк OLD 2.0 04 '!$B$18:$B$200,'Бланк OLD 2.0 04 '!$A$18:$A$200),2,0)),"")</f>
        <v/>
      </c>
      <c r="D518" s="150" t="str">
        <f ca="1">IFERROR(VLOOKUP(C518,'Шаг1.Выбор плиты'!C:G,5,0),"")</f>
        <v/>
      </c>
      <c r="E518" s="147" t="str">
        <f ca="1">IFERROR(IFERROR(IF(VLOOKUP($A518,'Шаг2.Бланк заказа NEW'!$B$17:$N$201,2,0)="","",VLOOKUP($A518,'Шаг2.Бланк заказа NEW'!$B$17:$N$201,2,0)),
IF(VLOOKUP($A518-COUNT('Шаг2.Бланк заказа NEW'!$B$19:$B$201),'Бланк OLD 0.8 04'!$B$12:$K$200,2,0)="","",VLOOKUP($A518-COUNT('Шаг2.Бланк заказа NEW'!$B$19:$B$201),'Бланк OLD 0.8 04'!$B$12:$K$200,2,0))),
IF(VLOOKUP($A518-COUNT('Шаг2.Бланк заказа NEW'!$B$19:$B$201)-COUNT('Бланк OLD 0.8 04'!$B$18:$B$200),'Бланк OLD 2.0 04 '!$B$16:$K$200,2,0)="","",VLOOKUP($A518-COUNT('Шаг2.Бланк заказа NEW'!$B$19:$B$201)-COUNT('Бланк OLD 0.8 04'!$B$18:$B$200),'Бланк OLD 2.0 04 '!$B$16:$K$200,2,0)))</f>
        <v/>
      </c>
      <c r="F518" s="147" t="str">
        <f ca="1">IFERROR(IFERROR(IF(VLOOKUP($A518,'Шаг2.Бланк заказа NEW'!$B$17:$N$201,3,0)="","",VLOOKUP($A518,'Шаг2.Бланк заказа NEW'!$B$17:$N$201,3,0)),
IF(VLOOKUP($A518-COUNT('Шаг2.Бланк заказа NEW'!$B$19:$B$201),'Бланк OLD 0.8 04'!$B$12:$K$200,3,0)="","",VLOOKUP($A518-COUNT('Шаг2.Бланк заказа NEW'!$B$19:$B$201),'Бланк OLD 0.8 04'!$B$12:$K$200,3,0))),
IF(VLOOKUP($A518-COUNT('Шаг2.Бланк заказа NEW'!$B$19:$B$201)-COUNT('Бланк OLD 0.8 04'!$B$18:$B$200),'Бланк OLD 2.0 04 '!$B$16:$K$200,3,0)="","",VLOOKUP($A518-COUNT('Шаг2.Бланк заказа NEW'!$B$19:$B$201)-COUNT('Бланк OLD 0.8 04'!$B$18:$B$200),'Бланк OLD 2.0 04 '!$B$16:$K$200,3,0)))</f>
        <v/>
      </c>
      <c r="G518" s="176" t="str">
        <f ca="1">IF(IF(R518="","",IF(R518=1,SUMIFS('Шаг1.Выбор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плиты'!C:Q,12,0)),1))))))=0,
R518,
IF(R518="","",IF(R518=1,SUMIFS('Шаг1.Выбор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плиты'!N:N,R518,'Шаг1.Выбор плиты'!M:M,SMALL(INDIRECT("мм"&amp;VLOOKUP(C518,'Шаг1.Выбор плиты'!C:Q,12,0)),1)))))))</f>
        <v/>
      </c>
      <c r="H518" s="177" t="str">
        <f ca="1">IF(IF(S518="","",IF(S518=1,SUMIFS('Шаг1.Выбор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плиты'!C:Q,12,0)),1))))))=0,
S518,
IF(S518="","",IF(S518=1,SUMIFS('Шаг1.Выбор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плиты'!N:N,S518,'Шаг1.Выбор плиты'!M:M,SMALL(INDIRECT("мм"&amp;VLOOKUP(C518,'Шаг1.Выбор плиты'!C:Q,12,0)),1)))))))</f>
        <v/>
      </c>
      <c r="I518" s="147" t="str">
        <f ca="1">IFERROR(IFERROR(IF(VLOOKUP($A518,'Шаг2.Бланк заказа NEW'!$B$17:$N$201,6,0)="","",VLOOKUP($A518,'Шаг2.Бланк заказа NEW'!$B$17:$N$201,6,0)),
IF(VLOOKUP($A518-COUNT('Шаг2.Бланк заказа NEW'!$B$19:$B$201),'Бланк OLD 0.8 04'!$B$12:$K$200,6,0)="","",VLOOKUP($A518-COUNT('Шаг2.Бланк заказа NEW'!$B$19:$B$201),'Бланк OLD 0.8 04'!$B$12:$K$200,6,0))),
IF(VLOOKUP($A518-COUNT('Шаг2.Бланк заказа NEW'!$B$19:$B$201)-COUNT('Бланк OLD 0.8 04'!$B$18:$B$200),'Бланк OLD 2.0 04 '!$B$16:$K$200,6,0)="","",VLOOKUP($A518-COUNT('Шаг2.Бланк заказа NEW'!$B$19:$B$201)-COUNT('Бланк OLD 0.8 04'!$B$18:$B$200),'Бланк OLD 2.0 04 '!$B$16:$K$200,6,0)))</f>
        <v/>
      </c>
      <c r="J518" s="177" t="str">
        <f ca="1">IF(IF(T518="","",IF(T518=1,SUMIFS('Шаг1.Выбор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плиты'!C:Q,12,0)),1))))))=0,
T518,
IF(T518="","",IF(T518=1,SUMIFS('Шаг1.Выбор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плиты'!N:N,T518,'Шаг1.Выбор плиты'!M:M,SMALL(INDIRECT("мм"&amp;VLOOKUP(C518,'Шаг1.Выбор плиты'!C:Q,12,0)),1)))))))</f>
        <v/>
      </c>
      <c r="K518" s="177" t="str">
        <f ca="1">IF(IF(U518="","",IF(U518=1,SUMIFS('Шаг1.Выбор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плиты'!C:Q,12,0)),1))))))=0,
U518,
IF(U518="","",IF(U518=1,SUMIFS('Шаг1.Выбор плиты'!$G:$G,'Шаг1.Выбор плиты'!J:J,"*"&amp;RIGHT(VLOOKUP(C518,'Шаг1.Выбор плиты'!C:Q,8,0),4),'Шаг1.Выбор плиты'!L:L,IF(MID(C518,1,6)="ЛДСП P","TM"&amp;MID(VLOOKUP(C518,'Шаг1.Выбор плиты'!C:Q,10,0),3,2),MID(VLOOKUP(C518,'Шаг1.Выбор плиты'!C:Q,10,0),1,2)),
'Шаг1.Выбор плиты'!N:N,1),IF(SUMIFS('Шаг1.Выбор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плиты'!C:Q,12,0)),1))=0,
IF(SUMIFS('Шаг1.Выбор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плиты'!C:Q,12,0)),2))=0,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плиты'!C:Q,12,0)),3)),
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плиты'!C:Q,12,0)),2))),
(SUMIFS('Шаг1.Выбор плиты'!$G:$G,'Шаг1.Выбор плиты'!J:J,"*"&amp;RIGHT(VLOOKUP(C518,'Шаг1.Выбор плиты'!C:Q,8,0),4),'Шаг1.Выбор плиты'!L:L,VLOOKUP(C518,'Шаг1.Выбор плиты'!C:Q,10,0),'Шаг1.Выбор плиты'!N:N,U518,'Шаг1.Выбор плиты'!M:M,SMALL(INDIRECT("мм"&amp;VLOOKUP(C518,'Шаг1.Выбор плиты'!C:Q,12,0)),1)))))))</f>
        <v/>
      </c>
      <c r="L518" s="147" t="str">
        <f ca="1">IFERROR(IFERROR(IF(VLOOKUP($A518,'Шаг2.Бланк заказа NEW'!$B$17:$N$201,9,0)="","",VLOOKUP($A518,'Шаг2.Бланк заказа NEW'!$B$17:$N$201,9,0)),
IF(VLOOKUP($A518-COUNT('Шаг2.Бланк заказа NEW'!$B$19:$B$201),'Бланк OLD 0.8 04'!$B$12:$K$200,9,0)="","",VLOOKUP($A518-COUNT('Шаг2.Бланк заказа NEW'!$B$19:$B$201),'Бланк OLD 0.8 04'!$B$12:$K$200,9,0))),
IF(VLOOKUP($A518-COUNT('Шаг2.Бланк заказа NEW'!$B$19:$B$201)-COUNT('Бланк OLD 0.8 04'!$B$18:$B$200),'Бланк OLD 2.0 04 '!$B$16:$K$200,9,0)="","",VLOOKUP($A518-COUNT('Шаг2.Бланк заказа NEW'!$B$19:$B$201)-COUNT('Бланк OLD 0.8 04'!$B$18:$B$200),'Бланк OLD 2.0 04 '!$B$16:$K$200,9,0)))</f>
        <v/>
      </c>
      <c r="M518" s="154" t="str">
        <f t="shared" ca="1" si="49"/>
        <v/>
      </c>
      <c r="N518" s="153" t="str">
        <f ca="1">IFERROR(IF(VLOOKUP($A518,'Шаг2.Бланк заказа NEW'!$B$17:$N$201,11,0)="","",VLOOKUP($A518,'Шаг2.Бланк заказа NEW'!$B$17:$N$201,11,0)),
"Нет")</f>
        <v/>
      </c>
      <c r="O518" s="147" t="str">
        <f ca="1">IFERROR(IF(VLOOKUP($A518,'Шаг2.Бланк заказа NEW'!$B$17:$N$201,11,0)="","",VLOOKUP($A518,'Шаг2.Бланк заказа NEW'!$B$17:$N$201,12,0)),
"Нет")</f>
        <v/>
      </c>
      <c r="P518" s="153" t="str">
        <f ca="1">IFERROR(IF(VLOOKUP($A518,'Шаг2.Бланк заказа NEW'!$B$17:$N$201,13,0)="","",VLOOKUP($A518,'Шаг2.Бланк заказа NEW'!$B$17:$N$201,13,0)),
"Нет")</f>
        <v/>
      </c>
      <c r="Q518" s="147" t="str">
        <f ca="1">IFERROR(IF(VLOOKUP($A518,'Шаг2.Бланк заказа NEW'!$B$17:$O$201,14,0)="","",VLOOKUP($A518,'Шаг2.Бланк заказа NEW'!$B$17:$O$201,14,0)),"")</f>
        <v/>
      </c>
      <c r="R518" s="147" t="str">
        <f ca="1">IFERROR(IFERROR(IF(VLOOKUP($A518,'Шаг2.Бланк заказа NEW'!$B$17:$N$201,4,0)="","",VLOOKUP($A518,'Шаг2.Бланк заказа NEW'!$B$17:$N$201,4,0)),
IF(VLOOKUP($A518-COUNT('Шаг2.Бланк заказа NEW'!$B$19:$B$201),'Бланк OLD 0.8 04'!$B$12:$K$200,4,0)&gt;0,0.8,
IF(VLOOKUP($A518-COUNT('Шаг2.Бланк заказа NEW'!$B$19:$B$201),'Бланк OLD 0.8 04'!$B$12:$K$200,5,0)&gt;0,0.4,""))),
IF(VLOOKUP($A518-COUNT('Шаг2.Бланк заказа NEW'!$B$19:$B$201)-COUNT('Бланк OLD 0.8 04'!$B$18:$B$200),'Бланк OLD 2.0 04 '!$B$16:$K$200,4,0)&gt;0,2,IF(VLOOKUP($A518-COUNT('Шаг2.Бланк заказа NEW'!$B$19:$B$201)-COUNT('Бланк OLD 0.8 04'!$B$18:$B$200),'Бланк OLD 2.0 04 '!$B$16:$K$200,5,0)&gt;0,0.4,"")))</f>
        <v/>
      </c>
      <c r="S518" s="147" t="str">
        <f ca="1">IFERROR(IFERROR(IF(VLOOKUP($A518,'Шаг2.Бланк заказа NEW'!$B$17:$N$201,5,0)="","",VLOOKUP($A518,'Шаг2.Бланк заказа NEW'!$B$17:$N$201,5,0)),
IF(VLOOKUP($A518-COUNT('Шаг2.Бланк заказа NEW'!$B$19:$B$201),'Бланк OLD 0.8 04'!$B$12:$K$200,4,0)&gt;1,0.8,
IF(VLOOKUP($A518-COUNT('Шаг2.Бланк заказа NEW'!$B$19:$B$201),'Бланк OLD 0.8 04'!$B$12:$K$200,5,0)&gt;1,0.4,
IF(AND(VLOOKUP($A518-COUNT('Шаг2.Бланк заказа NEW'!$B$19:$B$201),'Бланк OLD 0.8 04'!$B$12:$K$200,4,0)&gt;0,VLOOKUP($A518-COUNT('Шаг2.Бланк заказа NEW'!$B$19:$B$201),'Бланк OLD 0.8 04'!$B$12:$K$200,5,0)&gt;0),0.4,"")))),
IF(VLOOKUP($A518-COUNT('Шаг2.Бланк заказа NEW'!$B$19:$B$201)-COUNT('Бланк OLD 0.8 04'!$B$18:$B$200),'Бланк OLD 2.0 04 '!$B$16:$K$200,4,0)&gt;1,2,
IF(VLOOKUP($A518-COUNT('Шаг2.Бланк заказа NEW'!$B$19:$B$201)-COUNT('Бланк OLD 0.8 04'!$B$18:$B$200),'Бланк OLD 2.0 04 '!$B$16:$K$200,5,0)&gt;1,0.4,IF(AND(VLOOKUP($A518-COUNT('Шаг2.Бланк заказа NEW'!$B$19:$B$201)-COUNT('Бланк OLD 0.8 04'!$B$18:$B$200),'Бланк OLD 2.0 04 '!$B$16:$K$200,4,0)&gt;0,VLOOKUP($A518-COUNT('Шаг2.Бланк заказа NEW'!$B$19:$B$201)-COUNT('Бланк OLD 0.8 04'!$B$18:$B$200),'Бланк OLD 2.0 04 '!$B$16:$K$200,5,0)&gt;0),0.4,""))))</f>
        <v/>
      </c>
      <c r="T518" s="147" t="str">
        <f ca="1">IFERROR(IFERROR(IF(VLOOKUP($A518,'Шаг2.Бланк заказа NEW'!$B$17:$N$201,7,0)="","",VLOOKUP($A518,'Шаг2.Бланк заказа NEW'!$B$17:$N$201,7,0)),
IF(VLOOKUP($A518-COUNT('Шаг2.Бланк заказа NEW'!$B$19:$B$201),'Бланк OLD 0.8 04'!$B$12:$K$200,7,0)&gt;0,0.8,
IF(VLOOKUP($A518-COUNT('Шаг2.Бланк заказа NEW'!$B$19:$B$201),'Бланк OLD 0.8 04'!$B$12:$K$200,8,0)&gt;0,0.4,""))),
IF(VLOOKUP($A518-COUNT('Шаг2.Бланк заказа NEW'!$B$19:$B$201)-COUNT('Бланк OLD 0.8 04'!$B$18:$B$200),'Бланк OLD 2.0 04 '!$B$16:$K$200,7,0)&gt;0,2,IF(VLOOKUP($A518-COUNT('Шаг2.Бланк заказа NEW'!$B$19:$B$201)-COUNT('Бланк OLD 0.8 04'!$B$18:$B$200),'Бланк OLD 2.0 04 '!$B$16:$K$200,8,0)&gt;0,0.4,"")))</f>
        <v/>
      </c>
      <c r="U518" s="147" t="str">
        <f ca="1">IFERROR(IFERROR(IF(VLOOKUP($A518,'Шаг2.Бланк заказа NEW'!$B$17:$N$201,8,0)="","",VLOOKUP($A518,'Шаг2.Бланк заказа NEW'!$B$17:$N$201,8,0)),
IF(VLOOKUP($A518-COUNT('Шаг2.Бланк заказа NEW'!$B$19:$B$201),'Бланк OLD 0.8 04'!$B$12:$K$200,7,0)&gt;1,0.8,
IF(VLOOKUP($A518-COUNT('Шаг2.Бланк заказа NEW'!$B$19:$B$201),'Бланк OLD 0.8 04'!$B$12:$K$200,8,0)&gt;1,0.4,
IF(AND(VLOOKUP($A518-COUNT('Шаг2.Бланк заказа NEW'!$B$19:$B$201),'Бланк OLD 0.8 04'!$B$12:$K$200,7,0)&gt;0,VLOOKUP($A518-COUNT('Шаг2.Бланк заказа NEW'!$B$19:$B$201),'Бланк OLD 0.8 04'!$B$12:$K$200,8,0)&gt;0),0.4,"")))),
IF(VLOOKUP($A518-COUNT('Шаг2.Бланк заказа NEW'!$B$19:$B$201)-COUNT('Бланк OLD 0.8 04'!$B$18:$B$200),'Бланк OLD 2.0 04 '!$B$16:$K$200,7,0)&gt;1,2,
IF(VLOOKUP($A518-COUNT('Шаг2.Бланк заказа NEW'!$B$19:$B$201)-COUNT('Бланк OLD 0.8 04'!$B$18:$B$200),'Бланк OLD 2.0 04 '!$B$16:$K$200,8,0)&gt;1,0.4,
IF(AND(VLOOKUP($A518-COUNT('Шаг2.Бланк заказа NEW'!$B$19:$B$201)-COUNT('Бланк OLD 0.8 04'!$B$18:$B$200),'Бланк OLD 2.0 04 '!$B$16:$K$200,7,0)&gt;0,VLOOKUP($A518-COUNT('Шаг2.Бланк заказа NEW'!$B$19:$B$201)-COUNT('Бланк OLD 0.8 04'!$B$18:$B$200),'Бланк OLD 2.0 04 '!$B$16:$K$200,8,0)&gt;0),0.4,""))))</f>
        <v/>
      </c>
      <c r="V518" s="146" t="str">
        <f ca="1">IFERROR(VLOOKUP(C518,'Шаг1.Выбор плиты'!C:S,12,0),"")</f>
        <v/>
      </c>
      <c r="W518" s="146" t="str">
        <f ca="1">IFERROR(VLOOKUP(C518,'Шаг1.Выбор плиты'!C:S,8,0),"")</f>
        <v/>
      </c>
      <c r="X518" s="146" t="str">
        <f ca="1">IFERROR(VLOOKUP(C518,'Шаг1.Выбор плиты'!C:S,10,0),"")</f>
        <v/>
      </c>
      <c r="Y518" s="147" t="str">
        <f t="shared" ca="1" si="51"/>
        <v/>
      </c>
      <c r="AD518" s="147" t="str">
        <f t="shared" ca="1" si="48"/>
        <v/>
      </c>
      <c r="AE518" s="147" t="str">
        <f t="shared" ca="1" si="52"/>
        <v/>
      </c>
      <c r="AF518" s="25"/>
      <c r="AH518" s="147" t="str">
        <f ca="1">IF(C518="","",VLOOKUP(C518,'Шаг1.Выбор плиты'!C:Q,7,0))</f>
        <v/>
      </c>
      <c r="AI518" s="147" t="str">
        <f t="shared" ca="1" si="50"/>
        <v/>
      </c>
    </row>
    <row r="519" spans="1:35" x14ac:dyDescent="0.2">
      <c r="A519" s="151" t="str">
        <f ca="1">IF(C519="","",MAX($A$1:OFFSET(C519,-1,0))+1)</f>
        <v/>
      </c>
      <c r="B519" s="151" t="str">
        <f ca="1">IFERROR(IFERROR(IFERROR("Шаг2.Бланк заказа NEW №"&amp;VLOOKUP(A518+1,CHOOSE({1,2},'Шаг2.Бланк заказа NEW'!$B$19:$B$201,'Шаг2.Бланк заказа NEW'!$A$19:$A$201),1,0),
"Бланк OLD 0.8 04 №"&amp;VLOOKUP(A518+1-COUNT('Шаг2.Бланк заказа NEW'!$B$19:$B$201),CHOOSE({1,2},'Бланк OLD 0.8 04'!$B$18:$B$200,'Бланк OLD 0.8 04'!$A$18:$A$200),1,0)),
"Бланк OLD 2.0 04 №"&amp;VLOOKUP(A518+1-COUNT('Шаг2.Бланк заказа NEW'!$B$19:$B$201)-COUNT('Бланк OLD 0.8 04'!$B$18:$B$200),CHOOSE({1,2},'Бланк OLD 2.0 04 '!$B$18:$B$200,'Бланк OLD 2.0 04 '!$A$18:$A$200),1,0)),"")</f>
        <v/>
      </c>
      <c r="C519" s="152" t="str">
        <f ca="1">IFERROR(IFERROR(IFERROR(VLOOKUP(A518+1,CHOOSE({1,2},'Шаг2.Бланк заказа NEW'!$B$19:$B$201,'Шаг2.Бланк заказа NEW'!$A$19:$A$201),2,0),
VLOOKUP(A518+1-COUNT('Шаг2.Бланк заказа NEW'!$B$19:$B$201),CHOOSE({1,2},'Бланк OLD 0.8 04'!$B$18:$B$200,'Бланк OLD 0.8 04'!$A$18:$A$200),2,0)),
VLOOKUP(A518+1-COUNT('Шаг2.Бланк заказа NEW'!$B$19:$B$201)-COUNT('Бланк OLD 0.8 04'!$B$18:$B$200),CHOOSE({1,2},'Бланк OLD 2.0 04 '!$B$18:$B$200,'Бланк OLD 2.0 04 '!$A$18:$A$200),2,0)),"")</f>
        <v/>
      </c>
      <c r="D519" s="150" t="str">
        <f ca="1">IFERROR(VLOOKUP(C519,'Шаг1.Выбор плиты'!C:G,5,0),"")</f>
        <v/>
      </c>
      <c r="E519" s="147" t="str">
        <f ca="1">IFERROR(IFERROR(IF(VLOOKUP($A519,'Шаг2.Бланк заказа NEW'!$B$17:$N$201,2,0)="","",VLOOKUP($A519,'Шаг2.Бланк заказа NEW'!$B$17:$N$201,2,0)),
IF(VLOOKUP($A519-COUNT('Шаг2.Бланк заказа NEW'!$B$19:$B$201),'Бланк OLD 0.8 04'!$B$12:$K$200,2,0)="","",VLOOKUP($A519-COUNT('Шаг2.Бланк заказа NEW'!$B$19:$B$201),'Бланк OLD 0.8 04'!$B$12:$K$200,2,0))),
IF(VLOOKUP($A519-COUNT('Шаг2.Бланк заказа NEW'!$B$19:$B$201)-COUNT('Бланк OLD 0.8 04'!$B$18:$B$200),'Бланк OLD 2.0 04 '!$B$16:$K$200,2,0)="","",VLOOKUP($A519-COUNT('Шаг2.Бланк заказа NEW'!$B$19:$B$201)-COUNT('Бланк OLD 0.8 04'!$B$18:$B$200),'Бланк OLD 2.0 04 '!$B$16:$K$200,2,0)))</f>
        <v/>
      </c>
      <c r="F519" s="147" t="str">
        <f ca="1">IFERROR(IFERROR(IF(VLOOKUP($A519,'Шаг2.Бланк заказа NEW'!$B$17:$N$201,3,0)="","",VLOOKUP($A519,'Шаг2.Бланк заказа NEW'!$B$17:$N$201,3,0)),
IF(VLOOKUP($A519-COUNT('Шаг2.Бланк заказа NEW'!$B$19:$B$201),'Бланк OLD 0.8 04'!$B$12:$K$200,3,0)="","",VLOOKUP($A519-COUNT('Шаг2.Бланк заказа NEW'!$B$19:$B$201),'Бланк OLD 0.8 04'!$B$12:$K$200,3,0))),
IF(VLOOKUP($A519-COUNT('Шаг2.Бланк заказа NEW'!$B$19:$B$201)-COUNT('Бланк OLD 0.8 04'!$B$18:$B$200),'Бланк OLD 2.0 04 '!$B$16:$K$200,3,0)="","",VLOOKUP($A519-COUNT('Шаг2.Бланк заказа NEW'!$B$19:$B$201)-COUNT('Бланк OLD 0.8 04'!$B$18:$B$200),'Бланк OLD 2.0 04 '!$B$16:$K$200,3,0)))</f>
        <v/>
      </c>
      <c r="G519" s="176" t="str">
        <f ca="1">IF(IF(R519="","",IF(R519=1,SUMIFS('Шаг1.Выбор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плиты'!C:Q,12,0)),1))))))=0,
R519,
IF(R519="","",IF(R519=1,SUMIFS('Шаг1.Выбор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плиты'!N:N,R519,'Шаг1.Выбор плиты'!M:M,SMALL(INDIRECT("мм"&amp;VLOOKUP(C519,'Шаг1.Выбор плиты'!C:Q,12,0)),1)))))))</f>
        <v/>
      </c>
      <c r="H519" s="177" t="str">
        <f ca="1">IF(IF(S519="","",IF(S519=1,SUMIFS('Шаг1.Выбор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плиты'!C:Q,12,0)),1))))))=0,
S519,
IF(S519="","",IF(S519=1,SUMIFS('Шаг1.Выбор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плиты'!N:N,S519,'Шаг1.Выбор плиты'!M:M,SMALL(INDIRECT("мм"&amp;VLOOKUP(C519,'Шаг1.Выбор плиты'!C:Q,12,0)),1)))))))</f>
        <v/>
      </c>
      <c r="I519" s="147" t="str">
        <f ca="1">IFERROR(IFERROR(IF(VLOOKUP($A519,'Шаг2.Бланк заказа NEW'!$B$17:$N$201,6,0)="","",VLOOKUP($A519,'Шаг2.Бланк заказа NEW'!$B$17:$N$201,6,0)),
IF(VLOOKUP($A519-COUNT('Шаг2.Бланк заказа NEW'!$B$19:$B$201),'Бланк OLD 0.8 04'!$B$12:$K$200,6,0)="","",VLOOKUP($A519-COUNT('Шаг2.Бланк заказа NEW'!$B$19:$B$201),'Бланк OLD 0.8 04'!$B$12:$K$200,6,0))),
IF(VLOOKUP($A519-COUNT('Шаг2.Бланк заказа NEW'!$B$19:$B$201)-COUNT('Бланк OLD 0.8 04'!$B$18:$B$200),'Бланк OLD 2.0 04 '!$B$16:$K$200,6,0)="","",VLOOKUP($A519-COUNT('Шаг2.Бланк заказа NEW'!$B$19:$B$201)-COUNT('Бланк OLD 0.8 04'!$B$18:$B$200),'Бланк OLD 2.0 04 '!$B$16:$K$200,6,0)))</f>
        <v/>
      </c>
      <c r="J519" s="177" t="str">
        <f ca="1">IF(IF(T519="","",IF(T519=1,SUMIFS('Шаг1.Выбор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плиты'!C:Q,12,0)),1))))))=0,
T519,
IF(T519="","",IF(T519=1,SUMIFS('Шаг1.Выбор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плиты'!N:N,T519,'Шаг1.Выбор плиты'!M:M,SMALL(INDIRECT("мм"&amp;VLOOKUP(C519,'Шаг1.Выбор плиты'!C:Q,12,0)),1)))))))</f>
        <v/>
      </c>
      <c r="K519" s="177" t="str">
        <f ca="1">IF(IF(U519="","",IF(U519=1,SUMIFS('Шаг1.Выбор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плиты'!C:Q,12,0)),1))))))=0,
U519,
IF(U519="","",IF(U519=1,SUMIFS('Шаг1.Выбор плиты'!$G:$G,'Шаг1.Выбор плиты'!J:J,"*"&amp;RIGHT(VLOOKUP(C519,'Шаг1.Выбор плиты'!C:Q,8,0),4),'Шаг1.Выбор плиты'!L:L,IF(MID(C519,1,6)="ЛДСП P","TM"&amp;MID(VLOOKUP(C519,'Шаг1.Выбор плиты'!C:Q,10,0),3,2),MID(VLOOKUP(C519,'Шаг1.Выбор плиты'!C:Q,10,0),1,2)),
'Шаг1.Выбор плиты'!N:N,1),IF(SUMIFS('Шаг1.Выбор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плиты'!C:Q,12,0)),1))=0,
IF(SUMIFS('Шаг1.Выбор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плиты'!C:Q,12,0)),2))=0,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плиты'!C:Q,12,0)),3)),
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плиты'!C:Q,12,0)),2))),
(SUMIFS('Шаг1.Выбор плиты'!$G:$G,'Шаг1.Выбор плиты'!J:J,"*"&amp;RIGHT(VLOOKUP(C519,'Шаг1.Выбор плиты'!C:Q,8,0),4),'Шаг1.Выбор плиты'!L:L,VLOOKUP(C519,'Шаг1.Выбор плиты'!C:Q,10,0),'Шаг1.Выбор плиты'!N:N,U519,'Шаг1.Выбор плиты'!M:M,SMALL(INDIRECT("мм"&amp;VLOOKUP(C519,'Шаг1.Выбор плиты'!C:Q,12,0)),1)))))))</f>
        <v/>
      </c>
      <c r="L519" s="147" t="str">
        <f ca="1">IFERROR(IFERROR(IF(VLOOKUP($A519,'Шаг2.Бланк заказа NEW'!$B$17:$N$201,9,0)="","",VLOOKUP($A519,'Шаг2.Бланк заказа NEW'!$B$17:$N$201,9,0)),
IF(VLOOKUP($A519-COUNT('Шаг2.Бланк заказа NEW'!$B$19:$B$201),'Бланк OLD 0.8 04'!$B$12:$K$200,9,0)="","",VLOOKUP($A519-COUNT('Шаг2.Бланк заказа NEW'!$B$19:$B$201),'Бланк OLD 0.8 04'!$B$12:$K$200,9,0))),
IF(VLOOKUP($A519-COUNT('Шаг2.Бланк заказа NEW'!$B$19:$B$201)-COUNT('Бланк OLD 0.8 04'!$B$18:$B$200),'Бланк OLD 2.0 04 '!$B$16:$K$200,9,0)="","",VLOOKUP($A519-COUNT('Шаг2.Бланк заказа NEW'!$B$19:$B$201)-COUNT('Бланк OLD 0.8 04'!$B$18:$B$200),'Бланк OLD 2.0 04 '!$B$16:$K$200,9,0)))</f>
        <v/>
      </c>
      <c r="M519" s="154" t="str">
        <f t="shared" ca="1" si="49"/>
        <v/>
      </c>
      <c r="N519" s="153" t="str">
        <f ca="1">IFERROR(IF(VLOOKUP($A519,'Шаг2.Бланк заказа NEW'!$B$17:$N$201,11,0)="","",VLOOKUP($A519,'Шаг2.Бланк заказа NEW'!$B$17:$N$201,11,0)),
"Нет")</f>
        <v/>
      </c>
      <c r="O519" s="147" t="str">
        <f ca="1">IFERROR(IF(VLOOKUP($A519,'Шаг2.Бланк заказа NEW'!$B$17:$N$201,11,0)="","",VLOOKUP($A519,'Шаг2.Бланк заказа NEW'!$B$17:$N$201,12,0)),
"Нет")</f>
        <v/>
      </c>
      <c r="P519" s="153" t="str">
        <f ca="1">IFERROR(IF(VLOOKUP($A519,'Шаг2.Бланк заказа NEW'!$B$17:$N$201,13,0)="","",VLOOKUP($A519,'Шаг2.Бланк заказа NEW'!$B$17:$N$201,13,0)),
"Нет")</f>
        <v/>
      </c>
      <c r="Q519" s="147" t="str">
        <f ca="1">IFERROR(IF(VLOOKUP($A519,'Шаг2.Бланк заказа NEW'!$B$17:$O$201,14,0)="","",VLOOKUP($A519,'Шаг2.Бланк заказа NEW'!$B$17:$O$201,14,0)),"")</f>
        <v/>
      </c>
      <c r="R519" s="147" t="str">
        <f ca="1">IFERROR(IFERROR(IF(VLOOKUP($A519,'Шаг2.Бланк заказа NEW'!$B$17:$N$201,4,0)="","",VLOOKUP($A519,'Шаг2.Бланк заказа NEW'!$B$17:$N$201,4,0)),
IF(VLOOKUP($A519-COUNT('Шаг2.Бланк заказа NEW'!$B$19:$B$201),'Бланк OLD 0.8 04'!$B$12:$K$200,4,0)&gt;0,0.8,
IF(VLOOKUP($A519-COUNT('Шаг2.Бланк заказа NEW'!$B$19:$B$201),'Бланк OLD 0.8 04'!$B$12:$K$200,5,0)&gt;0,0.4,""))),
IF(VLOOKUP($A519-COUNT('Шаг2.Бланк заказа NEW'!$B$19:$B$201)-COUNT('Бланк OLD 0.8 04'!$B$18:$B$200),'Бланк OLD 2.0 04 '!$B$16:$K$200,4,0)&gt;0,2,IF(VLOOKUP($A519-COUNT('Шаг2.Бланк заказа NEW'!$B$19:$B$201)-COUNT('Бланк OLD 0.8 04'!$B$18:$B$200),'Бланк OLD 2.0 04 '!$B$16:$K$200,5,0)&gt;0,0.4,"")))</f>
        <v/>
      </c>
      <c r="S519" s="147" t="str">
        <f ca="1">IFERROR(IFERROR(IF(VLOOKUP($A519,'Шаг2.Бланк заказа NEW'!$B$17:$N$201,5,0)="","",VLOOKUP($A519,'Шаг2.Бланк заказа NEW'!$B$17:$N$201,5,0)),
IF(VLOOKUP($A519-COUNT('Шаг2.Бланк заказа NEW'!$B$19:$B$201),'Бланк OLD 0.8 04'!$B$12:$K$200,4,0)&gt;1,0.8,
IF(VLOOKUP($A519-COUNT('Шаг2.Бланк заказа NEW'!$B$19:$B$201),'Бланк OLD 0.8 04'!$B$12:$K$200,5,0)&gt;1,0.4,
IF(AND(VLOOKUP($A519-COUNT('Шаг2.Бланк заказа NEW'!$B$19:$B$201),'Бланк OLD 0.8 04'!$B$12:$K$200,4,0)&gt;0,VLOOKUP($A519-COUNT('Шаг2.Бланк заказа NEW'!$B$19:$B$201),'Бланк OLD 0.8 04'!$B$12:$K$200,5,0)&gt;0),0.4,"")))),
IF(VLOOKUP($A519-COUNT('Шаг2.Бланк заказа NEW'!$B$19:$B$201)-COUNT('Бланк OLD 0.8 04'!$B$18:$B$200),'Бланк OLD 2.0 04 '!$B$16:$K$200,4,0)&gt;1,2,
IF(VLOOKUP($A519-COUNT('Шаг2.Бланк заказа NEW'!$B$19:$B$201)-COUNT('Бланк OLD 0.8 04'!$B$18:$B$200),'Бланк OLD 2.0 04 '!$B$16:$K$200,5,0)&gt;1,0.4,IF(AND(VLOOKUP($A519-COUNT('Шаг2.Бланк заказа NEW'!$B$19:$B$201)-COUNT('Бланк OLD 0.8 04'!$B$18:$B$200),'Бланк OLD 2.0 04 '!$B$16:$K$200,4,0)&gt;0,VLOOKUP($A519-COUNT('Шаг2.Бланк заказа NEW'!$B$19:$B$201)-COUNT('Бланк OLD 0.8 04'!$B$18:$B$200),'Бланк OLD 2.0 04 '!$B$16:$K$200,5,0)&gt;0),0.4,""))))</f>
        <v/>
      </c>
      <c r="T519" s="147" t="str">
        <f ca="1">IFERROR(IFERROR(IF(VLOOKUP($A519,'Шаг2.Бланк заказа NEW'!$B$17:$N$201,7,0)="","",VLOOKUP($A519,'Шаг2.Бланк заказа NEW'!$B$17:$N$201,7,0)),
IF(VLOOKUP($A519-COUNT('Шаг2.Бланк заказа NEW'!$B$19:$B$201),'Бланк OLD 0.8 04'!$B$12:$K$200,7,0)&gt;0,0.8,
IF(VLOOKUP($A519-COUNT('Шаг2.Бланк заказа NEW'!$B$19:$B$201),'Бланк OLD 0.8 04'!$B$12:$K$200,8,0)&gt;0,0.4,""))),
IF(VLOOKUP($A519-COUNT('Шаг2.Бланк заказа NEW'!$B$19:$B$201)-COUNT('Бланк OLD 0.8 04'!$B$18:$B$200),'Бланк OLD 2.0 04 '!$B$16:$K$200,7,0)&gt;0,2,IF(VLOOKUP($A519-COUNT('Шаг2.Бланк заказа NEW'!$B$19:$B$201)-COUNT('Бланк OLD 0.8 04'!$B$18:$B$200),'Бланк OLD 2.0 04 '!$B$16:$K$200,8,0)&gt;0,0.4,"")))</f>
        <v/>
      </c>
      <c r="U519" s="147" t="str">
        <f ca="1">IFERROR(IFERROR(IF(VLOOKUP($A519,'Шаг2.Бланк заказа NEW'!$B$17:$N$201,8,0)="","",VLOOKUP($A519,'Шаг2.Бланк заказа NEW'!$B$17:$N$201,8,0)),
IF(VLOOKUP($A519-COUNT('Шаг2.Бланк заказа NEW'!$B$19:$B$201),'Бланк OLD 0.8 04'!$B$12:$K$200,7,0)&gt;1,0.8,
IF(VLOOKUP($A519-COUNT('Шаг2.Бланк заказа NEW'!$B$19:$B$201),'Бланк OLD 0.8 04'!$B$12:$K$200,8,0)&gt;1,0.4,
IF(AND(VLOOKUP($A519-COUNT('Шаг2.Бланк заказа NEW'!$B$19:$B$201),'Бланк OLD 0.8 04'!$B$12:$K$200,7,0)&gt;0,VLOOKUP($A519-COUNT('Шаг2.Бланк заказа NEW'!$B$19:$B$201),'Бланк OLD 0.8 04'!$B$12:$K$200,8,0)&gt;0),0.4,"")))),
IF(VLOOKUP($A519-COUNT('Шаг2.Бланк заказа NEW'!$B$19:$B$201)-COUNT('Бланк OLD 0.8 04'!$B$18:$B$200),'Бланк OLD 2.0 04 '!$B$16:$K$200,7,0)&gt;1,2,
IF(VLOOKUP($A519-COUNT('Шаг2.Бланк заказа NEW'!$B$19:$B$201)-COUNT('Бланк OLD 0.8 04'!$B$18:$B$200),'Бланк OLD 2.0 04 '!$B$16:$K$200,8,0)&gt;1,0.4,
IF(AND(VLOOKUP($A519-COUNT('Шаг2.Бланк заказа NEW'!$B$19:$B$201)-COUNT('Бланк OLD 0.8 04'!$B$18:$B$200),'Бланк OLD 2.0 04 '!$B$16:$K$200,7,0)&gt;0,VLOOKUP($A519-COUNT('Шаг2.Бланк заказа NEW'!$B$19:$B$201)-COUNT('Бланк OLD 0.8 04'!$B$18:$B$200),'Бланк OLD 2.0 04 '!$B$16:$K$200,8,0)&gt;0),0.4,""))))</f>
        <v/>
      </c>
      <c r="V519" s="146" t="str">
        <f ca="1">IFERROR(VLOOKUP(C519,'Шаг1.Выбор плиты'!C:S,12,0),"")</f>
        <v/>
      </c>
      <c r="W519" s="146" t="str">
        <f ca="1">IFERROR(VLOOKUP(C519,'Шаг1.Выбор плиты'!C:S,8,0),"")</f>
        <v/>
      </c>
      <c r="X519" s="146" t="str">
        <f ca="1">IFERROR(VLOOKUP(C519,'Шаг1.Выбор плиты'!C:S,10,0),"")</f>
        <v/>
      </c>
      <c r="Y519" s="147" t="str">
        <f t="shared" ca="1" si="51"/>
        <v/>
      </c>
      <c r="AD519" s="147" t="str">
        <f t="shared" ca="1" si="48"/>
        <v/>
      </c>
      <c r="AE519" s="147" t="str">
        <f t="shared" ca="1" si="52"/>
        <v/>
      </c>
      <c r="AF519" s="25"/>
      <c r="AH519" s="147" t="str">
        <f ca="1">IF(C519="","",VLOOKUP(C519,'Шаг1.Выбор плиты'!C:Q,7,0))</f>
        <v/>
      </c>
      <c r="AI519" s="147" t="str">
        <f t="shared" ca="1" si="50"/>
        <v/>
      </c>
    </row>
    <row r="520" spans="1:35" x14ac:dyDescent="0.2">
      <c r="A520" s="151" t="str">
        <f ca="1">IF(C520="","",MAX($A$1:OFFSET(C520,-1,0))+1)</f>
        <v/>
      </c>
      <c r="B520" s="151" t="str">
        <f ca="1">IFERROR(IFERROR(IFERROR("Шаг2.Бланк заказа NEW №"&amp;VLOOKUP(A519+1,CHOOSE({1,2},'Шаг2.Бланк заказа NEW'!$B$19:$B$201,'Шаг2.Бланк заказа NEW'!$A$19:$A$201),1,0),
"Бланк OLD 0.8 04 №"&amp;VLOOKUP(A519+1-COUNT('Шаг2.Бланк заказа NEW'!$B$19:$B$201),CHOOSE({1,2},'Бланк OLD 0.8 04'!$B$18:$B$200,'Бланк OLD 0.8 04'!$A$18:$A$200),1,0)),
"Бланк OLD 2.0 04 №"&amp;VLOOKUP(A519+1-COUNT('Шаг2.Бланк заказа NEW'!$B$19:$B$201)-COUNT('Бланк OLD 0.8 04'!$B$18:$B$200),CHOOSE({1,2},'Бланк OLD 2.0 04 '!$B$18:$B$200,'Бланк OLD 2.0 04 '!$A$18:$A$200),1,0)),"")</f>
        <v/>
      </c>
      <c r="C520" s="152" t="str">
        <f ca="1">IFERROR(IFERROR(IFERROR(VLOOKUP(A519+1,CHOOSE({1,2},'Шаг2.Бланк заказа NEW'!$B$19:$B$201,'Шаг2.Бланк заказа NEW'!$A$19:$A$201),2,0),
VLOOKUP(A519+1-COUNT('Шаг2.Бланк заказа NEW'!$B$19:$B$201),CHOOSE({1,2},'Бланк OLD 0.8 04'!$B$18:$B$200,'Бланк OLD 0.8 04'!$A$18:$A$200),2,0)),
VLOOKUP(A519+1-COUNT('Шаг2.Бланк заказа NEW'!$B$19:$B$201)-COUNT('Бланк OLD 0.8 04'!$B$18:$B$200),CHOOSE({1,2},'Бланк OLD 2.0 04 '!$B$18:$B$200,'Бланк OLD 2.0 04 '!$A$18:$A$200),2,0)),"")</f>
        <v/>
      </c>
      <c r="D520" s="150" t="str">
        <f ca="1">IFERROR(VLOOKUP(C520,'Шаг1.Выбор плиты'!C:G,5,0),"")</f>
        <v/>
      </c>
      <c r="E520" s="147" t="str">
        <f ca="1">IFERROR(IFERROR(IF(VLOOKUP($A520,'Шаг2.Бланк заказа NEW'!$B$17:$N$201,2,0)="","",VLOOKUP($A520,'Шаг2.Бланк заказа NEW'!$B$17:$N$201,2,0)),
IF(VLOOKUP($A520-COUNT('Шаг2.Бланк заказа NEW'!$B$19:$B$201),'Бланк OLD 0.8 04'!$B$12:$K$200,2,0)="","",VLOOKUP($A520-COUNT('Шаг2.Бланк заказа NEW'!$B$19:$B$201),'Бланк OLD 0.8 04'!$B$12:$K$200,2,0))),
IF(VLOOKUP($A520-COUNT('Шаг2.Бланк заказа NEW'!$B$19:$B$201)-COUNT('Бланк OLD 0.8 04'!$B$18:$B$200),'Бланк OLD 2.0 04 '!$B$16:$K$200,2,0)="","",VLOOKUP($A520-COUNT('Шаг2.Бланк заказа NEW'!$B$19:$B$201)-COUNT('Бланк OLD 0.8 04'!$B$18:$B$200),'Бланк OLD 2.0 04 '!$B$16:$K$200,2,0)))</f>
        <v/>
      </c>
      <c r="F520" s="147" t="str">
        <f ca="1">IFERROR(IFERROR(IF(VLOOKUP($A520,'Шаг2.Бланк заказа NEW'!$B$17:$N$201,3,0)="","",VLOOKUP($A520,'Шаг2.Бланк заказа NEW'!$B$17:$N$201,3,0)),
IF(VLOOKUP($A520-COUNT('Шаг2.Бланк заказа NEW'!$B$19:$B$201),'Бланк OLD 0.8 04'!$B$12:$K$200,3,0)="","",VLOOKUP($A520-COUNT('Шаг2.Бланк заказа NEW'!$B$19:$B$201),'Бланк OLD 0.8 04'!$B$12:$K$200,3,0))),
IF(VLOOKUP($A520-COUNT('Шаг2.Бланк заказа NEW'!$B$19:$B$201)-COUNT('Бланк OLD 0.8 04'!$B$18:$B$200),'Бланк OLD 2.0 04 '!$B$16:$K$200,3,0)="","",VLOOKUP($A520-COUNT('Шаг2.Бланк заказа NEW'!$B$19:$B$201)-COUNT('Бланк OLD 0.8 04'!$B$18:$B$200),'Бланк OLD 2.0 04 '!$B$16:$K$200,3,0)))</f>
        <v/>
      </c>
      <c r="G520" s="176" t="str">
        <f ca="1">IF(IF(R520="","",IF(R520=1,SUMIFS('Шаг1.Выбор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плиты'!C:Q,12,0)),1))))))=0,
R520,
IF(R520="","",IF(R520=1,SUMIFS('Шаг1.Выбор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плиты'!N:N,R520,'Шаг1.Выбор плиты'!M:M,SMALL(INDIRECT("мм"&amp;VLOOKUP(C520,'Шаг1.Выбор плиты'!C:Q,12,0)),1)))))))</f>
        <v/>
      </c>
      <c r="H520" s="177" t="str">
        <f ca="1">IF(IF(S520="","",IF(S520=1,SUMIFS('Шаг1.Выбор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плиты'!C:Q,12,0)),1))))))=0,
S520,
IF(S520="","",IF(S520=1,SUMIFS('Шаг1.Выбор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плиты'!N:N,S520,'Шаг1.Выбор плиты'!M:M,SMALL(INDIRECT("мм"&amp;VLOOKUP(C520,'Шаг1.Выбор плиты'!C:Q,12,0)),1)))))))</f>
        <v/>
      </c>
      <c r="I520" s="147" t="str">
        <f ca="1">IFERROR(IFERROR(IF(VLOOKUP($A520,'Шаг2.Бланк заказа NEW'!$B$17:$N$201,6,0)="","",VLOOKUP($A520,'Шаг2.Бланк заказа NEW'!$B$17:$N$201,6,0)),
IF(VLOOKUP($A520-COUNT('Шаг2.Бланк заказа NEW'!$B$19:$B$201),'Бланк OLD 0.8 04'!$B$12:$K$200,6,0)="","",VLOOKUP($A520-COUNT('Шаг2.Бланк заказа NEW'!$B$19:$B$201),'Бланк OLD 0.8 04'!$B$12:$K$200,6,0))),
IF(VLOOKUP($A520-COUNT('Шаг2.Бланк заказа NEW'!$B$19:$B$201)-COUNT('Бланк OLD 0.8 04'!$B$18:$B$200),'Бланк OLD 2.0 04 '!$B$16:$K$200,6,0)="","",VLOOKUP($A520-COUNT('Шаг2.Бланк заказа NEW'!$B$19:$B$201)-COUNT('Бланк OLD 0.8 04'!$B$18:$B$200),'Бланк OLD 2.0 04 '!$B$16:$K$200,6,0)))</f>
        <v/>
      </c>
      <c r="J520" s="177" t="str">
        <f ca="1">IF(IF(T520="","",IF(T520=1,SUMIFS('Шаг1.Выбор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плиты'!C:Q,12,0)),1))))))=0,
T520,
IF(T520="","",IF(T520=1,SUMIFS('Шаг1.Выбор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плиты'!N:N,T520,'Шаг1.Выбор плиты'!M:M,SMALL(INDIRECT("мм"&amp;VLOOKUP(C520,'Шаг1.Выбор плиты'!C:Q,12,0)),1)))))))</f>
        <v/>
      </c>
      <c r="K520" s="177" t="str">
        <f ca="1">IF(IF(U520="","",IF(U520=1,SUMIFS('Шаг1.Выбор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плиты'!C:Q,12,0)),1))))))=0,
U520,
IF(U520="","",IF(U520=1,SUMIFS('Шаг1.Выбор плиты'!$G:$G,'Шаг1.Выбор плиты'!J:J,"*"&amp;RIGHT(VLOOKUP(C520,'Шаг1.Выбор плиты'!C:Q,8,0),4),'Шаг1.Выбор плиты'!L:L,IF(MID(C520,1,6)="ЛДСП P","TM"&amp;MID(VLOOKUP(C520,'Шаг1.Выбор плиты'!C:Q,10,0),3,2),MID(VLOOKUP(C520,'Шаг1.Выбор плиты'!C:Q,10,0),1,2)),
'Шаг1.Выбор плиты'!N:N,1),IF(SUMIFS('Шаг1.Выбор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плиты'!C:Q,12,0)),1))=0,
IF(SUMIFS('Шаг1.Выбор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плиты'!C:Q,12,0)),2))=0,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плиты'!C:Q,12,0)),3)),
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плиты'!C:Q,12,0)),2))),
(SUMIFS('Шаг1.Выбор плиты'!$G:$G,'Шаг1.Выбор плиты'!J:J,"*"&amp;RIGHT(VLOOKUP(C520,'Шаг1.Выбор плиты'!C:Q,8,0),4),'Шаг1.Выбор плиты'!L:L,VLOOKUP(C520,'Шаг1.Выбор плиты'!C:Q,10,0),'Шаг1.Выбор плиты'!N:N,U520,'Шаг1.Выбор плиты'!M:M,SMALL(INDIRECT("мм"&amp;VLOOKUP(C520,'Шаг1.Выбор плиты'!C:Q,12,0)),1)))))))</f>
        <v/>
      </c>
      <c r="L520" s="147" t="str">
        <f ca="1">IFERROR(IFERROR(IF(VLOOKUP($A520,'Шаг2.Бланк заказа NEW'!$B$17:$N$201,9,0)="","",VLOOKUP($A520,'Шаг2.Бланк заказа NEW'!$B$17:$N$201,9,0)),
IF(VLOOKUP($A520-COUNT('Шаг2.Бланк заказа NEW'!$B$19:$B$201),'Бланк OLD 0.8 04'!$B$12:$K$200,9,0)="","",VLOOKUP($A520-COUNT('Шаг2.Бланк заказа NEW'!$B$19:$B$201),'Бланк OLD 0.8 04'!$B$12:$K$200,9,0))),
IF(VLOOKUP($A520-COUNT('Шаг2.Бланк заказа NEW'!$B$19:$B$201)-COUNT('Бланк OLD 0.8 04'!$B$18:$B$200),'Бланк OLD 2.0 04 '!$B$16:$K$200,9,0)="","",VLOOKUP($A520-COUNT('Шаг2.Бланк заказа NEW'!$B$19:$B$201)-COUNT('Бланк OLD 0.8 04'!$B$18:$B$200),'Бланк OLD 2.0 04 '!$B$16:$K$200,9,0)))</f>
        <v/>
      </c>
      <c r="M520" s="154" t="str">
        <f t="shared" ca="1" si="49"/>
        <v/>
      </c>
      <c r="N520" s="153" t="str">
        <f ca="1">IFERROR(IF(VLOOKUP($A520,'Шаг2.Бланк заказа NEW'!$B$17:$N$201,11,0)="","",VLOOKUP($A520,'Шаг2.Бланк заказа NEW'!$B$17:$N$201,11,0)),
"Нет")</f>
        <v/>
      </c>
      <c r="O520" s="147" t="str">
        <f ca="1">IFERROR(IF(VLOOKUP($A520,'Шаг2.Бланк заказа NEW'!$B$17:$N$201,11,0)="","",VLOOKUP($A520,'Шаг2.Бланк заказа NEW'!$B$17:$N$201,12,0)),
"Нет")</f>
        <v/>
      </c>
      <c r="P520" s="153" t="str">
        <f ca="1">IFERROR(IF(VLOOKUP($A520,'Шаг2.Бланк заказа NEW'!$B$17:$N$201,13,0)="","",VLOOKUP($A520,'Шаг2.Бланк заказа NEW'!$B$17:$N$201,13,0)),
"Нет")</f>
        <v/>
      </c>
      <c r="Q520" s="147" t="str">
        <f ca="1">IFERROR(IF(VLOOKUP($A520,'Шаг2.Бланк заказа NEW'!$B$17:$O$201,14,0)="","",VLOOKUP($A520,'Шаг2.Бланк заказа NEW'!$B$17:$O$201,14,0)),"")</f>
        <v/>
      </c>
      <c r="R520" s="147" t="str">
        <f ca="1">IFERROR(IFERROR(IF(VLOOKUP($A520,'Шаг2.Бланк заказа NEW'!$B$17:$N$201,4,0)="","",VLOOKUP($A520,'Шаг2.Бланк заказа NEW'!$B$17:$N$201,4,0)),
IF(VLOOKUP($A520-COUNT('Шаг2.Бланк заказа NEW'!$B$19:$B$201),'Бланк OLD 0.8 04'!$B$12:$K$200,4,0)&gt;0,0.8,
IF(VLOOKUP($A520-COUNT('Шаг2.Бланк заказа NEW'!$B$19:$B$201),'Бланк OLD 0.8 04'!$B$12:$K$200,5,0)&gt;0,0.4,""))),
IF(VLOOKUP($A520-COUNT('Шаг2.Бланк заказа NEW'!$B$19:$B$201)-COUNT('Бланк OLD 0.8 04'!$B$18:$B$200),'Бланк OLD 2.0 04 '!$B$16:$K$200,4,0)&gt;0,2,IF(VLOOKUP($A520-COUNT('Шаг2.Бланк заказа NEW'!$B$19:$B$201)-COUNT('Бланк OLD 0.8 04'!$B$18:$B$200),'Бланк OLD 2.0 04 '!$B$16:$K$200,5,0)&gt;0,0.4,"")))</f>
        <v/>
      </c>
      <c r="S520" s="147" t="str">
        <f ca="1">IFERROR(IFERROR(IF(VLOOKUP($A520,'Шаг2.Бланк заказа NEW'!$B$17:$N$201,5,0)="","",VLOOKUP($A520,'Шаг2.Бланк заказа NEW'!$B$17:$N$201,5,0)),
IF(VLOOKUP($A520-COUNT('Шаг2.Бланк заказа NEW'!$B$19:$B$201),'Бланк OLD 0.8 04'!$B$12:$K$200,4,0)&gt;1,0.8,
IF(VLOOKUP($A520-COUNT('Шаг2.Бланк заказа NEW'!$B$19:$B$201),'Бланк OLD 0.8 04'!$B$12:$K$200,5,0)&gt;1,0.4,
IF(AND(VLOOKUP($A520-COUNT('Шаг2.Бланк заказа NEW'!$B$19:$B$201),'Бланк OLD 0.8 04'!$B$12:$K$200,4,0)&gt;0,VLOOKUP($A520-COUNT('Шаг2.Бланк заказа NEW'!$B$19:$B$201),'Бланк OLD 0.8 04'!$B$12:$K$200,5,0)&gt;0),0.4,"")))),
IF(VLOOKUP($A520-COUNT('Шаг2.Бланк заказа NEW'!$B$19:$B$201)-COUNT('Бланк OLD 0.8 04'!$B$18:$B$200),'Бланк OLD 2.0 04 '!$B$16:$K$200,4,0)&gt;1,2,
IF(VLOOKUP($A520-COUNT('Шаг2.Бланк заказа NEW'!$B$19:$B$201)-COUNT('Бланк OLD 0.8 04'!$B$18:$B$200),'Бланк OLD 2.0 04 '!$B$16:$K$200,5,0)&gt;1,0.4,IF(AND(VLOOKUP($A520-COUNT('Шаг2.Бланк заказа NEW'!$B$19:$B$201)-COUNT('Бланк OLD 0.8 04'!$B$18:$B$200),'Бланк OLD 2.0 04 '!$B$16:$K$200,4,0)&gt;0,VLOOKUP($A520-COUNT('Шаг2.Бланк заказа NEW'!$B$19:$B$201)-COUNT('Бланк OLD 0.8 04'!$B$18:$B$200),'Бланк OLD 2.0 04 '!$B$16:$K$200,5,0)&gt;0),0.4,""))))</f>
        <v/>
      </c>
      <c r="T520" s="147" t="str">
        <f ca="1">IFERROR(IFERROR(IF(VLOOKUP($A520,'Шаг2.Бланк заказа NEW'!$B$17:$N$201,7,0)="","",VLOOKUP($A520,'Шаг2.Бланк заказа NEW'!$B$17:$N$201,7,0)),
IF(VLOOKUP($A520-COUNT('Шаг2.Бланк заказа NEW'!$B$19:$B$201),'Бланк OLD 0.8 04'!$B$12:$K$200,7,0)&gt;0,0.8,
IF(VLOOKUP($A520-COUNT('Шаг2.Бланк заказа NEW'!$B$19:$B$201),'Бланк OLD 0.8 04'!$B$12:$K$200,8,0)&gt;0,0.4,""))),
IF(VLOOKUP($A520-COUNT('Шаг2.Бланк заказа NEW'!$B$19:$B$201)-COUNT('Бланк OLD 0.8 04'!$B$18:$B$200),'Бланк OLD 2.0 04 '!$B$16:$K$200,7,0)&gt;0,2,IF(VLOOKUP($A520-COUNT('Шаг2.Бланк заказа NEW'!$B$19:$B$201)-COUNT('Бланк OLD 0.8 04'!$B$18:$B$200),'Бланк OLD 2.0 04 '!$B$16:$K$200,8,0)&gt;0,0.4,"")))</f>
        <v/>
      </c>
      <c r="U520" s="147" t="str">
        <f ca="1">IFERROR(IFERROR(IF(VLOOKUP($A520,'Шаг2.Бланк заказа NEW'!$B$17:$N$201,8,0)="","",VLOOKUP($A520,'Шаг2.Бланк заказа NEW'!$B$17:$N$201,8,0)),
IF(VLOOKUP($A520-COUNT('Шаг2.Бланк заказа NEW'!$B$19:$B$201),'Бланк OLD 0.8 04'!$B$12:$K$200,7,0)&gt;1,0.8,
IF(VLOOKUP($A520-COUNT('Шаг2.Бланк заказа NEW'!$B$19:$B$201),'Бланк OLD 0.8 04'!$B$12:$K$200,8,0)&gt;1,0.4,
IF(AND(VLOOKUP($A520-COUNT('Шаг2.Бланк заказа NEW'!$B$19:$B$201),'Бланк OLD 0.8 04'!$B$12:$K$200,7,0)&gt;0,VLOOKUP($A520-COUNT('Шаг2.Бланк заказа NEW'!$B$19:$B$201),'Бланк OLD 0.8 04'!$B$12:$K$200,8,0)&gt;0),0.4,"")))),
IF(VLOOKUP($A520-COUNT('Шаг2.Бланк заказа NEW'!$B$19:$B$201)-COUNT('Бланк OLD 0.8 04'!$B$18:$B$200),'Бланк OLD 2.0 04 '!$B$16:$K$200,7,0)&gt;1,2,
IF(VLOOKUP($A520-COUNT('Шаг2.Бланк заказа NEW'!$B$19:$B$201)-COUNT('Бланк OLD 0.8 04'!$B$18:$B$200),'Бланк OLD 2.0 04 '!$B$16:$K$200,8,0)&gt;1,0.4,
IF(AND(VLOOKUP($A520-COUNT('Шаг2.Бланк заказа NEW'!$B$19:$B$201)-COUNT('Бланк OLD 0.8 04'!$B$18:$B$200),'Бланк OLD 2.0 04 '!$B$16:$K$200,7,0)&gt;0,VLOOKUP($A520-COUNT('Шаг2.Бланк заказа NEW'!$B$19:$B$201)-COUNT('Бланк OLD 0.8 04'!$B$18:$B$200),'Бланк OLD 2.0 04 '!$B$16:$K$200,8,0)&gt;0),0.4,""))))</f>
        <v/>
      </c>
      <c r="V520" s="146" t="str">
        <f ca="1">IFERROR(VLOOKUP(C520,'Шаг1.Выбор плиты'!C:S,12,0),"")</f>
        <v/>
      </c>
      <c r="W520" s="146" t="str">
        <f ca="1">IFERROR(VLOOKUP(C520,'Шаг1.Выбор плиты'!C:S,8,0),"")</f>
        <v/>
      </c>
      <c r="X520" s="146" t="str">
        <f ca="1">IFERROR(VLOOKUP(C520,'Шаг1.Выбор плиты'!C:S,10,0),"")</f>
        <v/>
      </c>
      <c r="Y520" s="147" t="str">
        <f t="shared" ca="1" si="51"/>
        <v/>
      </c>
      <c r="AD520" s="147" t="str">
        <f t="shared" ca="1" si="48"/>
        <v/>
      </c>
      <c r="AE520" s="147" t="str">
        <f t="shared" ca="1" si="52"/>
        <v/>
      </c>
      <c r="AF520" s="25"/>
      <c r="AH520" s="147" t="str">
        <f ca="1">IF(C520="","",VLOOKUP(C520,'Шаг1.Выбор плиты'!C:Q,7,0))</f>
        <v/>
      </c>
      <c r="AI520" s="147" t="str">
        <f t="shared" ca="1" si="50"/>
        <v/>
      </c>
    </row>
    <row r="521" spans="1:35" x14ac:dyDescent="0.2">
      <c r="A521" s="151" t="str">
        <f ca="1">IF(C521="","",MAX($A$1:OFFSET(C521,-1,0))+1)</f>
        <v/>
      </c>
      <c r="B521" s="151" t="str">
        <f ca="1">IFERROR(IFERROR(IFERROR("Шаг2.Бланк заказа NEW №"&amp;VLOOKUP(A520+1,CHOOSE({1,2},'Шаг2.Бланк заказа NEW'!$B$19:$B$201,'Шаг2.Бланк заказа NEW'!$A$19:$A$201),1,0),
"Бланк OLD 0.8 04 №"&amp;VLOOKUP(A520+1-COUNT('Шаг2.Бланк заказа NEW'!$B$19:$B$201),CHOOSE({1,2},'Бланк OLD 0.8 04'!$B$18:$B$200,'Бланк OLD 0.8 04'!$A$18:$A$200),1,0)),
"Бланк OLD 2.0 04 №"&amp;VLOOKUP(A520+1-COUNT('Шаг2.Бланк заказа NEW'!$B$19:$B$201)-COUNT('Бланк OLD 0.8 04'!$B$18:$B$200),CHOOSE({1,2},'Бланк OLD 2.0 04 '!$B$18:$B$200,'Бланк OLD 2.0 04 '!$A$18:$A$200),1,0)),"")</f>
        <v/>
      </c>
      <c r="C521" s="152" t="str">
        <f ca="1">IFERROR(IFERROR(IFERROR(VLOOKUP(A520+1,CHOOSE({1,2},'Шаг2.Бланк заказа NEW'!$B$19:$B$201,'Шаг2.Бланк заказа NEW'!$A$19:$A$201),2,0),
VLOOKUP(A520+1-COUNT('Шаг2.Бланк заказа NEW'!$B$19:$B$201),CHOOSE({1,2},'Бланк OLD 0.8 04'!$B$18:$B$200,'Бланк OLD 0.8 04'!$A$18:$A$200),2,0)),
VLOOKUP(A520+1-COUNT('Шаг2.Бланк заказа NEW'!$B$19:$B$201)-COUNT('Бланк OLD 0.8 04'!$B$18:$B$200),CHOOSE({1,2},'Бланк OLD 2.0 04 '!$B$18:$B$200,'Бланк OLD 2.0 04 '!$A$18:$A$200),2,0)),"")</f>
        <v/>
      </c>
      <c r="D521" s="150" t="str">
        <f ca="1">IFERROR(VLOOKUP(C521,'Шаг1.Выбор плиты'!C:G,5,0),"")</f>
        <v/>
      </c>
      <c r="E521" s="147" t="str">
        <f ca="1">IFERROR(IFERROR(IF(VLOOKUP($A521,'Шаг2.Бланк заказа NEW'!$B$17:$N$201,2,0)="","",VLOOKUP($A521,'Шаг2.Бланк заказа NEW'!$B$17:$N$201,2,0)),
IF(VLOOKUP($A521-COUNT('Шаг2.Бланк заказа NEW'!$B$19:$B$201),'Бланк OLD 0.8 04'!$B$12:$K$200,2,0)="","",VLOOKUP($A521-COUNT('Шаг2.Бланк заказа NEW'!$B$19:$B$201),'Бланк OLD 0.8 04'!$B$12:$K$200,2,0))),
IF(VLOOKUP($A521-COUNT('Шаг2.Бланк заказа NEW'!$B$19:$B$201)-COUNT('Бланк OLD 0.8 04'!$B$18:$B$200),'Бланк OLD 2.0 04 '!$B$16:$K$200,2,0)="","",VLOOKUP($A521-COUNT('Шаг2.Бланк заказа NEW'!$B$19:$B$201)-COUNT('Бланк OLD 0.8 04'!$B$18:$B$200),'Бланк OLD 2.0 04 '!$B$16:$K$200,2,0)))</f>
        <v/>
      </c>
      <c r="F521" s="147" t="str">
        <f ca="1">IFERROR(IFERROR(IF(VLOOKUP($A521,'Шаг2.Бланк заказа NEW'!$B$17:$N$201,3,0)="","",VLOOKUP($A521,'Шаг2.Бланк заказа NEW'!$B$17:$N$201,3,0)),
IF(VLOOKUP($A521-COUNT('Шаг2.Бланк заказа NEW'!$B$19:$B$201),'Бланк OLD 0.8 04'!$B$12:$K$200,3,0)="","",VLOOKUP($A521-COUNT('Шаг2.Бланк заказа NEW'!$B$19:$B$201),'Бланк OLD 0.8 04'!$B$12:$K$200,3,0))),
IF(VLOOKUP($A521-COUNT('Шаг2.Бланк заказа NEW'!$B$19:$B$201)-COUNT('Бланк OLD 0.8 04'!$B$18:$B$200),'Бланк OLD 2.0 04 '!$B$16:$K$200,3,0)="","",VLOOKUP($A521-COUNT('Шаг2.Бланк заказа NEW'!$B$19:$B$201)-COUNT('Бланк OLD 0.8 04'!$B$18:$B$200),'Бланк OLD 2.0 04 '!$B$16:$K$200,3,0)))</f>
        <v/>
      </c>
      <c r="G521" s="176" t="str">
        <f ca="1">IF(IF(R521="","",IF(R521=1,SUMIFS('Шаг1.Выбор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плиты'!C:Q,12,0)),1))))))=0,
R521,
IF(R521="","",IF(R521=1,SUMIFS('Шаг1.Выбор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плиты'!N:N,R521,'Шаг1.Выбор плиты'!M:M,SMALL(INDIRECT("мм"&amp;VLOOKUP(C521,'Шаг1.Выбор плиты'!C:Q,12,0)),1)))))))</f>
        <v/>
      </c>
      <c r="H521" s="177" t="str">
        <f ca="1">IF(IF(S521="","",IF(S521=1,SUMIFS('Шаг1.Выбор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плиты'!C:Q,12,0)),1))))))=0,
S521,
IF(S521="","",IF(S521=1,SUMIFS('Шаг1.Выбор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плиты'!N:N,S521,'Шаг1.Выбор плиты'!M:M,SMALL(INDIRECT("мм"&amp;VLOOKUP(C521,'Шаг1.Выбор плиты'!C:Q,12,0)),1)))))))</f>
        <v/>
      </c>
      <c r="I521" s="147" t="str">
        <f ca="1">IFERROR(IFERROR(IF(VLOOKUP($A521,'Шаг2.Бланк заказа NEW'!$B$17:$N$201,6,0)="","",VLOOKUP($A521,'Шаг2.Бланк заказа NEW'!$B$17:$N$201,6,0)),
IF(VLOOKUP($A521-COUNT('Шаг2.Бланк заказа NEW'!$B$19:$B$201),'Бланк OLD 0.8 04'!$B$12:$K$200,6,0)="","",VLOOKUP($A521-COUNT('Шаг2.Бланк заказа NEW'!$B$19:$B$201),'Бланк OLD 0.8 04'!$B$12:$K$200,6,0))),
IF(VLOOKUP($A521-COUNT('Шаг2.Бланк заказа NEW'!$B$19:$B$201)-COUNT('Бланк OLD 0.8 04'!$B$18:$B$200),'Бланк OLD 2.0 04 '!$B$16:$K$200,6,0)="","",VLOOKUP($A521-COUNT('Шаг2.Бланк заказа NEW'!$B$19:$B$201)-COUNT('Бланк OLD 0.8 04'!$B$18:$B$200),'Бланк OLD 2.0 04 '!$B$16:$K$200,6,0)))</f>
        <v/>
      </c>
      <c r="J521" s="177" t="str">
        <f ca="1">IF(IF(T521="","",IF(T521=1,SUMIFS('Шаг1.Выбор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плиты'!C:Q,12,0)),1))))))=0,
T521,
IF(T521="","",IF(T521=1,SUMIFS('Шаг1.Выбор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плиты'!N:N,T521,'Шаг1.Выбор плиты'!M:M,SMALL(INDIRECT("мм"&amp;VLOOKUP(C521,'Шаг1.Выбор плиты'!C:Q,12,0)),1)))))))</f>
        <v/>
      </c>
      <c r="K521" s="177" t="str">
        <f ca="1">IF(IF(U521="","",IF(U521=1,SUMIFS('Шаг1.Выбор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плиты'!C:Q,12,0)),1))))))=0,
U521,
IF(U521="","",IF(U521=1,SUMIFS('Шаг1.Выбор плиты'!$G:$G,'Шаг1.Выбор плиты'!J:J,"*"&amp;RIGHT(VLOOKUP(C521,'Шаг1.Выбор плиты'!C:Q,8,0),4),'Шаг1.Выбор плиты'!L:L,IF(MID(C521,1,6)="ЛДСП P","TM"&amp;MID(VLOOKUP(C521,'Шаг1.Выбор плиты'!C:Q,10,0),3,2),MID(VLOOKUP(C521,'Шаг1.Выбор плиты'!C:Q,10,0),1,2)),
'Шаг1.Выбор плиты'!N:N,1),IF(SUMIFS('Шаг1.Выбор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плиты'!C:Q,12,0)),1))=0,
IF(SUMIFS('Шаг1.Выбор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плиты'!C:Q,12,0)),2))=0,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плиты'!C:Q,12,0)),3)),
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плиты'!C:Q,12,0)),2))),
(SUMIFS('Шаг1.Выбор плиты'!$G:$G,'Шаг1.Выбор плиты'!J:J,"*"&amp;RIGHT(VLOOKUP(C521,'Шаг1.Выбор плиты'!C:Q,8,0),4),'Шаг1.Выбор плиты'!L:L,VLOOKUP(C521,'Шаг1.Выбор плиты'!C:Q,10,0),'Шаг1.Выбор плиты'!N:N,U521,'Шаг1.Выбор плиты'!M:M,SMALL(INDIRECT("мм"&amp;VLOOKUP(C521,'Шаг1.Выбор плиты'!C:Q,12,0)),1)))))))</f>
        <v/>
      </c>
      <c r="L521" s="147" t="str">
        <f ca="1">IFERROR(IFERROR(IF(VLOOKUP($A521,'Шаг2.Бланк заказа NEW'!$B$17:$N$201,9,0)="","",VLOOKUP($A521,'Шаг2.Бланк заказа NEW'!$B$17:$N$201,9,0)),
IF(VLOOKUP($A521-COUNT('Шаг2.Бланк заказа NEW'!$B$19:$B$201),'Бланк OLD 0.8 04'!$B$12:$K$200,9,0)="","",VLOOKUP($A521-COUNT('Шаг2.Бланк заказа NEW'!$B$19:$B$201),'Бланк OLD 0.8 04'!$B$12:$K$200,9,0))),
IF(VLOOKUP($A521-COUNT('Шаг2.Бланк заказа NEW'!$B$19:$B$201)-COUNT('Бланк OLD 0.8 04'!$B$18:$B$200),'Бланк OLD 2.0 04 '!$B$16:$K$200,9,0)="","",VLOOKUP($A521-COUNT('Шаг2.Бланк заказа NEW'!$B$19:$B$201)-COUNT('Бланк OLD 0.8 04'!$B$18:$B$200),'Бланк OLD 2.0 04 '!$B$16:$K$200,9,0)))</f>
        <v/>
      </c>
      <c r="M521" s="154" t="str">
        <f t="shared" ca="1" si="49"/>
        <v/>
      </c>
      <c r="N521" s="153" t="str">
        <f ca="1">IFERROR(IF(VLOOKUP($A521,'Шаг2.Бланк заказа NEW'!$B$17:$N$201,11,0)="","",VLOOKUP($A521,'Шаг2.Бланк заказа NEW'!$B$17:$N$201,11,0)),
"Нет")</f>
        <v/>
      </c>
      <c r="O521" s="147" t="str">
        <f ca="1">IFERROR(IF(VLOOKUP($A521,'Шаг2.Бланк заказа NEW'!$B$17:$N$201,11,0)="","",VLOOKUP($A521,'Шаг2.Бланк заказа NEW'!$B$17:$N$201,12,0)),
"Нет")</f>
        <v/>
      </c>
      <c r="P521" s="153" t="str">
        <f ca="1">IFERROR(IF(VLOOKUP($A521,'Шаг2.Бланк заказа NEW'!$B$17:$N$201,13,0)="","",VLOOKUP($A521,'Шаг2.Бланк заказа NEW'!$B$17:$N$201,13,0)),
"Нет")</f>
        <v/>
      </c>
      <c r="Q521" s="147" t="str">
        <f ca="1">IFERROR(IF(VLOOKUP($A521,'Шаг2.Бланк заказа NEW'!$B$17:$O$201,14,0)="","",VLOOKUP($A521,'Шаг2.Бланк заказа NEW'!$B$17:$O$201,14,0)),"")</f>
        <v/>
      </c>
      <c r="R521" s="147" t="str">
        <f ca="1">IFERROR(IFERROR(IF(VLOOKUP($A521,'Шаг2.Бланк заказа NEW'!$B$17:$N$201,4,0)="","",VLOOKUP($A521,'Шаг2.Бланк заказа NEW'!$B$17:$N$201,4,0)),
IF(VLOOKUP($A521-COUNT('Шаг2.Бланк заказа NEW'!$B$19:$B$201),'Бланк OLD 0.8 04'!$B$12:$K$200,4,0)&gt;0,0.8,
IF(VLOOKUP($A521-COUNT('Шаг2.Бланк заказа NEW'!$B$19:$B$201),'Бланк OLD 0.8 04'!$B$12:$K$200,5,0)&gt;0,0.4,""))),
IF(VLOOKUP($A521-COUNT('Шаг2.Бланк заказа NEW'!$B$19:$B$201)-COUNT('Бланк OLD 0.8 04'!$B$18:$B$200),'Бланк OLD 2.0 04 '!$B$16:$K$200,4,0)&gt;0,2,IF(VLOOKUP($A521-COUNT('Шаг2.Бланк заказа NEW'!$B$19:$B$201)-COUNT('Бланк OLD 0.8 04'!$B$18:$B$200),'Бланк OLD 2.0 04 '!$B$16:$K$200,5,0)&gt;0,0.4,"")))</f>
        <v/>
      </c>
      <c r="S521" s="147" t="str">
        <f ca="1">IFERROR(IFERROR(IF(VLOOKUP($A521,'Шаг2.Бланк заказа NEW'!$B$17:$N$201,5,0)="","",VLOOKUP($A521,'Шаг2.Бланк заказа NEW'!$B$17:$N$201,5,0)),
IF(VLOOKUP($A521-COUNT('Шаг2.Бланк заказа NEW'!$B$19:$B$201),'Бланк OLD 0.8 04'!$B$12:$K$200,4,0)&gt;1,0.8,
IF(VLOOKUP($A521-COUNT('Шаг2.Бланк заказа NEW'!$B$19:$B$201),'Бланк OLD 0.8 04'!$B$12:$K$200,5,0)&gt;1,0.4,
IF(AND(VLOOKUP($A521-COUNT('Шаг2.Бланк заказа NEW'!$B$19:$B$201),'Бланк OLD 0.8 04'!$B$12:$K$200,4,0)&gt;0,VLOOKUP($A521-COUNT('Шаг2.Бланк заказа NEW'!$B$19:$B$201),'Бланк OLD 0.8 04'!$B$12:$K$200,5,0)&gt;0),0.4,"")))),
IF(VLOOKUP($A521-COUNT('Шаг2.Бланк заказа NEW'!$B$19:$B$201)-COUNT('Бланк OLD 0.8 04'!$B$18:$B$200),'Бланк OLD 2.0 04 '!$B$16:$K$200,4,0)&gt;1,2,
IF(VLOOKUP($A521-COUNT('Шаг2.Бланк заказа NEW'!$B$19:$B$201)-COUNT('Бланк OLD 0.8 04'!$B$18:$B$200),'Бланк OLD 2.0 04 '!$B$16:$K$200,5,0)&gt;1,0.4,IF(AND(VLOOKUP($A521-COUNT('Шаг2.Бланк заказа NEW'!$B$19:$B$201)-COUNT('Бланк OLD 0.8 04'!$B$18:$B$200),'Бланк OLD 2.0 04 '!$B$16:$K$200,4,0)&gt;0,VLOOKUP($A521-COUNT('Шаг2.Бланк заказа NEW'!$B$19:$B$201)-COUNT('Бланк OLD 0.8 04'!$B$18:$B$200),'Бланк OLD 2.0 04 '!$B$16:$K$200,5,0)&gt;0),0.4,""))))</f>
        <v/>
      </c>
      <c r="T521" s="147" t="str">
        <f ca="1">IFERROR(IFERROR(IF(VLOOKUP($A521,'Шаг2.Бланк заказа NEW'!$B$17:$N$201,7,0)="","",VLOOKUP($A521,'Шаг2.Бланк заказа NEW'!$B$17:$N$201,7,0)),
IF(VLOOKUP($A521-COUNT('Шаг2.Бланк заказа NEW'!$B$19:$B$201),'Бланк OLD 0.8 04'!$B$12:$K$200,7,0)&gt;0,0.8,
IF(VLOOKUP($A521-COUNT('Шаг2.Бланк заказа NEW'!$B$19:$B$201),'Бланк OLD 0.8 04'!$B$12:$K$200,8,0)&gt;0,0.4,""))),
IF(VLOOKUP($A521-COUNT('Шаг2.Бланк заказа NEW'!$B$19:$B$201)-COUNT('Бланк OLD 0.8 04'!$B$18:$B$200),'Бланк OLD 2.0 04 '!$B$16:$K$200,7,0)&gt;0,2,IF(VLOOKUP($A521-COUNT('Шаг2.Бланк заказа NEW'!$B$19:$B$201)-COUNT('Бланк OLD 0.8 04'!$B$18:$B$200),'Бланк OLD 2.0 04 '!$B$16:$K$200,8,0)&gt;0,0.4,"")))</f>
        <v/>
      </c>
      <c r="U521" s="147" t="str">
        <f ca="1">IFERROR(IFERROR(IF(VLOOKUP($A521,'Шаг2.Бланк заказа NEW'!$B$17:$N$201,8,0)="","",VLOOKUP($A521,'Шаг2.Бланк заказа NEW'!$B$17:$N$201,8,0)),
IF(VLOOKUP($A521-COUNT('Шаг2.Бланк заказа NEW'!$B$19:$B$201),'Бланк OLD 0.8 04'!$B$12:$K$200,7,0)&gt;1,0.8,
IF(VLOOKUP($A521-COUNT('Шаг2.Бланк заказа NEW'!$B$19:$B$201),'Бланк OLD 0.8 04'!$B$12:$K$200,8,0)&gt;1,0.4,
IF(AND(VLOOKUP($A521-COUNT('Шаг2.Бланк заказа NEW'!$B$19:$B$201),'Бланк OLD 0.8 04'!$B$12:$K$200,7,0)&gt;0,VLOOKUP($A521-COUNT('Шаг2.Бланк заказа NEW'!$B$19:$B$201),'Бланк OLD 0.8 04'!$B$12:$K$200,8,0)&gt;0),0.4,"")))),
IF(VLOOKUP($A521-COUNT('Шаг2.Бланк заказа NEW'!$B$19:$B$201)-COUNT('Бланк OLD 0.8 04'!$B$18:$B$200),'Бланк OLD 2.0 04 '!$B$16:$K$200,7,0)&gt;1,2,
IF(VLOOKUP($A521-COUNT('Шаг2.Бланк заказа NEW'!$B$19:$B$201)-COUNT('Бланк OLD 0.8 04'!$B$18:$B$200),'Бланк OLD 2.0 04 '!$B$16:$K$200,8,0)&gt;1,0.4,
IF(AND(VLOOKUP($A521-COUNT('Шаг2.Бланк заказа NEW'!$B$19:$B$201)-COUNT('Бланк OLD 0.8 04'!$B$18:$B$200),'Бланк OLD 2.0 04 '!$B$16:$K$200,7,0)&gt;0,VLOOKUP($A521-COUNT('Шаг2.Бланк заказа NEW'!$B$19:$B$201)-COUNT('Бланк OLD 0.8 04'!$B$18:$B$200),'Бланк OLD 2.0 04 '!$B$16:$K$200,8,0)&gt;0),0.4,""))))</f>
        <v/>
      </c>
      <c r="V521" s="146" t="str">
        <f ca="1">IFERROR(VLOOKUP(C521,'Шаг1.Выбор плиты'!C:S,12,0),"")</f>
        <v/>
      </c>
      <c r="W521" s="146" t="str">
        <f ca="1">IFERROR(VLOOKUP(C521,'Шаг1.Выбор плиты'!C:S,8,0),"")</f>
        <v/>
      </c>
      <c r="X521" s="146" t="str">
        <f ca="1">IFERROR(VLOOKUP(C521,'Шаг1.Выбор плиты'!C:S,10,0),"")</f>
        <v/>
      </c>
      <c r="Y521" s="147" t="str">
        <f t="shared" ca="1" si="51"/>
        <v/>
      </c>
      <c r="AD521" s="147" t="str">
        <f t="shared" ca="1" si="48"/>
        <v/>
      </c>
      <c r="AE521" s="147" t="str">
        <f t="shared" ca="1" si="52"/>
        <v/>
      </c>
      <c r="AF521" s="25"/>
      <c r="AH521" s="147" t="str">
        <f ca="1">IF(C521="","",VLOOKUP(C521,'Шаг1.Выбор плиты'!C:Q,7,0))</f>
        <v/>
      </c>
      <c r="AI521" s="147" t="str">
        <f t="shared" ca="1" si="50"/>
        <v/>
      </c>
    </row>
    <row r="522" spans="1:35" x14ac:dyDescent="0.2">
      <c r="A522" s="151" t="str">
        <f ca="1">IF(C522="","",MAX($A$1:OFFSET(C522,-1,0))+1)</f>
        <v/>
      </c>
      <c r="B522" s="151" t="str">
        <f ca="1">IFERROR(IFERROR(IFERROR("Шаг2.Бланк заказа NEW №"&amp;VLOOKUP(A521+1,CHOOSE({1,2},'Шаг2.Бланк заказа NEW'!$B$19:$B$201,'Шаг2.Бланк заказа NEW'!$A$19:$A$201),1,0),
"Бланк OLD 0.8 04 №"&amp;VLOOKUP(A521+1-COUNT('Шаг2.Бланк заказа NEW'!$B$19:$B$201),CHOOSE({1,2},'Бланк OLD 0.8 04'!$B$18:$B$200,'Бланк OLD 0.8 04'!$A$18:$A$200),1,0)),
"Бланк OLD 2.0 04 №"&amp;VLOOKUP(A521+1-COUNT('Шаг2.Бланк заказа NEW'!$B$19:$B$201)-COUNT('Бланк OLD 0.8 04'!$B$18:$B$200),CHOOSE({1,2},'Бланк OLD 2.0 04 '!$B$18:$B$200,'Бланк OLD 2.0 04 '!$A$18:$A$200),1,0)),"")</f>
        <v/>
      </c>
      <c r="C522" s="152" t="str">
        <f ca="1">IFERROR(IFERROR(IFERROR(VLOOKUP(A521+1,CHOOSE({1,2},'Шаг2.Бланк заказа NEW'!$B$19:$B$201,'Шаг2.Бланк заказа NEW'!$A$19:$A$201),2,0),
VLOOKUP(A521+1-COUNT('Шаг2.Бланк заказа NEW'!$B$19:$B$201),CHOOSE({1,2},'Бланк OLD 0.8 04'!$B$18:$B$200,'Бланк OLD 0.8 04'!$A$18:$A$200),2,0)),
VLOOKUP(A521+1-COUNT('Шаг2.Бланк заказа NEW'!$B$19:$B$201)-COUNT('Бланк OLD 0.8 04'!$B$18:$B$200),CHOOSE({1,2},'Бланк OLD 2.0 04 '!$B$18:$B$200,'Бланк OLD 2.0 04 '!$A$18:$A$200),2,0)),"")</f>
        <v/>
      </c>
      <c r="D522" s="150" t="str">
        <f ca="1">IFERROR(VLOOKUP(C522,'Шаг1.Выбор плиты'!C:G,5,0),"")</f>
        <v/>
      </c>
      <c r="E522" s="147" t="str">
        <f ca="1">IFERROR(IFERROR(IF(VLOOKUP($A522,'Шаг2.Бланк заказа NEW'!$B$17:$N$201,2,0)="","",VLOOKUP($A522,'Шаг2.Бланк заказа NEW'!$B$17:$N$201,2,0)),
IF(VLOOKUP($A522-COUNT('Шаг2.Бланк заказа NEW'!$B$19:$B$201),'Бланк OLD 0.8 04'!$B$12:$K$200,2,0)="","",VLOOKUP($A522-COUNT('Шаг2.Бланк заказа NEW'!$B$19:$B$201),'Бланк OLD 0.8 04'!$B$12:$K$200,2,0))),
IF(VLOOKUP($A522-COUNT('Шаг2.Бланк заказа NEW'!$B$19:$B$201)-COUNT('Бланк OLD 0.8 04'!$B$18:$B$200),'Бланк OLD 2.0 04 '!$B$16:$K$200,2,0)="","",VLOOKUP($A522-COUNT('Шаг2.Бланк заказа NEW'!$B$19:$B$201)-COUNT('Бланк OLD 0.8 04'!$B$18:$B$200),'Бланк OLD 2.0 04 '!$B$16:$K$200,2,0)))</f>
        <v/>
      </c>
      <c r="F522" s="147" t="str">
        <f ca="1">IFERROR(IFERROR(IF(VLOOKUP($A522,'Шаг2.Бланк заказа NEW'!$B$17:$N$201,3,0)="","",VLOOKUP($A522,'Шаг2.Бланк заказа NEW'!$B$17:$N$201,3,0)),
IF(VLOOKUP($A522-COUNT('Шаг2.Бланк заказа NEW'!$B$19:$B$201),'Бланк OLD 0.8 04'!$B$12:$K$200,3,0)="","",VLOOKUP($A522-COUNT('Шаг2.Бланк заказа NEW'!$B$19:$B$201),'Бланк OLD 0.8 04'!$B$12:$K$200,3,0))),
IF(VLOOKUP($A522-COUNT('Шаг2.Бланк заказа NEW'!$B$19:$B$201)-COUNT('Бланк OLD 0.8 04'!$B$18:$B$200),'Бланк OLD 2.0 04 '!$B$16:$K$200,3,0)="","",VLOOKUP($A522-COUNT('Шаг2.Бланк заказа NEW'!$B$19:$B$201)-COUNT('Бланк OLD 0.8 04'!$B$18:$B$200),'Бланк OLD 2.0 04 '!$B$16:$K$200,3,0)))</f>
        <v/>
      </c>
      <c r="G522" s="176" t="str">
        <f ca="1">IF(IF(R522="","",IF(R522=1,SUMIFS('Шаг1.Выбор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плиты'!C:Q,12,0)),1))))))=0,
R522,
IF(R522="","",IF(R522=1,SUMIFS('Шаг1.Выбор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плиты'!N:N,R522,'Шаг1.Выбор плиты'!M:M,SMALL(INDIRECT("мм"&amp;VLOOKUP(C522,'Шаг1.Выбор плиты'!C:Q,12,0)),1)))))))</f>
        <v/>
      </c>
      <c r="H522" s="177" t="str">
        <f ca="1">IF(IF(S522="","",IF(S522=1,SUMIFS('Шаг1.Выбор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плиты'!C:Q,12,0)),1))))))=0,
S522,
IF(S522="","",IF(S522=1,SUMIFS('Шаг1.Выбор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плиты'!N:N,S522,'Шаг1.Выбор плиты'!M:M,SMALL(INDIRECT("мм"&amp;VLOOKUP(C522,'Шаг1.Выбор плиты'!C:Q,12,0)),1)))))))</f>
        <v/>
      </c>
      <c r="I522" s="147" t="str">
        <f ca="1">IFERROR(IFERROR(IF(VLOOKUP($A522,'Шаг2.Бланк заказа NEW'!$B$17:$N$201,6,0)="","",VLOOKUP($A522,'Шаг2.Бланк заказа NEW'!$B$17:$N$201,6,0)),
IF(VLOOKUP($A522-COUNT('Шаг2.Бланк заказа NEW'!$B$19:$B$201),'Бланк OLD 0.8 04'!$B$12:$K$200,6,0)="","",VLOOKUP($A522-COUNT('Шаг2.Бланк заказа NEW'!$B$19:$B$201),'Бланк OLD 0.8 04'!$B$12:$K$200,6,0))),
IF(VLOOKUP($A522-COUNT('Шаг2.Бланк заказа NEW'!$B$19:$B$201)-COUNT('Бланк OLD 0.8 04'!$B$18:$B$200),'Бланк OLD 2.0 04 '!$B$16:$K$200,6,0)="","",VLOOKUP($A522-COUNT('Шаг2.Бланк заказа NEW'!$B$19:$B$201)-COUNT('Бланк OLD 0.8 04'!$B$18:$B$200),'Бланк OLD 2.0 04 '!$B$16:$K$200,6,0)))</f>
        <v/>
      </c>
      <c r="J522" s="177" t="str">
        <f ca="1">IF(IF(T522="","",IF(T522=1,SUMIFS('Шаг1.Выбор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плиты'!C:Q,12,0)),1))))))=0,
T522,
IF(T522="","",IF(T522=1,SUMIFS('Шаг1.Выбор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плиты'!N:N,T522,'Шаг1.Выбор плиты'!M:M,SMALL(INDIRECT("мм"&amp;VLOOKUP(C522,'Шаг1.Выбор плиты'!C:Q,12,0)),1)))))))</f>
        <v/>
      </c>
      <c r="K522" s="177" t="str">
        <f ca="1">IF(IF(U522="","",IF(U522=1,SUMIFS('Шаг1.Выбор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плиты'!C:Q,12,0)),1))))))=0,
U522,
IF(U522="","",IF(U522=1,SUMIFS('Шаг1.Выбор плиты'!$G:$G,'Шаг1.Выбор плиты'!J:J,"*"&amp;RIGHT(VLOOKUP(C522,'Шаг1.Выбор плиты'!C:Q,8,0),4),'Шаг1.Выбор плиты'!L:L,IF(MID(C522,1,6)="ЛДСП P","TM"&amp;MID(VLOOKUP(C522,'Шаг1.Выбор плиты'!C:Q,10,0),3,2),MID(VLOOKUP(C522,'Шаг1.Выбор плиты'!C:Q,10,0),1,2)),
'Шаг1.Выбор плиты'!N:N,1),IF(SUMIFS('Шаг1.Выбор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плиты'!C:Q,12,0)),1))=0,
IF(SUMIFS('Шаг1.Выбор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плиты'!C:Q,12,0)),2))=0,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плиты'!C:Q,12,0)),3)),
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плиты'!C:Q,12,0)),2))),
(SUMIFS('Шаг1.Выбор плиты'!$G:$G,'Шаг1.Выбор плиты'!J:J,"*"&amp;RIGHT(VLOOKUP(C522,'Шаг1.Выбор плиты'!C:Q,8,0),4),'Шаг1.Выбор плиты'!L:L,VLOOKUP(C522,'Шаг1.Выбор плиты'!C:Q,10,0),'Шаг1.Выбор плиты'!N:N,U522,'Шаг1.Выбор плиты'!M:M,SMALL(INDIRECT("мм"&amp;VLOOKUP(C522,'Шаг1.Выбор плиты'!C:Q,12,0)),1)))))))</f>
        <v/>
      </c>
      <c r="L522" s="147" t="str">
        <f ca="1">IFERROR(IFERROR(IF(VLOOKUP($A522,'Шаг2.Бланк заказа NEW'!$B$17:$N$201,9,0)="","",VLOOKUP($A522,'Шаг2.Бланк заказа NEW'!$B$17:$N$201,9,0)),
IF(VLOOKUP($A522-COUNT('Шаг2.Бланк заказа NEW'!$B$19:$B$201),'Бланк OLD 0.8 04'!$B$12:$K$200,9,0)="","",VLOOKUP($A522-COUNT('Шаг2.Бланк заказа NEW'!$B$19:$B$201),'Бланк OLD 0.8 04'!$B$12:$K$200,9,0))),
IF(VLOOKUP($A522-COUNT('Шаг2.Бланк заказа NEW'!$B$19:$B$201)-COUNT('Бланк OLD 0.8 04'!$B$18:$B$200),'Бланк OLD 2.0 04 '!$B$16:$K$200,9,0)="","",VLOOKUP($A522-COUNT('Шаг2.Бланк заказа NEW'!$B$19:$B$201)-COUNT('Бланк OLD 0.8 04'!$B$18:$B$200),'Бланк OLD 2.0 04 '!$B$16:$K$200,9,0)))</f>
        <v/>
      </c>
      <c r="M522" s="154" t="str">
        <f t="shared" ca="1" si="49"/>
        <v/>
      </c>
      <c r="N522" s="153" t="str">
        <f ca="1">IFERROR(IF(VLOOKUP($A522,'Шаг2.Бланк заказа NEW'!$B$17:$N$201,11,0)="","",VLOOKUP($A522,'Шаг2.Бланк заказа NEW'!$B$17:$N$201,11,0)),
"Нет")</f>
        <v/>
      </c>
      <c r="O522" s="147" t="str">
        <f ca="1">IFERROR(IF(VLOOKUP($A522,'Шаг2.Бланк заказа NEW'!$B$17:$N$201,11,0)="","",VLOOKUP($A522,'Шаг2.Бланк заказа NEW'!$B$17:$N$201,12,0)),
"Нет")</f>
        <v/>
      </c>
      <c r="P522" s="153" t="str">
        <f ca="1">IFERROR(IF(VLOOKUP($A522,'Шаг2.Бланк заказа NEW'!$B$17:$N$201,13,0)="","",VLOOKUP($A522,'Шаг2.Бланк заказа NEW'!$B$17:$N$201,13,0)),
"Нет")</f>
        <v/>
      </c>
      <c r="Q522" s="147" t="str">
        <f ca="1">IFERROR(IF(VLOOKUP($A522,'Шаг2.Бланк заказа NEW'!$B$17:$O$201,14,0)="","",VLOOKUP($A522,'Шаг2.Бланк заказа NEW'!$B$17:$O$201,14,0)),"")</f>
        <v/>
      </c>
      <c r="R522" s="147" t="str">
        <f ca="1">IFERROR(IFERROR(IF(VLOOKUP($A522,'Шаг2.Бланк заказа NEW'!$B$17:$N$201,4,0)="","",VLOOKUP($A522,'Шаг2.Бланк заказа NEW'!$B$17:$N$201,4,0)),
IF(VLOOKUP($A522-COUNT('Шаг2.Бланк заказа NEW'!$B$19:$B$201),'Бланк OLD 0.8 04'!$B$12:$K$200,4,0)&gt;0,0.8,
IF(VLOOKUP($A522-COUNT('Шаг2.Бланк заказа NEW'!$B$19:$B$201),'Бланк OLD 0.8 04'!$B$12:$K$200,5,0)&gt;0,0.4,""))),
IF(VLOOKUP($A522-COUNT('Шаг2.Бланк заказа NEW'!$B$19:$B$201)-COUNT('Бланк OLD 0.8 04'!$B$18:$B$200),'Бланк OLD 2.0 04 '!$B$16:$K$200,4,0)&gt;0,2,IF(VLOOKUP($A522-COUNT('Шаг2.Бланк заказа NEW'!$B$19:$B$201)-COUNT('Бланк OLD 0.8 04'!$B$18:$B$200),'Бланк OLD 2.0 04 '!$B$16:$K$200,5,0)&gt;0,0.4,"")))</f>
        <v/>
      </c>
      <c r="S522" s="147" t="str">
        <f ca="1">IFERROR(IFERROR(IF(VLOOKUP($A522,'Шаг2.Бланк заказа NEW'!$B$17:$N$201,5,0)="","",VLOOKUP($A522,'Шаг2.Бланк заказа NEW'!$B$17:$N$201,5,0)),
IF(VLOOKUP($A522-COUNT('Шаг2.Бланк заказа NEW'!$B$19:$B$201),'Бланк OLD 0.8 04'!$B$12:$K$200,4,0)&gt;1,0.8,
IF(VLOOKUP($A522-COUNT('Шаг2.Бланк заказа NEW'!$B$19:$B$201),'Бланк OLD 0.8 04'!$B$12:$K$200,5,0)&gt;1,0.4,
IF(AND(VLOOKUP($A522-COUNT('Шаг2.Бланк заказа NEW'!$B$19:$B$201),'Бланк OLD 0.8 04'!$B$12:$K$200,4,0)&gt;0,VLOOKUP($A522-COUNT('Шаг2.Бланк заказа NEW'!$B$19:$B$201),'Бланк OLD 0.8 04'!$B$12:$K$200,5,0)&gt;0),0.4,"")))),
IF(VLOOKUP($A522-COUNT('Шаг2.Бланк заказа NEW'!$B$19:$B$201)-COUNT('Бланк OLD 0.8 04'!$B$18:$B$200),'Бланк OLD 2.0 04 '!$B$16:$K$200,4,0)&gt;1,2,
IF(VLOOKUP($A522-COUNT('Шаг2.Бланк заказа NEW'!$B$19:$B$201)-COUNT('Бланк OLD 0.8 04'!$B$18:$B$200),'Бланк OLD 2.0 04 '!$B$16:$K$200,5,0)&gt;1,0.4,IF(AND(VLOOKUP($A522-COUNT('Шаг2.Бланк заказа NEW'!$B$19:$B$201)-COUNT('Бланк OLD 0.8 04'!$B$18:$B$200),'Бланк OLD 2.0 04 '!$B$16:$K$200,4,0)&gt;0,VLOOKUP($A522-COUNT('Шаг2.Бланк заказа NEW'!$B$19:$B$201)-COUNT('Бланк OLD 0.8 04'!$B$18:$B$200),'Бланк OLD 2.0 04 '!$B$16:$K$200,5,0)&gt;0),0.4,""))))</f>
        <v/>
      </c>
      <c r="T522" s="147" t="str">
        <f ca="1">IFERROR(IFERROR(IF(VLOOKUP($A522,'Шаг2.Бланк заказа NEW'!$B$17:$N$201,7,0)="","",VLOOKUP($A522,'Шаг2.Бланк заказа NEW'!$B$17:$N$201,7,0)),
IF(VLOOKUP($A522-COUNT('Шаг2.Бланк заказа NEW'!$B$19:$B$201),'Бланк OLD 0.8 04'!$B$12:$K$200,7,0)&gt;0,0.8,
IF(VLOOKUP($A522-COUNT('Шаг2.Бланк заказа NEW'!$B$19:$B$201),'Бланк OLD 0.8 04'!$B$12:$K$200,8,0)&gt;0,0.4,""))),
IF(VLOOKUP($A522-COUNT('Шаг2.Бланк заказа NEW'!$B$19:$B$201)-COUNT('Бланк OLD 0.8 04'!$B$18:$B$200),'Бланк OLD 2.0 04 '!$B$16:$K$200,7,0)&gt;0,2,IF(VLOOKUP($A522-COUNT('Шаг2.Бланк заказа NEW'!$B$19:$B$201)-COUNT('Бланк OLD 0.8 04'!$B$18:$B$200),'Бланк OLD 2.0 04 '!$B$16:$K$200,8,0)&gt;0,0.4,"")))</f>
        <v/>
      </c>
      <c r="U522" s="147" t="str">
        <f ca="1">IFERROR(IFERROR(IF(VLOOKUP($A522,'Шаг2.Бланк заказа NEW'!$B$17:$N$201,8,0)="","",VLOOKUP($A522,'Шаг2.Бланк заказа NEW'!$B$17:$N$201,8,0)),
IF(VLOOKUP($A522-COUNT('Шаг2.Бланк заказа NEW'!$B$19:$B$201),'Бланк OLD 0.8 04'!$B$12:$K$200,7,0)&gt;1,0.8,
IF(VLOOKUP($A522-COUNT('Шаг2.Бланк заказа NEW'!$B$19:$B$201),'Бланк OLD 0.8 04'!$B$12:$K$200,8,0)&gt;1,0.4,
IF(AND(VLOOKUP($A522-COUNT('Шаг2.Бланк заказа NEW'!$B$19:$B$201),'Бланк OLD 0.8 04'!$B$12:$K$200,7,0)&gt;0,VLOOKUP($A522-COUNT('Шаг2.Бланк заказа NEW'!$B$19:$B$201),'Бланк OLD 0.8 04'!$B$12:$K$200,8,0)&gt;0),0.4,"")))),
IF(VLOOKUP($A522-COUNT('Шаг2.Бланк заказа NEW'!$B$19:$B$201)-COUNT('Бланк OLD 0.8 04'!$B$18:$B$200),'Бланк OLD 2.0 04 '!$B$16:$K$200,7,0)&gt;1,2,
IF(VLOOKUP($A522-COUNT('Шаг2.Бланк заказа NEW'!$B$19:$B$201)-COUNT('Бланк OLD 0.8 04'!$B$18:$B$200),'Бланк OLD 2.0 04 '!$B$16:$K$200,8,0)&gt;1,0.4,
IF(AND(VLOOKUP($A522-COUNT('Шаг2.Бланк заказа NEW'!$B$19:$B$201)-COUNT('Бланк OLD 0.8 04'!$B$18:$B$200),'Бланк OLD 2.0 04 '!$B$16:$K$200,7,0)&gt;0,VLOOKUP($A522-COUNT('Шаг2.Бланк заказа NEW'!$B$19:$B$201)-COUNT('Бланк OLD 0.8 04'!$B$18:$B$200),'Бланк OLD 2.0 04 '!$B$16:$K$200,8,0)&gt;0),0.4,""))))</f>
        <v/>
      </c>
      <c r="V522" s="146" t="str">
        <f ca="1">IFERROR(VLOOKUP(C522,'Шаг1.Выбор плиты'!C:S,12,0),"")</f>
        <v/>
      </c>
      <c r="W522" s="146" t="str">
        <f ca="1">IFERROR(VLOOKUP(C522,'Шаг1.Выбор плиты'!C:S,8,0),"")</f>
        <v/>
      </c>
      <c r="X522" s="146" t="str">
        <f ca="1">IFERROR(VLOOKUP(C522,'Шаг1.Выбор плиты'!C:S,10,0),"")</f>
        <v/>
      </c>
      <c r="Y522" s="147" t="str">
        <f t="shared" ca="1" si="51"/>
        <v/>
      </c>
      <c r="AD522" s="147" t="str">
        <f t="shared" ca="1" si="48"/>
        <v/>
      </c>
      <c r="AE522" s="147" t="str">
        <f t="shared" ca="1" si="52"/>
        <v/>
      </c>
      <c r="AF522" s="25"/>
      <c r="AH522" s="147" t="str">
        <f ca="1">IF(C522="","",VLOOKUP(C522,'Шаг1.Выбор плиты'!C:Q,7,0))</f>
        <v/>
      </c>
      <c r="AI522" s="147" t="str">
        <f t="shared" ca="1" si="50"/>
        <v/>
      </c>
    </row>
    <row r="523" spans="1:35" x14ac:dyDescent="0.2">
      <c r="A523" s="151" t="str">
        <f ca="1">IF(C523="","",MAX($A$1:OFFSET(C523,-1,0))+1)</f>
        <v/>
      </c>
      <c r="B523" s="151" t="str">
        <f ca="1">IFERROR(IFERROR(IFERROR("Шаг2.Бланк заказа NEW №"&amp;VLOOKUP(A522+1,CHOOSE({1,2},'Шаг2.Бланк заказа NEW'!$B$19:$B$201,'Шаг2.Бланк заказа NEW'!$A$19:$A$201),1,0),
"Бланк OLD 0.8 04 №"&amp;VLOOKUP(A522+1-COUNT('Шаг2.Бланк заказа NEW'!$B$19:$B$201),CHOOSE({1,2},'Бланк OLD 0.8 04'!$B$18:$B$200,'Бланк OLD 0.8 04'!$A$18:$A$200),1,0)),
"Бланк OLD 2.0 04 №"&amp;VLOOKUP(A522+1-COUNT('Шаг2.Бланк заказа NEW'!$B$19:$B$201)-COUNT('Бланк OLD 0.8 04'!$B$18:$B$200),CHOOSE({1,2},'Бланк OLD 2.0 04 '!$B$18:$B$200,'Бланк OLD 2.0 04 '!$A$18:$A$200),1,0)),"")</f>
        <v/>
      </c>
      <c r="C523" s="152" t="str">
        <f ca="1">IFERROR(IFERROR(IFERROR(VLOOKUP(A522+1,CHOOSE({1,2},'Шаг2.Бланк заказа NEW'!$B$19:$B$201,'Шаг2.Бланк заказа NEW'!$A$19:$A$201),2,0),
VLOOKUP(A522+1-COUNT('Шаг2.Бланк заказа NEW'!$B$19:$B$201),CHOOSE({1,2},'Бланк OLD 0.8 04'!$B$18:$B$200,'Бланк OLD 0.8 04'!$A$18:$A$200),2,0)),
VLOOKUP(A522+1-COUNT('Шаг2.Бланк заказа NEW'!$B$19:$B$201)-COUNT('Бланк OLD 0.8 04'!$B$18:$B$200),CHOOSE({1,2},'Бланк OLD 2.0 04 '!$B$18:$B$200,'Бланк OLD 2.0 04 '!$A$18:$A$200),2,0)),"")</f>
        <v/>
      </c>
      <c r="D523" s="150" t="str">
        <f ca="1">IFERROR(VLOOKUP(C523,'Шаг1.Выбор плиты'!C:G,5,0),"")</f>
        <v/>
      </c>
      <c r="E523" s="147" t="str">
        <f ca="1">IFERROR(IFERROR(IF(VLOOKUP($A523,'Шаг2.Бланк заказа NEW'!$B$17:$N$201,2,0)="","",VLOOKUP($A523,'Шаг2.Бланк заказа NEW'!$B$17:$N$201,2,0)),
IF(VLOOKUP($A523-COUNT('Шаг2.Бланк заказа NEW'!$B$19:$B$201),'Бланк OLD 0.8 04'!$B$12:$K$200,2,0)="","",VLOOKUP($A523-COUNT('Шаг2.Бланк заказа NEW'!$B$19:$B$201),'Бланк OLD 0.8 04'!$B$12:$K$200,2,0))),
IF(VLOOKUP($A523-COUNT('Шаг2.Бланк заказа NEW'!$B$19:$B$201)-COUNT('Бланк OLD 0.8 04'!$B$18:$B$200),'Бланк OLD 2.0 04 '!$B$16:$K$200,2,0)="","",VLOOKUP($A523-COUNT('Шаг2.Бланк заказа NEW'!$B$19:$B$201)-COUNT('Бланк OLD 0.8 04'!$B$18:$B$200),'Бланк OLD 2.0 04 '!$B$16:$K$200,2,0)))</f>
        <v/>
      </c>
      <c r="F523" s="147" t="str">
        <f ca="1">IFERROR(IFERROR(IF(VLOOKUP($A523,'Шаг2.Бланк заказа NEW'!$B$17:$N$201,3,0)="","",VLOOKUP($A523,'Шаг2.Бланк заказа NEW'!$B$17:$N$201,3,0)),
IF(VLOOKUP($A523-COUNT('Шаг2.Бланк заказа NEW'!$B$19:$B$201),'Бланк OLD 0.8 04'!$B$12:$K$200,3,0)="","",VLOOKUP($A523-COUNT('Шаг2.Бланк заказа NEW'!$B$19:$B$201),'Бланк OLD 0.8 04'!$B$12:$K$200,3,0))),
IF(VLOOKUP($A523-COUNT('Шаг2.Бланк заказа NEW'!$B$19:$B$201)-COUNT('Бланк OLD 0.8 04'!$B$18:$B$200),'Бланк OLD 2.0 04 '!$B$16:$K$200,3,0)="","",VLOOKUP($A523-COUNT('Шаг2.Бланк заказа NEW'!$B$19:$B$201)-COUNT('Бланк OLD 0.8 04'!$B$18:$B$200),'Бланк OLD 2.0 04 '!$B$16:$K$200,3,0)))</f>
        <v/>
      </c>
      <c r="G523" s="176" t="str">
        <f ca="1">IF(IF(R523="","",IF(R523=1,SUMIFS('Шаг1.Выбор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плиты'!C:Q,12,0)),1))))))=0,
R523,
IF(R523="","",IF(R523=1,SUMIFS('Шаг1.Выбор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плиты'!N:N,R523,'Шаг1.Выбор плиты'!M:M,SMALL(INDIRECT("мм"&amp;VLOOKUP(C523,'Шаг1.Выбор плиты'!C:Q,12,0)),1)))))))</f>
        <v/>
      </c>
      <c r="H523" s="177" t="str">
        <f ca="1">IF(IF(S523="","",IF(S523=1,SUMIFS('Шаг1.Выбор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плиты'!C:Q,12,0)),1))))))=0,
S523,
IF(S523="","",IF(S523=1,SUMIFS('Шаг1.Выбор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плиты'!N:N,S523,'Шаг1.Выбор плиты'!M:M,SMALL(INDIRECT("мм"&amp;VLOOKUP(C523,'Шаг1.Выбор плиты'!C:Q,12,0)),1)))))))</f>
        <v/>
      </c>
      <c r="I523" s="147" t="str">
        <f ca="1">IFERROR(IFERROR(IF(VLOOKUP($A523,'Шаг2.Бланк заказа NEW'!$B$17:$N$201,6,0)="","",VLOOKUP($A523,'Шаг2.Бланк заказа NEW'!$B$17:$N$201,6,0)),
IF(VLOOKUP($A523-COUNT('Шаг2.Бланк заказа NEW'!$B$19:$B$201),'Бланк OLD 0.8 04'!$B$12:$K$200,6,0)="","",VLOOKUP($A523-COUNT('Шаг2.Бланк заказа NEW'!$B$19:$B$201),'Бланк OLD 0.8 04'!$B$12:$K$200,6,0))),
IF(VLOOKUP($A523-COUNT('Шаг2.Бланк заказа NEW'!$B$19:$B$201)-COUNT('Бланк OLD 0.8 04'!$B$18:$B$200),'Бланк OLD 2.0 04 '!$B$16:$K$200,6,0)="","",VLOOKUP($A523-COUNT('Шаг2.Бланк заказа NEW'!$B$19:$B$201)-COUNT('Бланк OLD 0.8 04'!$B$18:$B$200),'Бланк OLD 2.0 04 '!$B$16:$K$200,6,0)))</f>
        <v/>
      </c>
      <c r="J523" s="177" t="str">
        <f ca="1">IF(IF(T523="","",IF(T523=1,SUMIFS('Шаг1.Выбор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плиты'!C:Q,12,0)),1))))))=0,
T523,
IF(T523="","",IF(T523=1,SUMIFS('Шаг1.Выбор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плиты'!N:N,T523,'Шаг1.Выбор плиты'!M:M,SMALL(INDIRECT("мм"&amp;VLOOKUP(C523,'Шаг1.Выбор плиты'!C:Q,12,0)),1)))))))</f>
        <v/>
      </c>
      <c r="K523" s="177" t="str">
        <f ca="1">IF(IF(U523="","",IF(U523=1,SUMIFS('Шаг1.Выбор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плиты'!C:Q,12,0)),1))))))=0,
U523,
IF(U523="","",IF(U523=1,SUMIFS('Шаг1.Выбор плиты'!$G:$G,'Шаг1.Выбор плиты'!J:J,"*"&amp;RIGHT(VLOOKUP(C523,'Шаг1.Выбор плиты'!C:Q,8,0),4),'Шаг1.Выбор плиты'!L:L,IF(MID(C523,1,6)="ЛДСП P","TM"&amp;MID(VLOOKUP(C523,'Шаг1.Выбор плиты'!C:Q,10,0),3,2),MID(VLOOKUP(C523,'Шаг1.Выбор плиты'!C:Q,10,0),1,2)),
'Шаг1.Выбор плиты'!N:N,1),IF(SUMIFS('Шаг1.Выбор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плиты'!C:Q,12,0)),1))=0,
IF(SUMIFS('Шаг1.Выбор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плиты'!C:Q,12,0)),2))=0,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плиты'!C:Q,12,0)),3)),
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плиты'!C:Q,12,0)),2))),
(SUMIFS('Шаг1.Выбор плиты'!$G:$G,'Шаг1.Выбор плиты'!J:J,"*"&amp;RIGHT(VLOOKUP(C523,'Шаг1.Выбор плиты'!C:Q,8,0),4),'Шаг1.Выбор плиты'!L:L,VLOOKUP(C523,'Шаг1.Выбор плиты'!C:Q,10,0),'Шаг1.Выбор плиты'!N:N,U523,'Шаг1.Выбор плиты'!M:M,SMALL(INDIRECT("мм"&amp;VLOOKUP(C523,'Шаг1.Выбор плиты'!C:Q,12,0)),1)))))))</f>
        <v/>
      </c>
      <c r="L523" s="147" t="str">
        <f ca="1">IFERROR(IFERROR(IF(VLOOKUP($A523,'Шаг2.Бланк заказа NEW'!$B$17:$N$201,9,0)="","",VLOOKUP($A523,'Шаг2.Бланк заказа NEW'!$B$17:$N$201,9,0)),
IF(VLOOKUP($A523-COUNT('Шаг2.Бланк заказа NEW'!$B$19:$B$201),'Бланк OLD 0.8 04'!$B$12:$K$200,9,0)="","",VLOOKUP($A523-COUNT('Шаг2.Бланк заказа NEW'!$B$19:$B$201),'Бланк OLD 0.8 04'!$B$12:$K$200,9,0))),
IF(VLOOKUP($A523-COUNT('Шаг2.Бланк заказа NEW'!$B$19:$B$201)-COUNT('Бланк OLD 0.8 04'!$B$18:$B$200),'Бланк OLD 2.0 04 '!$B$16:$K$200,9,0)="","",VLOOKUP($A523-COUNT('Шаг2.Бланк заказа NEW'!$B$19:$B$201)-COUNT('Бланк OLD 0.8 04'!$B$18:$B$200),'Бланк OLD 2.0 04 '!$B$16:$K$200,9,0)))</f>
        <v/>
      </c>
      <c r="M523" s="154" t="str">
        <f t="shared" ca="1" si="49"/>
        <v/>
      </c>
      <c r="N523" s="153" t="str">
        <f ca="1">IFERROR(IF(VLOOKUP($A523,'Шаг2.Бланк заказа NEW'!$B$17:$N$201,11,0)="","",VLOOKUP($A523,'Шаг2.Бланк заказа NEW'!$B$17:$N$201,11,0)),
"Нет")</f>
        <v/>
      </c>
      <c r="O523" s="147" t="str">
        <f ca="1">IFERROR(IF(VLOOKUP($A523,'Шаг2.Бланк заказа NEW'!$B$17:$N$201,11,0)="","",VLOOKUP($A523,'Шаг2.Бланк заказа NEW'!$B$17:$N$201,12,0)),
"Нет")</f>
        <v/>
      </c>
      <c r="P523" s="153" t="str">
        <f ca="1">IFERROR(IF(VLOOKUP($A523,'Шаг2.Бланк заказа NEW'!$B$17:$N$201,13,0)="","",VLOOKUP($A523,'Шаг2.Бланк заказа NEW'!$B$17:$N$201,13,0)),
"Нет")</f>
        <v/>
      </c>
      <c r="Q523" s="147" t="str">
        <f ca="1">IFERROR(IF(VLOOKUP($A523,'Шаг2.Бланк заказа NEW'!$B$17:$O$201,14,0)="","",VLOOKUP($A523,'Шаг2.Бланк заказа NEW'!$B$17:$O$201,14,0)),"")</f>
        <v/>
      </c>
      <c r="R523" s="147" t="str">
        <f ca="1">IFERROR(IFERROR(IF(VLOOKUP($A523,'Шаг2.Бланк заказа NEW'!$B$17:$N$201,4,0)="","",VLOOKUP($A523,'Шаг2.Бланк заказа NEW'!$B$17:$N$201,4,0)),
IF(VLOOKUP($A523-COUNT('Шаг2.Бланк заказа NEW'!$B$19:$B$201),'Бланк OLD 0.8 04'!$B$12:$K$200,4,0)&gt;0,0.8,
IF(VLOOKUP($A523-COUNT('Шаг2.Бланк заказа NEW'!$B$19:$B$201),'Бланк OLD 0.8 04'!$B$12:$K$200,5,0)&gt;0,0.4,""))),
IF(VLOOKUP($A523-COUNT('Шаг2.Бланк заказа NEW'!$B$19:$B$201)-COUNT('Бланк OLD 0.8 04'!$B$18:$B$200),'Бланк OLD 2.0 04 '!$B$16:$K$200,4,0)&gt;0,2,IF(VLOOKUP($A523-COUNT('Шаг2.Бланк заказа NEW'!$B$19:$B$201)-COUNT('Бланк OLD 0.8 04'!$B$18:$B$200),'Бланк OLD 2.0 04 '!$B$16:$K$200,5,0)&gt;0,0.4,"")))</f>
        <v/>
      </c>
      <c r="S523" s="147" t="str">
        <f ca="1">IFERROR(IFERROR(IF(VLOOKUP($A523,'Шаг2.Бланк заказа NEW'!$B$17:$N$201,5,0)="","",VLOOKUP($A523,'Шаг2.Бланк заказа NEW'!$B$17:$N$201,5,0)),
IF(VLOOKUP($A523-COUNT('Шаг2.Бланк заказа NEW'!$B$19:$B$201),'Бланк OLD 0.8 04'!$B$12:$K$200,4,0)&gt;1,0.8,
IF(VLOOKUP($A523-COUNT('Шаг2.Бланк заказа NEW'!$B$19:$B$201),'Бланк OLD 0.8 04'!$B$12:$K$200,5,0)&gt;1,0.4,
IF(AND(VLOOKUP($A523-COUNT('Шаг2.Бланк заказа NEW'!$B$19:$B$201),'Бланк OLD 0.8 04'!$B$12:$K$200,4,0)&gt;0,VLOOKUP($A523-COUNT('Шаг2.Бланк заказа NEW'!$B$19:$B$201),'Бланк OLD 0.8 04'!$B$12:$K$200,5,0)&gt;0),0.4,"")))),
IF(VLOOKUP($A523-COUNT('Шаг2.Бланк заказа NEW'!$B$19:$B$201)-COUNT('Бланк OLD 0.8 04'!$B$18:$B$200),'Бланк OLD 2.0 04 '!$B$16:$K$200,4,0)&gt;1,2,
IF(VLOOKUP($A523-COUNT('Шаг2.Бланк заказа NEW'!$B$19:$B$201)-COUNT('Бланк OLD 0.8 04'!$B$18:$B$200),'Бланк OLD 2.0 04 '!$B$16:$K$200,5,0)&gt;1,0.4,IF(AND(VLOOKUP($A523-COUNT('Шаг2.Бланк заказа NEW'!$B$19:$B$201)-COUNT('Бланк OLD 0.8 04'!$B$18:$B$200),'Бланк OLD 2.0 04 '!$B$16:$K$200,4,0)&gt;0,VLOOKUP($A523-COUNT('Шаг2.Бланк заказа NEW'!$B$19:$B$201)-COUNT('Бланк OLD 0.8 04'!$B$18:$B$200),'Бланк OLD 2.0 04 '!$B$16:$K$200,5,0)&gt;0),0.4,""))))</f>
        <v/>
      </c>
      <c r="T523" s="147" t="str">
        <f ca="1">IFERROR(IFERROR(IF(VLOOKUP($A523,'Шаг2.Бланк заказа NEW'!$B$17:$N$201,7,0)="","",VLOOKUP($A523,'Шаг2.Бланк заказа NEW'!$B$17:$N$201,7,0)),
IF(VLOOKUP($A523-COUNT('Шаг2.Бланк заказа NEW'!$B$19:$B$201),'Бланк OLD 0.8 04'!$B$12:$K$200,7,0)&gt;0,0.8,
IF(VLOOKUP($A523-COUNT('Шаг2.Бланк заказа NEW'!$B$19:$B$201),'Бланк OLD 0.8 04'!$B$12:$K$200,8,0)&gt;0,0.4,""))),
IF(VLOOKUP($A523-COUNT('Шаг2.Бланк заказа NEW'!$B$19:$B$201)-COUNT('Бланк OLD 0.8 04'!$B$18:$B$200),'Бланк OLD 2.0 04 '!$B$16:$K$200,7,0)&gt;0,2,IF(VLOOKUP($A523-COUNT('Шаг2.Бланк заказа NEW'!$B$19:$B$201)-COUNT('Бланк OLD 0.8 04'!$B$18:$B$200),'Бланк OLD 2.0 04 '!$B$16:$K$200,8,0)&gt;0,0.4,"")))</f>
        <v/>
      </c>
      <c r="U523" s="147" t="str">
        <f ca="1">IFERROR(IFERROR(IF(VLOOKUP($A523,'Шаг2.Бланк заказа NEW'!$B$17:$N$201,8,0)="","",VLOOKUP($A523,'Шаг2.Бланк заказа NEW'!$B$17:$N$201,8,0)),
IF(VLOOKUP($A523-COUNT('Шаг2.Бланк заказа NEW'!$B$19:$B$201),'Бланк OLD 0.8 04'!$B$12:$K$200,7,0)&gt;1,0.8,
IF(VLOOKUP($A523-COUNT('Шаг2.Бланк заказа NEW'!$B$19:$B$201),'Бланк OLD 0.8 04'!$B$12:$K$200,8,0)&gt;1,0.4,
IF(AND(VLOOKUP($A523-COUNT('Шаг2.Бланк заказа NEW'!$B$19:$B$201),'Бланк OLD 0.8 04'!$B$12:$K$200,7,0)&gt;0,VLOOKUP($A523-COUNT('Шаг2.Бланк заказа NEW'!$B$19:$B$201),'Бланк OLD 0.8 04'!$B$12:$K$200,8,0)&gt;0),0.4,"")))),
IF(VLOOKUP($A523-COUNT('Шаг2.Бланк заказа NEW'!$B$19:$B$201)-COUNT('Бланк OLD 0.8 04'!$B$18:$B$200),'Бланк OLD 2.0 04 '!$B$16:$K$200,7,0)&gt;1,2,
IF(VLOOKUP($A523-COUNT('Шаг2.Бланк заказа NEW'!$B$19:$B$201)-COUNT('Бланк OLD 0.8 04'!$B$18:$B$200),'Бланк OLD 2.0 04 '!$B$16:$K$200,8,0)&gt;1,0.4,
IF(AND(VLOOKUP($A523-COUNT('Шаг2.Бланк заказа NEW'!$B$19:$B$201)-COUNT('Бланк OLD 0.8 04'!$B$18:$B$200),'Бланк OLD 2.0 04 '!$B$16:$K$200,7,0)&gt;0,VLOOKUP($A523-COUNT('Шаг2.Бланк заказа NEW'!$B$19:$B$201)-COUNT('Бланк OLD 0.8 04'!$B$18:$B$200),'Бланк OLD 2.0 04 '!$B$16:$K$200,8,0)&gt;0),0.4,""))))</f>
        <v/>
      </c>
      <c r="V523" s="146" t="str">
        <f ca="1">IFERROR(VLOOKUP(C523,'Шаг1.Выбор плиты'!C:S,12,0),"")</f>
        <v/>
      </c>
      <c r="W523" s="146" t="str">
        <f ca="1">IFERROR(VLOOKUP(C523,'Шаг1.Выбор плиты'!C:S,8,0),"")</f>
        <v/>
      </c>
      <c r="X523" s="146" t="str">
        <f ca="1">IFERROR(VLOOKUP(C523,'Шаг1.Выбор плиты'!C:S,10,0),"")</f>
        <v/>
      </c>
      <c r="Y523" s="147" t="str">
        <f t="shared" ca="1" si="51"/>
        <v/>
      </c>
      <c r="AD523" s="147" t="str">
        <f t="shared" ca="1" si="48"/>
        <v/>
      </c>
      <c r="AE523" s="147" t="str">
        <f t="shared" ca="1" si="52"/>
        <v/>
      </c>
      <c r="AF523" s="25"/>
      <c r="AH523" s="147" t="str">
        <f ca="1">IF(C523="","",VLOOKUP(C523,'Шаг1.Выбор плиты'!C:Q,7,0))</f>
        <v/>
      </c>
      <c r="AI523" s="147" t="str">
        <f t="shared" ca="1" si="50"/>
        <v/>
      </c>
    </row>
    <row r="524" spans="1:35" x14ac:dyDescent="0.2">
      <c r="A524" s="151" t="str">
        <f ca="1">IF(C524="","",MAX($A$1:OFFSET(C524,-1,0))+1)</f>
        <v/>
      </c>
      <c r="B524" s="151" t="str">
        <f ca="1">IFERROR(IFERROR(IFERROR("Шаг2.Бланк заказа NEW №"&amp;VLOOKUP(A523+1,CHOOSE({1,2},'Шаг2.Бланк заказа NEW'!$B$19:$B$201,'Шаг2.Бланк заказа NEW'!$A$19:$A$201),1,0),
"Бланк OLD 0.8 04 №"&amp;VLOOKUP(A523+1-COUNT('Шаг2.Бланк заказа NEW'!$B$19:$B$201),CHOOSE({1,2},'Бланк OLD 0.8 04'!$B$18:$B$200,'Бланк OLD 0.8 04'!$A$18:$A$200),1,0)),
"Бланк OLD 2.0 04 №"&amp;VLOOKUP(A523+1-COUNT('Шаг2.Бланк заказа NEW'!$B$19:$B$201)-COUNT('Бланк OLD 0.8 04'!$B$18:$B$200),CHOOSE({1,2},'Бланк OLD 2.0 04 '!$B$18:$B$200,'Бланк OLD 2.0 04 '!$A$18:$A$200),1,0)),"")</f>
        <v/>
      </c>
      <c r="C524" s="152" t="str">
        <f ca="1">IFERROR(IFERROR(IFERROR(VLOOKUP(A523+1,CHOOSE({1,2},'Шаг2.Бланк заказа NEW'!$B$19:$B$201,'Шаг2.Бланк заказа NEW'!$A$19:$A$201),2,0),
VLOOKUP(A523+1-COUNT('Шаг2.Бланк заказа NEW'!$B$19:$B$201),CHOOSE({1,2},'Бланк OLD 0.8 04'!$B$18:$B$200,'Бланк OLD 0.8 04'!$A$18:$A$200),2,0)),
VLOOKUP(A523+1-COUNT('Шаг2.Бланк заказа NEW'!$B$19:$B$201)-COUNT('Бланк OLD 0.8 04'!$B$18:$B$200),CHOOSE({1,2},'Бланк OLD 2.0 04 '!$B$18:$B$200,'Бланк OLD 2.0 04 '!$A$18:$A$200),2,0)),"")</f>
        <v/>
      </c>
      <c r="D524" s="150" t="str">
        <f ca="1">IFERROR(VLOOKUP(C524,'Шаг1.Выбор плиты'!C:G,5,0),"")</f>
        <v/>
      </c>
      <c r="E524" s="147" t="str">
        <f ca="1">IFERROR(IFERROR(IF(VLOOKUP($A524,'Шаг2.Бланк заказа NEW'!$B$17:$N$201,2,0)="","",VLOOKUP($A524,'Шаг2.Бланк заказа NEW'!$B$17:$N$201,2,0)),
IF(VLOOKUP($A524-COUNT('Шаг2.Бланк заказа NEW'!$B$19:$B$201),'Бланк OLD 0.8 04'!$B$12:$K$200,2,0)="","",VLOOKUP($A524-COUNT('Шаг2.Бланк заказа NEW'!$B$19:$B$201),'Бланк OLD 0.8 04'!$B$12:$K$200,2,0))),
IF(VLOOKUP($A524-COUNT('Шаг2.Бланк заказа NEW'!$B$19:$B$201)-COUNT('Бланк OLD 0.8 04'!$B$18:$B$200),'Бланк OLD 2.0 04 '!$B$16:$K$200,2,0)="","",VLOOKUP($A524-COUNT('Шаг2.Бланк заказа NEW'!$B$19:$B$201)-COUNT('Бланк OLD 0.8 04'!$B$18:$B$200),'Бланк OLD 2.0 04 '!$B$16:$K$200,2,0)))</f>
        <v/>
      </c>
      <c r="F524" s="147" t="str">
        <f ca="1">IFERROR(IFERROR(IF(VLOOKUP($A524,'Шаг2.Бланк заказа NEW'!$B$17:$N$201,3,0)="","",VLOOKUP($A524,'Шаг2.Бланк заказа NEW'!$B$17:$N$201,3,0)),
IF(VLOOKUP($A524-COUNT('Шаг2.Бланк заказа NEW'!$B$19:$B$201),'Бланк OLD 0.8 04'!$B$12:$K$200,3,0)="","",VLOOKUP($A524-COUNT('Шаг2.Бланк заказа NEW'!$B$19:$B$201),'Бланк OLD 0.8 04'!$B$12:$K$200,3,0))),
IF(VLOOKUP($A524-COUNT('Шаг2.Бланк заказа NEW'!$B$19:$B$201)-COUNT('Бланк OLD 0.8 04'!$B$18:$B$200),'Бланк OLD 2.0 04 '!$B$16:$K$200,3,0)="","",VLOOKUP($A524-COUNT('Шаг2.Бланк заказа NEW'!$B$19:$B$201)-COUNT('Бланк OLD 0.8 04'!$B$18:$B$200),'Бланк OLD 2.0 04 '!$B$16:$K$200,3,0)))</f>
        <v/>
      </c>
      <c r="G524" s="176" t="str">
        <f ca="1">IF(IF(R524="","",IF(R524=1,SUMIFS('Шаг1.Выбор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плиты'!C:Q,12,0)),1))))))=0,
R524,
IF(R524="","",IF(R524=1,SUMIFS('Шаг1.Выбор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плиты'!N:N,R524,'Шаг1.Выбор плиты'!M:M,SMALL(INDIRECT("мм"&amp;VLOOKUP(C524,'Шаг1.Выбор плиты'!C:Q,12,0)),1)))))))</f>
        <v/>
      </c>
      <c r="H524" s="177" t="str">
        <f ca="1">IF(IF(S524="","",IF(S524=1,SUMIFS('Шаг1.Выбор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плиты'!C:Q,12,0)),1))))))=0,
S524,
IF(S524="","",IF(S524=1,SUMIFS('Шаг1.Выбор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плиты'!N:N,S524,'Шаг1.Выбор плиты'!M:M,SMALL(INDIRECT("мм"&amp;VLOOKUP(C524,'Шаг1.Выбор плиты'!C:Q,12,0)),1)))))))</f>
        <v/>
      </c>
      <c r="I524" s="147" t="str">
        <f ca="1">IFERROR(IFERROR(IF(VLOOKUP($A524,'Шаг2.Бланк заказа NEW'!$B$17:$N$201,6,0)="","",VLOOKUP($A524,'Шаг2.Бланк заказа NEW'!$B$17:$N$201,6,0)),
IF(VLOOKUP($A524-COUNT('Шаг2.Бланк заказа NEW'!$B$19:$B$201),'Бланк OLD 0.8 04'!$B$12:$K$200,6,0)="","",VLOOKUP($A524-COUNT('Шаг2.Бланк заказа NEW'!$B$19:$B$201),'Бланк OLD 0.8 04'!$B$12:$K$200,6,0))),
IF(VLOOKUP($A524-COUNT('Шаг2.Бланк заказа NEW'!$B$19:$B$201)-COUNT('Бланк OLD 0.8 04'!$B$18:$B$200),'Бланк OLD 2.0 04 '!$B$16:$K$200,6,0)="","",VLOOKUP($A524-COUNT('Шаг2.Бланк заказа NEW'!$B$19:$B$201)-COUNT('Бланк OLD 0.8 04'!$B$18:$B$200),'Бланк OLD 2.0 04 '!$B$16:$K$200,6,0)))</f>
        <v/>
      </c>
      <c r="J524" s="177" t="str">
        <f ca="1">IF(IF(T524="","",IF(T524=1,SUMIFS('Шаг1.Выбор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плиты'!C:Q,12,0)),1))))))=0,
T524,
IF(T524="","",IF(T524=1,SUMIFS('Шаг1.Выбор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плиты'!N:N,T524,'Шаг1.Выбор плиты'!M:M,SMALL(INDIRECT("мм"&amp;VLOOKUP(C524,'Шаг1.Выбор плиты'!C:Q,12,0)),1)))))))</f>
        <v/>
      </c>
      <c r="K524" s="177" t="str">
        <f ca="1">IF(IF(U524="","",IF(U524=1,SUMIFS('Шаг1.Выбор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плиты'!C:Q,12,0)),1))))))=0,
U524,
IF(U524="","",IF(U524=1,SUMIFS('Шаг1.Выбор плиты'!$G:$G,'Шаг1.Выбор плиты'!J:J,"*"&amp;RIGHT(VLOOKUP(C524,'Шаг1.Выбор плиты'!C:Q,8,0),4),'Шаг1.Выбор плиты'!L:L,IF(MID(C524,1,6)="ЛДСП P","TM"&amp;MID(VLOOKUP(C524,'Шаг1.Выбор плиты'!C:Q,10,0),3,2),MID(VLOOKUP(C524,'Шаг1.Выбор плиты'!C:Q,10,0),1,2)),
'Шаг1.Выбор плиты'!N:N,1),IF(SUMIFS('Шаг1.Выбор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плиты'!C:Q,12,0)),1))=0,
IF(SUMIFS('Шаг1.Выбор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плиты'!C:Q,12,0)),2))=0,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плиты'!C:Q,12,0)),3)),
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плиты'!C:Q,12,0)),2))),
(SUMIFS('Шаг1.Выбор плиты'!$G:$G,'Шаг1.Выбор плиты'!J:J,"*"&amp;RIGHT(VLOOKUP(C524,'Шаг1.Выбор плиты'!C:Q,8,0),4),'Шаг1.Выбор плиты'!L:L,VLOOKUP(C524,'Шаг1.Выбор плиты'!C:Q,10,0),'Шаг1.Выбор плиты'!N:N,U524,'Шаг1.Выбор плиты'!M:M,SMALL(INDIRECT("мм"&amp;VLOOKUP(C524,'Шаг1.Выбор плиты'!C:Q,12,0)),1)))))))</f>
        <v/>
      </c>
      <c r="L524" s="147" t="str">
        <f ca="1">IFERROR(IFERROR(IF(VLOOKUP($A524,'Шаг2.Бланк заказа NEW'!$B$17:$N$201,9,0)="","",VLOOKUP($A524,'Шаг2.Бланк заказа NEW'!$B$17:$N$201,9,0)),
IF(VLOOKUP($A524-COUNT('Шаг2.Бланк заказа NEW'!$B$19:$B$201),'Бланк OLD 0.8 04'!$B$12:$K$200,9,0)="","",VLOOKUP($A524-COUNT('Шаг2.Бланк заказа NEW'!$B$19:$B$201),'Бланк OLD 0.8 04'!$B$12:$K$200,9,0))),
IF(VLOOKUP($A524-COUNT('Шаг2.Бланк заказа NEW'!$B$19:$B$201)-COUNT('Бланк OLD 0.8 04'!$B$18:$B$200),'Бланк OLD 2.0 04 '!$B$16:$K$200,9,0)="","",VLOOKUP($A524-COUNT('Шаг2.Бланк заказа NEW'!$B$19:$B$201)-COUNT('Бланк OLD 0.8 04'!$B$18:$B$200),'Бланк OLD 2.0 04 '!$B$16:$K$200,9,0)))</f>
        <v/>
      </c>
      <c r="M524" s="154" t="str">
        <f t="shared" ca="1" si="49"/>
        <v/>
      </c>
      <c r="N524" s="153" t="str">
        <f ca="1">IFERROR(IF(VLOOKUP($A524,'Шаг2.Бланк заказа NEW'!$B$17:$N$201,11,0)="","",VLOOKUP($A524,'Шаг2.Бланк заказа NEW'!$B$17:$N$201,11,0)),
"Нет")</f>
        <v/>
      </c>
      <c r="O524" s="147" t="str">
        <f ca="1">IFERROR(IF(VLOOKUP($A524,'Шаг2.Бланк заказа NEW'!$B$17:$N$201,11,0)="","",VLOOKUP($A524,'Шаг2.Бланк заказа NEW'!$B$17:$N$201,12,0)),
"Нет")</f>
        <v/>
      </c>
      <c r="P524" s="153" t="str">
        <f ca="1">IFERROR(IF(VLOOKUP($A524,'Шаг2.Бланк заказа NEW'!$B$17:$N$201,13,0)="","",VLOOKUP($A524,'Шаг2.Бланк заказа NEW'!$B$17:$N$201,13,0)),
"Нет")</f>
        <v/>
      </c>
      <c r="Q524" s="147" t="str">
        <f ca="1">IFERROR(IF(VLOOKUP($A524,'Шаг2.Бланк заказа NEW'!$B$17:$O$201,14,0)="","",VLOOKUP($A524,'Шаг2.Бланк заказа NEW'!$B$17:$O$201,14,0)),"")</f>
        <v/>
      </c>
      <c r="R524" s="147" t="str">
        <f ca="1">IFERROR(IFERROR(IF(VLOOKUP($A524,'Шаг2.Бланк заказа NEW'!$B$17:$N$201,4,0)="","",VLOOKUP($A524,'Шаг2.Бланк заказа NEW'!$B$17:$N$201,4,0)),
IF(VLOOKUP($A524-COUNT('Шаг2.Бланк заказа NEW'!$B$19:$B$201),'Бланк OLD 0.8 04'!$B$12:$K$200,4,0)&gt;0,0.8,
IF(VLOOKUP($A524-COUNT('Шаг2.Бланк заказа NEW'!$B$19:$B$201),'Бланк OLD 0.8 04'!$B$12:$K$200,5,0)&gt;0,0.4,""))),
IF(VLOOKUP($A524-COUNT('Шаг2.Бланк заказа NEW'!$B$19:$B$201)-COUNT('Бланк OLD 0.8 04'!$B$18:$B$200),'Бланк OLD 2.0 04 '!$B$16:$K$200,4,0)&gt;0,2,IF(VLOOKUP($A524-COUNT('Шаг2.Бланк заказа NEW'!$B$19:$B$201)-COUNT('Бланк OLD 0.8 04'!$B$18:$B$200),'Бланк OLD 2.0 04 '!$B$16:$K$200,5,0)&gt;0,0.4,"")))</f>
        <v/>
      </c>
      <c r="S524" s="147" t="str">
        <f ca="1">IFERROR(IFERROR(IF(VLOOKUP($A524,'Шаг2.Бланк заказа NEW'!$B$17:$N$201,5,0)="","",VLOOKUP($A524,'Шаг2.Бланк заказа NEW'!$B$17:$N$201,5,0)),
IF(VLOOKUP($A524-COUNT('Шаг2.Бланк заказа NEW'!$B$19:$B$201),'Бланк OLD 0.8 04'!$B$12:$K$200,4,0)&gt;1,0.8,
IF(VLOOKUP($A524-COUNT('Шаг2.Бланк заказа NEW'!$B$19:$B$201),'Бланк OLD 0.8 04'!$B$12:$K$200,5,0)&gt;1,0.4,
IF(AND(VLOOKUP($A524-COUNT('Шаг2.Бланк заказа NEW'!$B$19:$B$201),'Бланк OLD 0.8 04'!$B$12:$K$200,4,0)&gt;0,VLOOKUP($A524-COUNT('Шаг2.Бланк заказа NEW'!$B$19:$B$201),'Бланк OLD 0.8 04'!$B$12:$K$200,5,0)&gt;0),0.4,"")))),
IF(VLOOKUP($A524-COUNT('Шаг2.Бланк заказа NEW'!$B$19:$B$201)-COUNT('Бланк OLD 0.8 04'!$B$18:$B$200),'Бланк OLD 2.0 04 '!$B$16:$K$200,4,0)&gt;1,2,
IF(VLOOKUP($A524-COUNT('Шаг2.Бланк заказа NEW'!$B$19:$B$201)-COUNT('Бланк OLD 0.8 04'!$B$18:$B$200),'Бланк OLD 2.0 04 '!$B$16:$K$200,5,0)&gt;1,0.4,IF(AND(VLOOKUP($A524-COUNT('Шаг2.Бланк заказа NEW'!$B$19:$B$201)-COUNT('Бланк OLD 0.8 04'!$B$18:$B$200),'Бланк OLD 2.0 04 '!$B$16:$K$200,4,0)&gt;0,VLOOKUP($A524-COUNT('Шаг2.Бланк заказа NEW'!$B$19:$B$201)-COUNT('Бланк OLD 0.8 04'!$B$18:$B$200),'Бланк OLD 2.0 04 '!$B$16:$K$200,5,0)&gt;0),0.4,""))))</f>
        <v/>
      </c>
      <c r="T524" s="147" t="str">
        <f ca="1">IFERROR(IFERROR(IF(VLOOKUP($A524,'Шаг2.Бланк заказа NEW'!$B$17:$N$201,7,0)="","",VLOOKUP($A524,'Шаг2.Бланк заказа NEW'!$B$17:$N$201,7,0)),
IF(VLOOKUP($A524-COUNT('Шаг2.Бланк заказа NEW'!$B$19:$B$201),'Бланк OLD 0.8 04'!$B$12:$K$200,7,0)&gt;0,0.8,
IF(VLOOKUP($A524-COUNT('Шаг2.Бланк заказа NEW'!$B$19:$B$201),'Бланк OLD 0.8 04'!$B$12:$K$200,8,0)&gt;0,0.4,""))),
IF(VLOOKUP($A524-COUNT('Шаг2.Бланк заказа NEW'!$B$19:$B$201)-COUNT('Бланк OLD 0.8 04'!$B$18:$B$200),'Бланк OLD 2.0 04 '!$B$16:$K$200,7,0)&gt;0,2,IF(VLOOKUP($A524-COUNT('Шаг2.Бланк заказа NEW'!$B$19:$B$201)-COUNT('Бланк OLD 0.8 04'!$B$18:$B$200),'Бланк OLD 2.0 04 '!$B$16:$K$200,8,0)&gt;0,0.4,"")))</f>
        <v/>
      </c>
      <c r="U524" s="147" t="str">
        <f ca="1">IFERROR(IFERROR(IF(VLOOKUP($A524,'Шаг2.Бланк заказа NEW'!$B$17:$N$201,8,0)="","",VLOOKUP($A524,'Шаг2.Бланк заказа NEW'!$B$17:$N$201,8,0)),
IF(VLOOKUP($A524-COUNT('Шаг2.Бланк заказа NEW'!$B$19:$B$201),'Бланк OLD 0.8 04'!$B$12:$K$200,7,0)&gt;1,0.8,
IF(VLOOKUP($A524-COUNT('Шаг2.Бланк заказа NEW'!$B$19:$B$201),'Бланк OLD 0.8 04'!$B$12:$K$200,8,0)&gt;1,0.4,
IF(AND(VLOOKUP($A524-COUNT('Шаг2.Бланк заказа NEW'!$B$19:$B$201),'Бланк OLD 0.8 04'!$B$12:$K$200,7,0)&gt;0,VLOOKUP($A524-COUNT('Шаг2.Бланк заказа NEW'!$B$19:$B$201),'Бланк OLD 0.8 04'!$B$12:$K$200,8,0)&gt;0),0.4,"")))),
IF(VLOOKUP($A524-COUNT('Шаг2.Бланк заказа NEW'!$B$19:$B$201)-COUNT('Бланк OLD 0.8 04'!$B$18:$B$200),'Бланк OLD 2.0 04 '!$B$16:$K$200,7,0)&gt;1,2,
IF(VLOOKUP($A524-COUNT('Шаг2.Бланк заказа NEW'!$B$19:$B$201)-COUNT('Бланк OLD 0.8 04'!$B$18:$B$200),'Бланк OLD 2.0 04 '!$B$16:$K$200,8,0)&gt;1,0.4,
IF(AND(VLOOKUP($A524-COUNT('Шаг2.Бланк заказа NEW'!$B$19:$B$201)-COUNT('Бланк OLD 0.8 04'!$B$18:$B$200),'Бланк OLD 2.0 04 '!$B$16:$K$200,7,0)&gt;0,VLOOKUP($A524-COUNT('Шаг2.Бланк заказа NEW'!$B$19:$B$201)-COUNT('Бланк OLD 0.8 04'!$B$18:$B$200),'Бланк OLD 2.0 04 '!$B$16:$K$200,8,0)&gt;0),0.4,""))))</f>
        <v/>
      </c>
      <c r="V524" s="146" t="str">
        <f ca="1">IFERROR(VLOOKUP(C524,'Шаг1.Выбор плиты'!C:S,12,0),"")</f>
        <v/>
      </c>
      <c r="W524" s="146" t="str">
        <f ca="1">IFERROR(VLOOKUP(C524,'Шаг1.Выбор плиты'!C:S,8,0),"")</f>
        <v/>
      </c>
      <c r="X524" s="146" t="str">
        <f ca="1">IFERROR(VLOOKUP(C524,'Шаг1.Выбор плиты'!C:S,10,0),"")</f>
        <v/>
      </c>
      <c r="Y524" s="147" t="str">
        <f t="shared" ca="1" si="51"/>
        <v/>
      </c>
      <c r="AD524" s="147" t="str">
        <f t="shared" ca="1" si="48"/>
        <v/>
      </c>
      <c r="AE524" s="147" t="str">
        <f t="shared" ca="1" si="52"/>
        <v/>
      </c>
      <c r="AF524" s="25"/>
      <c r="AH524" s="147" t="str">
        <f ca="1">IF(C524="","",VLOOKUP(C524,'Шаг1.Выбор плиты'!C:Q,7,0))</f>
        <v/>
      </c>
      <c r="AI524" s="147" t="str">
        <f t="shared" ca="1" si="50"/>
        <v/>
      </c>
    </row>
    <row r="525" spans="1:35" x14ac:dyDescent="0.2">
      <c r="A525" s="151" t="str">
        <f ca="1">IF(C525="","",MAX($A$1:OFFSET(C525,-1,0))+1)</f>
        <v/>
      </c>
      <c r="B525" s="151" t="str">
        <f ca="1">IFERROR(IFERROR(IFERROR("Шаг2.Бланк заказа NEW №"&amp;VLOOKUP(A524+1,CHOOSE({1,2},'Шаг2.Бланк заказа NEW'!$B$19:$B$201,'Шаг2.Бланк заказа NEW'!$A$19:$A$201),1,0),
"Бланк OLD 0.8 04 №"&amp;VLOOKUP(A524+1-COUNT('Шаг2.Бланк заказа NEW'!$B$19:$B$201),CHOOSE({1,2},'Бланк OLD 0.8 04'!$B$18:$B$200,'Бланк OLD 0.8 04'!$A$18:$A$200),1,0)),
"Бланк OLD 2.0 04 №"&amp;VLOOKUP(A524+1-COUNT('Шаг2.Бланк заказа NEW'!$B$19:$B$201)-COUNT('Бланк OLD 0.8 04'!$B$18:$B$200),CHOOSE({1,2},'Бланк OLD 2.0 04 '!$B$18:$B$200,'Бланк OLD 2.0 04 '!$A$18:$A$200),1,0)),"")</f>
        <v/>
      </c>
      <c r="C525" s="152" t="str">
        <f ca="1">IFERROR(IFERROR(IFERROR(VLOOKUP(A524+1,CHOOSE({1,2},'Шаг2.Бланк заказа NEW'!$B$19:$B$201,'Шаг2.Бланк заказа NEW'!$A$19:$A$201),2,0),
VLOOKUP(A524+1-COUNT('Шаг2.Бланк заказа NEW'!$B$19:$B$201),CHOOSE({1,2},'Бланк OLD 0.8 04'!$B$18:$B$200,'Бланк OLD 0.8 04'!$A$18:$A$200),2,0)),
VLOOKUP(A524+1-COUNT('Шаг2.Бланк заказа NEW'!$B$19:$B$201)-COUNT('Бланк OLD 0.8 04'!$B$18:$B$200),CHOOSE({1,2},'Бланк OLD 2.0 04 '!$B$18:$B$200,'Бланк OLD 2.0 04 '!$A$18:$A$200),2,0)),"")</f>
        <v/>
      </c>
      <c r="D525" s="150" t="str">
        <f ca="1">IFERROR(VLOOKUP(C525,'Шаг1.Выбор плиты'!C:G,5,0),"")</f>
        <v/>
      </c>
      <c r="E525" s="147" t="str">
        <f ca="1">IFERROR(IFERROR(IF(VLOOKUP($A525,'Шаг2.Бланк заказа NEW'!$B$17:$N$201,2,0)="","",VLOOKUP($A525,'Шаг2.Бланк заказа NEW'!$B$17:$N$201,2,0)),
IF(VLOOKUP($A525-COUNT('Шаг2.Бланк заказа NEW'!$B$19:$B$201),'Бланк OLD 0.8 04'!$B$12:$K$200,2,0)="","",VLOOKUP($A525-COUNT('Шаг2.Бланк заказа NEW'!$B$19:$B$201),'Бланк OLD 0.8 04'!$B$12:$K$200,2,0))),
IF(VLOOKUP($A525-COUNT('Шаг2.Бланк заказа NEW'!$B$19:$B$201)-COUNT('Бланк OLD 0.8 04'!$B$18:$B$200),'Бланк OLD 2.0 04 '!$B$16:$K$200,2,0)="","",VLOOKUP($A525-COUNT('Шаг2.Бланк заказа NEW'!$B$19:$B$201)-COUNT('Бланк OLD 0.8 04'!$B$18:$B$200),'Бланк OLD 2.0 04 '!$B$16:$K$200,2,0)))</f>
        <v/>
      </c>
      <c r="F525" s="147" t="str">
        <f ca="1">IFERROR(IFERROR(IF(VLOOKUP($A525,'Шаг2.Бланк заказа NEW'!$B$17:$N$201,3,0)="","",VLOOKUP($A525,'Шаг2.Бланк заказа NEW'!$B$17:$N$201,3,0)),
IF(VLOOKUP($A525-COUNT('Шаг2.Бланк заказа NEW'!$B$19:$B$201),'Бланк OLD 0.8 04'!$B$12:$K$200,3,0)="","",VLOOKUP($A525-COUNT('Шаг2.Бланк заказа NEW'!$B$19:$B$201),'Бланк OLD 0.8 04'!$B$12:$K$200,3,0))),
IF(VLOOKUP($A525-COUNT('Шаг2.Бланк заказа NEW'!$B$19:$B$201)-COUNT('Бланк OLD 0.8 04'!$B$18:$B$200),'Бланк OLD 2.0 04 '!$B$16:$K$200,3,0)="","",VLOOKUP($A525-COUNT('Шаг2.Бланк заказа NEW'!$B$19:$B$201)-COUNT('Бланк OLD 0.8 04'!$B$18:$B$200),'Бланк OLD 2.0 04 '!$B$16:$K$200,3,0)))</f>
        <v/>
      </c>
      <c r="G525" s="176" t="str">
        <f ca="1">IF(IF(R525="","",IF(R525=1,SUMIFS('Шаг1.Выбор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плиты'!C:Q,12,0)),1))))))=0,
R525,
IF(R525="","",IF(R525=1,SUMIFS('Шаг1.Выбор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плиты'!N:N,R525,'Шаг1.Выбор плиты'!M:M,SMALL(INDIRECT("мм"&amp;VLOOKUP(C525,'Шаг1.Выбор плиты'!C:Q,12,0)),1)))))))</f>
        <v/>
      </c>
      <c r="H525" s="177" t="str">
        <f ca="1">IF(IF(S525="","",IF(S525=1,SUMIFS('Шаг1.Выбор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плиты'!C:Q,12,0)),1))))))=0,
S525,
IF(S525="","",IF(S525=1,SUMIFS('Шаг1.Выбор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плиты'!N:N,S525,'Шаг1.Выбор плиты'!M:M,SMALL(INDIRECT("мм"&amp;VLOOKUP(C525,'Шаг1.Выбор плиты'!C:Q,12,0)),1)))))))</f>
        <v/>
      </c>
      <c r="I525" s="147" t="str">
        <f ca="1">IFERROR(IFERROR(IF(VLOOKUP($A525,'Шаг2.Бланк заказа NEW'!$B$17:$N$201,6,0)="","",VLOOKUP($A525,'Шаг2.Бланк заказа NEW'!$B$17:$N$201,6,0)),
IF(VLOOKUP($A525-COUNT('Шаг2.Бланк заказа NEW'!$B$19:$B$201),'Бланк OLD 0.8 04'!$B$12:$K$200,6,0)="","",VLOOKUP($A525-COUNT('Шаг2.Бланк заказа NEW'!$B$19:$B$201),'Бланк OLD 0.8 04'!$B$12:$K$200,6,0))),
IF(VLOOKUP($A525-COUNT('Шаг2.Бланк заказа NEW'!$B$19:$B$201)-COUNT('Бланк OLD 0.8 04'!$B$18:$B$200),'Бланк OLD 2.0 04 '!$B$16:$K$200,6,0)="","",VLOOKUP($A525-COUNT('Шаг2.Бланк заказа NEW'!$B$19:$B$201)-COUNT('Бланк OLD 0.8 04'!$B$18:$B$200),'Бланк OLD 2.0 04 '!$B$16:$K$200,6,0)))</f>
        <v/>
      </c>
      <c r="J525" s="177" t="str">
        <f ca="1">IF(IF(T525="","",IF(T525=1,SUMIFS('Шаг1.Выбор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плиты'!C:Q,12,0)),1))))))=0,
T525,
IF(T525="","",IF(T525=1,SUMIFS('Шаг1.Выбор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плиты'!N:N,T525,'Шаг1.Выбор плиты'!M:M,SMALL(INDIRECT("мм"&amp;VLOOKUP(C525,'Шаг1.Выбор плиты'!C:Q,12,0)),1)))))))</f>
        <v/>
      </c>
      <c r="K525" s="177" t="str">
        <f ca="1">IF(IF(U525="","",IF(U525=1,SUMIFS('Шаг1.Выбор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плиты'!C:Q,12,0)),1))))))=0,
U525,
IF(U525="","",IF(U525=1,SUMIFS('Шаг1.Выбор плиты'!$G:$G,'Шаг1.Выбор плиты'!J:J,"*"&amp;RIGHT(VLOOKUP(C525,'Шаг1.Выбор плиты'!C:Q,8,0),4),'Шаг1.Выбор плиты'!L:L,IF(MID(C525,1,6)="ЛДСП P","TM"&amp;MID(VLOOKUP(C525,'Шаг1.Выбор плиты'!C:Q,10,0),3,2),MID(VLOOKUP(C525,'Шаг1.Выбор плиты'!C:Q,10,0),1,2)),
'Шаг1.Выбор плиты'!N:N,1),IF(SUMIFS('Шаг1.Выбор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плиты'!C:Q,12,0)),1))=0,
IF(SUMIFS('Шаг1.Выбор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плиты'!C:Q,12,0)),2))=0,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плиты'!C:Q,12,0)),3)),
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плиты'!C:Q,12,0)),2))),
(SUMIFS('Шаг1.Выбор плиты'!$G:$G,'Шаг1.Выбор плиты'!J:J,"*"&amp;RIGHT(VLOOKUP(C525,'Шаг1.Выбор плиты'!C:Q,8,0),4),'Шаг1.Выбор плиты'!L:L,VLOOKUP(C525,'Шаг1.Выбор плиты'!C:Q,10,0),'Шаг1.Выбор плиты'!N:N,U525,'Шаг1.Выбор плиты'!M:M,SMALL(INDIRECT("мм"&amp;VLOOKUP(C525,'Шаг1.Выбор плиты'!C:Q,12,0)),1)))))))</f>
        <v/>
      </c>
      <c r="L525" s="147" t="str">
        <f ca="1">IFERROR(IFERROR(IF(VLOOKUP($A525,'Шаг2.Бланк заказа NEW'!$B$17:$N$201,9,0)="","",VLOOKUP($A525,'Шаг2.Бланк заказа NEW'!$B$17:$N$201,9,0)),
IF(VLOOKUP($A525-COUNT('Шаг2.Бланк заказа NEW'!$B$19:$B$201),'Бланк OLD 0.8 04'!$B$12:$K$200,9,0)="","",VLOOKUP($A525-COUNT('Шаг2.Бланк заказа NEW'!$B$19:$B$201),'Бланк OLD 0.8 04'!$B$12:$K$200,9,0))),
IF(VLOOKUP($A525-COUNT('Шаг2.Бланк заказа NEW'!$B$19:$B$201)-COUNT('Бланк OLD 0.8 04'!$B$18:$B$200),'Бланк OLD 2.0 04 '!$B$16:$K$200,9,0)="","",VLOOKUP($A525-COUNT('Шаг2.Бланк заказа NEW'!$B$19:$B$201)-COUNT('Бланк OLD 0.8 04'!$B$18:$B$200),'Бланк OLD 2.0 04 '!$B$16:$K$200,9,0)))</f>
        <v/>
      </c>
      <c r="M525" s="154" t="str">
        <f t="shared" ca="1" si="49"/>
        <v/>
      </c>
      <c r="N525" s="153" t="str">
        <f ca="1">IFERROR(IF(VLOOKUP($A525,'Шаг2.Бланк заказа NEW'!$B$17:$N$201,11,0)="","",VLOOKUP($A525,'Шаг2.Бланк заказа NEW'!$B$17:$N$201,11,0)),
"Нет")</f>
        <v/>
      </c>
      <c r="O525" s="147" t="str">
        <f ca="1">IFERROR(IF(VLOOKUP($A525,'Шаг2.Бланк заказа NEW'!$B$17:$N$201,11,0)="","",VLOOKUP($A525,'Шаг2.Бланк заказа NEW'!$B$17:$N$201,12,0)),
"Нет")</f>
        <v/>
      </c>
      <c r="P525" s="153" t="str">
        <f ca="1">IFERROR(IF(VLOOKUP($A525,'Шаг2.Бланк заказа NEW'!$B$17:$N$201,13,0)="","",VLOOKUP($A525,'Шаг2.Бланк заказа NEW'!$B$17:$N$201,13,0)),
"Нет")</f>
        <v/>
      </c>
      <c r="Q525" s="147" t="str">
        <f ca="1">IFERROR(IF(VLOOKUP($A525,'Шаг2.Бланк заказа NEW'!$B$17:$O$201,14,0)="","",VLOOKUP($A525,'Шаг2.Бланк заказа NEW'!$B$17:$O$201,14,0)),"")</f>
        <v/>
      </c>
      <c r="R525" s="147" t="str">
        <f ca="1">IFERROR(IFERROR(IF(VLOOKUP($A525,'Шаг2.Бланк заказа NEW'!$B$17:$N$201,4,0)="","",VLOOKUP($A525,'Шаг2.Бланк заказа NEW'!$B$17:$N$201,4,0)),
IF(VLOOKUP($A525-COUNT('Шаг2.Бланк заказа NEW'!$B$19:$B$201),'Бланк OLD 0.8 04'!$B$12:$K$200,4,0)&gt;0,0.8,
IF(VLOOKUP($A525-COUNT('Шаг2.Бланк заказа NEW'!$B$19:$B$201),'Бланк OLD 0.8 04'!$B$12:$K$200,5,0)&gt;0,0.4,""))),
IF(VLOOKUP($A525-COUNT('Шаг2.Бланк заказа NEW'!$B$19:$B$201)-COUNT('Бланк OLD 0.8 04'!$B$18:$B$200),'Бланк OLD 2.0 04 '!$B$16:$K$200,4,0)&gt;0,2,IF(VLOOKUP($A525-COUNT('Шаг2.Бланк заказа NEW'!$B$19:$B$201)-COUNT('Бланк OLD 0.8 04'!$B$18:$B$200),'Бланк OLD 2.0 04 '!$B$16:$K$200,5,0)&gt;0,0.4,"")))</f>
        <v/>
      </c>
      <c r="S525" s="147" t="str">
        <f ca="1">IFERROR(IFERROR(IF(VLOOKUP($A525,'Шаг2.Бланк заказа NEW'!$B$17:$N$201,5,0)="","",VLOOKUP($A525,'Шаг2.Бланк заказа NEW'!$B$17:$N$201,5,0)),
IF(VLOOKUP($A525-COUNT('Шаг2.Бланк заказа NEW'!$B$19:$B$201),'Бланк OLD 0.8 04'!$B$12:$K$200,4,0)&gt;1,0.8,
IF(VLOOKUP($A525-COUNT('Шаг2.Бланк заказа NEW'!$B$19:$B$201),'Бланк OLD 0.8 04'!$B$12:$K$200,5,0)&gt;1,0.4,
IF(AND(VLOOKUP($A525-COUNT('Шаг2.Бланк заказа NEW'!$B$19:$B$201),'Бланк OLD 0.8 04'!$B$12:$K$200,4,0)&gt;0,VLOOKUP($A525-COUNT('Шаг2.Бланк заказа NEW'!$B$19:$B$201),'Бланк OLD 0.8 04'!$B$12:$K$200,5,0)&gt;0),0.4,"")))),
IF(VLOOKUP($A525-COUNT('Шаг2.Бланк заказа NEW'!$B$19:$B$201)-COUNT('Бланк OLD 0.8 04'!$B$18:$B$200),'Бланк OLD 2.0 04 '!$B$16:$K$200,4,0)&gt;1,2,
IF(VLOOKUP($A525-COUNT('Шаг2.Бланк заказа NEW'!$B$19:$B$201)-COUNT('Бланк OLD 0.8 04'!$B$18:$B$200),'Бланк OLD 2.0 04 '!$B$16:$K$200,5,0)&gt;1,0.4,IF(AND(VLOOKUP($A525-COUNT('Шаг2.Бланк заказа NEW'!$B$19:$B$201)-COUNT('Бланк OLD 0.8 04'!$B$18:$B$200),'Бланк OLD 2.0 04 '!$B$16:$K$200,4,0)&gt;0,VLOOKUP($A525-COUNT('Шаг2.Бланк заказа NEW'!$B$19:$B$201)-COUNT('Бланк OLD 0.8 04'!$B$18:$B$200),'Бланк OLD 2.0 04 '!$B$16:$K$200,5,0)&gt;0),0.4,""))))</f>
        <v/>
      </c>
      <c r="T525" s="147" t="str">
        <f ca="1">IFERROR(IFERROR(IF(VLOOKUP($A525,'Шаг2.Бланк заказа NEW'!$B$17:$N$201,7,0)="","",VLOOKUP($A525,'Шаг2.Бланк заказа NEW'!$B$17:$N$201,7,0)),
IF(VLOOKUP($A525-COUNT('Шаг2.Бланк заказа NEW'!$B$19:$B$201),'Бланк OLD 0.8 04'!$B$12:$K$200,7,0)&gt;0,0.8,
IF(VLOOKUP($A525-COUNT('Шаг2.Бланк заказа NEW'!$B$19:$B$201),'Бланк OLD 0.8 04'!$B$12:$K$200,8,0)&gt;0,0.4,""))),
IF(VLOOKUP($A525-COUNT('Шаг2.Бланк заказа NEW'!$B$19:$B$201)-COUNT('Бланк OLD 0.8 04'!$B$18:$B$200),'Бланк OLD 2.0 04 '!$B$16:$K$200,7,0)&gt;0,2,IF(VLOOKUP($A525-COUNT('Шаг2.Бланк заказа NEW'!$B$19:$B$201)-COUNT('Бланк OLD 0.8 04'!$B$18:$B$200),'Бланк OLD 2.0 04 '!$B$16:$K$200,8,0)&gt;0,0.4,"")))</f>
        <v/>
      </c>
      <c r="U525" s="147" t="str">
        <f ca="1">IFERROR(IFERROR(IF(VLOOKUP($A525,'Шаг2.Бланк заказа NEW'!$B$17:$N$201,8,0)="","",VLOOKUP($A525,'Шаг2.Бланк заказа NEW'!$B$17:$N$201,8,0)),
IF(VLOOKUP($A525-COUNT('Шаг2.Бланк заказа NEW'!$B$19:$B$201),'Бланк OLD 0.8 04'!$B$12:$K$200,7,0)&gt;1,0.8,
IF(VLOOKUP($A525-COUNT('Шаг2.Бланк заказа NEW'!$B$19:$B$201),'Бланк OLD 0.8 04'!$B$12:$K$200,8,0)&gt;1,0.4,
IF(AND(VLOOKUP($A525-COUNT('Шаг2.Бланк заказа NEW'!$B$19:$B$201),'Бланк OLD 0.8 04'!$B$12:$K$200,7,0)&gt;0,VLOOKUP($A525-COUNT('Шаг2.Бланк заказа NEW'!$B$19:$B$201),'Бланк OLD 0.8 04'!$B$12:$K$200,8,0)&gt;0),0.4,"")))),
IF(VLOOKUP($A525-COUNT('Шаг2.Бланк заказа NEW'!$B$19:$B$201)-COUNT('Бланк OLD 0.8 04'!$B$18:$B$200),'Бланк OLD 2.0 04 '!$B$16:$K$200,7,0)&gt;1,2,
IF(VLOOKUP($A525-COUNT('Шаг2.Бланк заказа NEW'!$B$19:$B$201)-COUNT('Бланк OLD 0.8 04'!$B$18:$B$200),'Бланк OLD 2.0 04 '!$B$16:$K$200,8,0)&gt;1,0.4,
IF(AND(VLOOKUP($A525-COUNT('Шаг2.Бланк заказа NEW'!$B$19:$B$201)-COUNT('Бланк OLD 0.8 04'!$B$18:$B$200),'Бланк OLD 2.0 04 '!$B$16:$K$200,7,0)&gt;0,VLOOKUP($A525-COUNT('Шаг2.Бланк заказа NEW'!$B$19:$B$201)-COUNT('Бланк OLD 0.8 04'!$B$18:$B$200),'Бланк OLD 2.0 04 '!$B$16:$K$200,8,0)&gt;0),0.4,""))))</f>
        <v/>
      </c>
      <c r="V525" s="146" t="str">
        <f ca="1">IFERROR(VLOOKUP(C525,'Шаг1.Выбор плиты'!C:S,12,0),"")</f>
        <v/>
      </c>
      <c r="W525" s="146" t="str">
        <f ca="1">IFERROR(VLOOKUP(C525,'Шаг1.Выбор плиты'!C:S,8,0),"")</f>
        <v/>
      </c>
      <c r="X525" s="146" t="str">
        <f ca="1">IFERROR(VLOOKUP(C525,'Шаг1.Выбор плиты'!C:S,10,0),"")</f>
        <v/>
      </c>
      <c r="Y525" s="147" t="str">
        <f t="shared" ca="1" si="51"/>
        <v/>
      </c>
      <c r="AD525" s="147" t="str">
        <f t="shared" ca="1" si="48"/>
        <v/>
      </c>
      <c r="AE525" s="147" t="str">
        <f t="shared" ca="1" si="52"/>
        <v/>
      </c>
      <c r="AF525" s="25"/>
      <c r="AH525" s="147" t="str">
        <f ca="1">IF(C525="","",VLOOKUP(C525,'Шаг1.Выбор плиты'!C:Q,7,0))</f>
        <v/>
      </c>
      <c r="AI525" s="147" t="str">
        <f t="shared" ca="1" si="50"/>
        <v/>
      </c>
    </row>
    <row r="526" spans="1:35" x14ac:dyDescent="0.2">
      <c r="A526" s="151" t="str">
        <f ca="1">IF(C526="","",MAX($A$1:OFFSET(C526,-1,0))+1)</f>
        <v/>
      </c>
      <c r="B526" s="151" t="str">
        <f ca="1">IFERROR(IFERROR(IFERROR("Шаг2.Бланк заказа NEW №"&amp;VLOOKUP(A525+1,CHOOSE({1,2},'Шаг2.Бланк заказа NEW'!$B$19:$B$201,'Шаг2.Бланк заказа NEW'!$A$19:$A$201),1,0),
"Бланк OLD 0.8 04 №"&amp;VLOOKUP(A525+1-COUNT('Шаг2.Бланк заказа NEW'!$B$19:$B$201),CHOOSE({1,2},'Бланк OLD 0.8 04'!$B$18:$B$200,'Бланк OLD 0.8 04'!$A$18:$A$200),1,0)),
"Бланк OLD 2.0 04 №"&amp;VLOOKUP(A525+1-COUNT('Шаг2.Бланк заказа NEW'!$B$19:$B$201)-COUNT('Бланк OLD 0.8 04'!$B$18:$B$200),CHOOSE({1,2},'Бланк OLD 2.0 04 '!$B$18:$B$200,'Бланк OLD 2.0 04 '!$A$18:$A$200),1,0)),"")</f>
        <v/>
      </c>
      <c r="C526" s="152" t="str">
        <f ca="1">IFERROR(IFERROR(IFERROR(VLOOKUP(A525+1,CHOOSE({1,2},'Шаг2.Бланк заказа NEW'!$B$19:$B$201,'Шаг2.Бланк заказа NEW'!$A$19:$A$201),2,0),
VLOOKUP(A525+1-COUNT('Шаг2.Бланк заказа NEW'!$B$19:$B$201),CHOOSE({1,2},'Бланк OLD 0.8 04'!$B$18:$B$200,'Бланк OLD 0.8 04'!$A$18:$A$200),2,0)),
VLOOKUP(A525+1-COUNT('Шаг2.Бланк заказа NEW'!$B$19:$B$201)-COUNT('Бланк OLD 0.8 04'!$B$18:$B$200),CHOOSE({1,2},'Бланк OLD 2.0 04 '!$B$18:$B$200,'Бланк OLD 2.0 04 '!$A$18:$A$200),2,0)),"")</f>
        <v/>
      </c>
      <c r="D526" s="150" t="str">
        <f ca="1">IFERROR(VLOOKUP(C526,'Шаг1.Выбор плиты'!C:G,5,0),"")</f>
        <v/>
      </c>
      <c r="E526" s="147" t="str">
        <f ca="1">IFERROR(IFERROR(IF(VLOOKUP($A526,'Шаг2.Бланк заказа NEW'!$B$17:$N$201,2,0)="","",VLOOKUP($A526,'Шаг2.Бланк заказа NEW'!$B$17:$N$201,2,0)),
IF(VLOOKUP($A526-COUNT('Шаг2.Бланк заказа NEW'!$B$19:$B$201),'Бланк OLD 0.8 04'!$B$12:$K$200,2,0)="","",VLOOKUP($A526-COUNT('Шаг2.Бланк заказа NEW'!$B$19:$B$201),'Бланк OLD 0.8 04'!$B$12:$K$200,2,0))),
IF(VLOOKUP($A526-COUNT('Шаг2.Бланк заказа NEW'!$B$19:$B$201)-COUNT('Бланк OLD 0.8 04'!$B$18:$B$200),'Бланк OLD 2.0 04 '!$B$16:$K$200,2,0)="","",VLOOKUP($A526-COUNT('Шаг2.Бланк заказа NEW'!$B$19:$B$201)-COUNT('Бланк OLD 0.8 04'!$B$18:$B$200),'Бланк OLD 2.0 04 '!$B$16:$K$200,2,0)))</f>
        <v/>
      </c>
      <c r="F526" s="147" t="str">
        <f ca="1">IFERROR(IFERROR(IF(VLOOKUP($A526,'Шаг2.Бланк заказа NEW'!$B$17:$N$201,3,0)="","",VLOOKUP($A526,'Шаг2.Бланк заказа NEW'!$B$17:$N$201,3,0)),
IF(VLOOKUP($A526-COUNT('Шаг2.Бланк заказа NEW'!$B$19:$B$201),'Бланк OLD 0.8 04'!$B$12:$K$200,3,0)="","",VLOOKUP($A526-COUNT('Шаг2.Бланк заказа NEW'!$B$19:$B$201),'Бланк OLD 0.8 04'!$B$12:$K$200,3,0))),
IF(VLOOKUP($A526-COUNT('Шаг2.Бланк заказа NEW'!$B$19:$B$201)-COUNT('Бланк OLD 0.8 04'!$B$18:$B$200),'Бланк OLD 2.0 04 '!$B$16:$K$200,3,0)="","",VLOOKUP($A526-COUNT('Шаг2.Бланк заказа NEW'!$B$19:$B$201)-COUNT('Бланк OLD 0.8 04'!$B$18:$B$200),'Бланк OLD 2.0 04 '!$B$16:$K$200,3,0)))</f>
        <v/>
      </c>
      <c r="G526" s="176" t="str">
        <f ca="1">IF(IF(R526="","",IF(R526=1,SUMIFS('Шаг1.Выбор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плиты'!C:Q,12,0)),1))))))=0,
R526,
IF(R526="","",IF(R526=1,SUMIFS('Шаг1.Выбор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плиты'!N:N,R526,'Шаг1.Выбор плиты'!M:M,SMALL(INDIRECT("мм"&amp;VLOOKUP(C526,'Шаг1.Выбор плиты'!C:Q,12,0)),1)))))))</f>
        <v/>
      </c>
      <c r="H526" s="177" t="str">
        <f ca="1">IF(IF(S526="","",IF(S526=1,SUMIFS('Шаг1.Выбор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плиты'!C:Q,12,0)),1))))))=0,
S526,
IF(S526="","",IF(S526=1,SUMIFS('Шаг1.Выбор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плиты'!N:N,S526,'Шаг1.Выбор плиты'!M:M,SMALL(INDIRECT("мм"&amp;VLOOKUP(C526,'Шаг1.Выбор плиты'!C:Q,12,0)),1)))))))</f>
        <v/>
      </c>
      <c r="I526" s="147" t="str">
        <f ca="1">IFERROR(IFERROR(IF(VLOOKUP($A526,'Шаг2.Бланк заказа NEW'!$B$17:$N$201,6,0)="","",VLOOKUP($A526,'Шаг2.Бланк заказа NEW'!$B$17:$N$201,6,0)),
IF(VLOOKUP($A526-COUNT('Шаг2.Бланк заказа NEW'!$B$19:$B$201),'Бланк OLD 0.8 04'!$B$12:$K$200,6,0)="","",VLOOKUP($A526-COUNT('Шаг2.Бланк заказа NEW'!$B$19:$B$201),'Бланк OLD 0.8 04'!$B$12:$K$200,6,0))),
IF(VLOOKUP($A526-COUNT('Шаг2.Бланк заказа NEW'!$B$19:$B$201)-COUNT('Бланк OLD 0.8 04'!$B$18:$B$200),'Бланк OLD 2.0 04 '!$B$16:$K$200,6,0)="","",VLOOKUP($A526-COUNT('Шаг2.Бланк заказа NEW'!$B$19:$B$201)-COUNT('Бланк OLD 0.8 04'!$B$18:$B$200),'Бланк OLD 2.0 04 '!$B$16:$K$200,6,0)))</f>
        <v/>
      </c>
      <c r="J526" s="177" t="str">
        <f ca="1">IF(IF(T526="","",IF(T526=1,SUMIFS('Шаг1.Выбор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плиты'!C:Q,12,0)),1))))))=0,
T526,
IF(T526="","",IF(T526=1,SUMIFS('Шаг1.Выбор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плиты'!N:N,T526,'Шаг1.Выбор плиты'!M:M,SMALL(INDIRECT("мм"&amp;VLOOKUP(C526,'Шаг1.Выбор плиты'!C:Q,12,0)),1)))))))</f>
        <v/>
      </c>
      <c r="K526" s="177" t="str">
        <f ca="1">IF(IF(U526="","",IF(U526=1,SUMIFS('Шаг1.Выбор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плиты'!C:Q,12,0)),1))))))=0,
U526,
IF(U526="","",IF(U526=1,SUMIFS('Шаг1.Выбор плиты'!$G:$G,'Шаг1.Выбор плиты'!J:J,"*"&amp;RIGHT(VLOOKUP(C526,'Шаг1.Выбор плиты'!C:Q,8,0),4),'Шаг1.Выбор плиты'!L:L,IF(MID(C526,1,6)="ЛДСП P","TM"&amp;MID(VLOOKUP(C526,'Шаг1.Выбор плиты'!C:Q,10,0),3,2),MID(VLOOKUP(C526,'Шаг1.Выбор плиты'!C:Q,10,0),1,2)),
'Шаг1.Выбор плиты'!N:N,1),IF(SUMIFS('Шаг1.Выбор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плиты'!C:Q,12,0)),1))=0,
IF(SUMIFS('Шаг1.Выбор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плиты'!C:Q,12,0)),2))=0,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плиты'!C:Q,12,0)),3)),
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плиты'!C:Q,12,0)),2))),
(SUMIFS('Шаг1.Выбор плиты'!$G:$G,'Шаг1.Выбор плиты'!J:J,"*"&amp;RIGHT(VLOOKUP(C526,'Шаг1.Выбор плиты'!C:Q,8,0),4),'Шаг1.Выбор плиты'!L:L,VLOOKUP(C526,'Шаг1.Выбор плиты'!C:Q,10,0),'Шаг1.Выбор плиты'!N:N,U526,'Шаг1.Выбор плиты'!M:M,SMALL(INDIRECT("мм"&amp;VLOOKUP(C526,'Шаг1.Выбор плиты'!C:Q,12,0)),1)))))))</f>
        <v/>
      </c>
      <c r="L526" s="147" t="str">
        <f ca="1">IFERROR(IFERROR(IF(VLOOKUP($A526,'Шаг2.Бланк заказа NEW'!$B$17:$N$201,9,0)="","",VLOOKUP($A526,'Шаг2.Бланк заказа NEW'!$B$17:$N$201,9,0)),
IF(VLOOKUP($A526-COUNT('Шаг2.Бланк заказа NEW'!$B$19:$B$201),'Бланк OLD 0.8 04'!$B$12:$K$200,9,0)="","",VLOOKUP($A526-COUNT('Шаг2.Бланк заказа NEW'!$B$19:$B$201),'Бланк OLD 0.8 04'!$B$12:$K$200,9,0))),
IF(VLOOKUP($A526-COUNT('Шаг2.Бланк заказа NEW'!$B$19:$B$201)-COUNT('Бланк OLD 0.8 04'!$B$18:$B$200),'Бланк OLD 2.0 04 '!$B$16:$K$200,9,0)="","",VLOOKUP($A526-COUNT('Шаг2.Бланк заказа NEW'!$B$19:$B$201)-COUNT('Бланк OLD 0.8 04'!$B$18:$B$200),'Бланк OLD 2.0 04 '!$B$16:$K$200,9,0)))</f>
        <v/>
      </c>
      <c r="M526" s="154" t="str">
        <f t="shared" ca="1" si="49"/>
        <v/>
      </c>
      <c r="N526" s="153" t="str">
        <f ca="1">IFERROR(IF(VLOOKUP($A526,'Шаг2.Бланк заказа NEW'!$B$17:$N$201,11,0)="","",VLOOKUP($A526,'Шаг2.Бланк заказа NEW'!$B$17:$N$201,11,0)),
"Нет")</f>
        <v/>
      </c>
      <c r="O526" s="147" t="str">
        <f ca="1">IFERROR(IF(VLOOKUP($A526,'Шаг2.Бланк заказа NEW'!$B$17:$N$201,11,0)="","",VLOOKUP($A526,'Шаг2.Бланк заказа NEW'!$B$17:$N$201,12,0)),
"Нет")</f>
        <v/>
      </c>
      <c r="P526" s="153" t="str">
        <f ca="1">IFERROR(IF(VLOOKUP($A526,'Шаг2.Бланк заказа NEW'!$B$17:$N$201,13,0)="","",VLOOKUP($A526,'Шаг2.Бланк заказа NEW'!$B$17:$N$201,13,0)),
"Нет")</f>
        <v/>
      </c>
      <c r="Q526" s="147" t="str">
        <f ca="1">IFERROR(IF(VLOOKUP($A526,'Шаг2.Бланк заказа NEW'!$B$17:$O$201,14,0)="","",VLOOKUP($A526,'Шаг2.Бланк заказа NEW'!$B$17:$O$201,14,0)),"")</f>
        <v/>
      </c>
      <c r="R526" s="147" t="str">
        <f ca="1">IFERROR(IFERROR(IF(VLOOKUP($A526,'Шаг2.Бланк заказа NEW'!$B$17:$N$201,4,0)="","",VLOOKUP($A526,'Шаг2.Бланк заказа NEW'!$B$17:$N$201,4,0)),
IF(VLOOKUP($A526-COUNT('Шаг2.Бланк заказа NEW'!$B$19:$B$201),'Бланк OLD 0.8 04'!$B$12:$K$200,4,0)&gt;0,0.8,
IF(VLOOKUP($A526-COUNT('Шаг2.Бланк заказа NEW'!$B$19:$B$201),'Бланк OLD 0.8 04'!$B$12:$K$200,5,0)&gt;0,0.4,""))),
IF(VLOOKUP($A526-COUNT('Шаг2.Бланк заказа NEW'!$B$19:$B$201)-COUNT('Бланк OLD 0.8 04'!$B$18:$B$200),'Бланк OLD 2.0 04 '!$B$16:$K$200,4,0)&gt;0,2,IF(VLOOKUP($A526-COUNT('Шаг2.Бланк заказа NEW'!$B$19:$B$201)-COUNT('Бланк OLD 0.8 04'!$B$18:$B$200),'Бланк OLD 2.0 04 '!$B$16:$K$200,5,0)&gt;0,0.4,"")))</f>
        <v/>
      </c>
      <c r="S526" s="147" t="str">
        <f ca="1">IFERROR(IFERROR(IF(VLOOKUP($A526,'Шаг2.Бланк заказа NEW'!$B$17:$N$201,5,0)="","",VLOOKUP($A526,'Шаг2.Бланк заказа NEW'!$B$17:$N$201,5,0)),
IF(VLOOKUP($A526-COUNT('Шаг2.Бланк заказа NEW'!$B$19:$B$201),'Бланк OLD 0.8 04'!$B$12:$K$200,4,0)&gt;1,0.8,
IF(VLOOKUP($A526-COUNT('Шаг2.Бланк заказа NEW'!$B$19:$B$201),'Бланк OLD 0.8 04'!$B$12:$K$200,5,0)&gt;1,0.4,
IF(AND(VLOOKUP($A526-COUNT('Шаг2.Бланк заказа NEW'!$B$19:$B$201),'Бланк OLD 0.8 04'!$B$12:$K$200,4,0)&gt;0,VLOOKUP($A526-COUNT('Шаг2.Бланк заказа NEW'!$B$19:$B$201),'Бланк OLD 0.8 04'!$B$12:$K$200,5,0)&gt;0),0.4,"")))),
IF(VLOOKUP($A526-COUNT('Шаг2.Бланк заказа NEW'!$B$19:$B$201)-COUNT('Бланк OLD 0.8 04'!$B$18:$B$200),'Бланк OLD 2.0 04 '!$B$16:$K$200,4,0)&gt;1,2,
IF(VLOOKUP($A526-COUNT('Шаг2.Бланк заказа NEW'!$B$19:$B$201)-COUNT('Бланк OLD 0.8 04'!$B$18:$B$200),'Бланк OLD 2.0 04 '!$B$16:$K$200,5,0)&gt;1,0.4,IF(AND(VLOOKUP($A526-COUNT('Шаг2.Бланк заказа NEW'!$B$19:$B$201)-COUNT('Бланк OLD 0.8 04'!$B$18:$B$200),'Бланк OLD 2.0 04 '!$B$16:$K$200,4,0)&gt;0,VLOOKUP($A526-COUNT('Шаг2.Бланк заказа NEW'!$B$19:$B$201)-COUNT('Бланк OLD 0.8 04'!$B$18:$B$200),'Бланк OLD 2.0 04 '!$B$16:$K$200,5,0)&gt;0),0.4,""))))</f>
        <v/>
      </c>
      <c r="T526" s="147" t="str">
        <f ca="1">IFERROR(IFERROR(IF(VLOOKUP($A526,'Шаг2.Бланк заказа NEW'!$B$17:$N$201,7,0)="","",VLOOKUP($A526,'Шаг2.Бланк заказа NEW'!$B$17:$N$201,7,0)),
IF(VLOOKUP($A526-COUNT('Шаг2.Бланк заказа NEW'!$B$19:$B$201),'Бланк OLD 0.8 04'!$B$12:$K$200,7,0)&gt;0,0.8,
IF(VLOOKUP($A526-COUNT('Шаг2.Бланк заказа NEW'!$B$19:$B$201),'Бланк OLD 0.8 04'!$B$12:$K$200,8,0)&gt;0,0.4,""))),
IF(VLOOKUP($A526-COUNT('Шаг2.Бланк заказа NEW'!$B$19:$B$201)-COUNT('Бланк OLD 0.8 04'!$B$18:$B$200),'Бланк OLD 2.0 04 '!$B$16:$K$200,7,0)&gt;0,2,IF(VLOOKUP($A526-COUNT('Шаг2.Бланк заказа NEW'!$B$19:$B$201)-COUNT('Бланк OLD 0.8 04'!$B$18:$B$200),'Бланк OLD 2.0 04 '!$B$16:$K$200,8,0)&gt;0,0.4,"")))</f>
        <v/>
      </c>
      <c r="U526" s="147" t="str">
        <f ca="1">IFERROR(IFERROR(IF(VLOOKUP($A526,'Шаг2.Бланк заказа NEW'!$B$17:$N$201,8,0)="","",VLOOKUP($A526,'Шаг2.Бланк заказа NEW'!$B$17:$N$201,8,0)),
IF(VLOOKUP($A526-COUNT('Шаг2.Бланк заказа NEW'!$B$19:$B$201),'Бланк OLD 0.8 04'!$B$12:$K$200,7,0)&gt;1,0.8,
IF(VLOOKUP($A526-COUNT('Шаг2.Бланк заказа NEW'!$B$19:$B$201),'Бланк OLD 0.8 04'!$B$12:$K$200,8,0)&gt;1,0.4,
IF(AND(VLOOKUP($A526-COUNT('Шаг2.Бланк заказа NEW'!$B$19:$B$201),'Бланк OLD 0.8 04'!$B$12:$K$200,7,0)&gt;0,VLOOKUP($A526-COUNT('Шаг2.Бланк заказа NEW'!$B$19:$B$201),'Бланк OLD 0.8 04'!$B$12:$K$200,8,0)&gt;0),0.4,"")))),
IF(VLOOKUP($A526-COUNT('Шаг2.Бланк заказа NEW'!$B$19:$B$201)-COUNT('Бланк OLD 0.8 04'!$B$18:$B$200),'Бланк OLD 2.0 04 '!$B$16:$K$200,7,0)&gt;1,2,
IF(VLOOKUP($A526-COUNT('Шаг2.Бланк заказа NEW'!$B$19:$B$201)-COUNT('Бланк OLD 0.8 04'!$B$18:$B$200),'Бланк OLD 2.0 04 '!$B$16:$K$200,8,0)&gt;1,0.4,
IF(AND(VLOOKUP($A526-COUNT('Шаг2.Бланк заказа NEW'!$B$19:$B$201)-COUNT('Бланк OLD 0.8 04'!$B$18:$B$200),'Бланк OLD 2.0 04 '!$B$16:$K$200,7,0)&gt;0,VLOOKUP($A526-COUNT('Шаг2.Бланк заказа NEW'!$B$19:$B$201)-COUNT('Бланк OLD 0.8 04'!$B$18:$B$200),'Бланк OLD 2.0 04 '!$B$16:$K$200,8,0)&gt;0),0.4,""))))</f>
        <v/>
      </c>
      <c r="V526" s="146" t="str">
        <f ca="1">IFERROR(VLOOKUP(C526,'Шаг1.Выбор плиты'!C:S,12,0),"")</f>
        <v/>
      </c>
      <c r="W526" s="146" t="str">
        <f ca="1">IFERROR(VLOOKUP(C526,'Шаг1.Выбор плиты'!C:S,8,0),"")</f>
        <v/>
      </c>
      <c r="X526" s="146" t="str">
        <f ca="1">IFERROR(VLOOKUP(C526,'Шаг1.Выбор плиты'!C:S,10,0),"")</f>
        <v/>
      </c>
      <c r="Y526" s="147" t="str">
        <f t="shared" ca="1" si="51"/>
        <v/>
      </c>
      <c r="AD526" s="147" t="str">
        <f t="shared" ca="1" si="48"/>
        <v/>
      </c>
      <c r="AE526" s="147" t="str">
        <f t="shared" ca="1" si="52"/>
        <v/>
      </c>
      <c r="AF526" s="25"/>
      <c r="AH526" s="147" t="str">
        <f ca="1">IF(C526="","",VLOOKUP(C526,'Шаг1.Выбор плиты'!C:Q,7,0))</f>
        <v/>
      </c>
      <c r="AI526" s="147" t="str">
        <f t="shared" ca="1" si="50"/>
        <v/>
      </c>
    </row>
    <row r="527" spans="1:35" x14ac:dyDescent="0.2">
      <c r="A527" s="151" t="str">
        <f ca="1">IF(C527="","",MAX($A$1:OFFSET(C527,-1,0))+1)</f>
        <v/>
      </c>
      <c r="B527" s="151" t="str">
        <f ca="1">IFERROR(IFERROR(IFERROR("Шаг2.Бланк заказа NEW №"&amp;VLOOKUP(A526+1,CHOOSE({1,2},'Шаг2.Бланк заказа NEW'!$B$19:$B$201,'Шаг2.Бланк заказа NEW'!$A$19:$A$201),1,0),
"Бланк OLD 0.8 04 №"&amp;VLOOKUP(A526+1-COUNT('Шаг2.Бланк заказа NEW'!$B$19:$B$201),CHOOSE({1,2},'Бланк OLD 0.8 04'!$B$18:$B$200,'Бланк OLD 0.8 04'!$A$18:$A$200),1,0)),
"Бланк OLD 2.0 04 №"&amp;VLOOKUP(A526+1-COUNT('Шаг2.Бланк заказа NEW'!$B$19:$B$201)-COUNT('Бланк OLD 0.8 04'!$B$18:$B$200),CHOOSE({1,2},'Бланк OLD 2.0 04 '!$B$18:$B$200,'Бланк OLD 2.0 04 '!$A$18:$A$200),1,0)),"")</f>
        <v/>
      </c>
      <c r="C527" s="152" t="str">
        <f ca="1">IFERROR(IFERROR(IFERROR(VLOOKUP(A526+1,CHOOSE({1,2},'Шаг2.Бланк заказа NEW'!$B$19:$B$201,'Шаг2.Бланк заказа NEW'!$A$19:$A$201),2,0),
VLOOKUP(A526+1-COUNT('Шаг2.Бланк заказа NEW'!$B$19:$B$201),CHOOSE({1,2},'Бланк OLD 0.8 04'!$B$18:$B$200,'Бланк OLD 0.8 04'!$A$18:$A$200),2,0)),
VLOOKUP(A526+1-COUNT('Шаг2.Бланк заказа NEW'!$B$19:$B$201)-COUNT('Бланк OLD 0.8 04'!$B$18:$B$200),CHOOSE({1,2},'Бланк OLD 2.0 04 '!$B$18:$B$200,'Бланк OLD 2.0 04 '!$A$18:$A$200),2,0)),"")</f>
        <v/>
      </c>
      <c r="D527" s="150" t="str">
        <f ca="1">IFERROR(VLOOKUP(C527,'Шаг1.Выбор плиты'!C:G,5,0),"")</f>
        <v/>
      </c>
      <c r="E527" s="147" t="str">
        <f ca="1">IFERROR(IFERROR(IF(VLOOKUP($A527,'Шаг2.Бланк заказа NEW'!$B$17:$N$201,2,0)="","",VLOOKUP($A527,'Шаг2.Бланк заказа NEW'!$B$17:$N$201,2,0)),
IF(VLOOKUP($A527-COUNT('Шаг2.Бланк заказа NEW'!$B$19:$B$201),'Бланк OLD 0.8 04'!$B$12:$K$200,2,0)="","",VLOOKUP($A527-COUNT('Шаг2.Бланк заказа NEW'!$B$19:$B$201),'Бланк OLD 0.8 04'!$B$12:$K$200,2,0))),
IF(VLOOKUP($A527-COUNT('Шаг2.Бланк заказа NEW'!$B$19:$B$201)-COUNT('Бланк OLD 0.8 04'!$B$18:$B$200),'Бланк OLD 2.0 04 '!$B$16:$K$200,2,0)="","",VLOOKUP($A527-COUNT('Шаг2.Бланк заказа NEW'!$B$19:$B$201)-COUNT('Бланк OLD 0.8 04'!$B$18:$B$200),'Бланк OLD 2.0 04 '!$B$16:$K$200,2,0)))</f>
        <v/>
      </c>
      <c r="F527" s="147" t="str">
        <f ca="1">IFERROR(IFERROR(IF(VLOOKUP($A527,'Шаг2.Бланк заказа NEW'!$B$17:$N$201,3,0)="","",VLOOKUP($A527,'Шаг2.Бланк заказа NEW'!$B$17:$N$201,3,0)),
IF(VLOOKUP($A527-COUNT('Шаг2.Бланк заказа NEW'!$B$19:$B$201),'Бланк OLD 0.8 04'!$B$12:$K$200,3,0)="","",VLOOKUP($A527-COUNT('Шаг2.Бланк заказа NEW'!$B$19:$B$201),'Бланк OLD 0.8 04'!$B$12:$K$200,3,0))),
IF(VLOOKUP($A527-COUNT('Шаг2.Бланк заказа NEW'!$B$19:$B$201)-COUNT('Бланк OLD 0.8 04'!$B$18:$B$200),'Бланк OLD 2.0 04 '!$B$16:$K$200,3,0)="","",VLOOKUP($A527-COUNT('Шаг2.Бланк заказа NEW'!$B$19:$B$201)-COUNT('Бланк OLD 0.8 04'!$B$18:$B$200),'Бланк OLD 2.0 04 '!$B$16:$K$200,3,0)))</f>
        <v/>
      </c>
      <c r="G527" s="176" t="str">
        <f ca="1">IF(IF(R527="","",IF(R527=1,SUMIFS('Шаг1.Выбор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плиты'!C:Q,12,0)),1))))))=0,
R527,
IF(R527="","",IF(R527=1,SUMIFS('Шаг1.Выбор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плиты'!N:N,R527,'Шаг1.Выбор плиты'!M:M,SMALL(INDIRECT("мм"&amp;VLOOKUP(C527,'Шаг1.Выбор плиты'!C:Q,12,0)),1)))))))</f>
        <v/>
      </c>
      <c r="H527" s="177" t="str">
        <f ca="1">IF(IF(S527="","",IF(S527=1,SUMIFS('Шаг1.Выбор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плиты'!C:Q,12,0)),1))))))=0,
S527,
IF(S527="","",IF(S527=1,SUMIFS('Шаг1.Выбор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плиты'!N:N,S527,'Шаг1.Выбор плиты'!M:M,SMALL(INDIRECT("мм"&amp;VLOOKUP(C527,'Шаг1.Выбор плиты'!C:Q,12,0)),1)))))))</f>
        <v/>
      </c>
      <c r="I527" s="147" t="str">
        <f ca="1">IFERROR(IFERROR(IF(VLOOKUP($A527,'Шаг2.Бланк заказа NEW'!$B$17:$N$201,6,0)="","",VLOOKUP($A527,'Шаг2.Бланк заказа NEW'!$B$17:$N$201,6,0)),
IF(VLOOKUP($A527-COUNT('Шаг2.Бланк заказа NEW'!$B$19:$B$201),'Бланк OLD 0.8 04'!$B$12:$K$200,6,0)="","",VLOOKUP($A527-COUNT('Шаг2.Бланк заказа NEW'!$B$19:$B$201),'Бланк OLD 0.8 04'!$B$12:$K$200,6,0))),
IF(VLOOKUP($A527-COUNT('Шаг2.Бланк заказа NEW'!$B$19:$B$201)-COUNT('Бланк OLD 0.8 04'!$B$18:$B$200),'Бланк OLD 2.0 04 '!$B$16:$K$200,6,0)="","",VLOOKUP($A527-COUNT('Шаг2.Бланк заказа NEW'!$B$19:$B$201)-COUNT('Бланк OLD 0.8 04'!$B$18:$B$200),'Бланк OLD 2.0 04 '!$B$16:$K$200,6,0)))</f>
        <v/>
      </c>
      <c r="J527" s="177" t="str">
        <f ca="1">IF(IF(T527="","",IF(T527=1,SUMIFS('Шаг1.Выбор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плиты'!C:Q,12,0)),1))))))=0,
T527,
IF(T527="","",IF(T527=1,SUMIFS('Шаг1.Выбор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плиты'!N:N,T527,'Шаг1.Выбор плиты'!M:M,SMALL(INDIRECT("мм"&amp;VLOOKUP(C527,'Шаг1.Выбор плиты'!C:Q,12,0)),1)))))))</f>
        <v/>
      </c>
      <c r="K527" s="177" t="str">
        <f ca="1">IF(IF(U527="","",IF(U527=1,SUMIFS('Шаг1.Выбор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плиты'!C:Q,12,0)),1))))))=0,
U527,
IF(U527="","",IF(U527=1,SUMIFS('Шаг1.Выбор плиты'!$G:$G,'Шаг1.Выбор плиты'!J:J,"*"&amp;RIGHT(VLOOKUP(C527,'Шаг1.Выбор плиты'!C:Q,8,0),4),'Шаг1.Выбор плиты'!L:L,IF(MID(C527,1,6)="ЛДСП P","TM"&amp;MID(VLOOKUP(C527,'Шаг1.Выбор плиты'!C:Q,10,0),3,2),MID(VLOOKUP(C527,'Шаг1.Выбор плиты'!C:Q,10,0),1,2)),
'Шаг1.Выбор плиты'!N:N,1),IF(SUMIFS('Шаг1.Выбор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плиты'!C:Q,12,0)),1))=0,
IF(SUMIFS('Шаг1.Выбор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плиты'!C:Q,12,0)),2))=0,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плиты'!C:Q,12,0)),3)),
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плиты'!C:Q,12,0)),2))),
(SUMIFS('Шаг1.Выбор плиты'!$G:$G,'Шаг1.Выбор плиты'!J:J,"*"&amp;RIGHT(VLOOKUP(C527,'Шаг1.Выбор плиты'!C:Q,8,0),4),'Шаг1.Выбор плиты'!L:L,VLOOKUP(C527,'Шаг1.Выбор плиты'!C:Q,10,0),'Шаг1.Выбор плиты'!N:N,U527,'Шаг1.Выбор плиты'!M:M,SMALL(INDIRECT("мм"&amp;VLOOKUP(C527,'Шаг1.Выбор плиты'!C:Q,12,0)),1)))))))</f>
        <v/>
      </c>
      <c r="L527" s="147" t="str">
        <f ca="1">IFERROR(IFERROR(IF(VLOOKUP($A527,'Шаг2.Бланк заказа NEW'!$B$17:$N$201,9,0)="","",VLOOKUP($A527,'Шаг2.Бланк заказа NEW'!$B$17:$N$201,9,0)),
IF(VLOOKUP($A527-COUNT('Шаг2.Бланк заказа NEW'!$B$19:$B$201),'Бланк OLD 0.8 04'!$B$12:$K$200,9,0)="","",VLOOKUP($A527-COUNT('Шаг2.Бланк заказа NEW'!$B$19:$B$201),'Бланк OLD 0.8 04'!$B$12:$K$200,9,0))),
IF(VLOOKUP($A527-COUNT('Шаг2.Бланк заказа NEW'!$B$19:$B$201)-COUNT('Бланк OLD 0.8 04'!$B$18:$B$200),'Бланк OLD 2.0 04 '!$B$16:$K$200,9,0)="","",VLOOKUP($A527-COUNT('Шаг2.Бланк заказа NEW'!$B$19:$B$201)-COUNT('Бланк OLD 0.8 04'!$B$18:$B$200),'Бланк OLD 2.0 04 '!$B$16:$K$200,9,0)))</f>
        <v/>
      </c>
      <c r="M527" s="154" t="str">
        <f t="shared" ca="1" si="49"/>
        <v/>
      </c>
      <c r="N527" s="153" t="str">
        <f ca="1">IFERROR(IF(VLOOKUP($A527,'Шаг2.Бланк заказа NEW'!$B$17:$N$201,11,0)="","",VLOOKUP($A527,'Шаг2.Бланк заказа NEW'!$B$17:$N$201,11,0)),
"Нет")</f>
        <v/>
      </c>
      <c r="O527" s="147" t="str">
        <f ca="1">IFERROR(IF(VLOOKUP($A527,'Шаг2.Бланк заказа NEW'!$B$17:$N$201,11,0)="","",VLOOKUP($A527,'Шаг2.Бланк заказа NEW'!$B$17:$N$201,12,0)),
"Нет")</f>
        <v/>
      </c>
      <c r="P527" s="153" t="str">
        <f ca="1">IFERROR(IF(VLOOKUP($A527,'Шаг2.Бланк заказа NEW'!$B$17:$N$201,13,0)="","",VLOOKUP($A527,'Шаг2.Бланк заказа NEW'!$B$17:$N$201,13,0)),
"Нет")</f>
        <v/>
      </c>
      <c r="Q527" s="147" t="str">
        <f ca="1">IFERROR(IF(VLOOKUP($A527,'Шаг2.Бланк заказа NEW'!$B$17:$O$201,14,0)="","",VLOOKUP($A527,'Шаг2.Бланк заказа NEW'!$B$17:$O$201,14,0)),"")</f>
        <v/>
      </c>
      <c r="R527" s="147" t="str">
        <f ca="1">IFERROR(IFERROR(IF(VLOOKUP($A527,'Шаг2.Бланк заказа NEW'!$B$17:$N$201,4,0)="","",VLOOKUP($A527,'Шаг2.Бланк заказа NEW'!$B$17:$N$201,4,0)),
IF(VLOOKUP($A527-COUNT('Шаг2.Бланк заказа NEW'!$B$19:$B$201),'Бланк OLD 0.8 04'!$B$12:$K$200,4,0)&gt;0,0.8,
IF(VLOOKUP($A527-COUNT('Шаг2.Бланк заказа NEW'!$B$19:$B$201),'Бланк OLD 0.8 04'!$B$12:$K$200,5,0)&gt;0,0.4,""))),
IF(VLOOKUP($A527-COUNT('Шаг2.Бланк заказа NEW'!$B$19:$B$201)-COUNT('Бланк OLD 0.8 04'!$B$18:$B$200),'Бланк OLD 2.0 04 '!$B$16:$K$200,4,0)&gt;0,2,IF(VLOOKUP($A527-COUNT('Шаг2.Бланк заказа NEW'!$B$19:$B$201)-COUNT('Бланк OLD 0.8 04'!$B$18:$B$200),'Бланк OLD 2.0 04 '!$B$16:$K$200,5,0)&gt;0,0.4,"")))</f>
        <v/>
      </c>
      <c r="S527" s="147" t="str">
        <f ca="1">IFERROR(IFERROR(IF(VLOOKUP($A527,'Шаг2.Бланк заказа NEW'!$B$17:$N$201,5,0)="","",VLOOKUP($A527,'Шаг2.Бланк заказа NEW'!$B$17:$N$201,5,0)),
IF(VLOOKUP($A527-COUNT('Шаг2.Бланк заказа NEW'!$B$19:$B$201),'Бланк OLD 0.8 04'!$B$12:$K$200,4,0)&gt;1,0.8,
IF(VLOOKUP($A527-COUNT('Шаг2.Бланк заказа NEW'!$B$19:$B$201),'Бланк OLD 0.8 04'!$B$12:$K$200,5,0)&gt;1,0.4,
IF(AND(VLOOKUP($A527-COUNT('Шаг2.Бланк заказа NEW'!$B$19:$B$201),'Бланк OLD 0.8 04'!$B$12:$K$200,4,0)&gt;0,VLOOKUP($A527-COUNT('Шаг2.Бланк заказа NEW'!$B$19:$B$201),'Бланк OLD 0.8 04'!$B$12:$K$200,5,0)&gt;0),0.4,"")))),
IF(VLOOKUP($A527-COUNT('Шаг2.Бланк заказа NEW'!$B$19:$B$201)-COUNT('Бланк OLD 0.8 04'!$B$18:$B$200),'Бланк OLD 2.0 04 '!$B$16:$K$200,4,0)&gt;1,2,
IF(VLOOKUP($A527-COUNT('Шаг2.Бланк заказа NEW'!$B$19:$B$201)-COUNT('Бланк OLD 0.8 04'!$B$18:$B$200),'Бланк OLD 2.0 04 '!$B$16:$K$200,5,0)&gt;1,0.4,IF(AND(VLOOKUP($A527-COUNT('Шаг2.Бланк заказа NEW'!$B$19:$B$201)-COUNT('Бланк OLD 0.8 04'!$B$18:$B$200),'Бланк OLD 2.0 04 '!$B$16:$K$200,4,0)&gt;0,VLOOKUP($A527-COUNT('Шаг2.Бланк заказа NEW'!$B$19:$B$201)-COUNT('Бланк OLD 0.8 04'!$B$18:$B$200),'Бланк OLD 2.0 04 '!$B$16:$K$200,5,0)&gt;0),0.4,""))))</f>
        <v/>
      </c>
      <c r="T527" s="147" t="str">
        <f ca="1">IFERROR(IFERROR(IF(VLOOKUP($A527,'Шаг2.Бланк заказа NEW'!$B$17:$N$201,7,0)="","",VLOOKUP($A527,'Шаг2.Бланк заказа NEW'!$B$17:$N$201,7,0)),
IF(VLOOKUP($A527-COUNT('Шаг2.Бланк заказа NEW'!$B$19:$B$201),'Бланк OLD 0.8 04'!$B$12:$K$200,7,0)&gt;0,0.8,
IF(VLOOKUP($A527-COUNT('Шаг2.Бланк заказа NEW'!$B$19:$B$201),'Бланк OLD 0.8 04'!$B$12:$K$200,8,0)&gt;0,0.4,""))),
IF(VLOOKUP($A527-COUNT('Шаг2.Бланк заказа NEW'!$B$19:$B$201)-COUNT('Бланк OLD 0.8 04'!$B$18:$B$200),'Бланк OLD 2.0 04 '!$B$16:$K$200,7,0)&gt;0,2,IF(VLOOKUP($A527-COUNT('Шаг2.Бланк заказа NEW'!$B$19:$B$201)-COUNT('Бланк OLD 0.8 04'!$B$18:$B$200),'Бланк OLD 2.0 04 '!$B$16:$K$200,8,0)&gt;0,0.4,"")))</f>
        <v/>
      </c>
      <c r="U527" s="147" t="str">
        <f ca="1">IFERROR(IFERROR(IF(VLOOKUP($A527,'Шаг2.Бланк заказа NEW'!$B$17:$N$201,8,0)="","",VLOOKUP($A527,'Шаг2.Бланк заказа NEW'!$B$17:$N$201,8,0)),
IF(VLOOKUP($A527-COUNT('Шаг2.Бланк заказа NEW'!$B$19:$B$201),'Бланк OLD 0.8 04'!$B$12:$K$200,7,0)&gt;1,0.8,
IF(VLOOKUP($A527-COUNT('Шаг2.Бланк заказа NEW'!$B$19:$B$201),'Бланк OLD 0.8 04'!$B$12:$K$200,8,0)&gt;1,0.4,
IF(AND(VLOOKUP($A527-COUNT('Шаг2.Бланк заказа NEW'!$B$19:$B$201),'Бланк OLD 0.8 04'!$B$12:$K$200,7,0)&gt;0,VLOOKUP($A527-COUNT('Шаг2.Бланк заказа NEW'!$B$19:$B$201),'Бланк OLD 0.8 04'!$B$12:$K$200,8,0)&gt;0),0.4,"")))),
IF(VLOOKUP($A527-COUNT('Шаг2.Бланк заказа NEW'!$B$19:$B$201)-COUNT('Бланк OLD 0.8 04'!$B$18:$B$200),'Бланк OLD 2.0 04 '!$B$16:$K$200,7,0)&gt;1,2,
IF(VLOOKUP($A527-COUNT('Шаг2.Бланк заказа NEW'!$B$19:$B$201)-COUNT('Бланк OLD 0.8 04'!$B$18:$B$200),'Бланк OLD 2.0 04 '!$B$16:$K$200,8,0)&gt;1,0.4,
IF(AND(VLOOKUP($A527-COUNT('Шаг2.Бланк заказа NEW'!$B$19:$B$201)-COUNT('Бланк OLD 0.8 04'!$B$18:$B$200),'Бланк OLD 2.0 04 '!$B$16:$K$200,7,0)&gt;0,VLOOKUP($A527-COUNT('Шаг2.Бланк заказа NEW'!$B$19:$B$201)-COUNT('Бланк OLD 0.8 04'!$B$18:$B$200),'Бланк OLD 2.0 04 '!$B$16:$K$200,8,0)&gt;0),0.4,""))))</f>
        <v/>
      </c>
      <c r="V527" s="146" t="str">
        <f ca="1">IFERROR(VLOOKUP(C527,'Шаг1.Выбор плиты'!C:S,12,0),"")</f>
        <v/>
      </c>
      <c r="W527" s="146" t="str">
        <f ca="1">IFERROR(VLOOKUP(C527,'Шаг1.Выбор плиты'!C:S,8,0),"")</f>
        <v/>
      </c>
      <c r="X527" s="146" t="str">
        <f ca="1">IFERROR(VLOOKUP(C527,'Шаг1.Выбор плиты'!C:S,10,0),"")</f>
        <v/>
      </c>
      <c r="Y527" s="147" t="str">
        <f t="shared" ca="1" si="51"/>
        <v/>
      </c>
      <c r="AD527" s="147" t="str">
        <f t="shared" ca="1" si="48"/>
        <v/>
      </c>
      <c r="AE527" s="147" t="str">
        <f t="shared" ca="1" si="52"/>
        <v/>
      </c>
      <c r="AF527" s="25"/>
      <c r="AH527" s="147" t="str">
        <f ca="1">IF(C527="","",VLOOKUP(C527,'Шаг1.Выбор плиты'!C:Q,7,0))</f>
        <v/>
      </c>
      <c r="AI527" s="147" t="str">
        <f t="shared" ca="1" si="50"/>
        <v/>
      </c>
    </row>
    <row r="528" spans="1:35" x14ac:dyDescent="0.2">
      <c r="A528" s="151" t="str">
        <f ca="1">IF(C528="","",MAX($A$1:OFFSET(C528,-1,0))+1)</f>
        <v/>
      </c>
      <c r="B528" s="151" t="str">
        <f ca="1">IFERROR(IFERROR(IFERROR("Шаг2.Бланк заказа NEW №"&amp;VLOOKUP(A527+1,CHOOSE({1,2},'Шаг2.Бланк заказа NEW'!$B$19:$B$201,'Шаг2.Бланк заказа NEW'!$A$19:$A$201),1,0),
"Бланк OLD 0.8 04 №"&amp;VLOOKUP(A527+1-COUNT('Шаг2.Бланк заказа NEW'!$B$19:$B$201),CHOOSE({1,2},'Бланк OLD 0.8 04'!$B$18:$B$200,'Бланк OLD 0.8 04'!$A$18:$A$200),1,0)),
"Бланк OLD 2.0 04 №"&amp;VLOOKUP(A527+1-COUNT('Шаг2.Бланк заказа NEW'!$B$19:$B$201)-COUNT('Бланк OLD 0.8 04'!$B$18:$B$200),CHOOSE({1,2},'Бланк OLD 2.0 04 '!$B$18:$B$200,'Бланк OLD 2.0 04 '!$A$18:$A$200),1,0)),"")</f>
        <v/>
      </c>
      <c r="C528" s="152" t="str">
        <f ca="1">IFERROR(IFERROR(IFERROR(VLOOKUP(A527+1,CHOOSE({1,2},'Шаг2.Бланк заказа NEW'!$B$19:$B$201,'Шаг2.Бланк заказа NEW'!$A$19:$A$201),2,0),
VLOOKUP(A527+1-COUNT('Шаг2.Бланк заказа NEW'!$B$19:$B$201),CHOOSE({1,2},'Бланк OLD 0.8 04'!$B$18:$B$200,'Бланк OLD 0.8 04'!$A$18:$A$200),2,0)),
VLOOKUP(A527+1-COUNT('Шаг2.Бланк заказа NEW'!$B$19:$B$201)-COUNT('Бланк OLD 0.8 04'!$B$18:$B$200),CHOOSE({1,2},'Бланк OLD 2.0 04 '!$B$18:$B$200,'Бланк OLD 2.0 04 '!$A$18:$A$200),2,0)),"")</f>
        <v/>
      </c>
      <c r="D528" s="150" t="str">
        <f ca="1">IFERROR(VLOOKUP(C528,'Шаг1.Выбор плиты'!C:G,5,0),"")</f>
        <v/>
      </c>
      <c r="E528" s="147" t="str">
        <f ca="1">IFERROR(IFERROR(IF(VLOOKUP($A528,'Шаг2.Бланк заказа NEW'!$B$17:$N$201,2,0)="","",VLOOKUP($A528,'Шаг2.Бланк заказа NEW'!$B$17:$N$201,2,0)),
IF(VLOOKUP($A528-COUNT('Шаг2.Бланк заказа NEW'!$B$19:$B$201),'Бланк OLD 0.8 04'!$B$12:$K$200,2,0)="","",VLOOKUP($A528-COUNT('Шаг2.Бланк заказа NEW'!$B$19:$B$201),'Бланк OLD 0.8 04'!$B$12:$K$200,2,0))),
IF(VLOOKUP($A528-COUNT('Шаг2.Бланк заказа NEW'!$B$19:$B$201)-COUNT('Бланк OLD 0.8 04'!$B$18:$B$200),'Бланк OLD 2.0 04 '!$B$16:$K$200,2,0)="","",VLOOKUP($A528-COUNT('Шаг2.Бланк заказа NEW'!$B$19:$B$201)-COUNT('Бланк OLD 0.8 04'!$B$18:$B$200),'Бланк OLD 2.0 04 '!$B$16:$K$200,2,0)))</f>
        <v/>
      </c>
      <c r="F528" s="147" t="str">
        <f ca="1">IFERROR(IFERROR(IF(VLOOKUP($A528,'Шаг2.Бланк заказа NEW'!$B$17:$N$201,3,0)="","",VLOOKUP($A528,'Шаг2.Бланк заказа NEW'!$B$17:$N$201,3,0)),
IF(VLOOKUP($A528-COUNT('Шаг2.Бланк заказа NEW'!$B$19:$B$201),'Бланк OLD 0.8 04'!$B$12:$K$200,3,0)="","",VLOOKUP($A528-COUNT('Шаг2.Бланк заказа NEW'!$B$19:$B$201),'Бланк OLD 0.8 04'!$B$12:$K$200,3,0))),
IF(VLOOKUP($A528-COUNT('Шаг2.Бланк заказа NEW'!$B$19:$B$201)-COUNT('Бланк OLD 0.8 04'!$B$18:$B$200),'Бланк OLD 2.0 04 '!$B$16:$K$200,3,0)="","",VLOOKUP($A528-COUNT('Шаг2.Бланк заказа NEW'!$B$19:$B$201)-COUNT('Бланк OLD 0.8 04'!$B$18:$B$200),'Бланк OLD 2.0 04 '!$B$16:$K$200,3,0)))</f>
        <v/>
      </c>
      <c r="G528" s="176" t="str">
        <f ca="1">IF(IF(R528="","",IF(R528=1,SUMIFS('Шаг1.Выбор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плиты'!C:Q,12,0)),1))))))=0,
R528,
IF(R528="","",IF(R528=1,SUMIFS('Шаг1.Выбор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плиты'!N:N,R528,'Шаг1.Выбор плиты'!M:M,SMALL(INDIRECT("мм"&amp;VLOOKUP(C528,'Шаг1.Выбор плиты'!C:Q,12,0)),1)))))))</f>
        <v/>
      </c>
      <c r="H528" s="177" t="str">
        <f ca="1">IF(IF(S528="","",IF(S528=1,SUMIFS('Шаг1.Выбор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плиты'!C:Q,12,0)),1))))))=0,
S528,
IF(S528="","",IF(S528=1,SUMIFS('Шаг1.Выбор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плиты'!N:N,S528,'Шаг1.Выбор плиты'!M:M,SMALL(INDIRECT("мм"&amp;VLOOKUP(C528,'Шаг1.Выбор плиты'!C:Q,12,0)),1)))))))</f>
        <v/>
      </c>
      <c r="I528" s="147" t="str">
        <f ca="1">IFERROR(IFERROR(IF(VLOOKUP($A528,'Шаг2.Бланк заказа NEW'!$B$17:$N$201,6,0)="","",VLOOKUP($A528,'Шаг2.Бланк заказа NEW'!$B$17:$N$201,6,0)),
IF(VLOOKUP($A528-COUNT('Шаг2.Бланк заказа NEW'!$B$19:$B$201),'Бланк OLD 0.8 04'!$B$12:$K$200,6,0)="","",VLOOKUP($A528-COUNT('Шаг2.Бланк заказа NEW'!$B$19:$B$201),'Бланк OLD 0.8 04'!$B$12:$K$200,6,0))),
IF(VLOOKUP($A528-COUNT('Шаг2.Бланк заказа NEW'!$B$19:$B$201)-COUNT('Бланк OLD 0.8 04'!$B$18:$B$200),'Бланк OLD 2.0 04 '!$B$16:$K$200,6,0)="","",VLOOKUP($A528-COUNT('Шаг2.Бланк заказа NEW'!$B$19:$B$201)-COUNT('Бланк OLD 0.8 04'!$B$18:$B$200),'Бланк OLD 2.0 04 '!$B$16:$K$200,6,0)))</f>
        <v/>
      </c>
      <c r="J528" s="177" t="str">
        <f ca="1">IF(IF(T528="","",IF(T528=1,SUMIFS('Шаг1.Выбор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плиты'!C:Q,12,0)),1))))))=0,
T528,
IF(T528="","",IF(T528=1,SUMIFS('Шаг1.Выбор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плиты'!N:N,T528,'Шаг1.Выбор плиты'!M:M,SMALL(INDIRECT("мм"&amp;VLOOKUP(C528,'Шаг1.Выбор плиты'!C:Q,12,0)),1)))))))</f>
        <v/>
      </c>
      <c r="K528" s="177" t="str">
        <f ca="1">IF(IF(U528="","",IF(U528=1,SUMIFS('Шаг1.Выбор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плиты'!C:Q,12,0)),1))))))=0,
U528,
IF(U528="","",IF(U528=1,SUMIFS('Шаг1.Выбор плиты'!$G:$G,'Шаг1.Выбор плиты'!J:J,"*"&amp;RIGHT(VLOOKUP(C528,'Шаг1.Выбор плиты'!C:Q,8,0),4),'Шаг1.Выбор плиты'!L:L,IF(MID(C528,1,6)="ЛДСП P","TM"&amp;MID(VLOOKUP(C528,'Шаг1.Выбор плиты'!C:Q,10,0),3,2),MID(VLOOKUP(C528,'Шаг1.Выбор плиты'!C:Q,10,0),1,2)),
'Шаг1.Выбор плиты'!N:N,1),IF(SUMIFS('Шаг1.Выбор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плиты'!C:Q,12,0)),1))=0,
IF(SUMIFS('Шаг1.Выбор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плиты'!C:Q,12,0)),2))=0,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плиты'!C:Q,12,0)),3)),
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плиты'!C:Q,12,0)),2))),
(SUMIFS('Шаг1.Выбор плиты'!$G:$G,'Шаг1.Выбор плиты'!J:J,"*"&amp;RIGHT(VLOOKUP(C528,'Шаг1.Выбор плиты'!C:Q,8,0),4),'Шаг1.Выбор плиты'!L:L,VLOOKUP(C528,'Шаг1.Выбор плиты'!C:Q,10,0),'Шаг1.Выбор плиты'!N:N,U528,'Шаг1.Выбор плиты'!M:M,SMALL(INDIRECT("мм"&amp;VLOOKUP(C528,'Шаг1.Выбор плиты'!C:Q,12,0)),1)))))))</f>
        <v/>
      </c>
      <c r="L528" s="147" t="str">
        <f ca="1">IFERROR(IFERROR(IF(VLOOKUP($A528,'Шаг2.Бланк заказа NEW'!$B$17:$N$201,9,0)="","",VLOOKUP($A528,'Шаг2.Бланк заказа NEW'!$B$17:$N$201,9,0)),
IF(VLOOKUP($A528-COUNT('Шаг2.Бланк заказа NEW'!$B$19:$B$201),'Бланк OLD 0.8 04'!$B$12:$K$200,9,0)="","",VLOOKUP($A528-COUNT('Шаг2.Бланк заказа NEW'!$B$19:$B$201),'Бланк OLD 0.8 04'!$B$12:$K$200,9,0))),
IF(VLOOKUP($A528-COUNT('Шаг2.Бланк заказа NEW'!$B$19:$B$201)-COUNT('Бланк OLD 0.8 04'!$B$18:$B$200),'Бланк OLD 2.0 04 '!$B$16:$K$200,9,0)="","",VLOOKUP($A528-COUNT('Шаг2.Бланк заказа NEW'!$B$19:$B$201)-COUNT('Бланк OLD 0.8 04'!$B$18:$B$200),'Бланк OLD 2.0 04 '!$B$16:$K$200,9,0)))</f>
        <v/>
      </c>
      <c r="M528" s="154" t="str">
        <f t="shared" ca="1" si="49"/>
        <v/>
      </c>
      <c r="N528" s="153" t="str">
        <f ca="1">IFERROR(IF(VLOOKUP($A528,'Шаг2.Бланк заказа NEW'!$B$17:$N$201,11,0)="","",VLOOKUP($A528,'Шаг2.Бланк заказа NEW'!$B$17:$N$201,11,0)),
"Нет")</f>
        <v/>
      </c>
      <c r="O528" s="147" t="str">
        <f ca="1">IFERROR(IF(VLOOKUP($A528,'Шаг2.Бланк заказа NEW'!$B$17:$N$201,11,0)="","",VLOOKUP($A528,'Шаг2.Бланк заказа NEW'!$B$17:$N$201,12,0)),
"Нет")</f>
        <v/>
      </c>
      <c r="P528" s="153" t="str">
        <f ca="1">IFERROR(IF(VLOOKUP($A528,'Шаг2.Бланк заказа NEW'!$B$17:$N$201,13,0)="","",VLOOKUP($A528,'Шаг2.Бланк заказа NEW'!$B$17:$N$201,13,0)),
"Нет")</f>
        <v/>
      </c>
      <c r="Q528" s="147" t="str">
        <f ca="1">IFERROR(IF(VLOOKUP($A528,'Шаг2.Бланк заказа NEW'!$B$17:$O$201,14,0)="","",VLOOKUP($A528,'Шаг2.Бланк заказа NEW'!$B$17:$O$201,14,0)),"")</f>
        <v/>
      </c>
      <c r="R528" s="147" t="str">
        <f ca="1">IFERROR(IFERROR(IF(VLOOKUP($A528,'Шаг2.Бланк заказа NEW'!$B$17:$N$201,4,0)="","",VLOOKUP($A528,'Шаг2.Бланк заказа NEW'!$B$17:$N$201,4,0)),
IF(VLOOKUP($A528-COUNT('Шаг2.Бланк заказа NEW'!$B$19:$B$201),'Бланк OLD 0.8 04'!$B$12:$K$200,4,0)&gt;0,0.8,
IF(VLOOKUP($A528-COUNT('Шаг2.Бланк заказа NEW'!$B$19:$B$201),'Бланк OLD 0.8 04'!$B$12:$K$200,5,0)&gt;0,0.4,""))),
IF(VLOOKUP($A528-COUNT('Шаг2.Бланк заказа NEW'!$B$19:$B$201)-COUNT('Бланк OLD 0.8 04'!$B$18:$B$200),'Бланк OLD 2.0 04 '!$B$16:$K$200,4,0)&gt;0,2,IF(VLOOKUP($A528-COUNT('Шаг2.Бланк заказа NEW'!$B$19:$B$201)-COUNT('Бланк OLD 0.8 04'!$B$18:$B$200),'Бланк OLD 2.0 04 '!$B$16:$K$200,5,0)&gt;0,0.4,"")))</f>
        <v/>
      </c>
      <c r="S528" s="147" t="str">
        <f ca="1">IFERROR(IFERROR(IF(VLOOKUP($A528,'Шаг2.Бланк заказа NEW'!$B$17:$N$201,5,0)="","",VLOOKUP($A528,'Шаг2.Бланк заказа NEW'!$B$17:$N$201,5,0)),
IF(VLOOKUP($A528-COUNT('Шаг2.Бланк заказа NEW'!$B$19:$B$201),'Бланк OLD 0.8 04'!$B$12:$K$200,4,0)&gt;1,0.8,
IF(VLOOKUP($A528-COUNT('Шаг2.Бланк заказа NEW'!$B$19:$B$201),'Бланк OLD 0.8 04'!$B$12:$K$200,5,0)&gt;1,0.4,
IF(AND(VLOOKUP($A528-COUNT('Шаг2.Бланк заказа NEW'!$B$19:$B$201),'Бланк OLD 0.8 04'!$B$12:$K$200,4,0)&gt;0,VLOOKUP($A528-COUNT('Шаг2.Бланк заказа NEW'!$B$19:$B$201),'Бланк OLD 0.8 04'!$B$12:$K$200,5,0)&gt;0),0.4,"")))),
IF(VLOOKUP($A528-COUNT('Шаг2.Бланк заказа NEW'!$B$19:$B$201)-COUNT('Бланк OLD 0.8 04'!$B$18:$B$200),'Бланк OLD 2.0 04 '!$B$16:$K$200,4,0)&gt;1,2,
IF(VLOOKUP($A528-COUNT('Шаг2.Бланк заказа NEW'!$B$19:$B$201)-COUNT('Бланк OLD 0.8 04'!$B$18:$B$200),'Бланк OLD 2.0 04 '!$B$16:$K$200,5,0)&gt;1,0.4,IF(AND(VLOOKUP($A528-COUNT('Шаг2.Бланк заказа NEW'!$B$19:$B$201)-COUNT('Бланк OLD 0.8 04'!$B$18:$B$200),'Бланк OLD 2.0 04 '!$B$16:$K$200,4,0)&gt;0,VLOOKUP($A528-COUNT('Шаг2.Бланк заказа NEW'!$B$19:$B$201)-COUNT('Бланк OLD 0.8 04'!$B$18:$B$200),'Бланк OLD 2.0 04 '!$B$16:$K$200,5,0)&gt;0),0.4,""))))</f>
        <v/>
      </c>
      <c r="T528" s="147" t="str">
        <f ca="1">IFERROR(IFERROR(IF(VLOOKUP($A528,'Шаг2.Бланк заказа NEW'!$B$17:$N$201,7,0)="","",VLOOKUP($A528,'Шаг2.Бланк заказа NEW'!$B$17:$N$201,7,0)),
IF(VLOOKUP($A528-COUNT('Шаг2.Бланк заказа NEW'!$B$19:$B$201),'Бланк OLD 0.8 04'!$B$12:$K$200,7,0)&gt;0,0.8,
IF(VLOOKUP($A528-COUNT('Шаг2.Бланк заказа NEW'!$B$19:$B$201),'Бланк OLD 0.8 04'!$B$12:$K$200,8,0)&gt;0,0.4,""))),
IF(VLOOKUP($A528-COUNT('Шаг2.Бланк заказа NEW'!$B$19:$B$201)-COUNT('Бланк OLD 0.8 04'!$B$18:$B$200),'Бланк OLD 2.0 04 '!$B$16:$K$200,7,0)&gt;0,2,IF(VLOOKUP($A528-COUNT('Шаг2.Бланк заказа NEW'!$B$19:$B$201)-COUNT('Бланк OLD 0.8 04'!$B$18:$B$200),'Бланк OLD 2.0 04 '!$B$16:$K$200,8,0)&gt;0,0.4,"")))</f>
        <v/>
      </c>
      <c r="U528" s="147" t="str">
        <f ca="1">IFERROR(IFERROR(IF(VLOOKUP($A528,'Шаг2.Бланк заказа NEW'!$B$17:$N$201,8,0)="","",VLOOKUP($A528,'Шаг2.Бланк заказа NEW'!$B$17:$N$201,8,0)),
IF(VLOOKUP($A528-COUNT('Шаг2.Бланк заказа NEW'!$B$19:$B$201),'Бланк OLD 0.8 04'!$B$12:$K$200,7,0)&gt;1,0.8,
IF(VLOOKUP($A528-COUNT('Шаг2.Бланк заказа NEW'!$B$19:$B$201),'Бланк OLD 0.8 04'!$B$12:$K$200,8,0)&gt;1,0.4,
IF(AND(VLOOKUP($A528-COUNT('Шаг2.Бланк заказа NEW'!$B$19:$B$201),'Бланк OLD 0.8 04'!$B$12:$K$200,7,0)&gt;0,VLOOKUP($A528-COUNT('Шаг2.Бланк заказа NEW'!$B$19:$B$201),'Бланк OLD 0.8 04'!$B$12:$K$200,8,0)&gt;0),0.4,"")))),
IF(VLOOKUP($A528-COUNT('Шаг2.Бланк заказа NEW'!$B$19:$B$201)-COUNT('Бланк OLD 0.8 04'!$B$18:$B$200),'Бланк OLD 2.0 04 '!$B$16:$K$200,7,0)&gt;1,2,
IF(VLOOKUP($A528-COUNT('Шаг2.Бланк заказа NEW'!$B$19:$B$201)-COUNT('Бланк OLD 0.8 04'!$B$18:$B$200),'Бланк OLD 2.0 04 '!$B$16:$K$200,8,0)&gt;1,0.4,
IF(AND(VLOOKUP($A528-COUNT('Шаг2.Бланк заказа NEW'!$B$19:$B$201)-COUNT('Бланк OLD 0.8 04'!$B$18:$B$200),'Бланк OLD 2.0 04 '!$B$16:$K$200,7,0)&gt;0,VLOOKUP($A528-COUNT('Шаг2.Бланк заказа NEW'!$B$19:$B$201)-COUNT('Бланк OLD 0.8 04'!$B$18:$B$200),'Бланк OLD 2.0 04 '!$B$16:$K$200,8,0)&gt;0),0.4,""))))</f>
        <v/>
      </c>
      <c r="V528" s="146" t="str">
        <f ca="1">IFERROR(VLOOKUP(C528,'Шаг1.Выбор плиты'!C:S,12,0),"")</f>
        <v/>
      </c>
      <c r="W528" s="146" t="str">
        <f ca="1">IFERROR(VLOOKUP(C528,'Шаг1.Выбор плиты'!C:S,8,0),"")</f>
        <v/>
      </c>
      <c r="X528" s="146" t="str">
        <f ca="1">IFERROR(VLOOKUP(C528,'Шаг1.Выбор плиты'!C:S,10,0),"")</f>
        <v/>
      </c>
      <c r="Y528" s="147" t="str">
        <f t="shared" ca="1" si="51"/>
        <v/>
      </c>
      <c r="AD528" s="147" t="str">
        <f t="shared" ca="1" si="48"/>
        <v/>
      </c>
      <c r="AE528" s="147" t="str">
        <f t="shared" ca="1" si="52"/>
        <v/>
      </c>
      <c r="AF528" s="25"/>
      <c r="AH528" s="147" t="str">
        <f ca="1">IF(C528="","",VLOOKUP(C528,'Шаг1.Выбор плиты'!C:Q,7,0))</f>
        <v/>
      </c>
      <c r="AI528" s="147" t="str">
        <f t="shared" ca="1" si="50"/>
        <v/>
      </c>
    </row>
    <row r="529" spans="1:35" x14ac:dyDescent="0.2">
      <c r="A529" s="151" t="str">
        <f ca="1">IF(C529="","",MAX($A$1:OFFSET(C529,-1,0))+1)</f>
        <v/>
      </c>
      <c r="B529" s="151" t="str">
        <f ca="1">IFERROR(IFERROR(IFERROR("Шаг2.Бланк заказа NEW №"&amp;VLOOKUP(A528+1,CHOOSE({1,2},'Шаг2.Бланк заказа NEW'!$B$19:$B$201,'Шаг2.Бланк заказа NEW'!$A$19:$A$201),1,0),
"Бланк OLD 0.8 04 №"&amp;VLOOKUP(A528+1-COUNT('Шаг2.Бланк заказа NEW'!$B$19:$B$201),CHOOSE({1,2},'Бланк OLD 0.8 04'!$B$18:$B$200,'Бланк OLD 0.8 04'!$A$18:$A$200),1,0)),
"Бланк OLD 2.0 04 №"&amp;VLOOKUP(A528+1-COUNT('Шаг2.Бланк заказа NEW'!$B$19:$B$201)-COUNT('Бланк OLD 0.8 04'!$B$18:$B$200),CHOOSE({1,2},'Бланк OLD 2.0 04 '!$B$18:$B$200,'Бланк OLD 2.0 04 '!$A$18:$A$200),1,0)),"")</f>
        <v/>
      </c>
      <c r="C529" s="152" t="str">
        <f ca="1">IFERROR(IFERROR(IFERROR(VLOOKUP(A528+1,CHOOSE({1,2},'Шаг2.Бланк заказа NEW'!$B$19:$B$201,'Шаг2.Бланк заказа NEW'!$A$19:$A$201),2,0),
VLOOKUP(A528+1-COUNT('Шаг2.Бланк заказа NEW'!$B$19:$B$201),CHOOSE({1,2},'Бланк OLD 0.8 04'!$B$18:$B$200,'Бланк OLD 0.8 04'!$A$18:$A$200),2,0)),
VLOOKUP(A528+1-COUNT('Шаг2.Бланк заказа NEW'!$B$19:$B$201)-COUNT('Бланк OLD 0.8 04'!$B$18:$B$200),CHOOSE({1,2},'Бланк OLD 2.0 04 '!$B$18:$B$200,'Бланк OLD 2.0 04 '!$A$18:$A$200),2,0)),"")</f>
        <v/>
      </c>
      <c r="D529" s="150" t="str">
        <f ca="1">IFERROR(VLOOKUP(C529,'Шаг1.Выбор плиты'!C:G,5,0),"")</f>
        <v/>
      </c>
      <c r="E529" s="147" t="str">
        <f ca="1">IFERROR(IFERROR(IF(VLOOKUP($A529,'Шаг2.Бланк заказа NEW'!$B$17:$N$201,2,0)="","",VLOOKUP($A529,'Шаг2.Бланк заказа NEW'!$B$17:$N$201,2,0)),
IF(VLOOKUP($A529-COUNT('Шаг2.Бланк заказа NEW'!$B$19:$B$201),'Бланк OLD 0.8 04'!$B$12:$K$200,2,0)="","",VLOOKUP($A529-COUNT('Шаг2.Бланк заказа NEW'!$B$19:$B$201),'Бланк OLD 0.8 04'!$B$12:$K$200,2,0))),
IF(VLOOKUP($A529-COUNT('Шаг2.Бланк заказа NEW'!$B$19:$B$201)-COUNT('Бланк OLD 0.8 04'!$B$18:$B$200),'Бланк OLD 2.0 04 '!$B$16:$K$200,2,0)="","",VLOOKUP($A529-COUNT('Шаг2.Бланк заказа NEW'!$B$19:$B$201)-COUNT('Бланк OLD 0.8 04'!$B$18:$B$200),'Бланк OLD 2.0 04 '!$B$16:$K$200,2,0)))</f>
        <v/>
      </c>
      <c r="F529" s="147" t="str">
        <f ca="1">IFERROR(IFERROR(IF(VLOOKUP($A529,'Шаг2.Бланк заказа NEW'!$B$17:$N$201,3,0)="","",VLOOKUP($A529,'Шаг2.Бланк заказа NEW'!$B$17:$N$201,3,0)),
IF(VLOOKUP($A529-COUNT('Шаг2.Бланк заказа NEW'!$B$19:$B$201),'Бланк OLD 0.8 04'!$B$12:$K$200,3,0)="","",VLOOKUP($A529-COUNT('Шаг2.Бланк заказа NEW'!$B$19:$B$201),'Бланк OLD 0.8 04'!$B$12:$K$200,3,0))),
IF(VLOOKUP($A529-COUNT('Шаг2.Бланк заказа NEW'!$B$19:$B$201)-COUNT('Бланк OLD 0.8 04'!$B$18:$B$200),'Бланк OLD 2.0 04 '!$B$16:$K$200,3,0)="","",VLOOKUP($A529-COUNT('Шаг2.Бланк заказа NEW'!$B$19:$B$201)-COUNT('Бланк OLD 0.8 04'!$B$18:$B$200),'Бланк OLD 2.0 04 '!$B$16:$K$200,3,0)))</f>
        <v/>
      </c>
      <c r="G529" s="176" t="str">
        <f ca="1">IF(IF(R529="","",IF(R529=1,SUMIFS('Шаг1.Выбор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плиты'!C:Q,12,0)),1))))))=0,
R529,
IF(R529="","",IF(R529=1,SUMIFS('Шаг1.Выбор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плиты'!N:N,R529,'Шаг1.Выбор плиты'!M:M,SMALL(INDIRECT("мм"&amp;VLOOKUP(C529,'Шаг1.Выбор плиты'!C:Q,12,0)),1)))))))</f>
        <v/>
      </c>
      <c r="H529" s="177" t="str">
        <f ca="1">IF(IF(S529="","",IF(S529=1,SUMIFS('Шаг1.Выбор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плиты'!C:Q,12,0)),1))))))=0,
S529,
IF(S529="","",IF(S529=1,SUMIFS('Шаг1.Выбор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плиты'!N:N,S529,'Шаг1.Выбор плиты'!M:M,SMALL(INDIRECT("мм"&amp;VLOOKUP(C529,'Шаг1.Выбор плиты'!C:Q,12,0)),1)))))))</f>
        <v/>
      </c>
      <c r="I529" s="147" t="str">
        <f ca="1">IFERROR(IFERROR(IF(VLOOKUP($A529,'Шаг2.Бланк заказа NEW'!$B$17:$N$201,6,0)="","",VLOOKUP($A529,'Шаг2.Бланк заказа NEW'!$B$17:$N$201,6,0)),
IF(VLOOKUP($A529-COUNT('Шаг2.Бланк заказа NEW'!$B$19:$B$201),'Бланк OLD 0.8 04'!$B$12:$K$200,6,0)="","",VLOOKUP($A529-COUNT('Шаг2.Бланк заказа NEW'!$B$19:$B$201),'Бланк OLD 0.8 04'!$B$12:$K$200,6,0))),
IF(VLOOKUP($A529-COUNT('Шаг2.Бланк заказа NEW'!$B$19:$B$201)-COUNT('Бланк OLD 0.8 04'!$B$18:$B$200),'Бланк OLD 2.0 04 '!$B$16:$K$200,6,0)="","",VLOOKUP($A529-COUNT('Шаг2.Бланк заказа NEW'!$B$19:$B$201)-COUNT('Бланк OLD 0.8 04'!$B$18:$B$200),'Бланк OLD 2.0 04 '!$B$16:$K$200,6,0)))</f>
        <v/>
      </c>
      <c r="J529" s="177" t="str">
        <f ca="1">IF(IF(T529="","",IF(T529=1,SUMIFS('Шаг1.Выбор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плиты'!C:Q,12,0)),1))))))=0,
T529,
IF(T529="","",IF(T529=1,SUMIFS('Шаг1.Выбор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плиты'!N:N,T529,'Шаг1.Выбор плиты'!M:M,SMALL(INDIRECT("мм"&amp;VLOOKUP(C529,'Шаг1.Выбор плиты'!C:Q,12,0)),1)))))))</f>
        <v/>
      </c>
      <c r="K529" s="177" t="str">
        <f ca="1">IF(IF(U529="","",IF(U529=1,SUMIFS('Шаг1.Выбор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плиты'!C:Q,12,0)),1))))))=0,
U529,
IF(U529="","",IF(U529=1,SUMIFS('Шаг1.Выбор плиты'!$G:$G,'Шаг1.Выбор плиты'!J:J,"*"&amp;RIGHT(VLOOKUP(C529,'Шаг1.Выбор плиты'!C:Q,8,0),4),'Шаг1.Выбор плиты'!L:L,IF(MID(C529,1,6)="ЛДСП P","TM"&amp;MID(VLOOKUP(C529,'Шаг1.Выбор плиты'!C:Q,10,0),3,2),MID(VLOOKUP(C529,'Шаг1.Выбор плиты'!C:Q,10,0),1,2)),
'Шаг1.Выбор плиты'!N:N,1),IF(SUMIFS('Шаг1.Выбор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плиты'!C:Q,12,0)),1))=0,
IF(SUMIFS('Шаг1.Выбор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плиты'!C:Q,12,0)),2))=0,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плиты'!C:Q,12,0)),3)),
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плиты'!C:Q,12,0)),2))),
(SUMIFS('Шаг1.Выбор плиты'!$G:$G,'Шаг1.Выбор плиты'!J:J,"*"&amp;RIGHT(VLOOKUP(C529,'Шаг1.Выбор плиты'!C:Q,8,0),4),'Шаг1.Выбор плиты'!L:L,VLOOKUP(C529,'Шаг1.Выбор плиты'!C:Q,10,0),'Шаг1.Выбор плиты'!N:N,U529,'Шаг1.Выбор плиты'!M:M,SMALL(INDIRECT("мм"&amp;VLOOKUP(C529,'Шаг1.Выбор плиты'!C:Q,12,0)),1)))))))</f>
        <v/>
      </c>
      <c r="L529" s="147" t="str">
        <f ca="1">IFERROR(IFERROR(IF(VLOOKUP($A529,'Шаг2.Бланк заказа NEW'!$B$17:$N$201,9,0)="","",VLOOKUP($A529,'Шаг2.Бланк заказа NEW'!$B$17:$N$201,9,0)),
IF(VLOOKUP($A529-COUNT('Шаг2.Бланк заказа NEW'!$B$19:$B$201),'Бланк OLD 0.8 04'!$B$12:$K$200,9,0)="","",VLOOKUP($A529-COUNT('Шаг2.Бланк заказа NEW'!$B$19:$B$201),'Бланк OLD 0.8 04'!$B$12:$K$200,9,0))),
IF(VLOOKUP($A529-COUNT('Шаг2.Бланк заказа NEW'!$B$19:$B$201)-COUNT('Бланк OLD 0.8 04'!$B$18:$B$200),'Бланк OLD 2.0 04 '!$B$16:$K$200,9,0)="","",VLOOKUP($A529-COUNT('Шаг2.Бланк заказа NEW'!$B$19:$B$201)-COUNT('Бланк OLD 0.8 04'!$B$18:$B$200),'Бланк OLD 2.0 04 '!$B$16:$K$200,9,0)))</f>
        <v/>
      </c>
      <c r="M529" s="154" t="str">
        <f t="shared" ca="1" si="49"/>
        <v/>
      </c>
      <c r="N529" s="153" t="str">
        <f ca="1">IFERROR(IF(VLOOKUP($A529,'Шаг2.Бланк заказа NEW'!$B$17:$N$201,11,0)="","",VLOOKUP($A529,'Шаг2.Бланк заказа NEW'!$B$17:$N$201,11,0)),
"Нет")</f>
        <v/>
      </c>
      <c r="O529" s="147" t="str">
        <f ca="1">IFERROR(IF(VLOOKUP($A529,'Шаг2.Бланк заказа NEW'!$B$17:$N$201,11,0)="","",VLOOKUP($A529,'Шаг2.Бланк заказа NEW'!$B$17:$N$201,12,0)),
"Нет")</f>
        <v/>
      </c>
      <c r="P529" s="153" t="str">
        <f ca="1">IFERROR(IF(VLOOKUP($A529,'Шаг2.Бланк заказа NEW'!$B$17:$N$201,13,0)="","",VLOOKUP($A529,'Шаг2.Бланк заказа NEW'!$B$17:$N$201,13,0)),
"Нет")</f>
        <v/>
      </c>
      <c r="Q529" s="147" t="str">
        <f ca="1">IFERROR(IF(VLOOKUP($A529,'Шаг2.Бланк заказа NEW'!$B$17:$O$201,14,0)="","",VLOOKUP($A529,'Шаг2.Бланк заказа NEW'!$B$17:$O$201,14,0)),"")</f>
        <v/>
      </c>
      <c r="R529" s="147" t="str">
        <f ca="1">IFERROR(IFERROR(IF(VLOOKUP($A529,'Шаг2.Бланк заказа NEW'!$B$17:$N$201,4,0)="","",VLOOKUP($A529,'Шаг2.Бланк заказа NEW'!$B$17:$N$201,4,0)),
IF(VLOOKUP($A529-COUNT('Шаг2.Бланк заказа NEW'!$B$19:$B$201),'Бланк OLD 0.8 04'!$B$12:$K$200,4,0)&gt;0,0.8,
IF(VLOOKUP($A529-COUNT('Шаг2.Бланк заказа NEW'!$B$19:$B$201),'Бланк OLD 0.8 04'!$B$12:$K$200,5,0)&gt;0,0.4,""))),
IF(VLOOKUP($A529-COUNT('Шаг2.Бланк заказа NEW'!$B$19:$B$201)-COUNT('Бланк OLD 0.8 04'!$B$18:$B$200),'Бланк OLD 2.0 04 '!$B$16:$K$200,4,0)&gt;0,2,IF(VLOOKUP($A529-COUNT('Шаг2.Бланк заказа NEW'!$B$19:$B$201)-COUNT('Бланк OLD 0.8 04'!$B$18:$B$200),'Бланк OLD 2.0 04 '!$B$16:$K$200,5,0)&gt;0,0.4,"")))</f>
        <v/>
      </c>
      <c r="S529" s="147" t="str">
        <f ca="1">IFERROR(IFERROR(IF(VLOOKUP($A529,'Шаг2.Бланк заказа NEW'!$B$17:$N$201,5,0)="","",VLOOKUP($A529,'Шаг2.Бланк заказа NEW'!$B$17:$N$201,5,0)),
IF(VLOOKUP($A529-COUNT('Шаг2.Бланк заказа NEW'!$B$19:$B$201),'Бланк OLD 0.8 04'!$B$12:$K$200,4,0)&gt;1,0.8,
IF(VLOOKUP($A529-COUNT('Шаг2.Бланк заказа NEW'!$B$19:$B$201),'Бланк OLD 0.8 04'!$B$12:$K$200,5,0)&gt;1,0.4,
IF(AND(VLOOKUP($A529-COUNT('Шаг2.Бланк заказа NEW'!$B$19:$B$201),'Бланк OLD 0.8 04'!$B$12:$K$200,4,0)&gt;0,VLOOKUP($A529-COUNT('Шаг2.Бланк заказа NEW'!$B$19:$B$201),'Бланк OLD 0.8 04'!$B$12:$K$200,5,0)&gt;0),0.4,"")))),
IF(VLOOKUP($A529-COUNT('Шаг2.Бланк заказа NEW'!$B$19:$B$201)-COUNT('Бланк OLD 0.8 04'!$B$18:$B$200),'Бланк OLD 2.0 04 '!$B$16:$K$200,4,0)&gt;1,2,
IF(VLOOKUP($A529-COUNT('Шаг2.Бланк заказа NEW'!$B$19:$B$201)-COUNT('Бланк OLD 0.8 04'!$B$18:$B$200),'Бланк OLD 2.0 04 '!$B$16:$K$200,5,0)&gt;1,0.4,IF(AND(VLOOKUP($A529-COUNT('Шаг2.Бланк заказа NEW'!$B$19:$B$201)-COUNT('Бланк OLD 0.8 04'!$B$18:$B$200),'Бланк OLD 2.0 04 '!$B$16:$K$200,4,0)&gt;0,VLOOKUP($A529-COUNT('Шаг2.Бланк заказа NEW'!$B$19:$B$201)-COUNT('Бланк OLD 0.8 04'!$B$18:$B$200),'Бланк OLD 2.0 04 '!$B$16:$K$200,5,0)&gt;0),0.4,""))))</f>
        <v/>
      </c>
      <c r="T529" s="147" t="str">
        <f ca="1">IFERROR(IFERROR(IF(VLOOKUP($A529,'Шаг2.Бланк заказа NEW'!$B$17:$N$201,7,0)="","",VLOOKUP($A529,'Шаг2.Бланк заказа NEW'!$B$17:$N$201,7,0)),
IF(VLOOKUP($A529-COUNT('Шаг2.Бланк заказа NEW'!$B$19:$B$201),'Бланк OLD 0.8 04'!$B$12:$K$200,7,0)&gt;0,0.8,
IF(VLOOKUP($A529-COUNT('Шаг2.Бланк заказа NEW'!$B$19:$B$201),'Бланк OLD 0.8 04'!$B$12:$K$200,8,0)&gt;0,0.4,""))),
IF(VLOOKUP($A529-COUNT('Шаг2.Бланк заказа NEW'!$B$19:$B$201)-COUNT('Бланк OLD 0.8 04'!$B$18:$B$200),'Бланк OLD 2.0 04 '!$B$16:$K$200,7,0)&gt;0,2,IF(VLOOKUP($A529-COUNT('Шаг2.Бланк заказа NEW'!$B$19:$B$201)-COUNT('Бланк OLD 0.8 04'!$B$18:$B$200),'Бланк OLD 2.0 04 '!$B$16:$K$200,8,0)&gt;0,0.4,"")))</f>
        <v/>
      </c>
      <c r="U529" s="147" t="str">
        <f ca="1">IFERROR(IFERROR(IF(VLOOKUP($A529,'Шаг2.Бланк заказа NEW'!$B$17:$N$201,8,0)="","",VLOOKUP($A529,'Шаг2.Бланк заказа NEW'!$B$17:$N$201,8,0)),
IF(VLOOKUP($A529-COUNT('Шаг2.Бланк заказа NEW'!$B$19:$B$201),'Бланк OLD 0.8 04'!$B$12:$K$200,7,0)&gt;1,0.8,
IF(VLOOKUP($A529-COUNT('Шаг2.Бланк заказа NEW'!$B$19:$B$201),'Бланк OLD 0.8 04'!$B$12:$K$200,8,0)&gt;1,0.4,
IF(AND(VLOOKUP($A529-COUNT('Шаг2.Бланк заказа NEW'!$B$19:$B$201),'Бланк OLD 0.8 04'!$B$12:$K$200,7,0)&gt;0,VLOOKUP($A529-COUNT('Шаг2.Бланк заказа NEW'!$B$19:$B$201),'Бланк OLD 0.8 04'!$B$12:$K$200,8,0)&gt;0),0.4,"")))),
IF(VLOOKUP($A529-COUNT('Шаг2.Бланк заказа NEW'!$B$19:$B$201)-COUNT('Бланк OLD 0.8 04'!$B$18:$B$200),'Бланк OLD 2.0 04 '!$B$16:$K$200,7,0)&gt;1,2,
IF(VLOOKUP($A529-COUNT('Шаг2.Бланк заказа NEW'!$B$19:$B$201)-COUNT('Бланк OLD 0.8 04'!$B$18:$B$200),'Бланк OLD 2.0 04 '!$B$16:$K$200,8,0)&gt;1,0.4,
IF(AND(VLOOKUP($A529-COUNT('Шаг2.Бланк заказа NEW'!$B$19:$B$201)-COUNT('Бланк OLD 0.8 04'!$B$18:$B$200),'Бланк OLD 2.0 04 '!$B$16:$K$200,7,0)&gt;0,VLOOKUP($A529-COUNT('Шаг2.Бланк заказа NEW'!$B$19:$B$201)-COUNT('Бланк OLD 0.8 04'!$B$18:$B$200),'Бланк OLD 2.0 04 '!$B$16:$K$200,8,0)&gt;0),0.4,""))))</f>
        <v/>
      </c>
      <c r="V529" s="146" t="str">
        <f ca="1">IFERROR(VLOOKUP(C529,'Шаг1.Выбор плиты'!C:S,12,0),"")</f>
        <v/>
      </c>
      <c r="W529" s="146" t="str">
        <f ca="1">IFERROR(VLOOKUP(C529,'Шаг1.Выбор плиты'!C:S,8,0),"")</f>
        <v/>
      </c>
      <c r="X529" s="146" t="str">
        <f ca="1">IFERROR(VLOOKUP(C529,'Шаг1.Выбор плиты'!C:S,10,0),"")</f>
        <v/>
      </c>
      <c r="Y529" s="147" t="str">
        <f t="shared" ca="1" si="51"/>
        <v/>
      </c>
      <c r="AD529" s="147" t="str">
        <f t="shared" ca="1" si="48"/>
        <v/>
      </c>
      <c r="AE529" s="147" t="str">
        <f t="shared" ca="1" si="52"/>
        <v/>
      </c>
      <c r="AF529" s="25"/>
      <c r="AH529" s="147" t="str">
        <f ca="1">IF(C529="","",VLOOKUP(C529,'Шаг1.Выбор плиты'!C:Q,7,0))</f>
        <v/>
      </c>
      <c r="AI529" s="147" t="str">
        <f t="shared" ca="1" si="50"/>
        <v/>
      </c>
    </row>
    <row r="530" spans="1:35" x14ac:dyDescent="0.2">
      <c r="A530" s="151" t="str">
        <f ca="1">IF(C530="","",MAX($A$1:OFFSET(C530,-1,0))+1)</f>
        <v/>
      </c>
      <c r="B530" s="151" t="str">
        <f ca="1">IFERROR(IFERROR(IFERROR("Шаг2.Бланк заказа NEW №"&amp;VLOOKUP(A529+1,CHOOSE({1,2},'Шаг2.Бланк заказа NEW'!$B$19:$B$201,'Шаг2.Бланк заказа NEW'!$A$19:$A$201),1,0),
"Бланк OLD 0.8 04 №"&amp;VLOOKUP(A529+1-COUNT('Шаг2.Бланк заказа NEW'!$B$19:$B$201),CHOOSE({1,2},'Бланк OLD 0.8 04'!$B$18:$B$200,'Бланк OLD 0.8 04'!$A$18:$A$200),1,0)),
"Бланк OLD 2.0 04 №"&amp;VLOOKUP(A529+1-COUNT('Шаг2.Бланк заказа NEW'!$B$19:$B$201)-COUNT('Бланк OLD 0.8 04'!$B$18:$B$200),CHOOSE({1,2},'Бланк OLD 2.0 04 '!$B$18:$B$200,'Бланк OLD 2.0 04 '!$A$18:$A$200),1,0)),"")</f>
        <v/>
      </c>
      <c r="C530" s="152" t="str">
        <f ca="1">IFERROR(IFERROR(IFERROR(VLOOKUP(A529+1,CHOOSE({1,2},'Шаг2.Бланк заказа NEW'!$B$19:$B$201,'Шаг2.Бланк заказа NEW'!$A$19:$A$201),2,0),
VLOOKUP(A529+1-COUNT('Шаг2.Бланк заказа NEW'!$B$19:$B$201),CHOOSE({1,2},'Бланк OLD 0.8 04'!$B$18:$B$200,'Бланк OLD 0.8 04'!$A$18:$A$200),2,0)),
VLOOKUP(A529+1-COUNT('Шаг2.Бланк заказа NEW'!$B$19:$B$201)-COUNT('Бланк OLD 0.8 04'!$B$18:$B$200),CHOOSE({1,2},'Бланк OLD 2.0 04 '!$B$18:$B$200,'Бланк OLD 2.0 04 '!$A$18:$A$200),2,0)),"")</f>
        <v/>
      </c>
      <c r="D530" s="150" t="str">
        <f ca="1">IFERROR(VLOOKUP(C530,'Шаг1.Выбор плиты'!C:G,5,0),"")</f>
        <v/>
      </c>
      <c r="E530" s="147" t="str">
        <f ca="1">IFERROR(IFERROR(IF(VLOOKUP($A530,'Шаг2.Бланк заказа NEW'!$B$17:$N$201,2,0)="","",VLOOKUP($A530,'Шаг2.Бланк заказа NEW'!$B$17:$N$201,2,0)),
IF(VLOOKUP($A530-COUNT('Шаг2.Бланк заказа NEW'!$B$19:$B$201),'Бланк OLD 0.8 04'!$B$12:$K$200,2,0)="","",VLOOKUP($A530-COUNT('Шаг2.Бланк заказа NEW'!$B$19:$B$201),'Бланк OLD 0.8 04'!$B$12:$K$200,2,0))),
IF(VLOOKUP($A530-COUNT('Шаг2.Бланк заказа NEW'!$B$19:$B$201)-COUNT('Бланк OLD 0.8 04'!$B$18:$B$200),'Бланк OLD 2.0 04 '!$B$16:$K$200,2,0)="","",VLOOKUP($A530-COUNT('Шаг2.Бланк заказа NEW'!$B$19:$B$201)-COUNT('Бланк OLD 0.8 04'!$B$18:$B$200),'Бланк OLD 2.0 04 '!$B$16:$K$200,2,0)))</f>
        <v/>
      </c>
      <c r="F530" s="147" t="str">
        <f ca="1">IFERROR(IFERROR(IF(VLOOKUP($A530,'Шаг2.Бланк заказа NEW'!$B$17:$N$201,3,0)="","",VLOOKUP($A530,'Шаг2.Бланк заказа NEW'!$B$17:$N$201,3,0)),
IF(VLOOKUP($A530-COUNT('Шаг2.Бланк заказа NEW'!$B$19:$B$201),'Бланк OLD 0.8 04'!$B$12:$K$200,3,0)="","",VLOOKUP($A530-COUNT('Шаг2.Бланк заказа NEW'!$B$19:$B$201),'Бланк OLD 0.8 04'!$B$12:$K$200,3,0))),
IF(VLOOKUP($A530-COUNT('Шаг2.Бланк заказа NEW'!$B$19:$B$201)-COUNT('Бланк OLD 0.8 04'!$B$18:$B$200),'Бланк OLD 2.0 04 '!$B$16:$K$200,3,0)="","",VLOOKUP($A530-COUNT('Шаг2.Бланк заказа NEW'!$B$19:$B$201)-COUNT('Бланк OLD 0.8 04'!$B$18:$B$200),'Бланк OLD 2.0 04 '!$B$16:$K$200,3,0)))</f>
        <v/>
      </c>
      <c r="G530" s="176" t="str">
        <f ca="1">IF(IF(R530="","",IF(R530=1,SUMIFS('Шаг1.Выбор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плиты'!C:Q,12,0)),1))))))=0,
R530,
IF(R530="","",IF(R530=1,SUMIFS('Шаг1.Выбор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плиты'!N:N,R530,'Шаг1.Выбор плиты'!M:M,SMALL(INDIRECT("мм"&amp;VLOOKUP(C530,'Шаг1.Выбор плиты'!C:Q,12,0)),1)))))))</f>
        <v/>
      </c>
      <c r="H530" s="177" t="str">
        <f ca="1">IF(IF(S530="","",IF(S530=1,SUMIFS('Шаг1.Выбор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плиты'!C:Q,12,0)),1))))))=0,
S530,
IF(S530="","",IF(S530=1,SUMIFS('Шаг1.Выбор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плиты'!N:N,S530,'Шаг1.Выбор плиты'!M:M,SMALL(INDIRECT("мм"&amp;VLOOKUP(C530,'Шаг1.Выбор плиты'!C:Q,12,0)),1)))))))</f>
        <v/>
      </c>
      <c r="I530" s="147" t="str">
        <f ca="1">IFERROR(IFERROR(IF(VLOOKUP($A530,'Шаг2.Бланк заказа NEW'!$B$17:$N$201,6,0)="","",VLOOKUP($A530,'Шаг2.Бланк заказа NEW'!$B$17:$N$201,6,0)),
IF(VLOOKUP($A530-COUNT('Шаг2.Бланк заказа NEW'!$B$19:$B$201),'Бланк OLD 0.8 04'!$B$12:$K$200,6,0)="","",VLOOKUP($A530-COUNT('Шаг2.Бланк заказа NEW'!$B$19:$B$201),'Бланк OLD 0.8 04'!$B$12:$K$200,6,0))),
IF(VLOOKUP($A530-COUNT('Шаг2.Бланк заказа NEW'!$B$19:$B$201)-COUNT('Бланк OLD 0.8 04'!$B$18:$B$200),'Бланк OLD 2.0 04 '!$B$16:$K$200,6,0)="","",VLOOKUP($A530-COUNT('Шаг2.Бланк заказа NEW'!$B$19:$B$201)-COUNT('Бланк OLD 0.8 04'!$B$18:$B$200),'Бланк OLD 2.0 04 '!$B$16:$K$200,6,0)))</f>
        <v/>
      </c>
      <c r="J530" s="177" t="str">
        <f ca="1">IF(IF(T530="","",IF(T530=1,SUMIFS('Шаг1.Выбор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плиты'!C:Q,12,0)),1))))))=0,
T530,
IF(T530="","",IF(T530=1,SUMIFS('Шаг1.Выбор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плиты'!N:N,T530,'Шаг1.Выбор плиты'!M:M,SMALL(INDIRECT("мм"&amp;VLOOKUP(C530,'Шаг1.Выбор плиты'!C:Q,12,0)),1)))))))</f>
        <v/>
      </c>
      <c r="K530" s="177" t="str">
        <f ca="1">IF(IF(U530="","",IF(U530=1,SUMIFS('Шаг1.Выбор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плиты'!C:Q,12,0)),1))))))=0,
U530,
IF(U530="","",IF(U530=1,SUMIFS('Шаг1.Выбор плиты'!$G:$G,'Шаг1.Выбор плиты'!J:J,"*"&amp;RIGHT(VLOOKUP(C530,'Шаг1.Выбор плиты'!C:Q,8,0),4),'Шаг1.Выбор плиты'!L:L,IF(MID(C530,1,6)="ЛДСП P","TM"&amp;MID(VLOOKUP(C530,'Шаг1.Выбор плиты'!C:Q,10,0),3,2),MID(VLOOKUP(C530,'Шаг1.Выбор плиты'!C:Q,10,0),1,2)),
'Шаг1.Выбор плиты'!N:N,1),IF(SUMIFS('Шаг1.Выбор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плиты'!C:Q,12,0)),1))=0,
IF(SUMIFS('Шаг1.Выбор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плиты'!C:Q,12,0)),2))=0,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плиты'!C:Q,12,0)),3)),
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плиты'!C:Q,12,0)),2))),
(SUMIFS('Шаг1.Выбор плиты'!$G:$G,'Шаг1.Выбор плиты'!J:J,"*"&amp;RIGHT(VLOOKUP(C530,'Шаг1.Выбор плиты'!C:Q,8,0),4),'Шаг1.Выбор плиты'!L:L,VLOOKUP(C530,'Шаг1.Выбор плиты'!C:Q,10,0),'Шаг1.Выбор плиты'!N:N,U530,'Шаг1.Выбор плиты'!M:M,SMALL(INDIRECT("мм"&amp;VLOOKUP(C530,'Шаг1.Выбор плиты'!C:Q,12,0)),1)))))))</f>
        <v/>
      </c>
      <c r="L530" s="147" t="str">
        <f ca="1">IFERROR(IFERROR(IF(VLOOKUP($A530,'Шаг2.Бланк заказа NEW'!$B$17:$N$201,9,0)="","",VLOOKUP($A530,'Шаг2.Бланк заказа NEW'!$B$17:$N$201,9,0)),
IF(VLOOKUP($A530-COUNT('Шаг2.Бланк заказа NEW'!$B$19:$B$201),'Бланк OLD 0.8 04'!$B$12:$K$200,9,0)="","",VLOOKUP($A530-COUNT('Шаг2.Бланк заказа NEW'!$B$19:$B$201),'Бланк OLD 0.8 04'!$B$12:$K$200,9,0))),
IF(VLOOKUP($A530-COUNT('Шаг2.Бланк заказа NEW'!$B$19:$B$201)-COUNT('Бланк OLD 0.8 04'!$B$18:$B$200),'Бланк OLD 2.0 04 '!$B$16:$K$200,9,0)="","",VLOOKUP($A530-COUNT('Шаг2.Бланк заказа NEW'!$B$19:$B$201)-COUNT('Бланк OLD 0.8 04'!$B$18:$B$200),'Бланк OLD 2.0 04 '!$B$16:$K$200,9,0)))</f>
        <v/>
      </c>
      <c r="M530" s="154" t="str">
        <f t="shared" ca="1" si="49"/>
        <v/>
      </c>
      <c r="N530" s="153" t="str">
        <f ca="1">IFERROR(IF(VLOOKUP($A530,'Шаг2.Бланк заказа NEW'!$B$17:$N$201,11,0)="","",VLOOKUP($A530,'Шаг2.Бланк заказа NEW'!$B$17:$N$201,11,0)),
"Нет")</f>
        <v/>
      </c>
      <c r="O530" s="147" t="str">
        <f ca="1">IFERROR(IF(VLOOKUP($A530,'Шаг2.Бланк заказа NEW'!$B$17:$N$201,11,0)="","",VLOOKUP($A530,'Шаг2.Бланк заказа NEW'!$B$17:$N$201,12,0)),
"Нет")</f>
        <v/>
      </c>
      <c r="P530" s="153" t="str">
        <f ca="1">IFERROR(IF(VLOOKUP($A530,'Шаг2.Бланк заказа NEW'!$B$17:$N$201,13,0)="","",VLOOKUP($A530,'Шаг2.Бланк заказа NEW'!$B$17:$N$201,13,0)),
"Нет")</f>
        <v/>
      </c>
      <c r="Q530" s="147" t="str">
        <f ca="1">IFERROR(IF(VLOOKUP($A530,'Шаг2.Бланк заказа NEW'!$B$17:$O$201,14,0)="","",VLOOKUP($A530,'Шаг2.Бланк заказа NEW'!$B$17:$O$201,14,0)),"")</f>
        <v/>
      </c>
      <c r="R530" s="147" t="str">
        <f ca="1">IFERROR(IFERROR(IF(VLOOKUP($A530,'Шаг2.Бланк заказа NEW'!$B$17:$N$201,4,0)="","",VLOOKUP($A530,'Шаг2.Бланк заказа NEW'!$B$17:$N$201,4,0)),
IF(VLOOKUP($A530-COUNT('Шаг2.Бланк заказа NEW'!$B$19:$B$201),'Бланк OLD 0.8 04'!$B$12:$K$200,4,0)&gt;0,0.8,
IF(VLOOKUP($A530-COUNT('Шаг2.Бланк заказа NEW'!$B$19:$B$201),'Бланк OLD 0.8 04'!$B$12:$K$200,5,0)&gt;0,0.4,""))),
IF(VLOOKUP($A530-COUNT('Шаг2.Бланк заказа NEW'!$B$19:$B$201)-COUNT('Бланк OLD 0.8 04'!$B$18:$B$200),'Бланк OLD 2.0 04 '!$B$16:$K$200,4,0)&gt;0,2,IF(VLOOKUP($A530-COUNT('Шаг2.Бланк заказа NEW'!$B$19:$B$201)-COUNT('Бланк OLD 0.8 04'!$B$18:$B$200),'Бланк OLD 2.0 04 '!$B$16:$K$200,5,0)&gt;0,0.4,"")))</f>
        <v/>
      </c>
      <c r="S530" s="147" t="str">
        <f ca="1">IFERROR(IFERROR(IF(VLOOKUP($A530,'Шаг2.Бланк заказа NEW'!$B$17:$N$201,5,0)="","",VLOOKUP($A530,'Шаг2.Бланк заказа NEW'!$B$17:$N$201,5,0)),
IF(VLOOKUP($A530-COUNT('Шаг2.Бланк заказа NEW'!$B$19:$B$201),'Бланк OLD 0.8 04'!$B$12:$K$200,4,0)&gt;1,0.8,
IF(VLOOKUP($A530-COUNT('Шаг2.Бланк заказа NEW'!$B$19:$B$201),'Бланк OLD 0.8 04'!$B$12:$K$200,5,0)&gt;1,0.4,
IF(AND(VLOOKUP($A530-COUNT('Шаг2.Бланк заказа NEW'!$B$19:$B$201),'Бланк OLD 0.8 04'!$B$12:$K$200,4,0)&gt;0,VLOOKUP($A530-COUNT('Шаг2.Бланк заказа NEW'!$B$19:$B$201),'Бланк OLD 0.8 04'!$B$12:$K$200,5,0)&gt;0),0.4,"")))),
IF(VLOOKUP($A530-COUNT('Шаг2.Бланк заказа NEW'!$B$19:$B$201)-COUNT('Бланк OLD 0.8 04'!$B$18:$B$200),'Бланк OLD 2.0 04 '!$B$16:$K$200,4,0)&gt;1,2,
IF(VLOOKUP($A530-COUNT('Шаг2.Бланк заказа NEW'!$B$19:$B$201)-COUNT('Бланк OLD 0.8 04'!$B$18:$B$200),'Бланк OLD 2.0 04 '!$B$16:$K$200,5,0)&gt;1,0.4,IF(AND(VLOOKUP($A530-COUNT('Шаг2.Бланк заказа NEW'!$B$19:$B$201)-COUNT('Бланк OLD 0.8 04'!$B$18:$B$200),'Бланк OLD 2.0 04 '!$B$16:$K$200,4,0)&gt;0,VLOOKUP($A530-COUNT('Шаг2.Бланк заказа NEW'!$B$19:$B$201)-COUNT('Бланк OLD 0.8 04'!$B$18:$B$200),'Бланк OLD 2.0 04 '!$B$16:$K$200,5,0)&gt;0),0.4,""))))</f>
        <v/>
      </c>
      <c r="T530" s="147" t="str">
        <f ca="1">IFERROR(IFERROR(IF(VLOOKUP($A530,'Шаг2.Бланк заказа NEW'!$B$17:$N$201,7,0)="","",VLOOKUP($A530,'Шаг2.Бланк заказа NEW'!$B$17:$N$201,7,0)),
IF(VLOOKUP($A530-COUNT('Шаг2.Бланк заказа NEW'!$B$19:$B$201),'Бланк OLD 0.8 04'!$B$12:$K$200,7,0)&gt;0,0.8,
IF(VLOOKUP($A530-COUNT('Шаг2.Бланк заказа NEW'!$B$19:$B$201),'Бланк OLD 0.8 04'!$B$12:$K$200,8,0)&gt;0,0.4,""))),
IF(VLOOKUP($A530-COUNT('Шаг2.Бланк заказа NEW'!$B$19:$B$201)-COUNT('Бланк OLD 0.8 04'!$B$18:$B$200),'Бланк OLD 2.0 04 '!$B$16:$K$200,7,0)&gt;0,2,IF(VLOOKUP($A530-COUNT('Шаг2.Бланк заказа NEW'!$B$19:$B$201)-COUNT('Бланк OLD 0.8 04'!$B$18:$B$200),'Бланк OLD 2.0 04 '!$B$16:$K$200,8,0)&gt;0,0.4,"")))</f>
        <v/>
      </c>
      <c r="U530" s="147" t="str">
        <f ca="1">IFERROR(IFERROR(IF(VLOOKUP($A530,'Шаг2.Бланк заказа NEW'!$B$17:$N$201,8,0)="","",VLOOKUP($A530,'Шаг2.Бланк заказа NEW'!$B$17:$N$201,8,0)),
IF(VLOOKUP($A530-COUNT('Шаг2.Бланк заказа NEW'!$B$19:$B$201),'Бланк OLD 0.8 04'!$B$12:$K$200,7,0)&gt;1,0.8,
IF(VLOOKUP($A530-COUNT('Шаг2.Бланк заказа NEW'!$B$19:$B$201),'Бланк OLD 0.8 04'!$B$12:$K$200,8,0)&gt;1,0.4,
IF(AND(VLOOKUP($A530-COUNT('Шаг2.Бланк заказа NEW'!$B$19:$B$201),'Бланк OLD 0.8 04'!$B$12:$K$200,7,0)&gt;0,VLOOKUP($A530-COUNT('Шаг2.Бланк заказа NEW'!$B$19:$B$201),'Бланк OLD 0.8 04'!$B$12:$K$200,8,0)&gt;0),0.4,"")))),
IF(VLOOKUP($A530-COUNT('Шаг2.Бланк заказа NEW'!$B$19:$B$201)-COUNT('Бланк OLD 0.8 04'!$B$18:$B$200),'Бланк OLD 2.0 04 '!$B$16:$K$200,7,0)&gt;1,2,
IF(VLOOKUP($A530-COUNT('Шаг2.Бланк заказа NEW'!$B$19:$B$201)-COUNT('Бланк OLD 0.8 04'!$B$18:$B$200),'Бланк OLD 2.0 04 '!$B$16:$K$200,8,0)&gt;1,0.4,
IF(AND(VLOOKUP($A530-COUNT('Шаг2.Бланк заказа NEW'!$B$19:$B$201)-COUNT('Бланк OLD 0.8 04'!$B$18:$B$200),'Бланк OLD 2.0 04 '!$B$16:$K$200,7,0)&gt;0,VLOOKUP($A530-COUNT('Шаг2.Бланк заказа NEW'!$B$19:$B$201)-COUNT('Бланк OLD 0.8 04'!$B$18:$B$200),'Бланк OLD 2.0 04 '!$B$16:$K$200,8,0)&gt;0),0.4,""))))</f>
        <v/>
      </c>
      <c r="V530" s="146" t="str">
        <f ca="1">IFERROR(VLOOKUP(C530,'Шаг1.Выбор плиты'!C:S,12,0),"")</f>
        <v/>
      </c>
      <c r="W530" s="146" t="str">
        <f ca="1">IFERROR(VLOOKUP(C530,'Шаг1.Выбор плиты'!C:S,8,0),"")</f>
        <v/>
      </c>
      <c r="X530" s="146" t="str">
        <f ca="1">IFERROR(VLOOKUP(C530,'Шаг1.Выбор плиты'!C:S,10,0),"")</f>
        <v/>
      </c>
      <c r="Y530" s="147" t="str">
        <f t="shared" ca="1" si="51"/>
        <v/>
      </c>
      <c r="AD530" s="147" t="str">
        <f t="shared" ca="1" si="48"/>
        <v/>
      </c>
      <c r="AE530" s="147" t="str">
        <f t="shared" ca="1" si="52"/>
        <v/>
      </c>
      <c r="AF530" s="25"/>
      <c r="AH530" s="147" t="str">
        <f ca="1">IF(C530="","",VLOOKUP(C530,'Шаг1.Выбор плиты'!C:Q,7,0))</f>
        <v/>
      </c>
      <c r="AI530" s="147" t="str">
        <f t="shared" ca="1" si="50"/>
        <v/>
      </c>
    </row>
    <row r="531" spans="1:35" x14ac:dyDescent="0.2">
      <c r="A531" s="151" t="str">
        <f ca="1">IF(C531="","",MAX($A$1:OFFSET(C531,-1,0))+1)</f>
        <v/>
      </c>
      <c r="B531" s="151" t="str">
        <f ca="1">IFERROR(IFERROR(IFERROR("Шаг2.Бланк заказа NEW №"&amp;VLOOKUP(A530+1,CHOOSE({1,2},'Шаг2.Бланк заказа NEW'!$B$19:$B$201,'Шаг2.Бланк заказа NEW'!$A$19:$A$201),1,0),
"Бланк OLD 0.8 04 №"&amp;VLOOKUP(A530+1-COUNT('Шаг2.Бланк заказа NEW'!$B$19:$B$201),CHOOSE({1,2},'Бланк OLD 0.8 04'!$B$18:$B$200,'Бланк OLD 0.8 04'!$A$18:$A$200),1,0)),
"Бланк OLD 2.0 04 №"&amp;VLOOKUP(A530+1-COUNT('Шаг2.Бланк заказа NEW'!$B$19:$B$201)-COUNT('Бланк OLD 0.8 04'!$B$18:$B$200),CHOOSE({1,2},'Бланк OLD 2.0 04 '!$B$18:$B$200,'Бланк OLD 2.0 04 '!$A$18:$A$200),1,0)),"")</f>
        <v/>
      </c>
      <c r="C531" s="152" t="str">
        <f ca="1">IFERROR(IFERROR(IFERROR(VLOOKUP(A530+1,CHOOSE({1,2},'Шаг2.Бланк заказа NEW'!$B$19:$B$201,'Шаг2.Бланк заказа NEW'!$A$19:$A$201),2,0),
VLOOKUP(A530+1-COUNT('Шаг2.Бланк заказа NEW'!$B$19:$B$201),CHOOSE({1,2},'Бланк OLD 0.8 04'!$B$18:$B$200,'Бланк OLD 0.8 04'!$A$18:$A$200),2,0)),
VLOOKUP(A530+1-COUNT('Шаг2.Бланк заказа NEW'!$B$19:$B$201)-COUNT('Бланк OLD 0.8 04'!$B$18:$B$200),CHOOSE({1,2},'Бланк OLD 2.0 04 '!$B$18:$B$200,'Бланк OLD 2.0 04 '!$A$18:$A$200),2,0)),"")</f>
        <v/>
      </c>
      <c r="D531" s="150" t="str">
        <f ca="1">IFERROR(VLOOKUP(C531,'Шаг1.Выбор плиты'!C:G,5,0),"")</f>
        <v/>
      </c>
      <c r="E531" s="147" t="str">
        <f ca="1">IFERROR(IFERROR(IF(VLOOKUP($A531,'Шаг2.Бланк заказа NEW'!$B$17:$N$201,2,0)="","",VLOOKUP($A531,'Шаг2.Бланк заказа NEW'!$B$17:$N$201,2,0)),
IF(VLOOKUP($A531-COUNT('Шаг2.Бланк заказа NEW'!$B$19:$B$201),'Бланк OLD 0.8 04'!$B$12:$K$200,2,0)="","",VLOOKUP($A531-COUNT('Шаг2.Бланк заказа NEW'!$B$19:$B$201),'Бланк OLD 0.8 04'!$B$12:$K$200,2,0))),
IF(VLOOKUP($A531-COUNT('Шаг2.Бланк заказа NEW'!$B$19:$B$201)-COUNT('Бланк OLD 0.8 04'!$B$18:$B$200),'Бланк OLD 2.0 04 '!$B$16:$K$200,2,0)="","",VLOOKUP($A531-COUNT('Шаг2.Бланк заказа NEW'!$B$19:$B$201)-COUNT('Бланк OLD 0.8 04'!$B$18:$B$200),'Бланк OLD 2.0 04 '!$B$16:$K$200,2,0)))</f>
        <v/>
      </c>
      <c r="F531" s="147" t="str">
        <f ca="1">IFERROR(IFERROR(IF(VLOOKUP($A531,'Шаг2.Бланк заказа NEW'!$B$17:$N$201,3,0)="","",VLOOKUP($A531,'Шаг2.Бланк заказа NEW'!$B$17:$N$201,3,0)),
IF(VLOOKUP($A531-COUNT('Шаг2.Бланк заказа NEW'!$B$19:$B$201),'Бланк OLD 0.8 04'!$B$12:$K$200,3,0)="","",VLOOKUP($A531-COUNT('Шаг2.Бланк заказа NEW'!$B$19:$B$201),'Бланк OLD 0.8 04'!$B$12:$K$200,3,0))),
IF(VLOOKUP($A531-COUNT('Шаг2.Бланк заказа NEW'!$B$19:$B$201)-COUNT('Бланк OLD 0.8 04'!$B$18:$B$200),'Бланк OLD 2.0 04 '!$B$16:$K$200,3,0)="","",VLOOKUP($A531-COUNT('Шаг2.Бланк заказа NEW'!$B$19:$B$201)-COUNT('Бланк OLD 0.8 04'!$B$18:$B$200),'Бланк OLD 2.0 04 '!$B$16:$K$200,3,0)))</f>
        <v/>
      </c>
      <c r="G531" s="176" t="str">
        <f ca="1">IF(IF(R531="","",IF(R531=1,SUMIFS('Шаг1.Выбор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плиты'!C:Q,12,0)),1))))))=0,
R531,
IF(R531="","",IF(R531=1,SUMIFS('Шаг1.Выбор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плиты'!N:N,R531,'Шаг1.Выбор плиты'!M:M,SMALL(INDIRECT("мм"&amp;VLOOKUP(C531,'Шаг1.Выбор плиты'!C:Q,12,0)),1)))))))</f>
        <v/>
      </c>
      <c r="H531" s="177" t="str">
        <f ca="1">IF(IF(S531="","",IF(S531=1,SUMIFS('Шаг1.Выбор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плиты'!C:Q,12,0)),1))))))=0,
S531,
IF(S531="","",IF(S531=1,SUMIFS('Шаг1.Выбор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плиты'!N:N,S531,'Шаг1.Выбор плиты'!M:M,SMALL(INDIRECT("мм"&amp;VLOOKUP(C531,'Шаг1.Выбор плиты'!C:Q,12,0)),1)))))))</f>
        <v/>
      </c>
      <c r="I531" s="147" t="str">
        <f ca="1">IFERROR(IFERROR(IF(VLOOKUP($A531,'Шаг2.Бланк заказа NEW'!$B$17:$N$201,6,0)="","",VLOOKUP($A531,'Шаг2.Бланк заказа NEW'!$B$17:$N$201,6,0)),
IF(VLOOKUP($A531-COUNT('Шаг2.Бланк заказа NEW'!$B$19:$B$201),'Бланк OLD 0.8 04'!$B$12:$K$200,6,0)="","",VLOOKUP($A531-COUNT('Шаг2.Бланк заказа NEW'!$B$19:$B$201),'Бланк OLD 0.8 04'!$B$12:$K$200,6,0))),
IF(VLOOKUP($A531-COUNT('Шаг2.Бланк заказа NEW'!$B$19:$B$201)-COUNT('Бланк OLD 0.8 04'!$B$18:$B$200),'Бланк OLD 2.0 04 '!$B$16:$K$200,6,0)="","",VLOOKUP($A531-COUNT('Шаг2.Бланк заказа NEW'!$B$19:$B$201)-COUNT('Бланк OLD 0.8 04'!$B$18:$B$200),'Бланк OLD 2.0 04 '!$B$16:$K$200,6,0)))</f>
        <v/>
      </c>
      <c r="J531" s="177" t="str">
        <f ca="1">IF(IF(T531="","",IF(T531=1,SUMIFS('Шаг1.Выбор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плиты'!C:Q,12,0)),1))))))=0,
T531,
IF(T531="","",IF(T531=1,SUMIFS('Шаг1.Выбор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плиты'!N:N,T531,'Шаг1.Выбор плиты'!M:M,SMALL(INDIRECT("мм"&amp;VLOOKUP(C531,'Шаг1.Выбор плиты'!C:Q,12,0)),1)))))))</f>
        <v/>
      </c>
      <c r="K531" s="177" t="str">
        <f ca="1">IF(IF(U531="","",IF(U531=1,SUMIFS('Шаг1.Выбор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плиты'!C:Q,12,0)),1))))))=0,
U531,
IF(U531="","",IF(U531=1,SUMIFS('Шаг1.Выбор плиты'!$G:$G,'Шаг1.Выбор плиты'!J:J,"*"&amp;RIGHT(VLOOKUP(C531,'Шаг1.Выбор плиты'!C:Q,8,0),4),'Шаг1.Выбор плиты'!L:L,IF(MID(C531,1,6)="ЛДСП P","TM"&amp;MID(VLOOKUP(C531,'Шаг1.Выбор плиты'!C:Q,10,0),3,2),MID(VLOOKUP(C531,'Шаг1.Выбор плиты'!C:Q,10,0),1,2)),
'Шаг1.Выбор плиты'!N:N,1),IF(SUMIFS('Шаг1.Выбор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плиты'!C:Q,12,0)),1))=0,
IF(SUMIFS('Шаг1.Выбор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плиты'!C:Q,12,0)),2))=0,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плиты'!C:Q,12,0)),3)),
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плиты'!C:Q,12,0)),2))),
(SUMIFS('Шаг1.Выбор плиты'!$G:$G,'Шаг1.Выбор плиты'!J:J,"*"&amp;RIGHT(VLOOKUP(C531,'Шаг1.Выбор плиты'!C:Q,8,0),4),'Шаг1.Выбор плиты'!L:L,VLOOKUP(C531,'Шаг1.Выбор плиты'!C:Q,10,0),'Шаг1.Выбор плиты'!N:N,U531,'Шаг1.Выбор плиты'!M:M,SMALL(INDIRECT("мм"&amp;VLOOKUP(C531,'Шаг1.Выбор плиты'!C:Q,12,0)),1)))))))</f>
        <v/>
      </c>
      <c r="L531" s="147" t="str">
        <f ca="1">IFERROR(IFERROR(IF(VLOOKUP($A531,'Шаг2.Бланк заказа NEW'!$B$17:$N$201,9,0)="","",VLOOKUP($A531,'Шаг2.Бланк заказа NEW'!$B$17:$N$201,9,0)),
IF(VLOOKUP($A531-COUNT('Шаг2.Бланк заказа NEW'!$B$19:$B$201),'Бланк OLD 0.8 04'!$B$12:$K$200,9,0)="","",VLOOKUP($A531-COUNT('Шаг2.Бланк заказа NEW'!$B$19:$B$201),'Бланк OLD 0.8 04'!$B$12:$K$200,9,0))),
IF(VLOOKUP($A531-COUNT('Шаг2.Бланк заказа NEW'!$B$19:$B$201)-COUNT('Бланк OLD 0.8 04'!$B$18:$B$200),'Бланк OLD 2.0 04 '!$B$16:$K$200,9,0)="","",VLOOKUP($A531-COUNT('Шаг2.Бланк заказа NEW'!$B$19:$B$201)-COUNT('Бланк OLD 0.8 04'!$B$18:$B$200),'Бланк OLD 2.0 04 '!$B$16:$K$200,9,0)))</f>
        <v/>
      </c>
      <c r="M531" s="154" t="str">
        <f t="shared" ca="1" si="49"/>
        <v/>
      </c>
      <c r="N531" s="153" t="str">
        <f ca="1">IFERROR(IF(VLOOKUP($A531,'Шаг2.Бланк заказа NEW'!$B$17:$N$201,11,0)="","",VLOOKUP($A531,'Шаг2.Бланк заказа NEW'!$B$17:$N$201,11,0)),
"Нет")</f>
        <v/>
      </c>
      <c r="O531" s="147" t="str">
        <f ca="1">IFERROR(IF(VLOOKUP($A531,'Шаг2.Бланк заказа NEW'!$B$17:$N$201,11,0)="","",VLOOKUP($A531,'Шаг2.Бланк заказа NEW'!$B$17:$N$201,12,0)),
"Нет")</f>
        <v/>
      </c>
      <c r="P531" s="153" t="str">
        <f ca="1">IFERROR(IF(VLOOKUP($A531,'Шаг2.Бланк заказа NEW'!$B$17:$N$201,13,0)="","",VLOOKUP($A531,'Шаг2.Бланк заказа NEW'!$B$17:$N$201,13,0)),
"Нет")</f>
        <v/>
      </c>
      <c r="Q531" s="147" t="str">
        <f ca="1">IFERROR(IF(VLOOKUP($A531,'Шаг2.Бланк заказа NEW'!$B$17:$O$201,14,0)="","",VLOOKUP($A531,'Шаг2.Бланк заказа NEW'!$B$17:$O$201,14,0)),"")</f>
        <v/>
      </c>
      <c r="R531" s="147" t="str">
        <f ca="1">IFERROR(IFERROR(IF(VLOOKUP($A531,'Шаг2.Бланк заказа NEW'!$B$17:$N$201,4,0)="","",VLOOKUP($A531,'Шаг2.Бланк заказа NEW'!$B$17:$N$201,4,0)),
IF(VLOOKUP($A531-COUNT('Шаг2.Бланк заказа NEW'!$B$19:$B$201),'Бланк OLD 0.8 04'!$B$12:$K$200,4,0)&gt;0,0.8,
IF(VLOOKUP($A531-COUNT('Шаг2.Бланк заказа NEW'!$B$19:$B$201),'Бланк OLD 0.8 04'!$B$12:$K$200,5,0)&gt;0,0.4,""))),
IF(VLOOKUP($A531-COUNT('Шаг2.Бланк заказа NEW'!$B$19:$B$201)-COUNT('Бланк OLD 0.8 04'!$B$18:$B$200),'Бланк OLD 2.0 04 '!$B$16:$K$200,4,0)&gt;0,2,IF(VLOOKUP($A531-COUNT('Шаг2.Бланк заказа NEW'!$B$19:$B$201)-COUNT('Бланк OLD 0.8 04'!$B$18:$B$200),'Бланк OLD 2.0 04 '!$B$16:$K$200,5,0)&gt;0,0.4,"")))</f>
        <v/>
      </c>
      <c r="S531" s="147" t="str">
        <f ca="1">IFERROR(IFERROR(IF(VLOOKUP($A531,'Шаг2.Бланк заказа NEW'!$B$17:$N$201,5,0)="","",VLOOKUP($A531,'Шаг2.Бланк заказа NEW'!$B$17:$N$201,5,0)),
IF(VLOOKUP($A531-COUNT('Шаг2.Бланк заказа NEW'!$B$19:$B$201),'Бланк OLD 0.8 04'!$B$12:$K$200,4,0)&gt;1,0.8,
IF(VLOOKUP($A531-COUNT('Шаг2.Бланк заказа NEW'!$B$19:$B$201),'Бланк OLD 0.8 04'!$B$12:$K$200,5,0)&gt;1,0.4,
IF(AND(VLOOKUP($A531-COUNT('Шаг2.Бланк заказа NEW'!$B$19:$B$201),'Бланк OLD 0.8 04'!$B$12:$K$200,4,0)&gt;0,VLOOKUP($A531-COUNT('Шаг2.Бланк заказа NEW'!$B$19:$B$201),'Бланк OLD 0.8 04'!$B$12:$K$200,5,0)&gt;0),0.4,"")))),
IF(VLOOKUP($A531-COUNT('Шаг2.Бланк заказа NEW'!$B$19:$B$201)-COUNT('Бланк OLD 0.8 04'!$B$18:$B$200),'Бланк OLD 2.0 04 '!$B$16:$K$200,4,0)&gt;1,2,
IF(VLOOKUP($A531-COUNT('Шаг2.Бланк заказа NEW'!$B$19:$B$201)-COUNT('Бланк OLD 0.8 04'!$B$18:$B$200),'Бланк OLD 2.0 04 '!$B$16:$K$200,5,0)&gt;1,0.4,IF(AND(VLOOKUP($A531-COUNT('Шаг2.Бланк заказа NEW'!$B$19:$B$201)-COUNT('Бланк OLD 0.8 04'!$B$18:$B$200),'Бланк OLD 2.0 04 '!$B$16:$K$200,4,0)&gt;0,VLOOKUP($A531-COUNT('Шаг2.Бланк заказа NEW'!$B$19:$B$201)-COUNT('Бланк OLD 0.8 04'!$B$18:$B$200),'Бланк OLD 2.0 04 '!$B$16:$K$200,5,0)&gt;0),0.4,""))))</f>
        <v/>
      </c>
      <c r="T531" s="147" t="str">
        <f ca="1">IFERROR(IFERROR(IF(VLOOKUP($A531,'Шаг2.Бланк заказа NEW'!$B$17:$N$201,7,0)="","",VLOOKUP($A531,'Шаг2.Бланк заказа NEW'!$B$17:$N$201,7,0)),
IF(VLOOKUP($A531-COUNT('Шаг2.Бланк заказа NEW'!$B$19:$B$201),'Бланк OLD 0.8 04'!$B$12:$K$200,7,0)&gt;0,0.8,
IF(VLOOKUP($A531-COUNT('Шаг2.Бланк заказа NEW'!$B$19:$B$201),'Бланк OLD 0.8 04'!$B$12:$K$200,8,0)&gt;0,0.4,""))),
IF(VLOOKUP($A531-COUNT('Шаг2.Бланк заказа NEW'!$B$19:$B$201)-COUNT('Бланк OLD 0.8 04'!$B$18:$B$200),'Бланк OLD 2.0 04 '!$B$16:$K$200,7,0)&gt;0,2,IF(VLOOKUP($A531-COUNT('Шаг2.Бланк заказа NEW'!$B$19:$B$201)-COUNT('Бланк OLD 0.8 04'!$B$18:$B$200),'Бланк OLD 2.0 04 '!$B$16:$K$200,8,0)&gt;0,0.4,"")))</f>
        <v/>
      </c>
      <c r="U531" s="147" t="str">
        <f ca="1">IFERROR(IFERROR(IF(VLOOKUP($A531,'Шаг2.Бланк заказа NEW'!$B$17:$N$201,8,0)="","",VLOOKUP($A531,'Шаг2.Бланк заказа NEW'!$B$17:$N$201,8,0)),
IF(VLOOKUP($A531-COUNT('Шаг2.Бланк заказа NEW'!$B$19:$B$201),'Бланк OLD 0.8 04'!$B$12:$K$200,7,0)&gt;1,0.8,
IF(VLOOKUP($A531-COUNT('Шаг2.Бланк заказа NEW'!$B$19:$B$201),'Бланк OLD 0.8 04'!$B$12:$K$200,8,0)&gt;1,0.4,
IF(AND(VLOOKUP($A531-COUNT('Шаг2.Бланк заказа NEW'!$B$19:$B$201),'Бланк OLD 0.8 04'!$B$12:$K$200,7,0)&gt;0,VLOOKUP($A531-COUNT('Шаг2.Бланк заказа NEW'!$B$19:$B$201),'Бланк OLD 0.8 04'!$B$12:$K$200,8,0)&gt;0),0.4,"")))),
IF(VLOOKUP($A531-COUNT('Шаг2.Бланк заказа NEW'!$B$19:$B$201)-COUNT('Бланк OLD 0.8 04'!$B$18:$B$200),'Бланк OLD 2.0 04 '!$B$16:$K$200,7,0)&gt;1,2,
IF(VLOOKUP($A531-COUNT('Шаг2.Бланк заказа NEW'!$B$19:$B$201)-COUNT('Бланк OLD 0.8 04'!$B$18:$B$200),'Бланк OLD 2.0 04 '!$B$16:$K$200,8,0)&gt;1,0.4,
IF(AND(VLOOKUP($A531-COUNT('Шаг2.Бланк заказа NEW'!$B$19:$B$201)-COUNT('Бланк OLD 0.8 04'!$B$18:$B$200),'Бланк OLD 2.0 04 '!$B$16:$K$200,7,0)&gt;0,VLOOKUP($A531-COUNT('Шаг2.Бланк заказа NEW'!$B$19:$B$201)-COUNT('Бланк OLD 0.8 04'!$B$18:$B$200),'Бланк OLD 2.0 04 '!$B$16:$K$200,8,0)&gt;0),0.4,""))))</f>
        <v/>
      </c>
      <c r="V531" s="146" t="str">
        <f ca="1">IFERROR(VLOOKUP(C531,'Шаг1.Выбор плиты'!C:S,12,0),"")</f>
        <v/>
      </c>
      <c r="W531" s="146" t="str">
        <f ca="1">IFERROR(VLOOKUP(C531,'Шаг1.Выбор плиты'!C:S,8,0),"")</f>
        <v/>
      </c>
      <c r="X531" s="146" t="str">
        <f ca="1">IFERROR(VLOOKUP(C531,'Шаг1.Выбор плиты'!C:S,10,0),"")</f>
        <v/>
      </c>
      <c r="Y531" s="147" t="str">
        <f t="shared" ca="1" si="51"/>
        <v/>
      </c>
      <c r="AD531" s="147" t="str">
        <f t="shared" ca="1" si="48"/>
        <v/>
      </c>
      <c r="AE531" s="147" t="str">
        <f t="shared" ca="1" si="52"/>
        <v/>
      </c>
      <c r="AF531" s="25"/>
      <c r="AH531" s="147" t="str">
        <f ca="1">IF(C531="","",VLOOKUP(C531,'Шаг1.Выбор плиты'!C:Q,7,0))</f>
        <v/>
      </c>
      <c r="AI531" s="147" t="str">
        <f t="shared" ca="1" si="50"/>
        <v/>
      </c>
    </row>
    <row r="532" spans="1:35" x14ac:dyDescent="0.2">
      <c r="A532" s="151" t="str">
        <f ca="1">IF(C532="","",MAX($A$1:OFFSET(C532,-1,0))+1)</f>
        <v/>
      </c>
      <c r="B532" s="151" t="str">
        <f ca="1">IFERROR(IFERROR(IFERROR("Шаг2.Бланк заказа NEW №"&amp;VLOOKUP(A531+1,CHOOSE({1,2},'Шаг2.Бланк заказа NEW'!$B$19:$B$201,'Шаг2.Бланк заказа NEW'!$A$19:$A$201),1,0),
"Бланк OLD 0.8 04 №"&amp;VLOOKUP(A531+1-COUNT('Шаг2.Бланк заказа NEW'!$B$19:$B$201),CHOOSE({1,2},'Бланк OLD 0.8 04'!$B$18:$B$200,'Бланк OLD 0.8 04'!$A$18:$A$200),1,0)),
"Бланк OLD 2.0 04 №"&amp;VLOOKUP(A531+1-COUNT('Шаг2.Бланк заказа NEW'!$B$19:$B$201)-COUNT('Бланк OLD 0.8 04'!$B$18:$B$200),CHOOSE({1,2},'Бланк OLD 2.0 04 '!$B$18:$B$200,'Бланк OLD 2.0 04 '!$A$18:$A$200),1,0)),"")</f>
        <v/>
      </c>
      <c r="C532" s="152" t="str">
        <f ca="1">IFERROR(IFERROR(IFERROR(VLOOKUP(A531+1,CHOOSE({1,2},'Шаг2.Бланк заказа NEW'!$B$19:$B$201,'Шаг2.Бланк заказа NEW'!$A$19:$A$201),2,0),
VLOOKUP(A531+1-COUNT('Шаг2.Бланк заказа NEW'!$B$19:$B$201),CHOOSE({1,2},'Бланк OLD 0.8 04'!$B$18:$B$200,'Бланк OLD 0.8 04'!$A$18:$A$200),2,0)),
VLOOKUP(A531+1-COUNT('Шаг2.Бланк заказа NEW'!$B$19:$B$201)-COUNT('Бланк OLD 0.8 04'!$B$18:$B$200),CHOOSE({1,2},'Бланк OLD 2.0 04 '!$B$18:$B$200,'Бланк OLD 2.0 04 '!$A$18:$A$200),2,0)),"")</f>
        <v/>
      </c>
      <c r="D532" s="150" t="str">
        <f ca="1">IFERROR(VLOOKUP(C532,'Шаг1.Выбор плиты'!C:G,5,0),"")</f>
        <v/>
      </c>
      <c r="E532" s="147" t="str">
        <f ca="1">IFERROR(IFERROR(IF(VLOOKUP($A532,'Шаг2.Бланк заказа NEW'!$B$17:$N$201,2,0)="","",VLOOKUP($A532,'Шаг2.Бланк заказа NEW'!$B$17:$N$201,2,0)),
IF(VLOOKUP($A532-COUNT('Шаг2.Бланк заказа NEW'!$B$19:$B$201),'Бланк OLD 0.8 04'!$B$12:$K$200,2,0)="","",VLOOKUP($A532-COUNT('Шаг2.Бланк заказа NEW'!$B$19:$B$201),'Бланк OLD 0.8 04'!$B$12:$K$200,2,0))),
IF(VLOOKUP($A532-COUNT('Шаг2.Бланк заказа NEW'!$B$19:$B$201)-COUNT('Бланк OLD 0.8 04'!$B$18:$B$200),'Бланк OLD 2.0 04 '!$B$16:$K$200,2,0)="","",VLOOKUP($A532-COUNT('Шаг2.Бланк заказа NEW'!$B$19:$B$201)-COUNT('Бланк OLD 0.8 04'!$B$18:$B$200),'Бланк OLD 2.0 04 '!$B$16:$K$200,2,0)))</f>
        <v/>
      </c>
      <c r="F532" s="147" t="str">
        <f ca="1">IFERROR(IFERROR(IF(VLOOKUP($A532,'Шаг2.Бланк заказа NEW'!$B$17:$N$201,3,0)="","",VLOOKUP($A532,'Шаг2.Бланк заказа NEW'!$B$17:$N$201,3,0)),
IF(VLOOKUP($A532-COUNT('Шаг2.Бланк заказа NEW'!$B$19:$B$201),'Бланк OLD 0.8 04'!$B$12:$K$200,3,0)="","",VLOOKUP($A532-COUNT('Шаг2.Бланк заказа NEW'!$B$19:$B$201),'Бланк OLD 0.8 04'!$B$12:$K$200,3,0))),
IF(VLOOKUP($A532-COUNT('Шаг2.Бланк заказа NEW'!$B$19:$B$201)-COUNT('Бланк OLD 0.8 04'!$B$18:$B$200),'Бланк OLD 2.0 04 '!$B$16:$K$200,3,0)="","",VLOOKUP($A532-COUNT('Шаг2.Бланк заказа NEW'!$B$19:$B$201)-COUNT('Бланк OLD 0.8 04'!$B$18:$B$200),'Бланк OLD 2.0 04 '!$B$16:$K$200,3,0)))</f>
        <v/>
      </c>
      <c r="G532" s="176" t="str">
        <f ca="1">IF(IF(R532="","",IF(R532=1,SUMIFS('Шаг1.Выбор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плиты'!C:Q,12,0)),1))))))=0,
R532,
IF(R532="","",IF(R532=1,SUMIFS('Шаг1.Выбор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плиты'!N:N,R532,'Шаг1.Выбор плиты'!M:M,SMALL(INDIRECT("мм"&amp;VLOOKUP(C532,'Шаг1.Выбор плиты'!C:Q,12,0)),1)))))))</f>
        <v/>
      </c>
      <c r="H532" s="177" t="str">
        <f ca="1">IF(IF(S532="","",IF(S532=1,SUMIFS('Шаг1.Выбор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плиты'!C:Q,12,0)),1))))))=0,
S532,
IF(S532="","",IF(S532=1,SUMIFS('Шаг1.Выбор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плиты'!N:N,S532,'Шаг1.Выбор плиты'!M:M,SMALL(INDIRECT("мм"&amp;VLOOKUP(C532,'Шаг1.Выбор плиты'!C:Q,12,0)),1)))))))</f>
        <v/>
      </c>
      <c r="I532" s="147" t="str">
        <f ca="1">IFERROR(IFERROR(IF(VLOOKUP($A532,'Шаг2.Бланк заказа NEW'!$B$17:$N$201,6,0)="","",VLOOKUP($A532,'Шаг2.Бланк заказа NEW'!$B$17:$N$201,6,0)),
IF(VLOOKUP($A532-COUNT('Шаг2.Бланк заказа NEW'!$B$19:$B$201),'Бланк OLD 0.8 04'!$B$12:$K$200,6,0)="","",VLOOKUP($A532-COUNT('Шаг2.Бланк заказа NEW'!$B$19:$B$201),'Бланк OLD 0.8 04'!$B$12:$K$200,6,0))),
IF(VLOOKUP($A532-COUNT('Шаг2.Бланк заказа NEW'!$B$19:$B$201)-COUNT('Бланк OLD 0.8 04'!$B$18:$B$200),'Бланк OLD 2.0 04 '!$B$16:$K$200,6,0)="","",VLOOKUP($A532-COUNT('Шаг2.Бланк заказа NEW'!$B$19:$B$201)-COUNT('Бланк OLD 0.8 04'!$B$18:$B$200),'Бланк OLD 2.0 04 '!$B$16:$K$200,6,0)))</f>
        <v/>
      </c>
      <c r="J532" s="177" t="str">
        <f ca="1">IF(IF(T532="","",IF(T532=1,SUMIFS('Шаг1.Выбор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плиты'!C:Q,12,0)),1))))))=0,
T532,
IF(T532="","",IF(T532=1,SUMIFS('Шаг1.Выбор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плиты'!N:N,T532,'Шаг1.Выбор плиты'!M:M,SMALL(INDIRECT("мм"&amp;VLOOKUP(C532,'Шаг1.Выбор плиты'!C:Q,12,0)),1)))))))</f>
        <v/>
      </c>
      <c r="K532" s="177" t="str">
        <f ca="1">IF(IF(U532="","",IF(U532=1,SUMIFS('Шаг1.Выбор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плиты'!C:Q,12,0)),1))))))=0,
U532,
IF(U532="","",IF(U532=1,SUMIFS('Шаг1.Выбор плиты'!$G:$G,'Шаг1.Выбор плиты'!J:J,"*"&amp;RIGHT(VLOOKUP(C532,'Шаг1.Выбор плиты'!C:Q,8,0),4),'Шаг1.Выбор плиты'!L:L,IF(MID(C532,1,6)="ЛДСП P","TM"&amp;MID(VLOOKUP(C532,'Шаг1.Выбор плиты'!C:Q,10,0),3,2),MID(VLOOKUP(C532,'Шаг1.Выбор плиты'!C:Q,10,0),1,2)),
'Шаг1.Выбор плиты'!N:N,1),IF(SUMIFS('Шаг1.Выбор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плиты'!C:Q,12,0)),1))=0,
IF(SUMIFS('Шаг1.Выбор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плиты'!C:Q,12,0)),2))=0,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плиты'!C:Q,12,0)),3)),
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плиты'!C:Q,12,0)),2))),
(SUMIFS('Шаг1.Выбор плиты'!$G:$G,'Шаг1.Выбор плиты'!J:J,"*"&amp;RIGHT(VLOOKUP(C532,'Шаг1.Выбор плиты'!C:Q,8,0),4),'Шаг1.Выбор плиты'!L:L,VLOOKUP(C532,'Шаг1.Выбор плиты'!C:Q,10,0),'Шаг1.Выбор плиты'!N:N,U532,'Шаг1.Выбор плиты'!M:M,SMALL(INDIRECT("мм"&amp;VLOOKUP(C532,'Шаг1.Выбор плиты'!C:Q,12,0)),1)))))))</f>
        <v/>
      </c>
      <c r="L532" s="147" t="str">
        <f ca="1">IFERROR(IFERROR(IF(VLOOKUP($A532,'Шаг2.Бланк заказа NEW'!$B$17:$N$201,9,0)="","",VLOOKUP($A532,'Шаг2.Бланк заказа NEW'!$B$17:$N$201,9,0)),
IF(VLOOKUP($A532-COUNT('Шаг2.Бланк заказа NEW'!$B$19:$B$201),'Бланк OLD 0.8 04'!$B$12:$K$200,9,0)="","",VLOOKUP($A532-COUNT('Шаг2.Бланк заказа NEW'!$B$19:$B$201),'Бланк OLD 0.8 04'!$B$12:$K$200,9,0))),
IF(VLOOKUP($A532-COUNT('Шаг2.Бланк заказа NEW'!$B$19:$B$201)-COUNT('Бланк OLD 0.8 04'!$B$18:$B$200),'Бланк OLD 2.0 04 '!$B$16:$K$200,9,0)="","",VLOOKUP($A532-COUNT('Шаг2.Бланк заказа NEW'!$B$19:$B$201)-COUNT('Бланк OLD 0.8 04'!$B$18:$B$200),'Бланк OLD 2.0 04 '!$B$16:$K$200,9,0)))</f>
        <v/>
      </c>
      <c r="M532" s="154" t="str">
        <f t="shared" ca="1" si="49"/>
        <v/>
      </c>
      <c r="N532" s="153" t="str">
        <f ca="1">IFERROR(IF(VLOOKUP($A532,'Шаг2.Бланк заказа NEW'!$B$17:$N$201,11,0)="","",VLOOKUP($A532,'Шаг2.Бланк заказа NEW'!$B$17:$N$201,11,0)),
"Нет")</f>
        <v/>
      </c>
      <c r="O532" s="147" t="str">
        <f ca="1">IFERROR(IF(VLOOKUP($A532,'Шаг2.Бланк заказа NEW'!$B$17:$N$201,11,0)="","",VLOOKUP($A532,'Шаг2.Бланк заказа NEW'!$B$17:$N$201,12,0)),
"Нет")</f>
        <v/>
      </c>
      <c r="P532" s="153" t="str">
        <f ca="1">IFERROR(IF(VLOOKUP($A532,'Шаг2.Бланк заказа NEW'!$B$17:$N$201,13,0)="","",VLOOKUP($A532,'Шаг2.Бланк заказа NEW'!$B$17:$N$201,13,0)),
"Нет")</f>
        <v/>
      </c>
      <c r="Q532" s="147" t="str">
        <f ca="1">IFERROR(IF(VLOOKUP($A532,'Шаг2.Бланк заказа NEW'!$B$17:$O$201,14,0)="","",VLOOKUP($A532,'Шаг2.Бланк заказа NEW'!$B$17:$O$201,14,0)),"")</f>
        <v/>
      </c>
      <c r="R532" s="147" t="str">
        <f ca="1">IFERROR(IFERROR(IF(VLOOKUP($A532,'Шаг2.Бланк заказа NEW'!$B$17:$N$201,4,0)="","",VLOOKUP($A532,'Шаг2.Бланк заказа NEW'!$B$17:$N$201,4,0)),
IF(VLOOKUP($A532-COUNT('Шаг2.Бланк заказа NEW'!$B$19:$B$201),'Бланк OLD 0.8 04'!$B$12:$K$200,4,0)&gt;0,0.8,
IF(VLOOKUP($A532-COUNT('Шаг2.Бланк заказа NEW'!$B$19:$B$201),'Бланк OLD 0.8 04'!$B$12:$K$200,5,0)&gt;0,0.4,""))),
IF(VLOOKUP($A532-COUNT('Шаг2.Бланк заказа NEW'!$B$19:$B$201)-COUNT('Бланк OLD 0.8 04'!$B$18:$B$200),'Бланк OLD 2.0 04 '!$B$16:$K$200,4,0)&gt;0,2,IF(VLOOKUP($A532-COUNT('Шаг2.Бланк заказа NEW'!$B$19:$B$201)-COUNT('Бланк OLD 0.8 04'!$B$18:$B$200),'Бланк OLD 2.0 04 '!$B$16:$K$200,5,0)&gt;0,0.4,"")))</f>
        <v/>
      </c>
      <c r="S532" s="147" t="str">
        <f ca="1">IFERROR(IFERROR(IF(VLOOKUP($A532,'Шаг2.Бланк заказа NEW'!$B$17:$N$201,5,0)="","",VLOOKUP($A532,'Шаг2.Бланк заказа NEW'!$B$17:$N$201,5,0)),
IF(VLOOKUP($A532-COUNT('Шаг2.Бланк заказа NEW'!$B$19:$B$201),'Бланк OLD 0.8 04'!$B$12:$K$200,4,0)&gt;1,0.8,
IF(VLOOKUP($A532-COUNT('Шаг2.Бланк заказа NEW'!$B$19:$B$201),'Бланк OLD 0.8 04'!$B$12:$K$200,5,0)&gt;1,0.4,
IF(AND(VLOOKUP($A532-COUNT('Шаг2.Бланк заказа NEW'!$B$19:$B$201),'Бланк OLD 0.8 04'!$B$12:$K$200,4,0)&gt;0,VLOOKUP($A532-COUNT('Шаг2.Бланк заказа NEW'!$B$19:$B$201),'Бланк OLD 0.8 04'!$B$12:$K$200,5,0)&gt;0),0.4,"")))),
IF(VLOOKUP($A532-COUNT('Шаг2.Бланк заказа NEW'!$B$19:$B$201)-COUNT('Бланк OLD 0.8 04'!$B$18:$B$200),'Бланк OLD 2.0 04 '!$B$16:$K$200,4,0)&gt;1,2,
IF(VLOOKUP($A532-COUNT('Шаг2.Бланк заказа NEW'!$B$19:$B$201)-COUNT('Бланк OLD 0.8 04'!$B$18:$B$200),'Бланк OLD 2.0 04 '!$B$16:$K$200,5,0)&gt;1,0.4,IF(AND(VLOOKUP($A532-COUNT('Шаг2.Бланк заказа NEW'!$B$19:$B$201)-COUNT('Бланк OLD 0.8 04'!$B$18:$B$200),'Бланк OLD 2.0 04 '!$B$16:$K$200,4,0)&gt;0,VLOOKUP($A532-COUNT('Шаг2.Бланк заказа NEW'!$B$19:$B$201)-COUNT('Бланк OLD 0.8 04'!$B$18:$B$200),'Бланк OLD 2.0 04 '!$B$16:$K$200,5,0)&gt;0),0.4,""))))</f>
        <v/>
      </c>
      <c r="T532" s="147" t="str">
        <f ca="1">IFERROR(IFERROR(IF(VLOOKUP($A532,'Шаг2.Бланк заказа NEW'!$B$17:$N$201,7,0)="","",VLOOKUP($A532,'Шаг2.Бланк заказа NEW'!$B$17:$N$201,7,0)),
IF(VLOOKUP($A532-COUNT('Шаг2.Бланк заказа NEW'!$B$19:$B$201),'Бланк OLD 0.8 04'!$B$12:$K$200,7,0)&gt;0,0.8,
IF(VLOOKUP($A532-COUNT('Шаг2.Бланк заказа NEW'!$B$19:$B$201),'Бланк OLD 0.8 04'!$B$12:$K$200,8,0)&gt;0,0.4,""))),
IF(VLOOKUP($A532-COUNT('Шаг2.Бланк заказа NEW'!$B$19:$B$201)-COUNT('Бланк OLD 0.8 04'!$B$18:$B$200),'Бланк OLD 2.0 04 '!$B$16:$K$200,7,0)&gt;0,2,IF(VLOOKUP($A532-COUNT('Шаг2.Бланк заказа NEW'!$B$19:$B$201)-COUNT('Бланк OLD 0.8 04'!$B$18:$B$200),'Бланк OLD 2.0 04 '!$B$16:$K$200,8,0)&gt;0,0.4,"")))</f>
        <v/>
      </c>
      <c r="U532" s="147" t="str">
        <f ca="1">IFERROR(IFERROR(IF(VLOOKUP($A532,'Шаг2.Бланк заказа NEW'!$B$17:$N$201,8,0)="","",VLOOKUP($A532,'Шаг2.Бланк заказа NEW'!$B$17:$N$201,8,0)),
IF(VLOOKUP($A532-COUNT('Шаг2.Бланк заказа NEW'!$B$19:$B$201),'Бланк OLD 0.8 04'!$B$12:$K$200,7,0)&gt;1,0.8,
IF(VLOOKUP($A532-COUNT('Шаг2.Бланк заказа NEW'!$B$19:$B$201),'Бланк OLD 0.8 04'!$B$12:$K$200,8,0)&gt;1,0.4,
IF(AND(VLOOKUP($A532-COUNT('Шаг2.Бланк заказа NEW'!$B$19:$B$201),'Бланк OLD 0.8 04'!$B$12:$K$200,7,0)&gt;0,VLOOKUP($A532-COUNT('Шаг2.Бланк заказа NEW'!$B$19:$B$201),'Бланк OLD 0.8 04'!$B$12:$K$200,8,0)&gt;0),0.4,"")))),
IF(VLOOKUP($A532-COUNT('Шаг2.Бланк заказа NEW'!$B$19:$B$201)-COUNT('Бланк OLD 0.8 04'!$B$18:$B$200),'Бланк OLD 2.0 04 '!$B$16:$K$200,7,0)&gt;1,2,
IF(VLOOKUP($A532-COUNT('Шаг2.Бланк заказа NEW'!$B$19:$B$201)-COUNT('Бланк OLD 0.8 04'!$B$18:$B$200),'Бланк OLD 2.0 04 '!$B$16:$K$200,8,0)&gt;1,0.4,
IF(AND(VLOOKUP($A532-COUNT('Шаг2.Бланк заказа NEW'!$B$19:$B$201)-COUNT('Бланк OLD 0.8 04'!$B$18:$B$200),'Бланк OLD 2.0 04 '!$B$16:$K$200,7,0)&gt;0,VLOOKUP($A532-COUNT('Шаг2.Бланк заказа NEW'!$B$19:$B$201)-COUNT('Бланк OLD 0.8 04'!$B$18:$B$200),'Бланк OLD 2.0 04 '!$B$16:$K$200,8,0)&gt;0),0.4,""))))</f>
        <v/>
      </c>
      <c r="V532" s="146" t="str">
        <f ca="1">IFERROR(VLOOKUP(C532,'Шаг1.Выбор плиты'!C:S,12,0),"")</f>
        <v/>
      </c>
      <c r="W532" s="146" t="str">
        <f ca="1">IFERROR(VLOOKUP(C532,'Шаг1.Выбор плиты'!C:S,8,0),"")</f>
        <v/>
      </c>
      <c r="X532" s="146" t="str">
        <f ca="1">IFERROR(VLOOKUP(C532,'Шаг1.Выбор плиты'!C:S,10,0),"")</f>
        <v/>
      </c>
      <c r="Y532" s="147" t="str">
        <f t="shared" ca="1" si="51"/>
        <v/>
      </c>
      <c r="AD532" s="147" t="str">
        <f t="shared" ca="1" si="48"/>
        <v/>
      </c>
      <c r="AE532" s="147" t="str">
        <f t="shared" ca="1" si="52"/>
        <v/>
      </c>
      <c r="AF532" s="25"/>
      <c r="AH532" s="147" t="str">
        <f ca="1">IF(C532="","",VLOOKUP(C532,'Шаг1.Выбор плиты'!C:Q,7,0))</f>
        <v/>
      </c>
      <c r="AI532" s="147" t="str">
        <f t="shared" ca="1" si="50"/>
        <v/>
      </c>
    </row>
    <row r="533" spans="1:35" x14ac:dyDescent="0.2">
      <c r="A533" s="151" t="str">
        <f ca="1">IF(C533="","",MAX($A$1:OFFSET(C533,-1,0))+1)</f>
        <v/>
      </c>
      <c r="B533" s="151" t="str">
        <f ca="1">IFERROR(IFERROR(IFERROR("Шаг2.Бланк заказа NEW №"&amp;VLOOKUP(A532+1,CHOOSE({1,2},'Шаг2.Бланк заказа NEW'!$B$19:$B$201,'Шаг2.Бланк заказа NEW'!$A$19:$A$201),1,0),
"Бланк OLD 0.8 04 №"&amp;VLOOKUP(A532+1-COUNT('Шаг2.Бланк заказа NEW'!$B$19:$B$201),CHOOSE({1,2},'Бланк OLD 0.8 04'!$B$18:$B$200,'Бланк OLD 0.8 04'!$A$18:$A$200),1,0)),
"Бланк OLD 2.0 04 №"&amp;VLOOKUP(A532+1-COUNT('Шаг2.Бланк заказа NEW'!$B$19:$B$201)-COUNT('Бланк OLD 0.8 04'!$B$18:$B$200),CHOOSE({1,2},'Бланк OLD 2.0 04 '!$B$18:$B$200,'Бланк OLD 2.0 04 '!$A$18:$A$200),1,0)),"")</f>
        <v/>
      </c>
      <c r="C533" s="152" t="str">
        <f ca="1">IFERROR(IFERROR(IFERROR(VLOOKUP(A532+1,CHOOSE({1,2},'Шаг2.Бланк заказа NEW'!$B$19:$B$201,'Шаг2.Бланк заказа NEW'!$A$19:$A$201),2,0),
VLOOKUP(A532+1-COUNT('Шаг2.Бланк заказа NEW'!$B$19:$B$201),CHOOSE({1,2},'Бланк OLD 0.8 04'!$B$18:$B$200,'Бланк OLD 0.8 04'!$A$18:$A$200),2,0)),
VLOOKUP(A532+1-COUNT('Шаг2.Бланк заказа NEW'!$B$19:$B$201)-COUNT('Бланк OLD 0.8 04'!$B$18:$B$200),CHOOSE({1,2},'Бланк OLD 2.0 04 '!$B$18:$B$200,'Бланк OLD 2.0 04 '!$A$18:$A$200),2,0)),"")</f>
        <v/>
      </c>
      <c r="D533" s="150" t="str">
        <f ca="1">IFERROR(VLOOKUP(C533,'Шаг1.Выбор плиты'!C:G,5,0),"")</f>
        <v/>
      </c>
      <c r="E533" s="147" t="str">
        <f ca="1">IFERROR(IFERROR(IF(VLOOKUP($A533,'Шаг2.Бланк заказа NEW'!$B$17:$N$201,2,0)="","",VLOOKUP($A533,'Шаг2.Бланк заказа NEW'!$B$17:$N$201,2,0)),
IF(VLOOKUP($A533-COUNT('Шаг2.Бланк заказа NEW'!$B$19:$B$201),'Бланк OLD 0.8 04'!$B$12:$K$200,2,0)="","",VLOOKUP($A533-COUNT('Шаг2.Бланк заказа NEW'!$B$19:$B$201),'Бланк OLD 0.8 04'!$B$12:$K$200,2,0))),
IF(VLOOKUP($A533-COUNT('Шаг2.Бланк заказа NEW'!$B$19:$B$201)-COUNT('Бланк OLD 0.8 04'!$B$18:$B$200),'Бланк OLD 2.0 04 '!$B$16:$K$200,2,0)="","",VLOOKUP($A533-COUNT('Шаг2.Бланк заказа NEW'!$B$19:$B$201)-COUNT('Бланк OLD 0.8 04'!$B$18:$B$200),'Бланк OLD 2.0 04 '!$B$16:$K$200,2,0)))</f>
        <v/>
      </c>
      <c r="F533" s="147" t="str">
        <f ca="1">IFERROR(IFERROR(IF(VLOOKUP($A533,'Шаг2.Бланк заказа NEW'!$B$17:$N$201,3,0)="","",VLOOKUP($A533,'Шаг2.Бланк заказа NEW'!$B$17:$N$201,3,0)),
IF(VLOOKUP($A533-COUNT('Шаг2.Бланк заказа NEW'!$B$19:$B$201),'Бланк OLD 0.8 04'!$B$12:$K$200,3,0)="","",VLOOKUP($A533-COUNT('Шаг2.Бланк заказа NEW'!$B$19:$B$201),'Бланк OLD 0.8 04'!$B$12:$K$200,3,0))),
IF(VLOOKUP($A533-COUNT('Шаг2.Бланк заказа NEW'!$B$19:$B$201)-COUNT('Бланк OLD 0.8 04'!$B$18:$B$200),'Бланк OLD 2.0 04 '!$B$16:$K$200,3,0)="","",VLOOKUP($A533-COUNT('Шаг2.Бланк заказа NEW'!$B$19:$B$201)-COUNT('Бланк OLD 0.8 04'!$B$18:$B$200),'Бланк OLD 2.0 04 '!$B$16:$K$200,3,0)))</f>
        <v/>
      </c>
      <c r="G533" s="176" t="str">
        <f ca="1">IF(IF(R533="","",IF(R533=1,SUMIFS('Шаг1.Выбор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плиты'!C:Q,12,0)),1))))))=0,
R533,
IF(R533="","",IF(R533=1,SUMIFS('Шаг1.Выбор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плиты'!N:N,R533,'Шаг1.Выбор плиты'!M:M,SMALL(INDIRECT("мм"&amp;VLOOKUP(C533,'Шаг1.Выбор плиты'!C:Q,12,0)),1)))))))</f>
        <v/>
      </c>
      <c r="H533" s="177" t="str">
        <f ca="1">IF(IF(S533="","",IF(S533=1,SUMIFS('Шаг1.Выбор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плиты'!C:Q,12,0)),1))))))=0,
S533,
IF(S533="","",IF(S533=1,SUMIFS('Шаг1.Выбор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плиты'!N:N,S533,'Шаг1.Выбор плиты'!M:M,SMALL(INDIRECT("мм"&amp;VLOOKUP(C533,'Шаг1.Выбор плиты'!C:Q,12,0)),1)))))))</f>
        <v/>
      </c>
      <c r="I533" s="147" t="str">
        <f ca="1">IFERROR(IFERROR(IF(VLOOKUP($A533,'Шаг2.Бланк заказа NEW'!$B$17:$N$201,6,0)="","",VLOOKUP($A533,'Шаг2.Бланк заказа NEW'!$B$17:$N$201,6,0)),
IF(VLOOKUP($A533-COUNT('Шаг2.Бланк заказа NEW'!$B$19:$B$201),'Бланк OLD 0.8 04'!$B$12:$K$200,6,0)="","",VLOOKUP($A533-COUNT('Шаг2.Бланк заказа NEW'!$B$19:$B$201),'Бланк OLD 0.8 04'!$B$12:$K$200,6,0))),
IF(VLOOKUP($A533-COUNT('Шаг2.Бланк заказа NEW'!$B$19:$B$201)-COUNT('Бланк OLD 0.8 04'!$B$18:$B$200),'Бланк OLD 2.0 04 '!$B$16:$K$200,6,0)="","",VLOOKUP($A533-COUNT('Шаг2.Бланк заказа NEW'!$B$19:$B$201)-COUNT('Бланк OLD 0.8 04'!$B$18:$B$200),'Бланк OLD 2.0 04 '!$B$16:$K$200,6,0)))</f>
        <v/>
      </c>
      <c r="J533" s="177" t="str">
        <f ca="1">IF(IF(T533="","",IF(T533=1,SUMIFS('Шаг1.Выбор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плиты'!C:Q,12,0)),1))))))=0,
T533,
IF(T533="","",IF(T533=1,SUMIFS('Шаг1.Выбор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плиты'!N:N,T533,'Шаг1.Выбор плиты'!M:M,SMALL(INDIRECT("мм"&amp;VLOOKUP(C533,'Шаг1.Выбор плиты'!C:Q,12,0)),1)))))))</f>
        <v/>
      </c>
      <c r="K533" s="177" t="str">
        <f ca="1">IF(IF(U533="","",IF(U533=1,SUMIFS('Шаг1.Выбор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плиты'!C:Q,12,0)),1))))))=0,
U533,
IF(U533="","",IF(U533=1,SUMIFS('Шаг1.Выбор плиты'!$G:$G,'Шаг1.Выбор плиты'!J:J,"*"&amp;RIGHT(VLOOKUP(C533,'Шаг1.Выбор плиты'!C:Q,8,0),4),'Шаг1.Выбор плиты'!L:L,IF(MID(C533,1,6)="ЛДСП P","TM"&amp;MID(VLOOKUP(C533,'Шаг1.Выбор плиты'!C:Q,10,0),3,2),MID(VLOOKUP(C533,'Шаг1.Выбор плиты'!C:Q,10,0),1,2)),
'Шаг1.Выбор плиты'!N:N,1),IF(SUMIFS('Шаг1.Выбор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плиты'!C:Q,12,0)),1))=0,
IF(SUMIFS('Шаг1.Выбор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плиты'!C:Q,12,0)),2))=0,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плиты'!C:Q,12,0)),3)),
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плиты'!C:Q,12,0)),2))),
(SUMIFS('Шаг1.Выбор плиты'!$G:$G,'Шаг1.Выбор плиты'!J:J,"*"&amp;RIGHT(VLOOKUP(C533,'Шаг1.Выбор плиты'!C:Q,8,0),4),'Шаг1.Выбор плиты'!L:L,VLOOKUP(C533,'Шаг1.Выбор плиты'!C:Q,10,0),'Шаг1.Выбор плиты'!N:N,U533,'Шаг1.Выбор плиты'!M:M,SMALL(INDIRECT("мм"&amp;VLOOKUP(C533,'Шаг1.Выбор плиты'!C:Q,12,0)),1)))))))</f>
        <v/>
      </c>
      <c r="L533" s="147" t="str">
        <f ca="1">IFERROR(IFERROR(IF(VLOOKUP($A533,'Шаг2.Бланк заказа NEW'!$B$17:$N$201,9,0)="","",VLOOKUP($A533,'Шаг2.Бланк заказа NEW'!$B$17:$N$201,9,0)),
IF(VLOOKUP($A533-COUNT('Шаг2.Бланк заказа NEW'!$B$19:$B$201),'Бланк OLD 0.8 04'!$B$12:$K$200,9,0)="","",VLOOKUP($A533-COUNT('Шаг2.Бланк заказа NEW'!$B$19:$B$201),'Бланк OLD 0.8 04'!$B$12:$K$200,9,0))),
IF(VLOOKUP($A533-COUNT('Шаг2.Бланк заказа NEW'!$B$19:$B$201)-COUNT('Бланк OLD 0.8 04'!$B$18:$B$200),'Бланк OLD 2.0 04 '!$B$16:$K$200,9,0)="","",VLOOKUP($A533-COUNT('Шаг2.Бланк заказа NEW'!$B$19:$B$201)-COUNT('Бланк OLD 0.8 04'!$B$18:$B$200),'Бланк OLD 2.0 04 '!$B$16:$K$200,9,0)))</f>
        <v/>
      </c>
      <c r="M533" s="154" t="str">
        <f t="shared" ca="1" si="49"/>
        <v/>
      </c>
      <c r="N533" s="153" t="str">
        <f ca="1">IFERROR(IF(VLOOKUP($A533,'Шаг2.Бланк заказа NEW'!$B$17:$N$201,11,0)="","",VLOOKUP($A533,'Шаг2.Бланк заказа NEW'!$B$17:$N$201,11,0)),
"Нет")</f>
        <v/>
      </c>
      <c r="O533" s="147" t="str">
        <f ca="1">IFERROR(IF(VLOOKUP($A533,'Шаг2.Бланк заказа NEW'!$B$17:$N$201,11,0)="","",VLOOKUP($A533,'Шаг2.Бланк заказа NEW'!$B$17:$N$201,12,0)),
"Нет")</f>
        <v/>
      </c>
      <c r="P533" s="153" t="str">
        <f ca="1">IFERROR(IF(VLOOKUP($A533,'Шаг2.Бланк заказа NEW'!$B$17:$N$201,13,0)="","",VLOOKUP($A533,'Шаг2.Бланк заказа NEW'!$B$17:$N$201,13,0)),
"Нет")</f>
        <v/>
      </c>
      <c r="Q533" s="147" t="str">
        <f ca="1">IFERROR(IF(VLOOKUP($A533,'Шаг2.Бланк заказа NEW'!$B$17:$O$201,14,0)="","",VLOOKUP($A533,'Шаг2.Бланк заказа NEW'!$B$17:$O$201,14,0)),"")</f>
        <v/>
      </c>
      <c r="R533" s="147" t="str">
        <f ca="1">IFERROR(IFERROR(IF(VLOOKUP($A533,'Шаг2.Бланк заказа NEW'!$B$17:$N$201,4,0)="","",VLOOKUP($A533,'Шаг2.Бланк заказа NEW'!$B$17:$N$201,4,0)),
IF(VLOOKUP($A533-COUNT('Шаг2.Бланк заказа NEW'!$B$19:$B$201),'Бланк OLD 0.8 04'!$B$12:$K$200,4,0)&gt;0,0.8,
IF(VLOOKUP($A533-COUNT('Шаг2.Бланк заказа NEW'!$B$19:$B$201),'Бланк OLD 0.8 04'!$B$12:$K$200,5,0)&gt;0,0.4,""))),
IF(VLOOKUP($A533-COUNT('Шаг2.Бланк заказа NEW'!$B$19:$B$201)-COUNT('Бланк OLD 0.8 04'!$B$18:$B$200),'Бланк OLD 2.0 04 '!$B$16:$K$200,4,0)&gt;0,2,IF(VLOOKUP($A533-COUNT('Шаг2.Бланк заказа NEW'!$B$19:$B$201)-COUNT('Бланк OLD 0.8 04'!$B$18:$B$200),'Бланк OLD 2.0 04 '!$B$16:$K$200,5,0)&gt;0,0.4,"")))</f>
        <v/>
      </c>
      <c r="S533" s="147" t="str">
        <f ca="1">IFERROR(IFERROR(IF(VLOOKUP($A533,'Шаг2.Бланк заказа NEW'!$B$17:$N$201,5,0)="","",VLOOKUP($A533,'Шаг2.Бланк заказа NEW'!$B$17:$N$201,5,0)),
IF(VLOOKUP($A533-COUNT('Шаг2.Бланк заказа NEW'!$B$19:$B$201),'Бланк OLD 0.8 04'!$B$12:$K$200,4,0)&gt;1,0.8,
IF(VLOOKUP($A533-COUNT('Шаг2.Бланк заказа NEW'!$B$19:$B$201),'Бланк OLD 0.8 04'!$B$12:$K$200,5,0)&gt;1,0.4,
IF(AND(VLOOKUP($A533-COUNT('Шаг2.Бланк заказа NEW'!$B$19:$B$201),'Бланк OLD 0.8 04'!$B$12:$K$200,4,0)&gt;0,VLOOKUP($A533-COUNT('Шаг2.Бланк заказа NEW'!$B$19:$B$201),'Бланк OLD 0.8 04'!$B$12:$K$200,5,0)&gt;0),0.4,"")))),
IF(VLOOKUP($A533-COUNT('Шаг2.Бланк заказа NEW'!$B$19:$B$201)-COUNT('Бланк OLD 0.8 04'!$B$18:$B$200),'Бланк OLD 2.0 04 '!$B$16:$K$200,4,0)&gt;1,2,
IF(VLOOKUP($A533-COUNT('Шаг2.Бланк заказа NEW'!$B$19:$B$201)-COUNT('Бланк OLD 0.8 04'!$B$18:$B$200),'Бланк OLD 2.0 04 '!$B$16:$K$200,5,0)&gt;1,0.4,IF(AND(VLOOKUP($A533-COUNT('Шаг2.Бланк заказа NEW'!$B$19:$B$201)-COUNT('Бланк OLD 0.8 04'!$B$18:$B$200),'Бланк OLD 2.0 04 '!$B$16:$K$200,4,0)&gt;0,VLOOKUP($A533-COUNT('Шаг2.Бланк заказа NEW'!$B$19:$B$201)-COUNT('Бланк OLD 0.8 04'!$B$18:$B$200),'Бланк OLD 2.0 04 '!$B$16:$K$200,5,0)&gt;0),0.4,""))))</f>
        <v/>
      </c>
      <c r="T533" s="147" t="str">
        <f ca="1">IFERROR(IFERROR(IF(VLOOKUP($A533,'Шаг2.Бланк заказа NEW'!$B$17:$N$201,7,0)="","",VLOOKUP($A533,'Шаг2.Бланк заказа NEW'!$B$17:$N$201,7,0)),
IF(VLOOKUP($A533-COUNT('Шаг2.Бланк заказа NEW'!$B$19:$B$201),'Бланк OLD 0.8 04'!$B$12:$K$200,7,0)&gt;0,0.8,
IF(VLOOKUP($A533-COUNT('Шаг2.Бланк заказа NEW'!$B$19:$B$201),'Бланк OLD 0.8 04'!$B$12:$K$200,8,0)&gt;0,0.4,""))),
IF(VLOOKUP($A533-COUNT('Шаг2.Бланк заказа NEW'!$B$19:$B$201)-COUNT('Бланк OLD 0.8 04'!$B$18:$B$200),'Бланк OLD 2.0 04 '!$B$16:$K$200,7,0)&gt;0,2,IF(VLOOKUP($A533-COUNT('Шаг2.Бланк заказа NEW'!$B$19:$B$201)-COUNT('Бланк OLD 0.8 04'!$B$18:$B$200),'Бланк OLD 2.0 04 '!$B$16:$K$200,8,0)&gt;0,0.4,"")))</f>
        <v/>
      </c>
      <c r="U533" s="147" t="str">
        <f ca="1">IFERROR(IFERROR(IF(VLOOKUP($A533,'Шаг2.Бланк заказа NEW'!$B$17:$N$201,8,0)="","",VLOOKUP($A533,'Шаг2.Бланк заказа NEW'!$B$17:$N$201,8,0)),
IF(VLOOKUP($A533-COUNT('Шаг2.Бланк заказа NEW'!$B$19:$B$201),'Бланк OLD 0.8 04'!$B$12:$K$200,7,0)&gt;1,0.8,
IF(VLOOKUP($A533-COUNT('Шаг2.Бланк заказа NEW'!$B$19:$B$201),'Бланк OLD 0.8 04'!$B$12:$K$200,8,0)&gt;1,0.4,
IF(AND(VLOOKUP($A533-COUNT('Шаг2.Бланк заказа NEW'!$B$19:$B$201),'Бланк OLD 0.8 04'!$B$12:$K$200,7,0)&gt;0,VLOOKUP($A533-COUNT('Шаг2.Бланк заказа NEW'!$B$19:$B$201),'Бланк OLD 0.8 04'!$B$12:$K$200,8,0)&gt;0),0.4,"")))),
IF(VLOOKUP($A533-COUNT('Шаг2.Бланк заказа NEW'!$B$19:$B$201)-COUNT('Бланк OLD 0.8 04'!$B$18:$B$200),'Бланк OLD 2.0 04 '!$B$16:$K$200,7,0)&gt;1,2,
IF(VLOOKUP($A533-COUNT('Шаг2.Бланк заказа NEW'!$B$19:$B$201)-COUNT('Бланк OLD 0.8 04'!$B$18:$B$200),'Бланк OLD 2.0 04 '!$B$16:$K$200,8,0)&gt;1,0.4,
IF(AND(VLOOKUP($A533-COUNT('Шаг2.Бланк заказа NEW'!$B$19:$B$201)-COUNT('Бланк OLD 0.8 04'!$B$18:$B$200),'Бланк OLD 2.0 04 '!$B$16:$K$200,7,0)&gt;0,VLOOKUP($A533-COUNT('Шаг2.Бланк заказа NEW'!$B$19:$B$201)-COUNT('Бланк OLD 0.8 04'!$B$18:$B$200),'Бланк OLD 2.0 04 '!$B$16:$K$200,8,0)&gt;0),0.4,""))))</f>
        <v/>
      </c>
      <c r="V533" s="146" t="str">
        <f ca="1">IFERROR(VLOOKUP(C533,'Шаг1.Выбор плиты'!C:S,12,0),"")</f>
        <v/>
      </c>
      <c r="W533" s="146" t="str">
        <f ca="1">IFERROR(VLOOKUP(C533,'Шаг1.Выбор плиты'!C:S,8,0),"")</f>
        <v/>
      </c>
      <c r="X533" s="146" t="str">
        <f ca="1">IFERROR(VLOOKUP(C533,'Шаг1.Выбор плиты'!C:S,10,0),"")</f>
        <v/>
      </c>
      <c r="Y533" s="147" t="str">
        <f t="shared" ca="1" si="51"/>
        <v/>
      </c>
      <c r="AD533" s="147" t="str">
        <f t="shared" ca="1" si="48"/>
        <v/>
      </c>
      <c r="AE533" s="147" t="str">
        <f t="shared" ca="1" si="52"/>
        <v/>
      </c>
      <c r="AF533" s="25"/>
      <c r="AH533" s="147" t="str">
        <f ca="1">IF(C533="","",VLOOKUP(C533,'Шаг1.Выбор плиты'!C:Q,7,0))</f>
        <v/>
      </c>
      <c r="AI533" s="147" t="str">
        <f t="shared" ca="1" si="50"/>
        <v/>
      </c>
    </row>
    <row r="534" spans="1:35" x14ac:dyDescent="0.2">
      <c r="A534" s="151" t="str">
        <f ca="1">IF(C534="","",MAX($A$1:OFFSET(C534,-1,0))+1)</f>
        <v/>
      </c>
      <c r="B534" s="151" t="str">
        <f ca="1">IFERROR(IFERROR(IFERROR("Шаг2.Бланк заказа NEW №"&amp;VLOOKUP(A533+1,CHOOSE({1,2},'Шаг2.Бланк заказа NEW'!$B$19:$B$201,'Шаг2.Бланк заказа NEW'!$A$19:$A$201),1,0),
"Бланк OLD 0.8 04 №"&amp;VLOOKUP(A533+1-COUNT('Шаг2.Бланк заказа NEW'!$B$19:$B$201),CHOOSE({1,2},'Бланк OLD 0.8 04'!$B$18:$B$200,'Бланк OLD 0.8 04'!$A$18:$A$200),1,0)),
"Бланк OLD 2.0 04 №"&amp;VLOOKUP(A533+1-COUNT('Шаг2.Бланк заказа NEW'!$B$19:$B$201)-COUNT('Бланк OLD 0.8 04'!$B$18:$B$200),CHOOSE({1,2},'Бланк OLD 2.0 04 '!$B$18:$B$200,'Бланк OLD 2.0 04 '!$A$18:$A$200),1,0)),"")</f>
        <v/>
      </c>
      <c r="C534" s="152" t="str">
        <f ca="1">IFERROR(IFERROR(IFERROR(VLOOKUP(A533+1,CHOOSE({1,2},'Шаг2.Бланк заказа NEW'!$B$19:$B$201,'Шаг2.Бланк заказа NEW'!$A$19:$A$201),2,0),
VLOOKUP(A533+1-COUNT('Шаг2.Бланк заказа NEW'!$B$19:$B$201),CHOOSE({1,2},'Бланк OLD 0.8 04'!$B$18:$B$200,'Бланк OLD 0.8 04'!$A$18:$A$200),2,0)),
VLOOKUP(A533+1-COUNT('Шаг2.Бланк заказа NEW'!$B$19:$B$201)-COUNT('Бланк OLD 0.8 04'!$B$18:$B$200),CHOOSE({1,2},'Бланк OLD 2.0 04 '!$B$18:$B$200,'Бланк OLD 2.0 04 '!$A$18:$A$200),2,0)),"")</f>
        <v/>
      </c>
      <c r="D534" s="150" t="str">
        <f ca="1">IFERROR(VLOOKUP(C534,'Шаг1.Выбор плиты'!C:G,5,0),"")</f>
        <v/>
      </c>
      <c r="E534" s="147" t="str">
        <f ca="1">IFERROR(IFERROR(IF(VLOOKUP($A534,'Шаг2.Бланк заказа NEW'!$B$17:$N$201,2,0)="","",VLOOKUP($A534,'Шаг2.Бланк заказа NEW'!$B$17:$N$201,2,0)),
IF(VLOOKUP($A534-COUNT('Шаг2.Бланк заказа NEW'!$B$19:$B$201),'Бланк OLD 0.8 04'!$B$12:$K$200,2,0)="","",VLOOKUP($A534-COUNT('Шаг2.Бланк заказа NEW'!$B$19:$B$201),'Бланк OLD 0.8 04'!$B$12:$K$200,2,0))),
IF(VLOOKUP($A534-COUNT('Шаг2.Бланк заказа NEW'!$B$19:$B$201)-COUNT('Бланк OLD 0.8 04'!$B$18:$B$200),'Бланк OLD 2.0 04 '!$B$16:$K$200,2,0)="","",VLOOKUP($A534-COUNT('Шаг2.Бланк заказа NEW'!$B$19:$B$201)-COUNT('Бланк OLD 0.8 04'!$B$18:$B$200),'Бланк OLD 2.0 04 '!$B$16:$K$200,2,0)))</f>
        <v/>
      </c>
      <c r="F534" s="147" t="str">
        <f ca="1">IFERROR(IFERROR(IF(VLOOKUP($A534,'Шаг2.Бланк заказа NEW'!$B$17:$N$201,3,0)="","",VLOOKUP($A534,'Шаг2.Бланк заказа NEW'!$B$17:$N$201,3,0)),
IF(VLOOKUP($A534-COUNT('Шаг2.Бланк заказа NEW'!$B$19:$B$201),'Бланк OLD 0.8 04'!$B$12:$K$200,3,0)="","",VLOOKUP($A534-COUNT('Шаг2.Бланк заказа NEW'!$B$19:$B$201),'Бланк OLD 0.8 04'!$B$12:$K$200,3,0))),
IF(VLOOKUP($A534-COUNT('Шаг2.Бланк заказа NEW'!$B$19:$B$201)-COUNT('Бланк OLD 0.8 04'!$B$18:$B$200),'Бланк OLD 2.0 04 '!$B$16:$K$200,3,0)="","",VLOOKUP($A534-COUNT('Шаг2.Бланк заказа NEW'!$B$19:$B$201)-COUNT('Бланк OLD 0.8 04'!$B$18:$B$200),'Бланк OLD 2.0 04 '!$B$16:$K$200,3,0)))</f>
        <v/>
      </c>
      <c r="G534" s="176" t="str">
        <f ca="1">IF(IF(R534="","",IF(R534=1,SUMIFS('Шаг1.Выбор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плиты'!C:Q,12,0)),1))))))=0,
R534,
IF(R534="","",IF(R534=1,SUMIFS('Шаг1.Выбор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плиты'!N:N,R534,'Шаг1.Выбор плиты'!M:M,SMALL(INDIRECT("мм"&amp;VLOOKUP(C534,'Шаг1.Выбор плиты'!C:Q,12,0)),1)))))))</f>
        <v/>
      </c>
      <c r="H534" s="177" t="str">
        <f ca="1">IF(IF(S534="","",IF(S534=1,SUMIFS('Шаг1.Выбор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плиты'!C:Q,12,0)),1))))))=0,
S534,
IF(S534="","",IF(S534=1,SUMIFS('Шаг1.Выбор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плиты'!N:N,S534,'Шаг1.Выбор плиты'!M:M,SMALL(INDIRECT("мм"&amp;VLOOKUP(C534,'Шаг1.Выбор плиты'!C:Q,12,0)),1)))))))</f>
        <v/>
      </c>
      <c r="I534" s="147" t="str">
        <f ca="1">IFERROR(IFERROR(IF(VLOOKUP($A534,'Шаг2.Бланк заказа NEW'!$B$17:$N$201,6,0)="","",VLOOKUP($A534,'Шаг2.Бланк заказа NEW'!$B$17:$N$201,6,0)),
IF(VLOOKUP($A534-COUNT('Шаг2.Бланк заказа NEW'!$B$19:$B$201),'Бланк OLD 0.8 04'!$B$12:$K$200,6,0)="","",VLOOKUP($A534-COUNT('Шаг2.Бланк заказа NEW'!$B$19:$B$201),'Бланк OLD 0.8 04'!$B$12:$K$200,6,0))),
IF(VLOOKUP($A534-COUNT('Шаг2.Бланк заказа NEW'!$B$19:$B$201)-COUNT('Бланк OLD 0.8 04'!$B$18:$B$200),'Бланк OLD 2.0 04 '!$B$16:$K$200,6,0)="","",VLOOKUP($A534-COUNT('Шаг2.Бланк заказа NEW'!$B$19:$B$201)-COUNT('Бланк OLD 0.8 04'!$B$18:$B$200),'Бланк OLD 2.0 04 '!$B$16:$K$200,6,0)))</f>
        <v/>
      </c>
      <c r="J534" s="177" t="str">
        <f ca="1">IF(IF(T534="","",IF(T534=1,SUMIFS('Шаг1.Выбор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плиты'!C:Q,12,0)),1))))))=0,
T534,
IF(T534="","",IF(T534=1,SUMIFS('Шаг1.Выбор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плиты'!N:N,T534,'Шаг1.Выбор плиты'!M:M,SMALL(INDIRECT("мм"&amp;VLOOKUP(C534,'Шаг1.Выбор плиты'!C:Q,12,0)),1)))))))</f>
        <v/>
      </c>
      <c r="K534" s="177" t="str">
        <f ca="1">IF(IF(U534="","",IF(U534=1,SUMIFS('Шаг1.Выбор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плиты'!C:Q,12,0)),1))))))=0,
U534,
IF(U534="","",IF(U534=1,SUMIFS('Шаг1.Выбор плиты'!$G:$G,'Шаг1.Выбор плиты'!J:J,"*"&amp;RIGHT(VLOOKUP(C534,'Шаг1.Выбор плиты'!C:Q,8,0),4),'Шаг1.Выбор плиты'!L:L,IF(MID(C534,1,6)="ЛДСП P","TM"&amp;MID(VLOOKUP(C534,'Шаг1.Выбор плиты'!C:Q,10,0),3,2),MID(VLOOKUP(C534,'Шаг1.Выбор плиты'!C:Q,10,0),1,2)),
'Шаг1.Выбор плиты'!N:N,1),IF(SUMIFS('Шаг1.Выбор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плиты'!C:Q,12,0)),1))=0,
IF(SUMIFS('Шаг1.Выбор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плиты'!C:Q,12,0)),2))=0,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плиты'!C:Q,12,0)),3)),
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плиты'!C:Q,12,0)),2))),
(SUMIFS('Шаг1.Выбор плиты'!$G:$G,'Шаг1.Выбор плиты'!J:J,"*"&amp;RIGHT(VLOOKUP(C534,'Шаг1.Выбор плиты'!C:Q,8,0),4),'Шаг1.Выбор плиты'!L:L,VLOOKUP(C534,'Шаг1.Выбор плиты'!C:Q,10,0),'Шаг1.Выбор плиты'!N:N,U534,'Шаг1.Выбор плиты'!M:M,SMALL(INDIRECT("мм"&amp;VLOOKUP(C534,'Шаг1.Выбор плиты'!C:Q,12,0)),1)))))))</f>
        <v/>
      </c>
      <c r="L534" s="147" t="str">
        <f ca="1">IFERROR(IFERROR(IF(VLOOKUP($A534,'Шаг2.Бланк заказа NEW'!$B$17:$N$201,9,0)="","",VLOOKUP($A534,'Шаг2.Бланк заказа NEW'!$B$17:$N$201,9,0)),
IF(VLOOKUP($A534-COUNT('Шаг2.Бланк заказа NEW'!$B$19:$B$201),'Бланк OLD 0.8 04'!$B$12:$K$200,9,0)="","",VLOOKUP($A534-COUNT('Шаг2.Бланк заказа NEW'!$B$19:$B$201),'Бланк OLD 0.8 04'!$B$12:$K$200,9,0))),
IF(VLOOKUP($A534-COUNT('Шаг2.Бланк заказа NEW'!$B$19:$B$201)-COUNT('Бланк OLD 0.8 04'!$B$18:$B$200),'Бланк OLD 2.0 04 '!$B$16:$K$200,9,0)="","",VLOOKUP($A534-COUNT('Шаг2.Бланк заказа NEW'!$B$19:$B$201)-COUNT('Бланк OLD 0.8 04'!$B$18:$B$200),'Бланк OLD 2.0 04 '!$B$16:$K$200,9,0)))</f>
        <v/>
      </c>
      <c r="M534" s="154" t="str">
        <f t="shared" ca="1" si="49"/>
        <v/>
      </c>
      <c r="N534" s="153" t="str">
        <f ca="1">IFERROR(IF(VLOOKUP($A534,'Шаг2.Бланк заказа NEW'!$B$17:$N$201,11,0)="","",VLOOKUP($A534,'Шаг2.Бланк заказа NEW'!$B$17:$N$201,11,0)),
"Нет")</f>
        <v/>
      </c>
      <c r="O534" s="147" t="str">
        <f ca="1">IFERROR(IF(VLOOKUP($A534,'Шаг2.Бланк заказа NEW'!$B$17:$N$201,11,0)="","",VLOOKUP($A534,'Шаг2.Бланк заказа NEW'!$B$17:$N$201,12,0)),
"Нет")</f>
        <v/>
      </c>
      <c r="P534" s="153" t="str">
        <f ca="1">IFERROR(IF(VLOOKUP($A534,'Шаг2.Бланк заказа NEW'!$B$17:$N$201,13,0)="","",VLOOKUP($A534,'Шаг2.Бланк заказа NEW'!$B$17:$N$201,13,0)),
"Нет")</f>
        <v/>
      </c>
      <c r="Q534" s="147" t="str">
        <f ca="1">IFERROR(IF(VLOOKUP($A534,'Шаг2.Бланк заказа NEW'!$B$17:$O$201,14,0)="","",VLOOKUP($A534,'Шаг2.Бланк заказа NEW'!$B$17:$O$201,14,0)),"")</f>
        <v/>
      </c>
      <c r="R534" s="147" t="str">
        <f ca="1">IFERROR(IFERROR(IF(VLOOKUP($A534,'Шаг2.Бланк заказа NEW'!$B$17:$N$201,4,0)="","",VLOOKUP($A534,'Шаг2.Бланк заказа NEW'!$B$17:$N$201,4,0)),
IF(VLOOKUP($A534-COUNT('Шаг2.Бланк заказа NEW'!$B$19:$B$201),'Бланк OLD 0.8 04'!$B$12:$K$200,4,0)&gt;0,0.8,
IF(VLOOKUP($A534-COUNT('Шаг2.Бланк заказа NEW'!$B$19:$B$201),'Бланк OLD 0.8 04'!$B$12:$K$200,5,0)&gt;0,0.4,""))),
IF(VLOOKUP($A534-COUNT('Шаг2.Бланк заказа NEW'!$B$19:$B$201)-COUNT('Бланк OLD 0.8 04'!$B$18:$B$200),'Бланк OLD 2.0 04 '!$B$16:$K$200,4,0)&gt;0,2,IF(VLOOKUP($A534-COUNT('Шаг2.Бланк заказа NEW'!$B$19:$B$201)-COUNT('Бланк OLD 0.8 04'!$B$18:$B$200),'Бланк OLD 2.0 04 '!$B$16:$K$200,5,0)&gt;0,0.4,"")))</f>
        <v/>
      </c>
      <c r="S534" s="147" t="str">
        <f ca="1">IFERROR(IFERROR(IF(VLOOKUP($A534,'Шаг2.Бланк заказа NEW'!$B$17:$N$201,5,0)="","",VLOOKUP($A534,'Шаг2.Бланк заказа NEW'!$B$17:$N$201,5,0)),
IF(VLOOKUP($A534-COUNT('Шаг2.Бланк заказа NEW'!$B$19:$B$201),'Бланк OLD 0.8 04'!$B$12:$K$200,4,0)&gt;1,0.8,
IF(VLOOKUP($A534-COUNT('Шаг2.Бланк заказа NEW'!$B$19:$B$201),'Бланк OLD 0.8 04'!$B$12:$K$200,5,0)&gt;1,0.4,
IF(AND(VLOOKUP($A534-COUNT('Шаг2.Бланк заказа NEW'!$B$19:$B$201),'Бланк OLD 0.8 04'!$B$12:$K$200,4,0)&gt;0,VLOOKUP($A534-COUNT('Шаг2.Бланк заказа NEW'!$B$19:$B$201),'Бланк OLD 0.8 04'!$B$12:$K$200,5,0)&gt;0),0.4,"")))),
IF(VLOOKUP($A534-COUNT('Шаг2.Бланк заказа NEW'!$B$19:$B$201)-COUNT('Бланк OLD 0.8 04'!$B$18:$B$200),'Бланк OLD 2.0 04 '!$B$16:$K$200,4,0)&gt;1,2,
IF(VLOOKUP($A534-COUNT('Шаг2.Бланк заказа NEW'!$B$19:$B$201)-COUNT('Бланк OLD 0.8 04'!$B$18:$B$200),'Бланк OLD 2.0 04 '!$B$16:$K$200,5,0)&gt;1,0.4,IF(AND(VLOOKUP($A534-COUNT('Шаг2.Бланк заказа NEW'!$B$19:$B$201)-COUNT('Бланк OLD 0.8 04'!$B$18:$B$200),'Бланк OLD 2.0 04 '!$B$16:$K$200,4,0)&gt;0,VLOOKUP($A534-COUNT('Шаг2.Бланк заказа NEW'!$B$19:$B$201)-COUNT('Бланк OLD 0.8 04'!$B$18:$B$200),'Бланк OLD 2.0 04 '!$B$16:$K$200,5,0)&gt;0),0.4,""))))</f>
        <v/>
      </c>
      <c r="T534" s="147" t="str">
        <f ca="1">IFERROR(IFERROR(IF(VLOOKUP($A534,'Шаг2.Бланк заказа NEW'!$B$17:$N$201,7,0)="","",VLOOKUP($A534,'Шаг2.Бланк заказа NEW'!$B$17:$N$201,7,0)),
IF(VLOOKUP($A534-COUNT('Шаг2.Бланк заказа NEW'!$B$19:$B$201),'Бланк OLD 0.8 04'!$B$12:$K$200,7,0)&gt;0,0.8,
IF(VLOOKUP($A534-COUNT('Шаг2.Бланк заказа NEW'!$B$19:$B$201),'Бланк OLD 0.8 04'!$B$12:$K$200,8,0)&gt;0,0.4,""))),
IF(VLOOKUP($A534-COUNT('Шаг2.Бланк заказа NEW'!$B$19:$B$201)-COUNT('Бланк OLD 0.8 04'!$B$18:$B$200),'Бланк OLD 2.0 04 '!$B$16:$K$200,7,0)&gt;0,2,IF(VLOOKUP($A534-COUNT('Шаг2.Бланк заказа NEW'!$B$19:$B$201)-COUNT('Бланк OLD 0.8 04'!$B$18:$B$200),'Бланк OLD 2.0 04 '!$B$16:$K$200,8,0)&gt;0,0.4,"")))</f>
        <v/>
      </c>
      <c r="U534" s="147" t="str">
        <f ca="1">IFERROR(IFERROR(IF(VLOOKUP($A534,'Шаг2.Бланк заказа NEW'!$B$17:$N$201,8,0)="","",VLOOKUP($A534,'Шаг2.Бланк заказа NEW'!$B$17:$N$201,8,0)),
IF(VLOOKUP($A534-COUNT('Шаг2.Бланк заказа NEW'!$B$19:$B$201),'Бланк OLD 0.8 04'!$B$12:$K$200,7,0)&gt;1,0.8,
IF(VLOOKUP($A534-COUNT('Шаг2.Бланк заказа NEW'!$B$19:$B$201),'Бланк OLD 0.8 04'!$B$12:$K$200,8,0)&gt;1,0.4,
IF(AND(VLOOKUP($A534-COUNT('Шаг2.Бланк заказа NEW'!$B$19:$B$201),'Бланк OLD 0.8 04'!$B$12:$K$200,7,0)&gt;0,VLOOKUP($A534-COUNT('Шаг2.Бланк заказа NEW'!$B$19:$B$201),'Бланк OLD 0.8 04'!$B$12:$K$200,8,0)&gt;0),0.4,"")))),
IF(VLOOKUP($A534-COUNT('Шаг2.Бланк заказа NEW'!$B$19:$B$201)-COUNT('Бланк OLD 0.8 04'!$B$18:$B$200),'Бланк OLD 2.0 04 '!$B$16:$K$200,7,0)&gt;1,2,
IF(VLOOKUP($A534-COUNT('Шаг2.Бланк заказа NEW'!$B$19:$B$201)-COUNT('Бланк OLD 0.8 04'!$B$18:$B$200),'Бланк OLD 2.0 04 '!$B$16:$K$200,8,0)&gt;1,0.4,
IF(AND(VLOOKUP($A534-COUNT('Шаг2.Бланк заказа NEW'!$B$19:$B$201)-COUNT('Бланк OLD 0.8 04'!$B$18:$B$200),'Бланк OLD 2.0 04 '!$B$16:$K$200,7,0)&gt;0,VLOOKUP($A534-COUNT('Шаг2.Бланк заказа NEW'!$B$19:$B$201)-COUNT('Бланк OLD 0.8 04'!$B$18:$B$200),'Бланк OLD 2.0 04 '!$B$16:$K$200,8,0)&gt;0),0.4,""))))</f>
        <v/>
      </c>
      <c r="V534" s="146" t="str">
        <f ca="1">IFERROR(VLOOKUP(C534,'Шаг1.Выбор плиты'!C:S,12,0),"")</f>
        <v/>
      </c>
      <c r="W534" s="146" t="str">
        <f ca="1">IFERROR(VLOOKUP(C534,'Шаг1.Выбор плиты'!C:S,8,0),"")</f>
        <v/>
      </c>
      <c r="X534" s="146" t="str">
        <f ca="1">IFERROR(VLOOKUP(C534,'Шаг1.Выбор плиты'!C:S,10,0),"")</f>
        <v/>
      </c>
      <c r="Y534" s="147" t="str">
        <f t="shared" ca="1" si="51"/>
        <v/>
      </c>
      <c r="AD534" s="147" t="str">
        <f t="shared" ca="1" si="48"/>
        <v/>
      </c>
      <c r="AE534" s="147" t="str">
        <f t="shared" ca="1" si="52"/>
        <v/>
      </c>
      <c r="AF534" s="25"/>
      <c r="AH534" s="147" t="str">
        <f ca="1">IF(C534="","",VLOOKUP(C534,'Шаг1.Выбор плиты'!C:Q,7,0))</f>
        <v/>
      </c>
      <c r="AI534" s="147" t="str">
        <f t="shared" ca="1" si="50"/>
        <v/>
      </c>
    </row>
    <row r="535" spans="1:35" x14ac:dyDescent="0.2">
      <c r="A535" s="151" t="str">
        <f ca="1">IF(C535="","",MAX($A$1:OFFSET(C535,-1,0))+1)</f>
        <v/>
      </c>
      <c r="B535" s="151" t="str">
        <f ca="1">IFERROR(IFERROR(IFERROR("Шаг2.Бланк заказа NEW №"&amp;VLOOKUP(A534+1,CHOOSE({1,2},'Шаг2.Бланк заказа NEW'!$B$19:$B$201,'Шаг2.Бланк заказа NEW'!$A$19:$A$201),1,0),
"Бланк OLD 0.8 04 №"&amp;VLOOKUP(A534+1-COUNT('Шаг2.Бланк заказа NEW'!$B$19:$B$201),CHOOSE({1,2},'Бланк OLD 0.8 04'!$B$18:$B$200,'Бланк OLD 0.8 04'!$A$18:$A$200),1,0)),
"Бланк OLD 2.0 04 №"&amp;VLOOKUP(A534+1-COUNT('Шаг2.Бланк заказа NEW'!$B$19:$B$201)-COUNT('Бланк OLD 0.8 04'!$B$18:$B$200),CHOOSE({1,2},'Бланк OLD 2.0 04 '!$B$18:$B$200,'Бланк OLD 2.0 04 '!$A$18:$A$200),1,0)),"")</f>
        <v/>
      </c>
      <c r="C535" s="152" t="str">
        <f ca="1">IFERROR(IFERROR(IFERROR(VLOOKUP(A534+1,CHOOSE({1,2},'Шаг2.Бланк заказа NEW'!$B$19:$B$201,'Шаг2.Бланк заказа NEW'!$A$19:$A$201),2,0),
VLOOKUP(A534+1-COUNT('Шаг2.Бланк заказа NEW'!$B$19:$B$201),CHOOSE({1,2},'Бланк OLD 0.8 04'!$B$18:$B$200,'Бланк OLD 0.8 04'!$A$18:$A$200),2,0)),
VLOOKUP(A534+1-COUNT('Шаг2.Бланк заказа NEW'!$B$19:$B$201)-COUNT('Бланк OLD 0.8 04'!$B$18:$B$200),CHOOSE({1,2},'Бланк OLD 2.0 04 '!$B$18:$B$200,'Бланк OLD 2.0 04 '!$A$18:$A$200),2,0)),"")</f>
        <v/>
      </c>
      <c r="D535" s="150" t="str">
        <f ca="1">IFERROR(VLOOKUP(C535,'Шаг1.Выбор плиты'!C:G,5,0),"")</f>
        <v/>
      </c>
      <c r="E535" s="147" t="str">
        <f ca="1">IFERROR(IFERROR(IF(VLOOKUP($A535,'Шаг2.Бланк заказа NEW'!$B$17:$N$201,2,0)="","",VLOOKUP($A535,'Шаг2.Бланк заказа NEW'!$B$17:$N$201,2,0)),
IF(VLOOKUP($A535-COUNT('Шаг2.Бланк заказа NEW'!$B$19:$B$201),'Бланк OLD 0.8 04'!$B$12:$K$200,2,0)="","",VLOOKUP($A535-COUNT('Шаг2.Бланк заказа NEW'!$B$19:$B$201),'Бланк OLD 0.8 04'!$B$12:$K$200,2,0))),
IF(VLOOKUP($A535-COUNT('Шаг2.Бланк заказа NEW'!$B$19:$B$201)-COUNT('Бланк OLD 0.8 04'!$B$18:$B$200),'Бланк OLD 2.0 04 '!$B$16:$K$200,2,0)="","",VLOOKUP($A535-COUNT('Шаг2.Бланк заказа NEW'!$B$19:$B$201)-COUNT('Бланк OLD 0.8 04'!$B$18:$B$200),'Бланк OLD 2.0 04 '!$B$16:$K$200,2,0)))</f>
        <v/>
      </c>
      <c r="F535" s="147" t="str">
        <f ca="1">IFERROR(IFERROR(IF(VLOOKUP($A535,'Шаг2.Бланк заказа NEW'!$B$17:$N$201,3,0)="","",VLOOKUP($A535,'Шаг2.Бланк заказа NEW'!$B$17:$N$201,3,0)),
IF(VLOOKUP($A535-COUNT('Шаг2.Бланк заказа NEW'!$B$19:$B$201),'Бланк OLD 0.8 04'!$B$12:$K$200,3,0)="","",VLOOKUP($A535-COUNT('Шаг2.Бланк заказа NEW'!$B$19:$B$201),'Бланк OLD 0.8 04'!$B$12:$K$200,3,0))),
IF(VLOOKUP($A535-COUNT('Шаг2.Бланк заказа NEW'!$B$19:$B$201)-COUNT('Бланк OLD 0.8 04'!$B$18:$B$200),'Бланк OLD 2.0 04 '!$B$16:$K$200,3,0)="","",VLOOKUP($A535-COUNT('Шаг2.Бланк заказа NEW'!$B$19:$B$201)-COUNT('Бланк OLD 0.8 04'!$B$18:$B$200),'Бланк OLD 2.0 04 '!$B$16:$K$200,3,0)))</f>
        <v/>
      </c>
      <c r="G535" s="176" t="str">
        <f ca="1">IF(IF(R535="","",IF(R535=1,SUMIFS('Шаг1.Выбор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плиты'!C:Q,12,0)),1))))))=0,
R535,
IF(R535="","",IF(R535=1,SUMIFS('Шаг1.Выбор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плиты'!N:N,R535,'Шаг1.Выбор плиты'!M:M,SMALL(INDIRECT("мм"&amp;VLOOKUP(C535,'Шаг1.Выбор плиты'!C:Q,12,0)),1)))))))</f>
        <v/>
      </c>
      <c r="H535" s="177" t="str">
        <f ca="1">IF(IF(S535="","",IF(S535=1,SUMIFS('Шаг1.Выбор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плиты'!C:Q,12,0)),1))))))=0,
S535,
IF(S535="","",IF(S535=1,SUMIFS('Шаг1.Выбор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плиты'!N:N,S535,'Шаг1.Выбор плиты'!M:M,SMALL(INDIRECT("мм"&amp;VLOOKUP(C535,'Шаг1.Выбор плиты'!C:Q,12,0)),1)))))))</f>
        <v/>
      </c>
      <c r="I535" s="147" t="str">
        <f ca="1">IFERROR(IFERROR(IF(VLOOKUP($A535,'Шаг2.Бланк заказа NEW'!$B$17:$N$201,6,0)="","",VLOOKUP($A535,'Шаг2.Бланк заказа NEW'!$B$17:$N$201,6,0)),
IF(VLOOKUP($A535-COUNT('Шаг2.Бланк заказа NEW'!$B$19:$B$201),'Бланк OLD 0.8 04'!$B$12:$K$200,6,0)="","",VLOOKUP($A535-COUNT('Шаг2.Бланк заказа NEW'!$B$19:$B$201),'Бланк OLD 0.8 04'!$B$12:$K$200,6,0))),
IF(VLOOKUP($A535-COUNT('Шаг2.Бланк заказа NEW'!$B$19:$B$201)-COUNT('Бланк OLD 0.8 04'!$B$18:$B$200),'Бланк OLD 2.0 04 '!$B$16:$K$200,6,0)="","",VLOOKUP($A535-COUNT('Шаг2.Бланк заказа NEW'!$B$19:$B$201)-COUNT('Бланк OLD 0.8 04'!$B$18:$B$200),'Бланк OLD 2.0 04 '!$B$16:$K$200,6,0)))</f>
        <v/>
      </c>
      <c r="J535" s="177" t="str">
        <f ca="1">IF(IF(T535="","",IF(T535=1,SUMIFS('Шаг1.Выбор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плиты'!C:Q,12,0)),1))))))=0,
T535,
IF(T535="","",IF(T535=1,SUMIFS('Шаг1.Выбор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плиты'!N:N,T535,'Шаг1.Выбор плиты'!M:M,SMALL(INDIRECT("мм"&amp;VLOOKUP(C535,'Шаг1.Выбор плиты'!C:Q,12,0)),1)))))))</f>
        <v/>
      </c>
      <c r="K535" s="177" t="str">
        <f ca="1">IF(IF(U535="","",IF(U535=1,SUMIFS('Шаг1.Выбор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плиты'!C:Q,12,0)),1))))))=0,
U535,
IF(U535="","",IF(U535=1,SUMIFS('Шаг1.Выбор плиты'!$G:$G,'Шаг1.Выбор плиты'!J:J,"*"&amp;RIGHT(VLOOKUP(C535,'Шаг1.Выбор плиты'!C:Q,8,0),4),'Шаг1.Выбор плиты'!L:L,IF(MID(C535,1,6)="ЛДСП P","TM"&amp;MID(VLOOKUP(C535,'Шаг1.Выбор плиты'!C:Q,10,0),3,2),MID(VLOOKUP(C535,'Шаг1.Выбор плиты'!C:Q,10,0),1,2)),
'Шаг1.Выбор плиты'!N:N,1),IF(SUMIFS('Шаг1.Выбор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плиты'!C:Q,12,0)),1))=0,
IF(SUMIFS('Шаг1.Выбор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плиты'!C:Q,12,0)),2))=0,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плиты'!C:Q,12,0)),3)),
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плиты'!C:Q,12,0)),2))),
(SUMIFS('Шаг1.Выбор плиты'!$G:$G,'Шаг1.Выбор плиты'!J:J,"*"&amp;RIGHT(VLOOKUP(C535,'Шаг1.Выбор плиты'!C:Q,8,0),4),'Шаг1.Выбор плиты'!L:L,VLOOKUP(C535,'Шаг1.Выбор плиты'!C:Q,10,0),'Шаг1.Выбор плиты'!N:N,U535,'Шаг1.Выбор плиты'!M:M,SMALL(INDIRECT("мм"&amp;VLOOKUP(C535,'Шаг1.Выбор плиты'!C:Q,12,0)),1)))))))</f>
        <v/>
      </c>
      <c r="L535" s="147" t="str">
        <f ca="1">IFERROR(IFERROR(IF(VLOOKUP($A535,'Шаг2.Бланк заказа NEW'!$B$17:$N$201,9,0)="","",VLOOKUP($A535,'Шаг2.Бланк заказа NEW'!$B$17:$N$201,9,0)),
IF(VLOOKUP($A535-COUNT('Шаг2.Бланк заказа NEW'!$B$19:$B$201),'Бланк OLD 0.8 04'!$B$12:$K$200,9,0)="","",VLOOKUP($A535-COUNT('Шаг2.Бланк заказа NEW'!$B$19:$B$201),'Бланк OLD 0.8 04'!$B$12:$K$200,9,0))),
IF(VLOOKUP($A535-COUNT('Шаг2.Бланк заказа NEW'!$B$19:$B$201)-COUNT('Бланк OLD 0.8 04'!$B$18:$B$200),'Бланк OLD 2.0 04 '!$B$16:$K$200,9,0)="","",VLOOKUP($A535-COUNT('Шаг2.Бланк заказа NEW'!$B$19:$B$201)-COUNT('Бланк OLD 0.8 04'!$B$18:$B$200),'Бланк OLD 2.0 04 '!$B$16:$K$200,9,0)))</f>
        <v/>
      </c>
      <c r="M535" s="154" t="str">
        <f t="shared" ca="1" si="49"/>
        <v/>
      </c>
      <c r="N535" s="153" t="str">
        <f ca="1">IFERROR(IF(VLOOKUP($A535,'Шаг2.Бланк заказа NEW'!$B$17:$N$201,11,0)="","",VLOOKUP($A535,'Шаг2.Бланк заказа NEW'!$B$17:$N$201,11,0)),
"Нет")</f>
        <v/>
      </c>
      <c r="O535" s="147" t="str">
        <f ca="1">IFERROR(IF(VLOOKUP($A535,'Шаг2.Бланк заказа NEW'!$B$17:$N$201,11,0)="","",VLOOKUP($A535,'Шаг2.Бланк заказа NEW'!$B$17:$N$201,12,0)),
"Нет")</f>
        <v/>
      </c>
      <c r="P535" s="153" t="str">
        <f ca="1">IFERROR(IF(VLOOKUP($A535,'Шаг2.Бланк заказа NEW'!$B$17:$N$201,13,0)="","",VLOOKUP($A535,'Шаг2.Бланк заказа NEW'!$B$17:$N$201,13,0)),
"Нет")</f>
        <v/>
      </c>
      <c r="Q535" s="147" t="str">
        <f ca="1">IFERROR(IF(VLOOKUP($A535,'Шаг2.Бланк заказа NEW'!$B$17:$O$201,14,0)="","",VLOOKUP($A535,'Шаг2.Бланк заказа NEW'!$B$17:$O$201,14,0)),"")</f>
        <v/>
      </c>
      <c r="R535" s="147" t="str">
        <f ca="1">IFERROR(IFERROR(IF(VLOOKUP($A535,'Шаг2.Бланк заказа NEW'!$B$17:$N$201,4,0)="","",VLOOKUP($A535,'Шаг2.Бланк заказа NEW'!$B$17:$N$201,4,0)),
IF(VLOOKUP($A535-COUNT('Шаг2.Бланк заказа NEW'!$B$19:$B$201),'Бланк OLD 0.8 04'!$B$12:$K$200,4,0)&gt;0,0.8,
IF(VLOOKUP($A535-COUNT('Шаг2.Бланк заказа NEW'!$B$19:$B$201),'Бланк OLD 0.8 04'!$B$12:$K$200,5,0)&gt;0,0.4,""))),
IF(VLOOKUP($A535-COUNT('Шаг2.Бланк заказа NEW'!$B$19:$B$201)-COUNT('Бланк OLD 0.8 04'!$B$18:$B$200),'Бланк OLD 2.0 04 '!$B$16:$K$200,4,0)&gt;0,2,IF(VLOOKUP($A535-COUNT('Шаг2.Бланк заказа NEW'!$B$19:$B$201)-COUNT('Бланк OLD 0.8 04'!$B$18:$B$200),'Бланк OLD 2.0 04 '!$B$16:$K$200,5,0)&gt;0,0.4,"")))</f>
        <v/>
      </c>
      <c r="S535" s="147" t="str">
        <f ca="1">IFERROR(IFERROR(IF(VLOOKUP($A535,'Шаг2.Бланк заказа NEW'!$B$17:$N$201,5,0)="","",VLOOKUP($A535,'Шаг2.Бланк заказа NEW'!$B$17:$N$201,5,0)),
IF(VLOOKUP($A535-COUNT('Шаг2.Бланк заказа NEW'!$B$19:$B$201),'Бланк OLD 0.8 04'!$B$12:$K$200,4,0)&gt;1,0.8,
IF(VLOOKUP($A535-COUNT('Шаг2.Бланк заказа NEW'!$B$19:$B$201),'Бланк OLD 0.8 04'!$B$12:$K$200,5,0)&gt;1,0.4,
IF(AND(VLOOKUP($A535-COUNT('Шаг2.Бланк заказа NEW'!$B$19:$B$201),'Бланк OLD 0.8 04'!$B$12:$K$200,4,0)&gt;0,VLOOKUP($A535-COUNT('Шаг2.Бланк заказа NEW'!$B$19:$B$201),'Бланк OLD 0.8 04'!$B$12:$K$200,5,0)&gt;0),0.4,"")))),
IF(VLOOKUP($A535-COUNT('Шаг2.Бланк заказа NEW'!$B$19:$B$201)-COUNT('Бланк OLD 0.8 04'!$B$18:$B$200),'Бланк OLD 2.0 04 '!$B$16:$K$200,4,0)&gt;1,2,
IF(VLOOKUP($A535-COUNT('Шаг2.Бланк заказа NEW'!$B$19:$B$201)-COUNT('Бланк OLD 0.8 04'!$B$18:$B$200),'Бланк OLD 2.0 04 '!$B$16:$K$200,5,0)&gt;1,0.4,IF(AND(VLOOKUP($A535-COUNT('Шаг2.Бланк заказа NEW'!$B$19:$B$201)-COUNT('Бланк OLD 0.8 04'!$B$18:$B$200),'Бланк OLD 2.0 04 '!$B$16:$K$200,4,0)&gt;0,VLOOKUP($A535-COUNT('Шаг2.Бланк заказа NEW'!$B$19:$B$201)-COUNT('Бланк OLD 0.8 04'!$B$18:$B$200),'Бланк OLD 2.0 04 '!$B$16:$K$200,5,0)&gt;0),0.4,""))))</f>
        <v/>
      </c>
      <c r="T535" s="147" t="str">
        <f ca="1">IFERROR(IFERROR(IF(VLOOKUP($A535,'Шаг2.Бланк заказа NEW'!$B$17:$N$201,7,0)="","",VLOOKUP($A535,'Шаг2.Бланк заказа NEW'!$B$17:$N$201,7,0)),
IF(VLOOKUP($A535-COUNT('Шаг2.Бланк заказа NEW'!$B$19:$B$201),'Бланк OLD 0.8 04'!$B$12:$K$200,7,0)&gt;0,0.8,
IF(VLOOKUP($A535-COUNT('Шаг2.Бланк заказа NEW'!$B$19:$B$201),'Бланк OLD 0.8 04'!$B$12:$K$200,8,0)&gt;0,0.4,""))),
IF(VLOOKUP($A535-COUNT('Шаг2.Бланк заказа NEW'!$B$19:$B$201)-COUNT('Бланк OLD 0.8 04'!$B$18:$B$200),'Бланк OLD 2.0 04 '!$B$16:$K$200,7,0)&gt;0,2,IF(VLOOKUP($A535-COUNT('Шаг2.Бланк заказа NEW'!$B$19:$B$201)-COUNT('Бланк OLD 0.8 04'!$B$18:$B$200),'Бланк OLD 2.0 04 '!$B$16:$K$200,8,0)&gt;0,0.4,"")))</f>
        <v/>
      </c>
      <c r="U535" s="147" t="str">
        <f ca="1">IFERROR(IFERROR(IF(VLOOKUP($A535,'Шаг2.Бланк заказа NEW'!$B$17:$N$201,8,0)="","",VLOOKUP($A535,'Шаг2.Бланк заказа NEW'!$B$17:$N$201,8,0)),
IF(VLOOKUP($A535-COUNT('Шаг2.Бланк заказа NEW'!$B$19:$B$201),'Бланк OLD 0.8 04'!$B$12:$K$200,7,0)&gt;1,0.8,
IF(VLOOKUP($A535-COUNT('Шаг2.Бланк заказа NEW'!$B$19:$B$201),'Бланк OLD 0.8 04'!$B$12:$K$200,8,0)&gt;1,0.4,
IF(AND(VLOOKUP($A535-COUNT('Шаг2.Бланк заказа NEW'!$B$19:$B$201),'Бланк OLD 0.8 04'!$B$12:$K$200,7,0)&gt;0,VLOOKUP($A535-COUNT('Шаг2.Бланк заказа NEW'!$B$19:$B$201),'Бланк OLD 0.8 04'!$B$12:$K$200,8,0)&gt;0),0.4,"")))),
IF(VLOOKUP($A535-COUNT('Шаг2.Бланк заказа NEW'!$B$19:$B$201)-COUNT('Бланк OLD 0.8 04'!$B$18:$B$200),'Бланк OLD 2.0 04 '!$B$16:$K$200,7,0)&gt;1,2,
IF(VLOOKUP($A535-COUNT('Шаг2.Бланк заказа NEW'!$B$19:$B$201)-COUNT('Бланк OLD 0.8 04'!$B$18:$B$200),'Бланк OLD 2.0 04 '!$B$16:$K$200,8,0)&gt;1,0.4,
IF(AND(VLOOKUP($A535-COUNT('Шаг2.Бланк заказа NEW'!$B$19:$B$201)-COUNT('Бланк OLD 0.8 04'!$B$18:$B$200),'Бланк OLD 2.0 04 '!$B$16:$K$200,7,0)&gt;0,VLOOKUP($A535-COUNT('Шаг2.Бланк заказа NEW'!$B$19:$B$201)-COUNT('Бланк OLD 0.8 04'!$B$18:$B$200),'Бланк OLD 2.0 04 '!$B$16:$K$200,8,0)&gt;0),0.4,""))))</f>
        <v/>
      </c>
      <c r="V535" s="146" t="str">
        <f ca="1">IFERROR(VLOOKUP(C535,'Шаг1.Выбор плиты'!C:S,12,0),"")</f>
        <v/>
      </c>
      <c r="W535" s="146" t="str">
        <f ca="1">IFERROR(VLOOKUP(C535,'Шаг1.Выбор плиты'!C:S,8,0),"")</f>
        <v/>
      </c>
      <c r="X535" s="146" t="str">
        <f ca="1">IFERROR(VLOOKUP(C535,'Шаг1.Выбор плиты'!C:S,10,0),"")</f>
        <v/>
      </c>
      <c r="Y535" s="147" t="str">
        <f t="shared" ca="1" si="51"/>
        <v/>
      </c>
      <c r="AD535" s="147" t="str">
        <f t="shared" ca="1" si="48"/>
        <v/>
      </c>
      <c r="AE535" s="147" t="str">
        <f t="shared" ca="1" si="52"/>
        <v/>
      </c>
      <c r="AF535" s="25"/>
      <c r="AH535" s="147" t="str">
        <f ca="1">IF(C535="","",VLOOKUP(C535,'Шаг1.Выбор плиты'!C:Q,7,0))</f>
        <v/>
      </c>
      <c r="AI535" s="147" t="str">
        <f t="shared" ca="1" si="50"/>
        <v/>
      </c>
    </row>
    <row r="536" spans="1:35" x14ac:dyDescent="0.2">
      <c r="A536" s="151" t="str">
        <f ca="1">IF(C536="","",MAX($A$1:OFFSET(C536,-1,0))+1)</f>
        <v/>
      </c>
      <c r="B536" s="151" t="str">
        <f ca="1">IFERROR(IFERROR(IFERROR("Шаг2.Бланк заказа NEW №"&amp;VLOOKUP(A535+1,CHOOSE({1,2},'Шаг2.Бланк заказа NEW'!$B$19:$B$201,'Шаг2.Бланк заказа NEW'!$A$19:$A$201),1,0),
"Бланк OLD 0.8 04 №"&amp;VLOOKUP(A535+1-COUNT('Шаг2.Бланк заказа NEW'!$B$19:$B$201),CHOOSE({1,2},'Бланк OLD 0.8 04'!$B$18:$B$200,'Бланк OLD 0.8 04'!$A$18:$A$200),1,0)),
"Бланк OLD 2.0 04 №"&amp;VLOOKUP(A535+1-COUNT('Шаг2.Бланк заказа NEW'!$B$19:$B$201)-COUNT('Бланк OLD 0.8 04'!$B$18:$B$200),CHOOSE({1,2},'Бланк OLD 2.0 04 '!$B$18:$B$200,'Бланк OLD 2.0 04 '!$A$18:$A$200),1,0)),"")</f>
        <v/>
      </c>
      <c r="C536" s="152" t="str">
        <f ca="1">IFERROR(IFERROR(IFERROR(VLOOKUP(A535+1,CHOOSE({1,2},'Шаг2.Бланк заказа NEW'!$B$19:$B$201,'Шаг2.Бланк заказа NEW'!$A$19:$A$201),2,0),
VLOOKUP(A535+1-COUNT('Шаг2.Бланк заказа NEW'!$B$19:$B$201),CHOOSE({1,2},'Бланк OLD 0.8 04'!$B$18:$B$200,'Бланк OLD 0.8 04'!$A$18:$A$200),2,0)),
VLOOKUP(A535+1-COUNT('Шаг2.Бланк заказа NEW'!$B$19:$B$201)-COUNT('Бланк OLD 0.8 04'!$B$18:$B$200),CHOOSE({1,2},'Бланк OLD 2.0 04 '!$B$18:$B$200,'Бланк OLD 2.0 04 '!$A$18:$A$200),2,0)),"")</f>
        <v/>
      </c>
      <c r="D536" s="150" t="str">
        <f ca="1">IFERROR(VLOOKUP(C536,'Шаг1.Выбор плиты'!C:G,5,0),"")</f>
        <v/>
      </c>
      <c r="E536" s="147" t="str">
        <f ca="1">IFERROR(IFERROR(IF(VLOOKUP($A536,'Шаг2.Бланк заказа NEW'!$B$17:$N$201,2,0)="","",VLOOKUP($A536,'Шаг2.Бланк заказа NEW'!$B$17:$N$201,2,0)),
IF(VLOOKUP($A536-COUNT('Шаг2.Бланк заказа NEW'!$B$19:$B$201),'Бланк OLD 0.8 04'!$B$12:$K$200,2,0)="","",VLOOKUP($A536-COUNT('Шаг2.Бланк заказа NEW'!$B$19:$B$201),'Бланк OLD 0.8 04'!$B$12:$K$200,2,0))),
IF(VLOOKUP($A536-COUNT('Шаг2.Бланк заказа NEW'!$B$19:$B$201)-COUNT('Бланк OLD 0.8 04'!$B$18:$B$200),'Бланк OLD 2.0 04 '!$B$16:$K$200,2,0)="","",VLOOKUP($A536-COUNT('Шаг2.Бланк заказа NEW'!$B$19:$B$201)-COUNT('Бланк OLD 0.8 04'!$B$18:$B$200),'Бланк OLD 2.0 04 '!$B$16:$K$200,2,0)))</f>
        <v/>
      </c>
      <c r="F536" s="147" t="str">
        <f ca="1">IFERROR(IFERROR(IF(VLOOKUP($A536,'Шаг2.Бланк заказа NEW'!$B$17:$N$201,3,0)="","",VLOOKUP($A536,'Шаг2.Бланк заказа NEW'!$B$17:$N$201,3,0)),
IF(VLOOKUP($A536-COUNT('Шаг2.Бланк заказа NEW'!$B$19:$B$201),'Бланк OLD 0.8 04'!$B$12:$K$200,3,0)="","",VLOOKUP($A536-COUNT('Шаг2.Бланк заказа NEW'!$B$19:$B$201),'Бланк OLD 0.8 04'!$B$12:$K$200,3,0))),
IF(VLOOKUP($A536-COUNT('Шаг2.Бланк заказа NEW'!$B$19:$B$201)-COUNT('Бланк OLD 0.8 04'!$B$18:$B$200),'Бланк OLD 2.0 04 '!$B$16:$K$200,3,0)="","",VLOOKUP($A536-COUNT('Шаг2.Бланк заказа NEW'!$B$19:$B$201)-COUNT('Бланк OLD 0.8 04'!$B$18:$B$200),'Бланк OLD 2.0 04 '!$B$16:$K$200,3,0)))</f>
        <v/>
      </c>
      <c r="G536" s="176" t="str">
        <f ca="1">IF(IF(R536="","",IF(R536=1,SUMIFS('Шаг1.Выбор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плиты'!C:Q,12,0)),1))))))=0,
R536,
IF(R536="","",IF(R536=1,SUMIFS('Шаг1.Выбор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плиты'!N:N,R536,'Шаг1.Выбор плиты'!M:M,SMALL(INDIRECT("мм"&amp;VLOOKUP(C536,'Шаг1.Выбор плиты'!C:Q,12,0)),1)))))))</f>
        <v/>
      </c>
      <c r="H536" s="177" t="str">
        <f ca="1">IF(IF(S536="","",IF(S536=1,SUMIFS('Шаг1.Выбор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плиты'!C:Q,12,0)),1))))))=0,
S536,
IF(S536="","",IF(S536=1,SUMIFS('Шаг1.Выбор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плиты'!N:N,S536,'Шаг1.Выбор плиты'!M:M,SMALL(INDIRECT("мм"&amp;VLOOKUP(C536,'Шаг1.Выбор плиты'!C:Q,12,0)),1)))))))</f>
        <v/>
      </c>
      <c r="I536" s="147" t="str">
        <f ca="1">IFERROR(IFERROR(IF(VLOOKUP($A536,'Шаг2.Бланк заказа NEW'!$B$17:$N$201,6,0)="","",VLOOKUP($A536,'Шаг2.Бланк заказа NEW'!$B$17:$N$201,6,0)),
IF(VLOOKUP($A536-COUNT('Шаг2.Бланк заказа NEW'!$B$19:$B$201),'Бланк OLD 0.8 04'!$B$12:$K$200,6,0)="","",VLOOKUP($A536-COUNT('Шаг2.Бланк заказа NEW'!$B$19:$B$201),'Бланк OLD 0.8 04'!$B$12:$K$200,6,0))),
IF(VLOOKUP($A536-COUNT('Шаг2.Бланк заказа NEW'!$B$19:$B$201)-COUNT('Бланк OLD 0.8 04'!$B$18:$B$200),'Бланк OLD 2.0 04 '!$B$16:$K$200,6,0)="","",VLOOKUP($A536-COUNT('Шаг2.Бланк заказа NEW'!$B$19:$B$201)-COUNT('Бланк OLD 0.8 04'!$B$18:$B$200),'Бланк OLD 2.0 04 '!$B$16:$K$200,6,0)))</f>
        <v/>
      </c>
      <c r="J536" s="177" t="str">
        <f ca="1">IF(IF(T536="","",IF(T536=1,SUMIFS('Шаг1.Выбор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плиты'!C:Q,12,0)),1))))))=0,
T536,
IF(T536="","",IF(T536=1,SUMIFS('Шаг1.Выбор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плиты'!N:N,T536,'Шаг1.Выбор плиты'!M:M,SMALL(INDIRECT("мм"&amp;VLOOKUP(C536,'Шаг1.Выбор плиты'!C:Q,12,0)),1)))))))</f>
        <v/>
      </c>
      <c r="K536" s="177" t="str">
        <f ca="1">IF(IF(U536="","",IF(U536=1,SUMIFS('Шаг1.Выбор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плиты'!C:Q,12,0)),1))))))=0,
U536,
IF(U536="","",IF(U536=1,SUMIFS('Шаг1.Выбор плиты'!$G:$G,'Шаг1.Выбор плиты'!J:J,"*"&amp;RIGHT(VLOOKUP(C536,'Шаг1.Выбор плиты'!C:Q,8,0),4),'Шаг1.Выбор плиты'!L:L,IF(MID(C536,1,6)="ЛДСП P","TM"&amp;MID(VLOOKUP(C536,'Шаг1.Выбор плиты'!C:Q,10,0),3,2),MID(VLOOKUP(C536,'Шаг1.Выбор плиты'!C:Q,10,0),1,2)),
'Шаг1.Выбор плиты'!N:N,1),IF(SUMIFS('Шаг1.Выбор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плиты'!C:Q,12,0)),1))=0,
IF(SUMIFS('Шаг1.Выбор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плиты'!C:Q,12,0)),2))=0,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плиты'!C:Q,12,0)),3)),
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плиты'!C:Q,12,0)),2))),
(SUMIFS('Шаг1.Выбор плиты'!$G:$G,'Шаг1.Выбор плиты'!J:J,"*"&amp;RIGHT(VLOOKUP(C536,'Шаг1.Выбор плиты'!C:Q,8,0),4),'Шаг1.Выбор плиты'!L:L,VLOOKUP(C536,'Шаг1.Выбор плиты'!C:Q,10,0),'Шаг1.Выбор плиты'!N:N,U536,'Шаг1.Выбор плиты'!M:M,SMALL(INDIRECT("мм"&amp;VLOOKUP(C536,'Шаг1.Выбор плиты'!C:Q,12,0)),1)))))))</f>
        <v/>
      </c>
      <c r="L536" s="147" t="str">
        <f ca="1">IFERROR(IFERROR(IF(VLOOKUP($A536,'Шаг2.Бланк заказа NEW'!$B$17:$N$201,9,0)="","",VLOOKUP($A536,'Шаг2.Бланк заказа NEW'!$B$17:$N$201,9,0)),
IF(VLOOKUP($A536-COUNT('Шаг2.Бланк заказа NEW'!$B$19:$B$201),'Бланк OLD 0.8 04'!$B$12:$K$200,9,0)="","",VLOOKUP($A536-COUNT('Шаг2.Бланк заказа NEW'!$B$19:$B$201),'Бланк OLD 0.8 04'!$B$12:$K$200,9,0))),
IF(VLOOKUP($A536-COUNT('Шаг2.Бланк заказа NEW'!$B$19:$B$201)-COUNT('Бланк OLD 0.8 04'!$B$18:$B$200),'Бланк OLD 2.0 04 '!$B$16:$K$200,9,0)="","",VLOOKUP($A536-COUNT('Шаг2.Бланк заказа NEW'!$B$19:$B$201)-COUNT('Бланк OLD 0.8 04'!$B$18:$B$200),'Бланк OLD 2.0 04 '!$B$16:$K$200,9,0)))</f>
        <v/>
      </c>
      <c r="M536" s="154" t="str">
        <f t="shared" ca="1" si="49"/>
        <v/>
      </c>
      <c r="N536" s="153" t="str">
        <f ca="1">IFERROR(IF(VLOOKUP($A536,'Шаг2.Бланк заказа NEW'!$B$17:$N$201,11,0)="","",VLOOKUP($A536,'Шаг2.Бланк заказа NEW'!$B$17:$N$201,11,0)),
"Нет")</f>
        <v/>
      </c>
      <c r="O536" s="147" t="str">
        <f ca="1">IFERROR(IF(VLOOKUP($A536,'Шаг2.Бланк заказа NEW'!$B$17:$N$201,11,0)="","",VLOOKUP($A536,'Шаг2.Бланк заказа NEW'!$B$17:$N$201,12,0)),
"Нет")</f>
        <v/>
      </c>
      <c r="P536" s="153" t="str">
        <f ca="1">IFERROR(IF(VLOOKUP($A536,'Шаг2.Бланк заказа NEW'!$B$17:$N$201,13,0)="","",VLOOKUP($A536,'Шаг2.Бланк заказа NEW'!$B$17:$N$201,13,0)),
"Нет")</f>
        <v/>
      </c>
      <c r="Q536" s="147" t="str">
        <f ca="1">IFERROR(IF(VLOOKUP($A536,'Шаг2.Бланк заказа NEW'!$B$17:$O$201,14,0)="","",VLOOKUP($A536,'Шаг2.Бланк заказа NEW'!$B$17:$O$201,14,0)),"")</f>
        <v/>
      </c>
      <c r="R536" s="147" t="str">
        <f ca="1">IFERROR(IFERROR(IF(VLOOKUP($A536,'Шаг2.Бланк заказа NEW'!$B$17:$N$201,4,0)="","",VLOOKUP($A536,'Шаг2.Бланк заказа NEW'!$B$17:$N$201,4,0)),
IF(VLOOKUP($A536-COUNT('Шаг2.Бланк заказа NEW'!$B$19:$B$201),'Бланк OLD 0.8 04'!$B$12:$K$200,4,0)&gt;0,0.8,
IF(VLOOKUP($A536-COUNT('Шаг2.Бланк заказа NEW'!$B$19:$B$201),'Бланк OLD 0.8 04'!$B$12:$K$200,5,0)&gt;0,0.4,""))),
IF(VLOOKUP($A536-COUNT('Шаг2.Бланк заказа NEW'!$B$19:$B$201)-COUNT('Бланк OLD 0.8 04'!$B$18:$B$200),'Бланк OLD 2.0 04 '!$B$16:$K$200,4,0)&gt;0,2,IF(VLOOKUP($A536-COUNT('Шаг2.Бланк заказа NEW'!$B$19:$B$201)-COUNT('Бланк OLD 0.8 04'!$B$18:$B$200),'Бланк OLD 2.0 04 '!$B$16:$K$200,5,0)&gt;0,0.4,"")))</f>
        <v/>
      </c>
      <c r="S536" s="147" t="str">
        <f ca="1">IFERROR(IFERROR(IF(VLOOKUP($A536,'Шаг2.Бланк заказа NEW'!$B$17:$N$201,5,0)="","",VLOOKUP($A536,'Шаг2.Бланк заказа NEW'!$B$17:$N$201,5,0)),
IF(VLOOKUP($A536-COUNT('Шаг2.Бланк заказа NEW'!$B$19:$B$201),'Бланк OLD 0.8 04'!$B$12:$K$200,4,0)&gt;1,0.8,
IF(VLOOKUP($A536-COUNT('Шаг2.Бланк заказа NEW'!$B$19:$B$201),'Бланк OLD 0.8 04'!$B$12:$K$200,5,0)&gt;1,0.4,
IF(AND(VLOOKUP($A536-COUNT('Шаг2.Бланк заказа NEW'!$B$19:$B$201),'Бланк OLD 0.8 04'!$B$12:$K$200,4,0)&gt;0,VLOOKUP($A536-COUNT('Шаг2.Бланк заказа NEW'!$B$19:$B$201),'Бланк OLD 0.8 04'!$B$12:$K$200,5,0)&gt;0),0.4,"")))),
IF(VLOOKUP($A536-COUNT('Шаг2.Бланк заказа NEW'!$B$19:$B$201)-COUNT('Бланк OLD 0.8 04'!$B$18:$B$200),'Бланк OLD 2.0 04 '!$B$16:$K$200,4,0)&gt;1,2,
IF(VLOOKUP($A536-COUNT('Шаг2.Бланк заказа NEW'!$B$19:$B$201)-COUNT('Бланк OLD 0.8 04'!$B$18:$B$200),'Бланк OLD 2.0 04 '!$B$16:$K$200,5,0)&gt;1,0.4,IF(AND(VLOOKUP($A536-COUNT('Шаг2.Бланк заказа NEW'!$B$19:$B$201)-COUNT('Бланк OLD 0.8 04'!$B$18:$B$200),'Бланк OLD 2.0 04 '!$B$16:$K$200,4,0)&gt;0,VLOOKUP($A536-COUNT('Шаг2.Бланк заказа NEW'!$B$19:$B$201)-COUNT('Бланк OLD 0.8 04'!$B$18:$B$200),'Бланк OLD 2.0 04 '!$B$16:$K$200,5,0)&gt;0),0.4,""))))</f>
        <v/>
      </c>
      <c r="T536" s="147" t="str">
        <f ca="1">IFERROR(IFERROR(IF(VLOOKUP($A536,'Шаг2.Бланк заказа NEW'!$B$17:$N$201,7,0)="","",VLOOKUP($A536,'Шаг2.Бланк заказа NEW'!$B$17:$N$201,7,0)),
IF(VLOOKUP($A536-COUNT('Шаг2.Бланк заказа NEW'!$B$19:$B$201),'Бланк OLD 0.8 04'!$B$12:$K$200,7,0)&gt;0,0.8,
IF(VLOOKUP($A536-COUNT('Шаг2.Бланк заказа NEW'!$B$19:$B$201),'Бланк OLD 0.8 04'!$B$12:$K$200,8,0)&gt;0,0.4,""))),
IF(VLOOKUP($A536-COUNT('Шаг2.Бланк заказа NEW'!$B$19:$B$201)-COUNT('Бланк OLD 0.8 04'!$B$18:$B$200),'Бланк OLD 2.0 04 '!$B$16:$K$200,7,0)&gt;0,2,IF(VLOOKUP($A536-COUNT('Шаг2.Бланк заказа NEW'!$B$19:$B$201)-COUNT('Бланк OLD 0.8 04'!$B$18:$B$200),'Бланк OLD 2.0 04 '!$B$16:$K$200,8,0)&gt;0,0.4,"")))</f>
        <v/>
      </c>
      <c r="U536" s="147" t="str">
        <f ca="1">IFERROR(IFERROR(IF(VLOOKUP($A536,'Шаг2.Бланк заказа NEW'!$B$17:$N$201,8,0)="","",VLOOKUP($A536,'Шаг2.Бланк заказа NEW'!$B$17:$N$201,8,0)),
IF(VLOOKUP($A536-COUNT('Шаг2.Бланк заказа NEW'!$B$19:$B$201),'Бланк OLD 0.8 04'!$B$12:$K$200,7,0)&gt;1,0.8,
IF(VLOOKUP($A536-COUNT('Шаг2.Бланк заказа NEW'!$B$19:$B$201),'Бланк OLD 0.8 04'!$B$12:$K$200,8,0)&gt;1,0.4,
IF(AND(VLOOKUP($A536-COUNT('Шаг2.Бланк заказа NEW'!$B$19:$B$201),'Бланк OLD 0.8 04'!$B$12:$K$200,7,0)&gt;0,VLOOKUP($A536-COUNT('Шаг2.Бланк заказа NEW'!$B$19:$B$201),'Бланк OLD 0.8 04'!$B$12:$K$200,8,0)&gt;0),0.4,"")))),
IF(VLOOKUP($A536-COUNT('Шаг2.Бланк заказа NEW'!$B$19:$B$201)-COUNT('Бланк OLD 0.8 04'!$B$18:$B$200),'Бланк OLD 2.0 04 '!$B$16:$K$200,7,0)&gt;1,2,
IF(VLOOKUP($A536-COUNT('Шаг2.Бланк заказа NEW'!$B$19:$B$201)-COUNT('Бланк OLD 0.8 04'!$B$18:$B$200),'Бланк OLD 2.0 04 '!$B$16:$K$200,8,0)&gt;1,0.4,
IF(AND(VLOOKUP($A536-COUNT('Шаг2.Бланк заказа NEW'!$B$19:$B$201)-COUNT('Бланк OLD 0.8 04'!$B$18:$B$200),'Бланк OLD 2.0 04 '!$B$16:$K$200,7,0)&gt;0,VLOOKUP($A536-COUNT('Шаг2.Бланк заказа NEW'!$B$19:$B$201)-COUNT('Бланк OLD 0.8 04'!$B$18:$B$200),'Бланк OLD 2.0 04 '!$B$16:$K$200,8,0)&gt;0),0.4,""))))</f>
        <v/>
      </c>
      <c r="V536" s="146" t="str">
        <f ca="1">IFERROR(VLOOKUP(C536,'Шаг1.Выбор плиты'!C:S,12,0),"")</f>
        <v/>
      </c>
      <c r="W536" s="146" t="str">
        <f ca="1">IFERROR(VLOOKUP(C536,'Шаг1.Выбор плиты'!C:S,8,0),"")</f>
        <v/>
      </c>
      <c r="X536" s="146" t="str">
        <f ca="1">IFERROR(VLOOKUP(C536,'Шаг1.Выбор плиты'!C:S,10,0),"")</f>
        <v/>
      </c>
      <c r="Y536" s="147" t="str">
        <f t="shared" ca="1" si="51"/>
        <v/>
      </c>
      <c r="AD536" s="147" t="str">
        <f t="shared" ca="1" si="48"/>
        <v/>
      </c>
      <c r="AE536" s="147" t="str">
        <f t="shared" ca="1" si="52"/>
        <v/>
      </c>
      <c r="AF536" s="25"/>
      <c r="AH536" s="147" t="str">
        <f ca="1">IF(C536="","",VLOOKUP(C536,'Шаг1.Выбор плиты'!C:Q,7,0))</f>
        <v/>
      </c>
      <c r="AI536" s="147" t="str">
        <f t="shared" ca="1" si="50"/>
        <v/>
      </c>
    </row>
    <row r="537" spans="1:35" x14ac:dyDescent="0.2">
      <c r="A537" s="151" t="str">
        <f ca="1">IF(C537="","",MAX($A$1:OFFSET(C537,-1,0))+1)</f>
        <v/>
      </c>
      <c r="B537" s="151" t="str">
        <f ca="1">IFERROR(IFERROR(IFERROR("Шаг2.Бланк заказа NEW №"&amp;VLOOKUP(A536+1,CHOOSE({1,2},'Шаг2.Бланк заказа NEW'!$B$19:$B$201,'Шаг2.Бланк заказа NEW'!$A$19:$A$201),1,0),
"Бланк OLD 0.8 04 №"&amp;VLOOKUP(A536+1-COUNT('Шаг2.Бланк заказа NEW'!$B$19:$B$201),CHOOSE({1,2},'Бланк OLD 0.8 04'!$B$18:$B$200,'Бланк OLD 0.8 04'!$A$18:$A$200),1,0)),
"Бланк OLD 2.0 04 №"&amp;VLOOKUP(A536+1-COUNT('Шаг2.Бланк заказа NEW'!$B$19:$B$201)-COUNT('Бланк OLD 0.8 04'!$B$18:$B$200),CHOOSE({1,2},'Бланк OLD 2.0 04 '!$B$18:$B$200,'Бланк OLD 2.0 04 '!$A$18:$A$200),1,0)),"")</f>
        <v/>
      </c>
      <c r="C537" s="152" t="str">
        <f ca="1">IFERROR(IFERROR(IFERROR(VLOOKUP(A536+1,CHOOSE({1,2},'Шаг2.Бланк заказа NEW'!$B$19:$B$201,'Шаг2.Бланк заказа NEW'!$A$19:$A$201),2,0),
VLOOKUP(A536+1-COUNT('Шаг2.Бланк заказа NEW'!$B$19:$B$201),CHOOSE({1,2},'Бланк OLD 0.8 04'!$B$18:$B$200,'Бланк OLD 0.8 04'!$A$18:$A$200),2,0)),
VLOOKUP(A536+1-COUNT('Шаг2.Бланк заказа NEW'!$B$19:$B$201)-COUNT('Бланк OLD 0.8 04'!$B$18:$B$200),CHOOSE({1,2},'Бланк OLD 2.0 04 '!$B$18:$B$200,'Бланк OLD 2.0 04 '!$A$18:$A$200),2,0)),"")</f>
        <v/>
      </c>
      <c r="D537" s="150" t="str">
        <f ca="1">IFERROR(VLOOKUP(C537,'Шаг1.Выбор плиты'!C:G,5,0),"")</f>
        <v/>
      </c>
      <c r="E537" s="147" t="str">
        <f ca="1">IFERROR(IFERROR(IF(VLOOKUP($A537,'Шаг2.Бланк заказа NEW'!$B$17:$N$201,2,0)="","",VLOOKUP($A537,'Шаг2.Бланк заказа NEW'!$B$17:$N$201,2,0)),
IF(VLOOKUP($A537-COUNT('Шаг2.Бланк заказа NEW'!$B$19:$B$201),'Бланк OLD 0.8 04'!$B$12:$K$200,2,0)="","",VLOOKUP($A537-COUNT('Шаг2.Бланк заказа NEW'!$B$19:$B$201),'Бланк OLD 0.8 04'!$B$12:$K$200,2,0))),
IF(VLOOKUP($A537-COUNT('Шаг2.Бланк заказа NEW'!$B$19:$B$201)-COUNT('Бланк OLD 0.8 04'!$B$18:$B$200),'Бланк OLD 2.0 04 '!$B$16:$K$200,2,0)="","",VLOOKUP($A537-COUNT('Шаг2.Бланк заказа NEW'!$B$19:$B$201)-COUNT('Бланк OLD 0.8 04'!$B$18:$B$200),'Бланк OLD 2.0 04 '!$B$16:$K$200,2,0)))</f>
        <v/>
      </c>
      <c r="F537" s="147" t="str">
        <f ca="1">IFERROR(IFERROR(IF(VLOOKUP($A537,'Шаг2.Бланк заказа NEW'!$B$17:$N$201,3,0)="","",VLOOKUP($A537,'Шаг2.Бланк заказа NEW'!$B$17:$N$201,3,0)),
IF(VLOOKUP($A537-COUNT('Шаг2.Бланк заказа NEW'!$B$19:$B$201),'Бланк OLD 0.8 04'!$B$12:$K$200,3,0)="","",VLOOKUP($A537-COUNT('Шаг2.Бланк заказа NEW'!$B$19:$B$201),'Бланк OLD 0.8 04'!$B$12:$K$200,3,0))),
IF(VLOOKUP($A537-COUNT('Шаг2.Бланк заказа NEW'!$B$19:$B$201)-COUNT('Бланк OLD 0.8 04'!$B$18:$B$200),'Бланк OLD 2.0 04 '!$B$16:$K$200,3,0)="","",VLOOKUP($A537-COUNT('Шаг2.Бланк заказа NEW'!$B$19:$B$201)-COUNT('Бланк OLD 0.8 04'!$B$18:$B$200),'Бланк OLD 2.0 04 '!$B$16:$K$200,3,0)))</f>
        <v/>
      </c>
      <c r="G537" s="176" t="str">
        <f ca="1">IF(IF(R537="","",IF(R537=1,SUMIFS('Шаг1.Выбор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плиты'!C:Q,12,0)),1))))))=0,
R537,
IF(R537="","",IF(R537=1,SUMIFS('Шаг1.Выбор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плиты'!N:N,R537,'Шаг1.Выбор плиты'!M:M,SMALL(INDIRECT("мм"&amp;VLOOKUP(C537,'Шаг1.Выбор плиты'!C:Q,12,0)),1)))))))</f>
        <v/>
      </c>
      <c r="H537" s="177" t="str">
        <f ca="1">IF(IF(S537="","",IF(S537=1,SUMIFS('Шаг1.Выбор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плиты'!C:Q,12,0)),1))))))=0,
S537,
IF(S537="","",IF(S537=1,SUMIFS('Шаг1.Выбор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плиты'!N:N,S537,'Шаг1.Выбор плиты'!M:M,SMALL(INDIRECT("мм"&amp;VLOOKUP(C537,'Шаг1.Выбор плиты'!C:Q,12,0)),1)))))))</f>
        <v/>
      </c>
      <c r="I537" s="147" t="str">
        <f ca="1">IFERROR(IFERROR(IF(VLOOKUP($A537,'Шаг2.Бланк заказа NEW'!$B$17:$N$201,6,0)="","",VLOOKUP($A537,'Шаг2.Бланк заказа NEW'!$B$17:$N$201,6,0)),
IF(VLOOKUP($A537-COUNT('Шаг2.Бланк заказа NEW'!$B$19:$B$201),'Бланк OLD 0.8 04'!$B$12:$K$200,6,0)="","",VLOOKUP($A537-COUNT('Шаг2.Бланк заказа NEW'!$B$19:$B$201),'Бланк OLD 0.8 04'!$B$12:$K$200,6,0))),
IF(VLOOKUP($A537-COUNT('Шаг2.Бланк заказа NEW'!$B$19:$B$201)-COUNT('Бланк OLD 0.8 04'!$B$18:$B$200),'Бланк OLD 2.0 04 '!$B$16:$K$200,6,0)="","",VLOOKUP($A537-COUNT('Шаг2.Бланк заказа NEW'!$B$19:$B$201)-COUNT('Бланк OLD 0.8 04'!$B$18:$B$200),'Бланк OLD 2.0 04 '!$B$16:$K$200,6,0)))</f>
        <v/>
      </c>
      <c r="J537" s="177" t="str">
        <f ca="1">IF(IF(T537="","",IF(T537=1,SUMIFS('Шаг1.Выбор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плиты'!C:Q,12,0)),1))))))=0,
T537,
IF(T537="","",IF(T537=1,SUMIFS('Шаг1.Выбор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плиты'!N:N,T537,'Шаг1.Выбор плиты'!M:M,SMALL(INDIRECT("мм"&amp;VLOOKUP(C537,'Шаг1.Выбор плиты'!C:Q,12,0)),1)))))))</f>
        <v/>
      </c>
      <c r="K537" s="177" t="str">
        <f ca="1">IF(IF(U537="","",IF(U537=1,SUMIFS('Шаг1.Выбор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плиты'!C:Q,12,0)),1))))))=0,
U537,
IF(U537="","",IF(U537=1,SUMIFS('Шаг1.Выбор плиты'!$G:$G,'Шаг1.Выбор плиты'!J:J,"*"&amp;RIGHT(VLOOKUP(C537,'Шаг1.Выбор плиты'!C:Q,8,0),4),'Шаг1.Выбор плиты'!L:L,IF(MID(C537,1,6)="ЛДСП P","TM"&amp;MID(VLOOKUP(C537,'Шаг1.Выбор плиты'!C:Q,10,0),3,2),MID(VLOOKUP(C537,'Шаг1.Выбор плиты'!C:Q,10,0),1,2)),
'Шаг1.Выбор плиты'!N:N,1),IF(SUMIFS('Шаг1.Выбор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плиты'!C:Q,12,0)),1))=0,
IF(SUMIFS('Шаг1.Выбор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плиты'!C:Q,12,0)),2))=0,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плиты'!C:Q,12,0)),3)),
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плиты'!C:Q,12,0)),2))),
(SUMIFS('Шаг1.Выбор плиты'!$G:$G,'Шаг1.Выбор плиты'!J:J,"*"&amp;RIGHT(VLOOKUP(C537,'Шаг1.Выбор плиты'!C:Q,8,0),4),'Шаг1.Выбор плиты'!L:L,VLOOKUP(C537,'Шаг1.Выбор плиты'!C:Q,10,0),'Шаг1.Выбор плиты'!N:N,U537,'Шаг1.Выбор плиты'!M:M,SMALL(INDIRECT("мм"&amp;VLOOKUP(C537,'Шаг1.Выбор плиты'!C:Q,12,0)),1)))))))</f>
        <v/>
      </c>
      <c r="L537" s="147" t="str">
        <f ca="1">IFERROR(IFERROR(IF(VLOOKUP($A537,'Шаг2.Бланк заказа NEW'!$B$17:$N$201,9,0)="","",VLOOKUP($A537,'Шаг2.Бланк заказа NEW'!$B$17:$N$201,9,0)),
IF(VLOOKUP($A537-COUNT('Шаг2.Бланк заказа NEW'!$B$19:$B$201),'Бланк OLD 0.8 04'!$B$12:$K$200,9,0)="","",VLOOKUP($A537-COUNT('Шаг2.Бланк заказа NEW'!$B$19:$B$201),'Бланк OLD 0.8 04'!$B$12:$K$200,9,0))),
IF(VLOOKUP($A537-COUNT('Шаг2.Бланк заказа NEW'!$B$19:$B$201)-COUNT('Бланк OLD 0.8 04'!$B$18:$B$200),'Бланк OLD 2.0 04 '!$B$16:$K$200,9,0)="","",VLOOKUP($A537-COUNT('Шаг2.Бланк заказа NEW'!$B$19:$B$201)-COUNT('Бланк OLD 0.8 04'!$B$18:$B$200),'Бланк OLD 2.0 04 '!$B$16:$K$200,9,0)))</f>
        <v/>
      </c>
      <c r="M537" s="154" t="str">
        <f t="shared" ca="1" si="49"/>
        <v/>
      </c>
      <c r="N537" s="153" t="str">
        <f ca="1">IFERROR(IF(VLOOKUP($A537,'Шаг2.Бланк заказа NEW'!$B$17:$N$201,11,0)="","",VLOOKUP($A537,'Шаг2.Бланк заказа NEW'!$B$17:$N$201,11,0)),
"Нет")</f>
        <v/>
      </c>
      <c r="O537" s="147" t="str">
        <f ca="1">IFERROR(IF(VLOOKUP($A537,'Шаг2.Бланк заказа NEW'!$B$17:$N$201,11,0)="","",VLOOKUP($A537,'Шаг2.Бланк заказа NEW'!$B$17:$N$201,12,0)),
"Нет")</f>
        <v/>
      </c>
      <c r="P537" s="153" t="str">
        <f ca="1">IFERROR(IF(VLOOKUP($A537,'Шаг2.Бланк заказа NEW'!$B$17:$N$201,13,0)="","",VLOOKUP($A537,'Шаг2.Бланк заказа NEW'!$B$17:$N$201,13,0)),
"Нет")</f>
        <v/>
      </c>
      <c r="Q537" s="147" t="str">
        <f ca="1">IFERROR(IF(VLOOKUP($A537,'Шаг2.Бланк заказа NEW'!$B$17:$O$201,14,0)="","",VLOOKUP($A537,'Шаг2.Бланк заказа NEW'!$B$17:$O$201,14,0)),"")</f>
        <v/>
      </c>
      <c r="R537" s="147" t="str">
        <f ca="1">IFERROR(IFERROR(IF(VLOOKUP($A537,'Шаг2.Бланк заказа NEW'!$B$17:$N$201,4,0)="","",VLOOKUP($A537,'Шаг2.Бланк заказа NEW'!$B$17:$N$201,4,0)),
IF(VLOOKUP($A537-COUNT('Шаг2.Бланк заказа NEW'!$B$19:$B$201),'Бланк OLD 0.8 04'!$B$12:$K$200,4,0)&gt;0,0.8,
IF(VLOOKUP($A537-COUNT('Шаг2.Бланк заказа NEW'!$B$19:$B$201),'Бланк OLD 0.8 04'!$B$12:$K$200,5,0)&gt;0,0.4,""))),
IF(VLOOKUP($A537-COUNT('Шаг2.Бланк заказа NEW'!$B$19:$B$201)-COUNT('Бланк OLD 0.8 04'!$B$18:$B$200),'Бланк OLD 2.0 04 '!$B$16:$K$200,4,0)&gt;0,2,IF(VLOOKUP($A537-COUNT('Шаг2.Бланк заказа NEW'!$B$19:$B$201)-COUNT('Бланк OLD 0.8 04'!$B$18:$B$200),'Бланк OLD 2.0 04 '!$B$16:$K$200,5,0)&gt;0,0.4,"")))</f>
        <v/>
      </c>
      <c r="S537" s="147" t="str">
        <f ca="1">IFERROR(IFERROR(IF(VLOOKUP($A537,'Шаг2.Бланк заказа NEW'!$B$17:$N$201,5,0)="","",VLOOKUP($A537,'Шаг2.Бланк заказа NEW'!$B$17:$N$201,5,0)),
IF(VLOOKUP($A537-COUNT('Шаг2.Бланк заказа NEW'!$B$19:$B$201),'Бланк OLD 0.8 04'!$B$12:$K$200,4,0)&gt;1,0.8,
IF(VLOOKUP($A537-COUNT('Шаг2.Бланк заказа NEW'!$B$19:$B$201),'Бланк OLD 0.8 04'!$B$12:$K$200,5,0)&gt;1,0.4,
IF(AND(VLOOKUP($A537-COUNT('Шаг2.Бланк заказа NEW'!$B$19:$B$201),'Бланк OLD 0.8 04'!$B$12:$K$200,4,0)&gt;0,VLOOKUP($A537-COUNT('Шаг2.Бланк заказа NEW'!$B$19:$B$201),'Бланк OLD 0.8 04'!$B$12:$K$200,5,0)&gt;0),0.4,"")))),
IF(VLOOKUP($A537-COUNT('Шаг2.Бланк заказа NEW'!$B$19:$B$201)-COUNT('Бланк OLD 0.8 04'!$B$18:$B$200),'Бланк OLD 2.0 04 '!$B$16:$K$200,4,0)&gt;1,2,
IF(VLOOKUP($A537-COUNT('Шаг2.Бланк заказа NEW'!$B$19:$B$201)-COUNT('Бланк OLD 0.8 04'!$B$18:$B$200),'Бланк OLD 2.0 04 '!$B$16:$K$200,5,0)&gt;1,0.4,IF(AND(VLOOKUP($A537-COUNT('Шаг2.Бланк заказа NEW'!$B$19:$B$201)-COUNT('Бланк OLD 0.8 04'!$B$18:$B$200),'Бланк OLD 2.0 04 '!$B$16:$K$200,4,0)&gt;0,VLOOKUP($A537-COUNT('Шаг2.Бланк заказа NEW'!$B$19:$B$201)-COUNT('Бланк OLD 0.8 04'!$B$18:$B$200),'Бланк OLD 2.0 04 '!$B$16:$K$200,5,0)&gt;0),0.4,""))))</f>
        <v/>
      </c>
      <c r="T537" s="147" t="str">
        <f ca="1">IFERROR(IFERROR(IF(VLOOKUP($A537,'Шаг2.Бланк заказа NEW'!$B$17:$N$201,7,0)="","",VLOOKUP($A537,'Шаг2.Бланк заказа NEW'!$B$17:$N$201,7,0)),
IF(VLOOKUP($A537-COUNT('Шаг2.Бланк заказа NEW'!$B$19:$B$201),'Бланк OLD 0.8 04'!$B$12:$K$200,7,0)&gt;0,0.8,
IF(VLOOKUP($A537-COUNT('Шаг2.Бланк заказа NEW'!$B$19:$B$201),'Бланк OLD 0.8 04'!$B$12:$K$200,8,0)&gt;0,0.4,""))),
IF(VLOOKUP($A537-COUNT('Шаг2.Бланк заказа NEW'!$B$19:$B$201)-COUNT('Бланк OLD 0.8 04'!$B$18:$B$200),'Бланк OLD 2.0 04 '!$B$16:$K$200,7,0)&gt;0,2,IF(VLOOKUP($A537-COUNT('Шаг2.Бланк заказа NEW'!$B$19:$B$201)-COUNT('Бланк OLD 0.8 04'!$B$18:$B$200),'Бланк OLD 2.0 04 '!$B$16:$K$200,8,0)&gt;0,0.4,"")))</f>
        <v/>
      </c>
      <c r="U537" s="147" t="str">
        <f ca="1">IFERROR(IFERROR(IF(VLOOKUP($A537,'Шаг2.Бланк заказа NEW'!$B$17:$N$201,8,0)="","",VLOOKUP($A537,'Шаг2.Бланк заказа NEW'!$B$17:$N$201,8,0)),
IF(VLOOKUP($A537-COUNT('Шаг2.Бланк заказа NEW'!$B$19:$B$201),'Бланк OLD 0.8 04'!$B$12:$K$200,7,0)&gt;1,0.8,
IF(VLOOKUP($A537-COUNT('Шаг2.Бланк заказа NEW'!$B$19:$B$201),'Бланк OLD 0.8 04'!$B$12:$K$200,8,0)&gt;1,0.4,
IF(AND(VLOOKUP($A537-COUNT('Шаг2.Бланк заказа NEW'!$B$19:$B$201),'Бланк OLD 0.8 04'!$B$12:$K$200,7,0)&gt;0,VLOOKUP($A537-COUNT('Шаг2.Бланк заказа NEW'!$B$19:$B$201),'Бланк OLD 0.8 04'!$B$12:$K$200,8,0)&gt;0),0.4,"")))),
IF(VLOOKUP($A537-COUNT('Шаг2.Бланк заказа NEW'!$B$19:$B$201)-COUNT('Бланк OLD 0.8 04'!$B$18:$B$200),'Бланк OLD 2.0 04 '!$B$16:$K$200,7,0)&gt;1,2,
IF(VLOOKUP($A537-COUNT('Шаг2.Бланк заказа NEW'!$B$19:$B$201)-COUNT('Бланк OLD 0.8 04'!$B$18:$B$200),'Бланк OLD 2.0 04 '!$B$16:$K$200,8,0)&gt;1,0.4,
IF(AND(VLOOKUP($A537-COUNT('Шаг2.Бланк заказа NEW'!$B$19:$B$201)-COUNT('Бланк OLD 0.8 04'!$B$18:$B$200),'Бланк OLD 2.0 04 '!$B$16:$K$200,7,0)&gt;0,VLOOKUP($A537-COUNT('Шаг2.Бланк заказа NEW'!$B$19:$B$201)-COUNT('Бланк OLD 0.8 04'!$B$18:$B$200),'Бланк OLD 2.0 04 '!$B$16:$K$200,8,0)&gt;0),0.4,""))))</f>
        <v/>
      </c>
      <c r="V537" s="146" t="str">
        <f ca="1">IFERROR(VLOOKUP(C537,'Шаг1.Выбор плиты'!C:S,12,0),"")</f>
        <v/>
      </c>
      <c r="W537" s="146" t="str">
        <f ca="1">IFERROR(VLOOKUP(C537,'Шаг1.Выбор плиты'!C:S,8,0),"")</f>
        <v/>
      </c>
      <c r="X537" s="146" t="str">
        <f ca="1">IFERROR(VLOOKUP(C537,'Шаг1.Выбор плиты'!C:S,10,0),"")</f>
        <v/>
      </c>
      <c r="Y537" s="147" t="str">
        <f t="shared" ca="1" si="51"/>
        <v/>
      </c>
      <c r="AD537" s="147" t="str">
        <f t="shared" ca="1" si="48"/>
        <v/>
      </c>
      <c r="AE537" s="147" t="str">
        <f t="shared" ca="1" si="52"/>
        <v/>
      </c>
      <c r="AF537" s="25"/>
      <c r="AH537" s="147" t="str">
        <f ca="1">IF(C537="","",VLOOKUP(C537,'Шаг1.Выбор плиты'!C:Q,7,0))</f>
        <v/>
      </c>
      <c r="AI537" s="147" t="str">
        <f t="shared" ca="1" si="50"/>
        <v/>
      </c>
    </row>
    <row r="538" spans="1:35" x14ac:dyDescent="0.2">
      <c r="A538" s="151" t="str">
        <f ca="1">IF(C538="","",MAX($A$1:OFFSET(C538,-1,0))+1)</f>
        <v/>
      </c>
      <c r="B538" s="151" t="str">
        <f ca="1">IFERROR(IFERROR(IFERROR("Шаг2.Бланк заказа NEW №"&amp;VLOOKUP(A537+1,CHOOSE({1,2},'Шаг2.Бланк заказа NEW'!$B$19:$B$201,'Шаг2.Бланк заказа NEW'!$A$19:$A$201),1,0),
"Бланк OLD 0.8 04 №"&amp;VLOOKUP(A537+1-COUNT('Шаг2.Бланк заказа NEW'!$B$19:$B$201),CHOOSE({1,2},'Бланк OLD 0.8 04'!$B$18:$B$200,'Бланк OLD 0.8 04'!$A$18:$A$200),1,0)),
"Бланк OLD 2.0 04 №"&amp;VLOOKUP(A537+1-COUNT('Шаг2.Бланк заказа NEW'!$B$19:$B$201)-COUNT('Бланк OLD 0.8 04'!$B$18:$B$200),CHOOSE({1,2},'Бланк OLD 2.0 04 '!$B$18:$B$200,'Бланк OLD 2.0 04 '!$A$18:$A$200),1,0)),"")</f>
        <v/>
      </c>
      <c r="C538" s="152" t="str">
        <f ca="1">IFERROR(IFERROR(IFERROR(VLOOKUP(A537+1,CHOOSE({1,2},'Шаг2.Бланк заказа NEW'!$B$19:$B$201,'Шаг2.Бланк заказа NEW'!$A$19:$A$201),2,0),
VLOOKUP(A537+1-COUNT('Шаг2.Бланк заказа NEW'!$B$19:$B$201),CHOOSE({1,2},'Бланк OLD 0.8 04'!$B$18:$B$200,'Бланк OLD 0.8 04'!$A$18:$A$200),2,0)),
VLOOKUP(A537+1-COUNT('Шаг2.Бланк заказа NEW'!$B$19:$B$201)-COUNT('Бланк OLD 0.8 04'!$B$18:$B$200),CHOOSE({1,2},'Бланк OLD 2.0 04 '!$B$18:$B$200,'Бланк OLD 2.0 04 '!$A$18:$A$200),2,0)),"")</f>
        <v/>
      </c>
      <c r="D538" s="150" t="str">
        <f ca="1">IFERROR(VLOOKUP(C538,'Шаг1.Выбор плиты'!C:G,5,0),"")</f>
        <v/>
      </c>
      <c r="E538" s="147" t="str">
        <f ca="1">IFERROR(IFERROR(IF(VLOOKUP($A538,'Шаг2.Бланк заказа NEW'!$B$17:$N$201,2,0)="","",VLOOKUP($A538,'Шаг2.Бланк заказа NEW'!$B$17:$N$201,2,0)),
IF(VLOOKUP($A538-COUNT('Шаг2.Бланк заказа NEW'!$B$19:$B$201),'Бланк OLD 0.8 04'!$B$12:$K$200,2,0)="","",VLOOKUP($A538-COUNT('Шаг2.Бланк заказа NEW'!$B$19:$B$201),'Бланк OLD 0.8 04'!$B$12:$K$200,2,0))),
IF(VLOOKUP($A538-COUNT('Шаг2.Бланк заказа NEW'!$B$19:$B$201)-COUNT('Бланк OLD 0.8 04'!$B$18:$B$200),'Бланк OLD 2.0 04 '!$B$16:$K$200,2,0)="","",VLOOKUP($A538-COUNT('Шаг2.Бланк заказа NEW'!$B$19:$B$201)-COUNT('Бланк OLD 0.8 04'!$B$18:$B$200),'Бланк OLD 2.0 04 '!$B$16:$K$200,2,0)))</f>
        <v/>
      </c>
      <c r="F538" s="147" t="str">
        <f ca="1">IFERROR(IFERROR(IF(VLOOKUP($A538,'Шаг2.Бланк заказа NEW'!$B$17:$N$201,3,0)="","",VLOOKUP($A538,'Шаг2.Бланк заказа NEW'!$B$17:$N$201,3,0)),
IF(VLOOKUP($A538-COUNT('Шаг2.Бланк заказа NEW'!$B$19:$B$201),'Бланк OLD 0.8 04'!$B$12:$K$200,3,0)="","",VLOOKUP($A538-COUNT('Шаг2.Бланк заказа NEW'!$B$19:$B$201),'Бланк OLD 0.8 04'!$B$12:$K$200,3,0))),
IF(VLOOKUP($A538-COUNT('Шаг2.Бланк заказа NEW'!$B$19:$B$201)-COUNT('Бланк OLD 0.8 04'!$B$18:$B$200),'Бланк OLD 2.0 04 '!$B$16:$K$200,3,0)="","",VLOOKUP($A538-COUNT('Шаг2.Бланк заказа NEW'!$B$19:$B$201)-COUNT('Бланк OLD 0.8 04'!$B$18:$B$200),'Бланк OLD 2.0 04 '!$B$16:$K$200,3,0)))</f>
        <v/>
      </c>
      <c r="G538" s="176" t="str">
        <f ca="1">IF(IF(R538="","",IF(R538=1,SUMIFS('Шаг1.Выбор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плиты'!C:Q,12,0)),1))))))=0,
R538,
IF(R538="","",IF(R538=1,SUMIFS('Шаг1.Выбор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плиты'!N:N,R538,'Шаг1.Выбор плиты'!M:M,SMALL(INDIRECT("мм"&amp;VLOOKUP(C538,'Шаг1.Выбор плиты'!C:Q,12,0)),1)))))))</f>
        <v/>
      </c>
      <c r="H538" s="177" t="str">
        <f ca="1">IF(IF(S538="","",IF(S538=1,SUMIFS('Шаг1.Выбор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плиты'!C:Q,12,0)),1))))))=0,
S538,
IF(S538="","",IF(S538=1,SUMIFS('Шаг1.Выбор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плиты'!N:N,S538,'Шаг1.Выбор плиты'!M:M,SMALL(INDIRECT("мм"&amp;VLOOKUP(C538,'Шаг1.Выбор плиты'!C:Q,12,0)),1)))))))</f>
        <v/>
      </c>
      <c r="I538" s="147" t="str">
        <f ca="1">IFERROR(IFERROR(IF(VLOOKUP($A538,'Шаг2.Бланк заказа NEW'!$B$17:$N$201,6,0)="","",VLOOKUP($A538,'Шаг2.Бланк заказа NEW'!$B$17:$N$201,6,0)),
IF(VLOOKUP($A538-COUNT('Шаг2.Бланк заказа NEW'!$B$19:$B$201),'Бланк OLD 0.8 04'!$B$12:$K$200,6,0)="","",VLOOKUP($A538-COUNT('Шаг2.Бланк заказа NEW'!$B$19:$B$201),'Бланк OLD 0.8 04'!$B$12:$K$200,6,0))),
IF(VLOOKUP($A538-COUNT('Шаг2.Бланк заказа NEW'!$B$19:$B$201)-COUNT('Бланк OLD 0.8 04'!$B$18:$B$200),'Бланк OLD 2.0 04 '!$B$16:$K$200,6,0)="","",VLOOKUP($A538-COUNT('Шаг2.Бланк заказа NEW'!$B$19:$B$201)-COUNT('Бланк OLD 0.8 04'!$B$18:$B$200),'Бланк OLD 2.0 04 '!$B$16:$K$200,6,0)))</f>
        <v/>
      </c>
      <c r="J538" s="177" t="str">
        <f ca="1">IF(IF(T538="","",IF(T538=1,SUMIFS('Шаг1.Выбор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плиты'!C:Q,12,0)),1))))))=0,
T538,
IF(T538="","",IF(T538=1,SUMIFS('Шаг1.Выбор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плиты'!N:N,T538,'Шаг1.Выбор плиты'!M:M,SMALL(INDIRECT("мм"&amp;VLOOKUP(C538,'Шаг1.Выбор плиты'!C:Q,12,0)),1)))))))</f>
        <v/>
      </c>
      <c r="K538" s="177" t="str">
        <f ca="1">IF(IF(U538="","",IF(U538=1,SUMIFS('Шаг1.Выбор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плиты'!C:Q,12,0)),1))))))=0,
U538,
IF(U538="","",IF(U538=1,SUMIFS('Шаг1.Выбор плиты'!$G:$G,'Шаг1.Выбор плиты'!J:J,"*"&amp;RIGHT(VLOOKUP(C538,'Шаг1.Выбор плиты'!C:Q,8,0),4),'Шаг1.Выбор плиты'!L:L,IF(MID(C538,1,6)="ЛДСП P","TM"&amp;MID(VLOOKUP(C538,'Шаг1.Выбор плиты'!C:Q,10,0),3,2),MID(VLOOKUP(C538,'Шаг1.Выбор плиты'!C:Q,10,0),1,2)),
'Шаг1.Выбор плиты'!N:N,1),IF(SUMIFS('Шаг1.Выбор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плиты'!C:Q,12,0)),1))=0,
IF(SUMIFS('Шаг1.Выбор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плиты'!C:Q,12,0)),2))=0,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плиты'!C:Q,12,0)),3)),
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плиты'!C:Q,12,0)),2))),
(SUMIFS('Шаг1.Выбор плиты'!$G:$G,'Шаг1.Выбор плиты'!J:J,"*"&amp;RIGHT(VLOOKUP(C538,'Шаг1.Выбор плиты'!C:Q,8,0),4),'Шаг1.Выбор плиты'!L:L,VLOOKUP(C538,'Шаг1.Выбор плиты'!C:Q,10,0),'Шаг1.Выбор плиты'!N:N,U538,'Шаг1.Выбор плиты'!M:M,SMALL(INDIRECT("мм"&amp;VLOOKUP(C538,'Шаг1.Выбор плиты'!C:Q,12,0)),1)))))))</f>
        <v/>
      </c>
      <c r="L538" s="147" t="str">
        <f ca="1">IFERROR(IFERROR(IF(VLOOKUP($A538,'Шаг2.Бланк заказа NEW'!$B$17:$N$201,9,0)="","",VLOOKUP($A538,'Шаг2.Бланк заказа NEW'!$B$17:$N$201,9,0)),
IF(VLOOKUP($A538-COUNT('Шаг2.Бланк заказа NEW'!$B$19:$B$201),'Бланк OLD 0.8 04'!$B$12:$K$200,9,0)="","",VLOOKUP($A538-COUNT('Шаг2.Бланк заказа NEW'!$B$19:$B$201),'Бланк OLD 0.8 04'!$B$12:$K$200,9,0))),
IF(VLOOKUP($A538-COUNT('Шаг2.Бланк заказа NEW'!$B$19:$B$201)-COUNT('Бланк OLD 0.8 04'!$B$18:$B$200),'Бланк OLD 2.0 04 '!$B$16:$K$200,9,0)="","",VLOOKUP($A538-COUNT('Шаг2.Бланк заказа NEW'!$B$19:$B$201)-COUNT('Бланк OLD 0.8 04'!$B$18:$B$200),'Бланк OLD 2.0 04 '!$B$16:$K$200,9,0)))</f>
        <v/>
      </c>
      <c r="M538" s="154" t="str">
        <f t="shared" ca="1" si="49"/>
        <v/>
      </c>
      <c r="N538" s="153" t="str">
        <f ca="1">IFERROR(IF(VLOOKUP($A538,'Шаг2.Бланк заказа NEW'!$B$17:$N$201,11,0)="","",VLOOKUP($A538,'Шаг2.Бланк заказа NEW'!$B$17:$N$201,11,0)),
"Нет")</f>
        <v/>
      </c>
      <c r="O538" s="147" t="str">
        <f ca="1">IFERROR(IF(VLOOKUP($A538,'Шаг2.Бланк заказа NEW'!$B$17:$N$201,11,0)="","",VLOOKUP($A538,'Шаг2.Бланк заказа NEW'!$B$17:$N$201,12,0)),
"Нет")</f>
        <v/>
      </c>
      <c r="P538" s="153" t="str">
        <f ca="1">IFERROR(IF(VLOOKUP($A538,'Шаг2.Бланк заказа NEW'!$B$17:$N$201,13,0)="","",VLOOKUP($A538,'Шаг2.Бланк заказа NEW'!$B$17:$N$201,13,0)),
"Нет")</f>
        <v/>
      </c>
      <c r="Q538" s="147" t="str">
        <f ca="1">IFERROR(IF(VLOOKUP($A538,'Шаг2.Бланк заказа NEW'!$B$17:$O$201,14,0)="","",VLOOKUP($A538,'Шаг2.Бланк заказа NEW'!$B$17:$O$201,14,0)),"")</f>
        <v/>
      </c>
      <c r="R538" s="147" t="str">
        <f ca="1">IFERROR(IFERROR(IF(VLOOKUP($A538,'Шаг2.Бланк заказа NEW'!$B$17:$N$201,4,0)="","",VLOOKUP($A538,'Шаг2.Бланк заказа NEW'!$B$17:$N$201,4,0)),
IF(VLOOKUP($A538-COUNT('Шаг2.Бланк заказа NEW'!$B$19:$B$201),'Бланк OLD 0.8 04'!$B$12:$K$200,4,0)&gt;0,0.8,
IF(VLOOKUP($A538-COUNT('Шаг2.Бланк заказа NEW'!$B$19:$B$201),'Бланк OLD 0.8 04'!$B$12:$K$200,5,0)&gt;0,0.4,""))),
IF(VLOOKUP($A538-COUNT('Шаг2.Бланк заказа NEW'!$B$19:$B$201)-COUNT('Бланк OLD 0.8 04'!$B$18:$B$200),'Бланк OLD 2.0 04 '!$B$16:$K$200,4,0)&gt;0,2,IF(VLOOKUP($A538-COUNT('Шаг2.Бланк заказа NEW'!$B$19:$B$201)-COUNT('Бланк OLD 0.8 04'!$B$18:$B$200),'Бланк OLD 2.0 04 '!$B$16:$K$200,5,0)&gt;0,0.4,"")))</f>
        <v/>
      </c>
      <c r="S538" s="147" t="str">
        <f ca="1">IFERROR(IFERROR(IF(VLOOKUP($A538,'Шаг2.Бланк заказа NEW'!$B$17:$N$201,5,0)="","",VLOOKUP($A538,'Шаг2.Бланк заказа NEW'!$B$17:$N$201,5,0)),
IF(VLOOKUP($A538-COUNT('Шаг2.Бланк заказа NEW'!$B$19:$B$201),'Бланк OLD 0.8 04'!$B$12:$K$200,4,0)&gt;1,0.8,
IF(VLOOKUP($A538-COUNT('Шаг2.Бланк заказа NEW'!$B$19:$B$201),'Бланк OLD 0.8 04'!$B$12:$K$200,5,0)&gt;1,0.4,
IF(AND(VLOOKUP($A538-COUNT('Шаг2.Бланк заказа NEW'!$B$19:$B$201),'Бланк OLD 0.8 04'!$B$12:$K$200,4,0)&gt;0,VLOOKUP($A538-COUNT('Шаг2.Бланк заказа NEW'!$B$19:$B$201),'Бланк OLD 0.8 04'!$B$12:$K$200,5,0)&gt;0),0.4,"")))),
IF(VLOOKUP($A538-COUNT('Шаг2.Бланк заказа NEW'!$B$19:$B$201)-COUNT('Бланк OLD 0.8 04'!$B$18:$B$200),'Бланк OLD 2.0 04 '!$B$16:$K$200,4,0)&gt;1,2,
IF(VLOOKUP($A538-COUNT('Шаг2.Бланк заказа NEW'!$B$19:$B$201)-COUNT('Бланк OLD 0.8 04'!$B$18:$B$200),'Бланк OLD 2.0 04 '!$B$16:$K$200,5,0)&gt;1,0.4,IF(AND(VLOOKUP($A538-COUNT('Шаг2.Бланк заказа NEW'!$B$19:$B$201)-COUNT('Бланк OLD 0.8 04'!$B$18:$B$200),'Бланк OLD 2.0 04 '!$B$16:$K$200,4,0)&gt;0,VLOOKUP($A538-COUNT('Шаг2.Бланк заказа NEW'!$B$19:$B$201)-COUNT('Бланк OLD 0.8 04'!$B$18:$B$200),'Бланк OLD 2.0 04 '!$B$16:$K$200,5,0)&gt;0),0.4,""))))</f>
        <v/>
      </c>
      <c r="T538" s="147" t="str">
        <f ca="1">IFERROR(IFERROR(IF(VLOOKUP($A538,'Шаг2.Бланк заказа NEW'!$B$17:$N$201,7,0)="","",VLOOKUP($A538,'Шаг2.Бланк заказа NEW'!$B$17:$N$201,7,0)),
IF(VLOOKUP($A538-COUNT('Шаг2.Бланк заказа NEW'!$B$19:$B$201),'Бланк OLD 0.8 04'!$B$12:$K$200,7,0)&gt;0,0.8,
IF(VLOOKUP($A538-COUNT('Шаг2.Бланк заказа NEW'!$B$19:$B$201),'Бланк OLD 0.8 04'!$B$12:$K$200,8,0)&gt;0,0.4,""))),
IF(VLOOKUP($A538-COUNT('Шаг2.Бланк заказа NEW'!$B$19:$B$201)-COUNT('Бланк OLD 0.8 04'!$B$18:$B$200),'Бланк OLD 2.0 04 '!$B$16:$K$200,7,0)&gt;0,2,IF(VLOOKUP($A538-COUNT('Шаг2.Бланк заказа NEW'!$B$19:$B$201)-COUNT('Бланк OLD 0.8 04'!$B$18:$B$200),'Бланк OLD 2.0 04 '!$B$16:$K$200,8,0)&gt;0,0.4,"")))</f>
        <v/>
      </c>
      <c r="U538" s="147" t="str">
        <f ca="1">IFERROR(IFERROR(IF(VLOOKUP($A538,'Шаг2.Бланк заказа NEW'!$B$17:$N$201,8,0)="","",VLOOKUP($A538,'Шаг2.Бланк заказа NEW'!$B$17:$N$201,8,0)),
IF(VLOOKUP($A538-COUNT('Шаг2.Бланк заказа NEW'!$B$19:$B$201),'Бланк OLD 0.8 04'!$B$12:$K$200,7,0)&gt;1,0.8,
IF(VLOOKUP($A538-COUNT('Шаг2.Бланк заказа NEW'!$B$19:$B$201),'Бланк OLD 0.8 04'!$B$12:$K$200,8,0)&gt;1,0.4,
IF(AND(VLOOKUP($A538-COUNT('Шаг2.Бланк заказа NEW'!$B$19:$B$201),'Бланк OLD 0.8 04'!$B$12:$K$200,7,0)&gt;0,VLOOKUP($A538-COUNT('Шаг2.Бланк заказа NEW'!$B$19:$B$201),'Бланк OLD 0.8 04'!$B$12:$K$200,8,0)&gt;0),0.4,"")))),
IF(VLOOKUP($A538-COUNT('Шаг2.Бланк заказа NEW'!$B$19:$B$201)-COUNT('Бланк OLD 0.8 04'!$B$18:$B$200),'Бланк OLD 2.0 04 '!$B$16:$K$200,7,0)&gt;1,2,
IF(VLOOKUP($A538-COUNT('Шаг2.Бланк заказа NEW'!$B$19:$B$201)-COUNT('Бланк OLD 0.8 04'!$B$18:$B$200),'Бланк OLD 2.0 04 '!$B$16:$K$200,8,0)&gt;1,0.4,
IF(AND(VLOOKUP($A538-COUNT('Шаг2.Бланк заказа NEW'!$B$19:$B$201)-COUNT('Бланк OLD 0.8 04'!$B$18:$B$200),'Бланк OLD 2.0 04 '!$B$16:$K$200,7,0)&gt;0,VLOOKUP($A538-COUNT('Шаг2.Бланк заказа NEW'!$B$19:$B$201)-COUNT('Бланк OLD 0.8 04'!$B$18:$B$200),'Бланк OLD 2.0 04 '!$B$16:$K$200,8,0)&gt;0),0.4,""))))</f>
        <v/>
      </c>
      <c r="V538" s="146" t="str">
        <f ca="1">IFERROR(VLOOKUP(C538,'Шаг1.Выбор плиты'!C:S,12,0),"")</f>
        <v/>
      </c>
      <c r="W538" s="146" t="str">
        <f ca="1">IFERROR(VLOOKUP(C538,'Шаг1.Выбор плиты'!C:S,8,0),"")</f>
        <v/>
      </c>
      <c r="X538" s="146" t="str">
        <f ca="1">IFERROR(VLOOKUP(C538,'Шаг1.Выбор плиты'!C:S,10,0),"")</f>
        <v/>
      </c>
      <c r="Y538" s="147" t="str">
        <f t="shared" ca="1" si="51"/>
        <v/>
      </c>
      <c r="AD538" s="147" t="str">
        <f t="shared" ca="1" si="48"/>
        <v/>
      </c>
      <c r="AE538" s="147" t="str">
        <f t="shared" ca="1" si="52"/>
        <v/>
      </c>
      <c r="AF538" s="25"/>
      <c r="AH538" s="147" t="str">
        <f ca="1">IF(C538="","",VLOOKUP(C538,'Шаг1.Выбор плиты'!C:Q,7,0))</f>
        <v/>
      </c>
      <c r="AI538" s="147" t="str">
        <f t="shared" ca="1" si="50"/>
        <v/>
      </c>
    </row>
    <row r="539" spans="1:35" x14ac:dyDescent="0.2">
      <c r="A539" s="151" t="str">
        <f ca="1">IF(C539="","",MAX($A$1:OFFSET(C539,-1,0))+1)</f>
        <v/>
      </c>
      <c r="B539" s="151" t="str">
        <f ca="1">IFERROR(IFERROR(IFERROR("Шаг2.Бланк заказа NEW №"&amp;VLOOKUP(A538+1,CHOOSE({1,2},'Шаг2.Бланк заказа NEW'!$B$19:$B$201,'Шаг2.Бланк заказа NEW'!$A$19:$A$201),1,0),
"Бланк OLD 0.8 04 №"&amp;VLOOKUP(A538+1-COUNT('Шаг2.Бланк заказа NEW'!$B$19:$B$201),CHOOSE({1,2},'Бланк OLD 0.8 04'!$B$18:$B$200,'Бланк OLD 0.8 04'!$A$18:$A$200),1,0)),
"Бланк OLD 2.0 04 №"&amp;VLOOKUP(A538+1-COUNT('Шаг2.Бланк заказа NEW'!$B$19:$B$201)-COUNT('Бланк OLD 0.8 04'!$B$18:$B$200),CHOOSE({1,2},'Бланк OLD 2.0 04 '!$B$18:$B$200,'Бланк OLD 2.0 04 '!$A$18:$A$200),1,0)),"")</f>
        <v/>
      </c>
      <c r="C539" s="152" t="str">
        <f ca="1">IFERROR(IFERROR(IFERROR(VLOOKUP(A538+1,CHOOSE({1,2},'Шаг2.Бланк заказа NEW'!$B$19:$B$201,'Шаг2.Бланк заказа NEW'!$A$19:$A$201),2,0),
VLOOKUP(A538+1-COUNT('Шаг2.Бланк заказа NEW'!$B$19:$B$201),CHOOSE({1,2},'Бланк OLD 0.8 04'!$B$18:$B$200,'Бланк OLD 0.8 04'!$A$18:$A$200),2,0)),
VLOOKUP(A538+1-COUNT('Шаг2.Бланк заказа NEW'!$B$19:$B$201)-COUNT('Бланк OLD 0.8 04'!$B$18:$B$200),CHOOSE({1,2},'Бланк OLD 2.0 04 '!$B$18:$B$200,'Бланк OLD 2.0 04 '!$A$18:$A$200),2,0)),"")</f>
        <v/>
      </c>
      <c r="D539" s="150" t="str">
        <f ca="1">IFERROR(VLOOKUP(C539,'Шаг1.Выбор плиты'!C:G,5,0),"")</f>
        <v/>
      </c>
      <c r="E539" s="147" t="str">
        <f ca="1">IFERROR(IFERROR(IF(VLOOKUP($A539,'Шаг2.Бланк заказа NEW'!$B$17:$N$201,2,0)="","",VLOOKUP($A539,'Шаг2.Бланк заказа NEW'!$B$17:$N$201,2,0)),
IF(VLOOKUP($A539-COUNT('Шаг2.Бланк заказа NEW'!$B$19:$B$201),'Бланк OLD 0.8 04'!$B$12:$K$200,2,0)="","",VLOOKUP($A539-COUNT('Шаг2.Бланк заказа NEW'!$B$19:$B$201),'Бланк OLD 0.8 04'!$B$12:$K$200,2,0))),
IF(VLOOKUP($A539-COUNT('Шаг2.Бланк заказа NEW'!$B$19:$B$201)-COUNT('Бланк OLD 0.8 04'!$B$18:$B$200),'Бланк OLD 2.0 04 '!$B$16:$K$200,2,0)="","",VLOOKUP($A539-COUNT('Шаг2.Бланк заказа NEW'!$B$19:$B$201)-COUNT('Бланк OLD 0.8 04'!$B$18:$B$200),'Бланк OLD 2.0 04 '!$B$16:$K$200,2,0)))</f>
        <v/>
      </c>
      <c r="F539" s="147" t="str">
        <f ca="1">IFERROR(IFERROR(IF(VLOOKUP($A539,'Шаг2.Бланк заказа NEW'!$B$17:$N$201,3,0)="","",VLOOKUP($A539,'Шаг2.Бланк заказа NEW'!$B$17:$N$201,3,0)),
IF(VLOOKUP($A539-COUNT('Шаг2.Бланк заказа NEW'!$B$19:$B$201),'Бланк OLD 0.8 04'!$B$12:$K$200,3,0)="","",VLOOKUP($A539-COUNT('Шаг2.Бланк заказа NEW'!$B$19:$B$201),'Бланк OLD 0.8 04'!$B$12:$K$200,3,0))),
IF(VLOOKUP($A539-COUNT('Шаг2.Бланк заказа NEW'!$B$19:$B$201)-COUNT('Бланк OLD 0.8 04'!$B$18:$B$200),'Бланк OLD 2.0 04 '!$B$16:$K$200,3,0)="","",VLOOKUP($A539-COUNT('Шаг2.Бланк заказа NEW'!$B$19:$B$201)-COUNT('Бланк OLD 0.8 04'!$B$18:$B$200),'Бланк OLD 2.0 04 '!$B$16:$K$200,3,0)))</f>
        <v/>
      </c>
      <c r="G539" s="176" t="str">
        <f ca="1">IF(IF(R539="","",IF(R539=1,SUMIFS('Шаг1.Выбор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плиты'!C:Q,12,0)),1))))))=0,
R539,
IF(R539="","",IF(R539=1,SUMIFS('Шаг1.Выбор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плиты'!N:N,R539,'Шаг1.Выбор плиты'!M:M,SMALL(INDIRECT("мм"&amp;VLOOKUP(C539,'Шаг1.Выбор плиты'!C:Q,12,0)),1)))))))</f>
        <v/>
      </c>
      <c r="H539" s="177" t="str">
        <f ca="1">IF(IF(S539="","",IF(S539=1,SUMIFS('Шаг1.Выбор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плиты'!C:Q,12,0)),1))))))=0,
S539,
IF(S539="","",IF(S539=1,SUMIFS('Шаг1.Выбор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плиты'!N:N,S539,'Шаг1.Выбор плиты'!M:M,SMALL(INDIRECT("мм"&amp;VLOOKUP(C539,'Шаг1.Выбор плиты'!C:Q,12,0)),1)))))))</f>
        <v/>
      </c>
      <c r="I539" s="147" t="str">
        <f ca="1">IFERROR(IFERROR(IF(VLOOKUP($A539,'Шаг2.Бланк заказа NEW'!$B$17:$N$201,6,0)="","",VLOOKUP($A539,'Шаг2.Бланк заказа NEW'!$B$17:$N$201,6,0)),
IF(VLOOKUP($A539-COUNT('Шаг2.Бланк заказа NEW'!$B$19:$B$201),'Бланк OLD 0.8 04'!$B$12:$K$200,6,0)="","",VLOOKUP($A539-COUNT('Шаг2.Бланк заказа NEW'!$B$19:$B$201),'Бланк OLD 0.8 04'!$B$12:$K$200,6,0))),
IF(VLOOKUP($A539-COUNT('Шаг2.Бланк заказа NEW'!$B$19:$B$201)-COUNT('Бланк OLD 0.8 04'!$B$18:$B$200),'Бланк OLD 2.0 04 '!$B$16:$K$200,6,0)="","",VLOOKUP($A539-COUNT('Шаг2.Бланк заказа NEW'!$B$19:$B$201)-COUNT('Бланк OLD 0.8 04'!$B$18:$B$200),'Бланк OLD 2.0 04 '!$B$16:$K$200,6,0)))</f>
        <v/>
      </c>
      <c r="J539" s="177" t="str">
        <f ca="1">IF(IF(T539="","",IF(T539=1,SUMIFS('Шаг1.Выбор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плиты'!C:Q,12,0)),1))))))=0,
T539,
IF(T539="","",IF(T539=1,SUMIFS('Шаг1.Выбор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плиты'!N:N,T539,'Шаг1.Выбор плиты'!M:M,SMALL(INDIRECT("мм"&amp;VLOOKUP(C539,'Шаг1.Выбор плиты'!C:Q,12,0)),1)))))))</f>
        <v/>
      </c>
      <c r="K539" s="177" t="str">
        <f ca="1">IF(IF(U539="","",IF(U539=1,SUMIFS('Шаг1.Выбор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плиты'!C:Q,12,0)),1))))))=0,
U539,
IF(U539="","",IF(U539=1,SUMIFS('Шаг1.Выбор плиты'!$G:$G,'Шаг1.Выбор плиты'!J:J,"*"&amp;RIGHT(VLOOKUP(C539,'Шаг1.Выбор плиты'!C:Q,8,0),4),'Шаг1.Выбор плиты'!L:L,IF(MID(C539,1,6)="ЛДСП P","TM"&amp;MID(VLOOKUP(C539,'Шаг1.Выбор плиты'!C:Q,10,0),3,2),MID(VLOOKUP(C539,'Шаг1.Выбор плиты'!C:Q,10,0),1,2)),
'Шаг1.Выбор плиты'!N:N,1),IF(SUMIFS('Шаг1.Выбор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плиты'!C:Q,12,0)),1))=0,
IF(SUMIFS('Шаг1.Выбор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плиты'!C:Q,12,0)),2))=0,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плиты'!C:Q,12,0)),3)),
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плиты'!C:Q,12,0)),2))),
(SUMIFS('Шаг1.Выбор плиты'!$G:$G,'Шаг1.Выбор плиты'!J:J,"*"&amp;RIGHT(VLOOKUP(C539,'Шаг1.Выбор плиты'!C:Q,8,0),4),'Шаг1.Выбор плиты'!L:L,VLOOKUP(C539,'Шаг1.Выбор плиты'!C:Q,10,0),'Шаг1.Выбор плиты'!N:N,U539,'Шаг1.Выбор плиты'!M:M,SMALL(INDIRECT("мм"&amp;VLOOKUP(C539,'Шаг1.Выбор плиты'!C:Q,12,0)),1)))))))</f>
        <v/>
      </c>
      <c r="L539" s="147" t="str">
        <f ca="1">IFERROR(IFERROR(IF(VLOOKUP($A539,'Шаг2.Бланк заказа NEW'!$B$17:$N$201,9,0)="","",VLOOKUP($A539,'Шаг2.Бланк заказа NEW'!$B$17:$N$201,9,0)),
IF(VLOOKUP($A539-COUNT('Шаг2.Бланк заказа NEW'!$B$19:$B$201),'Бланк OLD 0.8 04'!$B$12:$K$200,9,0)="","",VLOOKUP($A539-COUNT('Шаг2.Бланк заказа NEW'!$B$19:$B$201),'Бланк OLD 0.8 04'!$B$12:$K$200,9,0))),
IF(VLOOKUP($A539-COUNT('Шаг2.Бланк заказа NEW'!$B$19:$B$201)-COUNT('Бланк OLD 0.8 04'!$B$18:$B$200),'Бланк OLD 2.0 04 '!$B$16:$K$200,9,0)="","",VLOOKUP($A539-COUNT('Шаг2.Бланк заказа NEW'!$B$19:$B$201)-COUNT('Бланк OLD 0.8 04'!$B$18:$B$200),'Бланк OLD 2.0 04 '!$B$16:$K$200,9,0)))</f>
        <v/>
      </c>
      <c r="M539" s="154" t="str">
        <f t="shared" ca="1" si="49"/>
        <v/>
      </c>
      <c r="N539" s="153" t="str">
        <f ca="1">IFERROR(IF(VLOOKUP($A539,'Шаг2.Бланк заказа NEW'!$B$17:$N$201,11,0)="","",VLOOKUP($A539,'Шаг2.Бланк заказа NEW'!$B$17:$N$201,11,0)),
"Нет")</f>
        <v/>
      </c>
      <c r="O539" s="147" t="str">
        <f ca="1">IFERROR(IF(VLOOKUP($A539,'Шаг2.Бланк заказа NEW'!$B$17:$N$201,11,0)="","",VLOOKUP($A539,'Шаг2.Бланк заказа NEW'!$B$17:$N$201,12,0)),
"Нет")</f>
        <v/>
      </c>
      <c r="P539" s="153" t="str">
        <f ca="1">IFERROR(IF(VLOOKUP($A539,'Шаг2.Бланк заказа NEW'!$B$17:$N$201,13,0)="","",VLOOKUP($A539,'Шаг2.Бланк заказа NEW'!$B$17:$N$201,13,0)),
"Нет")</f>
        <v/>
      </c>
      <c r="Q539" s="147" t="str">
        <f ca="1">IFERROR(IF(VLOOKUP($A539,'Шаг2.Бланк заказа NEW'!$B$17:$O$201,14,0)="","",VLOOKUP($A539,'Шаг2.Бланк заказа NEW'!$B$17:$O$201,14,0)),"")</f>
        <v/>
      </c>
      <c r="R539" s="147" t="str">
        <f ca="1">IFERROR(IFERROR(IF(VLOOKUP($A539,'Шаг2.Бланк заказа NEW'!$B$17:$N$201,4,0)="","",VLOOKUP($A539,'Шаг2.Бланк заказа NEW'!$B$17:$N$201,4,0)),
IF(VLOOKUP($A539-COUNT('Шаг2.Бланк заказа NEW'!$B$19:$B$201),'Бланк OLD 0.8 04'!$B$12:$K$200,4,0)&gt;0,0.8,
IF(VLOOKUP($A539-COUNT('Шаг2.Бланк заказа NEW'!$B$19:$B$201),'Бланк OLD 0.8 04'!$B$12:$K$200,5,0)&gt;0,0.4,""))),
IF(VLOOKUP($A539-COUNT('Шаг2.Бланк заказа NEW'!$B$19:$B$201)-COUNT('Бланк OLD 0.8 04'!$B$18:$B$200),'Бланк OLD 2.0 04 '!$B$16:$K$200,4,0)&gt;0,2,IF(VLOOKUP($A539-COUNT('Шаг2.Бланк заказа NEW'!$B$19:$B$201)-COUNT('Бланк OLD 0.8 04'!$B$18:$B$200),'Бланк OLD 2.0 04 '!$B$16:$K$200,5,0)&gt;0,0.4,"")))</f>
        <v/>
      </c>
      <c r="S539" s="147" t="str">
        <f ca="1">IFERROR(IFERROR(IF(VLOOKUP($A539,'Шаг2.Бланк заказа NEW'!$B$17:$N$201,5,0)="","",VLOOKUP($A539,'Шаг2.Бланк заказа NEW'!$B$17:$N$201,5,0)),
IF(VLOOKUP($A539-COUNT('Шаг2.Бланк заказа NEW'!$B$19:$B$201),'Бланк OLD 0.8 04'!$B$12:$K$200,4,0)&gt;1,0.8,
IF(VLOOKUP($A539-COUNT('Шаг2.Бланк заказа NEW'!$B$19:$B$201),'Бланк OLD 0.8 04'!$B$12:$K$200,5,0)&gt;1,0.4,
IF(AND(VLOOKUP($A539-COUNT('Шаг2.Бланк заказа NEW'!$B$19:$B$201),'Бланк OLD 0.8 04'!$B$12:$K$200,4,0)&gt;0,VLOOKUP($A539-COUNT('Шаг2.Бланк заказа NEW'!$B$19:$B$201),'Бланк OLD 0.8 04'!$B$12:$K$200,5,0)&gt;0),0.4,"")))),
IF(VLOOKUP($A539-COUNT('Шаг2.Бланк заказа NEW'!$B$19:$B$201)-COUNT('Бланк OLD 0.8 04'!$B$18:$B$200),'Бланк OLD 2.0 04 '!$B$16:$K$200,4,0)&gt;1,2,
IF(VLOOKUP($A539-COUNT('Шаг2.Бланк заказа NEW'!$B$19:$B$201)-COUNT('Бланк OLD 0.8 04'!$B$18:$B$200),'Бланк OLD 2.0 04 '!$B$16:$K$200,5,0)&gt;1,0.4,IF(AND(VLOOKUP($A539-COUNT('Шаг2.Бланк заказа NEW'!$B$19:$B$201)-COUNT('Бланк OLD 0.8 04'!$B$18:$B$200),'Бланк OLD 2.0 04 '!$B$16:$K$200,4,0)&gt;0,VLOOKUP($A539-COUNT('Шаг2.Бланк заказа NEW'!$B$19:$B$201)-COUNT('Бланк OLD 0.8 04'!$B$18:$B$200),'Бланк OLD 2.0 04 '!$B$16:$K$200,5,0)&gt;0),0.4,""))))</f>
        <v/>
      </c>
      <c r="T539" s="147" t="str">
        <f ca="1">IFERROR(IFERROR(IF(VLOOKUP($A539,'Шаг2.Бланк заказа NEW'!$B$17:$N$201,7,0)="","",VLOOKUP($A539,'Шаг2.Бланк заказа NEW'!$B$17:$N$201,7,0)),
IF(VLOOKUP($A539-COUNT('Шаг2.Бланк заказа NEW'!$B$19:$B$201),'Бланк OLD 0.8 04'!$B$12:$K$200,7,0)&gt;0,0.8,
IF(VLOOKUP($A539-COUNT('Шаг2.Бланк заказа NEW'!$B$19:$B$201),'Бланк OLD 0.8 04'!$B$12:$K$200,8,0)&gt;0,0.4,""))),
IF(VLOOKUP($A539-COUNT('Шаг2.Бланк заказа NEW'!$B$19:$B$201)-COUNT('Бланк OLD 0.8 04'!$B$18:$B$200),'Бланк OLD 2.0 04 '!$B$16:$K$200,7,0)&gt;0,2,IF(VLOOKUP($A539-COUNT('Шаг2.Бланк заказа NEW'!$B$19:$B$201)-COUNT('Бланк OLD 0.8 04'!$B$18:$B$200),'Бланк OLD 2.0 04 '!$B$16:$K$200,8,0)&gt;0,0.4,"")))</f>
        <v/>
      </c>
      <c r="U539" s="147" t="str">
        <f ca="1">IFERROR(IFERROR(IF(VLOOKUP($A539,'Шаг2.Бланк заказа NEW'!$B$17:$N$201,8,0)="","",VLOOKUP($A539,'Шаг2.Бланк заказа NEW'!$B$17:$N$201,8,0)),
IF(VLOOKUP($A539-COUNT('Шаг2.Бланк заказа NEW'!$B$19:$B$201),'Бланк OLD 0.8 04'!$B$12:$K$200,7,0)&gt;1,0.8,
IF(VLOOKUP($A539-COUNT('Шаг2.Бланк заказа NEW'!$B$19:$B$201),'Бланк OLD 0.8 04'!$B$12:$K$200,8,0)&gt;1,0.4,
IF(AND(VLOOKUP($A539-COUNT('Шаг2.Бланк заказа NEW'!$B$19:$B$201),'Бланк OLD 0.8 04'!$B$12:$K$200,7,0)&gt;0,VLOOKUP($A539-COUNT('Шаг2.Бланк заказа NEW'!$B$19:$B$201),'Бланк OLD 0.8 04'!$B$12:$K$200,8,0)&gt;0),0.4,"")))),
IF(VLOOKUP($A539-COUNT('Шаг2.Бланк заказа NEW'!$B$19:$B$201)-COUNT('Бланк OLD 0.8 04'!$B$18:$B$200),'Бланк OLD 2.0 04 '!$B$16:$K$200,7,0)&gt;1,2,
IF(VLOOKUP($A539-COUNT('Шаг2.Бланк заказа NEW'!$B$19:$B$201)-COUNT('Бланк OLD 0.8 04'!$B$18:$B$200),'Бланк OLD 2.0 04 '!$B$16:$K$200,8,0)&gt;1,0.4,
IF(AND(VLOOKUP($A539-COUNT('Шаг2.Бланк заказа NEW'!$B$19:$B$201)-COUNT('Бланк OLD 0.8 04'!$B$18:$B$200),'Бланк OLD 2.0 04 '!$B$16:$K$200,7,0)&gt;0,VLOOKUP($A539-COUNT('Шаг2.Бланк заказа NEW'!$B$19:$B$201)-COUNT('Бланк OLD 0.8 04'!$B$18:$B$200),'Бланк OLD 2.0 04 '!$B$16:$K$200,8,0)&gt;0),0.4,""))))</f>
        <v/>
      </c>
      <c r="V539" s="146" t="str">
        <f ca="1">IFERROR(VLOOKUP(C539,'Шаг1.Выбор плиты'!C:S,12,0),"")</f>
        <v/>
      </c>
      <c r="W539" s="146" t="str">
        <f ca="1">IFERROR(VLOOKUP(C539,'Шаг1.Выбор плиты'!C:S,8,0),"")</f>
        <v/>
      </c>
      <c r="X539" s="146" t="str">
        <f ca="1">IFERROR(VLOOKUP(C539,'Шаг1.Выбор плиты'!C:S,10,0),"")</f>
        <v/>
      </c>
      <c r="Y539" s="147" t="str">
        <f t="shared" ca="1" si="51"/>
        <v/>
      </c>
      <c r="AD539" s="147" t="str">
        <f t="shared" ca="1" si="48"/>
        <v/>
      </c>
      <c r="AE539" s="147" t="str">
        <f t="shared" ca="1" si="52"/>
        <v/>
      </c>
      <c r="AF539" s="25"/>
      <c r="AH539" s="147" t="str">
        <f ca="1">IF(C539="","",VLOOKUP(C539,'Шаг1.Выбор плиты'!C:Q,7,0))</f>
        <v/>
      </c>
      <c r="AI539" s="147" t="str">
        <f t="shared" ca="1" si="50"/>
        <v/>
      </c>
    </row>
    <row r="540" spans="1:35" x14ac:dyDescent="0.2">
      <c r="A540" s="151" t="str">
        <f ca="1">IF(C540="","",MAX($A$1:OFFSET(C540,-1,0))+1)</f>
        <v/>
      </c>
      <c r="B540" s="151" t="str">
        <f ca="1">IFERROR(IFERROR(IFERROR("Шаг2.Бланк заказа NEW №"&amp;VLOOKUP(A539+1,CHOOSE({1,2},'Шаг2.Бланк заказа NEW'!$B$19:$B$201,'Шаг2.Бланк заказа NEW'!$A$19:$A$201),1,0),
"Бланк OLD 0.8 04 №"&amp;VLOOKUP(A539+1-COUNT('Шаг2.Бланк заказа NEW'!$B$19:$B$201),CHOOSE({1,2},'Бланк OLD 0.8 04'!$B$18:$B$200,'Бланк OLD 0.8 04'!$A$18:$A$200),1,0)),
"Бланк OLD 2.0 04 №"&amp;VLOOKUP(A539+1-COUNT('Шаг2.Бланк заказа NEW'!$B$19:$B$201)-COUNT('Бланк OLD 0.8 04'!$B$18:$B$200),CHOOSE({1,2},'Бланк OLD 2.0 04 '!$B$18:$B$200,'Бланк OLD 2.0 04 '!$A$18:$A$200),1,0)),"")</f>
        <v/>
      </c>
      <c r="C540" s="152" t="str">
        <f ca="1">IFERROR(IFERROR(IFERROR(VLOOKUP(A539+1,CHOOSE({1,2},'Шаг2.Бланк заказа NEW'!$B$19:$B$201,'Шаг2.Бланк заказа NEW'!$A$19:$A$201),2,0),
VLOOKUP(A539+1-COUNT('Шаг2.Бланк заказа NEW'!$B$19:$B$201),CHOOSE({1,2},'Бланк OLD 0.8 04'!$B$18:$B$200,'Бланк OLD 0.8 04'!$A$18:$A$200),2,0)),
VLOOKUP(A539+1-COUNT('Шаг2.Бланк заказа NEW'!$B$19:$B$201)-COUNT('Бланк OLD 0.8 04'!$B$18:$B$200),CHOOSE({1,2},'Бланк OLD 2.0 04 '!$B$18:$B$200,'Бланк OLD 2.0 04 '!$A$18:$A$200),2,0)),"")</f>
        <v/>
      </c>
      <c r="D540" s="150" t="str">
        <f ca="1">IFERROR(VLOOKUP(C540,'Шаг1.Выбор плиты'!C:G,5,0),"")</f>
        <v/>
      </c>
      <c r="E540" s="147" t="str">
        <f ca="1">IFERROR(IFERROR(IF(VLOOKUP($A540,'Шаг2.Бланк заказа NEW'!$B$17:$N$201,2,0)="","",VLOOKUP($A540,'Шаг2.Бланк заказа NEW'!$B$17:$N$201,2,0)),
IF(VLOOKUP($A540-COUNT('Шаг2.Бланк заказа NEW'!$B$19:$B$201),'Бланк OLD 0.8 04'!$B$12:$K$200,2,0)="","",VLOOKUP($A540-COUNT('Шаг2.Бланк заказа NEW'!$B$19:$B$201),'Бланк OLD 0.8 04'!$B$12:$K$200,2,0))),
IF(VLOOKUP($A540-COUNT('Шаг2.Бланк заказа NEW'!$B$19:$B$201)-COUNT('Бланк OLD 0.8 04'!$B$18:$B$200),'Бланк OLD 2.0 04 '!$B$16:$K$200,2,0)="","",VLOOKUP($A540-COUNT('Шаг2.Бланк заказа NEW'!$B$19:$B$201)-COUNT('Бланк OLD 0.8 04'!$B$18:$B$200),'Бланк OLD 2.0 04 '!$B$16:$K$200,2,0)))</f>
        <v/>
      </c>
      <c r="F540" s="147" t="str">
        <f ca="1">IFERROR(IFERROR(IF(VLOOKUP($A540,'Шаг2.Бланк заказа NEW'!$B$17:$N$201,3,0)="","",VLOOKUP($A540,'Шаг2.Бланк заказа NEW'!$B$17:$N$201,3,0)),
IF(VLOOKUP($A540-COUNT('Шаг2.Бланк заказа NEW'!$B$19:$B$201),'Бланк OLD 0.8 04'!$B$12:$K$200,3,0)="","",VLOOKUP($A540-COUNT('Шаг2.Бланк заказа NEW'!$B$19:$B$201),'Бланк OLD 0.8 04'!$B$12:$K$200,3,0))),
IF(VLOOKUP($A540-COUNT('Шаг2.Бланк заказа NEW'!$B$19:$B$201)-COUNT('Бланк OLD 0.8 04'!$B$18:$B$200),'Бланк OLD 2.0 04 '!$B$16:$K$200,3,0)="","",VLOOKUP($A540-COUNT('Шаг2.Бланк заказа NEW'!$B$19:$B$201)-COUNT('Бланк OLD 0.8 04'!$B$18:$B$200),'Бланк OLD 2.0 04 '!$B$16:$K$200,3,0)))</f>
        <v/>
      </c>
      <c r="G540" s="176" t="str">
        <f ca="1">IF(IF(R540="","",IF(R540=1,SUMIFS('Шаг1.Выбор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плиты'!C:Q,12,0)),1))))))=0,
R540,
IF(R540="","",IF(R540=1,SUMIFS('Шаг1.Выбор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плиты'!N:N,R540,'Шаг1.Выбор плиты'!M:M,SMALL(INDIRECT("мм"&amp;VLOOKUP(C540,'Шаг1.Выбор плиты'!C:Q,12,0)),1)))))))</f>
        <v/>
      </c>
      <c r="H540" s="177" t="str">
        <f ca="1">IF(IF(S540="","",IF(S540=1,SUMIFS('Шаг1.Выбор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плиты'!C:Q,12,0)),1))))))=0,
S540,
IF(S540="","",IF(S540=1,SUMIFS('Шаг1.Выбор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плиты'!N:N,S540,'Шаг1.Выбор плиты'!M:M,SMALL(INDIRECT("мм"&amp;VLOOKUP(C540,'Шаг1.Выбор плиты'!C:Q,12,0)),1)))))))</f>
        <v/>
      </c>
      <c r="I540" s="147" t="str">
        <f ca="1">IFERROR(IFERROR(IF(VLOOKUP($A540,'Шаг2.Бланк заказа NEW'!$B$17:$N$201,6,0)="","",VLOOKUP($A540,'Шаг2.Бланк заказа NEW'!$B$17:$N$201,6,0)),
IF(VLOOKUP($A540-COUNT('Шаг2.Бланк заказа NEW'!$B$19:$B$201),'Бланк OLD 0.8 04'!$B$12:$K$200,6,0)="","",VLOOKUP($A540-COUNT('Шаг2.Бланк заказа NEW'!$B$19:$B$201),'Бланк OLD 0.8 04'!$B$12:$K$200,6,0))),
IF(VLOOKUP($A540-COUNT('Шаг2.Бланк заказа NEW'!$B$19:$B$201)-COUNT('Бланк OLD 0.8 04'!$B$18:$B$200),'Бланк OLD 2.0 04 '!$B$16:$K$200,6,0)="","",VLOOKUP($A540-COUNT('Шаг2.Бланк заказа NEW'!$B$19:$B$201)-COUNT('Бланк OLD 0.8 04'!$B$18:$B$200),'Бланк OLD 2.0 04 '!$B$16:$K$200,6,0)))</f>
        <v/>
      </c>
      <c r="J540" s="177" t="str">
        <f ca="1">IF(IF(T540="","",IF(T540=1,SUMIFS('Шаг1.Выбор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плиты'!C:Q,12,0)),1))))))=0,
T540,
IF(T540="","",IF(T540=1,SUMIFS('Шаг1.Выбор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плиты'!N:N,T540,'Шаг1.Выбор плиты'!M:M,SMALL(INDIRECT("мм"&amp;VLOOKUP(C540,'Шаг1.Выбор плиты'!C:Q,12,0)),1)))))))</f>
        <v/>
      </c>
      <c r="K540" s="177" t="str">
        <f ca="1">IF(IF(U540="","",IF(U540=1,SUMIFS('Шаг1.Выбор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плиты'!C:Q,12,0)),1))))))=0,
U540,
IF(U540="","",IF(U540=1,SUMIFS('Шаг1.Выбор плиты'!$G:$G,'Шаг1.Выбор плиты'!J:J,"*"&amp;RIGHT(VLOOKUP(C540,'Шаг1.Выбор плиты'!C:Q,8,0),4),'Шаг1.Выбор плиты'!L:L,IF(MID(C540,1,6)="ЛДСП P","TM"&amp;MID(VLOOKUP(C540,'Шаг1.Выбор плиты'!C:Q,10,0),3,2),MID(VLOOKUP(C540,'Шаг1.Выбор плиты'!C:Q,10,0),1,2)),
'Шаг1.Выбор плиты'!N:N,1),IF(SUMIFS('Шаг1.Выбор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плиты'!C:Q,12,0)),1))=0,
IF(SUMIFS('Шаг1.Выбор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плиты'!C:Q,12,0)),2))=0,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плиты'!C:Q,12,0)),3)),
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плиты'!C:Q,12,0)),2))),
(SUMIFS('Шаг1.Выбор плиты'!$G:$G,'Шаг1.Выбор плиты'!J:J,"*"&amp;RIGHT(VLOOKUP(C540,'Шаг1.Выбор плиты'!C:Q,8,0),4),'Шаг1.Выбор плиты'!L:L,VLOOKUP(C540,'Шаг1.Выбор плиты'!C:Q,10,0),'Шаг1.Выбор плиты'!N:N,U540,'Шаг1.Выбор плиты'!M:M,SMALL(INDIRECT("мм"&amp;VLOOKUP(C540,'Шаг1.Выбор плиты'!C:Q,12,0)),1)))))))</f>
        <v/>
      </c>
      <c r="L540" s="147" t="str">
        <f ca="1">IFERROR(IFERROR(IF(VLOOKUP($A540,'Шаг2.Бланк заказа NEW'!$B$17:$N$201,9,0)="","",VLOOKUP($A540,'Шаг2.Бланк заказа NEW'!$B$17:$N$201,9,0)),
IF(VLOOKUP($A540-COUNT('Шаг2.Бланк заказа NEW'!$B$19:$B$201),'Бланк OLD 0.8 04'!$B$12:$K$200,9,0)="","",VLOOKUP($A540-COUNT('Шаг2.Бланк заказа NEW'!$B$19:$B$201),'Бланк OLD 0.8 04'!$B$12:$K$200,9,0))),
IF(VLOOKUP($A540-COUNT('Шаг2.Бланк заказа NEW'!$B$19:$B$201)-COUNT('Бланк OLD 0.8 04'!$B$18:$B$200),'Бланк OLD 2.0 04 '!$B$16:$K$200,9,0)="","",VLOOKUP($A540-COUNT('Шаг2.Бланк заказа NEW'!$B$19:$B$201)-COUNT('Бланк OLD 0.8 04'!$B$18:$B$200),'Бланк OLD 2.0 04 '!$B$16:$K$200,9,0)))</f>
        <v/>
      </c>
      <c r="M540" s="154" t="str">
        <f t="shared" ca="1" si="49"/>
        <v/>
      </c>
      <c r="N540" s="153" t="str">
        <f ca="1">IFERROR(IF(VLOOKUP($A540,'Шаг2.Бланк заказа NEW'!$B$17:$N$201,11,0)="","",VLOOKUP($A540,'Шаг2.Бланк заказа NEW'!$B$17:$N$201,11,0)),
"Нет")</f>
        <v/>
      </c>
      <c r="O540" s="147" t="str">
        <f ca="1">IFERROR(IF(VLOOKUP($A540,'Шаг2.Бланк заказа NEW'!$B$17:$N$201,11,0)="","",VLOOKUP($A540,'Шаг2.Бланк заказа NEW'!$B$17:$N$201,12,0)),
"Нет")</f>
        <v/>
      </c>
      <c r="P540" s="153" t="str">
        <f ca="1">IFERROR(IF(VLOOKUP($A540,'Шаг2.Бланк заказа NEW'!$B$17:$N$201,13,0)="","",VLOOKUP($A540,'Шаг2.Бланк заказа NEW'!$B$17:$N$201,13,0)),
"Нет")</f>
        <v/>
      </c>
      <c r="Q540" s="147" t="str">
        <f ca="1">IFERROR(IF(VLOOKUP($A540,'Шаг2.Бланк заказа NEW'!$B$17:$O$201,14,0)="","",VLOOKUP($A540,'Шаг2.Бланк заказа NEW'!$B$17:$O$201,14,0)),"")</f>
        <v/>
      </c>
      <c r="R540" s="147" t="str">
        <f ca="1">IFERROR(IFERROR(IF(VLOOKUP($A540,'Шаг2.Бланк заказа NEW'!$B$17:$N$201,4,0)="","",VLOOKUP($A540,'Шаг2.Бланк заказа NEW'!$B$17:$N$201,4,0)),
IF(VLOOKUP($A540-COUNT('Шаг2.Бланк заказа NEW'!$B$19:$B$201),'Бланк OLD 0.8 04'!$B$12:$K$200,4,0)&gt;0,0.8,
IF(VLOOKUP($A540-COUNT('Шаг2.Бланк заказа NEW'!$B$19:$B$201),'Бланк OLD 0.8 04'!$B$12:$K$200,5,0)&gt;0,0.4,""))),
IF(VLOOKUP($A540-COUNT('Шаг2.Бланк заказа NEW'!$B$19:$B$201)-COUNT('Бланк OLD 0.8 04'!$B$18:$B$200),'Бланк OLD 2.0 04 '!$B$16:$K$200,4,0)&gt;0,2,IF(VLOOKUP($A540-COUNT('Шаг2.Бланк заказа NEW'!$B$19:$B$201)-COUNT('Бланк OLD 0.8 04'!$B$18:$B$200),'Бланк OLD 2.0 04 '!$B$16:$K$200,5,0)&gt;0,0.4,"")))</f>
        <v/>
      </c>
      <c r="S540" s="147" t="str">
        <f ca="1">IFERROR(IFERROR(IF(VLOOKUP($A540,'Шаг2.Бланк заказа NEW'!$B$17:$N$201,5,0)="","",VLOOKUP($A540,'Шаг2.Бланк заказа NEW'!$B$17:$N$201,5,0)),
IF(VLOOKUP($A540-COUNT('Шаг2.Бланк заказа NEW'!$B$19:$B$201),'Бланк OLD 0.8 04'!$B$12:$K$200,4,0)&gt;1,0.8,
IF(VLOOKUP($A540-COUNT('Шаг2.Бланк заказа NEW'!$B$19:$B$201),'Бланк OLD 0.8 04'!$B$12:$K$200,5,0)&gt;1,0.4,
IF(AND(VLOOKUP($A540-COUNT('Шаг2.Бланк заказа NEW'!$B$19:$B$201),'Бланк OLD 0.8 04'!$B$12:$K$200,4,0)&gt;0,VLOOKUP($A540-COUNT('Шаг2.Бланк заказа NEW'!$B$19:$B$201),'Бланк OLD 0.8 04'!$B$12:$K$200,5,0)&gt;0),0.4,"")))),
IF(VLOOKUP($A540-COUNT('Шаг2.Бланк заказа NEW'!$B$19:$B$201)-COUNT('Бланк OLD 0.8 04'!$B$18:$B$200),'Бланк OLD 2.0 04 '!$B$16:$K$200,4,0)&gt;1,2,
IF(VLOOKUP($A540-COUNT('Шаг2.Бланк заказа NEW'!$B$19:$B$201)-COUNT('Бланк OLD 0.8 04'!$B$18:$B$200),'Бланк OLD 2.0 04 '!$B$16:$K$200,5,0)&gt;1,0.4,IF(AND(VLOOKUP($A540-COUNT('Шаг2.Бланк заказа NEW'!$B$19:$B$201)-COUNT('Бланк OLD 0.8 04'!$B$18:$B$200),'Бланк OLD 2.0 04 '!$B$16:$K$200,4,0)&gt;0,VLOOKUP($A540-COUNT('Шаг2.Бланк заказа NEW'!$B$19:$B$201)-COUNT('Бланк OLD 0.8 04'!$B$18:$B$200),'Бланк OLD 2.0 04 '!$B$16:$K$200,5,0)&gt;0),0.4,""))))</f>
        <v/>
      </c>
      <c r="T540" s="147" t="str">
        <f ca="1">IFERROR(IFERROR(IF(VLOOKUP($A540,'Шаг2.Бланк заказа NEW'!$B$17:$N$201,7,0)="","",VLOOKUP($A540,'Шаг2.Бланк заказа NEW'!$B$17:$N$201,7,0)),
IF(VLOOKUP($A540-COUNT('Шаг2.Бланк заказа NEW'!$B$19:$B$201),'Бланк OLD 0.8 04'!$B$12:$K$200,7,0)&gt;0,0.8,
IF(VLOOKUP($A540-COUNT('Шаг2.Бланк заказа NEW'!$B$19:$B$201),'Бланк OLD 0.8 04'!$B$12:$K$200,8,0)&gt;0,0.4,""))),
IF(VLOOKUP($A540-COUNT('Шаг2.Бланк заказа NEW'!$B$19:$B$201)-COUNT('Бланк OLD 0.8 04'!$B$18:$B$200),'Бланк OLD 2.0 04 '!$B$16:$K$200,7,0)&gt;0,2,IF(VLOOKUP($A540-COUNT('Шаг2.Бланк заказа NEW'!$B$19:$B$201)-COUNT('Бланк OLD 0.8 04'!$B$18:$B$200),'Бланк OLD 2.0 04 '!$B$16:$K$200,8,0)&gt;0,0.4,"")))</f>
        <v/>
      </c>
      <c r="U540" s="147" t="str">
        <f ca="1">IFERROR(IFERROR(IF(VLOOKUP($A540,'Шаг2.Бланк заказа NEW'!$B$17:$N$201,8,0)="","",VLOOKUP($A540,'Шаг2.Бланк заказа NEW'!$B$17:$N$201,8,0)),
IF(VLOOKUP($A540-COUNT('Шаг2.Бланк заказа NEW'!$B$19:$B$201),'Бланк OLD 0.8 04'!$B$12:$K$200,7,0)&gt;1,0.8,
IF(VLOOKUP($A540-COUNT('Шаг2.Бланк заказа NEW'!$B$19:$B$201),'Бланк OLD 0.8 04'!$B$12:$K$200,8,0)&gt;1,0.4,
IF(AND(VLOOKUP($A540-COUNT('Шаг2.Бланк заказа NEW'!$B$19:$B$201),'Бланк OLD 0.8 04'!$B$12:$K$200,7,0)&gt;0,VLOOKUP($A540-COUNT('Шаг2.Бланк заказа NEW'!$B$19:$B$201),'Бланк OLD 0.8 04'!$B$12:$K$200,8,0)&gt;0),0.4,"")))),
IF(VLOOKUP($A540-COUNT('Шаг2.Бланк заказа NEW'!$B$19:$B$201)-COUNT('Бланк OLD 0.8 04'!$B$18:$B$200),'Бланк OLD 2.0 04 '!$B$16:$K$200,7,0)&gt;1,2,
IF(VLOOKUP($A540-COUNT('Шаг2.Бланк заказа NEW'!$B$19:$B$201)-COUNT('Бланк OLD 0.8 04'!$B$18:$B$200),'Бланк OLD 2.0 04 '!$B$16:$K$200,8,0)&gt;1,0.4,
IF(AND(VLOOKUP($A540-COUNT('Шаг2.Бланк заказа NEW'!$B$19:$B$201)-COUNT('Бланк OLD 0.8 04'!$B$18:$B$200),'Бланк OLD 2.0 04 '!$B$16:$K$200,7,0)&gt;0,VLOOKUP($A540-COUNT('Шаг2.Бланк заказа NEW'!$B$19:$B$201)-COUNT('Бланк OLD 0.8 04'!$B$18:$B$200),'Бланк OLD 2.0 04 '!$B$16:$K$200,8,0)&gt;0),0.4,""))))</f>
        <v/>
      </c>
      <c r="V540" s="146" t="str">
        <f ca="1">IFERROR(VLOOKUP(C540,'Шаг1.Выбор плиты'!C:S,12,0),"")</f>
        <v/>
      </c>
      <c r="W540" s="146" t="str">
        <f ca="1">IFERROR(VLOOKUP(C540,'Шаг1.Выбор плиты'!C:S,8,0),"")</f>
        <v/>
      </c>
      <c r="X540" s="146" t="str">
        <f ca="1">IFERROR(VLOOKUP(C540,'Шаг1.Выбор плиты'!C:S,10,0),"")</f>
        <v/>
      </c>
      <c r="Y540" s="147" t="str">
        <f t="shared" ca="1" si="51"/>
        <v/>
      </c>
      <c r="AD540" s="147" t="str">
        <f t="shared" ca="1" si="48"/>
        <v/>
      </c>
      <c r="AE540" s="147" t="str">
        <f t="shared" ca="1" si="52"/>
        <v/>
      </c>
      <c r="AF540" s="25"/>
      <c r="AH540" s="147" t="str">
        <f ca="1">IF(C540="","",VLOOKUP(C540,'Шаг1.Выбор плиты'!C:Q,7,0))</f>
        <v/>
      </c>
      <c r="AI540" s="147" t="str">
        <f t="shared" ca="1" si="50"/>
        <v/>
      </c>
    </row>
    <row r="541" spans="1:35" x14ac:dyDescent="0.2">
      <c r="A541" s="151" t="str">
        <f ca="1">IF(C541="","",MAX($A$1:OFFSET(C541,-1,0))+1)</f>
        <v/>
      </c>
      <c r="B541" s="151" t="str">
        <f ca="1">IFERROR(IFERROR(IFERROR("Шаг2.Бланк заказа NEW №"&amp;VLOOKUP(A540+1,CHOOSE({1,2},'Шаг2.Бланк заказа NEW'!$B$19:$B$201,'Шаг2.Бланк заказа NEW'!$A$19:$A$201),1,0),
"Бланк OLD 0.8 04 №"&amp;VLOOKUP(A540+1-COUNT('Шаг2.Бланк заказа NEW'!$B$19:$B$201),CHOOSE({1,2},'Бланк OLD 0.8 04'!$B$18:$B$200,'Бланк OLD 0.8 04'!$A$18:$A$200),1,0)),
"Бланк OLD 2.0 04 №"&amp;VLOOKUP(A540+1-COUNT('Шаг2.Бланк заказа NEW'!$B$19:$B$201)-COUNT('Бланк OLD 0.8 04'!$B$18:$B$200),CHOOSE({1,2},'Бланк OLD 2.0 04 '!$B$18:$B$200,'Бланк OLD 2.0 04 '!$A$18:$A$200),1,0)),"")</f>
        <v/>
      </c>
      <c r="C541" s="152" t="str">
        <f ca="1">IFERROR(IFERROR(IFERROR(VLOOKUP(A540+1,CHOOSE({1,2},'Шаг2.Бланк заказа NEW'!$B$19:$B$201,'Шаг2.Бланк заказа NEW'!$A$19:$A$201),2,0),
VLOOKUP(A540+1-COUNT('Шаг2.Бланк заказа NEW'!$B$19:$B$201),CHOOSE({1,2},'Бланк OLD 0.8 04'!$B$18:$B$200,'Бланк OLD 0.8 04'!$A$18:$A$200),2,0)),
VLOOKUP(A540+1-COUNT('Шаг2.Бланк заказа NEW'!$B$19:$B$201)-COUNT('Бланк OLD 0.8 04'!$B$18:$B$200),CHOOSE({1,2},'Бланк OLD 2.0 04 '!$B$18:$B$200,'Бланк OLD 2.0 04 '!$A$18:$A$200),2,0)),"")</f>
        <v/>
      </c>
      <c r="D541" s="150" t="str">
        <f ca="1">IFERROR(VLOOKUP(C541,'Шаг1.Выбор плиты'!C:G,5,0),"")</f>
        <v/>
      </c>
      <c r="E541" s="147" t="str">
        <f ca="1">IFERROR(IFERROR(IF(VLOOKUP($A541,'Шаг2.Бланк заказа NEW'!$B$17:$N$201,2,0)="","",VLOOKUP($A541,'Шаг2.Бланк заказа NEW'!$B$17:$N$201,2,0)),
IF(VLOOKUP($A541-COUNT('Шаг2.Бланк заказа NEW'!$B$19:$B$201),'Бланк OLD 0.8 04'!$B$12:$K$200,2,0)="","",VLOOKUP($A541-COUNT('Шаг2.Бланк заказа NEW'!$B$19:$B$201),'Бланк OLD 0.8 04'!$B$12:$K$200,2,0))),
IF(VLOOKUP($A541-COUNT('Шаг2.Бланк заказа NEW'!$B$19:$B$201)-COUNT('Бланк OLD 0.8 04'!$B$18:$B$200),'Бланк OLD 2.0 04 '!$B$16:$K$200,2,0)="","",VLOOKUP($A541-COUNT('Шаг2.Бланк заказа NEW'!$B$19:$B$201)-COUNT('Бланк OLD 0.8 04'!$B$18:$B$200),'Бланк OLD 2.0 04 '!$B$16:$K$200,2,0)))</f>
        <v/>
      </c>
      <c r="F541" s="147" t="str">
        <f ca="1">IFERROR(IFERROR(IF(VLOOKUP($A541,'Шаг2.Бланк заказа NEW'!$B$17:$N$201,3,0)="","",VLOOKUP($A541,'Шаг2.Бланк заказа NEW'!$B$17:$N$201,3,0)),
IF(VLOOKUP($A541-COUNT('Шаг2.Бланк заказа NEW'!$B$19:$B$201),'Бланк OLD 0.8 04'!$B$12:$K$200,3,0)="","",VLOOKUP($A541-COUNT('Шаг2.Бланк заказа NEW'!$B$19:$B$201),'Бланк OLD 0.8 04'!$B$12:$K$200,3,0))),
IF(VLOOKUP($A541-COUNT('Шаг2.Бланк заказа NEW'!$B$19:$B$201)-COUNT('Бланк OLD 0.8 04'!$B$18:$B$200),'Бланк OLD 2.0 04 '!$B$16:$K$200,3,0)="","",VLOOKUP($A541-COUNT('Шаг2.Бланк заказа NEW'!$B$19:$B$201)-COUNT('Бланк OLD 0.8 04'!$B$18:$B$200),'Бланк OLD 2.0 04 '!$B$16:$K$200,3,0)))</f>
        <v/>
      </c>
      <c r="G541" s="176" t="str">
        <f ca="1">IF(IF(R541="","",IF(R541=1,SUMIFS('Шаг1.Выбор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плиты'!C:Q,12,0)),1))))))=0,
R541,
IF(R541="","",IF(R541=1,SUMIFS('Шаг1.Выбор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плиты'!N:N,R541,'Шаг1.Выбор плиты'!M:M,SMALL(INDIRECT("мм"&amp;VLOOKUP(C541,'Шаг1.Выбор плиты'!C:Q,12,0)),1)))))))</f>
        <v/>
      </c>
      <c r="H541" s="177" t="str">
        <f ca="1">IF(IF(S541="","",IF(S541=1,SUMIFS('Шаг1.Выбор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плиты'!C:Q,12,0)),1))))))=0,
S541,
IF(S541="","",IF(S541=1,SUMIFS('Шаг1.Выбор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плиты'!N:N,S541,'Шаг1.Выбор плиты'!M:M,SMALL(INDIRECT("мм"&amp;VLOOKUP(C541,'Шаг1.Выбор плиты'!C:Q,12,0)),1)))))))</f>
        <v/>
      </c>
      <c r="I541" s="147" t="str">
        <f ca="1">IFERROR(IFERROR(IF(VLOOKUP($A541,'Шаг2.Бланк заказа NEW'!$B$17:$N$201,6,0)="","",VLOOKUP($A541,'Шаг2.Бланк заказа NEW'!$B$17:$N$201,6,0)),
IF(VLOOKUP($A541-COUNT('Шаг2.Бланк заказа NEW'!$B$19:$B$201),'Бланк OLD 0.8 04'!$B$12:$K$200,6,0)="","",VLOOKUP($A541-COUNT('Шаг2.Бланк заказа NEW'!$B$19:$B$201),'Бланк OLD 0.8 04'!$B$12:$K$200,6,0))),
IF(VLOOKUP($A541-COUNT('Шаг2.Бланк заказа NEW'!$B$19:$B$201)-COUNT('Бланк OLD 0.8 04'!$B$18:$B$200),'Бланк OLD 2.0 04 '!$B$16:$K$200,6,0)="","",VLOOKUP($A541-COUNT('Шаг2.Бланк заказа NEW'!$B$19:$B$201)-COUNT('Бланк OLD 0.8 04'!$B$18:$B$200),'Бланк OLD 2.0 04 '!$B$16:$K$200,6,0)))</f>
        <v/>
      </c>
      <c r="J541" s="177" t="str">
        <f ca="1">IF(IF(T541="","",IF(T541=1,SUMIFS('Шаг1.Выбор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плиты'!C:Q,12,0)),1))))))=0,
T541,
IF(T541="","",IF(T541=1,SUMIFS('Шаг1.Выбор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плиты'!N:N,T541,'Шаг1.Выбор плиты'!M:M,SMALL(INDIRECT("мм"&amp;VLOOKUP(C541,'Шаг1.Выбор плиты'!C:Q,12,0)),1)))))))</f>
        <v/>
      </c>
      <c r="K541" s="177" t="str">
        <f ca="1">IF(IF(U541="","",IF(U541=1,SUMIFS('Шаг1.Выбор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плиты'!C:Q,12,0)),1))))))=0,
U541,
IF(U541="","",IF(U541=1,SUMIFS('Шаг1.Выбор плиты'!$G:$G,'Шаг1.Выбор плиты'!J:J,"*"&amp;RIGHT(VLOOKUP(C541,'Шаг1.Выбор плиты'!C:Q,8,0),4),'Шаг1.Выбор плиты'!L:L,IF(MID(C541,1,6)="ЛДСП P","TM"&amp;MID(VLOOKUP(C541,'Шаг1.Выбор плиты'!C:Q,10,0),3,2),MID(VLOOKUP(C541,'Шаг1.Выбор плиты'!C:Q,10,0),1,2)),
'Шаг1.Выбор плиты'!N:N,1),IF(SUMIFS('Шаг1.Выбор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плиты'!C:Q,12,0)),1))=0,
IF(SUMIFS('Шаг1.Выбор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плиты'!C:Q,12,0)),2))=0,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плиты'!C:Q,12,0)),3)),
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плиты'!C:Q,12,0)),2))),
(SUMIFS('Шаг1.Выбор плиты'!$G:$G,'Шаг1.Выбор плиты'!J:J,"*"&amp;RIGHT(VLOOKUP(C541,'Шаг1.Выбор плиты'!C:Q,8,0),4),'Шаг1.Выбор плиты'!L:L,VLOOKUP(C541,'Шаг1.Выбор плиты'!C:Q,10,0),'Шаг1.Выбор плиты'!N:N,U541,'Шаг1.Выбор плиты'!M:M,SMALL(INDIRECT("мм"&amp;VLOOKUP(C541,'Шаг1.Выбор плиты'!C:Q,12,0)),1)))))))</f>
        <v/>
      </c>
      <c r="L541" s="147" t="str">
        <f ca="1">IFERROR(IFERROR(IF(VLOOKUP($A541,'Шаг2.Бланк заказа NEW'!$B$17:$N$201,9,0)="","",VLOOKUP($A541,'Шаг2.Бланк заказа NEW'!$B$17:$N$201,9,0)),
IF(VLOOKUP($A541-COUNT('Шаг2.Бланк заказа NEW'!$B$19:$B$201),'Бланк OLD 0.8 04'!$B$12:$K$200,9,0)="","",VLOOKUP($A541-COUNT('Шаг2.Бланк заказа NEW'!$B$19:$B$201),'Бланк OLD 0.8 04'!$B$12:$K$200,9,0))),
IF(VLOOKUP($A541-COUNT('Шаг2.Бланк заказа NEW'!$B$19:$B$201)-COUNT('Бланк OLD 0.8 04'!$B$18:$B$200),'Бланк OLD 2.0 04 '!$B$16:$K$200,9,0)="","",VLOOKUP($A541-COUNT('Шаг2.Бланк заказа NEW'!$B$19:$B$201)-COUNT('Бланк OLD 0.8 04'!$B$18:$B$200),'Бланк OLD 2.0 04 '!$B$16:$K$200,9,0)))</f>
        <v/>
      </c>
      <c r="M541" s="154" t="str">
        <f t="shared" ca="1" si="49"/>
        <v/>
      </c>
      <c r="N541" s="153" t="str">
        <f ca="1">IFERROR(IF(VLOOKUP($A541,'Шаг2.Бланк заказа NEW'!$B$17:$N$201,11,0)="","",VLOOKUP($A541,'Шаг2.Бланк заказа NEW'!$B$17:$N$201,11,0)),
"Нет")</f>
        <v/>
      </c>
      <c r="O541" s="147" t="str">
        <f ca="1">IFERROR(IF(VLOOKUP($A541,'Шаг2.Бланк заказа NEW'!$B$17:$N$201,11,0)="","",VLOOKUP($A541,'Шаг2.Бланк заказа NEW'!$B$17:$N$201,12,0)),
"Нет")</f>
        <v/>
      </c>
      <c r="P541" s="153" t="str">
        <f ca="1">IFERROR(IF(VLOOKUP($A541,'Шаг2.Бланк заказа NEW'!$B$17:$N$201,13,0)="","",VLOOKUP($A541,'Шаг2.Бланк заказа NEW'!$B$17:$N$201,13,0)),
"Нет")</f>
        <v/>
      </c>
      <c r="Q541" s="147" t="str">
        <f ca="1">IFERROR(IF(VLOOKUP($A541,'Шаг2.Бланк заказа NEW'!$B$17:$O$201,14,0)="","",VLOOKUP($A541,'Шаг2.Бланк заказа NEW'!$B$17:$O$201,14,0)),"")</f>
        <v/>
      </c>
      <c r="R541" s="147" t="str">
        <f ca="1">IFERROR(IFERROR(IF(VLOOKUP($A541,'Шаг2.Бланк заказа NEW'!$B$17:$N$201,4,0)="","",VLOOKUP($A541,'Шаг2.Бланк заказа NEW'!$B$17:$N$201,4,0)),
IF(VLOOKUP($A541-COUNT('Шаг2.Бланк заказа NEW'!$B$19:$B$201),'Бланк OLD 0.8 04'!$B$12:$K$200,4,0)&gt;0,0.8,
IF(VLOOKUP($A541-COUNT('Шаг2.Бланк заказа NEW'!$B$19:$B$201),'Бланк OLD 0.8 04'!$B$12:$K$200,5,0)&gt;0,0.4,""))),
IF(VLOOKUP($A541-COUNT('Шаг2.Бланк заказа NEW'!$B$19:$B$201)-COUNT('Бланк OLD 0.8 04'!$B$18:$B$200),'Бланк OLD 2.0 04 '!$B$16:$K$200,4,0)&gt;0,2,IF(VLOOKUP($A541-COUNT('Шаг2.Бланк заказа NEW'!$B$19:$B$201)-COUNT('Бланк OLD 0.8 04'!$B$18:$B$200),'Бланк OLD 2.0 04 '!$B$16:$K$200,5,0)&gt;0,0.4,"")))</f>
        <v/>
      </c>
      <c r="S541" s="147" t="str">
        <f ca="1">IFERROR(IFERROR(IF(VLOOKUP($A541,'Шаг2.Бланк заказа NEW'!$B$17:$N$201,5,0)="","",VLOOKUP($A541,'Шаг2.Бланк заказа NEW'!$B$17:$N$201,5,0)),
IF(VLOOKUP($A541-COUNT('Шаг2.Бланк заказа NEW'!$B$19:$B$201),'Бланк OLD 0.8 04'!$B$12:$K$200,4,0)&gt;1,0.8,
IF(VLOOKUP($A541-COUNT('Шаг2.Бланк заказа NEW'!$B$19:$B$201),'Бланк OLD 0.8 04'!$B$12:$K$200,5,0)&gt;1,0.4,
IF(AND(VLOOKUP($A541-COUNT('Шаг2.Бланк заказа NEW'!$B$19:$B$201),'Бланк OLD 0.8 04'!$B$12:$K$200,4,0)&gt;0,VLOOKUP($A541-COUNT('Шаг2.Бланк заказа NEW'!$B$19:$B$201),'Бланк OLD 0.8 04'!$B$12:$K$200,5,0)&gt;0),0.4,"")))),
IF(VLOOKUP($A541-COUNT('Шаг2.Бланк заказа NEW'!$B$19:$B$201)-COUNT('Бланк OLD 0.8 04'!$B$18:$B$200),'Бланк OLD 2.0 04 '!$B$16:$K$200,4,0)&gt;1,2,
IF(VLOOKUP($A541-COUNT('Шаг2.Бланк заказа NEW'!$B$19:$B$201)-COUNT('Бланк OLD 0.8 04'!$B$18:$B$200),'Бланк OLD 2.0 04 '!$B$16:$K$200,5,0)&gt;1,0.4,IF(AND(VLOOKUP($A541-COUNT('Шаг2.Бланк заказа NEW'!$B$19:$B$201)-COUNT('Бланк OLD 0.8 04'!$B$18:$B$200),'Бланк OLD 2.0 04 '!$B$16:$K$200,4,0)&gt;0,VLOOKUP($A541-COUNT('Шаг2.Бланк заказа NEW'!$B$19:$B$201)-COUNT('Бланк OLD 0.8 04'!$B$18:$B$200),'Бланк OLD 2.0 04 '!$B$16:$K$200,5,0)&gt;0),0.4,""))))</f>
        <v/>
      </c>
      <c r="T541" s="147" t="str">
        <f ca="1">IFERROR(IFERROR(IF(VLOOKUP($A541,'Шаг2.Бланк заказа NEW'!$B$17:$N$201,7,0)="","",VLOOKUP($A541,'Шаг2.Бланк заказа NEW'!$B$17:$N$201,7,0)),
IF(VLOOKUP($A541-COUNT('Шаг2.Бланк заказа NEW'!$B$19:$B$201),'Бланк OLD 0.8 04'!$B$12:$K$200,7,0)&gt;0,0.8,
IF(VLOOKUP($A541-COUNT('Шаг2.Бланк заказа NEW'!$B$19:$B$201),'Бланк OLD 0.8 04'!$B$12:$K$200,8,0)&gt;0,0.4,""))),
IF(VLOOKUP($A541-COUNT('Шаг2.Бланк заказа NEW'!$B$19:$B$201)-COUNT('Бланк OLD 0.8 04'!$B$18:$B$200),'Бланк OLD 2.0 04 '!$B$16:$K$200,7,0)&gt;0,2,IF(VLOOKUP($A541-COUNT('Шаг2.Бланк заказа NEW'!$B$19:$B$201)-COUNT('Бланк OLD 0.8 04'!$B$18:$B$200),'Бланк OLD 2.0 04 '!$B$16:$K$200,8,0)&gt;0,0.4,"")))</f>
        <v/>
      </c>
      <c r="U541" s="147" t="str">
        <f ca="1">IFERROR(IFERROR(IF(VLOOKUP($A541,'Шаг2.Бланк заказа NEW'!$B$17:$N$201,8,0)="","",VLOOKUP($A541,'Шаг2.Бланк заказа NEW'!$B$17:$N$201,8,0)),
IF(VLOOKUP($A541-COUNT('Шаг2.Бланк заказа NEW'!$B$19:$B$201),'Бланк OLD 0.8 04'!$B$12:$K$200,7,0)&gt;1,0.8,
IF(VLOOKUP($A541-COUNT('Шаг2.Бланк заказа NEW'!$B$19:$B$201),'Бланк OLD 0.8 04'!$B$12:$K$200,8,0)&gt;1,0.4,
IF(AND(VLOOKUP($A541-COUNT('Шаг2.Бланк заказа NEW'!$B$19:$B$201),'Бланк OLD 0.8 04'!$B$12:$K$200,7,0)&gt;0,VLOOKUP($A541-COUNT('Шаг2.Бланк заказа NEW'!$B$19:$B$201),'Бланк OLD 0.8 04'!$B$12:$K$200,8,0)&gt;0),0.4,"")))),
IF(VLOOKUP($A541-COUNT('Шаг2.Бланк заказа NEW'!$B$19:$B$201)-COUNT('Бланк OLD 0.8 04'!$B$18:$B$200),'Бланк OLD 2.0 04 '!$B$16:$K$200,7,0)&gt;1,2,
IF(VLOOKUP($A541-COUNT('Шаг2.Бланк заказа NEW'!$B$19:$B$201)-COUNT('Бланк OLD 0.8 04'!$B$18:$B$200),'Бланк OLD 2.0 04 '!$B$16:$K$200,8,0)&gt;1,0.4,
IF(AND(VLOOKUP($A541-COUNT('Шаг2.Бланк заказа NEW'!$B$19:$B$201)-COUNT('Бланк OLD 0.8 04'!$B$18:$B$200),'Бланк OLD 2.0 04 '!$B$16:$K$200,7,0)&gt;0,VLOOKUP($A541-COUNT('Шаг2.Бланк заказа NEW'!$B$19:$B$201)-COUNT('Бланк OLD 0.8 04'!$B$18:$B$200),'Бланк OLD 2.0 04 '!$B$16:$K$200,8,0)&gt;0),0.4,""))))</f>
        <v/>
      </c>
      <c r="V541" s="146" t="str">
        <f ca="1">IFERROR(VLOOKUP(C541,'Шаг1.Выбор плиты'!C:S,12,0),"")</f>
        <v/>
      </c>
      <c r="W541" s="146" t="str">
        <f ca="1">IFERROR(VLOOKUP(C541,'Шаг1.Выбор плиты'!C:S,8,0),"")</f>
        <v/>
      </c>
      <c r="X541" s="146" t="str">
        <f ca="1">IFERROR(VLOOKUP(C541,'Шаг1.Выбор плиты'!C:S,10,0),"")</f>
        <v/>
      </c>
      <c r="Y541" s="147" t="str">
        <f t="shared" ca="1" si="51"/>
        <v/>
      </c>
      <c r="AD541" s="147" t="str">
        <f t="shared" ca="1" si="48"/>
        <v/>
      </c>
      <c r="AE541" s="147" t="str">
        <f t="shared" ca="1" si="52"/>
        <v/>
      </c>
      <c r="AF541" s="25"/>
      <c r="AH541" s="147" t="str">
        <f ca="1">IF(C541="","",VLOOKUP(C541,'Шаг1.Выбор плиты'!C:Q,7,0))</f>
        <v/>
      </c>
      <c r="AI541" s="147" t="str">
        <f t="shared" ca="1" si="50"/>
        <v/>
      </c>
    </row>
    <row r="542" spans="1:35" x14ac:dyDescent="0.2">
      <c r="A542" s="151" t="str">
        <f ca="1">IF(C542="","",MAX($A$1:OFFSET(C542,-1,0))+1)</f>
        <v/>
      </c>
      <c r="B542" s="151" t="str">
        <f ca="1">IFERROR(IFERROR(IFERROR("Шаг2.Бланк заказа NEW №"&amp;VLOOKUP(A541+1,CHOOSE({1,2},'Шаг2.Бланк заказа NEW'!$B$19:$B$201,'Шаг2.Бланк заказа NEW'!$A$19:$A$201),1,0),
"Бланк OLD 0.8 04 №"&amp;VLOOKUP(A541+1-COUNT('Шаг2.Бланк заказа NEW'!$B$19:$B$201),CHOOSE({1,2},'Бланк OLD 0.8 04'!$B$18:$B$200,'Бланк OLD 0.8 04'!$A$18:$A$200),1,0)),
"Бланк OLD 2.0 04 №"&amp;VLOOKUP(A541+1-COUNT('Шаг2.Бланк заказа NEW'!$B$19:$B$201)-COUNT('Бланк OLD 0.8 04'!$B$18:$B$200),CHOOSE({1,2},'Бланк OLD 2.0 04 '!$B$18:$B$200,'Бланк OLD 2.0 04 '!$A$18:$A$200),1,0)),"")</f>
        <v/>
      </c>
      <c r="C542" s="152" t="str">
        <f ca="1">IFERROR(IFERROR(IFERROR(VLOOKUP(A541+1,CHOOSE({1,2},'Шаг2.Бланк заказа NEW'!$B$19:$B$201,'Шаг2.Бланк заказа NEW'!$A$19:$A$201),2,0),
VLOOKUP(A541+1-COUNT('Шаг2.Бланк заказа NEW'!$B$19:$B$201),CHOOSE({1,2},'Бланк OLD 0.8 04'!$B$18:$B$200,'Бланк OLD 0.8 04'!$A$18:$A$200),2,0)),
VLOOKUP(A541+1-COUNT('Шаг2.Бланк заказа NEW'!$B$19:$B$201)-COUNT('Бланк OLD 0.8 04'!$B$18:$B$200),CHOOSE({1,2},'Бланк OLD 2.0 04 '!$B$18:$B$200,'Бланк OLD 2.0 04 '!$A$18:$A$200),2,0)),"")</f>
        <v/>
      </c>
      <c r="D542" s="150" t="str">
        <f ca="1">IFERROR(VLOOKUP(C542,'Шаг1.Выбор плиты'!C:G,5,0),"")</f>
        <v/>
      </c>
      <c r="E542" s="147" t="str">
        <f ca="1">IFERROR(IFERROR(IF(VLOOKUP($A542,'Шаг2.Бланк заказа NEW'!$B$17:$N$201,2,0)="","",VLOOKUP($A542,'Шаг2.Бланк заказа NEW'!$B$17:$N$201,2,0)),
IF(VLOOKUP($A542-COUNT('Шаг2.Бланк заказа NEW'!$B$19:$B$201),'Бланк OLD 0.8 04'!$B$12:$K$200,2,0)="","",VLOOKUP($A542-COUNT('Шаг2.Бланк заказа NEW'!$B$19:$B$201),'Бланк OLD 0.8 04'!$B$12:$K$200,2,0))),
IF(VLOOKUP($A542-COUNT('Шаг2.Бланк заказа NEW'!$B$19:$B$201)-COUNT('Бланк OLD 0.8 04'!$B$18:$B$200),'Бланк OLD 2.0 04 '!$B$16:$K$200,2,0)="","",VLOOKUP($A542-COUNT('Шаг2.Бланк заказа NEW'!$B$19:$B$201)-COUNT('Бланк OLD 0.8 04'!$B$18:$B$200),'Бланк OLD 2.0 04 '!$B$16:$K$200,2,0)))</f>
        <v/>
      </c>
      <c r="F542" s="147" t="str">
        <f ca="1">IFERROR(IFERROR(IF(VLOOKUP($A542,'Шаг2.Бланк заказа NEW'!$B$17:$N$201,3,0)="","",VLOOKUP($A542,'Шаг2.Бланк заказа NEW'!$B$17:$N$201,3,0)),
IF(VLOOKUP($A542-COUNT('Шаг2.Бланк заказа NEW'!$B$19:$B$201),'Бланк OLD 0.8 04'!$B$12:$K$200,3,0)="","",VLOOKUP($A542-COUNT('Шаг2.Бланк заказа NEW'!$B$19:$B$201),'Бланк OLD 0.8 04'!$B$12:$K$200,3,0))),
IF(VLOOKUP($A542-COUNT('Шаг2.Бланк заказа NEW'!$B$19:$B$201)-COUNT('Бланк OLD 0.8 04'!$B$18:$B$200),'Бланк OLD 2.0 04 '!$B$16:$K$200,3,0)="","",VLOOKUP($A542-COUNT('Шаг2.Бланк заказа NEW'!$B$19:$B$201)-COUNT('Бланк OLD 0.8 04'!$B$18:$B$200),'Бланк OLD 2.0 04 '!$B$16:$K$200,3,0)))</f>
        <v/>
      </c>
      <c r="G542" s="176" t="str">
        <f ca="1">IF(IF(R542="","",IF(R542=1,SUMIFS('Шаг1.Выбор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плиты'!C:Q,12,0)),1))))))=0,
R542,
IF(R542="","",IF(R542=1,SUMIFS('Шаг1.Выбор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плиты'!N:N,R542,'Шаг1.Выбор плиты'!M:M,SMALL(INDIRECT("мм"&amp;VLOOKUP(C542,'Шаг1.Выбор плиты'!C:Q,12,0)),1)))))))</f>
        <v/>
      </c>
      <c r="H542" s="177" t="str">
        <f ca="1">IF(IF(S542="","",IF(S542=1,SUMIFS('Шаг1.Выбор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плиты'!C:Q,12,0)),1))))))=0,
S542,
IF(S542="","",IF(S542=1,SUMIFS('Шаг1.Выбор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плиты'!N:N,S542,'Шаг1.Выбор плиты'!M:M,SMALL(INDIRECT("мм"&amp;VLOOKUP(C542,'Шаг1.Выбор плиты'!C:Q,12,0)),1)))))))</f>
        <v/>
      </c>
      <c r="I542" s="147" t="str">
        <f ca="1">IFERROR(IFERROR(IF(VLOOKUP($A542,'Шаг2.Бланк заказа NEW'!$B$17:$N$201,6,0)="","",VLOOKUP($A542,'Шаг2.Бланк заказа NEW'!$B$17:$N$201,6,0)),
IF(VLOOKUP($A542-COUNT('Шаг2.Бланк заказа NEW'!$B$19:$B$201),'Бланк OLD 0.8 04'!$B$12:$K$200,6,0)="","",VLOOKUP($A542-COUNT('Шаг2.Бланк заказа NEW'!$B$19:$B$201),'Бланк OLD 0.8 04'!$B$12:$K$200,6,0))),
IF(VLOOKUP($A542-COUNT('Шаг2.Бланк заказа NEW'!$B$19:$B$201)-COUNT('Бланк OLD 0.8 04'!$B$18:$B$200),'Бланк OLD 2.0 04 '!$B$16:$K$200,6,0)="","",VLOOKUP($A542-COUNT('Шаг2.Бланк заказа NEW'!$B$19:$B$201)-COUNT('Бланк OLD 0.8 04'!$B$18:$B$200),'Бланк OLD 2.0 04 '!$B$16:$K$200,6,0)))</f>
        <v/>
      </c>
      <c r="J542" s="177" t="str">
        <f ca="1">IF(IF(T542="","",IF(T542=1,SUMIFS('Шаг1.Выбор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плиты'!C:Q,12,0)),1))))))=0,
T542,
IF(T542="","",IF(T542=1,SUMIFS('Шаг1.Выбор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плиты'!N:N,T542,'Шаг1.Выбор плиты'!M:M,SMALL(INDIRECT("мм"&amp;VLOOKUP(C542,'Шаг1.Выбор плиты'!C:Q,12,0)),1)))))))</f>
        <v/>
      </c>
      <c r="K542" s="177" t="str">
        <f ca="1">IF(IF(U542="","",IF(U542=1,SUMIFS('Шаг1.Выбор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плиты'!C:Q,12,0)),1))))))=0,
U542,
IF(U542="","",IF(U542=1,SUMIFS('Шаг1.Выбор плиты'!$G:$G,'Шаг1.Выбор плиты'!J:J,"*"&amp;RIGHT(VLOOKUP(C542,'Шаг1.Выбор плиты'!C:Q,8,0),4),'Шаг1.Выбор плиты'!L:L,IF(MID(C542,1,6)="ЛДСП P","TM"&amp;MID(VLOOKUP(C542,'Шаг1.Выбор плиты'!C:Q,10,0),3,2),MID(VLOOKUP(C542,'Шаг1.Выбор плиты'!C:Q,10,0),1,2)),
'Шаг1.Выбор плиты'!N:N,1),IF(SUMIFS('Шаг1.Выбор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плиты'!C:Q,12,0)),1))=0,
IF(SUMIFS('Шаг1.Выбор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плиты'!C:Q,12,0)),2))=0,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плиты'!C:Q,12,0)),3)),
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плиты'!C:Q,12,0)),2))),
(SUMIFS('Шаг1.Выбор плиты'!$G:$G,'Шаг1.Выбор плиты'!J:J,"*"&amp;RIGHT(VLOOKUP(C542,'Шаг1.Выбор плиты'!C:Q,8,0),4),'Шаг1.Выбор плиты'!L:L,VLOOKUP(C542,'Шаг1.Выбор плиты'!C:Q,10,0),'Шаг1.Выбор плиты'!N:N,U542,'Шаг1.Выбор плиты'!M:M,SMALL(INDIRECT("мм"&amp;VLOOKUP(C542,'Шаг1.Выбор плиты'!C:Q,12,0)),1)))))))</f>
        <v/>
      </c>
      <c r="L542" s="147" t="str">
        <f ca="1">IFERROR(IFERROR(IF(VLOOKUP($A542,'Шаг2.Бланк заказа NEW'!$B$17:$N$201,9,0)="","",VLOOKUP($A542,'Шаг2.Бланк заказа NEW'!$B$17:$N$201,9,0)),
IF(VLOOKUP($A542-COUNT('Шаг2.Бланк заказа NEW'!$B$19:$B$201),'Бланк OLD 0.8 04'!$B$12:$K$200,9,0)="","",VLOOKUP($A542-COUNT('Шаг2.Бланк заказа NEW'!$B$19:$B$201),'Бланк OLD 0.8 04'!$B$12:$K$200,9,0))),
IF(VLOOKUP($A542-COUNT('Шаг2.Бланк заказа NEW'!$B$19:$B$201)-COUNT('Бланк OLD 0.8 04'!$B$18:$B$200),'Бланк OLD 2.0 04 '!$B$16:$K$200,9,0)="","",VLOOKUP($A542-COUNT('Шаг2.Бланк заказа NEW'!$B$19:$B$201)-COUNT('Бланк OLD 0.8 04'!$B$18:$B$200),'Бланк OLD 2.0 04 '!$B$16:$K$200,9,0)))</f>
        <v/>
      </c>
      <c r="M542" s="154" t="str">
        <f t="shared" ca="1" si="49"/>
        <v/>
      </c>
      <c r="N542" s="153" t="str">
        <f ca="1">IFERROR(IF(VLOOKUP($A542,'Шаг2.Бланк заказа NEW'!$B$17:$N$201,11,0)="","",VLOOKUP($A542,'Шаг2.Бланк заказа NEW'!$B$17:$N$201,11,0)),
"Нет")</f>
        <v/>
      </c>
      <c r="O542" s="147" t="str">
        <f ca="1">IFERROR(IF(VLOOKUP($A542,'Шаг2.Бланк заказа NEW'!$B$17:$N$201,11,0)="","",VLOOKUP($A542,'Шаг2.Бланк заказа NEW'!$B$17:$N$201,12,0)),
"Нет")</f>
        <v/>
      </c>
      <c r="P542" s="153" t="str">
        <f ca="1">IFERROR(IF(VLOOKUP($A542,'Шаг2.Бланк заказа NEW'!$B$17:$N$201,13,0)="","",VLOOKUP($A542,'Шаг2.Бланк заказа NEW'!$B$17:$N$201,13,0)),
"Нет")</f>
        <v/>
      </c>
      <c r="Q542" s="147" t="str">
        <f ca="1">IFERROR(IF(VLOOKUP($A542,'Шаг2.Бланк заказа NEW'!$B$17:$O$201,14,0)="","",VLOOKUP($A542,'Шаг2.Бланк заказа NEW'!$B$17:$O$201,14,0)),"")</f>
        <v/>
      </c>
      <c r="R542" s="147" t="str">
        <f ca="1">IFERROR(IFERROR(IF(VLOOKUP($A542,'Шаг2.Бланк заказа NEW'!$B$17:$N$201,4,0)="","",VLOOKUP($A542,'Шаг2.Бланк заказа NEW'!$B$17:$N$201,4,0)),
IF(VLOOKUP($A542-COUNT('Шаг2.Бланк заказа NEW'!$B$19:$B$201),'Бланк OLD 0.8 04'!$B$12:$K$200,4,0)&gt;0,0.8,
IF(VLOOKUP($A542-COUNT('Шаг2.Бланк заказа NEW'!$B$19:$B$201),'Бланк OLD 0.8 04'!$B$12:$K$200,5,0)&gt;0,0.4,""))),
IF(VLOOKUP($A542-COUNT('Шаг2.Бланк заказа NEW'!$B$19:$B$201)-COUNT('Бланк OLD 0.8 04'!$B$18:$B$200),'Бланк OLD 2.0 04 '!$B$16:$K$200,4,0)&gt;0,2,IF(VLOOKUP($A542-COUNT('Шаг2.Бланк заказа NEW'!$B$19:$B$201)-COUNT('Бланк OLD 0.8 04'!$B$18:$B$200),'Бланк OLD 2.0 04 '!$B$16:$K$200,5,0)&gt;0,0.4,"")))</f>
        <v/>
      </c>
      <c r="S542" s="147" t="str">
        <f ca="1">IFERROR(IFERROR(IF(VLOOKUP($A542,'Шаг2.Бланк заказа NEW'!$B$17:$N$201,5,0)="","",VLOOKUP($A542,'Шаг2.Бланк заказа NEW'!$B$17:$N$201,5,0)),
IF(VLOOKUP($A542-COUNT('Шаг2.Бланк заказа NEW'!$B$19:$B$201),'Бланк OLD 0.8 04'!$B$12:$K$200,4,0)&gt;1,0.8,
IF(VLOOKUP($A542-COUNT('Шаг2.Бланк заказа NEW'!$B$19:$B$201),'Бланк OLD 0.8 04'!$B$12:$K$200,5,0)&gt;1,0.4,
IF(AND(VLOOKUP($A542-COUNT('Шаг2.Бланк заказа NEW'!$B$19:$B$201),'Бланк OLD 0.8 04'!$B$12:$K$200,4,0)&gt;0,VLOOKUP($A542-COUNT('Шаг2.Бланк заказа NEW'!$B$19:$B$201),'Бланк OLD 0.8 04'!$B$12:$K$200,5,0)&gt;0),0.4,"")))),
IF(VLOOKUP($A542-COUNT('Шаг2.Бланк заказа NEW'!$B$19:$B$201)-COUNT('Бланк OLD 0.8 04'!$B$18:$B$200),'Бланк OLD 2.0 04 '!$B$16:$K$200,4,0)&gt;1,2,
IF(VLOOKUP($A542-COUNT('Шаг2.Бланк заказа NEW'!$B$19:$B$201)-COUNT('Бланк OLD 0.8 04'!$B$18:$B$200),'Бланк OLD 2.0 04 '!$B$16:$K$200,5,0)&gt;1,0.4,IF(AND(VLOOKUP($A542-COUNT('Шаг2.Бланк заказа NEW'!$B$19:$B$201)-COUNT('Бланк OLD 0.8 04'!$B$18:$B$200),'Бланк OLD 2.0 04 '!$B$16:$K$200,4,0)&gt;0,VLOOKUP($A542-COUNT('Шаг2.Бланк заказа NEW'!$B$19:$B$201)-COUNT('Бланк OLD 0.8 04'!$B$18:$B$200),'Бланк OLD 2.0 04 '!$B$16:$K$200,5,0)&gt;0),0.4,""))))</f>
        <v/>
      </c>
      <c r="T542" s="147" t="str">
        <f ca="1">IFERROR(IFERROR(IF(VLOOKUP($A542,'Шаг2.Бланк заказа NEW'!$B$17:$N$201,7,0)="","",VLOOKUP($A542,'Шаг2.Бланк заказа NEW'!$B$17:$N$201,7,0)),
IF(VLOOKUP($A542-COUNT('Шаг2.Бланк заказа NEW'!$B$19:$B$201),'Бланк OLD 0.8 04'!$B$12:$K$200,7,0)&gt;0,0.8,
IF(VLOOKUP($A542-COUNT('Шаг2.Бланк заказа NEW'!$B$19:$B$201),'Бланк OLD 0.8 04'!$B$12:$K$200,8,0)&gt;0,0.4,""))),
IF(VLOOKUP($A542-COUNT('Шаг2.Бланк заказа NEW'!$B$19:$B$201)-COUNT('Бланк OLD 0.8 04'!$B$18:$B$200),'Бланк OLD 2.0 04 '!$B$16:$K$200,7,0)&gt;0,2,IF(VLOOKUP($A542-COUNT('Шаг2.Бланк заказа NEW'!$B$19:$B$201)-COUNT('Бланк OLD 0.8 04'!$B$18:$B$200),'Бланк OLD 2.0 04 '!$B$16:$K$200,8,0)&gt;0,0.4,"")))</f>
        <v/>
      </c>
      <c r="U542" s="147" t="str">
        <f ca="1">IFERROR(IFERROR(IF(VLOOKUP($A542,'Шаг2.Бланк заказа NEW'!$B$17:$N$201,8,0)="","",VLOOKUP($A542,'Шаг2.Бланк заказа NEW'!$B$17:$N$201,8,0)),
IF(VLOOKUP($A542-COUNT('Шаг2.Бланк заказа NEW'!$B$19:$B$201),'Бланк OLD 0.8 04'!$B$12:$K$200,7,0)&gt;1,0.8,
IF(VLOOKUP($A542-COUNT('Шаг2.Бланк заказа NEW'!$B$19:$B$201),'Бланк OLD 0.8 04'!$B$12:$K$200,8,0)&gt;1,0.4,
IF(AND(VLOOKUP($A542-COUNT('Шаг2.Бланк заказа NEW'!$B$19:$B$201),'Бланк OLD 0.8 04'!$B$12:$K$200,7,0)&gt;0,VLOOKUP($A542-COUNT('Шаг2.Бланк заказа NEW'!$B$19:$B$201),'Бланк OLD 0.8 04'!$B$12:$K$200,8,0)&gt;0),0.4,"")))),
IF(VLOOKUP($A542-COUNT('Шаг2.Бланк заказа NEW'!$B$19:$B$201)-COUNT('Бланк OLD 0.8 04'!$B$18:$B$200),'Бланк OLD 2.0 04 '!$B$16:$K$200,7,0)&gt;1,2,
IF(VLOOKUP($A542-COUNT('Шаг2.Бланк заказа NEW'!$B$19:$B$201)-COUNT('Бланк OLD 0.8 04'!$B$18:$B$200),'Бланк OLD 2.0 04 '!$B$16:$K$200,8,0)&gt;1,0.4,
IF(AND(VLOOKUP($A542-COUNT('Шаг2.Бланк заказа NEW'!$B$19:$B$201)-COUNT('Бланк OLD 0.8 04'!$B$18:$B$200),'Бланк OLD 2.0 04 '!$B$16:$K$200,7,0)&gt;0,VLOOKUP($A542-COUNT('Шаг2.Бланк заказа NEW'!$B$19:$B$201)-COUNT('Бланк OLD 0.8 04'!$B$18:$B$200),'Бланк OLD 2.0 04 '!$B$16:$K$200,8,0)&gt;0),0.4,""))))</f>
        <v/>
      </c>
      <c r="V542" s="146" t="str">
        <f ca="1">IFERROR(VLOOKUP(C542,'Шаг1.Выбор плиты'!C:S,12,0),"")</f>
        <v/>
      </c>
      <c r="W542" s="146" t="str">
        <f ca="1">IFERROR(VLOOKUP(C542,'Шаг1.Выбор плиты'!C:S,8,0),"")</f>
        <v/>
      </c>
      <c r="X542" s="146" t="str">
        <f ca="1">IFERROR(VLOOKUP(C542,'Шаг1.Выбор плиты'!C:S,10,0),"")</f>
        <v/>
      </c>
      <c r="Y542" s="147" t="str">
        <f t="shared" ca="1" si="51"/>
        <v/>
      </c>
      <c r="AD542" s="147" t="str">
        <f t="shared" ca="1" si="48"/>
        <v/>
      </c>
      <c r="AE542" s="147" t="str">
        <f t="shared" ca="1" si="52"/>
        <v/>
      </c>
      <c r="AF542" s="25"/>
      <c r="AH542" s="147" t="str">
        <f ca="1">IF(C542="","",VLOOKUP(C542,'Шаг1.Выбор плиты'!C:Q,7,0))</f>
        <v/>
      </c>
      <c r="AI542" s="147" t="str">
        <f t="shared" ca="1" si="50"/>
        <v/>
      </c>
    </row>
    <row r="543" spans="1:35" x14ac:dyDescent="0.2">
      <c r="A543" s="151" t="str">
        <f ca="1">IF(C543="","",MAX($A$1:OFFSET(C543,-1,0))+1)</f>
        <v/>
      </c>
      <c r="B543" s="151" t="str">
        <f ca="1">IFERROR(IFERROR(IFERROR("Шаг2.Бланк заказа NEW №"&amp;VLOOKUP(A542+1,CHOOSE({1,2},'Шаг2.Бланк заказа NEW'!$B$19:$B$201,'Шаг2.Бланк заказа NEW'!$A$19:$A$201),1,0),
"Бланк OLD 0.8 04 №"&amp;VLOOKUP(A542+1-COUNT('Шаг2.Бланк заказа NEW'!$B$19:$B$201),CHOOSE({1,2},'Бланк OLD 0.8 04'!$B$18:$B$200,'Бланк OLD 0.8 04'!$A$18:$A$200),1,0)),
"Бланк OLD 2.0 04 №"&amp;VLOOKUP(A542+1-COUNT('Шаг2.Бланк заказа NEW'!$B$19:$B$201)-COUNT('Бланк OLD 0.8 04'!$B$18:$B$200),CHOOSE({1,2},'Бланк OLD 2.0 04 '!$B$18:$B$200,'Бланк OLD 2.0 04 '!$A$18:$A$200),1,0)),"")</f>
        <v/>
      </c>
      <c r="C543" s="152" t="str">
        <f ca="1">IFERROR(IFERROR(IFERROR(VLOOKUP(A542+1,CHOOSE({1,2},'Шаг2.Бланк заказа NEW'!$B$19:$B$201,'Шаг2.Бланк заказа NEW'!$A$19:$A$201),2,0),
VLOOKUP(A542+1-COUNT('Шаг2.Бланк заказа NEW'!$B$19:$B$201),CHOOSE({1,2},'Бланк OLD 0.8 04'!$B$18:$B$200,'Бланк OLD 0.8 04'!$A$18:$A$200),2,0)),
VLOOKUP(A542+1-COUNT('Шаг2.Бланк заказа NEW'!$B$19:$B$201)-COUNT('Бланк OLD 0.8 04'!$B$18:$B$200),CHOOSE({1,2},'Бланк OLD 2.0 04 '!$B$18:$B$200,'Бланк OLD 2.0 04 '!$A$18:$A$200),2,0)),"")</f>
        <v/>
      </c>
      <c r="D543" s="150" t="str">
        <f ca="1">IFERROR(VLOOKUP(C543,'Шаг1.Выбор плиты'!C:G,5,0),"")</f>
        <v/>
      </c>
      <c r="E543" s="147" t="str">
        <f ca="1">IFERROR(IFERROR(IF(VLOOKUP($A543,'Шаг2.Бланк заказа NEW'!$B$17:$N$201,2,0)="","",VLOOKUP($A543,'Шаг2.Бланк заказа NEW'!$B$17:$N$201,2,0)),
IF(VLOOKUP($A543-COUNT('Шаг2.Бланк заказа NEW'!$B$19:$B$201),'Бланк OLD 0.8 04'!$B$12:$K$200,2,0)="","",VLOOKUP($A543-COUNT('Шаг2.Бланк заказа NEW'!$B$19:$B$201),'Бланк OLD 0.8 04'!$B$12:$K$200,2,0))),
IF(VLOOKUP($A543-COUNT('Шаг2.Бланк заказа NEW'!$B$19:$B$201)-COUNT('Бланк OLD 0.8 04'!$B$18:$B$200),'Бланк OLD 2.0 04 '!$B$16:$K$200,2,0)="","",VLOOKUP($A543-COUNT('Шаг2.Бланк заказа NEW'!$B$19:$B$201)-COUNT('Бланк OLD 0.8 04'!$B$18:$B$200),'Бланк OLD 2.0 04 '!$B$16:$K$200,2,0)))</f>
        <v/>
      </c>
      <c r="F543" s="147" t="str">
        <f ca="1">IFERROR(IFERROR(IF(VLOOKUP($A543,'Шаг2.Бланк заказа NEW'!$B$17:$N$201,3,0)="","",VLOOKUP($A543,'Шаг2.Бланк заказа NEW'!$B$17:$N$201,3,0)),
IF(VLOOKUP($A543-COUNT('Шаг2.Бланк заказа NEW'!$B$19:$B$201),'Бланк OLD 0.8 04'!$B$12:$K$200,3,0)="","",VLOOKUP($A543-COUNT('Шаг2.Бланк заказа NEW'!$B$19:$B$201),'Бланк OLD 0.8 04'!$B$12:$K$200,3,0))),
IF(VLOOKUP($A543-COUNT('Шаг2.Бланк заказа NEW'!$B$19:$B$201)-COUNT('Бланк OLD 0.8 04'!$B$18:$B$200),'Бланк OLD 2.0 04 '!$B$16:$K$200,3,0)="","",VLOOKUP($A543-COUNT('Шаг2.Бланк заказа NEW'!$B$19:$B$201)-COUNT('Бланк OLD 0.8 04'!$B$18:$B$200),'Бланк OLD 2.0 04 '!$B$16:$K$200,3,0)))</f>
        <v/>
      </c>
      <c r="G543" s="176" t="str">
        <f ca="1">IF(IF(R543="","",IF(R543=1,SUMIFS('Шаг1.Выбор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плиты'!C:Q,12,0)),1))))))=0,
R543,
IF(R543="","",IF(R543=1,SUMIFS('Шаг1.Выбор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плиты'!N:N,R543,'Шаг1.Выбор плиты'!M:M,SMALL(INDIRECT("мм"&amp;VLOOKUP(C543,'Шаг1.Выбор плиты'!C:Q,12,0)),1)))))))</f>
        <v/>
      </c>
      <c r="H543" s="177" t="str">
        <f ca="1">IF(IF(S543="","",IF(S543=1,SUMIFS('Шаг1.Выбор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плиты'!C:Q,12,0)),1))))))=0,
S543,
IF(S543="","",IF(S543=1,SUMIFS('Шаг1.Выбор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плиты'!N:N,S543,'Шаг1.Выбор плиты'!M:M,SMALL(INDIRECT("мм"&amp;VLOOKUP(C543,'Шаг1.Выбор плиты'!C:Q,12,0)),1)))))))</f>
        <v/>
      </c>
      <c r="I543" s="147" t="str">
        <f ca="1">IFERROR(IFERROR(IF(VLOOKUP($A543,'Шаг2.Бланк заказа NEW'!$B$17:$N$201,6,0)="","",VLOOKUP($A543,'Шаг2.Бланк заказа NEW'!$B$17:$N$201,6,0)),
IF(VLOOKUP($A543-COUNT('Шаг2.Бланк заказа NEW'!$B$19:$B$201),'Бланк OLD 0.8 04'!$B$12:$K$200,6,0)="","",VLOOKUP($A543-COUNT('Шаг2.Бланк заказа NEW'!$B$19:$B$201),'Бланк OLD 0.8 04'!$B$12:$K$200,6,0))),
IF(VLOOKUP($A543-COUNT('Шаг2.Бланк заказа NEW'!$B$19:$B$201)-COUNT('Бланк OLD 0.8 04'!$B$18:$B$200),'Бланк OLD 2.0 04 '!$B$16:$K$200,6,0)="","",VLOOKUP($A543-COUNT('Шаг2.Бланк заказа NEW'!$B$19:$B$201)-COUNT('Бланк OLD 0.8 04'!$B$18:$B$200),'Бланк OLD 2.0 04 '!$B$16:$K$200,6,0)))</f>
        <v/>
      </c>
      <c r="J543" s="177" t="str">
        <f ca="1">IF(IF(T543="","",IF(T543=1,SUMIFS('Шаг1.Выбор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плиты'!C:Q,12,0)),1))))))=0,
T543,
IF(T543="","",IF(T543=1,SUMIFS('Шаг1.Выбор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плиты'!N:N,T543,'Шаг1.Выбор плиты'!M:M,SMALL(INDIRECT("мм"&amp;VLOOKUP(C543,'Шаг1.Выбор плиты'!C:Q,12,0)),1)))))))</f>
        <v/>
      </c>
      <c r="K543" s="177" t="str">
        <f ca="1">IF(IF(U543="","",IF(U543=1,SUMIFS('Шаг1.Выбор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плиты'!C:Q,12,0)),1))))))=0,
U543,
IF(U543="","",IF(U543=1,SUMIFS('Шаг1.Выбор плиты'!$G:$G,'Шаг1.Выбор плиты'!J:J,"*"&amp;RIGHT(VLOOKUP(C543,'Шаг1.Выбор плиты'!C:Q,8,0),4),'Шаг1.Выбор плиты'!L:L,IF(MID(C543,1,6)="ЛДСП P","TM"&amp;MID(VLOOKUP(C543,'Шаг1.Выбор плиты'!C:Q,10,0),3,2),MID(VLOOKUP(C543,'Шаг1.Выбор плиты'!C:Q,10,0),1,2)),
'Шаг1.Выбор плиты'!N:N,1),IF(SUMIFS('Шаг1.Выбор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плиты'!C:Q,12,0)),1))=0,
IF(SUMIFS('Шаг1.Выбор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плиты'!C:Q,12,0)),2))=0,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плиты'!C:Q,12,0)),3)),
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плиты'!C:Q,12,0)),2))),
(SUMIFS('Шаг1.Выбор плиты'!$G:$G,'Шаг1.Выбор плиты'!J:J,"*"&amp;RIGHT(VLOOKUP(C543,'Шаг1.Выбор плиты'!C:Q,8,0),4),'Шаг1.Выбор плиты'!L:L,VLOOKUP(C543,'Шаг1.Выбор плиты'!C:Q,10,0),'Шаг1.Выбор плиты'!N:N,U543,'Шаг1.Выбор плиты'!M:M,SMALL(INDIRECT("мм"&amp;VLOOKUP(C543,'Шаг1.Выбор плиты'!C:Q,12,0)),1)))))))</f>
        <v/>
      </c>
      <c r="L543" s="147" t="str">
        <f ca="1">IFERROR(IFERROR(IF(VLOOKUP($A543,'Шаг2.Бланк заказа NEW'!$B$17:$N$201,9,0)="","",VLOOKUP($A543,'Шаг2.Бланк заказа NEW'!$B$17:$N$201,9,0)),
IF(VLOOKUP($A543-COUNT('Шаг2.Бланк заказа NEW'!$B$19:$B$201),'Бланк OLD 0.8 04'!$B$12:$K$200,9,0)="","",VLOOKUP($A543-COUNT('Шаг2.Бланк заказа NEW'!$B$19:$B$201),'Бланк OLD 0.8 04'!$B$12:$K$200,9,0))),
IF(VLOOKUP($A543-COUNT('Шаг2.Бланк заказа NEW'!$B$19:$B$201)-COUNT('Бланк OLD 0.8 04'!$B$18:$B$200),'Бланк OLD 2.0 04 '!$B$16:$K$200,9,0)="","",VLOOKUP($A543-COUNT('Шаг2.Бланк заказа NEW'!$B$19:$B$201)-COUNT('Бланк OLD 0.8 04'!$B$18:$B$200),'Бланк OLD 2.0 04 '!$B$16:$K$200,9,0)))</f>
        <v/>
      </c>
      <c r="M543" s="154" t="str">
        <f t="shared" ca="1" si="49"/>
        <v/>
      </c>
      <c r="N543" s="153" t="str">
        <f ca="1">IFERROR(IF(VLOOKUP($A543,'Шаг2.Бланк заказа NEW'!$B$17:$N$201,11,0)="","",VLOOKUP($A543,'Шаг2.Бланк заказа NEW'!$B$17:$N$201,11,0)),
"Нет")</f>
        <v/>
      </c>
      <c r="O543" s="147" t="str">
        <f ca="1">IFERROR(IF(VLOOKUP($A543,'Шаг2.Бланк заказа NEW'!$B$17:$N$201,11,0)="","",VLOOKUP($A543,'Шаг2.Бланк заказа NEW'!$B$17:$N$201,12,0)),
"Нет")</f>
        <v/>
      </c>
      <c r="P543" s="153" t="str">
        <f ca="1">IFERROR(IF(VLOOKUP($A543,'Шаг2.Бланк заказа NEW'!$B$17:$N$201,13,0)="","",VLOOKUP($A543,'Шаг2.Бланк заказа NEW'!$B$17:$N$201,13,0)),
"Нет")</f>
        <v/>
      </c>
      <c r="Q543" s="147" t="str">
        <f ca="1">IFERROR(IF(VLOOKUP($A543,'Шаг2.Бланк заказа NEW'!$B$17:$O$201,14,0)="","",VLOOKUP($A543,'Шаг2.Бланк заказа NEW'!$B$17:$O$201,14,0)),"")</f>
        <v/>
      </c>
      <c r="R543" s="147" t="str">
        <f ca="1">IFERROR(IFERROR(IF(VLOOKUP($A543,'Шаг2.Бланк заказа NEW'!$B$17:$N$201,4,0)="","",VLOOKUP($A543,'Шаг2.Бланк заказа NEW'!$B$17:$N$201,4,0)),
IF(VLOOKUP($A543-COUNT('Шаг2.Бланк заказа NEW'!$B$19:$B$201),'Бланк OLD 0.8 04'!$B$12:$K$200,4,0)&gt;0,0.8,
IF(VLOOKUP($A543-COUNT('Шаг2.Бланк заказа NEW'!$B$19:$B$201),'Бланк OLD 0.8 04'!$B$12:$K$200,5,0)&gt;0,0.4,""))),
IF(VLOOKUP($A543-COUNT('Шаг2.Бланк заказа NEW'!$B$19:$B$201)-COUNT('Бланк OLD 0.8 04'!$B$18:$B$200),'Бланк OLD 2.0 04 '!$B$16:$K$200,4,0)&gt;0,2,IF(VLOOKUP($A543-COUNT('Шаг2.Бланк заказа NEW'!$B$19:$B$201)-COUNT('Бланк OLD 0.8 04'!$B$18:$B$200),'Бланк OLD 2.0 04 '!$B$16:$K$200,5,0)&gt;0,0.4,"")))</f>
        <v/>
      </c>
      <c r="S543" s="147" t="str">
        <f ca="1">IFERROR(IFERROR(IF(VLOOKUP($A543,'Шаг2.Бланк заказа NEW'!$B$17:$N$201,5,0)="","",VLOOKUP($A543,'Шаг2.Бланк заказа NEW'!$B$17:$N$201,5,0)),
IF(VLOOKUP($A543-COUNT('Шаг2.Бланк заказа NEW'!$B$19:$B$201),'Бланк OLD 0.8 04'!$B$12:$K$200,4,0)&gt;1,0.8,
IF(VLOOKUP($A543-COUNT('Шаг2.Бланк заказа NEW'!$B$19:$B$201),'Бланк OLD 0.8 04'!$B$12:$K$200,5,0)&gt;1,0.4,
IF(AND(VLOOKUP($A543-COUNT('Шаг2.Бланк заказа NEW'!$B$19:$B$201),'Бланк OLD 0.8 04'!$B$12:$K$200,4,0)&gt;0,VLOOKUP($A543-COUNT('Шаг2.Бланк заказа NEW'!$B$19:$B$201),'Бланк OLD 0.8 04'!$B$12:$K$200,5,0)&gt;0),0.4,"")))),
IF(VLOOKUP($A543-COUNT('Шаг2.Бланк заказа NEW'!$B$19:$B$201)-COUNT('Бланк OLD 0.8 04'!$B$18:$B$200),'Бланк OLD 2.0 04 '!$B$16:$K$200,4,0)&gt;1,2,
IF(VLOOKUP($A543-COUNT('Шаг2.Бланк заказа NEW'!$B$19:$B$201)-COUNT('Бланк OLD 0.8 04'!$B$18:$B$200),'Бланк OLD 2.0 04 '!$B$16:$K$200,5,0)&gt;1,0.4,IF(AND(VLOOKUP($A543-COUNT('Шаг2.Бланк заказа NEW'!$B$19:$B$201)-COUNT('Бланк OLD 0.8 04'!$B$18:$B$200),'Бланк OLD 2.0 04 '!$B$16:$K$200,4,0)&gt;0,VLOOKUP($A543-COUNT('Шаг2.Бланк заказа NEW'!$B$19:$B$201)-COUNT('Бланк OLD 0.8 04'!$B$18:$B$200),'Бланк OLD 2.0 04 '!$B$16:$K$200,5,0)&gt;0),0.4,""))))</f>
        <v/>
      </c>
      <c r="T543" s="147" t="str">
        <f ca="1">IFERROR(IFERROR(IF(VLOOKUP($A543,'Шаг2.Бланк заказа NEW'!$B$17:$N$201,7,0)="","",VLOOKUP($A543,'Шаг2.Бланк заказа NEW'!$B$17:$N$201,7,0)),
IF(VLOOKUP($A543-COUNT('Шаг2.Бланк заказа NEW'!$B$19:$B$201),'Бланк OLD 0.8 04'!$B$12:$K$200,7,0)&gt;0,0.8,
IF(VLOOKUP($A543-COUNT('Шаг2.Бланк заказа NEW'!$B$19:$B$201),'Бланк OLD 0.8 04'!$B$12:$K$200,8,0)&gt;0,0.4,""))),
IF(VLOOKUP($A543-COUNT('Шаг2.Бланк заказа NEW'!$B$19:$B$201)-COUNT('Бланк OLD 0.8 04'!$B$18:$B$200),'Бланк OLD 2.0 04 '!$B$16:$K$200,7,0)&gt;0,2,IF(VLOOKUP($A543-COUNT('Шаг2.Бланк заказа NEW'!$B$19:$B$201)-COUNT('Бланк OLD 0.8 04'!$B$18:$B$200),'Бланк OLD 2.0 04 '!$B$16:$K$200,8,0)&gt;0,0.4,"")))</f>
        <v/>
      </c>
      <c r="U543" s="147" t="str">
        <f ca="1">IFERROR(IFERROR(IF(VLOOKUP($A543,'Шаг2.Бланк заказа NEW'!$B$17:$N$201,8,0)="","",VLOOKUP($A543,'Шаг2.Бланк заказа NEW'!$B$17:$N$201,8,0)),
IF(VLOOKUP($A543-COUNT('Шаг2.Бланк заказа NEW'!$B$19:$B$201),'Бланк OLD 0.8 04'!$B$12:$K$200,7,0)&gt;1,0.8,
IF(VLOOKUP($A543-COUNT('Шаг2.Бланк заказа NEW'!$B$19:$B$201),'Бланк OLD 0.8 04'!$B$12:$K$200,8,0)&gt;1,0.4,
IF(AND(VLOOKUP($A543-COUNT('Шаг2.Бланк заказа NEW'!$B$19:$B$201),'Бланк OLD 0.8 04'!$B$12:$K$200,7,0)&gt;0,VLOOKUP($A543-COUNT('Шаг2.Бланк заказа NEW'!$B$19:$B$201),'Бланк OLD 0.8 04'!$B$12:$K$200,8,0)&gt;0),0.4,"")))),
IF(VLOOKUP($A543-COUNT('Шаг2.Бланк заказа NEW'!$B$19:$B$201)-COUNT('Бланк OLD 0.8 04'!$B$18:$B$200),'Бланк OLD 2.0 04 '!$B$16:$K$200,7,0)&gt;1,2,
IF(VLOOKUP($A543-COUNT('Шаг2.Бланк заказа NEW'!$B$19:$B$201)-COUNT('Бланк OLD 0.8 04'!$B$18:$B$200),'Бланк OLD 2.0 04 '!$B$16:$K$200,8,0)&gt;1,0.4,
IF(AND(VLOOKUP($A543-COUNT('Шаг2.Бланк заказа NEW'!$B$19:$B$201)-COUNT('Бланк OLD 0.8 04'!$B$18:$B$200),'Бланк OLD 2.0 04 '!$B$16:$K$200,7,0)&gt;0,VLOOKUP($A543-COUNT('Шаг2.Бланк заказа NEW'!$B$19:$B$201)-COUNT('Бланк OLD 0.8 04'!$B$18:$B$200),'Бланк OLD 2.0 04 '!$B$16:$K$200,8,0)&gt;0),0.4,""))))</f>
        <v/>
      </c>
      <c r="V543" s="146" t="str">
        <f ca="1">IFERROR(VLOOKUP(C543,'Шаг1.Выбор плиты'!C:S,12,0),"")</f>
        <v/>
      </c>
      <c r="W543" s="146" t="str">
        <f ca="1">IFERROR(VLOOKUP(C543,'Шаг1.Выбор плиты'!C:S,8,0),"")</f>
        <v/>
      </c>
      <c r="X543" s="146" t="str">
        <f ca="1">IFERROR(VLOOKUP(C543,'Шаг1.Выбор плиты'!C:S,10,0),"")</f>
        <v/>
      </c>
      <c r="Y543" s="147" t="str">
        <f t="shared" ca="1" si="51"/>
        <v/>
      </c>
      <c r="AD543" s="147" t="str">
        <f t="shared" ca="1" si="48"/>
        <v/>
      </c>
      <c r="AE543" s="147" t="str">
        <f t="shared" ca="1" si="52"/>
        <v/>
      </c>
      <c r="AF543" s="25"/>
      <c r="AH543" s="147" t="str">
        <f ca="1">IF(C543="","",VLOOKUP(C543,'Шаг1.Выбор плиты'!C:Q,7,0))</f>
        <v/>
      </c>
      <c r="AI543" s="147" t="str">
        <f t="shared" ca="1" si="50"/>
        <v/>
      </c>
    </row>
    <row r="544" spans="1:35" x14ac:dyDescent="0.2">
      <c r="A544" s="151" t="str">
        <f ca="1">IF(C544="","",MAX($A$1:OFFSET(C544,-1,0))+1)</f>
        <v/>
      </c>
      <c r="B544" s="151" t="str">
        <f ca="1">IFERROR(IFERROR(IFERROR("Шаг2.Бланк заказа NEW №"&amp;VLOOKUP(A543+1,CHOOSE({1,2},'Шаг2.Бланк заказа NEW'!$B$19:$B$201,'Шаг2.Бланк заказа NEW'!$A$19:$A$201),1,0),
"Бланк OLD 0.8 04 №"&amp;VLOOKUP(A543+1-COUNT('Шаг2.Бланк заказа NEW'!$B$19:$B$201),CHOOSE({1,2},'Бланк OLD 0.8 04'!$B$18:$B$200,'Бланк OLD 0.8 04'!$A$18:$A$200),1,0)),
"Бланк OLD 2.0 04 №"&amp;VLOOKUP(A543+1-COUNT('Шаг2.Бланк заказа NEW'!$B$19:$B$201)-COUNT('Бланк OLD 0.8 04'!$B$18:$B$200),CHOOSE({1,2},'Бланк OLD 2.0 04 '!$B$18:$B$200,'Бланк OLD 2.0 04 '!$A$18:$A$200),1,0)),"")</f>
        <v/>
      </c>
      <c r="C544" s="152" t="str">
        <f ca="1">IFERROR(IFERROR(IFERROR(VLOOKUP(A543+1,CHOOSE({1,2},'Шаг2.Бланк заказа NEW'!$B$19:$B$201,'Шаг2.Бланк заказа NEW'!$A$19:$A$201),2,0),
VLOOKUP(A543+1-COUNT('Шаг2.Бланк заказа NEW'!$B$19:$B$201),CHOOSE({1,2},'Бланк OLD 0.8 04'!$B$18:$B$200,'Бланк OLD 0.8 04'!$A$18:$A$200),2,0)),
VLOOKUP(A543+1-COUNT('Шаг2.Бланк заказа NEW'!$B$19:$B$201)-COUNT('Бланк OLD 0.8 04'!$B$18:$B$200),CHOOSE({1,2},'Бланк OLD 2.0 04 '!$B$18:$B$200,'Бланк OLD 2.0 04 '!$A$18:$A$200),2,0)),"")</f>
        <v/>
      </c>
      <c r="D544" s="150" t="str">
        <f ca="1">IFERROR(VLOOKUP(C544,'Шаг1.Выбор плиты'!C:G,5,0),"")</f>
        <v/>
      </c>
      <c r="E544" s="147" t="str">
        <f ca="1">IFERROR(IFERROR(IF(VLOOKUP($A544,'Шаг2.Бланк заказа NEW'!$B$17:$N$201,2,0)="","",VLOOKUP($A544,'Шаг2.Бланк заказа NEW'!$B$17:$N$201,2,0)),
IF(VLOOKUP($A544-COUNT('Шаг2.Бланк заказа NEW'!$B$19:$B$201),'Бланк OLD 0.8 04'!$B$12:$K$200,2,0)="","",VLOOKUP($A544-COUNT('Шаг2.Бланк заказа NEW'!$B$19:$B$201),'Бланк OLD 0.8 04'!$B$12:$K$200,2,0))),
IF(VLOOKUP($A544-COUNT('Шаг2.Бланк заказа NEW'!$B$19:$B$201)-COUNT('Бланк OLD 0.8 04'!$B$18:$B$200),'Бланк OLD 2.0 04 '!$B$16:$K$200,2,0)="","",VLOOKUP($A544-COUNT('Шаг2.Бланк заказа NEW'!$B$19:$B$201)-COUNT('Бланк OLD 0.8 04'!$B$18:$B$200),'Бланк OLD 2.0 04 '!$B$16:$K$200,2,0)))</f>
        <v/>
      </c>
      <c r="F544" s="147" t="str">
        <f ca="1">IFERROR(IFERROR(IF(VLOOKUP($A544,'Шаг2.Бланк заказа NEW'!$B$17:$N$201,3,0)="","",VLOOKUP($A544,'Шаг2.Бланк заказа NEW'!$B$17:$N$201,3,0)),
IF(VLOOKUP($A544-COUNT('Шаг2.Бланк заказа NEW'!$B$19:$B$201),'Бланк OLD 0.8 04'!$B$12:$K$200,3,0)="","",VLOOKUP($A544-COUNT('Шаг2.Бланк заказа NEW'!$B$19:$B$201),'Бланк OLD 0.8 04'!$B$12:$K$200,3,0))),
IF(VLOOKUP($A544-COUNT('Шаг2.Бланк заказа NEW'!$B$19:$B$201)-COUNT('Бланк OLD 0.8 04'!$B$18:$B$200),'Бланк OLD 2.0 04 '!$B$16:$K$200,3,0)="","",VLOOKUP($A544-COUNT('Шаг2.Бланк заказа NEW'!$B$19:$B$201)-COUNT('Бланк OLD 0.8 04'!$B$18:$B$200),'Бланк OLD 2.0 04 '!$B$16:$K$200,3,0)))</f>
        <v/>
      </c>
      <c r="G544" s="176" t="str">
        <f ca="1">IF(IF(R544="","",IF(R544=1,SUMIFS('Шаг1.Выбор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плиты'!C:Q,12,0)),1))))))=0,
R544,
IF(R544="","",IF(R544=1,SUMIFS('Шаг1.Выбор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плиты'!N:N,R544,'Шаг1.Выбор плиты'!M:M,SMALL(INDIRECT("мм"&amp;VLOOKUP(C544,'Шаг1.Выбор плиты'!C:Q,12,0)),1)))))))</f>
        <v/>
      </c>
      <c r="H544" s="177" t="str">
        <f ca="1">IF(IF(S544="","",IF(S544=1,SUMIFS('Шаг1.Выбор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плиты'!C:Q,12,0)),1))))))=0,
S544,
IF(S544="","",IF(S544=1,SUMIFS('Шаг1.Выбор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плиты'!N:N,S544,'Шаг1.Выбор плиты'!M:M,SMALL(INDIRECT("мм"&amp;VLOOKUP(C544,'Шаг1.Выбор плиты'!C:Q,12,0)),1)))))))</f>
        <v/>
      </c>
      <c r="I544" s="147" t="str">
        <f ca="1">IFERROR(IFERROR(IF(VLOOKUP($A544,'Шаг2.Бланк заказа NEW'!$B$17:$N$201,6,0)="","",VLOOKUP($A544,'Шаг2.Бланк заказа NEW'!$B$17:$N$201,6,0)),
IF(VLOOKUP($A544-COUNT('Шаг2.Бланк заказа NEW'!$B$19:$B$201),'Бланк OLD 0.8 04'!$B$12:$K$200,6,0)="","",VLOOKUP($A544-COUNT('Шаг2.Бланк заказа NEW'!$B$19:$B$201),'Бланк OLD 0.8 04'!$B$12:$K$200,6,0))),
IF(VLOOKUP($A544-COUNT('Шаг2.Бланк заказа NEW'!$B$19:$B$201)-COUNT('Бланк OLD 0.8 04'!$B$18:$B$200),'Бланк OLD 2.0 04 '!$B$16:$K$200,6,0)="","",VLOOKUP($A544-COUNT('Шаг2.Бланк заказа NEW'!$B$19:$B$201)-COUNT('Бланк OLD 0.8 04'!$B$18:$B$200),'Бланк OLD 2.0 04 '!$B$16:$K$200,6,0)))</f>
        <v/>
      </c>
      <c r="J544" s="177" t="str">
        <f ca="1">IF(IF(T544="","",IF(T544=1,SUMIFS('Шаг1.Выбор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плиты'!C:Q,12,0)),1))))))=0,
T544,
IF(T544="","",IF(T544=1,SUMIFS('Шаг1.Выбор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плиты'!N:N,T544,'Шаг1.Выбор плиты'!M:M,SMALL(INDIRECT("мм"&amp;VLOOKUP(C544,'Шаг1.Выбор плиты'!C:Q,12,0)),1)))))))</f>
        <v/>
      </c>
      <c r="K544" s="177" t="str">
        <f ca="1">IF(IF(U544="","",IF(U544=1,SUMIFS('Шаг1.Выбор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плиты'!C:Q,12,0)),1))))))=0,
U544,
IF(U544="","",IF(U544=1,SUMIFS('Шаг1.Выбор плиты'!$G:$G,'Шаг1.Выбор плиты'!J:J,"*"&amp;RIGHT(VLOOKUP(C544,'Шаг1.Выбор плиты'!C:Q,8,0),4),'Шаг1.Выбор плиты'!L:L,IF(MID(C544,1,6)="ЛДСП P","TM"&amp;MID(VLOOKUP(C544,'Шаг1.Выбор плиты'!C:Q,10,0),3,2),MID(VLOOKUP(C544,'Шаг1.Выбор плиты'!C:Q,10,0),1,2)),
'Шаг1.Выбор плиты'!N:N,1),IF(SUMIFS('Шаг1.Выбор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плиты'!C:Q,12,0)),1))=0,
IF(SUMIFS('Шаг1.Выбор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плиты'!C:Q,12,0)),2))=0,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плиты'!C:Q,12,0)),3)),
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плиты'!C:Q,12,0)),2))),
(SUMIFS('Шаг1.Выбор плиты'!$G:$G,'Шаг1.Выбор плиты'!J:J,"*"&amp;RIGHT(VLOOKUP(C544,'Шаг1.Выбор плиты'!C:Q,8,0),4),'Шаг1.Выбор плиты'!L:L,VLOOKUP(C544,'Шаг1.Выбор плиты'!C:Q,10,0),'Шаг1.Выбор плиты'!N:N,U544,'Шаг1.Выбор плиты'!M:M,SMALL(INDIRECT("мм"&amp;VLOOKUP(C544,'Шаг1.Выбор плиты'!C:Q,12,0)),1)))))))</f>
        <v/>
      </c>
      <c r="L544" s="147" t="str">
        <f ca="1">IFERROR(IFERROR(IF(VLOOKUP($A544,'Шаг2.Бланк заказа NEW'!$B$17:$N$201,9,0)="","",VLOOKUP($A544,'Шаг2.Бланк заказа NEW'!$B$17:$N$201,9,0)),
IF(VLOOKUP($A544-COUNT('Шаг2.Бланк заказа NEW'!$B$19:$B$201),'Бланк OLD 0.8 04'!$B$12:$K$200,9,0)="","",VLOOKUP($A544-COUNT('Шаг2.Бланк заказа NEW'!$B$19:$B$201),'Бланк OLD 0.8 04'!$B$12:$K$200,9,0))),
IF(VLOOKUP($A544-COUNT('Шаг2.Бланк заказа NEW'!$B$19:$B$201)-COUNT('Бланк OLD 0.8 04'!$B$18:$B$200),'Бланк OLD 2.0 04 '!$B$16:$K$200,9,0)="","",VLOOKUP($A544-COUNT('Шаг2.Бланк заказа NEW'!$B$19:$B$201)-COUNT('Бланк OLD 0.8 04'!$B$18:$B$200),'Бланк OLD 2.0 04 '!$B$16:$K$200,9,0)))</f>
        <v/>
      </c>
      <c r="M544" s="154" t="str">
        <f t="shared" ca="1" si="49"/>
        <v/>
      </c>
      <c r="N544" s="153" t="str">
        <f ca="1">IFERROR(IF(VLOOKUP($A544,'Шаг2.Бланк заказа NEW'!$B$17:$N$201,11,0)="","",VLOOKUP($A544,'Шаг2.Бланк заказа NEW'!$B$17:$N$201,11,0)),
"Нет")</f>
        <v/>
      </c>
      <c r="O544" s="147" t="str">
        <f ca="1">IFERROR(IF(VLOOKUP($A544,'Шаг2.Бланк заказа NEW'!$B$17:$N$201,11,0)="","",VLOOKUP($A544,'Шаг2.Бланк заказа NEW'!$B$17:$N$201,12,0)),
"Нет")</f>
        <v/>
      </c>
      <c r="P544" s="153" t="str">
        <f ca="1">IFERROR(IF(VLOOKUP($A544,'Шаг2.Бланк заказа NEW'!$B$17:$N$201,13,0)="","",VLOOKUP($A544,'Шаг2.Бланк заказа NEW'!$B$17:$N$201,13,0)),
"Нет")</f>
        <v/>
      </c>
      <c r="Q544" s="147" t="str">
        <f ca="1">IFERROR(IF(VLOOKUP($A544,'Шаг2.Бланк заказа NEW'!$B$17:$O$201,14,0)="","",VLOOKUP($A544,'Шаг2.Бланк заказа NEW'!$B$17:$O$201,14,0)),"")</f>
        <v/>
      </c>
      <c r="R544" s="147" t="str">
        <f ca="1">IFERROR(IFERROR(IF(VLOOKUP($A544,'Шаг2.Бланк заказа NEW'!$B$17:$N$201,4,0)="","",VLOOKUP($A544,'Шаг2.Бланк заказа NEW'!$B$17:$N$201,4,0)),
IF(VLOOKUP($A544-COUNT('Шаг2.Бланк заказа NEW'!$B$19:$B$201),'Бланк OLD 0.8 04'!$B$12:$K$200,4,0)&gt;0,0.8,
IF(VLOOKUP($A544-COUNT('Шаг2.Бланк заказа NEW'!$B$19:$B$201),'Бланк OLD 0.8 04'!$B$12:$K$200,5,0)&gt;0,0.4,""))),
IF(VLOOKUP($A544-COUNT('Шаг2.Бланк заказа NEW'!$B$19:$B$201)-COUNT('Бланк OLD 0.8 04'!$B$18:$B$200),'Бланк OLD 2.0 04 '!$B$16:$K$200,4,0)&gt;0,2,IF(VLOOKUP($A544-COUNT('Шаг2.Бланк заказа NEW'!$B$19:$B$201)-COUNT('Бланк OLD 0.8 04'!$B$18:$B$200),'Бланк OLD 2.0 04 '!$B$16:$K$200,5,0)&gt;0,0.4,"")))</f>
        <v/>
      </c>
      <c r="S544" s="147" t="str">
        <f ca="1">IFERROR(IFERROR(IF(VLOOKUP($A544,'Шаг2.Бланк заказа NEW'!$B$17:$N$201,5,0)="","",VLOOKUP($A544,'Шаг2.Бланк заказа NEW'!$B$17:$N$201,5,0)),
IF(VLOOKUP($A544-COUNT('Шаг2.Бланк заказа NEW'!$B$19:$B$201),'Бланк OLD 0.8 04'!$B$12:$K$200,4,0)&gt;1,0.8,
IF(VLOOKUP($A544-COUNT('Шаг2.Бланк заказа NEW'!$B$19:$B$201),'Бланк OLD 0.8 04'!$B$12:$K$200,5,0)&gt;1,0.4,
IF(AND(VLOOKUP($A544-COUNT('Шаг2.Бланк заказа NEW'!$B$19:$B$201),'Бланк OLD 0.8 04'!$B$12:$K$200,4,0)&gt;0,VLOOKUP($A544-COUNT('Шаг2.Бланк заказа NEW'!$B$19:$B$201),'Бланк OLD 0.8 04'!$B$12:$K$200,5,0)&gt;0),0.4,"")))),
IF(VLOOKUP($A544-COUNT('Шаг2.Бланк заказа NEW'!$B$19:$B$201)-COUNT('Бланк OLD 0.8 04'!$B$18:$B$200),'Бланк OLD 2.0 04 '!$B$16:$K$200,4,0)&gt;1,2,
IF(VLOOKUP($A544-COUNT('Шаг2.Бланк заказа NEW'!$B$19:$B$201)-COUNT('Бланк OLD 0.8 04'!$B$18:$B$200),'Бланк OLD 2.0 04 '!$B$16:$K$200,5,0)&gt;1,0.4,IF(AND(VLOOKUP($A544-COUNT('Шаг2.Бланк заказа NEW'!$B$19:$B$201)-COUNT('Бланк OLD 0.8 04'!$B$18:$B$200),'Бланк OLD 2.0 04 '!$B$16:$K$200,4,0)&gt;0,VLOOKUP($A544-COUNT('Шаг2.Бланк заказа NEW'!$B$19:$B$201)-COUNT('Бланк OLD 0.8 04'!$B$18:$B$200),'Бланк OLD 2.0 04 '!$B$16:$K$200,5,0)&gt;0),0.4,""))))</f>
        <v/>
      </c>
      <c r="T544" s="147" t="str">
        <f ca="1">IFERROR(IFERROR(IF(VLOOKUP($A544,'Шаг2.Бланк заказа NEW'!$B$17:$N$201,7,0)="","",VLOOKUP($A544,'Шаг2.Бланк заказа NEW'!$B$17:$N$201,7,0)),
IF(VLOOKUP($A544-COUNT('Шаг2.Бланк заказа NEW'!$B$19:$B$201),'Бланк OLD 0.8 04'!$B$12:$K$200,7,0)&gt;0,0.8,
IF(VLOOKUP($A544-COUNT('Шаг2.Бланк заказа NEW'!$B$19:$B$201),'Бланк OLD 0.8 04'!$B$12:$K$200,8,0)&gt;0,0.4,""))),
IF(VLOOKUP($A544-COUNT('Шаг2.Бланк заказа NEW'!$B$19:$B$201)-COUNT('Бланк OLD 0.8 04'!$B$18:$B$200),'Бланк OLD 2.0 04 '!$B$16:$K$200,7,0)&gt;0,2,IF(VLOOKUP($A544-COUNT('Шаг2.Бланк заказа NEW'!$B$19:$B$201)-COUNT('Бланк OLD 0.8 04'!$B$18:$B$200),'Бланк OLD 2.0 04 '!$B$16:$K$200,8,0)&gt;0,0.4,"")))</f>
        <v/>
      </c>
      <c r="U544" s="147" t="str">
        <f ca="1">IFERROR(IFERROR(IF(VLOOKUP($A544,'Шаг2.Бланк заказа NEW'!$B$17:$N$201,8,0)="","",VLOOKUP($A544,'Шаг2.Бланк заказа NEW'!$B$17:$N$201,8,0)),
IF(VLOOKUP($A544-COUNT('Шаг2.Бланк заказа NEW'!$B$19:$B$201),'Бланк OLD 0.8 04'!$B$12:$K$200,7,0)&gt;1,0.8,
IF(VLOOKUP($A544-COUNT('Шаг2.Бланк заказа NEW'!$B$19:$B$201),'Бланк OLD 0.8 04'!$B$12:$K$200,8,0)&gt;1,0.4,
IF(AND(VLOOKUP($A544-COUNT('Шаг2.Бланк заказа NEW'!$B$19:$B$201),'Бланк OLD 0.8 04'!$B$12:$K$200,7,0)&gt;0,VLOOKUP($A544-COUNT('Шаг2.Бланк заказа NEW'!$B$19:$B$201),'Бланк OLD 0.8 04'!$B$12:$K$200,8,0)&gt;0),0.4,"")))),
IF(VLOOKUP($A544-COUNT('Шаг2.Бланк заказа NEW'!$B$19:$B$201)-COUNT('Бланк OLD 0.8 04'!$B$18:$B$200),'Бланк OLD 2.0 04 '!$B$16:$K$200,7,0)&gt;1,2,
IF(VLOOKUP($A544-COUNT('Шаг2.Бланк заказа NEW'!$B$19:$B$201)-COUNT('Бланк OLD 0.8 04'!$B$18:$B$200),'Бланк OLD 2.0 04 '!$B$16:$K$200,8,0)&gt;1,0.4,
IF(AND(VLOOKUP($A544-COUNT('Шаг2.Бланк заказа NEW'!$B$19:$B$201)-COUNT('Бланк OLD 0.8 04'!$B$18:$B$200),'Бланк OLD 2.0 04 '!$B$16:$K$200,7,0)&gt;0,VLOOKUP($A544-COUNT('Шаг2.Бланк заказа NEW'!$B$19:$B$201)-COUNT('Бланк OLD 0.8 04'!$B$18:$B$200),'Бланк OLD 2.0 04 '!$B$16:$K$200,8,0)&gt;0),0.4,""))))</f>
        <v/>
      </c>
      <c r="V544" s="146" t="str">
        <f ca="1">IFERROR(VLOOKUP(C544,'Шаг1.Выбор плиты'!C:S,12,0),"")</f>
        <v/>
      </c>
      <c r="W544" s="146" t="str">
        <f ca="1">IFERROR(VLOOKUP(C544,'Шаг1.Выбор плиты'!C:S,8,0),"")</f>
        <v/>
      </c>
      <c r="X544" s="146" t="str">
        <f ca="1">IFERROR(VLOOKUP(C544,'Шаг1.Выбор плиты'!C:S,10,0),"")</f>
        <v/>
      </c>
      <c r="Y544" s="147" t="str">
        <f t="shared" ca="1" si="51"/>
        <v/>
      </c>
      <c r="AD544" s="147" t="str">
        <f t="shared" ca="1" si="48"/>
        <v/>
      </c>
      <c r="AE544" s="147" t="str">
        <f t="shared" ca="1" si="52"/>
        <v/>
      </c>
      <c r="AF544" s="25"/>
      <c r="AH544" s="147" t="str">
        <f ca="1">IF(C544="","",VLOOKUP(C544,'Шаг1.Выбор плиты'!C:Q,7,0))</f>
        <v/>
      </c>
      <c r="AI544" s="147" t="str">
        <f t="shared" ca="1" si="50"/>
        <v/>
      </c>
    </row>
    <row r="545" spans="1:35" x14ac:dyDescent="0.2">
      <c r="A545" s="151" t="str">
        <f ca="1">IF(C545="","",MAX($A$1:OFFSET(C545,-1,0))+1)</f>
        <v/>
      </c>
      <c r="B545" s="151" t="str">
        <f ca="1">IFERROR(IFERROR(IFERROR("Шаг2.Бланк заказа NEW №"&amp;VLOOKUP(A544+1,CHOOSE({1,2},'Шаг2.Бланк заказа NEW'!$B$19:$B$201,'Шаг2.Бланк заказа NEW'!$A$19:$A$201),1,0),
"Бланк OLD 0.8 04 №"&amp;VLOOKUP(A544+1-COUNT('Шаг2.Бланк заказа NEW'!$B$19:$B$201),CHOOSE({1,2},'Бланк OLD 0.8 04'!$B$18:$B$200,'Бланк OLD 0.8 04'!$A$18:$A$200),1,0)),
"Бланк OLD 2.0 04 №"&amp;VLOOKUP(A544+1-COUNT('Шаг2.Бланк заказа NEW'!$B$19:$B$201)-COUNT('Бланк OLD 0.8 04'!$B$18:$B$200),CHOOSE({1,2},'Бланк OLD 2.0 04 '!$B$18:$B$200,'Бланк OLD 2.0 04 '!$A$18:$A$200),1,0)),"")</f>
        <v/>
      </c>
      <c r="C545" s="152" t="str">
        <f ca="1">IFERROR(IFERROR(IFERROR(VLOOKUP(A544+1,CHOOSE({1,2},'Шаг2.Бланк заказа NEW'!$B$19:$B$201,'Шаг2.Бланк заказа NEW'!$A$19:$A$201),2,0),
VLOOKUP(A544+1-COUNT('Шаг2.Бланк заказа NEW'!$B$19:$B$201),CHOOSE({1,2},'Бланк OLD 0.8 04'!$B$18:$B$200,'Бланк OLD 0.8 04'!$A$18:$A$200),2,0)),
VLOOKUP(A544+1-COUNT('Шаг2.Бланк заказа NEW'!$B$19:$B$201)-COUNT('Бланк OLD 0.8 04'!$B$18:$B$200),CHOOSE({1,2},'Бланк OLD 2.0 04 '!$B$18:$B$200,'Бланк OLD 2.0 04 '!$A$18:$A$200),2,0)),"")</f>
        <v/>
      </c>
      <c r="D545" s="150" t="str">
        <f ca="1">IFERROR(VLOOKUP(C545,'Шаг1.Выбор плиты'!C:G,5,0),"")</f>
        <v/>
      </c>
      <c r="E545" s="147" t="str">
        <f ca="1">IFERROR(IFERROR(IF(VLOOKUP($A545,'Шаг2.Бланк заказа NEW'!$B$17:$N$201,2,0)="","",VLOOKUP($A545,'Шаг2.Бланк заказа NEW'!$B$17:$N$201,2,0)),
IF(VLOOKUP($A545-COUNT('Шаг2.Бланк заказа NEW'!$B$19:$B$201),'Бланк OLD 0.8 04'!$B$12:$K$200,2,0)="","",VLOOKUP($A545-COUNT('Шаг2.Бланк заказа NEW'!$B$19:$B$201),'Бланк OLD 0.8 04'!$B$12:$K$200,2,0))),
IF(VLOOKUP($A545-COUNT('Шаг2.Бланк заказа NEW'!$B$19:$B$201)-COUNT('Бланк OLD 0.8 04'!$B$18:$B$200),'Бланк OLD 2.0 04 '!$B$16:$K$200,2,0)="","",VLOOKUP($A545-COUNT('Шаг2.Бланк заказа NEW'!$B$19:$B$201)-COUNT('Бланк OLD 0.8 04'!$B$18:$B$200),'Бланк OLD 2.0 04 '!$B$16:$K$200,2,0)))</f>
        <v/>
      </c>
      <c r="F545" s="147" t="str">
        <f ca="1">IFERROR(IFERROR(IF(VLOOKUP($A545,'Шаг2.Бланк заказа NEW'!$B$17:$N$201,3,0)="","",VLOOKUP($A545,'Шаг2.Бланк заказа NEW'!$B$17:$N$201,3,0)),
IF(VLOOKUP($A545-COUNT('Шаг2.Бланк заказа NEW'!$B$19:$B$201),'Бланк OLD 0.8 04'!$B$12:$K$200,3,0)="","",VLOOKUP($A545-COUNT('Шаг2.Бланк заказа NEW'!$B$19:$B$201),'Бланк OLD 0.8 04'!$B$12:$K$200,3,0))),
IF(VLOOKUP($A545-COUNT('Шаг2.Бланк заказа NEW'!$B$19:$B$201)-COUNT('Бланк OLD 0.8 04'!$B$18:$B$200),'Бланк OLD 2.0 04 '!$B$16:$K$200,3,0)="","",VLOOKUP($A545-COUNT('Шаг2.Бланк заказа NEW'!$B$19:$B$201)-COUNT('Бланк OLD 0.8 04'!$B$18:$B$200),'Бланк OLD 2.0 04 '!$B$16:$K$200,3,0)))</f>
        <v/>
      </c>
      <c r="G545" s="176" t="str">
        <f ca="1">IF(IF(R545="","",IF(R545=1,SUMIFS('Шаг1.Выбор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плиты'!C:Q,12,0)),1))))))=0,
R545,
IF(R545="","",IF(R545=1,SUMIFS('Шаг1.Выбор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плиты'!N:N,R545,'Шаг1.Выбор плиты'!M:M,SMALL(INDIRECT("мм"&amp;VLOOKUP(C545,'Шаг1.Выбор плиты'!C:Q,12,0)),1)))))))</f>
        <v/>
      </c>
      <c r="H545" s="177" t="str">
        <f ca="1">IF(IF(S545="","",IF(S545=1,SUMIFS('Шаг1.Выбор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плиты'!C:Q,12,0)),1))))))=0,
S545,
IF(S545="","",IF(S545=1,SUMIFS('Шаг1.Выбор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плиты'!N:N,S545,'Шаг1.Выбор плиты'!M:M,SMALL(INDIRECT("мм"&amp;VLOOKUP(C545,'Шаг1.Выбор плиты'!C:Q,12,0)),1)))))))</f>
        <v/>
      </c>
      <c r="I545" s="147" t="str">
        <f ca="1">IFERROR(IFERROR(IF(VLOOKUP($A545,'Шаг2.Бланк заказа NEW'!$B$17:$N$201,6,0)="","",VLOOKUP($A545,'Шаг2.Бланк заказа NEW'!$B$17:$N$201,6,0)),
IF(VLOOKUP($A545-COUNT('Шаг2.Бланк заказа NEW'!$B$19:$B$201),'Бланк OLD 0.8 04'!$B$12:$K$200,6,0)="","",VLOOKUP($A545-COUNT('Шаг2.Бланк заказа NEW'!$B$19:$B$201),'Бланк OLD 0.8 04'!$B$12:$K$200,6,0))),
IF(VLOOKUP($A545-COUNT('Шаг2.Бланк заказа NEW'!$B$19:$B$201)-COUNT('Бланк OLD 0.8 04'!$B$18:$B$200),'Бланк OLD 2.0 04 '!$B$16:$K$200,6,0)="","",VLOOKUP($A545-COUNT('Шаг2.Бланк заказа NEW'!$B$19:$B$201)-COUNT('Бланк OLD 0.8 04'!$B$18:$B$200),'Бланк OLD 2.0 04 '!$B$16:$K$200,6,0)))</f>
        <v/>
      </c>
      <c r="J545" s="177" t="str">
        <f ca="1">IF(IF(T545="","",IF(T545=1,SUMIFS('Шаг1.Выбор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плиты'!C:Q,12,0)),1))))))=0,
T545,
IF(T545="","",IF(T545=1,SUMIFS('Шаг1.Выбор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плиты'!N:N,T545,'Шаг1.Выбор плиты'!M:M,SMALL(INDIRECT("мм"&amp;VLOOKUP(C545,'Шаг1.Выбор плиты'!C:Q,12,0)),1)))))))</f>
        <v/>
      </c>
      <c r="K545" s="177" t="str">
        <f ca="1">IF(IF(U545="","",IF(U545=1,SUMIFS('Шаг1.Выбор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плиты'!C:Q,12,0)),1))))))=0,
U545,
IF(U545="","",IF(U545=1,SUMIFS('Шаг1.Выбор плиты'!$G:$G,'Шаг1.Выбор плиты'!J:J,"*"&amp;RIGHT(VLOOKUP(C545,'Шаг1.Выбор плиты'!C:Q,8,0),4),'Шаг1.Выбор плиты'!L:L,IF(MID(C545,1,6)="ЛДСП P","TM"&amp;MID(VLOOKUP(C545,'Шаг1.Выбор плиты'!C:Q,10,0),3,2),MID(VLOOKUP(C545,'Шаг1.Выбор плиты'!C:Q,10,0),1,2)),
'Шаг1.Выбор плиты'!N:N,1),IF(SUMIFS('Шаг1.Выбор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плиты'!C:Q,12,0)),1))=0,
IF(SUMIFS('Шаг1.Выбор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плиты'!C:Q,12,0)),2))=0,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плиты'!C:Q,12,0)),3)),
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плиты'!C:Q,12,0)),2))),
(SUMIFS('Шаг1.Выбор плиты'!$G:$G,'Шаг1.Выбор плиты'!J:J,"*"&amp;RIGHT(VLOOKUP(C545,'Шаг1.Выбор плиты'!C:Q,8,0),4),'Шаг1.Выбор плиты'!L:L,VLOOKUP(C545,'Шаг1.Выбор плиты'!C:Q,10,0),'Шаг1.Выбор плиты'!N:N,U545,'Шаг1.Выбор плиты'!M:M,SMALL(INDIRECT("мм"&amp;VLOOKUP(C545,'Шаг1.Выбор плиты'!C:Q,12,0)),1)))))))</f>
        <v/>
      </c>
      <c r="L545" s="147" t="str">
        <f ca="1">IFERROR(IFERROR(IF(VLOOKUP($A545,'Шаг2.Бланк заказа NEW'!$B$17:$N$201,9,0)="","",VLOOKUP($A545,'Шаг2.Бланк заказа NEW'!$B$17:$N$201,9,0)),
IF(VLOOKUP($A545-COUNT('Шаг2.Бланк заказа NEW'!$B$19:$B$201),'Бланк OLD 0.8 04'!$B$12:$K$200,9,0)="","",VLOOKUP($A545-COUNT('Шаг2.Бланк заказа NEW'!$B$19:$B$201),'Бланк OLD 0.8 04'!$B$12:$K$200,9,0))),
IF(VLOOKUP($A545-COUNT('Шаг2.Бланк заказа NEW'!$B$19:$B$201)-COUNT('Бланк OLD 0.8 04'!$B$18:$B$200),'Бланк OLD 2.0 04 '!$B$16:$K$200,9,0)="","",VLOOKUP($A545-COUNT('Шаг2.Бланк заказа NEW'!$B$19:$B$201)-COUNT('Бланк OLD 0.8 04'!$B$18:$B$200),'Бланк OLD 2.0 04 '!$B$16:$K$200,9,0)))</f>
        <v/>
      </c>
      <c r="M545" s="154" t="str">
        <f t="shared" ca="1" si="49"/>
        <v/>
      </c>
      <c r="N545" s="153" t="str">
        <f ca="1">IFERROR(IF(VLOOKUP($A545,'Шаг2.Бланк заказа NEW'!$B$17:$N$201,11,0)="","",VLOOKUP($A545,'Шаг2.Бланк заказа NEW'!$B$17:$N$201,11,0)),
"Нет")</f>
        <v/>
      </c>
      <c r="O545" s="147" t="str">
        <f ca="1">IFERROR(IF(VLOOKUP($A545,'Шаг2.Бланк заказа NEW'!$B$17:$N$201,11,0)="","",VLOOKUP($A545,'Шаг2.Бланк заказа NEW'!$B$17:$N$201,12,0)),
"Нет")</f>
        <v/>
      </c>
      <c r="P545" s="153" t="str">
        <f ca="1">IFERROR(IF(VLOOKUP($A545,'Шаг2.Бланк заказа NEW'!$B$17:$N$201,13,0)="","",VLOOKUP($A545,'Шаг2.Бланк заказа NEW'!$B$17:$N$201,13,0)),
"Нет")</f>
        <v/>
      </c>
      <c r="Q545" s="147" t="str">
        <f ca="1">IFERROR(IF(VLOOKUP($A545,'Шаг2.Бланк заказа NEW'!$B$17:$O$201,14,0)="","",VLOOKUP($A545,'Шаг2.Бланк заказа NEW'!$B$17:$O$201,14,0)),"")</f>
        <v/>
      </c>
      <c r="R545" s="147" t="str">
        <f ca="1">IFERROR(IFERROR(IF(VLOOKUP($A545,'Шаг2.Бланк заказа NEW'!$B$17:$N$201,4,0)="","",VLOOKUP($A545,'Шаг2.Бланк заказа NEW'!$B$17:$N$201,4,0)),
IF(VLOOKUP($A545-COUNT('Шаг2.Бланк заказа NEW'!$B$19:$B$201),'Бланк OLD 0.8 04'!$B$12:$K$200,4,0)&gt;0,0.8,
IF(VLOOKUP($A545-COUNT('Шаг2.Бланк заказа NEW'!$B$19:$B$201),'Бланк OLD 0.8 04'!$B$12:$K$200,5,0)&gt;0,0.4,""))),
IF(VLOOKUP($A545-COUNT('Шаг2.Бланк заказа NEW'!$B$19:$B$201)-COUNT('Бланк OLD 0.8 04'!$B$18:$B$200),'Бланк OLD 2.0 04 '!$B$16:$K$200,4,0)&gt;0,2,IF(VLOOKUP($A545-COUNT('Шаг2.Бланк заказа NEW'!$B$19:$B$201)-COUNT('Бланк OLD 0.8 04'!$B$18:$B$200),'Бланк OLD 2.0 04 '!$B$16:$K$200,5,0)&gt;0,0.4,"")))</f>
        <v/>
      </c>
      <c r="S545" s="147" t="str">
        <f ca="1">IFERROR(IFERROR(IF(VLOOKUP($A545,'Шаг2.Бланк заказа NEW'!$B$17:$N$201,5,0)="","",VLOOKUP($A545,'Шаг2.Бланк заказа NEW'!$B$17:$N$201,5,0)),
IF(VLOOKUP($A545-COUNT('Шаг2.Бланк заказа NEW'!$B$19:$B$201),'Бланк OLD 0.8 04'!$B$12:$K$200,4,0)&gt;1,0.8,
IF(VLOOKUP($A545-COUNT('Шаг2.Бланк заказа NEW'!$B$19:$B$201),'Бланк OLD 0.8 04'!$B$12:$K$200,5,0)&gt;1,0.4,
IF(AND(VLOOKUP($A545-COUNT('Шаг2.Бланк заказа NEW'!$B$19:$B$201),'Бланк OLD 0.8 04'!$B$12:$K$200,4,0)&gt;0,VLOOKUP($A545-COUNT('Шаг2.Бланк заказа NEW'!$B$19:$B$201),'Бланк OLD 0.8 04'!$B$12:$K$200,5,0)&gt;0),0.4,"")))),
IF(VLOOKUP($A545-COUNT('Шаг2.Бланк заказа NEW'!$B$19:$B$201)-COUNT('Бланк OLD 0.8 04'!$B$18:$B$200),'Бланк OLD 2.0 04 '!$B$16:$K$200,4,0)&gt;1,2,
IF(VLOOKUP($A545-COUNT('Шаг2.Бланк заказа NEW'!$B$19:$B$201)-COUNT('Бланк OLD 0.8 04'!$B$18:$B$200),'Бланк OLD 2.0 04 '!$B$16:$K$200,5,0)&gt;1,0.4,IF(AND(VLOOKUP($A545-COUNT('Шаг2.Бланк заказа NEW'!$B$19:$B$201)-COUNT('Бланк OLD 0.8 04'!$B$18:$B$200),'Бланк OLD 2.0 04 '!$B$16:$K$200,4,0)&gt;0,VLOOKUP($A545-COUNT('Шаг2.Бланк заказа NEW'!$B$19:$B$201)-COUNT('Бланк OLD 0.8 04'!$B$18:$B$200),'Бланк OLD 2.0 04 '!$B$16:$K$200,5,0)&gt;0),0.4,""))))</f>
        <v/>
      </c>
      <c r="T545" s="147" t="str">
        <f ca="1">IFERROR(IFERROR(IF(VLOOKUP($A545,'Шаг2.Бланк заказа NEW'!$B$17:$N$201,7,0)="","",VLOOKUP($A545,'Шаг2.Бланк заказа NEW'!$B$17:$N$201,7,0)),
IF(VLOOKUP($A545-COUNT('Шаг2.Бланк заказа NEW'!$B$19:$B$201),'Бланк OLD 0.8 04'!$B$12:$K$200,7,0)&gt;0,0.8,
IF(VLOOKUP($A545-COUNT('Шаг2.Бланк заказа NEW'!$B$19:$B$201),'Бланк OLD 0.8 04'!$B$12:$K$200,8,0)&gt;0,0.4,""))),
IF(VLOOKUP($A545-COUNT('Шаг2.Бланк заказа NEW'!$B$19:$B$201)-COUNT('Бланк OLD 0.8 04'!$B$18:$B$200),'Бланк OLD 2.0 04 '!$B$16:$K$200,7,0)&gt;0,2,IF(VLOOKUP($A545-COUNT('Шаг2.Бланк заказа NEW'!$B$19:$B$201)-COUNT('Бланк OLD 0.8 04'!$B$18:$B$200),'Бланк OLD 2.0 04 '!$B$16:$K$200,8,0)&gt;0,0.4,"")))</f>
        <v/>
      </c>
      <c r="U545" s="147" t="str">
        <f ca="1">IFERROR(IFERROR(IF(VLOOKUP($A545,'Шаг2.Бланк заказа NEW'!$B$17:$N$201,8,0)="","",VLOOKUP($A545,'Шаг2.Бланк заказа NEW'!$B$17:$N$201,8,0)),
IF(VLOOKUP($A545-COUNT('Шаг2.Бланк заказа NEW'!$B$19:$B$201),'Бланк OLD 0.8 04'!$B$12:$K$200,7,0)&gt;1,0.8,
IF(VLOOKUP($A545-COUNT('Шаг2.Бланк заказа NEW'!$B$19:$B$201),'Бланк OLD 0.8 04'!$B$12:$K$200,8,0)&gt;1,0.4,
IF(AND(VLOOKUP($A545-COUNT('Шаг2.Бланк заказа NEW'!$B$19:$B$201),'Бланк OLD 0.8 04'!$B$12:$K$200,7,0)&gt;0,VLOOKUP($A545-COUNT('Шаг2.Бланк заказа NEW'!$B$19:$B$201),'Бланк OLD 0.8 04'!$B$12:$K$200,8,0)&gt;0),0.4,"")))),
IF(VLOOKUP($A545-COUNT('Шаг2.Бланк заказа NEW'!$B$19:$B$201)-COUNT('Бланк OLD 0.8 04'!$B$18:$B$200),'Бланк OLD 2.0 04 '!$B$16:$K$200,7,0)&gt;1,2,
IF(VLOOKUP($A545-COUNT('Шаг2.Бланк заказа NEW'!$B$19:$B$201)-COUNT('Бланк OLD 0.8 04'!$B$18:$B$200),'Бланк OLD 2.0 04 '!$B$16:$K$200,8,0)&gt;1,0.4,
IF(AND(VLOOKUP($A545-COUNT('Шаг2.Бланк заказа NEW'!$B$19:$B$201)-COUNT('Бланк OLD 0.8 04'!$B$18:$B$200),'Бланк OLD 2.0 04 '!$B$16:$K$200,7,0)&gt;0,VLOOKUP($A545-COUNT('Шаг2.Бланк заказа NEW'!$B$19:$B$201)-COUNT('Бланк OLD 0.8 04'!$B$18:$B$200),'Бланк OLD 2.0 04 '!$B$16:$K$200,8,0)&gt;0),0.4,""))))</f>
        <v/>
      </c>
      <c r="V545" s="146" t="str">
        <f ca="1">IFERROR(VLOOKUP(C545,'Шаг1.Выбор плиты'!C:S,12,0),"")</f>
        <v/>
      </c>
      <c r="W545" s="146" t="str">
        <f ca="1">IFERROR(VLOOKUP(C545,'Шаг1.Выбор плиты'!C:S,8,0),"")</f>
        <v/>
      </c>
      <c r="X545" s="146" t="str">
        <f ca="1">IFERROR(VLOOKUP(C545,'Шаг1.Выбор плиты'!C:S,10,0),"")</f>
        <v/>
      </c>
      <c r="Y545" s="147" t="str">
        <f t="shared" ca="1" si="51"/>
        <v/>
      </c>
      <c r="AD545" s="147" t="str">
        <f t="shared" ca="1" si="48"/>
        <v/>
      </c>
      <c r="AE545" s="147" t="str">
        <f t="shared" ca="1" si="52"/>
        <v/>
      </c>
      <c r="AF545" s="25"/>
      <c r="AH545" s="147" t="str">
        <f ca="1">IF(C545="","",VLOOKUP(C545,'Шаг1.Выбор плиты'!C:Q,7,0))</f>
        <v/>
      </c>
      <c r="AI545" s="147" t="str">
        <f t="shared" ca="1" si="50"/>
        <v/>
      </c>
    </row>
    <row r="546" spans="1:35" x14ac:dyDescent="0.2">
      <c r="A546" s="151" t="str">
        <f ca="1">IF(C546="","",MAX($A$1:OFFSET(C546,-1,0))+1)</f>
        <v/>
      </c>
      <c r="B546" s="151" t="str">
        <f ca="1">IFERROR(IFERROR(IFERROR("Шаг2.Бланк заказа NEW №"&amp;VLOOKUP(A545+1,CHOOSE({1,2},'Шаг2.Бланк заказа NEW'!$B$19:$B$201,'Шаг2.Бланк заказа NEW'!$A$19:$A$201),1,0),
"Бланк OLD 0.8 04 №"&amp;VLOOKUP(A545+1-COUNT('Шаг2.Бланк заказа NEW'!$B$19:$B$201),CHOOSE({1,2},'Бланк OLD 0.8 04'!$B$18:$B$200,'Бланк OLD 0.8 04'!$A$18:$A$200),1,0)),
"Бланк OLD 2.0 04 №"&amp;VLOOKUP(A545+1-COUNT('Шаг2.Бланк заказа NEW'!$B$19:$B$201)-COUNT('Бланк OLD 0.8 04'!$B$18:$B$200),CHOOSE({1,2},'Бланк OLD 2.0 04 '!$B$18:$B$200,'Бланк OLD 2.0 04 '!$A$18:$A$200),1,0)),"")</f>
        <v/>
      </c>
      <c r="C546" s="152" t="str">
        <f ca="1">IFERROR(IFERROR(IFERROR(VLOOKUP(A545+1,CHOOSE({1,2},'Шаг2.Бланк заказа NEW'!$B$19:$B$201,'Шаг2.Бланк заказа NEW'!$A$19:$A$201),2,0),
VLOOKUP(A545+1-COUNT('Шаг2.Бланк заказа NEW'!$B$19:$B$201),CHOOSE({1,2},'Бланк OLD 0.8 04'!$B$18:$B$200,'Бланк OLD 0.8 04'!$A$18:$A$200),2,0)),
VLOOKUP(A545+1-COUNT('Шаг2.Бланк заказа NEW'!$B$19:$B$201)-COUNT('Бланк OLD 0.8 04'!$B$18:$B$200),CHOOSE({1,2},'Бланк OLD 2.0 04 '!$B$18:$B$200,'Бланк OLD 2.0 04 '!$A$18:$A$200),2,0)),"")</f>
        <v/>
      </c>
      <c r="D546" s="150" t="str">
        <f ca="1">IFERROR(VLOOKUP(C546,'Шаг1.Выбор плиты'!C:G,5,0),"")</f>
        <v/>
      </c>
      <c r="E546" s="147" t="str">
        <f ca="1">IFERROR(IFERROR(IF(VLOOKUP($A546,'Шаг2.Бланк заказа NEW'!$B$17:$N$201,2,0)="","",VLOOKUP($A546,'Шаг2.Бланк заказа NEW'!$B$17:$N$201,2,0)),
IF(VLOOKUP($A546-COUNT('Шаг2.Бланк заказа NEW'!$B$19:$B$201),'Бланк OLD 0.8 04'!$B$12:$K$200,2,0)="","",VLOOKUP($A546-COUNT('Шаг2.Бланк заказа NEW'!$B$19:$B$201),'Бланк OLD 0.8 04'!$B$12:$K$200,2,0))),
IF(VLOOKUP($A546-COUNT('Шаг2.Бланк заказа NEW'!$B$19:$B$201)-COUNT('Бланк OLD 0.8 04'!$B$18:$B$200),'Бланк OLD 2.0 04 '!$B$16:$K$200,2,0)="","",VLOOKUP($A546-COUNT('Шаг2.Бланк заказа NEW'!$B$19:$B$201)-COUNT('Бланк OLD 0.8 04'!$B$18:$B$200),'Бланк OLD 2.0 04 '!$B$16:$K$200,2,0)))</f>
        <v/>
      </c>
      <c r="F546" s="147" t="str">
        <f ca="1">IFERROR(IFERROR(IF(VLOOKUP($A546,'Шаг2.Бланк заказа NEW'!$B$17:$N$201,3,0)="","",VLOOKUP($A546,'Шаг2.Бланк заказа NEW'!$B$17:$N$201,3,0)),
IF(VLOOKUP($A546-COUNT('Шаг2.Бланк заказа NEW'!$B$19:$B$201),'Бланк OLD 0.8 04'!$B$12:$K$200,3,0)="","",VLOOKUP($A546-COUNT('Шаг2.Бланк заказа NEW'!$B$19:$B$201),'Бланк OLD 0.8 04'!$B$12:$K$200,3,0))),
IF(VLOOKUP($A546-COUNT('Шаг2.Бланк заказа NEW'!$B$19:$B$201)-COUNT('Бланк OLD 0.8 04'!$B$18:$B$200),'Бланк OLD 2.0 04 '!$B$16:$K$200,3,0)="","",VLOOKUP($A546-COUNT('Шаг2.Бланк заказа NEW'!$B$19:$B$201)-COUNT('Бланк OLD 0.8 04'!$B$18:$B$200),'Бланк OLD 2.0 04 '!$B$16:$K$200,3,0)))</f>
        <v/>
      </c>
      <c r="G546" s="176" t="str">
        <f ca="1">IF(IF(R546="","",IF(R546=1,SUMIFS('Шаг1.Выбор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плиты'!C:Q,12,0)),1))))))=0,
R546,
IF(R546="","",IF(R546=1,SUMIFS('Шаг1.Выбор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плиты'!N:N,R546,'Шаг1.Выбор плиты'!M:M,SMALL(INDIRECT("мм"&amp;VLOOKUP(C546,'Шаг1.Выбор плиты'!C:Q,12,0)),1)))))))</f>
        <v/>
      </c>
      <c r="H546" s="177" t="str">
        <f ca="1">IF(IF(S546="","",IF(S546=1,SUMIFS('Шаг1.Выбор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плиты'!C:Q,12,0)),1))))))=0,
S546,
IF(S546="","",IF(S546=1,SUMIFS('Шаг1.Выбор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плиты'!N:N,S546,'Шаг1.Выбор плиты'!M:M,SMALL(INDIRECT("мм"&amp;VLOOKUP(C546,'Шаг1.Выбор плиты'!C:Q,12,0)),1)))))))</f>
        <v/>
      </c>
      <c r="I546" s="147" t="str">
        <f ca="1">IFERROR(IFERROR(IF(VLOOKUP($A546,'Шаг2.Бланк заказа NEW'!$B$17:$N$201,6,0)="","",VLOOKUP($A546,'Шаг2.Бланк заказа NEW'!$B$17:$N$201,6,0)),
IF(VLOOKUP($A546-COUNT('Шаг2.Бланк заказа NEW'!$B$19:$B$201),'Бланк OLD 0.8 04'!$B$12:$K$200,6,0)="","",VLOOKUP($A546-COUNT('Шаг2.Бланк заказа NEW'!$B$19:$B$201),'Бланк OLD 0.8 04'!$B$12:$K$200,6,0))),
IF(VLOOKUP($A546-COUNT('Шаг2.Бланк заказа NEW'!$B$19:$B$201)-COUNT('Бланк OLD 0.8 04'!$B$18:$B$200),'Бланк OLD 2.0 04 '!$B$16:$K$200,6,0)="","",VLOOKUP($A546-COUNT('Шаг2.Бланк заказа NEW'!$B$19:$B$201)-COUNT('Бланк OLD 0.8 04'!$B$18:$B$200),'Бланк OLD 2.0 04 '!$B$16:$K$200,6,0)))</f>
        <v/>
      </c>
      <c r="J546" s="177" t="str">
        <f ca="1">IF(IF(T546="","",IF(T546=1,SUMIFS('Шаг1.Выбор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плиты'!C:Q,12,0)),1))))))=0,
T546,
IF(T546="","",IF(T546=1,SUMIFS('Шаг1.Выбор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плиты'!N:N,T546,'Шаг1.Выбор плиты'!M:M,SMALL(INDIRECT("мм"&amp;VLOOKUP(C546,'Шаг1.Выбор плиты'!C:Q,12,0)),1)))))))</f>
        <v/>
      </c>
      <c r="K546" s="177" t="str">
        <f ca="1">IF(IF(U546="","",IF(U546=1,SUMIFS('Шаг1.Выбор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плиты'!C:Q,12,0)),1))))))=0,
U546,
IF(U546="","",IF(U546=1,SUMIFS('Шаг1.Выбор плиты'!$G:$G,'Шаг1.Выбор плиты'!J:J,"*"&amp;RIGHT(VLOOKUP(C546,'Шаг1.Выбор плиты'!C:Q,8,0),4),'Шаг1.Выбор плиты'!L:L,IF(MID(C546,1,6)="ЛДСП P","TM"&amp;MID(VLOOKUP(C546,'Шаг1.Выбор плиты'!C:Q,10,0),3,2),MID(VLOOKUP(C546,'Шаг1.Выбор плиты'!C:Q,10,0),1,2)),
'Шаг1.Выбор плиты'!N:N,1),IF(SUMIFS('Шаг1.Выбор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плиты'!C:Q,12,0)),1))=0,
IF(SUMIFS('Шаг1.Выбор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плиты'!C:Q,12,0)),2))=0,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плиты'!C:Q,12,0)),3)),
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плиты'!C:Q,12,0)),2))),
(SUMIFS('Шаг1.Выбор плиты'!$G:$G,'Шаг1.Выбор плиты'!J:J,"*"&amp;RIGHT(VLOOKUP(C546,'Шаг1.Выбор плиты'!C:Q,8,0),4),'Шаг1.Выбор плиты'!L:L,VLOOKUP(C546,'Шаг1.Выбор плиты'!C:Q,10,0),'Шаг1.Выбор плиты'!N:N,U546,'Шаг1.Выбор плиты'!M:M,SMALL(INDIRECT("мм"&amp;VLOOKUP(C546,'Шаг1.Выбор плиты'!C:Q,12,0)),1)))))))</f>
        <v/>
      </c>
      <c r="L546" s="147" t="str">
        <f ca="1">IFERROR(IFERROR(IF(VLOOKUP($A546,'Шаг2.Бланк заказа NEW'!$B$17:$N$201,9,0)="","",VLOOKUP($A546,'Шаг2.Бланк заказа NEW'!$B$17:$N$201,9,0)),
IF(VLOOKUP($A546-COUNT('Шаг2.Бланк заказа NEW'!$B$19:$B$201),'Бланк OLD 0.8 04'!$B$12:$K$200,9,0)="","",VLOOKUP($A546-COUNT('Шаг2.Бланк заказа NEW'!$B$19:$B$201),'Бланк OLD 0.8 04'!$B$12:$K$200,9,0))),
IF(VLOOKUP($A546-COUNT('Шаг2.Бланк заказа NEW'!$B$19:$B$201)-COUNT('Бланк OLD 0.8 04'!$B$18:$B$200),'Бланк OLD 2.0 04 '!$B$16:$K$200,9,0)="","",VLOOKUP($A546-COUNT('Шаг2.Бланк заказа NEW'!$B$19:$B$201)-COUNT('Бланк OLD 0.8 04'!$B$18:$B$200),'Бланк OLD 2.0 04 '!$B$16:$K$200,9,0)))</f>
        <v/>
      </c>
      <c r="M546" s="154" t="str">
        <f t="shared" ca="1" si="49"/>
        <v/>
      </c>
      <c r="N546" s="153" t="str">
        <f ca="1">IFERROR(IF(VLOOKUP($A546,'Шаг2.Бланк заказа NEW'!$B$17:$N$201,11,0)="","",VLOOKUP($A546,'Шаг2.Бланк заказа NEW'!$B$17:$N$201,11,0)),
"Нет")</f>
        <v/>
      </c>
      <c r="O546" s="147" t="str">
        <f ca="1">IFERROR(IF(VLOOKUP($A546,'Шаг2.Бланк заказа NEW'!$B$17:$N$201,11,0)="","",VLOOKUP($A546,'Шаг2.Бланк заказа NEW'!$B$17:$N$201,12,0)),
"Нет")</f>
        <v/>
      </c>
      <c r="P546" s="153" t="str">
        <f ca="1">IFERROR(IF(VLOOKUP($A546,'Шаг2.Бланк заказа NEW'!$B$17:$N$201,13,0)="","",VLOOKUP($A546,'Шаг2.Бланк заказа NEW'!$B$17:$N$201,13,0)),
"Нет")</f>
        <v/>
      </c>
      <c r="Q546" s="147" t="str">
        <f ca="1">IFERROR(IF(VLOOKUP($A546,'Шаг2.Бланк заказа NEW'!$B$17:$O$201,14,0)="","",VLOOKUP($A546,'Шаг2.Бланк заказа NEW'!$B$17:$O$201,14,0)),"")</f>
        <v/>
      </c>
      <c r="R546" s="147" t="str">
        <f ca="1">IFERROR(IFERROR(IF(VLOOKUP($A546,'Шаг2.Бланк заказа NEW'!$B$17:$N$201,4,0)="","",VLOOKUP($A546,'Шаг2.Бланк заказа NEW'!$B$17:$N$201,4,0)),
IF(VLOOKUP($A546-COUNT('Шаг2.Бланк заказа NEW'!$B$19:$B$201),'Бланк OLD 0.8 04'!$B$12:$K$200,4,0)&gt;0,0.8,
IF(VLOOKUP($A546-COUNT('Шаг2.Бланк заказа NEW'!$B$19:$B$201),'Бланк OLD 0.8 04'!$B$12:$K$200,5,0)&gt;0,0.4,""))),
IF(VLOOKUP($A546-COUNT('Шаг2.Бланк заказа NEW'!$B$19:$B$201)-COUNT('Бланк OLD 0.8 04'!$B$18:$B$200),'Бланк OLD 2.0 04 '!$B$16:$K$200,4,0)&gt;0,2,IF(VLOOKUP($A546-COUNT('Шаг2.Бланк заказа NEW'!$B$19:$B$201)-COUNT('Бланк OLD 0.8 04'!$B$18:$B$200),'Бланк OLD 2.0 04 '!$B$16:$K$200,5,0)&gt;0,0.4,"")))</f>
        <v/>
      </c>
      <c r="S546" s="147" t="str">
        <f ca="1">IFERROR(IFERROR(IF(VLOOKUP($A546,'Шаг2.Бланк заказа NEW'!$B$17:$N$201,5,0)="","",VLOOKUP($A546,'Шаг2.Бланк заказа NEW'!$B$17:$N$201,5,0)),
IF(VLOOKUP($A546-COUNT('Шаг2.Бланк заказа NEW'!$B$19:$B$201),'Бланк OLD 0.8 04'!$B$12:$K$200,4,0)&gt;1,0.8,
IF(VLOOKUP($A546-COUNT('Шаг2.Бланк заказа NEW'!$B$19:$B$201),'Бланк OLD 0.8 04'!$B$12:$K$200,5,0)&gt;1,0.4,
IF(AND(VLOOKUP($A546-COUNT('Шаг2.Бланк заказа NEW'!$B$19:$B$201),'Бланк OLD 0.8 04'!$B$12:$K$200,4,0)&gt;0,VLOOKUP($A546-COUNT('Шаг2.Бланк заказа NEW'!$B$19:$B$201),'Бланк OLD 0.8 04'!$B$12:$K$200,5,0)&gt;0),0.4,"")))),
IF(VLOOKUP($A546-COUNT('Шаг2.Бланк заказа NEW'!$B$19:$B$201)-COUNT('Бланк OLD 0.8 04'!$B$18:$B$200),'Бланк OLD 2.0 04 '!$B$16:$K$200,4,0)&gt;1,2,
IF(VLOOKUP($A546-COUNT('Шаг2.Бланк заказа NEW'!$B$19:$B$201)-COUNT('Бланк OLD 0.8 04'!$B$18:$B$200),'Бланк OLD 2.0 04 '!$B$16:$K$200,5,0)&gt;1,0.4,IF(AND(VLOOKUP($A546-COUNT('Шаг2.Бланк заказа NEW'!$B$19:$B$201)-COUNT('Бланк OLD 0.8 04'!$B$18:$B$200),'Бланк OLD 2.0 04 '!$B$16:$K$200,4,0)&gt;0,VLOOKUP($A546-COUNT('Шаг2.Бланк заказа NEW'!$B$19:$B$201)-COUNT('Бланк OLD 0.8 04'!$B$18:$B$200),'Бланк OLD 2.0 04 '!$B$16:$K$200,5,0)&gt;0),0.4,""))))</f>
        <v/>
      </c>
      <c r="T546" s="147" t="str">
        <f ca="1">IFERROR(IFERROR(IF(VLOOKUP($A546,'Шаг2.Бланк заказа NEW'!$B$17:$N$201,7,0)="","",VLOOKUP($A546,'Шаг2.Бланк заказа NEW'!$B$17:$N$201,7,0)),
IF(VLOOKUP($A546-COUNT('Шаг2.Бланк заказа NEW'!$B$19:$B$201),'Бланк OLD 0.8 04'!$B$12:$K$200,7,0)&gt;0,0.8,
IF(VLOOKUP($A546-COUNT('Шаг2.Бланк заказа NEW'!$B$19:$B$201),'Бланк OLD 0.8 04'!$B$12:$K$200,8,0)&gt;0,0.4,""))),
IF(VLOOKUP($A546-COUNT('Шаг2.Бланк заказа NEW'!$B$19:$B$201)-COUNT('Бланк OLD 0.8 04'!$B$18:$B$200),'Бланк OLD 2.0 04 '!$B$16:$K$200,7,0)&gt;0,2,IF(VLOOKUP($A546-COUNT('Шаг2.Бланк заказа NEW'!$B$19:$B$201)-COUNT('Бланк OLD 0.8 04'!$B$18:$B$200),'Бланк OLD 2.0 04 '!$B$16:$K$200,8,0)&gt;0,0.4,"")))</f>
        <v/>
      </c>
      <c r="U546" s="147" t="str">
        <f ca="1">IFERROR(IFERROR(IF(VLOOKUP($A546,'Шаг2.Бланк заказа NEW'!$B$17:$N$201,8,0)="","",VLOOKUP($A546,'Шаг2.Бланк заказа NEW'!$B$17:$N$201,8,0)),
IF(VLOOKUP($A546-COUNT('Шаг2.Бланк заказа NEW'!$B$19:$B$201),'Бланк OLD 0.8 04'!$B$12:$K$200,7,0)&gt;1,0.8,
IF(VLOOKUP($A546-COUNT('Шаг2.Бланк заказа NEW'!$B$19:$B$201),'Бланк OLD 0.8 04'!$B$12:$K$200,8,0)&gt;1,0.4,
IF(AND(VLOOKUP($A546-COUNT('Шаг2.Бланк заказа NEW'!$B$19:$B$201),'Бланк OLD 0.8 04'!$B$12:$K$200,7,0)&gt;0,VLOOKUP($A546-COUNT('Шаг2.Бланк заказа NEW'!$B$19:$B$201),'Бланк OLD 0.8 04'!$B$12:$K$200,8,0)&gt;0),0.4,"")))),
IF(VLOOKUP($A546-COUNT('Шаг2.Бланк заказа NEW'!$B$19:$B$201)-COUNT('Бланк OLD 0.8 04'!$B$18:$B$200),'Бланк OLD 2.0 04 '!$B$16:$K$200,7,0)&gt;1,2,
IF(VLOOKUP($A546-COUNT('Шаг2.Бланк заказа NEW'!$B$19:$B$201)-COUNT('Бланк OLD 0.8 04'!$B$18:$B$200),'Бланк OLD 2.0 04 '!$B$16:$K$200,8,0)&gt;1,0.4,
IF(AND(VLOOKUP($A546-COUNT('Шаг2.Бланк заказа NEW'!$B$19:$B$201)-COUNT('Бланк OLD 0.8 04'!$B$18:$B$200),'Бланк OLD 2.0 04 '!$B$16:$K$200,7,0)&gt;0,VLOOKUP($A546-COUNT('Шаг2.Бланк заказа NEW'!$B$19:$B$201)-COUNT('Бланк OLD 0.8 04'!$B$18:$B$200),'Бланк OLD 2.0 04 '!$B$16:$K$200,8,0)&gt;0),0.4,""))))</f>
        <v/>
      </c>
      <c r="V546" s="146" t="str">
        <f ca="1">IFERROR(VLOOKUP(C546,'Шаг1.Выбор плиты'!C:S,12,0),"")</f>
        <v/>
      </c>
      <c r="W546" s="146" t="str">
        <f ca="1">IFERROR(VLOOKUP(C546,'Шаг1.Выбор плиты'!C:S,8,0),"")</f>
        <v/>
      </c>
      <c r="X546" s="146" t="str">
        <f ca="1">IFERROR(VLOOKUP(C546,'Шаг1.Выбор плиты'!C:S,10,0),"")</f>
        <v/>
      </c>
      <c r="Y546" s="147" t="str">
        <f t="shared" ca="1" si="51"/>
        <v/>
      </c>
      <c r="AD546" s="147" t="str">
        <f t="shared" ca="1" si="48"/>
        <v/>
      </c>
      <c r="AE546" s="147" t="str">
        <f t="shared" ca="1" si="52"/>
        <v/>
      </c>
      <c r="AF546" s="25"/>
      <c r="AH546" s="147" t="str">
        <f ca="1">IF(C546="","",VLOOKUP(C546,'Шаг1.Выбор плиты'!C:Q,7,0))</f>
        <v/>
      </c>
      <c r="AI546" s="147" t="str">
        <f t="shared" ca="1" si="50"/>
        <v/>
      </c>
    </row>
    <row r="547" spans="1:35" x14ac:dyDescent="0.2">
      <c r="A547" s="151" t="str">
        <f ca="1">IF(C547="","",MAX($A$1:OFFSET(C547,-1,0))+1)</f>
        <v/>
      </c>
      <c r="B547" s="151" t="str">
        <f ca="1">IFERROR(IFERROR(IFERROR("Шаг2.Бланк заказа NEW №"&amp;VLOOKUP(A546+1,CHOOSE({1,2},'Шаг2.Бланк заказа NEW'!$B$19:$B$201,'Шаг2.Бланк заказа NEW'!$A$19:$A$201),1,0),
"Бланк OLD 0.8 04 №"&amp;VLOOKUP(A546+1-COUNT('Шаг2.Бланк заказа NEW'!$B$19:$B$201),CHOOSE({1,2},'Бланк OLD 0.8 04'!$B$18:$B$200,'Бланк OLD 0.8 04'!$A$18:$A$200),1,0)),
"Бланк OLD 2.0 04 №"&amp;VLOOKUP(A546+1-COUNT('Шаг2.Бланк заказа NEW'!$B$19:$B$201)-COUNT('Бланк OLD 0.8 04'!$B$18:$B$200),CHOOSE({1,2},'Бланк OLD 2.0 04 '!$B$18:$B$200,'Бланк OLD 2.0 04 '!$A$18:$A$200),1,0)),"")</f>
        <v/>
      </c>
      <c r="C547" s="152" t="str">
        <f ca="1">IFERROR(IFERROR(IFERROR(VLOOKUP(A546+1,CHOOSE({1,2},'Шаг2.Бланк заказа NEW'!$B$19:$B$201,'Шаг2.Бланк заказа NEW'!$A$19:$A$201),2,0),
VLOOKUP(A546+1-COUNT('Шаг2.Бланк заказа NEW'!$B$19:$B$201),CHOOSE({1,2},'Бланк OLD 0.8 04'!$B$18:$B$200,'Бланк OLD 0.8 04'!$A$18:$A$200),2,0)),
VLOOKUP(A546+1-COUNT('Шаг2.Бланк заказа NEW'!$B$19:$B$201)-COUNT('Бланк OLD 0.8 04'!$B$18:$B$200),CHOOSE({1,2},'Бланк OLD 2.0 04 '!$B$18:$B$200,'Бланк OLD 2.0 04 '!$A$18:$A$200),2,0)),"")</f>
        <v/>
      </c>
      <c r="D547" s="150" t="str">
        <f ca="1">IFERROR(VLOOKUP(C547,'Шаг1.Выбор плиты'!C:G,5,0),"")</f>
        <v/>
      </c>
      <c r="E547" s="147" t="str">
        <f ca="1">IFERROR(IFERROR(IF(VLOOKUP($A547,'Шаг2.Бланк заказа NEW'!$B$17:$N$201,2,0)="","",VLOOKUP($A547,'Шаг2.Бланк заказа NEW'!$B$17:$N$201,2,0)),
IF(VLOOKUP($A547-COUNT('Шаг2.Бланк заказа NEW'!$B$19:$B$201),'Бланк OLD 0.8 04'!$B$12:$K$200,2,0)="","",VLOOKUP($A547-COUNT('Шаг2.Бланк заказа NEW'!$B$19:$B$201),'Бланк OLD 0.8 04'!$B$12:$K$200,2,0))),
IF(VLOOKUP($A547-COUNT('Шаг2.Бланк заказа NEW'!$B$19:$B$201)-COUNT('Бланк OLD 0.8 04'!$B$18:$B$200),'Бланк OLD 2.0 04 '!$B$16:$K$200,2,0)="","",VLOOKUP($A547-COUNT('Шаг2.Бланк заказа NEW'!$B$19:$B$201)-COUNT('Бланк OLD 0.8 04'!$B$18:$B$200),'Бланк OLD 2.0 04 '!$B$16:$K$200,2,0)))</f>
        <v/>
      </c>
      <c r="F547" s="147" t="str">
        <f ca="1">IFERROR(IFERROR(IF(VLOOKUP($A547,'Шаг2.Бланк заказа NEW'!$B$17:$N$201,3,0)="","",VLOOKUP($A547,'Шаг2.Бланк заказа NEW'!$B$17:$N$201,3,0)),
IF(VLOOKUP($A547-COUNT('Шаг2.Бланк заказа NEW'!$B$19:$B$201),'Бланк OLD 0.8 04'!$B$12:$K$200,3,0)="","",VLOOKUP($A547-COUNT('Шаг2.Бланк заказа NEW'!$B$19:$B$201),'Бланк OLD 0.8 04'!$B$12:$K$200,3,0))),
IF(VLOOKUP($A547-COUNT('Шаг2.Бланк заказа NEW'!$B$19:$B$201)-COUNT('Бланк OLD 0.8 04'!$B$18:$B$200),'Бланк OLD 2.0 04 '!$B$16:$K$200,3,0)="","",VLOOKUP($A547-COUNT('Шаг2.Бланк заказа NEW'!$B$19:$B$201)-COUNT('Бланк OLD 0.8 04'!$B$18:$B$200),'Бланк OLD 2.0 04 '!$B$16:$K$200,3,0)))</f>
        <v/>
      </c>
      <c r="G547" s="176" t="str">
        <f ca="1">IF(IF(R547="","",IF(R547=1,SUMIFS('Шаг1.Выбор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плиты'!C:Q,12,0)),1))))))=0,
R547,
IF(R547="","",IF(R547=1,SUMIFS('Шаг1.Выбор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плиты'!N:N,R547,'Шаг1.Выбор плиты'!M:M,SMALL(INDIRECT("мм"&amp;VLOOKUP(C547,'Шаг1.Выбор плиты'!C:Q,12,0)),1)))))))</f>
        <v/>
      </c>
      <c r="H547" s="177" t="str">
        <f ca="1">IF(IF(S547="","",IF(S547=1,SUMIFS('Шаг1.Выбор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плиты'!C:Q,12,0)),1))))))=0,
S547,
IF(S547="","",IF(S547=1,SUMIFS('Шаг1.Выбор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плиты'!N:N,S547,'Шаг1.Выбор плиты'!M:M,SMALL(INDIRECT("мм"&amp;VLOOKUP(C547,'Шаг1.Выбор плиты'!C:Q,12,0)),1)))))))</f>
        <v/>
      </c>
      <c r="I547" s="147" t="str">
        <f ca="1">IFERROR(IFERROR(IF(VLOOKUP($A547,'Шаг2.Бланк заказа NEW'!$B$17:$N$201,6,0)="","",VLOOKUP($A547,'Шаг2.Бланк заказа NEW'!$B$17:$N$201,6,0)),
IF(VLOOKUP($A547-COUNT('Шаг2.Бланк заказа NEW'!$B$19:$B$201),'Бланк OLD 0.8 04'!$B$12:$K$200,6,0)="","",VLOOKUP($A547-COUNT('Шаг2.Бланк заказа NEW'!$B$19:$B$201),'Бланк OLD 0.8 04'!$B$12:$K$200,6,0))),
IF(VLOOKUP($A547-COUNT('Шаг2.Бланк заказа NEW'!$B$19:$B$201)-COUNT('Бланк OLD 0.8 04'!$B$18:$B$200),'Бланк OLD 2.0 04 '!$B$16:$K$200,6,0)="","",VLOOKUP($A547-COUNT('Шаг2.Бланк заказа NEW'!$B$19:$B$201)-COUNT('Бланк OLD 0.8 04'!$B$18:$B$200),'Бланк OLD 2.0 04 '!$B$16:$K$200,6,0)))</f>
        <v/>
      </c>
      <c r="J547" s="177" t="str">
        <f ca="1">IF(IF(T547="","",IF(T547=1,SUMIFS('Шаг1.Выбор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плиты'!C:Q,12,0)),1))))))=0,
T547,
IF(T547="","",IF(T547=1,SUMIFS('Шаг1.Выбор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плиты'!N:N,T547,'Шаг1.Выбор плиты'!M:M,SMALL(INDIRECT("мм"&amp;VLOOKUP(C547,'Шаг1.Выбор плиты'!C:Q,12,0)),1)))))))</f>
        <v/>
      </c>
      <c r="K547" s="177" t="str">
        <f ca="1">IF(IF(U547="","",IF(U547=1,SUMIFS('Шаг1.Выбор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плиты'!C:Q,12,0)),1))))))=0,
U547,
IF(U547="","",IF(U547=1,SUMIFS('Шаг1.Выбор плиты'!$G:$G,'Шаг1.Выбор плиты'!J:J,"*"&amp;RIGHT(VLOOKUP(C547,'Шаг1.Выбор плиты'!C:Q,8,0),4),'Шаг1.Выбор плиты'!L:L,IF(MID(C547,1,6)="ЛДСП P","TM"&amp;MID(VLOOKUP(C547,'Шаг1.Выбор плиты'!C:Q,10,0),3,2),MID(VLOOKUP(C547,'Шаг1.Выбор плиты'!C:Q,10,0),1,2)),
'Шаг1.Выбор плиты'!N:N,1),IF(SUMIFS('Шаг1.Выбор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плиты'!C:Q,12,0)),1))=0,
IF(SUMIFS('Шаг1.Выбор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плиты'!C:Q,12,0)),2))=0,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плиты'!C:Q,12,0)),3)),
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плиты'!C:Q,12,0)),2))),
(SUMIFS('Шаг1.Выбор плиты'!$G:$G,'Шаг1.Выбор плиты'!J:J,"*"&amp;RIGHT(VLOOKUP(C547,'Шаг1.Выбор плиты'!C:Q,8,0),4),'Шаг1.Выбор плиты'!L:L,VLOOKUP(C547,'Шаг1.Выбор плиты'!C:Q,10,0),'Шаг1.Выбор плиты'!N:N,U547,'Шаг1.Выбор плиты'!M:M,SMALL(INDIRECT("мм"&amp;VLOOKUP(C547,'Шаг1.Выбор плиты'!C:Q,12,0)),1)))))))</f>
        <v/>
      </c>
      <c r="L547" s="147" t="str">
        <f ca="1">IFERROR(IFERROR(IF(VLOOKUP($A547,'Шаг2.Бланк заказа NEW'!$B$17:$N$201,9,0)="","",VLOOKUP($A547,'Шаг2.Бланк заказа NEW'!$B$17:$N$201,9,0)),
IF(VLOOKUP($A547-COUNT('Шаг2.Бланк заказа NEW'!$B$19:$B$201),'Бланк OLD 0.8 04'!$B$12:$K$200,9,0)="","",VLOOKUP($A547-COUNT('Шаг2.Бланк заказа NEW'!$B$19:$B$201),'Бланк OLD 0.8 04'!$B$12:$K$200,9,0))),
IF(VLOOKUP($A547-COUNT('Шаг2.Бланк заказа NEW'!$B$19:$B$201)-COUNT('Бланк OLD 0.8 04'!$B$18:$B$200),'Бланк OLD 2.0 04 '!$B$16:$K$200,9,0)="","",VLOOKUP($A547-COUNT('Шаг2.Бланк заказа NEW'!$B$19:$B$201)-COUNT('Бланк OLD 0.8 04'!$B$18:$B$200),'Бланк OLD 2.0 04 '!$B$16:$K$200,9,0)))</f>
        <v/>
      </c>
      <c r="M547" s="154" t="str">
        <f t="shared" ca="1" si="49"/>
        <v/>
      </c>
      <c r="N547" s="153" t="str">
        <f ca="1">IFERROR(IF(VLOOKUP($A547,'Шаг2.Бланк заказа NEW'!$B$17:$N$201,11,0)="","",VLOOKUP($A547,'Шаг2.Бланк заказа NEW'!$B$17:$N$201,11,0)),
"Нет")</f>
        <v/>
      </c>
      <c r="O547" s="147" t="str">
        <f ca="1">IFERROR(IF(VLOOKUP($A547,'Шаг2.Бланк заказа NEW'!$B$17:$N$201,11,0)="","",VLOOKUP($A547,'Шаг2.Бланк заказа NEW'!$B$17:$N$201,12,0)),
"Нет")</f>
        <v/>
      </c>
      <c r="P547" s="153" t="str">
        <f ca="1">IFERROR(IF(VLOOKUP($A547,'Шаг2.Бланк заказа NEW'!$B$17:$N$201,13,0)="","",VLOOKUP($A547,'Шаг2.Бланк заказа NEW'!$B$17:$N$201,13,0)),
"Нет")</f>
        <v/>
      </c>
      <c r="Q547" s="147" t="str">
        <f ca="1">IFERROR(IF(VLOOKUP($A547,'Шаг2.Бланк заказа NEW'!$B$17:$O$201,14,0)="","",VLOOKUP($A547,'Шаг2.Бланк заказа NEW'!$B$17:$O$201,14,0)),"")</f>
        <v/>
      </c>
      <c r="R547" s="147" t="str">
        <f ca="1">IFERROR(IFERROR(IF(VLOOKUP($A547,'Шаг2.Бланк заказа NEW'!$B$17:$N$201,4,0)="","",VLOOKUP($A547,'Шаг2.Бланк заказа NEW'!$B$17:$N$201,4,0)),
IF(VLOOKUP($A547-COUNT('Шаг2.Бланк заказа NEW'!$B$19:$B$201),'Бланк OLD 0.8 04'!$B$12:$K$200,4,0)&gt;0,0.8,
IF(VLOOKUP($A547-COUNT('Шаг2.Бланк заказа NEW'!$B$19:$B$201),'Бланк OLD 0.8 04'!$B$12:$K$200,5,0)&gt;0,0.4,""))),
IF(VLOOKUP($A547-COUNT('Шаг2.Бланк заказа NEW'!$B$19:$B$201)-COUNT('Бланк OLD 0.8 04'!$B$18:$B$200),'Бланк OLD 2.0 04 '!$B$16:$K$200,4,0)&gt;0,2,IF(VLOOKUP($A547-COUNT('Шаг2.Бланк заказа NEW'!$B$19:$B$201)-COUNT('Бланк OLD 0.8 04'!$B$18:$B$200),'Бланк OLD 2.0 04 '!$B$16:$K$200,5,0)&gt;0,0.4,"")))</f>
        <v/>
      </c>
      <c r="S547" s="147" t="str">
        <f ca="1">IFERROR(IFERROR(IF(VLOOKUP($A547,'Шаг2.Бланк заказа NEW'!$B$17:$N$201,5,0)="","",VLOOKUP($A547,'Шаг2.Бланк заказа NEW'!$B$17:$N$201,5,0)),
IF(VLOOKUP($A547-COUNT('Шаг2.Бланк заказа NEW'!$B$19:$B$201),'Бланк OLD 0.8 04'!$B$12:$K$200,4,0)&gt;1,0.8,
IF(VLOOKUP($A547-COUNT('Шаг2.Бланк заказа NEW'!$B$19:$B$201),'Бланк OLD 0.8 04'!$B$12:$K$200,5,0)&gt;1,0.4,
IF(AND(VLOOKUP($A547-COUNT('Шаг2.Бланк заказа NEW'!$B$19:$B$201),'Бланк OLD 0.8 04'!$B$12:$K$200,4,0)&gt;0,VLOOKUP($A547-COUNT('Шаг2.Бланк заказа NEW'!$B$19:$B$201),'Бланк OLD 0.8 04'!$B$12:$K$200,5,0)&gt;0),0.4,"")))),
IF(VLOOKUP($A547-COUNT('Шаг2.Бланк заказа NEW'!$B$19:$B$201)-COUNT('Бланк OLD 0.8 04'!$B$18:$B$200),'Бланк OLD 2.0 04 '!$B$16:$K$200,4,0)&gt;1,2,
IF(VLOOKUP($A547-COUNT('Шаг2.Бланк заказа NEW'!$B$19:$B$201)-COUNT('Бланк OLD 0.8 04'!$B$18:$B$200),'Бланк OLD 2.0 04 '!$B$16:$K$200,5,0)&gt;1,0.4,IF(AND(VLOOKUP($A547-COUNT('Шаг2.Бланк заказа NEW'!$B$19:$B$201)-COUNT('Бланк OLD 0.8 04'!$B$18:$B$200),'Бланк OLD 2.0 04 '!$B$16:$K$200,4,0)&gt;0,VLOOKUP($A547-COUNT('Шаг2.Бланк заказа NEW'!$B$19:$B$201)-COUNT('Бланк OLD 0.8 04'!$B$18:$B$200),'Бланк OLD 2.0 04 '!$B$16:$K$200,5,0)&gt;0),0.4,""))))</f>
        <v/>
      </c>
      <c r="T547" s="147" t="str">
        <f ca="1">IFERROR(IFERROR(IF(VLOOKUP($A547,'Шаг2.Бланк заказа NEW'!$B$17:$N$201,7,0)="","",VLOOKUP($A547,'Шаг2.Бланк заказа NEW'!$B$17:$N$201,7,0)),
IF(VLOOKUP($A547-COUNT('Шаг2.Бланк заказа NEW'!$B$19:$B$201),'Бланк OLD 0.8 04'!$B$12:$K$200,7,0)&gt;0,0.8,
IF(VLOOKUP($A547-COUNT('Шаг2.Бланк заказа NEW'!$B$19:$B$201),'Бланк OLD 0.8 04'!$B$12:$K$200,8,0)&gt;0,0.4,""))),
IF(VLOOKUP($A547-COUNT('Шаг2.Бланк заказа NEW'!$B$19:$B$201)-COUNT('Бланк OLD 0.8 04'!$B$18:$B$200),'Бланк OLD 2.0 04 '!$B$16:$K$200,7,0)&gt;0,2,IF(VLOOKUP($A547-COUNT('Шаг2.Бланк заказа NEW'!$B$19:$B$201)-COUNT('Бланк OLD 0.8 04'!$B$18:$B$200),'Бланк OLD 2.0 04 '!$B$16:$K$200,8,0)&gt;0,0.4,"")))</f>
        <v/>
      </c>
      <c r="U547" s="147" t="str">
        <f ca="1">IFERROR(IFERROR(IF(VLOOKUP($A547,'Шаг2.Бланк заказа NEW'!$B$17:$N$201,8,0)="","",VLOOKUP($A547,'Шаг2.Бланк заказа NEW'!$B$17:$N$201,8,0)),
IF(VLOOKUP($A547-COUNT('Шаг2.Бланк заказа NEW'!$B$19:$B$201),'Бланк OLD 0.8 04'!$B$12:$K$200,7,0)&gt;1,0.8,
IF(VLOOKUP($A547-COUNT('Шаг2.Бланк заказа NEW'!$B$19:$B$201),'Бланк OLD 0.8 04'!$B$12:$K$200,8,0)&gt;1,0.4,
IF(AND(VLOOKUP($A547-COUNT('Шаг2.Бланк заказа NEW'!$B$19:$B$201),'Бланк OLD 0.8 04'!$B$12:$K$200,7,0)&gt;0,VLOOKUP($A547-COUNT('Шаг2.Бланк заказа NEW'!$B$19:$B$201),'Бланк OLD 0.8 04'!$B$12:$K$200,8,0)&gt;0),0.4,"")))),
IF(VLOOKUP($A547-COUNT('Шаг2.Бланк заказа NEW'!$B$19:$B$201)-COUNT('Бланк OLD 0.8 04'!$B$18:$B$200),'Бланк OLD 2.0 04 '!$B$16:$K$200,7,0)&gt;1,2,
IF(VLOOKUP($A547-COUNT('Шаг2.Бланк заказа NEW'!$B$19:$B$201)-COUNT('Бланк OLD 0.8 04'!$B$18:$B$200),'Бланк OLD 2.0 04 '!$B$16:$K$200,8,0)&gt;1,0.4,
IF(AND(VLOOKUP($A547-COUNT('Шаг2.Бланк заказа NEW'!$B$19:$B$201)-COUNT('Бланк OLD 0.8 04'!$B$18:$B$200),'Бланк OLD 2.0 04 '!$B$16:$K$200,7,0)&gt;0,VLOOKUP($A547-COUNT('Шаг2.Бланк заказа NEW'!$B$19:$B$201)-COUNT('Бланк OLD 0.8 04'!$B$18:$B$200),'Бланк OLD 2.0 04 '!$B$16:$K$200,8,0)&gt;0),0.4,""))))</f>
        <v/>
      </c>
      <c r="V547" s="146" t="str">
        <f ca="1">IFERROR(VLOOKUP(C547,'Шаг1.Выбор плиты'!C:S,12,0),"")</f>
        <v/>
      </c>
      <c r="W547" s="146" t="str">
        <f ca="1">IFERROR(VLOOKUP(C547,'Шаг1.Выбор плиты'!C:S,8,0),"")</f>
        <v/>
      </c>
      <c r="X547" s="146" t="str">
        <f ca="1">IFERROR(VLOOKUP(C547,'Шаг1.Выбор плиты'!C:S,10,0),"")</f>
        <v/>
      </c>
      <c r="Y547" s="147" t="str">
        <f t="shared" ca="1" si="51"/>
        <v/>
      </c>
      <c r="AD547" s="147" t="str">
        <f t="shared" ca="1" si="48"/>
        <v/>
      </c>
      <c r="AE547" s="147" t="str">
        <f t="shared" ca="1" si="52"/>
        <v/>
      </c>
      <c r="AF547" s="25"/>
      <c r="AH547" s="147" t="str">
        <f ca="1">IF(C547="","",VLOOKUP(C547,'Шаг1.Выбор плиты'!C:Q,7,0))</f>
        <v/>
      </c>
      <c r="AI547" s="147" t="str">
        <f t="shared" ca="1" si="50"/>
        <v/>
      </c>
    </row>
    <row r="548" spans="1:35" x14ac:dyDescent="0.2">
      <c r="A548" s="151" t="str">
        <f ca="1">IF(C548="","",MAX($A$1:OFFSET(C548,-1,0))+1)</f>
        <v/>
      </c>
      <c r="B548" s="151" t="str">
        <f ca="1">IFERROR(IFERROR(IFERROR("Шаг2.Бланк заказа NEW №"&amp;VLOOKUP(A547+1,CHOOSE({1,2},'Шаг2.Бланк заказа NEW'!$B$19:$B$201,'Шаг2.Бланк заказа NEW'!$A$19:$A$201),1,0),
"Бланк OLD 0.8 04 №"&amp;VLOOKUP(A547+1-COUNT('Шаг2.Бланк заказа NEW'!$B$19:$B$201),CHOOSE({1,2},'Бланк OLD 0.8 04'!$B$18:$B$200,'Бланк OLD 0.8 04'!$A$18:$A$200),1,0)),
"Бланк OLD 2.0 04 №"&amp;VLOOKUP(A547+1-COUNT('Шаг2.Бланк заказа NEW'!$B$19:$B$201)-COUNT('Бланк OLD 0.8 04'!$B$18:$B$200),CHOOSE({1,2},'Бланк OLD 2.0 04 '!$B$18:$B$200,'Бланк OLD 2.0 04 '!$A$18:$A$200),1,0)),"")</f>
        <v/>
      </c>
      <c r="C548" s="152" t="str">
        <f ca="1">IFERROR(IFERROR(IFERROR(VLOOKUP(A547+1,CHOOSE({1,2},'Шаг2.Бланк заказа NEW'!$B$19:$B$201,'Шаг2.Бланк заказа NEW'!$A$19:$A$201),2,0),
VLOOKUP(A547+1-COUNT('Шаг2.Бланк заказа NEW'!$B$19:$B$201),CHOOSE({1,2},'Бланк OLD 0.8 04'!$B$18:$B$200,'Бланк OLD 0.8 04'!$A$18:$A$200),2,0)),
VLOOKUP(A547+1-COUNT('Шаг2.Бланк заказа NEW'!$B$19:$B$201)-COUNT('Бланк OLD 0.8 04'!$B$18:$B$200),CHOOSE({1,2},'Бланк OLD 2.0 04 '!$B$18:$B$200,'Бланк OLD 2.0 04 '!$A$18:$A$200),2,0)),"")</f>
        <v/>
      </c>
      <c r="D548" s="150" t="str">
        <f ca="1">IFERROR(VLOOKUP(C548,'Шаг1.Выбор плиты'!C:G,5,0),"")</f>
        <v/>
      </c>
      <c r="E548" s="147" t="str">
        <f ca="1">IFERROR(IFERROR(IF(VLOOKUP($A548,'Шаг2.Бланк заказа NEW'!$B$17:$N$201,2,0)="","",VLOOKUP($A548,'Шаг2.Бланк заказа NEW'!$B$17:$N$201,2,0)),
IF(VLOOKUP($A548-COUNT('Шаг2.Бланк заказа NEW'!$B$19:$B$201),'Бланк OLD 0.8 04'!$B$12:$K$200,2,0)="","",VLOOKUP($A548-COUNT('Шаг2.Бланк заказа NEW'!$B$19:$B$201),'Бланк OLD 0.8 04'!$B$12:$K$200,2,0))),
IF(VLOOKUP($A548-COUNT('Шаг2.Бланк заказа NEW'!$B$19:$B$201)-COUNT('Бланк OLD 0.8 04'!$B$18:$B$200),'Бланк OLD 2.0 04 '!$B$16:$K$200,2,0)="","",VLOOKUP($A548-COUNT('Шаг2.Бланк заказа NEW'!$B$19:$B$201)-COUNT('Бланк OLD 0.8 04'!$B$18:$B$200),'Бланк OLD 2.0 04 '!$B$16:$K$200,2,0)))</f>
        <v/>
      </c>
      <c r="F548" s="147" t="str">
        <f ca="1">IFERROR(IFERROR(IF(VLOOKUP($A548,'Шаг2.Бланк заказа NEW'!$B$17:$N$201,3,0)="","",VLOOKUP($A548,'Шаг2.Бланк заказа NEW'!$B$17:$N$201,3,0)),
IF(VLOOKUP($A548-COUNT('Шаг2.Бланк заказа NEW'!$B$19:$B$201),'Бланк OLD 0.8 04'!$B$12:$K$200,3,0)="","",VLOOKUP($A548-COUNT('Шаг2.Бланк заказа NEW'!$B$19:$B$201),'Бланк OLD 0.8 04'!$B$12:$K$200,3,0))),
IF(VLOOKUP($A548-COUNT('Шаг2.Бланк заказа NEW'!$B$19:$B$201)-COUNT('Бланк OLD 0.8 04'!$B$18:$B$200),'Бланк OLD 2.0 04 '!$B$16:$K$200,3,0)="","",VLOOKUP($A548-COUNT('Шаг2.Бланк заказа NEW'!$B$19:$B$201)-COUNT('Бланк OLD 0.8 04'!$B$18:$B$200),'Бланк OLD 2.0 04 '!$B$16:$K$200,3,0)))</f>
        <v/>
      </c>
      <c r="G548" s="176" t="str">
        <f ca="1">IF(IF(R548="","",IF(R548=1,SUMIFS('Шаг1.Выбор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плиты'!C:Q,12,0)),1))))))=0,
R548,
IF(R548="","",IF(R548=1,SUMIFS('Шаг1.Выбор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плиты'!N:N,R548,'Шаг1.Выбор плиты'!M:M,SMALL(INDIRECT("мм"&amp;VLOOKUP(C548,'Шаг1.Выбор плиты'!C:Q,12,0)),1)))))))</f>
        <v/>
      </c>
      <c r="H548" s="177" t="str">
        <f ca="1">IF(IF(S548="","",IF(S548=1,SUMIFS('Шаг1.Выбор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плиты'!C:Q,12,0)),1))))))=0,
S548,
IF(S548="","",IF(S548=1,SUMIFS('Шаг1.Выбор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плиты'!N:N,S548,'Шаг1.Выбор плиты'!M:M,SMALL(INDIRECT("мм"&amp;VLOOKUP(C548,'Шаг1.Выбор плиты'!C:Q,12,0)),1)))))))</f>
        <v/>
      </c>
      <c r="I548" s="147" t="str">
        <f ca="1">IFERROR(IFERROR(IF(VLOOKUP($A548,'Шаг2.Бланк заказа NEW'!$B$17:$N$201,6,0)="","",VLOOKUP($A548,'Шаг2.Бланк заказа NEW'!$B$17:$N$201,6,0)),
IF(VLOOKUP($A548-COUNT('Шаг2.Бланк заказа NEW'!$B$19:$B$201),'Бланк OLD 0.8 04'!$B$12:$K$200,6,0)="","",VLOOKUP($A548-COUNT('Шаг2.Бланк заказа NEW'!$B$19:$B$201),'Бланк OLD 0.8 04'!$B$12:$K$200,6,0))),
IF(VLOOKUP($A548-COUNT('Шаг2.Бланк заказа NEW'!$B$19:$B$201)-COUNT('Бланк OLD 0.8 04'!$B$18:$B$200),'Бланк OLD 2.0 04 '!$B$16:$K$200,6,0)="","",VLOOKUP($A548-COUNT('Шаг2.Бланк заказа NEW'!$B$19:$B$201)-COUNT('Бланк OLD 0.8 04'!$B$18:$B$200),'Бланк OLD 2.0 04 '!$B$16:$K$200,6,0)))</f>
        <v/>
      </c>
      <c r="J548" s="177" t="str">
        <f ca="1">IF(IF(T548="","",IF(T548=1,SUMIFS('Шаг1.Выбор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плиты'!C:Q,12,0)),1))))))=0,
T548,
IF(T548="","",IF(T548=1,SUMIFS('Шаг1.Выбор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плиты'!N:N,T548,'Шаг1.Выбор плиты'!M:M,SMALL(INDIRECT("мм"&amp;VLOOKUP(C548,'Шаг1.Выбор плиты'!C:Q,12,0)),1)))))))</f>
        <v/>
      </c>
      <c r="K548" s="177" t="str">
        <f ca="1">IF(IF(U548="","",IF(U548=1,SUMIFS('Шаг1.Выбор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плиты'!C:Q,12,0)),1))))))=0,
U548,
IF(U548="","",IF(U548=1,SUMIFS('Шаг1.Выбор плиты'!$G:$G,'Шаг1.Выбор плиты'!J:J,"*"&amp;RIGHT(VLOOKUP(C548,'Шаг1.Выбор плиты'!C:Q,8,0),4),'Шаг1.Выбор плиты'!L:L,IF(MID(C548,1,6)="ЛДСП P","TM"&amp;MID(VLOOKUP(C548,'Шаг1.Выбор плиты'!C:Q,10,0),3,2),MID(VLOOKUP(C548,'Шаг1.Выбор плиты'!C:Q,10,0),1,2)),
'Шаг1.Выбор плиты'!N:N,1),IF(SUMIFS('Шаг1.Выбор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плиты'!C:Q,12,0)),1))=0,
IF(SUMIFS('Шаг1.Выбор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плиты'!C:Q,12,0)),2))=0,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плиты'!C:Q,12,0)),3)),
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плиты'!C:Q,12,0)),2))),
(SUMIFS('Шаг1.Выбор плиты'!$G:$G,'Шаг1.Выбор плиты'!J:J,"*"&amp;RIGHT(VLOOKUP(C548,'Шаг1.Выбор плиты'!C:Q,8,0),4),'Шаг1.Выбор плиты'!L:L,VLOOKUP(C548,'Шаг1.Выбор плиты'!C:Q,10,0),'Шаг1.Выбор плиты'!N:N,U548,'Шаг1.Выбор плиты'!M:M,SMALL(INDIRECT("мм"&amp;VLOOKUP(C548,'Шаг1.Выбор плиты'!C:Q,12,0)),1)))))))</f>
        <v/>
      </c>
      <c r="L548" s="147" t="str">
        <f ca="1">IFERROR(IFERROR(IF(VLOOKUP($A548,'Шаг2.Бланк заказа NEW'!$B$17:$N$201,9,0)="","",VLOOKUP($A548,'Шаг2.Бланк заказа NEW'!$B$17:$N$201,9,0)),
IF(VLOOKUP($A548-COUNT('Шаг2.Бланк заказа NEW'!$B$19:$B$201),'Бланк OLD 0.8 04'!$B$12:$K$200,9,0)="","",VLOOKUP($A548-COUNT('Шаг2.Бланк заказа NEW'!$B$19:$B$201),'Бланк OLD 0.8 04'!$B$12:$K$200,9,0))),
IF(VLOOKUP($A548-COUNT('Шаг2.Бланк заказа NEW'!$B$19:$B$201)-COUNT('Бланк OLD 0.8 04'!$B$18:$B$200),'Бланк OLD 2.0 04 '!$B$16:$K$200,9,0)="","",VLOOKUP($A548-COUNT('Шаг2.Бланк заказа NEW'!$B$19:$B$201)-COUNT('Бланк OLD 0.8 04'!$B$18:$B$200),'Бланк OLD 2.0 04 '!$B$16:$K$200,9,0)))</f>
        <v/>
      </c>
      <c r="M548" s="154" t="str">
        <f t="shared" ca="1" si="49"/>
        <v/>
      </c>
      <c r="N548" s="153" t="str">
        <f ca="1">IFERROR(IF(VLOOKUP($A548,'Шаг2.Бланк заказа NEW'!$B$17:$N$201,11,0)="","",VLOOKUP($A548,'Шаг2.Бланк заказа NEW'!$B$17:$N$201,11,0)),
"Нет")</f>
        <v/>
      </c>
      <c r="O548" s="147" t="str">
        <f ca="1">IFERROR(IF(VLOOKUP($A548,'Шаг2.Бланк заказа NEW'!$B$17:$N$201,11,0)="","",VLOOKUP($A548,'Шаг2.Бланк заказа NEW'!$B$17:$N$201,12,0)),
"Нет")</f>
        <v/>
      </c>
      <c r="P548" s="153" t="str">
        <f ca="1">IFERROR(IF(VLOOKUP($A548,'Шаг2.Бланк заказа NEW'!$B$17:$N$201,13,0)="","",VLOOKUP($A548,'Шаг2.Бланк заказа NEW'!$B$17:$N$201,13,0)),
"Нет")</f>
        <v/>
      </c>
      <c r="Q548" s="147" t="str">
        <f ca="1">IFERROR(IF(VLOOKUP($A548,'Шаг2.Бланк заказа NEW'!$B$17:$O$201,14,0)="","",VLOOKUP($A548,'Шаг2.Бланк заказа NEW'!$B$17:$O$201,14,0)),"")</f>
        <v/>
      </c>
      <c r="R548" s="147" t="str">
        <f ca="1">IFERROR(IFERROR(IF(VLOOKUP($A548,'Шаг2.Бланк заказа NEW'!$B$17:$N$201,4,0)="","",VLOOKUP($A548,'Шаг2.Бланк заказа NEW'!$B$17:$N$201,4,0)),
IF(VLOOKUP($A548-COUNT('Шаг2.Бланк заказа NEW'!$B$19:$B$201),'Бланк OLD 0.8 04'!$B$12:$K$200,4,0)&gt;0,0.8,
IF(VLOOKUP($A548-COUNT('Шаг2.Бланк заказа NEW'!$B$19:$B$201),'Бланк OLD 0.8 04'!$B$12:$K$200,5,0)&gt;0,0.4,""))),
IF(VLOOKUP($A548-COUNT('Шаг2.Бланк заказа NEW'!$B$19:$B$201)-COUNT('Бланк OLD 0.8 04'!$B$18:$B$200),'Бланк OLD 2.0 04 '!$B$16:$K$200,4,0)&gt;0,2,IF(VLOOKUP($A548-COUNT('Шаг2.Бланк заказа NEW'!$B$19:$B$201)-COUNT('Бланк OLD 0.8 04'!$B$18:$B$200),'Бланк OLD 2.0 04 '!$B$16:$K$200,5,0)&gt;0,0.4,"")))</f>
        <v/>
      </c>
      <c r="S548" s="147" t="str">
        <f ca="1">IFERROR(IFERROR(IF(VLOOKUP($A548,'Шаг2.Бланк заказа NEW'!$B$17:$N$201,5,0)="","",VLOOKUP($A548,'Шаг2.Бланк заказа NEW'!$B$17:$N$201,5,0)),
IF(VLOOKUP($A548-COUNT('Шаг2.Бланк заказа NEW'!$B$19:$B$201),'Бланк OLD 0.8 04'!$B$12:$K$200,4,0)&gt;1,0.8,
IF(VLOOKUP($A548-COUNT('Шаг2.Бланк заказа NEW'!$B$19:$B$201),'Бланк OLD 0.8 04'!$B$12:$K$200,5,0)&gt;1,0.4,
IF(AND(VLOOKUP($A548-COUNT('Шаг2.Бланк заказа NEW'!$B$19:$B$201),'Бланк OLD 0.8 04'!$B$12:$K$200,4,0)&gt;0,VLOOKUP($A548-COUNT('Шаг2.Бланк заказа NEW'!$B$19:$B$201),'Бланк OLD 0.8 04'!$B$12:$K$200,5,0)&gt;0),0.4,"")))),
IF(VLOOKUP($A548-COUNT('Шаг2.Бланк заказа NEW'!$B$19:$B$201)-COUNT('Бланк OLD 0.8 04'!$B$18:$B$200),'Бланк OLD 2.0 04 '!$B$16:$K$200,4,0)&gt;1,2,
IF(VLOOKUP($A548-COUNT('Шаг2.Бланк заказа NEW'!$B$19:$B$201)-COUNT('Бланк OLD 0.8 04'!$B$18:$B$200),'Бланк OLD 2.0 04 '!$B$16:$K$200,5,0)&gt;1,0.4,IF(AND(VLOOKUP($A548-COUNT('Шаг2.Бланк заказа NEW'!$B$19:$B$201)-COUNT('Бланк OLD 0.8 04'!$B$18:$B$200),'Бланк OLD 2.0 04 '!$B$16:$K$200,4,0)&gt;0,VLOOKUP($A548-COUNT('Шаг2.Бланк заказа NEW'!$B$19:$B$201)-COUNT('Бланк OLD 0.8 04'!$B$18:$B$200),'Бланк OLD 2.0 04 '!$B$16:$K$200,5,0)&gt;0),0.4,""))))</f>
        <v/>
      </c>
      <c r="T548" s="147" t="str">
        <f ca="1">IFERROR(IFERROR(IF(VLOOKUP($A548,'Шаг2.Бланк заказа NEW'!$B$17:$N$201,7,0)="","",VLOOKUP($A548,'Шаг2.Бланк заказа NEW'!$B$17:$N$201,7,0)),
IF(VLOOKUP($A548-COUNT('Шаг2.Бланк заказа NEW'!$B$19:$B$201),'Бланк OLD 0.8 04'!$B$12:$K$200,7,0)&gt;0,0.8,
IF(VLOOKUP($A548-COUNT('Шаг2.Бланк заказа NEW'!$B$19:$B$201),'Бланк OLD 0.8 04'!$B$12:$K$200,8,0)&gt;0,0.4,""))),
IF(VLOOKUP($A548-COUNT('Шаг2.Бланк заказа NEW'!$B$19:$B$201)-COUNT('Бланк OLD 0.8 04'!$B$18:$B$200),'Бланк OLD 2.0 04 '!$B$16:$K$200,7,0)&gt;0,2,IF(VLOOKUP($A548-COUNT('Шаг2.Бланк заказа NEW'!$B$19:$B$201)-COUNT('Бланк OLD 0.8 04'!$B$18:$B$200),'Бланк OLD 2.0 04 '!$B$16:$K$200,8,0)&gt;0,0.4,"")))</f>
        <v/>
      </c>
      <c r="U548" s="147" t="str">
        <f ca="1">IFERROR(IFERROR(IF(VLOOKUP($A548,'Шаг2.Бланк заказа NEW'!$B$17:$N$201,8,0)="","",VLOOKUP($A548,'Шаг2.Бланк заказа NEW'!$B$17:$N$201,8,0)),
IF(VLOOKUP($A548-COUNT('Шаг2.Бланк заказа NEW'!$B$19:$B$201),'Бланк OLD 0.8 04'!$B$12:$K$200,7,0)&gt;1,0.8,
IF(VLOOKUP($A548-COUNT('Шаг2.Бланк заказа NEW'!$B$19:$B$201),'Бланк OLD 0.8 04'!$B$12:$K$200,8,0)&gt;1,0.4,
IF(AND(VLOOKUP($A548-COUNT('Шаг2.Бланк заказа NEW'!$B$19:$B$201),'Бланк OLD 0.8 04'!$B$12:$K$200,7,0)&gt;0,VLOOKUP($A548-COUNT('Шаг2.Бланк заказа NEW'!$B$19:$B$201),'Бланк OLD 0.8 04'!$B$12:$K$200,8,0)&gt;0),0.4,"")))),
IF(VLOOKUP($A548-COUNT('Шаг2.Бланк заказа NEW'!$B$19:$B$201)-COUNT('Бланк OLD 0.8 04'!$B$18:$B$200),'Бланк OLD 2.0 04 '!$B$16:$K$200,7,0)&gt;1,2,
IF(VLOOKUP($A548-COUNT('Шаг2.Бланк заказа NEW'!$B$19:$B$201)-COUNT('Бланк OLD 0.8 04'!$B$18:$B$200),'Бланк OLD 2.0 04 '!$B$16:$K$200,8,0)&gt;1,0.4,
IF(AND(VLOOKUP($A548-COUNT('Шаг2.Бланк заказа NEW'!$B$19:$B$201)-COUNT('Бланк OLD 0.8 04'!$B$18:$B$200),'Бланк OLD 2.0 04 '!$B$16:$K$200,7,0)&gt;0,VLOOKUP($A548-COUNT('Шаг2.Бланк заказа NEW'!$B$19:$B$201)-COUNT('Бланк OLD 0.8 04'!$B$18:$B$200),'Бланк OLD 2.0 04 '!$B$16:$K$200,8,0)&gt;0),0.4,""))))</f>
        <v/>
      </c>
      <c r="V548" s="146" t="str">
        <f ca="1">IFERROR(VLOOKUP(C548,'Шаг1.Выбор плиты'!C:S,12,0),"")</f>
        <v/>
      </c>
      <c r="W548" s="146" t="str">
        <f ca="1">IFERROR(VLOOKUP(C548,'Шаг1.Выбор плиты'!C:S,8,0),"")</f>
        <v/>
      </c>
      <c r="X548" s="146" t="str">
        <f ca="1">IFERROR(VLOOKUP(C548,'Шаг1.Выбор плиты'!C:S,10,0),"")</f>
        <v/>
      </c>
      <c r="Y548" s="147" t="str">
        <f t="shared" ca="1" si="51"/>
        <v/>
      </c>
      <c r="AD548" s="147" t="str">
        <f t="shared" ca="1" si="48"/>
        <v/>
      </c>
      <c r="AE548" s="147" t="str">
        <f t="shared" ca="1" si="52"/>
        <v/>
      </c>
      <c r="AF548" s="25"/>
      <c r="AH548" s="147" t="str">
        <f ca="1">IF(C548="","",VLOOKUP(C548,'Шаг1.Выбор плиты'!C:Q,7,0))</f>
        <v/>
      </c>
      <c r="AI548" s="147" t="str">
        <f t="shared" ca="1" si="50"/>
        <v/>
      </c>
    </row>
    <row r="549" spans="1:35" x14ac:dyDescent="0.2">
      <c r="A549" s="151" t="str">
        <f ca="1">IF(C549="","",MAX($A$1:OFFSET(C549,-1,0))+1)</f>
        <v/>
      </c>
      <c r="B549" s="151" t="str">
        <f ca="1">IFERROR(IFERROR(IFERROR("Шаг2.Бланк заказа NEW №"&amp;VLOOKUP(A548+1,CHOOSE({1,2},'Шаг2.Бланк заказа NEW'!$B$19:$B$201,'Шаг2.Бланк заказа NEW'!$A$19:$A$201),1,0),
"Бланк OLD 0.8 04 №"&amp;VLOOKUP(A548+1-COUNT('Шаг2.Бланк заказа NEW'!$B$19:$B$201),CHOOSE({1,2},'Бланк OLD 0.8 04'!$B$18:$B$200,'Бланк OLD 0.8 04'!$A$18:$A$200),1,0)),
"Бланк OLD 2.0 04 №"&amp;VLOOKUP(A548+1-COUNT('Шаг2.Бланк заказа NEW'!$B$19:$B$201)-COUNT('Бланк OLD 0.8 04'!$B$18:$B$200),CHOOSE({1,2},'Бланк OLD 2.0 04 '!$B$18:$B$200,'Бланк OLD 2.0 04 '!$A$18:$A$200),1,0)),"")</f>
        <v/>
      </c>
      <c r="C549" s="152" t="str">
        <f ca="1">IFERROR(IFERROR(IFERROR(VLOOKUP(A548+1,CHOOSE({1,2},'Шаг2.Бланк заказа NEW'!$B$19:$B$201,'Шаг2.Бланк заказа NEW'!$A$19:$A$201),2,0),
VLOOKUP(A548+1-COUNT('Шаг2.Бланк заказа NEW'!$B$19:$B$201),CHOOSE({1,2},'Бланк OLD 0.8 04'!$B$18:$B$200,'Бланк OLD 0.8 04'!$A$18:$A$200),2,0)),
VLOOKUP(A548+1-COUNT('Шаг2.Бланк заказа NEW'!$B$19:$B$201)-COUNT('Бланк OLD 0.8 04'!$B$18:$B$200),CHOOSE({1,2},'Бланк OLD 2.0 04 '!$B$18:$B$200,'Бланк OLD 2.0 04 '!$A$18:$A$200),2,0)),"")</f>
        <v/>
      </c>
      <c r="D549" s="150" t="str">
        <f ca="1">IFERROR(VLOOKUP(C549,'Шаг1.Выбор плиты'!C:G,5,0),"")</f>
        <v/>
      </c>
      <c r="E549" s="147" t="str">
        <f ca="1">IFERROR(IFERROR(IF(VLOOKUP($A549,'Шаг2.Бланк заказа NEW'!$B$17:$N$201,2,0)="","",VLOOKUP($A549,'Шаг2.Бланк заказа NEW'!$B$17:$N$201,2,0)),
IF(VLOOKUP($A549-COUNT('Шаг2.Бланк заказа NEW'!$B$19:$B$201),'Бланк OLD 0.8 04'!$B$12:$K$200,2,0)="","",VLOOKUP($A549-COUNT('Шаг2.Бланк заказа NEW'!$B$19:$B$201),'Бланк OLD 0.8 04'!$B$12:$K$200,2,0))),
IF(VLOOKUP($A549-COUNT('Шаг2.Бланк заказа NEW'!$B$19:$B$201)-COUNT('Бланк OLD 0.8 04'!$B$18:$B$200),'Бланк OLD 2.0 04 '!$B$16:$K$200,2,0)="","",VLOOKUP($A549-COUNT('Шаг2.Бланк заказа NEW'!$B$19:$B$201)-COUNT('Бланк OLD 0.8 04'!$B$18:$B$200),'Бланк OLD 2.0 04 '!$B$16:$K$200,2,0)))</f>
        <v/>
      </c>
      <c r="F549" s="147" t="str">
        <f ca="1">IFERROR(IFERROR(IF(VLOOKUP($A549,'Шаг2.Бланк заказа NEW'!$B$17:$N$201,3,0)="","",VLOOKUP($A549,'Шаг2.Бланк заказа NEW'!$B$17:$N$201,3,0)),
IF(VLOOKUP($A549-COUNT('Шаг2.Бланк заказа NEW'!$B$19:$B$201),'Бланк OLD 0.8 04'!$B$12:$K$200,3,0)="","",VLOOKUP($A549-COUNT('Шаг2.Бланк заказа NEW'!$B$19:$B$201),'Бланк OLD 0.8 04'!$B$12:$K$200,3,0))),
IF(VLOOKUP($A549-COUNT('Шаг2.Бланк заказа NEW'!$B$19:$B$201)-COUNT('Бланк OLD 0.8 04'!$B$18:$B$200),'Бланк OLD 2.0 04 '!$B$16:$K$200,3,0)="","",VLOOKUP($A549-COUNT('Шаг2.Бланк заказа NEW'!$B$19:$B$201)-COUNT('Бланк OLD 0.8 04'!$B$18:$B$200),'Бланк OLD 2.0 04 '!$B$16:$K$200,3,0)))</f>
        <v/>
      </c>
      <c r="G549" s="176" t="str">
        <f ca="1">IF(IF(R549="","",IF(R549=1,SUMIFS('Шаг1.Выбор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плиты'!C:Q,12,0)),1))))))=0,
R549,
IF(R549="","",IF(R549=1,SUMIFS('Шаг1.Выбор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плиты'!N:N,R549,'Шаг1.Выбор плиты'!M:M,SMALL(INDIRECT("мм"&amp;VLOOKUP(C549,'Шаг1.Выбор плиты'!C:Q,12,0)),1)))))))</f>
        <v/>
      </c>
      <c r="H549" s="177" t="str">
        <f ca="1">IF(IF(S549="","",IF(S549=1,SUMIFS('Шаг1.Выбор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плиты'!C:Q,12,0)),1))))))=0,
S549,
IF(S549="","",IF(S549=1,SUMIFS('Шаг1.Выбор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плиты'!N:N,S549,'Шаг1.Выбор плиты'!M:M,SMALL(INDIRECT("мм"&amp;VLOOKUP(C549,'Шаг1.Выбор плиты'!C:Q,12,0)),1)))))))</f>
        <v/>
      </c>
      <c r="I549" s="147" t="str">
        <f ca="1">IFERROR(IFERROR(IF(VLOOKUP($A549,'Шаг2.Бланк заказа NEW'!$B$17:$N$201,6,0)="","",VLOOKUP($A549,'Шаг2.Бланк заказа NEW'!$B$17:$N$201,6,0)),
IF(VLOOKUP($A549-COUNT('Шаг2.Бланк заказа NEW'!$B$19:$B$201),'Бланк OLD 0.8 04'!$B$12:$K$200,6,0)="","",VLOOKUP($A549-COUNT('Шаг2.Бланк заказа NEW'!$B$19:$B$201),'Бланк OLD 0.8 04'!$B$12:$K$200,6,0))),
IF(VLOOKUP($A549-COUNT('Шаг2.Бланк заказа NEW'!$B$19:$B$201)-COUNT('Бланк OLD 0.8 04'!$B$18:$B$200),'Бланк OLD 2.0 04 '!$B$16:$K$200,6,0)="","",VLOOKUP($A549-COUNT('Шаг2.Бланк заказа NEW'!$B$19:$B$201)-COUNT('Бланк OLD 0.8 04'!$B$18:$B$200),'Бланк OLD 2.0 04 '!$B$16:$K$200,6,0)))</f>
        <v/>
      </c>
      <c r="J549" s="177" t="str">
        <f ca="1">IF(IF(T549="","",IF(T549=1,SUMIFS('Шаг1.Выбор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плиты'!C:Q,12,0)),1))))))=0,
T549,
IF(T549="","",IF(T549=1,SUMIFS('Шаг1.Выбор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плиты'!N:N,T549,'Шаг1.Выбор плиты'!M:M,SMALL(INDIRECT("мм"&amp;VLOOKUP(C549,'Шаг1.Выбор плиты'!C:Q,12,0)),1)))))))</f>
        <v/>
      </c>
      <c r="K549" s="177" t="str">
        <f ca="1">IF(IF(U549="","",IF(U549=1,SUMIFS('Шаг1.Выбор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плиты'!C:Q,12,0)),1))))))=0,
U549,
IF(U549="","",IF(U549=1,SUMIFS('Шаг1.Выбор плиты'!$G:$G,'Шаг1.Выбор плиты'!J:J,"*"&amp;RIGHT(VLOOKUP(C549,'Шаг1.Выбор плиты'!C:Q,8,0),4),'Шаг1.Выбор плиты'!L:L,IF(MID(C549,1,6)="ЛДСП P","TM"&amp;MID(VLOOKUP(C549,'Шаг1.Выбор плиты'!C:Q,10,0),3,2),MID(VLOOKUP(C549,'Шаг1.Выбор плиты'!C:Q,10,0),1,2)),
'Шаг1.Выбор плиты'!N:N,1),IF(SUMIFS('Шаг1.Выбор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плиты'!C:Q,12,0)),1))=0,
IF(SUMIFS('Шаг1.Выбор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плиты'!C:Q,12,0)),2))=0,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плиты'!C:Q,12,0)),3)),
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плиты'!C:Q,12,0)),2))),
(SUMIFS('Шаг1.Выбор плиты'!$G:$G,'Шаг1.Выбор плиты'!J:J,"*"&amp;RIGHT(VLOOKUP(C549,'Шаг1.Выбор плиты'!C:Q,8,0),4),'Шаг1.Выбор плиты'!L:L,VLOOKUP(C549,'Шаг1.Выбор плиты'!C:Q,10,0),'Шаг1.Выбор плиты'!N:N,U549,'Шаг1.Выбор плиты'!M:M,SMALL(INDIRECT("мм"&amp;VLOOKUP(C549,'Шаг1.Выбор плиты'!C:Q,12,0)),1)))))))</f>
        <v/>
      </c>
      <c r="L549" s="147" t="str">
        <f ca="1">IFERROR(IFERROR(IF(VLOOKUP($A549,'Шаг2.Бланк заказа NEW'!$B$17:$N$201,9,0)="","",VLOOKUP($A549,'Шаг2.Бланк заказа NEW'!$B$17:$N$201,9,0)),
IF(VLOOKUP($A549-COUNT('Шаг2.Бланк заказа NEW'!$B$19:$B$201),'Бланк OLD 0.8 04'!$B$12:$K$200,9,0)="","",VLOOKUP($A549-COUNT('Шаг2.Бланк заказа NEW'!$B$19:$B$201),'Бланк OLD 0.8 04'!$B$12:$K$200,9,0))),
IF(VLOOKUP($A549-COUNT('Шаг2.Бланк заказа NEW'!$B$19:$B$201)-COUNT('Бланк OLD 0.8 04'!$B$18:$B$200),'Бланк OLD 2.0 04 '!$B$16:$K$200,9,0)="","",VLOOKUP($A549-COUNT('Шаг2.Бланк заказа NEW'!$B$19:$B$201)-COUNT('Бланк OLD 0.8 04'!$B$18:$B$200),'Бланк OLD 2.0 04 '!$B$16:$K$200,9,0)))</f>
        <v/>
      </c>
      <c r="M549" s="154" t="str">
        <f t="shared" ca="1" si="49"/>
        <v/>
      </c>
      <c r="N549" s="153" t="str">
        <f ca="1">IFERROR(IF(VLOOKUP($A549,'Шаг2.Бланк заказа NEW'!$B$17:$N$201,11,0)="","",VLOOKUP($A549,'Шаг2.Бланк заказа NEW'!$B$17:$N$201,11,0)),
"Нет")</f>
        <v/>
      </c>
      <c r="O549" s="147" t="str">
        <f ca="1">IFERROR(IF(VLOOKUP($A549,'Шаг2.Бланк заказа NEW'!$B$17:$N$201,11,0)="","",VLOOKUP($A549,'Шаг2.Бланк заказа NEW'!$B$17:$N$201,12,0)),
"Нет")</f>
        <v/>
      </c>
      <c r="P549" s="153" t="str">
        <f ca="1">IFERROR(IF(VLOOKUP($A549,'Шаг2.Бланк заказа NEW'!$B$17:$N$201,13,0)="","",VLOOKUP($A549,'Шаг2.Бланк заказа NEW'!$B$17:$N$201,13,0)),
"Нет")</f>
        <v/>
      </c>
      <c r="Q549" s="147" t="str">
        <f ca="1">IFERROR(IF(VLOOKUP($A549,'Шаг2.Бланк заказа NEW'!$B$17:$O$201,14,0)="","",VLOOKUP($A549,'Шаг2.Бланк заказа NEW'!$B$17:$O$201,14,0)),"")</f>
        <v/>
      </c>
      <c r="R549" s="147" t="str">
        <f ca="1">IFERROR(IFERROR(IF(VLOOKUP($A549,'Шаг2.Бланк заказа NEW'!$B$17:$N$201,4,0)="","",VLOOKUP($A549,'Шаг2.Бланк заказа NEW'!$B$17:$N$201,4,0)),
IF(VLOOKUP($A549-COUNT('Шаг2.Бланк заказа NEW'!$B$19:$B$201),'Бланк OLD 0.8 04'!$B$12:$K$200,4,0)&gt;0,0.8,
IF(VLOOKUP($A549-COUNT('Шаг2.Бланк заказа NEW'!$B$19:$B$201),'Бланк OLD 0.8 04'!$B$12:$K$200,5,0)&gt;0,0.4,""))),
IF(VLOOKUP($A549-COUNT('Шаг2.Бланк заказа NEW'!$B$19:$B$201)-COUNT('Бланк OLD 0.8 04'!$B$18:$B$200),'Бланк OLD 2.0 04 '!$B$16:$K$200,4,0)&gt;0,2,IF(VLOOKUP($A549-COUNT('Шаг2.Бланк заказа NEW'!$B$19:$B$201)-COUNT('Бланк OLD 0.8 04'!$B$18:$B$200),'Бланк OLD 2.0 04 '!$B$16:$K$200,5,0)&gt;0,0.4,"")))</f>
        <v/>
      </c>
      <c r="S549" s="147" t="str">
        <f ca="1">IFERROR(IFERROR(IF(VLOOKUP($A549,'Шаг2.Бланк заказа NEW'!$B$17:$N$201,5,0)="","",VLOOKUP($A549,'Шаг2.Бланк заказа NEW'!$B$17:$N$201,5,0)),
IF(VLOOKUP($A549-COUNT('Шаг2.Бланк заказа NEW'!$B$19:$B$201),'Бланк OLD 0.8 04'!$B$12:$K$200,4,0)&gt;1,0.8,
IF(VLOOKUP($A549-COUNT('Шаг2.Бланк заказа NEW'!$B$19:$B$201),'Бланк OLD 0.8 04'!$B$12:$K$200,5,0)&gt;1,0.4,
IF(AND(VLOOKUP($A549-COUNT('Шаг2.Бланк заказа NEW'!$B$19:$B$201),'Бланк OLD 0.8 04'!$B$12:$K$200,4,0)&gt;0,VLOOKUP($A549-COUNT('Шаг2.Бланк заказа NEW'!$B$19:$B$201),'Бланк OLD 0.8 04'!$B$12:$K$200,5,0)&gt;0),0.4,"")))),
IF(VLOOKUP($A549-COUNT('Шаг2.Бланк заказа NEW'!$B$19:$B$201)-COUNT('Бланк OLD 0.8 04'!$B$18:$B$200),'Бланк OLD 2.0 04 '!$B$16:$K$200,4,0)&gt;1,2,
IF(VLOOKUP($A549-COUNT('Шаг2.Бланк заказа NEW'!$B$19:$B$201)-COUNT('Бланк OLD 0.8 04'!$B$18:$B$200),'Бланк OLD 2.0 04 '!$B$16:$K$200,5,0)&gt;1,0.4,IF(AND(VLOOKUP($A549-COUNT('Шаг2.Бланк заказа NEW'!$B$19:$B$201)-COUNT('Бланк OLD 0.8 04'!$B$18:$B$200),'Бланк OLD 2.0 04 '!$B$16:$K$200,4,0)&gt;0,VLOOKUP($A549-COUNT('Шаг2.Бланк заказа NEW'!$B$19:$B$201)-COUNT('Бланк OLD 0.8 04'!$B$18:$B$200),'Бланк OLD 2.0 04 '!$B$16:$K$200,5,0)&gt;0),0.4,""))))</f>
        <v/>
      </c>
      <c r="T549" s="147" t="str">
        <f ca="1">IFERROR(IFERROR(IF(VLOOKUP($A549,'Шаг2.Бланк заказа NEW'!$B$17:$N$201,7,0)="","",VLOOKUP($A549,'Шаг2.Бланк заказа NEW'!$B$17:$N$201,7,0)),
IF(VLOOKUP($A549-COUNT('Шаг2.Бланк заказа NEW'!$B$19:$B$201),'Бланк OLD 0.8 04'!$B$12:$K$200,7,0)&gt;0,0.8,
IF(VLOOKUP($A549-COUNT('Шаг2.Бланк заказа NEW'!$B$19:$B$201),'Бланк OLD 0.8 04'!$B$12:$K$200,8,0)&gt;0,0.4,""))),
IF(VLOOKUP($A549-COUNT('Шаг2.Бланк заказа NEW'!$B$19:$B$201)-COUNT('Бланк OLD 0.8 04'!$B$18:$B$200),'Бланк OLD 2.0 04 '!$B$16:$K$200,7,0)&gt;0,2,IF(VLOOKUP($A549-COUNT('Шаг2.Бланк заказа NEW'!$B$19:$B$201)-COUNT('Бланк OLD 0.8 04'!$B$18:$B$200),'Бланк OLD 2.0 04 '!$B$16:$K$200,8,0)&gt;0,0.4,"")))</f>
        <v/>
      </c>
      <c r="U549" s="147" t="str">
        <f ca="1">IFERROR(IFERROR(IF(VLOOKUP($A549,'Шаг2.Бланк заказа NEW'!$B$17:$N$201,8,0)="","",VLOOKUP($A549,'Шаг2.Бланк заказа NEW'!$B$17:$N$201,8,0)),
IF(VLOOKUP($A549-COUNT('Шаг2.Бланк заказа NEW'!$B$19:$B$201),'Бланк OLD 0.8 04'!$B$12:$K$200,7,0)&gt;1,0.8,
IF(VLOOKUP($A549-COUNT('Шаг2.Бланк заказа NEW'!$B$19:$B$201),'Бланк OLD 0.8 04'!$B$12:$K$200,8,0)&gt;1,0.4,
IF(AND(VLOOKUP($A549-COUNT('Шаг2.Бланк заказа NEW'!$B$19:$B$201),'Бланк OLD 0.8 04'!$B$12:$K$200,7,0)&gt;0,VLOOKUP($A549-COUNT('Шаг2.Бланк заказа NEW'!$B$19:$B$201),'Бланк OLD 0.8 04'!$B$12:$K$200,8,0)&gt;0),0.4,"")))),
IF(VLOOKUP($A549-COUNT('Шаг2.Бланк заказа NEW'!$B$19:$B$201)-COUNT('Бланк OLD 0.8 04'!$B$18:$B$200),'Бланк OLD 2.0 04 '!$B$16:$K$200,7,0)&gt;1,2,
IF(VLOOKUP($A549-COUNT('Шаг2.Бланк заказа NEW'!$B$19:$B$201)-COUNT('Бланк OLD 0.8 04'!$B$18:$B$200),'Бланк OLD 2.0 04 '!$B$16:$K$200,8,0)&gt;1,0.4,
IF(AND(VLOOKUP($A549-COUNT('Шаг2.Бланк заказа NEW'!$B$19:$B$201)-COUNT('Бланк OLD 0.8 04'!$B$18:$B$200),'Бланк OLD 2.0 04 '!$B$16:$K$200,7,0)&gt;0,VLOOKUP($A549-COUNT('Шаг2.Бланк заказа NEW'!$B$19:$B$201)-COUNT('Бланк OLD 0.8 04'!$B$18:$B$200),'Бланк OLD 2.0 04 '!$B$16:$K$200,8,0)&gt;0),0.4,""))))</f>
        <v/>
      </c>
      <c r="V549" s="146" t="str">
        <f ca="1">IFERROR(VLOOKUP(C549,'Шаг1.Выбор плиты'!C:S,12,0),"")</f>
        <v/>
      </c>
      <c r="W549" s="146" t="str">
        <f ca="1">IFERROR(VLOOKUP(C549,'Шаг1.Выбор плиты'!C:S,8,0),"")</f>
        <v/>
      </c>
      <c r="X549" s="146" t="str">
        <f ca="1">IFERROR(VLOOKUP(C549,'Шаг1.Выбор плиты'!C:S,10,0),"")</f>
        <v/>
      </c>
      <c r="Y549" s="147" t="str">
        <f t="shared" ca="1" si="51"/>
        <v/>
      </c>
      <c r="AD549" s="147" t="str">
        <f t="shared" ca="1" si="48"/>
        <v/>
      </c>
      <c r="AE549" s="147" t="str">
        <f t="shared" ca="1" si="52"/>
        <v/>
      </c>
      <c r="AF549" s="25"/>
      <c r="AH549" s="147" t="str">
        <f ca="1">IF(C549="","",VLOOKUP(C549,'Шаг1.Выбор плиты'!C:Q,7,0))</f>
        <v/>
      </c>
      <c r="AI549" s="147" t="str">
        <f t="shared" ca="1" si="50"/>
        <v/>
      </c>
    </row>
    <row r="550" spans="1:35" x14ac:dyDescent="0.2">
      <c r="A550" s="151" t="str">
        <f ca="1">IF(C550="","",MAX($A$1:OFFSET(C550,-1,0))+1)</f>
        <v/>
      </c>
      <c r="B550" s="151" t="str">
        <f ca="1">IFERROR(IFERROR(IFERROR("Шаг2.Бланк заказа NEW №"&amp;VLOOKUP(A549+1,CHOOSE({1,2},'Шаг2.Бланк заказа NEW'!$B$19:$B$201,'Шаг2.Бланк заказа NEW'!$A$19:$A$201),1,0),
"Бланк OLD 0.8 04 №"&amp;VLOOKUP(A549+1-COUNT('Шаг2.Бланк заказа NEW'!$B$19:$B$201),CHOOSE({1,2},'Бланк OLD 0.8 04'!$B$18:$B$200,'Бланк OLD 0.8 04'!$A$18:$A$200),1,0)),
"Бланк OLD 2.0 04 №"&amp;VLOOKUP(A549+1-COUNT('Шаг2.Бланк заказа NEW'!$B$19:$B$201)-COUNT('Бланк OLD 0.8 04'!$B$18:$B$200),CHOOSE({1,2},'Бланк OLD 2.0 04 '!$B$18:$B$200,'Бланк OLD 2.0 04 '!$A$18:$A$200),1,0)),"")</f>
        <v/>
      </c>
      <c r="C550" s="152" t="str">
        <f ca="1">IFERROR(IFERROR(IFERROR(VLOOKUP(A549+1,CHOOSE({1,2},'Шаг2.Бланк заказа NEW'!$B$19:$B$201,'Шаг2.Бланк заказа NEW'!$A$19:$A$201),2,0),
VLOOKUP(A549+1-COUNT('Шаг2.Бланк заказа NEW'!$B$19:$B$201),CHOOSE({1,2},'Бланк OLD 0.8 04'!$B$18:$B$200,'Бланк OLD 0.8 04'!$A$18:$A$200),2,0)),
VLOOKUP(A549+1-COUNT('Шаг2.Бланк заказа NEW'!$B$19:$B$201)-COUNT('Бланк OLD 0.8 04'!$B$18:$B$200),CHOOSE({1,2},'Бланк OLD 2.0 04 '!$B$18:$B$200,'Бланк OLD 2.0 04 '!$A$18:$A$200),2,0)),"")</f>
        <v/>
      </c>
      <c r="D550" s="150" t="str">
        <f ca="1">IFERROR(VLOOKUP(C550,'Шаг1.Выбор плиты'!C:G,5,0),"")</f>
        <v/>
      </c>
      <c r="E550" s="147" t="str">
        <f ca="1">IFERROR(IFERROR(IF(VLOOKUP($A550,'Шаг2.Бланк заказа NEW'!$B$17:$N$201,2,0)="","",VLOOKUP($A550,'Шаг2.Бланк заказа NEW'!$B$17:$N$201,2,0)),
IF(VLOOKUP($A550-COUNT('Шаг2.Бланк заказа NEW'!$B$19:$B$201),'Бланк OLD 0.8 04'!$B$12:$K$200,2,0)="","",VLOOKUP($A550-COUNT('Шаг2.Бланк заказа NEW'!$B$19:$B$201),'Бланк OLD 0.8 04'!$B$12:$K$200,2,0))),
IF(VLOOKUP($A550-COUNT('Шаг2.Бланк заказа NEW'!$B$19:$B$201)-COUNT('Бланк OLD 0.8 04'!$B$18:$B$200),'Бланк OLD 2.0 04 '!$B$16:$K$200,2,0)="","",VLOOKUP($A550-COUNT('Шаг2.Бланк заказа NEW'!$B$19:$B$201)-COUNT('Бланк OLD 0.8 04'!$B$18:$B$200),'Бланк OLD 2.0 04 '!$B$16:$K$200,2,0)))</f>
        <v/>
      </c>
      <c r="F550" s="147" t="str">
        <f ca="1">IFERROR(IFERROR(IF(VLOOKUP($A550,'Шаг2.Бланк заказа NEW'!$B$17:$N$201,3,0)="","",VLOOKUP($A550,'Шаг2.Бланк заказа NEW'!$B$17:$N$201,3,0)),
IF(VLOOKUP($A550-COUNT('Шаг2.Бланк заказа NEW'!$B$19:$B$201),'Бланк OLD 0.8 04'!$B$12:$K$200,3,0)="","",VLOOKUP($A550-COUNT('Шаг2.Бланк заказа NEW'!$B$19:$B$201),'Бланк OLD 0.8 04'!$B$12:$K$200,3,0))),
IF(VLOOKUP($A550-COUNT('Шаг2.Бланк заказа NEW'!$B$19:$B$201)-COUNT('Бланк OLD 0.8 04'!$B$18:$B$200),'Бланк OLD 2.0 04 '!$B$16:$K$200,3,0)="","",VLOOKUP($A550-COUNT('Шаг2.Бланк заказа NEW'!$B$19:$B$201)-COUNT('Бланк OLD 0.8 04'!$B$18:$B$200),'Бланк OLD 2.0 04 '!$B$16:$K$200,3,0)))</f>
        <v/>
      </c>
      <c r="G550" s="176" t="str">
        <f ca="1">IF(IF(R550="","",IF(R550=1,SUMIFS('Шаг1.Выбор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плиты'!C:Q,12,0)),1))))))=0,
R550,
IF(R550="","",IF(R550=1,SUMIFS('Шаг1.Выбор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плиты'!N:N,R550,'Шаг1.Выбор плиты'!M:M,SMALL(INDIRECT("мм"&amp;VLOOKUP(C550,'Шаг1.Выбор плиты'!C:Q,12,0)),1)))))))</f>
        <v/>
      </c>
      <c r="H550" s="177" t="str">
        <f ca="1">IF(IF(S550="","",IF(S550=1,SUMIFS('Шаг1.Выбор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плиты'!C:Q,12,0)),1))))))=0,
S550,
IF(S550="","",IF(S550=1,SUMIFS('Шаг1.Выбор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плиты'!N:N,S550,'Шаг1.Выбор плиты'!M:M,SMALL(INDIRECT("мм"&amp;VLOOKUP(C550,'Шаг1.Выбор плиты'!C:Q,12,0)),1)))))))</f>
        <v/>
      </c>
      <c r="I550" s="147" t="str">
        <f ca="1">IFERROR(IFERROR(IF(VLOOKUP($A550,'Шаг2.Бланк заказа NEW'!$B$17:$N$201,6,0)="","",VLOOKUP($A550,'Шаг2.Бланк заказа NEW'!$B$17:$N$201,6,0)),
IF(VLOOKUP($A550-COUNT('Шаг2.Бланк заказа NEW'!$B$19:$B$201),'Бланк OLD 0.8 04'!$B$12:$K$200,6,0)="","",VLOOKUP($A550-COUNT('Шаг2.Бланк заказа NEW'!$B$19:$B$201),'Бланк OLD 0.8 04'!$B$12:$K$200,6,0))),
IF(VLOOKUP($A550-COUNT('Шаг2.Бланк заказа NEW'!$B$19:$B$201)-COUNT('Бланк OLD 0.8 04'!$B$18:$B$200),'Бланк OLD 2.0 04 '!$B$16:$K$200,6,0)="","",VLOOKUP($A550-COUNT('Шаг2.Бланк заказа NEW'!$B$19:$B$201)-COUNT('Бланк OLD 0.8 04'!$B$18:$B$200),'Бланк OLD 2.0 04 '!$B$16:$K$200,6,0)))</f>
        <v/>
      </c>
      <c r="J550" s="177" t="str">
        <f ca="1">IF(IF(T550="","",IF(T550=1,SUMIFS('Шаг1.Выбор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плиты'!C:Q,12,0)),1))))))=0,
T550,
IF(T550="","",IF(T550=1,SUMIFS('Шаг1.Выбор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плиты'!N:N,T550,'Шаг1.Выбор плиты'!M:M,SMALL(INDIRECT("мм"&amp;VLOOKUP(C550,'Шаг1.Выбор плиты'!C:Q,12,0)),1)))))))</f>
        <v/>
      </c>
      <c r="K550" s="177" t="str">
        <f ca="1">IF(IF(U550="","",IF(U550=1,SUMIFS('Шаг1.Выбор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плиты'!C:Q,12,0)),1))))))=0,
U550,
IF(U550="","",IF(U550=1,SUMIFS('Шаг1.Выбор плиты'!$G:$G,'Шаг1.Выбор плиты'!J:J,"*"&amp;RIGHT(VLOOKUP(C550,'Шаг1.Выбор плиты'!C:Q,8,0),4),'Шаг1.Выбор плиты'!L:L,IF(MID(C550,1,6)="ЛДСП P","TM"&amp;MID(VLOOKUP(C550,'Шаг1.Выбор плиты'!C:Q,10,0),3,2),MID(VLOOKUP(C550,'Шаг1.Выбор плиты'!C:Q,10,0),1,2)),
'Шаг1.Выбор плиты'!N:N,1),IF(SUMIFS('Шаг1.Выбор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плиты'!C:Q,12,0)),1))=0,
IF(SUMIFS('Шаг1.Выбор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плиты'!C:Q,12,0)),2))=0,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плиты'!C:Q,12,0)),3)),
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плиты'!C:Q,12,0)),2))),
(SUMIFS('Шаг1.Выбор плиты'!$G:$G,'Шаг1.Выбор плиты'!J:J,"*"&amp;RIGHT(VLOOKUP(C550,'Шаг1.Выбор плиты'!C:Q,8,0),4),'Шаг1.Выбор плиты'!L:L,VLOOKUP(C550,'Шаг1.Выбор плиты'!C:Q,10,0),'Шаг1.Выбор плиты'!N:N,U550,'Шаг1.Выбор плиты'!M:M,SMALL(INDIRECT("мм"&amp;VLOOKUP(C550,'Шаг1.Выбор плиты'!C:Q,12,0)),1)))))))</f>
        <v/>
      </c>
      <c r="L550" s="147" t="str">
        <f ca="1">IFERROR(IFERROR(IF(VLOOKUP($A550,'Шаг2.Бланк заказа NEW'!$B$17:$N$201,9,0)="","",VLOOKUP($A550,'Шаг2.Бланк заказа NEW'!$B$17:$N$201,9,0)),
IF(VLOOKUP($A550-COUNT('Шаг2.Бланк заказа NEW'!$B$19:$B$201),'Бланк OLD 0.8 04'!$B$12:$K$200,9,0)="","",VLOOKUP($A550-COUNT('Шаг2.Бланк заказа NEW'!$B$19:$B$201),'Бланк OLD 0.8 04'!$B$12:$K$200,9,0))),
IF(VLOOKUP($A550-COUNT('Шаг2.Бланк заказа NEW'!$B$19:$B$201)-COUNT('Бланк OLD 0.8 04'!$B$18:$B$200),'Бланк OLD 2.0 04 '!$B$16:$K$200,9,0)="","",VLOOKUP($A550-COUNT('Шаг2.Бланк заказа NEW'!$B$19:$B$201)-COUNT('Бланк OLD 0.8 04'!$B$18:$B$200),'Бланк OLD 2.0 04 '!$B$16:$K$200,9,0)))</f>
        <v/>
      </c>
      <c r="M550" s="154" t="str">
        <f t="shared" ca="1" si="49"/>
        <v/>
      </c>
      <c r="N550" s="153" t="str">
        <f ca="1">IFERROR(IF(VLOOKUP($A550,'Шаг2.Бланк заказа NEW'!$B$17:$N$201,11,0)="","",VLOOKUP($A550,'Шаг2.Бланк заказа NEW'!$B$17:$N$201,11,0)),
"Нет")</f>
        <v/>
      </c>
      <c r="O550" s="147" t="str">
        <f ca="1">IFERROR(IF(VLOOKUP($A550,'Шаг2.Бланк заказа NEW'!$B$17:$N$201,11,0)="","",VLOOKUP($A550,'Шаг2.Бланк заказа NEW'!$B$17:$N$201,12,0)),
"Нет")</f>
        <v/>
      </c>
      <c r="P550" s="153" t="str">
        <f ca="1">IFERROR(IF(VLOOKUP($A550,'Шаг2.Бланк заказа NEW'!$B$17:$N$201,13,0)="","",VLOOKUP($A550,'Шаг2.Бланк заказа NEW'!$B$17:$N$201,13,0)),
"Нет")</f>
        <v/>
      </c>
      <c r="Q550" s="147" t="str">
        <f ca="1">IFERROR(IF(VLOOKUP($A550,'Шаг2.Бланк заказа NEW'!$B$17:$O$201,14,0)="","",VLOOKUP($A550,'Шаг2.Бланк заказа NEW'!$B$17:$O$201,14,0)),"")</f>
        <v/>
      </c>
      <c r="R550" s="147" t="str">
        <f ca="1">IFERROR(IFERROR(IF(VLOOKUP($A550,'Шаг2.Бланк заказа NEW'!$B$17:$N$201,4,0)="","",VLOOKUP($A550,'Шаг2.Бланк заказа NEW'!$B$17:$N$201,4,0)),
IF(VLOOKUP($A550-COUNT('Шаг2.Бланк заказа NEW'!$B$19:$B$201),'Бланк OLD 0.8 04'!$B$12:$K$200,4,0)&gt;0,0.8,
IF(VLOOKUP($A550-COUNT('Шаг2.Бланк заказа NEW'!$B$19:$B$201),'Бланк OLD 0.8 04'!$B$12:$K$200,5,0)&gt;0,0.4,""))),
IF(VLOOKUP($A550-COUNT('Шаг2.Бланк заказа NEW'!$B$19:$B$201)-COUNT('Бланк OLD 0.8 04'!$B$18:$B$200),'Бланк OLD 2.0 04 '!$B$16:$K$200,4,0)&gt;0,2,IF(VLOOKUP($A550-COUNT('Шаг2.Бланк заказа NEW'!$B$19:$B$201)-COUNT('Бланк OLD 0.8 04'!$B$18:$B$200),'Бланк OLD 2.0 04 '!$B$16:$K$200,5,0)&gt;0,0.4,"")))</f>
        <v/>
      </c>
      <c r="S550" s="147" t="str">
        <f ca="1">IFERROR(IFERROR(IF(VLOOKUP($A550,'Шаг2.Бланк заказа NEW'!$B$17:$N$201,5,0)="","",VLOOKUP($A550,'Шаг2.Бланк заказа NEW'!$B$17:$N$201,5,0)),
IF(VLOOKUP($A550-COUNT('Шаг2.Бланк заказа NEW'!$B$19:$B$201),'Бланк OLD 0.8 04'!$B$12:$K$200,4,0)&gt;1,0.8,
IF(VLOOKUP($A550-COUNT('Шаг2.Бланк заказа NEW'!$B$19:$B$201),'Бланк OLD 0.8 04'!$B$12:$K$200,5,0)&gt;1,0.4,
IF(AND(VLOOKUP($A550-COUNT('Шаг2.Бланк заказа NEW'!$B$19:$B$201),'Бланк OLD 0.8 04'!$B$12:$K$200,4,0)&gt;0,VLOOKUP($A550-COUNT('Шаг2.Бланк заказа NEW'!$B$19:$B$201),'Бланк OLD 0.8 04'!$B$12:$K$200,5,0)&gt;0),0.4,"")))),
IF(VLOOKUP($A550-COUNT('Шаг2.Бланк заказа NEW'!$B$19:$B$201)-COUNT('Бланк OLD 0.8 04'!$B$18:$B$200),'Бланк OLD 2.0 04 '!$B$16:$K$200,4,0)&gt;1,2,
IF(VLOOKUP($A550-COUNT('Шаг2.Бланк заказа NEW'!$B$19:$B$201)-COUNT('Бланк OLD 0.8 04'!$B$18:$B$200),'Бланк OLD 2.0 04 '!$B$16:$K$200,5,0)&gt;1,0.4,IF(AND(VLOOKUP($A550-COUNT('Шаг2.Бланк заказа NEW'!$B$19:$B$201)-COUNT('Бланк OLD 0.8 04'!$B$18:$B$200),'Бланк OLD 2.0 04 '!$B$16:$K$200,4,0)&gt;0,VLOOKUP($A550-COUNT('Шаг2.Бланк заказа NEW'!$B$19:$B$201)-COUNT('Бланк OLD 0.8 04'!$B$18:$B$200),'Бланк OLD 2.0 04 '!$B$16:$K$200,5,0)&gt;0),0.4,""))))</f>
        <v/>
      </c>
      <c r="T550" s="147" t="str">
        <f ca="1">IFERROR(IFERROR(IF(VLOOKUP($A550,'Шаг2.Бланк заказа NEW'!$B$17:$N$201,7,0)="","",VLOOKUP($A550,'Шаг2.Бланк заказа NEW'!$B$17:$N$201,7,0)),
IF(VLOOKUP($A550-COUNT('Шаг2.Бланк заказа NEW'!$B$19:$B$201),'Бланк OLD 0.8 04'!$B$12:$K$200,7,0)&gt;0,0.8,
IF(VLOOKUP($A550-COUNT('Шаг2.Бланк заказа NEW'!$B$19:$B$201),'Бланк OLD 0.8 04'!$B$12:$K$200,8,0)&gt;0,0.4,""))),
IF(VLOOKUP($A550-COUNT('Шаг2.Бланк заказа NEW'!$B$19:$B$201)-COUNT('Бланк OLD 0.8 04'!$B$18:$B$200),'Бланк OLD 2.0 04 '!$B$16:$K$200,7,0)&gt;0,2,IF(VLOOKUP($A550-COUNT('Шаг2.Бланк заказа NEW'!$B$19:$B$201)-COUNT('Бланк OLD 0.8 04'!$B$18:$B$200),'Бланк OLD 2.0 04 '!$B$16:$K$200,8,0)&gt;0,0.4,"")))</f>
        <v/>
      </c>
      <c r="U550" s="147" t="str">
        <f ca="1">IFERROR(IFERROR(IF(VLOOKUP($A550,'Шаг2.Бланк заказа NEW'!$B$17:$N$201,8,0)="","",VLOOKUP($A550,'Шаг2.Бланк заказа NEW'!$B$17:$N$201,8,0)),
IF(VLOOKUP($A550-COUNT('Шаг2.Бланк заказа NEW'!$B$19:$B$201),'Бланк OLD 0.8 04'!$B$12:$K$200,7,0)&gt;1,0.8,
IF(VLOOKUP($A550-COUNT('Шаг2.Бланк заказа NEW'!$B$19:$B$201),'Бланк OLD 0.8 04'!$B$12:$K$200,8,0)&gt;1,0.4,
IF(AND(VLOOKUP($A550-COUNT('Шаг2.Бланк заказа NEW'!$B$19:$B$201),'Бланк OLD 0.8 04'!$B$12:$K$200,7,0)&gt;0,VLOOKUP($A550-COUNT('Шаг2.Бланк заказа NEW'!$B$19:$B$201),'Бланк OLD 0.8 04'!$B$12:$K$200,8,0)&gt;0),0.4,"")))),
IF(VLOOKUP($A550-COUNT('Шаг2.Бланк заказа NEW'!$B$19:$B$201)-COUNT('Бланк OLD 0.8 04'!$B$18:$B$200),'Бланк OLD 2.0 04 '!$B$16:$K$200,7,0)&gt;1,2,
IF(VLOOKUP($A550-COUNT('Шаг2.Бланк заказа NEW'!$B$19:$B$201)-COUNT('Бланк OLD 0.8 04'!$B$18:$B$200),'Бланк OLD 2.0 04 '!$B$16:$K$200,8,0)&gt;1,0.4,
IF(AND(VLOOKUP($A550-COUNT('Шаг2.Бланк заказа NEW'!$B$19:$B$201)-COUNT('Бланк OLD 0.8 04'!$B$18:$B$200),'Бланк OLD 2.0 04 '!$B$16:$K$200,7,0)&gt;0,VLOOKUP($A550-COUNT('Шаг2.Бланк заказа NEW'!$B$19:$B$201)-COUNT('Бланк OLD 0.8 04'!$B$18:$B$200),'Бланк OLD 2.0 04 '!$B$16:$K$200,8,0)&gt;0),0.4,""))))</f>
        <v/>
      </c>
      <c r="V550" s="146" t="str">
        <f ca="1">IFERROR(VLOOKUP(C550,'Шаг1.Выбор плиты'!C:S,12,0),"")</f>
        <v/>
      </c>
      <c r="W550" s="146" t="str">
        <f ca="1">IFERROR(VLOOKUP(C550,'Шаг1.Выбор плиты'!C:S,8,0),"")</f>
        <v/>
      </c>
      <c r="X550" s="146" t="str">
        <f ca="1">IFERROR(VLOOKUP(C550,'Шаг1.Выбор плиты'!C:S,10,0),"")</f>
        <v/>
      </c>
      <c r="Y550" s="147" t="str">
        <f t="shared" ca="1" si="51"/>
        <v/>
      </c>
      <c r="AD550" s="147" t="str">
        <f t="shared" ca="1" si="48"/>
        <v/>
      </c>
      <c r="AE550" s="147" t="str">
        <f t="shared" ca="1" si="52"/>
        <v/>
      </c>
      <c r="AF550" s="25"/>
      <c r="AH550" s="147" t="str">
        <f ca="1">IF(C550="","",VLOOKUP(C550,'Шаг1.Выбор плиты'!C:Q,7,0))</f>
        <v/>
      </c>
      <c r="AI550" s="147" t="str">
        <f t="shared" ca="1" si="50"/>
        <v/>
      </c>
    </row>
    <row r="551" spans="1:35" x14ac:dyDescent="0.2">
      <c r="A551" s="151" t="str">
        <f ca="1">IF(C551="","",MAX($A$1:OFFSET(C551,-1,0))+1)</f>
        <v/>
      </c>
      <c r="B551" s="151" t="str">
        <f ca="1">IFERROR(IFERROR(IFERROR("Шаг2.Бланк заказа NEW №"&amp;VLOOKUP(A550+1,CHOOSE({1,2},'Шаг2.Бланк заказа NEW'!$B$19:$B$201,'Шаг2.Бланк заказа NEW'!$A$19:$A$201),1,0),
"Бланк OLD 0.8 04 №"&amp;VLOOKUP(A550+1-COUNT('Шаг2.Бланк заказа NEW'!$B$19:$B$201),CHOOSE({1,2},'Бланк OLD 0.8 04'!$B$18:$B$200,'Бланк OLD 0.8 04'!$A$18:$A$200),1,0)),
"Бланк OLD 2.0 04 №"&amp;VLOOKUP(A550+1-COUNT('Шаг2.Бланк заказа NEW'!$B$19:$B$201)-COUNT('Бланк OLD 0.8 04'!$B$18:$B$200),CHOOSE({1,2},'Бланк OLD 2.0 04 '!$B$18:$B$200,'Бланк OLD 2.0 04 '!$A$18:$A$200),1,0)),"")</f>
        <v/>
      </c>
      <c r="C551" s="152" t="str">
        <f ca="1">IFERROR(IFERROR(IFERROR(VLOOKUP(A550+1,CHOOSE({1,2},'Шаг2.Бланк заказа NEW'!$B$19:$B$201,'Шаг2.Бланк заказа NEW'!$A$19:$A$201),2,0),
VLOOKUP(A550+1-COUNT('Шаг2.Бланк заказа NEW'!$B$19:$B$201),CHOOSE({1,2},'Бланк OLD 0.8 04'!$B$18:$B$200,'Бланк OLD 0.8 04'!$A$18:$A$200),2,0)),
VLOOKUP(A550+1-COUNT('Шаг2.Бланк заказа NEW'!$B$19:$B$201)-COUNT('Бланк OLD 0.8 04'!$B$18:$B$200),CHOOSE({1,2},'Бланк OLD 2.0 04 '!$B$18:$B$200,'Бланк OLD 2.0 04 '!$A$18:$A$200),2,0)),"")</f>
        <v/>
      </c>
      <c r="D551" s="150" t="str">
        <f ca="1">IFERROR(VLOOKUP(C551,'Шаг1.Выбор плиты'!C:G,5,0),"")</f>
        <v/>
      </c>
      <c r="E551" s="147" t="str">
        <f ca="1">IFERROR(IFERROR(IF(VLOOKUP($A551,'Шаг2.Бланк заказа NEW'!$B$17:$N$201,2,0)="","",VLOOKUP($A551,'Шаг2.Бланк заказа NEW'!$B$17:$N$201,2,0)),
IF(VLOOKUP($A551-COUNT('Шаг2.Бланк заказа NEW'!$B$19:$B$201),'Бланк OLD 0.8 04'!$B$12:$K$200,2,0)="","",VLOOKUP($A551-COUNT('Шаг2.Бланк заказа NEW'!$B$19:$B$201),'Бланк OLD 0.8 04'!$B$12:$K$200,2,0))),
IF(VLOOKUP($A551-COUNT('Шаг2.Бланк заказа NEW'!$B$19:$B$201)-COUNT('Бланк OLD 0.8 04'!$B$18:$B$200),'Бланк OLD 2.0 04 '!$B$16:$K$200,2,0)="","",VLOOKUP($A551-COUNT('Шаг2.Бланк заказа NEW'!$B$19:$B$201)-COUNT('Бланк OLD 0.8 04'!$B$18:$B$200),'Бланк OLD 2.0 04 '!$B$16:$K$200,2,0)))</f>
        <v/>
      </c>
      <c r="F551" s="147" t="str">
        <f ca="1">IFERROR(IFERROR(IF(VLOOKUP($A551,'Шаг2.Бланк заказа NEW'!$B$17:$N$201,3,0)="","",VLOOKUP($A551,'Шаг2.Бланк заказа NEW'!$B$17:$N$201,3,0)),
IF(VLOOKUP($A551-COUNT('Шаг2.Бланк заказа NEW'!$B$19:$B$201),'Бланк OLD 0.8 04'!$B$12:$K$200,3,0)="","",VLOOKUP($A551-COUNT('Шаг2.Бланк заказа NEW'!$B$19:$B$201),'Бланк OLD 0.8 04'!$B$12:$K$200,3,0))),
IF(VLOOKUP($A551-COUNT('Шаг2.Бланк заказа NEW'!$B$19:$B$201)-COUNT('Бланк OLD 0.8 04'!$B$18:$B$200),'Бланк OLD 2.0 04 '!$B$16:$K$200,3,0)="","",VLOOKUP($A551-COUNT('Шаг2.Бланк заказа NEW'!$B$19:$B$201)-COUNT('Бланк OLD 0.8 04'!$B$18:$B$200),'Бланк OLD 2.0 04 '!$B$16:$K$200,3,0)))</f>
        <v/>
      </c>
      <c r="G551" s="176" t="str">
        <f ca="1">IF(IF(R551="","",IF(R551=1,SUMIFS('Шаг1.Выбор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плиты'!C:Q,12,0)),1))))))=0,
R551,
IF(R551="","",IF(R551=1,SUMIFS('Шаг1.Выбор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плиты'!N:N,R551,'Шаг1.Выбор плиты'!M:M,SMALL(INDIRECT("мм"&amp;VLOOKUP(C551,'Шаг1.Выбор плиты'!C:Q,12,0)),1)))))))</f>
        <v/>
      </c>
      <c r="H551" s="177" t="str">
        <f ca="1">IF(IF(S551="","",IF(S551=1,SUMIFS('Шаг1.Выбор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плиты'!C:Q,12,0)),1))))))=0,
S551,
IF(S551="","",IF(S551=1,SUMIFS('Шаг1.Выбор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плиты'!N:N,S551,'Шаг1.Выбор плиты'!M:M,SMALL(INDIRECT("мм"&amp;VLOOKUP(C551,'Шаг1.Выбор плиты'!C:Q,12,0)),1)))))))</f>
        <v/>
      </c>
      <c r="I551" s="147" t="str">
        <f ca="1">IFERROR(IFERROR(IF(VLOOKUP($A551,'Шаг2.Бланк заказа NEW'!$B$17:$N$201,6,0)="","",VLOOKUP($A551,'Шаг2.Бланк заказа NEW'!$B$17:$N$201,6,0)),
IF(VLOOKUP($A551-COUNT('Шаг2.Бланк заказа NEW'!$B$19:$B$201),'Бланк OLD 0.8 04'!$B$12:$K$200,6,0)="","",VLOOKUP($A551-COUNT('Шаг2.Бланк заказа NEW'!$B$19:$B$201),'Бланк OLD 0.8 04'!$B$12:$K$200,6,0))),
IF(VLOOKUP($A551-COUNT('Шаг2.Бланк заказа NEW'!$B$19:$B$201)-COUNT('Бланк OLD 0.8 04'!$B$18:$B$200),'Бланк OLD 2.0 04 '!$B$16:$K$200,6,0)="","",VLOOKUP($A551-COUNT('Шаг2.Бланк заказа NEW'!$B$19:$B$201)-COUNT('Бланк OLD 0.8 04'!$B$18:$B$200),'Бланк OLD 2.0 04 '!$B$16:$K$200,6,0)))</f>
        <v/>
      </c>
      <c r="J551" s="177" t="str">
        <f ca="1">IF(IF(T551="","",IF(T551=1,SUMIFS('Шаг1.Выбор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плиты'!C:Q,12,0)),1))))))=0,
T551,
IF(T551="","",IF(T551=1,SUMIFS('Шаг1.Выбор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плиты'!N:N,T551,'Шаг1.Выбор плиты'!M:M,SMALL(INDIRECT("мм"&amp;VLOOKUP(C551,'Шаг1.Выбор плиты'!C:Q,12,0)),1)))))))</f>
        <v/>
      </c>
      <c r="K551" s="177" t="str">
        <f ca="1">IF(IF(U551="","",IF(U551=1,SUMIFS('Шаг1.Выбор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плиты'!C:Q,12,0)),1))))))=0,
U551,
IF(U551="","",IF(U551=1,SUMIFS('Шаг1.Выбор плиты'!$G:$G,'Шаг1.Выбор плиты'!J:J,"*"&amp;RIGHT(VLOOKUP(C551,'Шаг1.Выбор плиты'!C:Q,8,0),4),'Шаг1.Выбор плиты'!L:L,IF(MID(C551,1,6)="ЛДСП P","TM"&amp;MID(VLOOKUP(C551,'Шаг1.Выбор плиты'!C:Q,10,0),3,2),MID(VLOOKUP(C551,'Шаг1.Выбор плиты'!C:Q,10,0),1,2)),
'Шаг1.Выбор плиты'!N:N,1),IF(SUMIFS('Шаг1.Выбор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плиты'!C:Q,12,0)),1))=0,
IF(SUMIFS('Шаг1.Выбор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плиты'!C:Q,12,0)),2))=0,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плиты'!C:Q,12,0)),3)),
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плиты'!C:Q,12,0)),2))),
(SUMIFS('Шаг1.Выбор плиты'!$G:$G,'Шаг1.Выбор плиты'!J:J,"*"&amp;RIGHT(VLOOKUP(C551,'Шаг1.Выбор плиты'!C:Q,8,0),4),'Шаг1.Выбор плиты'!L:L,VLOOKUP(C551,'Шаг1.Выбор плиты'!C:Q,10,0),'Шаг1.Выбор плиты'!N:N,U551,'Шаг1.Выбор плиты'!M:M,SMALL(INDIRECT("мм"&amp;VLOOKUP(C551,'Шаг1.Выбор плиты'!C:Q,12,0)),1)))))))</f>
        <v/>
      </c>
      <c r="L551" s="147" t="str">
        <f ca="1">IFERROR(IFERROR(IF(VLOOKUP($A551,'Шаг2.Бланк заказа NEW'!$B$17:$N$201,9,0)="","",VLOOKUP($A551,'Шаг2.Бланк заказа NEW'!$B$17:$N$201,9,0)),
IF(VLOOKUP($A551-COUNT('Шаг2.Бланк заказа NEW'!$B$19:$B$201),'Бланк OLD 0.8 04'!$B$12:$K$200,9,0)="","",VLOOKUP($A551-COUNT('Шаг2.Бланк заказа NEW'!$B$19:$B$201),'Бланк OLD 0.8 04'!$B$12:$K$200,9,0))),
IF(VLOOKUP($A551-COUNT('Шаг2.Бланк заказа NEW'!$B$19:$B$201)-COUNT('Бланк OLD 0.8 04'!$B$18:$B$200),'Бланк OLD 2.0 04 '!$B$16:$K$200,9,0)="","",VLOOKUP($A551-COUNT('Шаг2.Бланк заказа NEW'!$B$19:$B$201)-COUNT('Бланк OLD 0.8 04'!$B$18:$B$200),'Бланк OLD 2.0 04 '!$B$16:$K$200,9,0)))</f>
        <v/>
      </c>
      <c r="M551" s="154" t="str">
        <f t="shared" ca="1" si="49"/>
        <v/>
      </c>
      <c r="N551" s="153" t="str">
        <f ca="1">IFERROR(IF(VLOOKUP($A551,'Шаг2.Бланк заказа NEW'!$B$17:$N$201,11,0)="","",VLOOKUP($A551,'Шаг2.Бланк заказа NEW'!$B$17:$N$201,11,0)),
"Нет")</f>
        <v/>
      </c>
      <c r="O551" s="147" t="str">
        <f ca="1">IFERROR(IF(VLOOKUP($A551,'Шаг2.Бланк заказа NEW'!$B$17:$N$201,11,0)="","",VLOOKUP($A551,'Шаг2.Бланк заказа NEW'!$B$17:$N$201,12,0)),
"Нет")</f>
        <v/>
      </c>
      <c r="P551" s="153" t="str">
        <f ca="1">IFERROR(IF(VLOOKUP($A551,'Шаг2.Бланк заказа NEW'!$B$17:$N$201,13,0)="","",VLOOKUP($A551,'Шаг2.Бланк заказа NEW'!$B$17:$N$201,13,0)),
"Нет")</f>
        <v/>
      </c>
      <c r="Q551" s="147" t="str">
        <f ca="1">IFERROR(IF(VLOOKUP($A551,'Шаг2.Бланк заказа NEW'!$B$17:$O$201,14,0)="","",VLOOKUP($A551,'Шаг2.Бланк заказа NEW'!$B$17:$O$201,14,0)),"")</f>
        <v/>
      </c>
      <c r="R551" s="147" t="str">
        <f ca="1">IFERROR(IFERROR(IF(VLOOKUP($A551,'Шаг2.Бланк заказа NEW'!$B$17:$N$201,4,0)="","",VLOOKUP($A551,'Шаг2.Бланк заказа NEW'!$B$17:$N$201,4,0)),
IF(VLOOKUP($A551-COUNT('Шаг2.Бланк заказа NEW'!$B$19:$B$201),'Бланк OLD 0.8 04'!$B$12:$K$200,4,0)&gt;0,0.8,
IF(VLOOKUP($A551-COUNT('Шаг2.Бланк заказа NEW'!$B$19:$B$201),'Бланк OLD 0.8 04'!$B$12:$K$200,5,0)&gt;0,0.4,""))),
IF(VLOOKUP($A551-COUNT('Шаг2.Бланк заказа NEW'!$B$19:$B$201)-COUNT('Бланк OLD 0.8 04'!$B$18:$B$200),'Бланк OLD 2.0 04 '!$B$16:$K$200,4,0)&gt;0,2,IF(VLOOKUP($A551-COUNT('Шаг2.Бланк заказа NEW'!$B$19:$B$201)-COUNT('Бланк OLD 0.8 04'!$B$18:$B$200),'Бланк OLD 2.0 04 '!$B$16:$K$200,5,0)&gt;0,0.4,"")))</f>
        <v/>
      </c>
      <c r="S551" s="147" t="str">
        <f ca="1">IFERROR(IFERROR(IF(VLOOKUP($A551,'Шаг2.Бланк заказа NEW'!$B$17:$N$201,5,0)="","",VLOOKUP($A551,'Шаг2.Бланк заказа NEW'!$B$17:$N$201,5,0)),
IF(VLOOKUP($A551-COUNT('Шаг2.Бланк заказа NEW'!$B$19:$B$201),'Бланк OLD 0.8 04'!$B$12:$K$200,4,0)&gt;1,0.8,
IF(VLOOKUP($A551-COUNT('Шаг2.Бланк заказа NEW'!$B$19:$B$201),'Бланк OLD 0.8 04'!$B$12:$K$200,5,0)&gt;1,0.4,
IF(AND(VLOOKUP($A551-COUNT('Шаг2.Бланк заказа NEW'!$B$19:$B$201),'Бланк OLD 0.8 04'!$B$12:$K$200,4,0)&gt;0,VLOOKUP($A551-COUNT('Шаг2.Бланк заказа NEW'!$B$19:$B$201),'Бланк OLD 0.8 04'!$B$12:$K$200,5,0)&gt;0),0.4,"")))),
IF(VLOOKUP($A551-COUNT('Шаг2.Бланк заказа NEW'!$B$19:$B$201)-COUNT('Бланк OLD 0.8 04'!$B$18:$B$200),'Бланк OLD 2.0 04 '!$B$16:$K$200,4,0)&gt;1,2,
IF(VLOOKUP($A551-COUNT('Шаг2.Бланк заказа NEW'!$B$19:$B$201)-COUNT('Бланк OLD 0.8 04'!$B$18:$B$200),'Бланк OLD 2.0 04 '!$B$16:$K$200,5,0)&gt;1,0.4,IF(AND(VLOOKUP($A551-COUNT('Шаг2.Бланк заказа NEW'!$B$19:$B$201)-COUNT('Бланк OLD 0.8 04'!$B$18:$B$200),'Бланк OLD 2.0 04 '!$B$16:$K$200,4,0)&gt;0,VLOOKUP($A551-COUNT('Шаг2.Бланк заказа NEW'!$B$19:$B$201)-COUNT('Бланк OLD 0.8 04'!$B$18:$B$200),'Бланк OLD 2.0 04 '!$B$16:$K$200,5,0)&gt;0),0.4,""))))</f>
        <v/>
      </c>
      <c r="T551" s="147" t="str">
        <f ca="1">IFERROR(IFERROR(IF(VLOOKUP($A551,'Шаг2.Бланк заказа NEW'!$B$17:$N$201,7,0)="","",VLOOKUP($A551,'Шаг2.Бланк заказа NEW'!$B$17:$N$201,7,0)),
IF(VLOOKUP($A551-COUNT('Шаг2.Бланк заказа NEW'!$B$19:$B$201),'Бланк OLD 0.8 04'!$B$12:$K$200,7,0)&gt;0,0.8,
IF(VLOOKUP($A551-COUNT('Шаг2.Бланк заказа NEW'!$B$19:$B$201),'Бланк OLD 0.8 04'!$B$12:$K$200,8,0)&gt;0,0.4,""))),
IF(VLOOKUP($A551-COUNT('Шаг2.Бланк заказа NEW'!$B$19:$B$201)-COUNT('Бланк OLD 0.8 04'!$B$18:$B$200),'Бланк OLD 2.0 04 '!$B$16:$K$200,7,0)&gt;0,2,IF(VLOOKUP($A551-COUNT('Шаг2.Бланк заказа NEW'!$B$19:$B$201)-COUNT('Бланк OLD 0.8 04'!$B$18:$B$200),'Бланк OLD 2.0 04 '!$B$16:$K$200,8,0)&gt;0,0.4,"")))</f>
        <v/>
      </c>
      <c r="U551" s="147" t="str">
        <f ca="1">IFERROR(IFERROR(IF(VLOOKUP($A551,'Шаг2.Бланк заказа NEW'!$B$17:$N$201,8,0)="","",VLOOKUP($A551,'Шаг2.Бланк заказа NEW'!$B$17:$N$201,8,0)),
IF(VLOOKUP($A551-COUNT('Шаг2.Бланк заказа NEW'!$B$19:$B$201),'Бланк OLD 0.8 04'!$B$12:$K$200,7,0)&gt;1,0.8,
IF(VLOOKUP($A551-COUNT('Шаг2.Бланк заказа NEW'!$B$19:$B$201),'Бланк OLD 0.8 04'!$B$12:$K$200,8,0)&gt;1,0.4,
IF(AND(VLOOKUP($A551-COUNT('Шаг2.Бланк заказа NEW'!$B$19:$B$201),'Бланк OLD 0.8 04'!$B$12:$K$200,7,0)&gt;0,VLOOKUP($A551-COUNT('Шаг2.Бланк заказа NEW'!$B$19:$B$201),'Бланк OLD 0.8 04'!$B$12:$K$200,8,0)&gt;0),0.4,"")))),
IF(VLOOKUP($A551-COUNT('Шаг2.Бланк заказа NEW'!$B$19:$B$201)-COUNT('Бланк OLD 0.8 04'!$B$18:$B$200),'Бланк OLD 2.0 04 '!$B$16:$K$200,7,0)&gt;1,2,
IF(VLOOKUP($A551-COUNT('Шаг2.Бланк заказа NEW'!$B$19:$B$201)-COUNT('Бланк OLD 0.8 04'!$B$18:$B$200),'Бланк OLD 2.0 04 '!$B$16:$K$200,8,0)&gt;1,0.4,
IF(AND(VLOOKUP($A551-COUNT('Шаг2.Бланк заказа NEW'!$B$19:$B$201)-COUNT('Бланк OLD 0.8 04'!$B$18:$B$200),'Бланк OLD 2.0 04 '!$B$16:$K$200,7,0)&gt;0,VLOOKUP($A551-COUNT('Шаг2.Бланк заказа NEW'!$B$19:$B$201)-COUNT('Бланк OLD 0.8 04'!$B$18:$B$200),'Бланк OLD 2.0 04 '!$B$16:$K$200,8,0)&gt;0),0.4,""))))</f>
        <v/>
      </c>
      <c r="V551" s="146" t="str">
        <f ca="1">IFERROR(VLOOKUP(C551,'Шаг1.Выбор плиты'!C:S,12,0),"")</f>
        <v/>
      </c>
      <c r="W551" s="146" t="str">
        <f ca="1">IFERROR(VLOOKUP(C551,'Шаг1.Выбор плиты'!C:S,8,0),"")</f>
        <v/>
      </c>
      <c r="X551" s="146" t="str">
        <f ca="1">IFERROR(VLOOKUP(C551,'Шаг1.Выбор плиты'!C:S,10,0),"")</f>
        <v/>
      </c>
      <c r="Y551" s="147" t="str">
        <f t="shared" ca="1" si="51"/>
        <v/>
      </c>
      <c r="AD551" s="147" t="str">
        <f t="shared" ca="1" si="48"/>
        <v/>
      </c>
      <c r="AE551" s="147" t="str">
        <f t="shared" ca="1" si="52"/>
        <v/>
      </c>
      <c r="AF551" s="25"/>
      <c r="AH551" s="147" t="str">
        <f ca="1">IF(C551="","",VLOOKUP(C551,'Шаг1.Выбор плиты'!C:Q,7,0))</f>
        <v/>
      </c>
      <c r="AI551" s="147" t="str">
        <f t="shared" ca="1" si="50"/>
        <v/>
      </c>
    </row>
    <row r="552" spans="1:35" x14ac:dyDescent="0.2">
      <c r="A552" s="151" t="str">
        <f ca="1">IF(C552="","",MAX($A$1:OFFSET(C552,-1,0))+1)</f>
        <v/>
      </c>
      <c r="B552" s="151" t="str">
        <f ca="1">IFERROR(IFERROR(IFERROR("Шаг2.Бланк заказа NEW №"&amp;VLOOKUP(A551+1,CHOOSE({1,2},'Шаг2.Бланк заказа NEW'!$B$19:$B$201,'Шаг2.Бланк заказа NEW'!$A$19:$A$201),1,0),
"Бланк OLD 0.8 04 №"&amp;VLOOKUP(A551+1-COUNT('Шаг2.Бланк заказа NEW'!$B$19:$B$201),CHOOSE({1,2},'Бланк OLD 0.8 04'!$B$18:$B$200,'Бланк OLD 0.8 04'!$A$18:$A$200),1,0)),
"Бланк OLD 2.0 04 №"&amp;VLOOKUP(A551+1-COUNT('Шаг2.Бланк заказа NEW'!$B$19:$B$201)-COUNT('Бланк OLD 0.8 04'!$B$18:$B$200),CHOOSE({1,2},'Бланк OLD 2.0 04 '!$B$18:$B$200,'Бланк OLD 2.0 04 '!$A$18:$A$200),1,0)),"")</f>
        <v/>
      </c>
      <c r="C552" s="152" t="str">
        <f ca="1">IFERROR(IFERROR(IFERROR(VLOOKUP(A551+1,CHOOSE({1,2},'Шаг2.Бланк заказа NEW'!$B$19:$B$201,'Шаг2.Бланк заказа NEW'!$A$19:$A$201),2,0),
VLOOKUP(A551+1-COUNT('Шаг2.Бланк заказа NEW'!$B$19:$B$201),CHOOSE({1,2},'Бланк OLD 0.8 04'!$B$18:$B$200,'Бланк OLD 0.8 04'!$A$18:$A$200),2,0)),
VLOOKUP(A551+1-COUNT('Шаг2.Бланк заказа NEW'!$B$19:$B$201)-COUNT('Бланк OLD 0.8 04'!$B$18:$B$200),CHOOSE({1,2},'Бланк OLD 2.0 04 '!$B$18:$B$200,'Бланк OLD 2.0 04 '!$A$18:$A$200),2,0)),"")</f>
        <v/>
      </c>
      <c r="D552" s="150" t="str">
        <f ca="1">IFERROR(VLOOKUP(C552,'Шаг1.Выбор плиты'!C:G,5,0),"")</f>
        <v/>
      </c>
      <c r="E552" s="147" t="str">
        <f ca="1">IFERROR(IFERROR(IF(VLOOKUP($A552,'Шаг2.Бланк заказа NEW'!$B$17:$N$201,2,0)="","",VLOOKUP($A552,'Шаг2.Бланк заказа NEW'!$B$17:$N$201,2,0)),
IF(VLOOKUP($A552-COUNT('Шаг2.Бланк заказа NEW'!$B$19:$B$201),'Бланк OLD 0.8 04'!$B$12:$K$200,2,0)="","",VLOOKUP($A552-COUNT('Шаг2.Бланк заказа NEW'!$B$19:$B$201),'Бланк OLD 0.8 04'!$B$12:$K$200,2,0))),
IF(VLOOKUP($A552-COUNT('Шаг2.Бланк заказа NEW'!$B$19:$B$201)-COUNT('Бланк OLD 0.8 04'!$B$18:$B$200),'Бланк OLD 2.0 04 '!$B$16:$K$200,2,0)="","",VLOOKUP($A552-COUNT('Шаг2.Бланк заказа NEW'!$B$19:$B$201)-COUNT('Бланк OLD 0.8 04'!$B$18:$B$200),'Бланк OLD 2.0 04 '!$B$16:$K$200,2,0)))</f>
        <v/>
      </c>
      <c r="F552" s="147" t="str">
        <f ca="1">IFERROR(IFERROR(IF(VLOOKUP($A552,'Шаг2.Бланк заказа NEW'!$B$17:$N$201,3,0)="","",VLOOKUP($A552,'Шаг2.Бланк заказа NEW'!$B$17:$N$201,3,0)),
IF(VLOOKUP($A552-COUNT('Шаг2.Бланк заказа NEW'!$B$19:$B$201),'Бланк OLD 0.8 04'!$B$12:$K$200,3,0)="","",VLOOKUP($A552-COUNT('Шаг2.Бланк заказа NEW'!$B$19:$B$201),'Бланк OLD 0.8 04'!$B$12:$K$200,3,0))),
IF(VLOOKUP($A552-COUNT('Шаг2.Бланк заказа NEW'!$B$19:$B$201)-COUNT('Бланк OLD 0.8 04'!$B$18:$B$200),'Бланк OLD 2.0 04 '!$B$16:$K$200,3,0)="","",VLOOKUP($A552-COUNT('Шаг2.Бланк заказа NEW'!$B$19:$B$201)-COUNT('Бланк OLD 0.8 04'!$B$18:$B$200),'Бланк OLD 2.0 04 '!$B$16:$K$200,3,0)))</f>
        <v/>
      </c>
      <c r="G552" s="176" t="str">
        <f ca="1">IF(IF(R552="","",IF(R552=1,SUMIFS('Шаг1.Выбор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плиты'!C:Q,12,0)),1))))))=0,
R552,
IF(R552="","",IF(R552=1,SUMIFS('Шаг1.Выбор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плиты'!N:N,R552,'Шаг1.Выбор плиты'!M:M,SMALL(INDIRECT("мм"&amp;VLOOKUP(C552,'Шаг1.Выбор плиты'!C:Q,12,0)),1)))))))</f>
        <v/>
      </c>
      <c r="H552" s="177" t="str">
        <f ca="1">IF(IF(S552="","",IF(S552=1,SUMIFS('Шаг1.Выбор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плиты'!C:Q,12,0)),1))))))=0,
S552,
IF(S552="","",IF(S552=1,SUMIFS('Шаг1.Выбор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плиты'!N:N,S552,'Шаг1.Выбор плиты'!M:M,SMALL(INDIRECT("мм"&amp;VLOOKUP(C552,'Шаг1.Выбор плиты'!C:Q,12,0)),1)))))))</f>
        <v/>
      </c>
      <c r="I552" s="147" t="str">
        <f ca="1">IFERROR(IFERROR(IF(VLOOKUP($A552,'Шаг2.Бланк заказа NEW'!$B$17:$N$201,6,0)="","",VLOOKUP($A552,'Шаг2.Бланк заказа NEW'!$B$17:$N$201,6,0)),
IF(VLOOKUP($A552-COUNT('Шаг2.Бланк заказа NEW'!$B$19:$B$201),'Бланк OLD 0.8 04'!$B$12:$K$200,6,0)="","",VLOOKUP($A552-COUNT('Шаг2.Бланк заказа NEW'!$B$19:$B$201),'Бланк OLD 0.8 04'!$B$12:$K$200,6,0))),
IF(VLOOKUP($A552-COUNT('Шаг2.Бланк заказа NEW'!$B$19:$B$201)-COUNT('Бланк OLD 0.8 04'!$B$18:$B$200),'Бланк OLD 2.0 04 '!$B$16:$K$200,6,0)="","",VLOOKUP($A552-COUNT('Шаг2.Бланк заказа NEW'!$B$19:$B$201)-COUNT('Бланк OLD 0.8 04'!$B$18:$B$200),'Бланк OLD 2.0 04 '!$B$16:$K$200,6,0)))</f>
        <v/>
      </c>
      <c r="J552" s="177" t="str">
        <f ca="1">IF(IF(T552="","",IF(T552=1,SUMIFS('Шаг1.Выбор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плиты'!C:Q,12,0)),1))))))=0,
T552,
IF(T552="","",IF(T552=1,SUMIFS('Шаг1.Выбор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плиты'!N:N,T552,'Шаг1.Выбор плиты'!M:M,SMALL(INDIRECT("мм"&amp;VLOOKUP(C552,'Шаг1.Выбор плиты'!C:Q,12,0)),1)))))))</f>
        <v/>
      </c>
      <c r="K552" s="177" t="str">
        <f ca="1">IF(IF(U552="","",IF(U552=1,SUMIFS('Шаг1.Выбор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плиты'!C:Q,12,0)),1))))))=0,
U552,
IF(U552="","",IF(U552=1,SUMIFS('Шаг1.Выбор плиты'!$G:$G,'Шаг1.Выбор плиты'!J:J,"*"&amp;RIGHT(VLOOKUP(C552,'Шаг1.Выбор плиты'!C:Q,8,0),4),'Шаг1.Выбор плиты'!L:L,IF(MID(C552,1,6)="ЛДСП P","TM"&amp;MID(VLOOKUP(C552,'Шаг1.Выбор плиты'!C:Q,10,0),3,2),MID(VLOOKUP(C552,'Шаг1.Выбор плиты'!C:Q,10,0),1,2)),
'Шаг1.Выбор плиты'!N:N,1),IF(SUMIFS('Шаг1.Выбор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плиты'!C:Q,12,0)),1))=0,
IF(SUMIFS('Шаг1.Выбор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плиты'!C:Q,12,0)),2))=0,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плиты'!C:Q,12,0)),3)),
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плиты'!C:Q,12,0)),2))),
(SUMIFS('Шаг1.Выбор плиты'!$G:$G,'Шаг1.Выбор плиты'!J:J,"*"&amp;RIGHT(VLOOKUP(C552,'Шаг1.Выбор плиты'!C:Q,8,0),4),'Шаг1.Выбор плиты'!L:L,VLOOKUP(C552,'Шаг1.Выбор плиты'!C:Q,10,0),'Шаг1.Выбор плиты'!N:N,U552,'Шаг1.Выбор плиты'!M:M,SMALL(INDIRECT("мм"&amp;VLOOKUP(C552,'Шаг1.Выбор плиты'!C:Q,12,0)),1)))))))</f>
        <v/>
      </c>
      <c r="L552" s="147" t="str">
        <f ca="1">IFERROR(IFERROR(IF(VLOOKUP($A552,'Шаг2.Бланк заказа NEW'!$B$17:$N$201,9,0)="","",VLOOKUP($A552,'Шаг2.Бланк заказа NEW'!$B$17:$N$201,9,0)),
IF(VLOOKUP($A552-COUNT('Шаг2.Бланк заказа NEW'!$B$19:$B$201),'Бланк OLD 0.8 04'!$B$12:$K$200,9,0)="","",VLOOKUP($A552-COUNT('Шаг2.Бланк заказа NEW'!$B$19:$B$201),'Бланк OLD 0.8 04'!$B$12:$K$200,9,0))),
IF(VLOOKUP($A552-COUNT('Шаг2.Бланк заказа NEW'!$B$19:$B$201)-COUNT('Бланк OLD 0.8 04'!$B$18:$B$200),'Бланк OLD 2.0 04 '!$B$16:$K$200,9,0)="","",VLOOKUP($A552-COUNT('Шаг2.Бланк заказа NEW'!$B$19:$B$201)-COUNT('Бланк OLD 0.8 04'!$B$18:$B$200),'Бланк OLD 2.0 04 '!$B$16:$K$200,9,0)))</f>
        <v/>
      </c>
      <c r="M552" s="154" t="str">
        <f t="shared" ca="1" si="49"/>
        <v/>
      </c>
      <c r="N552" s="153" t="str">
        <f ca="1">IFERROR(IF(VLOOKUP($A552,'Шаг2.Бланк заказа NEW'!$B$17:$N$201,11,0)="","",VLOOKUP($A552,'Шаг2.Бланк заказа NEW'!$B$17:$N$201,11,0)),
"Нет")</f>
        <v/>
      </c>
      <c r="O552" s="147" t="str">
        <f ca="1">IFERROR(IF(VLOOKUP($A552,'Шаг2.Бланк заказа NEW'!$B$17:$N$201,11,0)="","",VLOOKUP($A552,'Шаг2.Бланк заказа NEW'!$B$17:$N$201,12,0)),
"Нет")</f>
        <v/>
      </c>
      <c r="P552" s="153" t="str">
        <f ca="1">IFERROR(IF(VLOOKUP($A552,'Шаг2.Бланк заказа NEW'!$B$17:$N$201,13,0)="","",VLOOKUP($A552,'Шаг2.Бланк заказа NEW'!$B$17:$N$201,13,0)),
"Нет")</f>
        <v/>
      </c>
      <c r="Q552" s="147" t="str">
        <f ca="1">IFERROR(IF(VLOOKUP($A552,'Шаг2.Бланк заказа NEW'!$B$17:$O$201,14,0)="","",VLOOKUP($A552,'Шаг2.Бланк заказа NEW'!$B$17:$O$201,14,0)),"")</f>
        <v/>
      </c>
      <c r="R552" s="147" t="str">
        <f ca="1">IFERROR(IFERROR(IF(VLOOKUP($A552,'Шаг2.Бланк заказа NEW'!$B$17:$N$201,4,0)="","",VLOOKUP($A552,'Шаг2.Бланк заказа NEW'!$B$17:$N$201,4,0)),
IF(VLOOKUP($A552-COUNT('Шаг2.Бланк заказа NEW'!$B$19:$B$201),'Бланк OLD 0.8 04'!$B$12:$K$200,4,0)&gt;0,0.8,
IF(VLOOKUP($A552-COUNT('Шаг2.Бланк заказа NEW'!$B$19:$B$201),'Бланк OLD 0.8 04'!$B$12:$K$200,5,0)&gt;0,0.4,""))),
IF(VLOOKUP($A552-COUNT('Шаг2.Бланк заказа NEW'!$B$19:$B$201)-COUNT('Бланк OLD 0.8 04'!$B$18:$B$200),'Бланк OLD 2.0 04 '!$B$16:$K$200,4,0)&gt;0,2,IF(VLOOKUP($A552-COUNT('Шаг2.Бланк заказа NEW'!$B$19:$B$201)-COUNT('Бланк OLD 0.8 04'!$B$18:$B$200),'Бланк OLD 2.0 04 '!$B$16:$K$200,5,0)&gt;0,0.4,"")))</f>
        <v/>
      </c>
      <c r="S552" s="147" t="str">
        <f ca="1">IFERROR(IFERROR(IF(VLOOKUP($A552,'Шаг2.Бланк заказа NEW'!$B$17:$N$201,5,0)="","",VLOOKUP($A552,'Шаг2.Бланк заказа NEW'!$B$17:$N$201,5,0)),
IF(VLOOKUP($A552-COUNT('Шаг2.Бланк заказа NEW'!$B$19:$B$201),'Бланк OLD 0.8 04'!$B$12:$K$200,4,0)&gt;1,0.8,
IF(VLOOKUP($A552-COUNT('Шаг2.Бланк заказа NEW'!$B$19:$B$201),'Бланк OLD 0.8 04'!$B$12:$K$200,5,0)&gt;1,0.4,
IF(AND(VLOOKUP($A552-COUNT('Шаг2.Бланк заказа NEW'!$B$19:$B$201),'Бланк OLD 0.8 04'!$B$12:$K$200,4,0)&gt;0,VLOOKUP($A552-COUNT('Шаг2.Бланк заказа NEW'!$B$19:$B$201),'Бланк OLD 0.8 04'!$B$12:$K$200,5,0)&gt;0),0.4,"")))),
IF(VLOOKUP($A552-COUNT('Шаг2.Бланк заказа NEW'!$B$19:$B$201)-COUNT('Бланк OLD 0.8 04'!$B$18:$B$200),'Бланк OLD 2.0 04 '!$B$16:$K$200,4,0)&gt;1,2,
IF(VLOOKUP($A552-COUNT('Шаг2.Бланк заказа NEW'!$B$19:$B$201)-COUNT('Бланк OLD 0.8 04'!$B$18:$B$200),'Бланк OLD 2.0 04 '!$B$16:$K$200,5,0)&gt;1,0.4,IF(AND(VLOOKUP($A552-COUNT('Шаг2.Бланк заказа NEW'!$B$19:$B$201)-COUNT('Бланк OLD 0.8 04'!$B$18:$B$200),'Бланк OLD 2.0 04 '!$B$16:$K$200,4,0)&gt;0,VLOOKUP($A552-COUNT('Шаг2.Бланк заказа NEW'!$B$19:$B$201)-COUNT('Бланк OLD 0.8 04'!$B$18:$B$200),'Бланк OLD 2.0 04 '!$B$16:$K$200,5,0)&gt;0),0.4,""))))</f>
        <v/>
      </c>
      <c r="T552" s="147" t="str">
        <f ca="1">IFERROR(IFERROR(IF(VLOOKUP($A552,'Шаг2.Бланк заказа NEW'!$B$17:$N$201,7,0)="","",VLOOKUP($A552,'Шаг2.Бланк заказа NEW'!$B$17:$N$201,7,0)),
IF(VLOOKUP($A552-COUNT('Шаг2.Бланк заказа NEW'!$B$19:$B$201),'Бланк OLD 0.8 04'!$B$12:$K$200,7,0)&gt;0,0.8,
IF(VLOOKUP($A552-COUNT('Шаг2.Бланк заказа NEW'!$B$19:$B$201),'Бланк OLD 0.8 04'!$B$12:$K$200,8,0)&gt;0,0.4,""))),
IF(VLOOKUP($A552-COUNT('Шаг2.Бланк заказа NEW'!$B$19:$B$201)-COUNT('Бланк OLD 0.8 04'!$B$18:$B$200),'Бланк OLD 2.0 04 '!$B$16:$K$200,7,0)&gt;0,2,IF(VLOOKUP($A552-COUNT('Шаг2.Бланк заказа NEW'!$B$19:$B$201)-COUNT('Бланк OLD 0.8 04'!$B$18:$B$200),'Бланк OLD 2.0 04 '!$B$16:$K$200,8,0)&gt;0,0.4,"")))</f>
        <v/>
      </c>
      <c r="U552" s="147" t="str">
        <f ca="1">IFERROR(IFERROR(IF(VLOOKUP($A552,'Шаг2.Бланк заказа NEW'!$B$17:$N$201,8,0)="","",VLOOKUP($A552,'Шаг2.Бланк заказа NEW'!$B$17:$N$201,8,0)),
IF(VLOOKUP($A552-COUNT('Шаг2.Бланк заказа NEW'!$B$19:$B$201),'Бланк OLD 0.8 04'!$B$12:$K$200,7,0)&gt;1,0.8,
IF(VLOOKUP($A552-COUNT('Шаг2.Бланк заказа NEW'!$B$19:$B$201),'Бланк OLD 0.8 04'!$B$12:$K$200,8,0)&gt;1,0.4,
IF(AND(VLOOKUP($A552-COUNT('Шаг2.Бланк заказа NEW'!$B$19:$B$201),'Бланк OLD 0.8 04'!$B$12:$K$200,7,0)&gt;0,VLOOKUP($A552-COUNT('Шаг2.Бланк заказа NEW'!$B$19:$B$201),'Бланк OLD 0.8 04'!$B$12:$K$200,8,0)&gt;0),0.4,"")))),
IF(VLOOKUP($A552-COUNT('Шаг2.Бланк заказа NEW'!$B$19:$B$201)-COUNT('Бланк OLD 0.8 04'!$B$18:$B$200),'Бланк OLD 2.0 04 '!$B$16:$K$200,7,0)&gt;1,2,
IF(VLOOKUP($A552-COUNT('Шаг2.Бланк заказа NEW'!$B$19:$B$201)-COUNT('Бланк OLD 0.8 04'!$B$18:$B$200),'Бланк OLD 2.0 04 '!$B$16:$K$200,8,0)&gt;1,0.4,
IF(AND(VLOOKUP($A552-COUNT('Шаг2.Бланк заказа NEW'!$B$19:$B$201)-COUNT('Бланк OLD 0.8 04'!$B$18:$B$200),'Бланк OLD 2.0 04 '!$B$16:$K$200,7,0)&gt;0,VLOOKUP($A552-COUNT('Шаг2.Бланк заказа NEW'!$B$19:$B$201)-COUNT('Бланк OLD 0.8 04'!$B$18:$B$200),'Бланк OLD 2.0 04 '!$B$16:$K$200,8,0)&gt;0),0.4,""))))</f>
        <v/>
      </c>
      <c r="V552" s="146" t="str">
        <f ca="1">IFERROR(VLOOKUP(C552,'Шаг1.Выбор плиты'!C:S,12,0),"")</f>
        <v/>
      </c>
      <c r="W552" s="146" t="str">
        <f ca="1">IFERROR(VLOOKUP(C552,'Шаг1.Выбор плиты'!C:S,8,0),"")</f>
        <v/>
      </c>
      <c r="X552" s="146" t="str">
        <f ca="1">IFERROR(VLOOKUP(C552,'Шаг1.Выбор плиты'!C:S,10,0),"")</f>
        <v/>
      </c>
      <c r="Y552" s="147" t="str">
        <f t="shared" ca="1" si="51"/>
        <v/>
      </c>
      <c r="AD552" s="147" t="str">
        <f t="shared" ca="1" si="48"/>
        <v/>
      </c>
      <c r="AE552" s="147" t="str">
        <f t="shared" ca="1" si="52"/>
        <v/>
      </c>
      <c r="AF552" s="25"/>
      <c r="AH552" s="147" t="str">
        <f ca="1">IF(C552="","",VLOOKUP(C552,'Шаг1.Выбор плиты'!C:Q,7,0))</f>
        <v/>
      </c>
      <c r="AI552" s="147" t="str">
        <f t="shared" ca="1" si="50"/>
        <v/>
      </c>
    </row>
    <row r="553" spans="1:35" x14ac:dyDescent="0.2">
      <c r="A553" s="151" t="str">
        <f ca="1">IF(C553="","",MAX($A$1:OFFSET(C553,-1,0))+1)</f>
        <v/>
      </c>
      <c r="B553" s="151" t="str">
        <f ca="1">IFERROR(IFERROR(IFERROR("Шаг2.Бланк заказа NEW №"&amp;VLOOKUP(A552+1,CHOOSE({1,2},'Шаг2.Бланк заказа NEW'!$B$19:$B$201,'Шаг2.Бланк заказа NEW'!$A$19:$A$201),1,0),
"Бланк OLD 0.8 04 №"&amp;VLOOKUP(A552+1-COUNT('Шаг2.Бланк заказа NEW'!$B$19:$B$201),CHOOSE({1,2},'Бланк OLD 0.8 04'!$B$18:$B$200,'Бланк OLD 0.8 04'!$A$18:$A$200),1,0)),
"Бланк OLD 2.0 04 №"&amp;VLOOKUP(A552+1-COUNT('Шаг2.Бланк заказа NEW'!$B$19:$B$201)-COUNT('Бланк OLD 0.8 04'!$B$18:$B$200),CHOOSE({1,2},'Бланк OLD 2.0 04 '!$B$18:$B$200,'Бланк OLD 2.0 04 '!$A$18:$A$200),1,0)),"")</f>
        <v/>
      </c>
      <c r="C553" s="152" t="str">
        <f ca="1">IFERROR(IFERROR(IFERROR(VLOOKUP(A552+1,CHOOSE({1,2},'Шаг2.Бланк заказа NEW'!$B$19:$B$201,'Шаг2.Бланк заказа NEW'!$A$19:$A$201),2,0),
VLOOKUP(A552+1-COUNT('Шаг2.Бланк заказа NEW'!$B$19:$B$201),CHOOSE({1,2},'Бланк OLD 0.8 04'!$B$18:$B$200,'Бланк OLD 0.8 04'!$A$18:$A$200),2,0)),
VLOOKUP(A552+1-COUNT('Шаг2.Бланк заказа NEW'!$B$19:$B$201)-COUNT('Бланк OLD 0.8 04'!$B$18:$B$200),CHOOSE({1,2},'Бланк OLD 2.0 04 '!$B$18:$B$200,'Бланк OLD 2.0 04 '!$A$18:$A$200),2,0)),"")</f>
        <v/>
      </c>
      <c r="D553" s="150" t="str">
        <f ca="1">IFERROR(VLOOKUP(C553,'Шаг1.Выбор плиты'!C:G,5,0),"")</f>
        <v/>
      </c>
      <c r="E553" s="147" t="str">
        <f ca="1">IFERROR(IFERROR(IF(VLOOKUP($A553,'Шаг2.Бланк заказа NEW'!$B$17:$N$201,2,0)="","",VLOOKUP($A553,'Шаг2.Бланк заказа NEW'!$B$17:$N$201,2,0)),
IF(VLOOKUP($A553-COUNT('Шаг2.Бланк заказа NEW'!$B$19:$B$201),'Бланк OLD 0.8 04'!$B$12:$K$200,2,0)="","",VLOOKUP($A553-COUNT('Шаг2.Бланк заказа NEW'!$B$19:$B$201),'Бланк OLD 0.8 04'!$B$12:$K$200,2,0))),
IF(VLOOKUP($A553-COUNT('Шаг2.Бланк заказа NEW'!$B$19:$B$201)-COUNT('Бланк OLD 0.8 04'!$B$18:$B$200),'Бланк OLD 2.0 04 '!$B$16:$K$200,2,0)="","",VLOOKUP($A553-COUNT('Шаг2.Бланк заказа NEW'!$B$19:$B$201)-COUNT('Бланк OLD 0.8 04'!$B$18:$B$200),'Бланк OLD 2.0 04 '!$B$16:$K$200,2,0)))</f>
        <v/>
      </c>
      <c r="F553" s="147" t="str">
        <f ca="1">IFERROR(IFERROR(IF(VLOOKUP($A553,'Шаг2.Бланк заказа NEW'!$B$17:$N$201,3,0)="","",VLOOKUP($A553,'Шаг2.Бланк заказа NEW'!$B$17:$N$201,3,0)),
IF(VLOOKUP($A553-COUNT('Шаг2.Бланк заказа NEW'!$B$19:$B$201),'Бланк OLD 0.8 04'!$B$12:$K$200,3,0)="","",VLOOKUP($A553-COUNT('Шаг2.Бланк заказа NEW'!$B$19:$B$201),'Бланк OLD 0.8 04'!$B$12:$K$200,3,0))),
IF(VLOOKUP($A553-COUNT('Шаг2.Бланк заказа NEW'!$B$19:$B$201)-COUNT('Бланк OLD 0.8 04'!$B$18:$B$200),'Бланк OLD 2.0 04 '!$B$16:$K$200,3,0)="","",VLOOKUP($A553-COUNT('Шаг2.Бланк заказа NEW'!$B$19:$B$201)-COUNT('Бланк OLD 0.8 04'!$B$18:$B$200),'Бланк OLD 2.0 04 '!$B$16:$K$200,3,0)))</f>
        <v/>
      </c>
      <c r="G553" s="176" t="str">
        <f ca="1">IF(IF(R553="","",IF(R553=1,SUMIFS('Шаг1.Выбор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плиты'!C:Q,12,0)),1))))))=0,
R553,
IF(R553="","",IF(R553=1,SUMIFS('Шаг1.Выбор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плиты'!N:N,R553,'Шаг1.Выбор плиты'!M:M,SMALL(INDIRECT("мм"&amp;VLOOKUP(C553,'Шаг1.Выбор плиты'!C:Q,12,0)),1)))))))</f>
        <v/>
      </c>
      <c r="H553" s="177" t="str">
        <f ca="1">IF(IF(S553="","",IF(S553=1,SUMIFS('Шаг1.Выбор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плиты'!C:Q,12,0)),1))))))=0,
S553,
IF(S553="","",IF(S553=1,SUMIFS('Шаг1.Выбор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плиты'!N:N,S553,'Шаг1.Выбор плиты'!M:M,SMALL(INDIRECT("мм"&amp;VLOOKUP(C553,'Шаг1.Выбор плиты'!C:Q,12,0)),1)))))))</f>
        <v/>
      </c>
      <c r="I553" s="147" t="str">
        <f ca="1">IFERROR(IFERROR(IF(VLOOKUP($A553,'Шаг2.Бланк заказа NEW'!$B$17:$N$201,6,0)="","",VLOOKUP($A553,'Шаг2.Бланк заказа NEW'!$B$17:$N$201,6,0)),
IF(VLOOKUP($A553-COUNT('Шаг2.Бланк заказа NEW'!$B$19:$B$201),'Бланк OLD 0.8 04'!$B$12:$K$200,6,0)="","",VLOOKUP($A553-COUNT('Шаг2.Бланк заказа NEW'!$B$19:$B$201),'Бланк OLD 0.8 04'!$B$12:$K$200,6,0))),
IF(VLOOKUP($A553-COUNT('Шаг2.Бланк заказа NEW'!$B$19:$B$201)-COUNT('Бланк OLD 0.8 04'!$B$18:$B$200),'Бланк OLD 2.0 04 '!$B$16:$K$200,6,0)="","",VLOOKUP($A553-COUNT('Шаг2.Бланк заказа NEW'!$B$19:$B$201)-COUNT('Бланк OLD 0.8 04'!$B$18:$B$200),'Бланк OLD 2.0 04 '!$B$16:$K$200,6,0)))</f>
        <v/>
      </c>
      <c r="J553" s="177" t="str">
        <f ca="1">IF(IF(T553="","",IF(T553=1,SUMIFS('Шаг1.Выбор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плиты'!C:Q,12,0)),1))))))=0,
T553,
IF(T553="","",IF(T553=1,SUMIFS('Шаг1.Выбор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плиты'!N:N,T553,'Шаг1.Выбор плиты'!M:M,SMALL(INDIRECT("мм"&amp;VLOOKUP(C553,'Шаг1.Выбор плиты'!C:Q,12,0)),1)))))))</f>
        <v/>
      </c>
      <c r="K553" s="177" t="str">
        <f ca="1">IF(IF(U553="","",IF(U553=1,SUMIFS('Шаг1.Выбор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плиты'!C:Q,12,0)),1))))))=0,
U553,
IF(U553="","",IF(U553=1,SUMIFS('Шаг1.Выбор плиты'!$G:$G,'Шаг1.Выбор плиты'!J:J,"*"&amp;RIGHT(VLOOKUP(C553,'Шаг1.Выбор плиты'!C:Q,8,0),4),'Шаг1.Выбор плиты'!L:L,IF(MID(C553,1,6)="ЛДСП P","TM"&amp;MID(VLOOKUP(C553,'Шаг1.Выбор плиты'!C:Q,10,0),3,2),MID(VLOOKUP(C553,'Шаг1.Выбор плиты'!C:Q,10,0),1,2)),
'Шаг1.Выбор плиты'!N:N,1),IF(SUMIFS('Шаг1.Выбор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плиты'!C:Q,12,0)),1))=0,
IF(SUMIFS('Шаг1.Выбор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плиты'!C:Q,12,0)),2))=0,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плиты'!C:Q,12,0)),3)),
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плиты'!C:Q,12,0)),2))),
(SUMIFS('Шаг1.Выбор плиты'!$G:$G,'Шаг1.Выбор плиты'!J:J,"*"&amp;RIGHT(VLOOKUP(C553,'Шаг1.Выбор плиты'!C:Q,8,0),4),'Шаг1.Выбор плиты'!L:L,VLOOKUP(C553,'Шаг1.Выбор плиты'!C:Q,10,0),'Шаг1.Выбор плиты'!N:N,U553,'Шаг1.Выбор плиты'!M:M,SMALL(INDIRECT("мм"&amp;VLOOKUP(C553,'Шаг1.Выбор плиты'!C:Q,12,0)),1)))))))</f>
        <v/>
      </c>
      <c r="L553" s="147" t="str">
        <f ca="1">IFERROR(IFERROR(IF(VLOOKUP($A553,'Шаг2.Бланк заказа NEW'!$B$17:$N$201,9,0)="","",VLOOKUP($A553,'Шаг2.Бланк заказа NEW'!$B$17:$N$201,9,0)),
IF(VLOOKUP($A553-COUNT('Шаг2.Бланк заказа NEW'!$B$19:$B$201),'Бланк OLD 0.8 04'!$B$12:$K$200,9,0)="","",VLOOKUP($A553-COUNT('Шаг2.Бланк заказа NEW'!$B$19:$B$201),'Бланк OLD 0.8 04'!$B$12:$K$200,9,0))),
IF(VLOOKUP($A553-COUNT('Шаг2.Бланк заказа NEW'!$B$19:$B$201)-COUNT('Бланк OLD 0.8 04'!$B$18:$B$200),'Бланк OLD 2.0 04 '!$B$16:$K$200,9,0)="","",VLOOKUP($A553-COUNT('Шаг2.Бланк заказа NEW'!$B$19:$B$201)-COUNT('Бланк OLD 0.8 04'!$B$18:$B$200),'Бланк OLD 2.0 04 '!$B$16:$K$200,9,0)))</f>
        <v/>
      </c>
      <c r="M553" s="154" t="str">
        <f t="shared" ca="1" si="49"/>
        <v/>
      </c>
      <c r="N553" s="153" t="str">
        <f ca="1">IFERROR(IF(VLOOKUP($A553,'Шаг2.Бланк заказа NEW'!$B$17:$N$201,11,0)="","",VLOOKUP($A553,'Шаг2.Бланк заказа NEW'!$B$17:$N$201,11,0)),
"Нет")</f>
        <v/>
      </c>
      <c r="O553" s="147" t="str">
        <f ca="1">IFERROR(IF(VLOOKUP($A553,'Шаг2.Бланк заказа NEW'!$B$17:$N$201,11,0)="","",VLOOKUP($A553,'Шаг2.Бланк заказа NEW'!$B$17:$N$201,12,0)),
"Нет")</f>
        <v/>
      </c>
      <c r="P553" s="153" t="str">
        <f ca="1">IFERROR(IF(VLOOKUP($A553,'Шаг2.Бланк заказа NEW'!$B$17:$N$201,13,0)="","",VLOOKUP($A553,'Шаг2.Бланк заказа NEW'!$B$17:$N$201,13,0)),
"Нет")</f>
        <v/>
      </c>
      <c r="Q553" s="147" t="str">
        <f ca="1">IFERROR(IF(VLOOKUP($A553,'Шаг2.Бланк заказа NEW'!$B$17:$O$201,14,0)="","",VLOOKUP($A553,'Шаг2.Бланк заказа NEW'!$B$17:$O$201,14,0)),"")</f>
        <v/>
      </c>
      <c r="R553" s="147" t="str">
        <f ca="1">IFERROR(IFERROR(IF(VLOOKUP($A553,'Шаг2.Бланк заказа NEW'!$B$17:$N$201,4,0)="","",VLOOKUP($A553,'Шаг2.Бланк заказа NEW'!$B$17:$N$201,4,0)),
IF(VLOOKUP($A553-COUNT('Шаг2.Бланк заказа NEW'!$B$19:$B$201),'Бланк OLD 0.8 04'!$B$12:$K$200,4,0)&gt;0,0.8,
IF(VLOOKUP($A553-COUNT('Шаг2.Бланк заказа NEW'!$B$19:$B$201),'Бланк OLD 0.8 04'!$B$12:$K$200,5,0)&gt;0,0.4,""))),
IF(VLOOKUP($A553-COUNT('Шаг2.Бланк заказа NEW'!$B$19:$B$201)-COUNT('Бланк OLD 0.8 04'!$B$18:$B$200),'Бланк OLD 2.0 04 '!$B$16:$K$200,4,0)&gt;0,2,IF(VLOOKUP($A553-COUNT('Шаг2.Бланк заказа NEW'!$B$19:$B$201)-COUNT('Бланк OLD 0.8 04'!$B$18:$B$200),'Бланк OLD 2.0 04 '!$B$16:$K$200,5,0)&gt;0,0.4,"")))</f>
        <v/>
      </c>
      <c r="S553" s="147" t="str">
        <f ca="1">IFERROR(IFERROR(IF(VLOOKUP($A553,'Шаг2.Бланк заказа NEW'!$B$17:$N$201,5,0)="","",VLOOKUP($A553,'Шаг2.Бланк заказа NEW'!$B$17:$N$201,5,0)),
IF(VLOOKUP($A553-COUNT('Шаг2.Бланк заказа NEW'!$B$19:$B$201),'Бланк OLD 0.8 04'!$B$12:$K$200,4,0)&gt;1,0.8,
IF(VLOOKUP($A553-COUNT('Шаг2.Бланк заказа NEW'!$B$19:$B$201),'Бланк OLD 0.8 04'!$B$12:$K$200,5,0)&gt;1,0.4,
IF(AND(VLOOKUP($A553-COUNT('Шаг2.Бланк заказа NEW'!$B$19:$B$201),'Бланк OLD 0.8 04'!$B$12:$K$200,4,0)&gt;0,VLOOKUP($A553-COUNT('Шаг2.Бланк заказа NEW'!$B$19:$B$201),'Бланк OLD 0.8 04'!$B$12:$K$200,5,0)&gt;0),0.4,"")))),
IF(VLOOKUP($A553-COUNT('Шаг2.Бланк заказа NEW'!$B$19:$B$201)-COUNT('Бланк OLD 0.8 04'!$B$18:$B$200),'Бланк OLD 2.0 04 '!$B$16:$K$200,4,0)&gt;1,2,
IF(VLOOKUP($A553-COUNT('Шаг2.Бланк заказа NEW'!$B$19:$B$201)-COUNT('Бланк OLD 0.8 04'!$B$18:$B$200),'Бланк OLD 2.0 04 '!$B$16:$K$200,5,0)&gt;1,0.4,IF(AND(VLOOKUP($A553-COUNT('Шаг2.Бланк заказа NEW'!$B$19:$B$201)-COUNT('Бланк OLD 0.8 04'!$B$18:$B$200),'Бланк OLD 2.0 04 '!$B$16:$K$200,4,0)&gt;0,VLOOKUP($A553-COUNT('Шаг2.Бланк заказа NEW'!$B$19:$B$201)-COUNT('Бланк OLD 0.8 04'!$B$18:$B$200),'Бланк OLD 2.0 04 '!$B$16:$K$200,5,0)&gt;0),0.4,""))))</f>
        <v/>
      </c>
      <c r="T553" s="147" t="str">
        <f ca="1">IFERROR(IFERROR(IF(VLOOKUP($A553,'Шаг2.Бланк заказа NEW'!$B$17:$N$201,7,0)="","",VLOOKUP($A553,'Шаг2.Бланк заказа NEW'!$B$17:$N$201,7,0)),
IF(VLOOKUP($A553-COUNT('Шаг2.Бланк заказа NEW'!$B$19:$B$201),'Бланк OLD 0.8 04'!$B$12:$K$200,7,0)&gt;0,0.8,
IF(VLOOKUP($A553-COUNT('Шаг2.Бланк заказа NEW'!$B$19:$B$201),'Бланк OLD 0.8 04'!$B$12:$K$200,8,0)&gt;0,0.4,""))),
IF(VLOOKUP($A553-COUNT('Шаг2.Бланк заказа NEW'!$B$19:$B$201)-COUNT('Бланк OLD 0.8 04'!$B$18:$B$200),'Бланк OLD 2.0 04 '!$B$16:$K$200,7,0)&gt;0,2,IF(VLOOKUP($A553-COUNT('Шаг2.Бланк заказа NEW'!$B$19:$B$201)-COUNT('Бланк OLD 0.8 04'!$B$18:$B$200),'Бланк OLD 2.0 04 '!$B$16:$K$200,8,0)&gt;0,0.4,"")))</f>
        <v/>
      </c>
      <c r="U553" s="147" t="str">
        <f ca="1">IFERROR(IFERROR(IF(VLOOKUP($A553,'Шаг2.Бланк заказа NEW'!$B$17:$N$201,8,0)="","",VLOOKUP($A553,'Шаг2.Бланк заказа NEW'!$B$17:$N$201,8,0)),
IF(VLOOKUP($A553-COUNT('Шаг2.Бланк заказа NEW'!$B$19:$B$201),'Бланк OLD 0.8 04'!$B$12:$K$200,7,0)&gt;1,0.8,
IF(VLOOKUP($A553-COUNT('Шаг2.Бланк заказа NEW'!$B$19:$B$201),'Бланк OLD 0.8 04'!$B$12:$K$200,8,0)&gt;1,0.4,
IF(AND(VLOOKUP($A553-COUNT('Шаг2.Бланк заказа NEW'!$B$19:$B$201),'Бланк OLD 0.8 04'!$B$12:$K$200,7,0)&gt;0,VLOOKUP($A553-COUNT('Шаг2.Бланк заказа NEW'!$B$19:$B$201),'Бланк OLD 0.8 04'!$B$12:$K$200,8,0)&gt;0),0.4,"")))),
IF(VLOOKUP($A553-COUNT('Шаг2.Бланк заказа NEW'!$B$19:$B$201)-COUNT('Бланк OLD 0.8 04'!$B$18:$B$200),'Бланк OLD 2.0 04 '!$B$16:$K$200,7,0)&gt;1,2,
IF(VLOOKUP($A553-COUNT('Шаг2.Бланк заказа NEW'!$B$19:$B$201)-COUNT('Бланк OLD 0.8 04'!$B$18:$B$200),'Бланк OLD 2.0 04 '!$B$16:$K$200,8,0)&gt;1,0.4,
IF(AND(VLOOKUP($A553-COUNT('Шаг2.Бланк заказа NEW'!$B$19:$B$201)-COUNT('Бланк OLD 0.8 04'!$B$18:$B$200),'Бланк OLD 2.0 04 '!$B$16:$K$200,7,0)&gt;0,VLOOKUP($A553-COUNT('Шаг2.Бланк заказа NEW'!$B$19:$B$201)-COUNT('Бланк OLD 0.8 04'!$B$18:$B$200),'Бланк OLD 2.0 04 '!$B$16:$K$200,8,0)&gt;0),0.4,""))))</f>
        <v/>
      </c>
      <c r="V553" s="146" t="str">
        <f ca="1">IFERROR(VLOOKUP(C553,'Шаг1.Выбор плиты'!C:S,12,0),"")</f>
        <v/>
      </c>
      <c r="W553" s="146" t="str">
        <f ca="1">IFERROR(VLOOKUP(C553,'Шаг1.Выбор плиты'!C:S,8,0),"")</f>
        <v/>
      </c>
      <c r="X553" s="146" t="str">
        <f ca="1">IFERROR(VLOOKUP(C553,'Шаг1.Выбор плиты'!C:S,10,0),"")</f>
        <v/>
      </c>
      <c r="Y553" s="147" t="str">
        <f t="shared" ca="1" si="51"/>
        <v/>
      </c>
      <c r="AD553" s="147" t="str">
        <f t="shared" ca="1" si="48"/>
        <v/>
      </c>
      <c r="AE553" s="147" t="str">
        <f t="shared" ca="1" si="52"/>
        <v/>
      </c>
      <c r="AF553" s="25"/>
      <c r="AH553" s="147" t="str">
        <f ca="1">IF(C553="","",VLOOKUP(C553,'Шаг1.Выбор плиты'!C:Q,7,0))</f>
        <v/>
      </c>
      <c r="AI553" s="147" t="str">
        <f t="shared" ca="1" si="50"/>
        <v/>
      </c>
    </row>
    <row r="554" spans="1:35" x14ac:dyDescent="0.2">
      <c r="A554" s="151" t="str">
        <f ca="1">IF(C554="","",MAX($A$1:OFFSET(C554,-1,0))+1)</f>
        <v/>
      </c>
      <c r="B554" s="151" t="str">
        <f ca="1">IFERROR(IFERROR(IFERROR("Шаг2.Бланк заказа NEW №"&amp;VLOOKUP(A553+1,CHOOSE({1,2},'Шаг2.Бланк заказа NEW'!$B$19:$B$201,'Шаг2.Бланк заказа NEW'!$A$19:$A$201),1,0),
"Бланк OLD 0.8 04 №"&amp;VLOOKUP(A553+1-COUNT('Шаг2.Бланк заказа NEW'!$B$19:$B$201),CHOOSE({1,2},'Бланк OLD 0.8 04'!$B$18:$B$200,'Бланк OLD 0.8 04'!$A$18:$A$200),1,0)),
"Бланк OLD 2.0 04 №"&amp;VLOOKUP(A553+1-COUNT('Шаг2.Бланк заказа NEW'!$B$19:$B$201)-COUNT('Бланк OLD 0.8 04'!$B$18:$B$200),CHOOSE({1,2},'Бланк OLD 2.0 04 '!$B$18:$B$200,'Бланк OLD 2.0 04 '!$A$18:$A$200),1,0)),"")</f>
        <v/>
      </c>
      <c r="C554" s="152" t="str">
        <f ca="1">IFERROR(IFERROR(IFERROR(VLOOKUP(A553+1,CHOOSE({1,2},'Шаг2.Бланк заказа NEW'!$B$19:$B$201,'Шаг2.Бланк заказа NEW'!$A$19:$A$201),2,0),
VLOOKUP(A553+1-COUNT('Шаг2.Бланк заказа NEW'!$B$19:$B$201),CHOOSE({1,2},'Бланк OLD 0.8 04'!$B$18:$B$200,'Бланк OLD 0.8 04'!$A$18:$A$200),2,0)),
VLOOKUP(A553+1-COUNT('Шаг2.Бланк заказа NEW'!$B$19:$B$201)-COUNT('Бланк OLD 0.8 04'!$B$18:$B$200),CHOOSE({1,2},'Бланк OLD 2.0 04 '!$B$18:$B$200,'Бланк OLD 2.0 04 '!$A$18:$A$200),2,0)),"")</f>
        <v/>
      </c>
      <c r="D554" s="150" t="str">
        <f ca="1">IFERROR(VLOOKUP(C554,'Шаг1.Выбор плиты'!C:G,5,0),"")</f>
        <v/>
      </c>
      <c r="E554" s="147" t="str">
        <f ca="1">IFERROR(IFERROR(IF(VLOOKUP($A554,'Шаг2.Бланк заказа NEW'!$B$17:$N$201,2,0)="","",VLOOKUP($A554,'Шаг2.Бланк заказа NEW'!$B$17:$N$201,2,0)),
IF(VLOOKUP($A554-COUNT('Шаг2.Бланк заказа NEW'!$B$19:$B$201),'Бланк OLD 0.8 04'!$B$12:$K$200,2,0)="","",VLOOKUP($A554-COUNT('Шаг2.Бланк заказа NEW'!$B$19:$B$201),'Бланк OLD 0.8 04'!$B$12:$K$200,2,0))),
IF(VLOOKUP($A554-COUNT('Шаг2.Бланк заказа NEW'!$B$19:$B$201)-COUNT('Бланк OLD 0.8 04'!$B$18:$B$200),'Бланк OLD 2.0 04 '!$B$16:$K$200,2,0)="","",VLOOKUP($A554-COUNT('Шаг2.Бланк заказа NEW'!$B$19:$B$201)-COUNT('Бланк OLD 0.8 04'!$B$18:$B$200),'Бланк OLD 2.0 04 '!$B$16:$K$200,2,0)))</f>
        <v/>
      </c>
      <c r="F554" s="147" t="str">
        <f ca="1">IFERROR(IFERROR(IF(VLOOKUP($A554,'Шаг2.Бланк заказа NEW'!$B$17:$N$201,3,0)="","",VLOOKUP($A554,'Шаг2.Бланк заказа NEW'!$B$17:$N$201,3,0)),
IF(VLOOKUP($A554-COUNT('Шаг2.Бланк заказа NEW'!$B$19:$B$201),'Бланк OLD 0.8 04'!$B$12:$K$200,3,0)="","",VLOOKUP($A554-COUNT('Шаг2.Бланк заказа NEW'!$B$19:$B$201),'Бланк OLD 0.8 04'!$B$12:$K$200,3,0))),
IF(VLOOKUP($A554-COUNT('Шаг2.Бланк заказа NEW'!$B$19:$B$201)-COUNT('Бланк OLD 0.8 04'!$B$18:$B$200),'Бланк OLD 2.0 04 '!$B$16:$K$200,3,0)="","",VLOOKUP($A554-COUNT('Шаг2.Бланк заказа NEW'!$B$19:$B$201)-COUNT('Бланк OLD 0.8 04'!$B$18:$B$200),'Бланк OLD 2.0 04 '!$B$16:$K$200,3,0)))</f>
        <v/>
      </c>
      <c r="G554" s="176" t="str">
        <f ca="1">IF(IF(R554="","",IF(R554=1,SUMIFS('Шаг1.Выбор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плиты'!C:Q,12,0)),1))))))=0,
R554,
IF(R554="","",IF(R554=1,SUMIFS('Шаг1.Выбор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плиты'!N:N,R554,'Шаг1.Выбор плиты'!M:M,SMALL(INDIRECT("мм"&amp;VLOOKUP(C554,'Шаг1.Выбор плиты'!C:Q,12,0)),1)))))))</f>
        <v/>
      </c>
      <c r="H554" s="177" t="str">
        <f ca="1">IF(IF(S554="","",IF(S554=1,SUMIFS('Шаг1.Выбор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плиты'!C:Q,12,0)),1))))))=0,
S554,
IF(S554="","",IF(S554=1,SUMIFS('Шаг1.Выбор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плиты'!N:N,S554,'Шаг1.Выбор плиты'!M:M,SMALL(INDIRECT("мм"&amp;VLOOKUP(C554,'Шаг1.Выбор плиты'!C:Q,12,0)),1)))))))</f>
        <v/>
      </c>
      <c r="I554" s="147" t="str">
        <f ca="1">IFERROR(IFERROR(IF(VLOOKUP($A554,'Шаг2.Бланк заказа NEW'!$B$17:$N$201,6,0)="","",VLOOKUP($A554,'Шаг2.Бланк заказа NEW'!$B$17:$N$201,6,0)),
IF(VLOOKUP($A554-COUNT('Шаг2.Бланк заказа NEW'!$B$19:$B$201),'Бланк OLD 0.8 04'!$B$12:$K$200,6,0)="","",VLOOKUP($A554-COUNT('Шаг2.Бланк заказа NEW'!$B$19:$B$201),'Бланк OLD 0.8 04'!$B$12:$K$200,6,0))),
IF(VLOOKUP($A554-COUNT('Шаг2.Бланк заказа NEW'!$B$19:$B$201)-COUNT('Бланк OLD 0.8 04'!$B$18:$B$200),'Бланк OLD 2.0 04 '!$B$16:$K$200,6,0)="","",VLOOKUP($A554-COUNT('Шаг2.Бланк заказа NEW'!$B$19:$B$201)-COUNT('Бланк OLD 0.8 04'!$B$18:$B$200),'Бланк OLD 2.0 04 '!$B$16:$K$200,6,0)))</f>
        <v/>
      </c>
      <c r="J554" s="177" t="str">
        <f ca="1">IF(IF(T554="","",IF(T554=1,SUMIFS('Шаг1.Выбор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плиты'!C:Q,12,0)),1))))))=0,
T554,
IF(T554="","",IF(T554=1,SUMIFS('Шаг1.Выбор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плиты'!N:N,T554,'Шаг1.Выбор плиты'!M:M,SMALL(INDIRECT("мм"&amp;VLOOKUP(C554,'Шаг1.Выбор плиты'!C:Q,12,0)),1)))))))</f>
        <v/>
      </c>
      <c r="K554" s="177" t="str">
        <f ca="1">IF(IF(U554="","",IF(U554=1,SUMIFS('Шаг1.Выбор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плиты'!C:Q,12,0)),1))))))=0,
U554,
IF(U554="","",IF(U554=1,SUMIFS('Шаг1.Выбор плиты'!$G:$G,'Шаг1.Выбор плиты'!J:J,"*"&amp;RIGHT(VLOOKUP(C554,'Шаг1.Выбор плиты'!C:Q,8,0),4),'Шаг1.Выбор плиты'!L:L,IF(MID(C554,1,6)="ЛДСП P","TM"&amp;MID(VLOOKUP(C554,'Шаг1.Выбор плиты'!C:Q,10,0),3,2),MID(VLOOKUP(C554,'Шаг1.Выбор плиты'!C:Q,10,0),1,2)),
'Шаг1.Выбор плиты'!N:N,1),IF(SUMIFS('Шаг1.Выбор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плиты'!C:Q,12,0)),1))=0,
IF(SUMIFS('Шаг1.Выбор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плиты'!C:Q,12,0)),2))=0,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плиты'!C:Q,12,0)),3)),
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плиты'!C:Q,12,0)),2))),
(SUMIFS('Шаг1.Выбор плиты'!$G:$G,'Шаг1.Выбор плиты'!J:J,"*"&amp;RIGHT(VLOOKUP(C554,'Шаг1.Выбор плиты'!C:Q,8,0),4),'Шаг1.Выбор плиты'!L:L,VLOOKUP(C554,'Шаг1.Выбор плиты'!C:Q,10,0),'Шаг1.Выбор плиты'!N:N,U554,'Шаг1.Выбор плиты'!M:M,SMALL(INDIRECT("мм"&amp;VLOOKUP(C554,'Шаг1.Выбор плиты'!C:Q,12,0)),1)))))))</f>
        <v/>
      </c>
      <c r="L554" s="147" t="str">
        <f ca="1">IFERROR(IFERROR(IF(VLOOKUP($A554,'Шаг2.Бланк заказа NEW'!$B$17:$N$201,9,0)="","",VLOOKUP($A554,'Шаг2.Бланк заказа NEW'!$B$17:$N$201,9,0)),
IF(VLOOKUP($A554-COUNT('Шаг2.Бланк заказа NEW'!$B$19:$B$201),'Бланк OLD 0.8 04'!$B$12:$K$200,9,0)="","",VLOOKUP($A554-COUNT('Шаг2.Бланк заказа NEW'!$B$19:$B$201),'Бланк OLD 0.8 04'!$B$12:$K$200,9,0))),
IF(VLOOKUP($A554-COUNT('Шаг2.Бланк заказа NEW'!$B$19:$B$201)-COUNT('Бланк OLD 0.8 04'!$B$18:$B$200),'Бланк OLD 2.0 04 '!$B$16:$K$200,9,0)="","",VLOOKUP($A554-COUNT('Шаг2.Бланк заказа NEW'!$B$19:$B$201)-COUNT('Бланк OLD 0.8 04'!$B$18:$B$200),'Бланк OLD 2.0 04 '!$B$16:$K$200,9,0)))</f>
        <v/>
      </c>
      <c r="M554" s="154" t="str">
        <f t="shared" ca="1" si="49"/>
        <v/>
      </c>
      <c r="N554" s="153" t="str">
        <f ca="1">IFERROR(IF(VLOOKUP($A554,'Шаг2.Бланк заказа NEW'!$B$17:$N$201,11,0)="","",VLOOKUP($A554,'Шаг2.Бланк заказа NEW'!$B$17:$N$201,11,0)),
"Нет")</f>
        <v/>
      </c>
      <c r="O554" s="147" t="str">
        <f ca="1">IFERROR(IF(VLOOKUP($A554,'Шаг2.Бланк заказа NEW'!$B$17:$N$201,11,0)="","",VLOOKUP($A554,'Шаг2.Бланк заказа NEW'!$B$17:$N$201,12,0)),
"Нет")</f>
        <v/>
      </c>
      <c r="P554" s="153" t="str">
        <f ca="1">IFERROR(IF(VLOOKUP($A554,'Шаг2.Бланк заказа NEW'!$B$17:$N$201,13,0)="","",VLOOKUP($A554,'Шаг2.Бланк заказа NEW'!$B$17:$N$201,13,0)),
"Нет")</f>
        <v/>
      </c>
      <c r="Q554" s="147" t="str">
        <f ca="1">IFERROR(IF(VLOOKUP($A554,'Шаг2.Бланк заказа NEW'!$B$17:$O$201,14,0)="","",VLOOKUP($A554,'Шаг2.Бланк заказа NEW'!$B$17:$O$201,14,0)),"")</f>
        <v/>
      </c>
      <c r="R554" s="147" t="str">
        <f ca="1">IFERROR(IFERROR(IF(VLOOKUP($A554,'Шаг2.Бланк заказа NEW'!$B$17:$N$201,4,0)="","",VLOOKUP($A554,'Шаг2.Бланк заказа NEW'!$B$17:$N$201,4,0)),
IF(VLOOKUP($A554-COUNT('Шаг2.Бланк заказа NEW'!$B$19:$B$201),'Бланк OLD 0.8 04'!$B$12:$K$200,4,0)&gt;0,0.8,
IF(VLOOKUP($A554-COUNT('Шаг2.Бланк заказа NEW'!$B$19:$B$201),'Бланк OLD 0.8 04'!$B$12:$K$200,5,0)&gt;0,0.4,""))),
IF(VLOOKUP($A554-COUNT('Шаг2.Бланк заказа NEW'!$B$19:$B$201)-COUNT('Бланк OLD 0.8 04'!$B$18:$B$200),'Бланк OLD 2.0 04 '!$B$16:$K$200,4,0)&gt;0,2,IF(VLOOKUP($A554-COUNT('Шаг2.Бланк заказа NEW'!$B$19:$B$201)-COUNT('Бланк OLD 0.8 04'!$B$18:$B$200),'Бланк OLD 2.0 04 '!$B$16:$K$200,5,0)&gt;0,0.4,"")))</f>
        <v/>
      </c>
      <c r="S554" s="147" t="str">
        <f ca="1">IFERROR(IFERROR(IF(VLOOKUP($A554,'Шаг2.Бланк заказа NEW'!$B$17:$N$201,5,0)="","",VLOOKUP($A554,'Шаг2.Бланк заказа NEW'!$B$17:$N$201,5,0)),
IF(VLOOKUP($A554-COUNT('Шаг2.Бланк заказа NEW'!$B$19:$B$201),'Бланк OLD 0.8 04'!$B$12:$K$200,4,0)&gt;1,0.8,
IF(VLOOKUP($A554-COUNT('Шаг2.Бланк заказа NEW'!$B$19:$B$201),'Бланк OLD 0.8 04'!$B$12:$K$200,5,0)&gt;1,0.4,
IF(AND(VLOOKUP($A554-COUNT('Шаг2.Бланк заказа NEW'!$B$19:$B$201),'Бланк OLD 0.8 04'!$B$12:$K$200,4,0)&gt;0,VLOOKUP($A554-COUNT('Шаг2.Бланк заказа NEW'!$B$19:$B$201),'Бланк OLD 0.8 04'!$B$12:$K$200,5,0)&gt;0),0.4,"")))),
IF(VLOOKUP($A554-COUNT('Шаг2.Бланк заказа NEW'!$B$19:$B$201)-COUNT('Бланк OLD 0.8 04'!$B$18:$B$200),'Бланк OLD 2.0 04 '!$B$16:$K$200,4,0)&gt;1,2,
IF(VLOOKUP($A554-COUNT('Шаг2.Бланк заказа NEW'!$B$19:$B$201)-COUNT('Бланк OLD 0.8 04'!$B$18:$B$200),'Бланк OLD 2.0 04 '!$B$16:$K$200,5,0)&gt;1,0.4,IF(AND(VLOOKUP($A554-COUNT('Шаг2.Бланк заказа NEW'!$B$19:$B$201)-COUNT('Бланк OLD 0.8 04'!$B$18:$B$200),'Бланк OLD 2.0 04 '!$B$16:$K$200,4,0)&gt;0,VLOOKUP($A554-COUNT('Шаг2.Бланк заказа NEW'!$B$19:$B$201)-COUNT('Бланк OLD 0.8 04'!$B$18:$B$200),'Бланк OLD 2.0 04 '!$B$16:$K$200,5,0)&gt;0),0.4,""))))</f>
        <v/>
      </c>
      <c r="T554" s="147" t="str">
        <f ca="1">IFERROR(IFERROR(IF(VLOOKUP($A554,'Шаг2.Бланк заказа NEW'!$B$17:$N$201,7,0)="","",VLOOKUP($A554,'Шаг2.Бланк заказа NEW'!$B$17:$N$201,7,0)),
IF(VLOOKUP($A554-COUNT('Шаг2.Бланк заказа NEW'!$B$19:$B$201),'Бланк OLD 0.8 04'!$B$12:$K$200,7,0)&gt;0,0.8,
IF(VLOOKUP($A554-COUNT('Шаг2.Бланк заказа NEW'!$B$19:$B$201),'Бланк OLD 0.8 04'!$B$12:$K$200,8,0)&gt;0,0.4,""))),
IF(VLOOKUP($A554-COUNT('Шаг2.Бланк заказа NEW'!$B$19:$B$201)-COUNT('Бланк OLD 0.8 04'!$B$18:$B$200),'Бланк OLD 2.0 04 '!$B$16:$K$200,7,0)&gt;0,2,IF(VLOOKUP($A554-COUNT('Шаг2.Бланк заказа NEW'!$B$19:$B$201)-COUNT('Бланк OLD 0.8 04'!$B$18:$B$200),'Бланк OLD 2.0 04 '!$B$16:$K$200,8,0)&gt;0,0.4,"")))</f>
        <v/>
      </c>
      <c r="U554" s="147" t="str">
        <f ca="1">IFERROR(IFERROR(IF(VLOOKUP($A554,'Шаг2.Бланк заказа NEW'!$B$17:$N$201,8,0)="","",VLOOKUP($A554,'Шаг2.Бланк заказа NEW'!$B$17:$N$201,8,0)),
IF(VLOOKUP($A554-COUNT('Шаг2.Бланк заказа NEW'!$B$19:$B$201),'Бланк OLD 0.8 04'!$B$12:$K$200,7,0)&gt;1,0.8,
IF(VLOOKUP($A554-COUNT('Шаг2.Бланк заказа NEW'!$B$19:$B$201),'Бланк OLD 0.8 04'!$B$12:$K$200,8,0)&gt;1,0.4,
IF(AND(VLOOKUP($A554-COUNT('Шаг2.Бланк заказа NEW'!$B$19:$B$201),'Бланк OLD 0.8 04'!$B$12:$K$200,7,0)&gt;0,VLOOKUP($A554-COUNT('Шаг2.Бланк заказа NEW'!$B$19:$B$201),'Бланк OLD 0.8 04'!$B$12:$K$200,8,0)&gt;0),0.4,"")))),
IF(VLOOKUP($A554-COUNT('Шаг2.Бланк заказа NEW'!$B$19:$B$201)-COUNT('Бланк OLD 0.8 04'!$B$18:$B$200),'Бланк OLD 2.0 04 '!$B$16:$K$200,7,0)&gt;1,2,
IF(VLOOKUP($A554-COUNT('Шаг2.Бланк заказа NEW'!$B$19:$B$201)-COUNT('Бланк OLD 0.8 04'!$B$18:$B$200),'Бланк OLD 2.0 04 '!$B$16:$K$200,8,0)&gt;1,0.4,
IF(AND(VLOOKUP($A554-COUNT('Шаг2.Бланк заказа NEW'!$B$19:$B$201)-COUNT('Бланк OLD 0.8 04'!$B$18:$B$200),'Бланк OLD 2.0 04 '!$B$16:$K$200,7,0)&gt;0,VLOOKUP($A554-COUNT('Шаг2.Бланк заказа NEW'!$B$19:$B$201)-COUNT('Бланк OLD 0.8 04'!$B$18:$B$200),'Бланк OLD 2.0 04 '!$B$16:$K$200,8,0)&gt;0),0.4,""))))</f>
        <v/>
      </c>
      <c r="V554" s="146" t="str">
        <f ca="1">IFERROR(VLOOKUP(C554,'Шаг1.Выбор плиты'!C:S,12,0),"")</f>
        <v/>
      </c>
      <c r="W554" s="146" t="str">
        <f ca="1">IFERROR(VLOOKUP(C554,'Шаг1.Выбор плиты'!C:S,8,0),"")</f>
        <v/>
      </c>
      <c r="X554" s="146" t="str">
        <f ca="1">IFERROR(VLOOKUP(C554,'Шаг1.Выбор плиты'!C:S,10,0),"")</f>
        <v/>
      </c>
      <c r="Y554" s="147" t="str">
        <f t="shared" ca="1" si="51"/>
        <v/>
      </c>
      <c r="AD554" s="147" t="str">
        <f t="shared" ca="1" si="48"/>
        <v/>
      </c>
      <c r="AE554" s="147" t="str">
        <f t="shared" ca="1" si="52"/>
        <v/>
      </c>
      <c r="AF554" s="25"/>
      <c r="AH554" s="147" t="str">
        <f ca="1">IF(C554="","",VLOOKUP(C554,'Шаг1.Выбор плиты'!C:Q,7,0))</f>
        <v/>
      </c>
      <c r="AI554" s="147" t="str">
        <f t="shared" ca="1" si="50"/>
        <v/>
      </c>
    </row>
    <row r="555" spans="1:35" x14ac:dyDescent="0.2">
      <c r="A555" s="151" t="str">
        <f ca="1">IF(C555="","",MAX($A$1:OFFSET(C555,-1,0))+1)</f>
        <v/>
      </c>
      <c r="B555" s="151" t="str">
        <f ca="1">IFERROR(IFERROR(IFERROR("Шаг2.Бланк заказа NEW №"&amp;VLOOKUP(A554+1,CHOOSE({1,2},'Шаг2.Бланк заказа NEW'!$B$19:$B$201,'Шаг2.Бланк заказа NEW'!$A$19:$A$201),1,0),
"Бланк OLD 0.8 04 №"&amp;VLOOKUP(A554+1-COUNT('Шаг2.Бланк заказа NEW'!$B$19:$B$201),CHOOSE({1,2},'Бланк OLD 0.8 04'!$B$18:$B$200,'Бланк OLD 0.8 04'!$A$18:$A$200),1,0)),
"Бланк OLD 2.0 04 №"&amp;VLOOKUP(A554+1-COUNT('Шаг2.Бланк заказа NEW'!$B$19:$B$201)-COUNT('Бланк OLD 0.8 04'!$B$18:$B$200),CHOOSE({1,2},'Бланк OLD 2.0 04 '!$B$18:$B$200,'Бланк OLD 2.0 04 '!$A$18:$A$200),1,0)),"")</f>
        <v/>
      </c>
      <c r="C555" s="152" t="str">
        <f ca="1">IFERROR(IFERROR(IFERROR(VLOOKUP(A554+1,CHOOSE({1,2},'Шаг2.Бланк заказа NEW'!$B$19:$B$201,'Шаг2.Бланк заказа NEW'!$A$19:$A$201),2,0),
VLOOKUP(A554+1-COUNT('Шаг2.Бланк заказа NEW'!$B$19:$B$201),CHOOSE({1,2},'Бланк OLD 0.8 04'!$B$18:$B$200,'Бланк OLD 0.8 04'!$A$18:$A$200),2,0)),
VLOOKUP(A554+1-COUNT('Шаг2.Бланк заказа NEW'!$B$19:$B$201)-COUNT('Бланк OLD 0.8 04'!$B$18:$B$200),CHOOSE({1,2},'Бланк OLD 2.0 04 '!$B$18:$B$200,'Бланк OLD 2.0 04 '!$A$18:$A$200),2,0)),"")</f>
        <v/>
      </c>
      <c r="D555" s="150" t="str">
        <f ca="1">IFERROR(VLOOKUP(C555,'Шаг1.Выбор плиты'!C:G,5,0),"")</f>
        <v/>
      </c>
      <c r="E555" s="147" t="str">
        <f ca="1">IFERROR(IFERROR(IF(VLOOKUP($A555,'Шаг2.Бланк заказа NEW'!$B$17:$N$201,2,0)="","",VLOOKUP($A555,'Шаг2.Бланк заказа NEW'!$B$17:$N$201,2,0)),
IF(VLOOKUP($A555-COUNT('Шаг2.Бланк заказа NEW'!$B$19:$B$201),'Бланк OLD 0.8 04'!$B$12:$K$200,2,0)="","",VLOOKUP($A555-COUNT('Шаг2.Бланк заказа NEW'!$B$19:$B$201),'Бланк OLD 0.8 04'!$B$12:$K$200,2,0))),
IF(VLOOKUP($A555-COUNT('Шаг2.Бланк заказа NEW'!$B$19:$B$201)-COUNT('Бланк OLD 0.8 04'!$B$18:$B$200),'Бланк OLD 2.0 04 '!$B$16:$K$200,2,0)="","",VLOOKUP($A555-COUNT('Шаг2.Бланк заказа NEW'!$B$19:$B$201)-COUNT('Бланк OLD 0.8 04'!$B$18:$B$200),'Бланк OLD 2.0 04 '!$B$16:$K$200,2,0)))</f>
        <v/>
      </c>
      <c r="F555" s="147" t="str">
        <f ca="1">IFERROR(IFERROR(IF(VLOOKUP($A555,'Шаг2.Бланк заказа NEW'!$B$17:$N$201,3,0)="","",VLOOKUP($A555,'Шаг2.Бланк заказа NEW'!$B$17:$N$201,3,0)),
IF(VLOOKUP($A555-COUNT('Шаг2.Бланк заказа NEW'!$B$19:$B$201),'Бланк OLD 0.8 04'!$B$12:$K$200,3,0)="","",VLOOKUP($A555-COUNT('Шаг2.Бланк заказа NEW'!$B$19:$B$201),'Бланк OLD 0.8 04'!$B$12:$K$200,3,0))),
IF(VLOOKUP($A555-COUNT('Шаг2.Бланк заказа NEW'!$B$19:$B$201)-COUNT('Бланк OLD 0.8 04'!$B$18:$B$200),'Бланк OLD 2.0 04 '!$B$16:$K$200,3,0)="","",VLOOKUP($A555-COUNT('Шаг2.Бланк заказа NEW'!$B$19:$B$201)-COUNT('Бланк OLD 0.8 04'!$B$18:$B$200),'Бланк OLD 2.0 04 '!$B$16:$K$200,3,0)))</f>
        <v/>
      </c>
      <c r="G555" s="176" t="str">
        <f ca="1">IF(IF(R555="","",IF(R555=1,SUMIFS('Шаг1.Выбор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плиты'!C:Q,12,0)),1))))))=0,
R555,
IF(R555="","",IF(R555=1,SUMIFS('Шаг1.Выбор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плиты'!N:N,R555,'Шаг1.Выбор плиты'!M:M,SMALL(INDIRECT("мм"&amp;VLOOKUP(C555,'Шаг1.Выбор плиты'!C:Q,12,0)),1)))))))</f>
        <v/>
      </c>
      <c r="H555" s="177" t="str">
        <f ca="1">IF(IF(S555="","",IF(S555=1,SUMIFS('Шаг1.Выбор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плиты'!C:Q,12,0)),1))))))=0,
S555,
IF(S555="","",IF(S555=1,SUMIFS('Шаг1.Выбор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плиты'!N:N,S555,'Шаг1.Выбор плиты'!M:M,SMALL(INDIRECT("мм"&amp;VLOOKUP(C555,'Шаг1.Выбор плиты'!C:Q,12,0)),1)))))))</f>
        <v/>
      </c>
      <c r="I555" s="147" t="str">
        <f ca="1">IFERROR(IFERROR(IF(VLOOKUP($A555,'Шаг2.Бланк заказа NEW'!$B$17:$N$201,6,0)="","",VLOOKUP($A555,'Шаг2.Бланк заказа NEW'!$B$17:$N$201,6,0)),
IF(VLOOKUP($A555-COUNT('Шаг2.Бланк заказа NEW'!$B$19:$B$201),'Бланк OLD 0.8 04'!$B$12:$K$200,6,0)="","",VLOOKUP($A555-COUNT('Шаг2.Бланк заказа NEW'!$B$19:$B$201),'Бланк OLD 0.8 04'!$B$12:$K$200,6,0))),
IF(VLOOKUP($A555-COUNT('Шаг2.Бланк заказа NEW'!$B$19:$B$201)-COUNT('Бланк OLD 0.8 04'!$B$18:$B$200),'Бланк OLD 2.0 04 '!$B$16:$K$200,6,0)="","",VLOOKUP($A555-COUNT('Шаг2.Бланк заказа NEW'!$B$19:$B$201)-COUNT('Бланк OLD 0.8 04'!$B$18:$B$200),'Бланк OLD 2.0 04 '!$B$16:$K$200,6,0)))</f>
        <v/>
      </c>
      <c r="J555" s="177" t="str">
        <f ca="1">IF(IF(T555="","",IF(T555=1,SUMIFS('Шаг1.Выбор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плиты'!C:Q,12,0)),1))))))=0,
T555,
IF(T555="","",IF(T555=1,SUMIFS('Шаг1.Выбор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плиты'!N:N,T555,'Шаг1.Выбор плиты'!M:M,SMALL(INDIRECT("мм"&amp;VLOOKUP(C555,'Шаг1.Выбор плиты'!C:Q,12,0)),1)))))))</f>
        <v/>
      </c>
      <c r="K555" s="177" t="str">
        <f ca="1">IF(IF(U555="","",IF(U555=1,SUMIFS('Шаг1.Выбор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плиты'!C:Q,12,0)),1))))))=0,
U555,
IF(U555="","",IF(U555=1,SUMIFS('Шаг1.Выбор плиты'!$G:$G,'Шаг1.Выбор плиты'!J:J,"*"&amp;RIGHT(VLOOKUP(C555,'Шаг1.Выбор плиты'!C:Q,8,0),4),'Шаг1.Выбор плиты'!L:L,IF(MID(C555,1,6)="ЛДСП P","TM"&amp;MID(VLOOKUP(C555,'Шаг1.Выбор плиты'!C:Q,10,0),3,2),MID(VLOOKUP(C555,'Шаг1.Выбор плиты'!C:Q,10,0),1,2)),
'Шаг1.Выбор плиты'!N:N,1),IF(SUMIFS('Шаг1.Выбор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плиты'!C:Q,12,0)),1))=0,
IF(SUMIFS('Шаг1.Выбор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плиты'!C:Q,12,0)),2))=0,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плиты'!C:Q,12,0)),3)),
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плиты'!C:Q,12,0)),2))),
(SUMIFS('Шаг1.Выбор плиты'!$G:$G,'Шаг1.Выбор плиты'!J:J,"*"&amp;RIGHT(VLOOKUP(C555,'Шаг1.Выбор плиты'!C:Q,8,0),4),'Шаг1.Выбор плиты'!L:L,VLOOKUP(C555,'Шаг1.Выбор плиты'!C:Q,10,0),'Шаг1.Выбор плиты'!N:N,U555,'Шаг1.Выбор плиты'!M:M,SMALL(INDIRECT("мм"&amp;VLOOKUP(C555,'Шаг1.Выбор плиты'!C:Q,12,0)),1)))))))</f>
        <v/>
      </c>
      <c r="L555" s="147" t="str">
        <f ca="1">IFERROR(IFERROR(IF(VLOOKUP($A555,'Шаг2.Бланк заказа NEW'!$B$17:$N$201,9,0)="","",VLOOKUP($A555,'Шаг2.Бланк заказа NEW'!$B$17:$N$201,9,0)),
IF(VLOOKUP($A555-COUNT('Шаг2.Бланк заказа NEW'!$B$19:$B$201),'Бланк OLD 0.8 04'!$B$12:$K$200,9,0)="","",VLOOKUP($A555-COUNT('Шаг2.Бланк заказа NEW'!$B$19:$B$201),'Бланк OLD 0.8 04'!$B$12:$K$200,9,0))),
IF(VLOOKUP($A555-COUNT('Шаг2.Бланк заказа NEW'!$B$19:$B$201)-COUNT('Бланк OLD 0.8 04'!$B$18:$B$200),'Бланк OLD 2.0 04 '!$B$16:$K$200,9,0)="","",VLOOKUP($A555-COUNT('Шаг2.Бланк заказа NEW'!$B$19:$B$201)-COUNT('Бланк OLD 0.8 04'!$B$18:$B$200),'Бланк OLD 2.0 04 '!$B$16:$K$200,9,0)))</f>
        <v/>
      </c>
      <c r="M555" s="154" t="str">
        <f t="shared" ca="1" si="49"/>
        <v/>
      </c>
      <c r="N555" s="153" t="str">
        <f ca="1">IFERROR(IF(VLOOKUP($A555,'Шаг2.Бланк заказа NEW'!$B$17:$N$201,11,0)="","",VLOOKUP($A555,'Шаг2.Бланк заказа NEW'!$B$17:$N$201,11,0)),
"Нет")</f>
        <v/>
      </c>
      <c r="O555" s="147" t="str">
        <f ca="1">IFERROR(IF(VLOOKUP($A555,'Шаг2.Бланк заказа NEW'!$B$17:$N$201,11,0)="","",VLOOKUP($A555,'Шаг2.Бланк заказа NEW'!$B$17:$N$201,12,0)),
"Нет")</f>
        <v/>
      </c>
      <c r="P555" s="153" t="str">
        <f ca="1">IFERROR(IF(VLOOKUP($A555,'Шаг2.Бланк заказа NEW'!$B$17:$N$201,13,0)="","",VLOOKUP($A555,'Шаг2.Бланк заказа NEW'!$B$17:$N$201,13,0)),
"Нет")</f>
        <v/>
      </c>
      <c r="Q555" s="147" t="str">
        <f ca="1">IFERROR(IF(VLOOKUP($A555,'Шаг2.Бланк заказа NEW'!$B$17:$O$201,14,0)="","",VLOOKUP($A555,'Шаг2.Бланк заказа NEW'!$B$17:$O$201,14,0)),"")</f>
        <v/>
      </c>
      <c r="R555" s="147" t="str">
        <f ca="1">IFERROR(IFERROR(IF(VLOOKUP($A555,'Шаг2.Бланк заказа NEW'!$B$17:$N$201,4,0)="","",VLOOKUP($A555,'Шаг2.Бланк заказа NEW'!$B$17:$N$201,4,0)),
IF(VLOOKUP($A555-COUNT('Шаг2.Бланк заказа NEW'!$B$19:$B$201),'Бланк OLD 0.8 04'!$B$12:$K$200,4,0)&gt;0,0.8,
IF(VLOOKUP($A555-COUNT('Шаг2.Бланк заказа NEW'!$B$19:$B$201),'Бланк OLD 0.8 04'!$B$12:$K$200,5,0)&gt;0,0.4,""))),
IF(VLOOKUP($A555-COUNT('Шаг2.Бланк заказа NEW'!$B$19:$B$201)-COUNT('Бланк OLD 0.8 04'!$B$18:$B$200),'Бланк OLD 2.0 04 '!$B$16:$K$200,4,0)&gt;0,2,IF(VLOOKUP($A555-COUNT('Шаг2.Бланк заказа NEW'!$B$19:$B$201)-COUNT('Бланк OLD 0.8 04'!$B$18:$B$200),'Бланк OLD 2.0 04 '!$B$16:$K$200,5,0)&gt;0,0.4,"")))</f>
        <v/>
      </c>
      <c r="S555" s="147" t="str">
        <f ca="1">IFERROR(IFERROR(IF(VLOOKUP($A555,'Шаг2.Бланк заказа NEW'!$B$17:$N$201,5,0)="","",VLOOKUP($A555,'Шаг2.Бланк заказа NEW'!$B$17:$N$201,5,0)),
IF(VLOOKUP($A555-COUNT('Шаг2.Бланк заказа NEW'!$B$19:$B$201),'Бланк OLD 0.8 04'!$B$12:$K$200,4,0)&gt;1,0.8,
IF(VLOOKUP($A555-COUNT('Шаг2.Бланк заказа NEW'!$B$19:$B$201),'Бланк OLD 0.8 04'!$B$12:$K$200,5,0)&gt;1,0.4,
IF(AND(VLOOKUP($A555-COUNT('Шаг2.Бланк заказа NEW'!$B$19:$B$201),'Бланк OLD 0.8 04'!$B$12:$K$200,4,0)&gt;0,VLOOKUP($A555-COUNT('Шаг2.Бланк заказа NEW'!$B$19:$B$201),'Бланк OLD 0.8 04'!$B$12:$K$200,5,0)&gt;0),0.4,"")))),
IF(VLOOKUP($A555-COUNT('Шаг2.Бланк заказа NEW'!$B$19:$B$201)-COUNT('Бланк OLD 0.8 04'!$B$18:$B$200),'Бланк OLD 2.0 04 '!$B$16:$K$200,4,0)&gt;1,2,
IF(VLOOKUP($A555-COUNT('Шаг2.Бланк заказа NEW'!$B$19:$B$201)-COUNT('Бланк OLD 0.8 04'!$B$18:$B$200),'Бланк OLD 2.0 04 '!$B$16:$K$200,5,0)&gt;1,0.4,IF(AND(VLOOKUP($A555-COUNT('Шаг2.Бланк заказа NEW'!$B$19:$B$201)-COUNT('Бланк OLD 0.8 04'!$B$18:$B$200),'Бланк OLD 2.0 04 '!$B$16:$K$200,4,0)&gt;0,VLOOKUP($A555-COUNT('Шаг2.Бланк заказа NEW'!$B$19:$B$201)-COUNT('Бланк OLD 0.8 04'!$B$18:$B$200),'Бланк OLD 2.0 04 '!$B$16:$K$200,5,0)&gt;0),0.4,""))))</f>
        <v/>
      </c>
      <c r="T555" s="147" t="str">
        <f ca="1">IFERROR(IFERROR(IF(VLOOKUP($A555,'Шаг2.Бланк заказа NEW'!$B$17:$N$201,7,0)="","",VLOOKUP($A555,'Шаг2.Бланк заказа NEW'!$B$17:$N$201,7,0)),
IF(VLOOKUP($A555-COUNT('Шаг2.Бланк заказа NEW'!$B$19:$B$201),'Бланк OLD 0.8 04'!$B$12:$K$200,7,0)&gt;0,0.8,
IF(VLOOKUP($A555-COUNT('Шаг2.Бланк заказа NEW'!$B$19:$B$201),'Бланк OLD 0.8 04'!$B$12:$K$200,8,0)&gt;0,0.4,""))),
IF(VLOOKUP($A555-COUNT('Шаг2.Бланк заказа NEW'!$B$19:$B$201)-COUNT('Бланк OLD 0.8 04'!$B$18:$B$200),'Бланк OLD 2.0 04 '!$B$16:$K$200,7,0)&gt;0,2,IF(VLOOKUP($A555-COUNT('Шаг2.Бланк заказа NEW'!$B$19:$B$201)-COUNT('Бланк OLD 0.8 04'!$B$18:$B$200),'Бланк OLD 2.0 04 '!$B$16:$K$200,8,0)&gt;0,0.4,"")))</f>
        <v/>
      </c>
      <c r="U555" s="147" t="str">
        <f ca="1">IFERROR(IFERROR(IF(VLOOKUP($A555,'Шаг2.Бланк заказа NEW'!$B$17:$N$201,8,0)="","",VLOOKUP($A555,'Шаг2.Бланк заказа NEW'!$B$17:$N$201,8,0)),
IF(VLOOKUP($A555-COUNT('Шаг2.Бланк заказа NEW'!$B$19:$B$201),'Бланк OLD 0.8 04'!$B$12:$K$200,7,0)&gt;1,0.8,
IF(VLOOKUP($A555-COUNT('Шаг2.Бланк заказа NEW'!$B$19:$B$201),'Бланк OLD 0.8 04'!$B$12:$K$200,8,0)&gt;1,0.4,
IF(AND(VLOOKUP($A555-COUNT('Шаг2.Бланк заказа NEW'!$B$19:$B$201),'Бланк OLD 0.8 04'!$B$12:$K$200,7,0)&gt;0,VLOOKUP($A555-COUNT('Шаг2.Бланк заказа NEW'!$B$19:$B$201),'Бланк OLD 0.8 04'!$B$12:$K$200,8,0)&gt;0),0.4,"")))),
IF(VLOOKUP($A555-COUNT('Шаг2.Бланк заказа NEW'!$B$19:$B$201)-COUNT('Бланк OLD 0.8 04'!$B$18:$B$200),'Бланк OLD 2.0 04 '!$B$16:$K$200,7,0)&gt;1,2,
IF(VLOOKUP($A555-COUNT('Шаг2.Бланк заказа NEW'!$B$19:$B$201)-COUNT('Бланк OLD 0.8 04'!$B$18:$B$200),'Бланк OLD 2.0 04 '!$B$16:$K$200,8,0)&gt;1,0.4,
IF(AND(VLOOKUP($A555-COUNT('Шаг2.Бланк заказа NEW'!$B$19:$B$201)-COUNT('Бланк OLD 0.8 04'!$B$18:$B$200),'Бланк OLD 2.0 04 '!$B$16:$K$200,7,0)&gt;0,VLOOKUP($A555-COUNT('Шаг2.Бланк заказа NEW'!$B$19:$B$201)-COUNT('Бланк OLD 0.8 04'!$B$18:$B$200),'Бланк OLD 2.0 04 '!$B$16:$K$200,8,0)&gt;0),0.4,""))))</f>
        <v/>
      </c>
      <c r="V555" s="146" t="str">
        <f ca="1">IFERROR(VLOOKUP(C555,'Шаг1.Выбор плиты'!C:S,12,0),"")</f>
        <v/>
      </c>
      <c r="W555" s="146" t="str">
        <f ca="1">IFERROR(VLOOKUP(C555,'Шаг1.Выбор плиты'!C:S,8,0),"")</f>
        <v/>
      </c>
      <c r="X555" s="146" t="str">
        <f ca="1">IFERROR(VLOOKUP(C555,'Шаг1.Выбор плиты'!C:S,10,0),"")</f>
        <v/>
      </c>
      <c r="Y555" s="147" t="str">
        <f t="shared" ca="1" si="51"/>
        <v/>
      </c>
      <c r="AD555" s="147" t="str">
        <f t="shared" ca="1" si="48"/>
        <v/>
      </c>
      <c r="AE555" s="147" t="str">
        <f t="shared" ca="1" si="52"/>
        <v/>
      </c>
      <c r="AF555" s="25"/>
      <c r="AH555" s="147" t="str">
        <f ca="1">IF(C555="","",VLOOKUP(C555,'Шаг1.Выбор плиты'!C:Q,7,0))</f>
        <v/>
      </c>
      <c r="AI555" s="147" t="str">
        <f t="shared" ca="1" si="50"/>
        <v/>
      </c>
    </row>
    <row r="556" spans="1:35" x14ac:dyDescent="0.2">
      <c r="A556" s="151" t="str">
        <f ca="1">IF(C556="","",MAX($A$1:OFFSET(C556,-1,0))+1)</f>
        <v/>
      </c>
      <c r="B556" s="151" t="str">
        <f ca="1">IFERROR(IFERROR(IFERROR("Шаг2.Бланк заказа NEW №"&amp;VLOOKUP(A555+1,CHOOSE({1,2},'Шаг2.Бланк заказа NEW'!$B$19:$B$201,'Шаг2.Бланк заказа NEW'!$A$19:$A$201),1,0),
"Бланк OLD 0.8 04 №"&amp;VLOOKUP(A555+1-COUNT('Шаг2.Бланк заказа NEW'!$B$19:$B$201),CHOOSE({1,2},'Бланк OLD 0.8 04'!$B$18:$B$200,'Бланк OLD 0.8 04'!$A$18:$A$200),1,0)),
"Бланк OLD 2.0 04 №"&amp;VLOOKUP(A555+1-COUNT('Шаг2.Бланк заказа NEW'!$B$19:$B$201)-COUNT('Бланк OLD 0.8 04'!$B$18:$B$200),CHOOSE({1,2},'Бланк OLD 2.0 04 '!$B$18:$B$200,'Бланк OLD 2.0 04 '!$A$18:$A$200),1,0)),"")</f>
        <v/>
      </c>
      <c r="C556" s="152" t="str">
        <f ca="1">IFERROR(IFERROR(IFERROR(VLOOKUP(A555+1,CHOOSE({1,2},'Шаг2.Бланк заказа NEW'!$B$19:$B$201,'Шаг2.Бланк заказа NEW'!$A$19:$A$201),2,0),
VLOOKUP(A555+1-COUNT('Шаг2.Бланк заказа NEW'!$B$19:$B$201),CHOOSE({1,2},'Бланк OLD 0.8 04'!$B$18:$B$200,'Бланк OLD 0.8 04'!$A$18:$A$200),2,0)),
VLOOKUP(A555+1-COUNT('Шаг2.Бланк заказа NEW'!$B$19:$B$201)-COUNT('Бланк OLD 0.8 04'!$B$18:$B$200),CHOOSE({1,2},'Бланк OLD 2.0 04 '!$B$18:$B$200,'Бланк OLD 2.0 04 '!$A$18:$A$200),2,0)),"")</f>
        <v/>
      </c>
      <c r="D556" s="150" t="str">
        <f ca="1">IFERROR(VLOOKUP(C556,'Шаг1.Выбор плиты'!C:G,5,0),"")</f>
        <v/>
      </c>
      <c r="E556" s="147" t="str">
        <f ca="1">IFERROR(IFERROR(IF(VLOOKUP($A556,'Шаг2.Бланк заказа NEW'!$B$17:$N$201,2,0)="","",VLOOKUP($A556,'Шаг2.Бланк заказа NEW'!$B$17:$N$201,2,0)),
IF(VLOOKUP($A556-COUNT('Шаг2.Бланк заказа NEW'!$B$19:$B$201),'Бланк OLD 0.8 04'!$B$12:$K$200,2,0)="","",VLOOKUP($A556-COUNT('Шаг2.Бланк заказа NEW'!$B$19:$B$201),'Бланк OLD 0.8 04'!$B$12:$K$200,2,0))),
IF(VLOOKUP($A556-COUNT('Шаг2.Бланк заказа NEW'!$B$19:$B$201)-COUNT('Бланк OLD 0.8 04'!$B$18:$B$200),'Бланк OLD 2.0 04 '!$B$16:$K$200,2,0)="","",VLOOKUP($A556-COUNT('Шаг2.Бланк заказа NEW'!$B$19:$B$201)-COUNT('Бланк OLD 0.8 04'!$B$18:$B$200),'Бланк OLD 2.0 04 '!$B$16:$K$200,2,0)))</f>
        <v/>
      </c>
      <c r="F556" s="147" t="str">
        <f ca="1">IFERROR(IFERROR(IF(VLOOKUP($A556,'Шаг2.Бланк заказа NEW'!$B$17:$N$201,3,0)="","",VLOOKUP($A556,'Шаг2.Бланк заказа NEW'!$B$17:$N$201,3,0)),
IF(VLOOKUP($A556-COUNT('Шаг2.Бланк заказа NEW'!$B$19:$B$201),'Бланк OLD 0.8 04'!$B$12:$K$200,3,0)="","",VLOOKUP($A556-COUNT('Шаг2.Бланк заказа NEW'!$B$19:$B$201),'Бланк OLD 0.8 04'!$B$12:$K$200,3,0))),
IF(VLOOKUP($A556-COUNT('Шаг2.Бланк заказа NEW'!$B$19:$B$201)-COUNT('Бланк OLD 0.8 04'!$B$18:$B$200),'Бланк OLD 2.0 04 '!$B$16:$K$200,3,0)="","",VLOOKUP($A556-COUNT('Шаг2.Бланк заказа NEW'!$B$19:$B$201)-COUNT('Бланк OLD 0.8 04'!$B$18:$B$200),'Бланк OLD 2.0 04 '!$B$16:$K$200,3,0)))</f>
        <v/>
      </c>
      <c r="G556" s="176" t="str">
        <f ca="1">IF(IF(R556="","",IF(R556=1,SUMIFS('Шаг1.Выбор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плиты'!C:Q,12,0)),1))))))=0,
R556,
IF(R556="","",IF(R556=1,SUMIFS('Шаг1.Выбор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плиты'!N:N,R556,'Шаг1.Выбор плиты'!M:M,SMALL(INDIRECT("мм"&amp;VLOOKUP(C556,'Шаг1.Выбор плиты'!C:Q,12,0)),1)))))))</f>
        <v/>
      </c>
      <c r="H556" s="177" t="str">
        <f ca="1">IF(IF(S556="","",IF(S556=1,SUMIFS('Шаг1.Выбор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плиты'!C:Q,12,0)),1))))))=0,
S556,
IF(S556="","",IF(S556=1,SUMIFS('Шаг1.Выбор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плиты'!N:N,S556,'Шаг1.Выбор плиты'!M:M,SMALL(INDIRECT("мм"&amp;VLOOKUP(C556,'Шаг1.Выбор плиты'!C:Q,12,0)),1)))))))</f>
        <v/>
      </c>
      <c r="I556" s="147" t="str">
        <f ca="1">IFERROR(IFERROR(IF(VLOOKUP($A556,'Шаг2.Бланк заказа NEW'!$B$17:$N$201,6,0)="","",VLOOKUP($A556,'Шаг2.Бланк заказа NEW'!$B$17:$N$201,6,0)),
IF(VLOOKUP($A556-COUNT('Шаг2.Бланк заказа NEW'!$B$19:$B$201),'Бланк OLD 0.8 04'!$B$12:$K$200,6,0)="","",VLOOKUP($A556-COUNT('Шаг2.Бланк заказа NEW'!$B$19:$B$201),'Бланк OLD 0.8 04'!$B$12:$K$200,6,0))),
IF(VLOOKUP($A556-COUNT('Шаг2.Бланк заказа NEW'!$B$19:$B$201)-COUNT('Бланк OLD 0.8 04'!$B$18:$B$200),'Бланк OLD 2.0 04 '!$B$16:$K$200,6,0)="","",VLOOKUP($A556-COUNT('Шаг2.Бланк заказа NEW'!$B$19:$B$201)-COUNT('Бланк OLD 0.8 04'!$B$18:$B$200),'Бланк OLD 2.0 04 '!$B$16:$K$200,6,0)))</f>
        <v/>
      </c>
      <c r="J556" s="177" t="str">
        <f ca="1">IF(IF(T556="","",IF(T556=1,SUMIFS('Шаг1.Выбор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плиты'!C:Q,12,0)),1))))))=0,
T556,
IF(T556="","",IF(T556=1,SUMIFS('Шаг1.Выбор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плиты'!N:N,T556,'Шаг1.Выбор плиты'!M:M,SMALL(INDIRECT("мм"&amp;VLOOKUP(C556,'Шаг1.Выбор плиты'!C:Q,12,0)),1)))))))</f>
        <v/>
      </c>
      <c r="K556" s="177" t="str">
        <f ca="1">IF(IF(U556="","",IF(U556=1,SUMIFS('Шаг1.Выбор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плиты'!C:Q,12,0)),1))))))=0,
U556,
IF(U556="","",IF(U556=1,SUMIFS('Шаг1.Выбор плиты'!$G:$G,'Шаг1.Выбор плиты'!J:J,"*"&amp;RIGHT(VLOOKUP(C556,'Шаг1.Выбор плиты'!C:Q,8,0),4),'Шаг1.Выбор плиты'!L:L,IF(MID(C556,1,6)="ЛДСП P","TM"&amp;MID(VLOOKUP(C556,'Шаг1.Выбор плиты'!C:Q,10,0),3,2),MID(VLOOKUP(C556,'Шаг1.Выбор плиты'!C:Q,10,0),1,2)),
'Шаг1.Выбор плиты'!N:N,1),IF(SUMIFS('Шаг1.Выбор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плиты'!C:Q,12,0)),1))=0,
IF(SUMIFS('Шаг1.Выбор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плиты'!C:Q,12,0)),2))=0,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плиты'!C:Q,12,0)),3)),
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плиты'!C:Q,12,0)),2))),
(SUMIFS('Шаг1.Выбор плиты'!$G:$G,'Шаг1.Выбор плиты'!J:J,"*"&amp;RIGHT(VLOOKUP(C556,'Шаг1.Выбор плиты'!C:Q,8,0),4),'Шаг1.Выбор плиты'!L:L,VLOOKUP(C556,'Шаг1.Выбор плиты'!C:Q,10,0),'Шаг1.Выбор плиты'!N:N,U556,'Шаг1.Выбор плиты'!M:M,SMALL(INDIRECT("мм"&amp;VLOOKUP(C556,'Шаг1.Выбор плиты'!C:Q,12,0)),1)))))))</f>
        <v/>
      </c>
      <c r="L556" s="147" t="str">
        <f ca="1">IFERROR(IFERROR(IF(VLOOKUP($A556,'Шаг2.Бланк заказа NEW'!$B$17:$N$201,9,0)="","",VLOOKUP($A556,'Шаг2.Бланк заказа NEW'!$B$17:$N$201,9,0)),
IF(VLOOKUP($A556-COUNT('Шаг2.Бланк заказа NEW'!$B$19:$B$201),'Бланк OLD 0.8 04'!$B$12:$K$200,9,0)="","",VLOOKUP($A556-COUNT('Шаг2.Бланк заказа NEW'!$B$19:$B$201),'Бланк OLD 0.8 04'!$B$12:$K$200,9,0))),
IF(VLOOKUP($A556-COUNT('Шаг2.Бланк заказа NEW'!$B$19:$B$201)-COUNT('Бланк OLD 0.8 04'!$B$18:$B$200),'Бланк OLD 2.0 04 '!$B$16:$K$200,9,0)="","",VLOOKUP($A556-COUNT('Шаг2.Бланк заказа NEW'!$B$19:$B$201)-COUNT('Бланк OLD 0.8 04'!$B$18:$B$200),'Бланк OLD 2.0 04 '!$B$16:$K$200,9,0)))</f>
        <v/>
      </c>
      <c r="M556" s="154" t="str">
        <f t="shared" ca="1" si="49"/>
        <v/>
      </c>
      <c r="N556" s="153" t="str">
        <f ca="1">IFERROR(IF(VLOOKUP($A556,'Шаг2.Бланк заказа NEW'!$B$17:$N$201,11,0)="","",VLOOKUP($A556,'Шаг2.Бланк заказа NEW'!$B$17:$N$201,11,0)),
"Нет")</f>
        <v/>
      </c>
      <c r="O556" s="147" t="str">
        <f ca="1">IFERROR(IF(VLOOKUP($A556,'Шаг2.Бланк заказа NEW'!$B$17:$N$201,11,0)="","",VLOOKUP($A556,'Шаг2.Бланк заказа NEW'!$B$17:$N$201,12,0)),
"Нет")</f>
        <v/>
      </c>
      <c r="P556" s="153" t="str">
        <f ca="1">IFERROR(IF(VLOOKUP($A556,'Шаг2.Бланк заказа NEW'!$B$17:$N$201,13,0)="","",VLOOKUP($A556,'Шаг2.Бланк заказа NEW'!$B$17:$N$201,13,0)),
"Нет")</f>
        <v/>
      </c>
      <c r="Q556" s="147" t="str">
        <f ca="1">IFERROR(IF(VLOOKUP($A556,'Шаг2.Бланк заказа NEW'!$B$17:$O$201,14,0)="","",VLOOKUP($A556,'Шаг2.Бланк заказа NEW'!$B$17:$O$201,14,0)),"")</f>
        <v/>
      </c>
      <c r="R556" s="147" t="str">
        <f ca="1">IFERROR(IFERROR(IF(VLOOKUP($A556,'Шаг2.Бланк заказа NEW'!$B$17:$N$201,4,0)="","",VLOOKUP($A556,'Шаг2.Бланк заказа NEW'!$B$17:$N$201,4,0)),
IF(VLOOKUP($A556-COUNT('Шаг2.Бланк заказа NEW'!$B$19:$B$201),'Бланк OLD 0.8 04'!$B$12:$K$200,4,0)&gt;0,0.8,
IF(VLOOKUP($A556-COUNT('Шаг2.Бланк заказа NEW'!$B$19:$B$201),'Бланк OLD 0.8 04'!$B$12:$K$200,5,0)&gt;0,0.4,""))),
IF(VLOOKUP($A556-COUNT('Шаг2.Бланк заказа NEW'!$B$19:$B$201)-COUNT('Бланк OLD 0.8 04'!$B$18:$B$200),'Бланк OLD 2.0 04 '!$B$16:$K$200,4,0)&gt;0,2,IF(VLOOKUP($A556-COUNT('Шаг2.Бланк заказа NEW'!$B$19:$B$201)-COUNT('Бланк OLD 0.8 04'!$B$18:$B$200),'Бланк OLD 2.0 04 '!$B$16:$K$200,5,0)&gt;0,0.4,"")))</f>
        <v/>
      </c>
      <c r="S556" s="147" t="str">
        <f ca="1">IFERROR(IFERROR(IF(VLOOKUP($A556,'Шаг2.Бланк заказа NEW'!$B$17:$N$201,5,0)="","",VLOOKUP($A556,'Шаг2.Бланк заказа NEW'!$B$17:$N$201,5,0)),
IF(VLOOKUP($A556-COUNT('Шаг2.Бланк заказа NEW'!$B$19:$B$201),'Бланк OLD 0.8 04'!$B$12:$K$200,4,0)&gt;1,0.8,
IF(VLOOKUP($A556-COUNT('Шаг2.Бланк заказа NEW'!$B$19:$B$201),'Бланк OLD 0.8 04'!$B$12:$K$200,5,0)&gt;1,0.4,
IF(AND(VLOOKUP($A556-COUNT('Шаг2.Бланк заказа NEW'!$B$19:$B$201),'Бланк OLD 0.8 04'!$B$12:$K$200,4,0)&gt;0,VLOOKUP($A556-COUNT('Шаг2.Бланк заказа NEW'!$B$19:$B$201),'Бланк OLD 0.8 04'!$B$12:$K$200,5,0)&gt;0),0.4,"")))),
IF(VLOOKUP($A556-COUNT('Шаг2.Бланк заказа NEW'!$B$19:$B$201)-COUNT('Бланк OLD 0.8 04'!$B$18:$B$200),'Бланк OLD 2.0 04 '!$B$16:$K$200,4,0)&gt;1,2,
IF(VLOOKUP($A556-COUNT('Шаг2.Бланк заказа NEW'!$B$19:$B$201)-COUNT('Бланк OLD 0.8 04'!$B$18:$B$200),'Бланк OLD 2.0 04 '!$B$16:$K$200,5,0)&gt;1,0.4,IF(AND(VLOOKUP($A556-COUNT('Шаг2.Бланк заказа NEW'!$B$19:$B$201)-COUNT('Бланк OLD 0.8 04'!$B$18:$B$200),'Бланк OLD 2.0 04 '!$B$16:$K$200,4,0)&gt;0,VLOOKUP($A556-COUNT('Шаг2.Бланк заказа NEW'!$B$19:$B$201)-COUNT('Бланк OLD 0.8 04'!$B$18:$B$200),'Бланк OLD 2.0 04 '!$B$16:$K$200,5,0)&gt;0),0.4,""))))</f>
        <v/>
      </c>
      <c r="T556" s="147" t="str">
        <f ca="1">IFERROR(IFERROR(IF(VLOOKUP($A556,'Шаг2.Бланк заказа NEW'!$B$17:$N$201,7,0)="","",VLOOKUP($A556,'Шаг2.Бланк заказа NEW'!$B$17:$N$201,7,0)),
IF(VLOOKUP($A556-COUNT('Шаг2.Бланк заказа NEW'!$B$19:$B$201),'Бланк OLD 0.8 04'!$B$12:$K$200,7,0)&gt;0,0.8,
IF(VLOOKUP($A556-COUNT('Шаг2.Бланк заказа NEW'!$B$19:$B$201),'Бланк OLD 0.8 04'!$B$12:$K$200,8,0)&gt;0,0.4,""))),
IF(VLOOKUP($A556-COUNT('Шаг2.Бланк заказа NEW'!$B$19:$B$201)-COUNT('Бланк OLD 0.8 04'!$B$18:$B$200),'Бланк OLD 2.0 04 '!$B$16:$K$200,7,0)&gt;0,2,IF(VLOOKUP($A556-COUNT('Шаг2.Бланк заказа NEW'!$B$19:$B$201)-COUNT('Бланк OLD 0.8 04'!$B$18:$B$200),'Бланк OLD 2.0 04 '!$B$16:$K$200,8,0)&gt;0,0.4,"")))</f>
        <v/>
      </c>
      <c r="U556" s="147" t="str">
        <f ca="1">IFERROR(IFERROR(IF(VLOOKUP($A556,'Шаг2.Бланк заказа NEW'!$B$17:$N$201,8,0)="","",VLOOKUP($A556,'Шаг2.Бланк заказа NEW'!$B$17:$N$201,8,0)),
IF(VLOOKUP($A556-COUNT('Шаг2.Бланк заказа NEW'!$B$19:$B$201),'Бланк OLD 0.8 04'!$B$12:$K$200,7,0)&gt;1,0.8,
IF(VLOOKUP($A556-COUNT('Шаг2.Бланк заказа NEW'!$B$19:$B$201),'Бланк OLD 0.8 04'!$B$12:$K$200,8,0)&gt;1,0.4,
IF(AND(VLOOKUP($A556-COUNT('Шаг2.Бланк заказа NEW'!$B$19:$B$201),'Бланк OLD 0.8 04'!$B$12:$K$200,7,0)&gt;0,VLOOKUP($A556-COUNT('Шаг2.Бланк заказа NEW'!$B$19:$B$201),'Бланк OLD 0.8 04'!$B$12:$K$200,8,0)&gt;0),0.4,"")))),
IF(VLOOKUP($A556-COUNT('Шаг2.Бланк заказа NEW'!$B$19:$B$201)-COUNT('Бланк OLD 0.8 04'!$B$18:$B$200),'Бланк OLD 2.0 04 '!$B$16:$K$200,7,0)&gt;1,2,
IF(VLOOKUP($A556-COUNT('Шаг2.Бланк заказа NEW'!$B$19:$B$201)-COUNT('Бланк OLD 0.8 04'!$B$18:$B$200),'Бланк OLD 2.0 04 '!$B$16:$K$200,8,0)&gt;1,0.4,
IF(AND(VLOOKUP($A556-COUNT('Шаг2.Бланк заказа NEW'!$B$19:$B$201)-COUNT('Бланк OLD 0.8 04'!$B$18:$B$200),'Бланк OLD 2.0 04 '!$B$16:$K$200,7,0)&gt;0,VLOOKUP($A556-COUNT('Шаг2.Бланк заказа NEW'!$B$19:$B$201)-COUNT('Бланк OLD 0.8 04'!$B$18:$B$200),'Бланк OLD 2.0 04 '!$B$16:$K$200,8,0)&gt;0),0.4,""))))</f>
        <v/>
      </c>
      <c r="V556" s="146" t="str">
        <f ca="1">IFERROR(VLOOKUP(C556,'Шаг1.Выбор плиты'!C:S,12,0),"")</f>
        <v/>
      </c>
      <c r="W556" s="146" t="str">
        <f ca="1">IFERROR(VLOOKUP(C556,'Шаг1.Выбор плиты'!C:S,8,0),"")</f>
        <v/>
      </c>
      <c r="X556" s="146" t="str">
        <f ca="1">IFERROR(VLOOKUP(C556,'Шаг1.Выбор плиты'!C:S,10,0),"")</f>
        <v/>
      </c>
      <c r="Y556" s="147" t="str">
        <f t="shared" ca="1" si="51"/>
        <v/>
      </c>
      <c r="AD556" s="147" t="str">
        <f t="shared" ca="1" si="48"/>
        <v/>
      </c>
      <c r="AE556" s="147" t="str">
        <f t="shared" ca="1" si="52"/>
        <v/>
      </c>
      <c r="AF556" s="25"/>
      <c r="AH556" s="147" t="str">
        <f ca="1">IF(C556="","",VLOOKUP(C556,'Шаг1.Выбор плиты'!C:Q,7,0))</f>
        <v/>
      </c>
      <c r="AI556" s="147" t="str">
        <f t="shared" ca="1" si="50"/>
        <v/>
      </c>
    </row>
    <row r="557" spans="1:35" x14ac:dyDescent="0.2">
      <c r="A557" s="151" t="str">
        <f ca="1">IF(C557="","",MAX($A$1:OFFSET(C557,-1,0))+1)</f>
        <v/>
      </c>
      <c r="B557" s="151" t="str">
        <f ca="1">IFERROR(IFERROR(IFERROR("Шаг2.Бланк заказа NEW №"&amp;VLOOKUP(A556+1,CHOOSE({1,2},'Шаг2.Бланк заказа NEW'!$B$19:$B$201,'Шаг2.Бланк заказа NEW'!$A$19:$A$201),1,0),
"Бланк OLD 0.8 04 №"&amp;VLOOKUP(A556+1-COUNT('Шаг2.Бланк заказа NEW'!$B$19:$B$201),CHOOSE({1,2},'Бланк OLD 0.8 04'!$B$18:$B$200,'Бланк OLD 0.8 04'!$A$18:$A$200),1,0)),
"Бланк OLD 2.0 04 №"&amp;VLOOKUP(A556+1-COUNT('Шаг2.Бланк заказа NEW'!$B$19:$B$201)-COUNT('Бланк OLD 0.8 04'!$B$18:$B$200),CHOOSE({1,2},'Бланк OLD 2.0 04 '!$B$18:$B$200,'Бланк OLD 2.0 04 '!$A$18:$A$200),1,0)),"")</f>
        <v/>
      </c>
      <c r="C557" s="152" t="str">
        <f ca="1">IFERROR(IFERROR(IFERROR(VLOOKUP(A556+1,CHOOSE({1,2},'Шаг2.Бланк заказа NEW'!$B$19:$B$201,'Шаг2.Бланк заказа NEW'!$A$19:$A$201),2,0),
VLOOKUP(A556+1-COUNT('Шаг2.Бланк заказа NEW'!$B$19:$B$201),CHOOSE({1,2},'Бланк OLD 0.8 04'!$B$18:$B$200,'Бланк OLD 0.8 04'!$A$18:$A$200),2,0)),
VLOOKUP(A556+1-COUNT('Шаг2.Бланк заказа NEW'!$B$19:$B$201)-COUNT('Бланк OLD 0.8 04'!$B$18:$B$200),CHOOSE({1,2},'Бланк OLD 2.0 04 '!$B$18:$B$200,'Бланк OLD 2.0 04 '!$A$18:$A$200),2,0)),"")</f>
        <v/>
      </c>
      <c r="D557" s="150" t="str">
        <f ca="1">IFERROR(VLOOKUP(C557,'Шаг1.Выбор плиты'!C:G,5,0),"")</f>
        <v/>
      </c>
      <c r="E557" s="147" t="str">
        <f ca="1">IFERROR(IFERROR(IF(VLOOKUP($A557,'Шаг2.Бланк заказа NEW'!$B$17:$N$201,2,0)="","",VLOOKUP($A557,'Шаг2.Бланк заказа NEW'!$B$17:$N$201,2,0)),
IF(VLOOKUP($A557-COUNT('Шаг2.Бланк заказа NEW'!$B$19:$B$201),'Бланк OLD 0.8 04'!$B$12:$K$200,2,0)="","",VLOOKUP($A557-COUNT('Шаг2.Бланк заказа NEW'!$B$19:$B$201),'Бланк OLD 0.8 04'!$B$12:$K$200,2,0))),
IF(VLOOKUP($A557-COUNT('Шаг2.Бланк заказа NEW'!$B$19:$B$201)-COUNT('Бланк OLD 0.8 04'!$B$18:$B$200),'Бланк OLD 2.0 04 '!$B$16:$K$200,2,0)="","",VLOOKUP($A557-COUNT('Шаг2.Бланк заказа NEW'!$B$19:$B$201)-COUNT('Бланк OLD 0.8 04'!$B$18:$B$200),'Бланк OLD 2.0 04 '!$B$16:$K$200,2,0)))</f>
        <v/>
      </c>
      <c r="F557" s="147" t="str">
        <f ca="1">IFERROR(IFERROR(IF(VLOOKUP($A557,'Шаг2.Бланк заказа NEW'!$B$17:$N$201,3,0)="","",VLOOKUP($A557,'Шаг2.Бланк заказа NEW'!$B$17:$N$201,3,0)),
IF(VLOOKUP($A557-COUNT('Шаг2.Бланк заказа NEW'!$B$19:$B$201),'Бланк OLD 0.8 04'!$B$12:$K$200,3,0)="","",VLOOKUP($A557-COUNT('Шаг2.Бланк заказа NEW'!$B$19:$B$201),'Бланк OLD 0.8 04'!$B$12:$K$200,3,0))),
IF(VLOOKUP($A557-COUNT('Шаг2.Бланк заказа NEW'!$B$19:$B$201)-COUNT('Бланк OLD 0.8 04'!$B$18:$B$200),'Бланк OLD 2.0 04 '!$B$16:$K$200,3,0)="","",VLOOKUP($A557-COUNT('Шаг2.Бланк заказа NEW'!$B$19:$B$201)-COUNT('Бланк OLD 0.8 04'!$B$18:$B$200),'Бланк OLD 2.0 04 '!$B$16:$K$200,3,0)))</f>
        <v/>
      </c>
      <c r="G557" s="176" t="str">
        <f ca="1">IF(IF(R557="","",IF(R557=1,SUMIFS('Шаг1.Выбор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плиты'!C:Q,12,0)),1))))))=0,
R557,
IF(R557="","",IF(R557=1,SUMIFS('Шаг1.Выбор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плиты'!N:N,R557,'Шаг1.Выбор плиты'!M:M,SMALL(INDIRECT("мм"&amp;VLOOKUP(C557,'Шаг1.Выбор плиты'!C:Q,12,0)),1)))))))</f>
        <v/>
      </c>
      <c r="H557" s="177" t="str">
        <f ca="1">IF(IF(S557="","",IF(S557=1,SUMIFS('Шаг1.Выбор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плиты'!C:Q,12,0)),1))))))=0,
S557,
IF(S557="","",IF(S557=1,SUMIFS('Шаг1.Выбор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плиты'!N:N,S557,'Шаг1.Выбор плиты'!M:M,SMALL(INDIRECT("мм"&amp;VLOOKUP(C557,'Шаг1.Выбор плиты'!C:Q,12,0)),1)))))))</f>
        <v/>
      </c>
      <c r="I557" s="147" t="str">
        <f ca="1">IFERROR(IFERROR(IF(VLOOKUP($A557,'Шаг2.Бланк заказа NEW'!$B$17:$N$201,6,0)="","",VLOOKUP($A557,'Шаг2.Бланк заказа NEW'!$B$17:$N$201,6,0)),
IF(VLOOKUP($A557-COUNT('Шаг2.Бланк заказа NEW'!$B$19:$B$201),'Бланк OLD 0.8 04'!$B$12:$K$200,6,0)="","",VLOOKUP($A557-COUNT('Шаг2.Бланк заказа NEW'!$B$19:$B$201),'Бланк OLD 0.8 04'!$B$12:$K$200,6,0))),
IF(VLOOKUP($A557-COUNT('Шаг2.Бланк заказа NEW'!$B$19:$B$201)-COUNT('Бланк OLD 0.8 04'!$B$18:$B$200),'Бланк OLD 2.0 04 '!$B$16:$K$200,6,0)="","",VLOOKUP($A557-COUNT('Шаг2.Бланк заказа NEW'!$B$19:$B$201)-COUNT('Бланк OLD 0.8 04'!$B$18:$B$200),'Бланк OLD 2.0 04 '!$B$16:$K$200,6,0)))</f>
        <v/>
      </c>
      <c r="J557" s="177" t="str">
        <f ca="1">IF(IF(T557="","",IF(T557=1,SUMIFS('Шаг1.Выбор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плиты'!C:Q,12,0)),1))))))=0,
T557,
IF(T557="","",IF(T557=1,SUMIFS('Шаг1.Выбор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плиты'!N:N,T557,'Шаг1.Выбор плиты'!M:M,SMALL(INDIRECT("мм"&amp;VLOOKUP(C557,'Шаг1.Выбор плиты'!C:Q,12,0)),1)))))))</f>
        <v/>
      </c>
      <c r="K557" s="177" t="str">
        <f ca="1">IF(IF(U557="","",IF(U557=1,SUMIFS('Шаг1.Выбор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плиты'!C:Q,12,0)),1))))))=0,
U557,
IF(U557="","",IF(U557=1,SUMIFS('Шаг1.Выбор плиты'!$G:$G,'Шаг1.Выбор плиты'!J:J,"*"&amp;RIGHT(VLOOKUP(C557,'Шаг1.Выбор плиты'!C:Q,8,0),4),'Шаг1.Выбор плиты'!L:L,IF(MID(C557,1,6)="ЛДСП P","TM"&amp;MID(VLOOKUP(C557,'Шаг1.Выбор плиты'!C:Q,10,0),3,2),MID(VLOOKUP(C557,'Шаг1.Выбор плиты'!C:Q,10,0),1,2)),
'Шаг1.Выбор плиты'!N:N,1),IF(SUMIFS('Шаг1.Выбор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плиты'!C:Q,12,0)),1))=0,
IF(SUMIFS('Шаг1.Выбор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плиты'!C:Q,12,0)),2))=0,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плиты'!C:Q,12,0)),3)),
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плиты'!C:Q,12,0)),2))),
(SUMIFS('Шаг1.Выбор плиты'!$G:$G,'Шаг1.Выбор плиты'!J:J,"*"&amp;RIGHT(VLOOKUP(C557,'Шаг1.Выбор плиты'!C:Q,8,0),4),'Шаг1.Выбор плиты'!L:L,VLOOKUP(C557,'Шаг1.Выбор плиты'!C:Q,10,0),'Шаг1.Выбор плиты'!N:N,U557,'Шаг1.Выбор плиты'!M:M,SMALL(INDIRECT("мм"&amp;VLOOKUP(C557,'Шаг1.Выбор плиты'!C:Q,12,0)),1)))))))</f>
        <v/>
      </c>
      <c r="L557" s="147" t="str">
        <f ca="1">IFERROR(IFERROR(IF(VLOOKUP($A557,'Шаг2.Бланк заказа NEW'!$B$17:$N$201,9,0)="","",VLOOKUP($A557,'Шаг2.Бланк заказа NEW'!$B$17:$N$201,9,0)),
IF(VLOOKUP($A557-COUNT('Шаг2.Бланк заказа NEW'!$B$19:$B$201),'Бланк OLD 0.8 04'!$B$12:$K$200,9,0)="","",VLOOKUP($A557-COUNT('Шаг2.Бланк заказа NEW'!$B$19:$B$201),'Бланк OLD 0.8 04'!$B$12:$K$200,9,0))),
IF(VLOOKUP($A557-COUNT('Шаг2.Бланк заказа NEW'!$B$19:$B$201)-COUNT('Бланк OLD 0.8 04'!$B$18:$B$200),'Бланк OLD 2.0 04 '!$B$16:$K$200,9,0)="","",VLOOKUP($A557-COUNT('Шаг2.Бланк заказа NEW'!$B$19:$B$201)-COUNT('Бланк OLD 0.8 04'!$B$18:$B$200),'Бланк OLD 2.0 04 '!$B$16:$K$200,9,0)))</f>
        <v/>
      </c>
      <c r="M557" s="154" t="str">
        <f t="shared" ca="1" si="49"/>
        <v/>
      </c>
      <c r="N557" s="153" t="str">
        <f ca="1">IFERROR(IF(VLOOKUP($A557,'Шаг2.Бланк заказа NEW'!$B$17:$N$201,11,0)="","",VLOOKUP($A557,'Шаг2.Бланк заказа NEW'!$B$17:$N$201,11,0)),
"Нет")</f>
        <v/>
      </c>
      <c r="O557" s="147" t="str">
        <f ca="1">IFERROR(IF(VLOOKUP($A557,'Шаг2.Бланк заказа NEW'!$B$17:$N$201,11,0)="","",VLOOKUP($A557,'Шаг2.Бланк заказа NEW'!$B$17:$N$201,12,0)),
"Нет")</f>
        <v/>
      </c>
      <c r="P557" s="153" t="str">
        <f ca="1">IFERROR(IF(VLOOKUP($A557,'Шаг2.Бланк заказа NEW'!$B$17:$N$201,13,0)="","",VLOOKUP($A557,'Шаг2.Бланк заказа NEW'!$B$17:$N$201,13,0)),
"Нет")</f>
        <v/>
      </c>
      <c r="Q557" s="147" t="str">
        <f ca="1">IFERROR(IF(VLOOKUP($A557,'Шаг2.Бланк заказа NEW'!$B$17:$O$201,14,0)="","",VLOOKUP($A557,'Шаг2.Бланк заказа NEW'!$B$17:$O$201,14,0)),"")</f>
        <v/>
      </c>
      <c r="R557" s="147" t="str">
        <f ca="1">IFERROR(IFERROR(IF(VLOOKUP($A557,'Шаг2.Бланк заказа NEW'!$B$17:$N$201,4,0)="","",VLOOKUP($A557,'Шаг2.Бланк заказа NEW'!$B$17:$N$201,4,0)),
IF(VLOOKUP($A557-COUNT('Шаг2.Бланк заказа NEW'!$B$19:$B$201),'Бланк OLD 0.8 04'!$B$12:$K$200,4,0)&gt;0,0.8,
IF(VLOOKUP($A557-COUNT('Шаг2.Бланк заказа NEW'!$B$19:$B$201),'Бланк OLD 0.8 04'!$B$12:$K$200,5,0)&gt;0,0.4,""))),
IF(VLOOKUP($A557-COUNT('Шаг2.Бланк заказа NEW'!$B$19:$B$201)-COUNT('Бланк OLD 0.8 04'!$B$18:$B$200),'Бланк OLD 2.0 04 '!$B$16:$K$200,4,0)&gt;0,2,IF(VLOOKUP($A557-COUNT('Шаг2.Бланк заказа NEW'!$B$19:$B$201)-COUNT('Бланк OLD 0.8 04'!$B$18:$B$200),'Бланк OLD 2.0 04 '!$B$16:$K$200,5,0)&gt;0,0.4,"")))</f>
        <v/>
      </c>
      <c r="S557" s="147" t="str">
        <f ca="1">IFERROR(IFERROR(IF(VLOOKUP($A557,'Шаг2.Бланк заказа NEW'!$B$17:$N$201,5,0)="","",VLOOKUP($A557,'Шаг2.Бланк заказа NEW'!$B$17:$N$201,5,0)),
IF(VLOOKUP($A557-COUNT('Шаг2.Бланк заказа NEW'!$B$19:$B$201),'Бланк OLD 0.8 04'!$B$12:$K$200,4,0)&gt;1,0.8,
IF(VLOOKUP($A557-COUNT('Шаг2.Бланк заказа NEW'!$B$19:$B$201),'Бланк OLD 0.8 04'!$B$12:$K$200,5,0)&gt;1,0.4,
IF(AND(VLOOKUP($A557-COUNT('Шаг2.Бланк заказа NEW'!$B$19:$B$201),'Бланк OLD 0.8 04'!$B$12:$K$200,4,0)&gt;0,VLOOKUP($A557-COUNT('Шаг2.Бланк заказа NEW'!$B$19:$B$201),'Бланк OLD 0.8 04'!$B$12:$K$200,5,0)&gt;0),0.4,"")))),
IF(VLOOKUP($A557-COUNT('Шаг2.Бланк заказа NEW'!$B$19:$B$201)-COUNT('Бланк OLD 0.8 04'!$B$18:$B$200),'Бланк OLD 2.0 04 '!$B$16:$K$200,4,0)&gt;1,2,
IF(VLOOKUP($A557-COUNT('Шаг2.Бланк заказа NEW'!$B$19:$B$201)-COUNT('Бланк OLD 0.8 04'!$B$18:$B$200),'Бланк OLD 2.0 04 '!$B$16:$K$200,5,0)&gt;1,0.4,IF(AND(VLOOKUP($A557-COUNT('Шаг2.Бланк заказа NEW'!$B$19:$B$201)-COUNT('Бланк OLD 0.8 04'!$B$18:$B$200),'Бланк OLD 2.0 04 '!$B$16:$K$200,4,0)&gt;0,VLOOKUP($A557-COUNT('Шаг2.Бланк заказа NEW'!$B$19:$B$201)-COUNT('Бланк OLD 0.8 04'!$B$18:$B$200),'Бланк OLD 2.0 04 '!$B$16:$K$200,5,0)&gt;0),0.4,""))))</f>
        <v/>
      </c>
      <c r="T557" s="147" t="str">
        <f ca="1">IFERROR(IFERROR(IF(VLOOKUP($A557,'Шаг2.Бланк заказа NEW'!$B$17:$N$201,7,0)="","",VLOOKUP($A557,'Шаг2.Бланк заказа NEW'!$B$17:$N$201,7,0)),
IF(VLOOKUP($A557-COUNT('Шаг2.Бланк заказа NEW'!$B$19:$B$201),'Бланк OLD 0.8 04'!$B$12:$K$200,7,0)&gt;0,0.8,
IF(VLOOKUP($A557-COUNT('Шаг2.Бланк заказа NEW'!$B$19:$B$201),'Бланк OLD 0.8 04'!$B$12:$K$200,8,0)&gt;0,0.4,""))),
IF(VLOOKUP($A557-COUNT('Шаг2.Бланк заказа NEW'!$B$19:$B$201)-COUNT('Бланк OLD 0.8 04'!$B$18:$B$200),'Бланк OLD 2.0 04 '!$B$16:$K$200,7,0)&gt;0,2,IF(VLOOKUP($A557-COUNT('Шаг2.Бланк заказа NEW'!$B$19:$B$201)-COUNT('Бланк OLD 0.8 04'!$B$18:$B$200),'Бланк OLD 2.0 04 '!$B$16:$K$200,8,0)&gt;0,0.4,"")))</f>
        <v/>
      </c>
      <c r="U557" s="147" t="str">
        <f ca="1">IFERROR(IFERROR(IF(VLOOKUP($A557,'Шаг2.Бланк заказа NEW'!$B$17:$N$201,8,0)="","",VLOOKUP($A557,'Шаг2.Бланк заказа NEW'!$B$17:$N$201,8,0)),
IF(VLOOKUP($A557-COUNT('Шаг2.Бланк заказа NEW'!$B$19:$B$201),'Бланк OLD 0.8 04'!$B$12:$K$200,7,0)&gt;1,0.8,
IF(VLOOKUP($A557-COUNT('Шаг2.Бланк заказа NEW'!$B$19:$B$201),'Бланк OLD 0.8 04'!$B$12:$K$200,8,0)&gt;1,0.4,
IF(AND(VLOOKUP($A557-COUNT('Шаг2.Бланк заказа NEW'!$B$19:$B$201),'Бланк OLD 0.8 04'!$B$12:$K$200,7,0)&gt;0,VLOOKUP($A557-COUNT('Шаг2.Бланк заказа NEW'!$B$19:$B$201),'Бланк OLD 0.8 04'!$B$12:$K$200,8,0)&gt;0),0.4,"")))),
IF(VLOOKUP($A557-COUNT('Шаг2.Бланк заказа NEW'!$B$19:$B$201)-COUNT('Бланк OLD 0.8 04'!$B$18:$B$200),'Бланк OLD 2.0 04 '!$B$16:$K$200,7,0)&gt;1,2,
IF(VLOOKUP($A557-COUNT('Шаг2.Бланк заказа NEW'!$B$19:$B$201)-COUNT('Бланк OLD 0.8 04'!$B$18:$B$200),'Бланк OLD 2.0 04 '!$B$16:$K$200,8,0)&gt;1,0.4,
IF(AND(VLOOKUP($A557-COUNT('Шаг2.Бланк заказа NEW'!$B$19:$B$201)-COUNT('Бланк OLD 0.8 04'!$B$18:$B$200),'Бланк OLD 2.0 04 '!$B$16:$K$200,7,0)&gt;0,VLOOKUP($A557-COUNT('Шаг2.Бланк заказа NEW'!$B$19:$B$201)-COUNT('Бланк OLD 0.8 04'!$B$18:$B$200),'Бланк OLD 2.0 04 '!$B$16:$K$200,8,0)&gt;0),0.4,""))))</f>
        <v/>
      </c>
      <c r="V557" s="146" t="str">
        <f ca="1">IFERROR(VLOOKUP(C557,'Шаг1.Выбор плиты'!C:S,12,0),"")</f>
        <v/>
      </c>
      <c r="W557" s="146" t="str">
        <f ca="1">IFERROR(VLOOKUP(C557,'Шаг1.Выбор плиты'!C:S,8,0),"")</f>
        <v/>
      </c>
      <c r="X557" s="146" t="str">
        <f ca="1">IFERROR(VLOOKUP(C557,'Шаг1.Выбор плиты'!C:S,10,0),"")</f>
        <v/>
      </c>
      <c r="Y557" s="147" t="str">
        <f t="shared" ca="1" si="51"/>
        <v/>
      </c>
      <c r="AD557" s="147" t="str">
        <f t="shared" ca="1" si="48"/>
        <v/>
      </c>
      <c r="AE557" s="147" t="str">
        <f t="shared" ca="1" si="52"/>
        <v/>
      </c>
      <c r="AF557" s="25"/>
      <c r="AH557" s="147" t="str">
        <f ca="1">IF(C557="","",VLOOKUP(C557,'Шаг1.Выбор плиты'!C:Q,7,0))</f>
        <v/>
      </c>
      <c r="AI557" s="147" t="str">
        <f t="shared" ca="1" si="50"/>
        <v/>
      </c>
    </row>
    <row r="558" spans="1:35" x14ac:dyDescent="0.2">
      <c r="A558" s="151" t="str">
        <f ca="1">IF(C558="","",MAX($A$1:OFFSET(C558,-1,0))+1)</f>
        <v/>
      </c>
      <c r="B558" s="151" t="str">
        <f ca="1">IFERROR(IFERROR(IFERROR("Шаг2.Бланк заказа NEW №"&amp;VLOOKUP(A557+1,CHOOSE({1,2},'Шаг2.Бланк заказа NEW'!$B$19:$B$201,'Шаг2.Бланк заказа NEW'!$A$19:$A$201),1,0),
"Бланк OLD 0.8 04 №"&amp;VLOOKUP(A557+1-COUNT('Шаг2.Бланк заказа NEW'!$B$19:$B$201),CHOOSE({1,2},'Бланк OLD 0.8 04'!$B$18:$B$200,'Бланк OLD 0.8 04'!$A$18:$A$200),1,0)),
"Бланк OLD 2.0 04 №"&amp;VLOOKUP(A557+1-COUNT('Шаг2.Бланк заказа NEW'!$B$19:$B$201)-COUNT('Бланк OLD 0.8 04'!$B$18:$B$200),CHOOSE({1,2},'Бланк OLD 2.0 04 '!$B$18:$B$200,'Бланк OLD 2.0 04 '!$A$18:$A$200),1,0)),"")</f>
        <v/>
      </c>
      <c r="C558" s="152" t="str">
        <f ca="1">IFERROR(IFERROR(IFERROR(VLOOKUP(A557+1,CHOOSE({1,2},'Шаг2.Бланк заказа NEW'!$B$19:$B$201,'Шаг2.Бланк заказа NEW'!$A$19:$A$201),2,0),
VLOOKUP(A557+1-COUNT('Шаг2.Бланк заказа NEW'!$B$19:$B$201),CHOOSE({1,2},'Бланк OLD 0.8 04'!$B$18:$B$200,'Бланк OLD 0.8 04'!$A$18:$A$200),2,0)),
VLOOKUP(A557+1-COUNT('Шаг2.Бланк заказа NEW'!$B$19:$B$201)-COUNT('Бланк OLD 0.8 04'!$B$18:$B$200),CHOOSE({1,2},'Бланк OLD 2.0 04 '!$B$18:$B$200,'Бланк OLD 2.0 04 '!$A$18:$A$200),2,0)),"")</f>
        <v/>
      </c>
      <c r="D558" s="150" t="str">
        <f ca="1">IFERROR(VLOOKUP(C558,'Шаг1.Выбор плиты'!C:G,5,0),"")</f>
        <v/>
      </c>
      <c r="E558" s="147" t="str">
        <f ca="1">IFERROR(IFERROR(IF(VLOOKUP($A558,'Шаг2.Бланк заказа NEW'!$B$17:$N$201,2,0)="","",VLOOKUP($A558,'Шаг2.Бланк заказа NEW'!$B$17:$N$201,2,0)),
IF(VLOOKUP($A558-COUNT('Шаг2.Бланк заказа NEW'!$B$19:$B$201),'Бланк OLD 0.8 04'!$B$12:$K$200,2,0)="","",VLOOKUP($A558-COUNT('Шаг2.Бланк заказа NEW'!$B$19:$B$201),'Бланк OLD 0.8 04'!$B$12:$K$200,2,0))),
IF(VLOOKUP($A558-COUNT('Шаг2.Бланк заказа NEW'!$B$19:$B$201)-COUNT('Бланк OLD 0.8 04'!$B$18:$B$200),'Бланк OLD 2.0 04 '!$B$16:$K$200,2,0)="","",VLOOKUP($A558-COUNT('Шаг2.Бланк заказа NEW'!$B$19:$B$201)-COUNT('Бланк OLD 0.8 04'!$B$18:$B$200),'Бланк OLD 2.0 04 '!$B$16:$K$200,2,0)))</f>
        <v/>
      </c>
      <c r="F558" s="147" t="str">
        <f ca="1">IFERROR(IFERROR(IF(VLOOKUP($A558,'Шаг2.Бланк заказа NEW'!$B$17:$N$201,3,0)="","",VLOOKUP($A558,'Шаг2.Бланк заказа NEW'!$B$17:$N$201,3,0)),
IF(VLOOKUP($A558-COUNT('Шаг2.Бланк заказа NEW'!$B$19:$B$201),'Бланк OLD 0.8 04'!$B$12:$K$200,3,0)="","",VLOOKUP($A558-COUNT('Шаг2.Бланк заказа NEW'!$B$19:$B$201),'Бланк OLD 0.8 04'!$B$12:$K$200,3,0))),
IF(VLOOKUP($A558-COUNT('Шаг2.Бланк заказа NEW'!$B$19:$B$201)-COUNT('Бланк OLD 0.8 04'!$B$18:$B$200),'Бланк OLD 2.0 04 '!$B$16:$K$200,3,0)="","",VLOOKUP($A558-COUNT('Шаг2.Бланк заказа NEW'!$B$19:$B$201)-COUNT('Бланк OLD 0.8 04'!$B$18:$B$200),'Бланк OLD 2.0 04 '!$B$16:$K$200,3,0)))</f>
        <v/>
      </c>
      <c r="G558" s="176" t="str">
        <f ca="1">IF(IF(R558="","",IF(R558=1,SUMIFS('Шаг1.Выбор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плиты'!C:Q,12,0)),1))))))=0,
R558,
IF(R558="","",IF(R558=1,SUMIFS('Шаг1.Выбор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плиты'!N:N,R558,'Шаг1.Выбор плиты'!M:M,SMALL(INDIRECT("мм"&amp;VLOOKUP(C558,'Шаг1.Выбор плиты'!C:Q,12,0)),1)))))))</f>
        <v/>
      </c>
      <c r="H558" s="177" t="str">
        <f ca="1">IF(IF(S558="","",IF(S558=1,SUMIFS('Шаг1.Выбор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плиты'!C:Q,12,0)),1))))))=0,
S558,
IF(S558="","",IF(S558=1,SUMIFS('Шаг1.Выбор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плиты'!N:N,S558,'Шаг1.Выбор плиты'!M:M,SMALL(INDIRECT("мм"&amp;VLOOKUP(C558,'Шаг1.Выбор плиты'!C:Q,12,0)),1)))))))</f>
        <v/>
      </c>
      <c r="I558" s="147" t="str">
        <f ca="1">IFERROR(IFERROR(IF(VLOOKUP($A558,'Шаг2.Бланк заказа NEW'!$B$17:$N$201,6,0)="","",VLOOKUP($A558,'Шаг2.Бланк заказа NEW'!$B$17:$N$201,6,0)),
IF(VLOOKUP($A558-COUNT('Шаг2.Бланк заказа NEW'!$B$19:$B$201),'Бланк OLD 0.8 04'!$B$12:$K$200,6,0)="","",VLOOKUP($A558-COUNT('Шаг2.Бланк заказа NEW'!$B$19:$B$201),'Бланк OLD 0.8 04'!$B$12:$K$200,6,0))),
IF(VLOOKUP($A558-COUNT('Шаг2.Бланк заказа NEW'!$B$19:$B$201)-COUNT('Бланк OLD 0.8 04'!$B$18:$B$200),'Бланк OLD 2.0 04 '!$B$16:$K$200,6,0)="","",VLOOKUP($A558-COUNT('Шаг2.Бланк заказа NEW'!$B$19:$B$201)-COUNT('Бланк OLD 0.8 04'!$B$18:$B$200),'Бланк OLD 2.0 04 '!$B$16:$K$200,6,0)))</f>
        <v/>
      </c>
      <c r="J558" s="177" t="str">
        <f ca="1">IF(IF(T558="","",IF(T558=1,SUMIFS('Шаг1.Выбор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плиты'!C:Q,12,0)),1))))))=0,
T558,
IF(T558="","",IF(T558=1,SUMIFS('Шаг1.Выбор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плиты'!N:N,T558,'Шаг1.Выбор плиты'!M:M,SMALL(INDIRECT("мм"&amp;VLOOKUP(C558,'Шаг1.Выбор плиты'!C:Q,12,0)),1)))))))</f>
        <v/>
      </c>
      <c r="K558" s="177" t="str">
        <f ca="1">IF(IF(U558="","",IF(U558=1,SUMIFS('Шаг1.Выбор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плиты'!C:Q,12,0)),1))))))=0,
U558,
IF(U558="","",IF(U558=1,SUMIFS('Шаг1.Выбор плиты'!$G:$G,'Шаг1.Выбор плиты'!J:J,"*"&amp;RIGHT(VLOOKUP(C558,'Шаг1.Выбор плиты'!C:Q,8,0),4),'Шаг1.Выбор плиты'!L:L,IF(MID(C558,1,6)="ЛДСП P","TM"&amp;MID(VLOOKUP(C558,'Шаг1.Выбор плиты'!C:Q,10,0),3,2),MID(VLOOKUP(C558,'Шаг1.Выбор плиты'!C:Q,10,0),1,2)),
'Шаг1.Выбор плиты'!N:N,1),IF(SUMIFS('Шаг1.Выбор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плиты'!C:Q,12,0)),1))=0,
IF(SUMIFS('Шаг1.Выбор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плиты'!C:Q,12,0)),2))=0,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плиты'!C:Q,12,0)),3)),
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плиты'!C:Q,12,0)),2))),
(SUMIFS('Шаг1.Выбор плиты'!$G:$G,'Шаг1.Выбор плиты'!J:J,"*"&amp;RIGHT(VLOOKUP(C558,'Шаг1.Выбор плиты'!C:Q,8,0),4),'Шаг1.Выбор плиты'!L:L,VLOOKUP(C558,'Шаг1.Выбор плиты'!C:Q,10,0),'Шаг1.Выбор плиты'!N:N,U558,'Шаг1.Выбор плиты'!M:M,SMALL(INDIRECT("мм"&amp;VLOOKUP(C558,'Шаг1.Выбор плиты'!C:Q,12,0)),1)))))))</f>
        <v/>
      </c>
      <c r="L558" s="147" t="str">
        <f ca="1">IFERROR(IFERROR(IF(VLOOKUP($A558,'Шаг2.Бланк заказа NEW'!$B$17:$N$201,9,0)="","",VLOOKUP($A558,'Шаг2.Бланк заказа NEW'!$B$17:$N$201,9,0)),
IF(VLOOKUP($A558-COUNT('Шаг2.Бланк заказа NEW'!$B$19:$B$201),'Бланк OLD 0.8 04'!$B$12:$K$200,9,0)="","",VLOOKUP($A558-COUNT('Шаг2.Бланк заказа NEW'!$B$19:$B$201),'Бланк OLD 0.8 04'!$B$12:$K$200,9,0))),
IF(VLOOKUP($A558-COUNT('Шаг2.Бланк заказа NEW'!$B$19:$B$201)-COUNT('Бланк OLD 0.8 04'!$B$18:$B$200),'Бланк OLD 2.0 04 '!$B$16:$K$200,9,0)="","",VLOOKUP($A558-COUNT('Шаг2.Бланк заказа NEW'!$B$19:$B$201)-COUNT('Бланк OLD 0.8 04'!$B$18:$B$200),'Бланк OLD 2.0 04 '!$B$16:$K$200,9,0)))</f>
        <v/>
      </c>
      <c r="M558" s="154" t="str">
        <f t="shared" ca="1" si="49"/>
        <v/>
      </c>
      <c r="N558" s="153" t="str">
        <f ca="1">IFERROR(IF(VLOOKUP($A558,'Шаг2.Бланк заказа NEW'!$B$17:$N$201,11,0)="","",VLOOKUP($A558,'Шаг2.Бланк заказа NEW'!$B$17:$N$201,11,0)),
"Нет")</f>
        <v/>
      </c>
      <c r="O558" s="147" t="str">
        <f ca="1">IFERROR(IF(VLOOKUP($A558,'Шаг2.Бланк заказа NEW'!$B$17:$N$201,11,0)="","",VLOOKUP($A558,'Шаг2.Бланк заказа NEW'!$B$17:$N$201,12,0)),
"Нет")</f>
        <v/>
      </c>
      <c r="P558" s="153" t="str">
        <f ca="1">IFERROR(IF(VLOOKUP($A558,'Шаг2.Бланк заказа NEW'!$B$17:$N$201,13,0)="","",VLOOKUP($A558,'Шаг2.Бланк заказа NEW'!$B$17:$N$201,13,0)),
"Нет")</f>
        <v/>
      </c>
      <c r="Q558" s="147" t="str">
        <f ca="1">IFERROR(IF(VLOOKUP($A558,'Шаг2.Бланк заказа NEW'!$B$17:$O$201,14,0)="","",VLOOKUP($A558,'Шаг2.Бланк заказа NEW'!$B$17:$O$201,14,0)),"")</f>
        <v/>
      </c>
      <c r="R558" s="147" t="str">
        <f ca="1">IFERROR(IFERROR(IF(VLOOKUP($A558,'Шаг2.Бланк заказа NEW'!$B$17:$N$201,4,0)="","",VLOOKUP($A558,'Шаг2.Бланк заказа NEW'!$B$17:$N$201,4,0)),
IF(VLOOKUP($A558-COUNT('Шаг2.Бланк заказа NEW'!$B$19:$B$201),'Бланк OLD 0.8 04'!$B$12:$K$200,4,0)&gt;0,0.8,
IF(VLOOKUP($A558-COUNT('Шаг2.Бланк заказа NEW'!$B$19:$B$201),'Бланк OLD 0.8 04'!$B$12:$K$200,5,0)&gt;0,0.4,""))),
IF(VLOOKUP($A558-COUNT('Шаг2.Бланк заказа NEW'!$B$19:$B$201)-COUNT('Бланк OLD 0.8 04'!$B$18:$B$200),'Бланк OLD 2.0 04 '!$B$16:$K$200,4,0)&gt;0,2,IF(VLOOKUP($A558-COUNT('Шаг2.Бланк заказа NEW'!$B$19:$B$201)-COUNT('Бланк OLD 0.8 04'!$B$18:$B$200),'Бланк OLD 2.0 04 '!$B$16:$K$200,5,0)&gt;0,0.4,"")))</f>
        <v/>
      </c>
      <c r="S558" s="147" t="str">
        <f ca="1">IFERROR(IFERROR(IF(VLOOKUP($A558,'Шаг2.Бланк заказа NEW'!$B$17:$N$201,5,0)="","",VLOOKUP($A558,'Шаг2.Бланк заказа NEW'!$B$17:$N$201,5,0)),
IF(VLOOKUP($A558-COUNT('Шаг2.Бланк заказа NEW'!$B$19:$B$201),'Бланк OLD 0.8 04'!$B$12:$K$200,4,0)&gt;1,0.8,
IF(VLOOKUP($A558-COUNT('Шаг2.Бланк заказа NEW'!$B$19:$B$201),'Бланк OLD 0.8 04'!$B$12:$K$200,5,0)&gt;1,0.4,
IF(AND(VLOOKUP($A558-COUNT('Шаг2.Бланк заказа NEW'!$B$19:$B$201),'Бланк OLD 0.8 04'!$B$12:$K$200,4,0)&gt;0,VLOOKUP($A558-COUNT('Шаг2.Бланк заказа NEW'!$B$19:$B$201),'Бланк OLD 0.8 04'!$B$12:$K$200,5,0)&gt;0),0.4,"")))),
IF(VLOOKUP($A558-COUNT('Шаг2.Бланк заказа NEW'!$B$19:$B$201)-COUNT('Бланк OLD 0.8 04'!$B$18:$B$200),'Бланк OLD 2.0 04 '!$B$16:$K$200,4,0)&gt;1,2,
IF(VLOOKUP($A558-COUNT('Шаг2.Бланк заказа NEW'!$B$19:$B$201)-COUNT('Бланк OLD 0.8 04'!$B$18:$B$200),'Бланк OLD 2.0 04 '!$B$16:$K$200,5,0)&gt;1,0.4,IF(AND(VLOOKUP($A558-COUNT('Шаг2.Бланк заказа NEW'!$B$19:$B$201)-COUNT('Бланк OLD 0.8 04'!$B$18:$B$200),'Бланк OLD 2.0 04 '!$B$16:$K$200,4,0)&gt;0,VLOOKUP($A558-COUNT('Шаг2.Бланк заказа NEW'!$B$19:$B$201)-COUNT('Бланк OLD 0.8 04'!$B$18:$B$200),'Бланк OLD 2.0 04 '!$B$16:$K$200,5,0)&gt;0),0.4,""))))</f>
        <v/>
      </c>
      <c r="T558" s="147" t="str">
        <f ca="1">IFERROR(IFERROR(IF(VLOOKUP($A558,'Шаг2.Бланк заказа NEW'!$B$17:$N$201,7,0)="","",VLOOKUP($A558,'Шаг2.Бланк заказа NEW'!$B$17:$N$201,7,0)),
IF(VLOOKUP($A558-COUNT('Шаг2.Бланк заказа NEW'!$B$19:$B$201),'Бланк OLD 0.8 04'!$B$12:$K$200,7,0)&gt;0,0.8,
IF(VLOOKUP($A558-COUNT('Шаг2.Бланк заказа NEW'!$B$19:$B$201),'Бланк OLD 0.8 04'!$B$12:$K$200,8,0)&gt;0,0.4,""))),
IF(VLOOKUP($A558-COUNT('Шаг2.Бланк заказа NEW'!$B$19:$B$201)-COUNT('Бланк OLD 0.8 04'!$B$18:$B$200),'Бланк OLD 2.0 04 '!$B$16:$K$200,7,0)&gt;0,2,IF(VLOOKUP($A558-COUNT('Шаг2.Бланк заказа NEW'!$B$19:$B$201)-COUNT('Бланк OLD 0.8 04'!$B$18:$B$200),'Бланк OLD 2.0 04 '!$B$16:$K$200,8,0)&gt;0,0.4,"")))</f>
        <v/>
      </c>
      <c r="U558" s="147" t="str">
        <f ca="1">IFERROR(IFERROR(IF(VLOOKUP($A558,'Шаг2.Бланк заказа NEW'!$B$17:$N$201,8,0)="","",VLOOKUP($A558,'Шаг2.Бланк заказа NEW'!$B$17:$N$201,8,0)),
IF(VLOOKUP($A558-COUNT('Шаг2.Бланк заказа NEW'!$B$19:$B$201),'Бланк OLD 0.8 04'!$B$12:$K$200,7,0)&gt;1,0.8,
IF(VLOOKUP($A558-COUNT('Шаг2.Бланк заказа NEW'!$B$19:$B$201),'Бланк OLD 0.8 04'!$B$12:$K$200,8,0)&gt;1,0.4,
IF(AND(VLOOKUP($A558-COUNT('Шаг2.Бланк заказа NEW'!$B$19:$B$201),'Бланк OLD 0.8 04'!$B$12:$K$200,7,0)&gt;0,VLOOKUP($A558-COUNT('Шаг2.Бланк заказа NEW'!$B$19:$B$201),'Бланк OLD 0.8 04'!$B$12:$K$200,8,0)&gt;0),0.4,"")))),
IF(VLOOKUP($A558-COUNT('Шаг2.Бланк заказа NEW'!$B$19:$B$201)-COUNT('Бланк OLD 0.8 04'!$B$18:$B$200),'Бланк OLD 2.0 04 '!$B$16:$K$200,7,0)&gt;1,2,
IF(VLOOKUP($A558-COUNT('Шаг2.Бланк заказа NEW'!$B$19:$B$201)-COUNT('Бланк OLD 0.8 04'!$B$18:$B$200),'Бланк OLD 2.0 04 '!$B$16:$K$200,8,0)&gt;1,0.4,
IF(AND(VLOOKUP($A558-COUNT('Шаг2.Бланк заказа NEW'!$B$19:$B$201)-COUNT('Бланк OLD 0.8 04'!$B$18:$B$200),'Бланк OLD 2.0 04 '!$B$16:$K$200,7,0)&gt;0,VLOOKUP($A558-COUNT('Шаг2.Бланк заказа NEW'!$B$19:$B$201)-COUNT('Бланк OLD 0.8 04'!$B$18:$B$200),'Бланк OLD 2.0 04 '!$B$16:$K$200,8,0)&gt;0),0.4,""))))</f>
        <v/>
      </c>
      <c r="V558" s="146" t="str">
        <f ca="1">IFERROR(VLOOKUP(C558,'Шаг1.Выбор плиты'!C:S,12,0),"")</f>
        <v/>
      </c>
      <c r="W558" s="146" t="str">
        <f ca="1">IFERROR(VLOOKUP(C558,'Шаг1.Выбор плиты'!C:S,8,0),"")</f>
        <v/>
      </c>
      <c r="X558" s="146" t="str">
        <f ca="1">IFERROR(VLOOKUP(C558,'Шаг1.Выбор плиты'!C:S,10,0),"")</f>
        <v/>
      </c>
      <c r="Y558" s="147" t="str">
        <f t="shared" ca="1" si="51"/>
        <v/>
      </c>
      <c r="AD558" s="147" t="str">
        <f t="shared" ca="1" si="48"/>
        <v/>
      </c>
      <c r="AE558" s="147" t="str">
        <f t="shared" ca="1" si="52"/>
        <v/>
      </c>
      <c r="AF558" s="25"/>
      <c r="AH558" s="147" t="str">
        <f ca="1">IF(C558="","",VLOOKUP(C558,'Шаг1.Выбор плиты'!C:Q,7,0))</f>
        <v/>
      </c>
      <c r="AI558" s="147" t="str">
        <f t="shared" ca="1" si="50"/>
        <v/>
      </c>
    </row>
    <row r="559" spans="1:35" x14ac:dyDescent="0.2">
      <c r="A559" s="151" t="str">
        <f ca="1">IF(C559="","",MAX($A$1:OFFSET(C559,-1,0))+1)</f>
        <v/>
      </c>
      <c r="B559" s="151" t="str">
        <f ca="1">IFERROR(IFERROR(IFERROR("Шаг2.Бланк заказа NEW №"&amp;VLOOKUP(A558+1,CHOOSE({1,2},'Шаг2.Бланк заказа NEW'!$B$19:$B$201,'Шаг2.Бланк заказа NEW'!$A$19:$A$201),1,0),
"Бланк OLD 0.8 04 №"&amp;VLOOKUP(A558+1-COUNT('Шаг2.Бланк заказа NEW'!$B$19:$B$201),CHOOSE({1,2},'Бланк OLD 0.8 04'!$B$18:$B$200,'Бланк OLD 0.8 04'!$A$18:$A$200),1,0)),
"Бланк OLD 2.0 04 №"&amp;VLOOKUP(A558+1-COUNT('Шаг2.Бланк заказа NEW'!$B$19:$B$201)-COUNT('Бланк OLD 0.8 04'!$B$18:$B$200),CHOOSE({1,2},'Бланк OLD 2.0 04 '!$B$18:$B$200,'Бланк OLD 2.0 04 '!$A$18:$A$200),1,0)),"")</f>
        <v/>
      </c>
      <c r="C559" s="152" t="str">
        <f ca="1">IFERROR(IFERROR(IFERROR(VLOOKUP(A558+1,CHOOSE({1,2},'Шаг2.Бланк заказа NEW'!$B$19:$B$201,'Шаг2.Бланк заказа NEW'!$A$19:$A$201),2,0),
VLOOKUP(A558+1-COUNT('Шаг2.Бланк заказа NEW'!$B$19:$B$201),CHOOSE({1,2},'Бланк OLD 0.8 04'!$B$18:$B$200,'Бланк OLD 0.8 04'!$A$18:$A$200),2,0)),
VLOOKUP(A558+1-COUNT('Шаг2.Бланк заказа NEW'!$B$19:$B$201)-COUNT('Бланк OLD 0.8 04'!$B$18:$B$200),CHOOSE({1,2},'Бланк OLD 2.0 04 '!$B$18:$B$200,'Бланк OLD 2.0 04 '!$A$18:$A$200),2,0)),"")</f>
        <v/>
      </c>
      <c r="D559" s="150" t="str">
        <f ca="1">IFERROR(VLOOKUP(C559,'Шаг1.Выбор плиты'!C:G,5,0),"")</f>
        <v/>
      </c>
      <c r="E559" s="147" t="str">
        <f ca="1">IFERROR(IFERROR(IF(VLOOKUP($A559,'Шаг2.Бланк заказа NEW'!$B$17:$N$201,2,0)="","",VLOOKUP($A559,'Шаг2.Бланк заказа NEW'!$B$17:$N$201,2,0)),
IF(VLOOKUP($A559-COUNT('Шаг2.Бланк заказа NEW'!$B$19:$B$201),'Бланк OLD 0.8 04'!$B$12:$K$200,2,0)="","",VLOOKUP($A559-COUNT('Шаг2.Бланк заказа NEW'!$B$19:$B$201),'Бланк OLD 0.8 04'!$B$12:$K$200,2,0))),
IF(VLOOKUP($A559-COUNT('Шаг2.Бланк заказа NEW'!$B$19:$B$201)-COUNT('Бланк OLD 0.8 04'!$B$18:$B$200),'Бланк OLD 2.0 04 '!$B$16:$K$200,2,0)="","",VLOOKUP($A559-COUNT('Шаг2.Бланк заказа NEW'!$B$19:$B$201)-COUNT('Бланк OLD 0.8 04'!$B$18:$B$200),'Бланк OLD 2.0 04 '!$B$16:$K$200,2,0)))</f>
        <v/>
      </c>
      <c r="F559" s="147" t="str">
        <f ca="1">IFERROR(IFERROR(IF(VLOOKUP($A559,'Шаг2.Бланк заказа NEW'!$B$17:$N$201,3,0)="","",VLOOKUP($A559,'Шаг2.Бланк заказа NEW'!$B$17:$N$201,3,0)),
IF(VLOOKUP($A559-COUNT('Шаг2.Бланк заказа NEW'!$B$19:$B$201),'Бланк OLD 0.8 04'!$B$12:$K$200,3,0)="","",VLOOKUP($A559-COUNT('Шаг2.Бланк заказа NEW'!$B$19:$B$201),'Бланк OLD 0.8 04'!$B$12:$K$200,3,0))),
IF(VLOOKUP($A559-COUNT('Шаг2.Бланк заказа NEW'!$B$19:$B$201)-COUNT('Бланк OLD 0.8 04'!$B$18:$B$200),'Бланк OLD 2.0 04 '!$B$16:$K$200,3,0)="","",VLOOKUP($A559-COUNT('Шаг2.Бланк заказа NEW'!$B$19:$B$201)-COUNT('Бланк OLD 0.8 04'!$B$18:$B$200),'Бланк OLD 2.0 04 '!$B$16:$K$200,3,0)))</f>
        <v/>
      </c>
      <c r="G559" s="176" t="str">
        <f ca="1">IF(IF(R559="","",IF(R559=1,SUMIFS('Шаг1.Выбор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плиты'!C:Q,12,0)),1))))))=0,
R559,
IF(R559="","",IF(R559=1,SUMIFS('Шаг1.Выбор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плиты'!N:N,R559,'Шаг1.Выбор плиты'!M:M,SMALL(INDIRECT("мм"&amp;VLOOKUP(C559,'Шаг1.Выбор плиты'!C:Q,12,0)),1)))))))</f>
        <v/>
      </c>
      <c r="H559" s="177" t="str">
        <f ca="1">IF(IF(S559="","",IF(S559=1,SUMIFS('Шаг1.Выбор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плиты'!C:Q,12,0)),1))))))=0,
S559,
IF(S559="","",IF(S559=1,SUMIFS('Шаг1.Выбор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плиты'!N:N,S559,'Шаг1.Выбор плиты'!M:M,SMALL(INDIRECT("мм"&amp;VLOOKUP(C559,'Шаг1.Выбор плиты'!C:Q,12,0)),1)))))))</f>
        <v/>
      </c>
      <c r="I559" s="147" t="str">
        <f ca="1">IFERROR(IFERROR(IF(VLOOKUP($A559,'Шаг2.Бланк заказа NEW'!$B$17:$N$201,6,0)="","",VLOOKUP($A559,'Шаг2.Бланк заказа NEW'!$B$17:$N$201,6,0)),
IF(VLOOKUP($A559-COUNT('Шаг2.Бланк заказа NEW'!$B$19:$B$201),'Бланк OLD 0.8 04'!$B$12:$K$200,6,0)="","",VLOOKUP($A559-COUNT('Шаг2.Бланк заказа NEW'!$B$19:$B$201),'Бланк OLD 0.8 04'!$B$12:$K$200,6,0))),
IF(VLOOKUP($A559-COUNT('Шаг2.Бланк заказа NEW'!$B$19:$B$201)-COUNT('Бланк OLD 0.8 04'!$B$18:$B$200),'Бланк OLD 2.0 04 '!$B$16:$K$200,6,0)="","",VLOOKUP($A559-COUNT('Шаг2.Бланк заказа NEW'!$B$19:$B$201)-COUNT('Бланк OLD 0.8 04'!$B$18:$B$200),'Бланк OLD 2.0 04 '!$B$16:$K$200,6,0)))</f>
        <v/>
      </c>
      <c r="J559" s="177" t="str">
        <f ca="1">IF(IF(T559="","",IF(T559=1,SUMIFS('Шаг1.Выбор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плиты'!C:Q,12,0)),1))))))=0,
T559,
IF(T559="","",IF(T559=1,SUMIFS('Шаг1.Выбор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плиты'!N:N,T559,'Шаг1.Выбор плиты'!M:M,SMALL(INDIRECT("мм"&amp;VLOOKUP(C559,'Шаг1.Выбор плиты'!C:Q,12,0)),1)))))))</f>
        <v/>
      </c>
      <c r="K559" s="177" t="str">
        <f ca="1">IF(IF(U559="","",IF(U559=1,SUMIFS('Шаг1.Выбор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плиты'!C:Q,12,0)),1))))))=0,
U559,
IF(U559="","",IF(U559=1,SUMIFS('Шаг1.Выбор плиты'!$G:$G,'Шаг1.Выбор плиты'!J:J,"*"&amp;RIGHT(VLOOKUP(C559,'Шаг1.Выбор плиты'!C:Q,8,0),4),'Шаг1.Выбор плиты'!L:L,IF(MID(C559,1,6)="ЛДСП P","TM"&amp;MID(VLOOKUP(C559,'Шаг1.Выбор плиты'!C:Q,10,0),3,2),MID(VLOOKUP(C559,'Шаг1.Выбор плиты'!C:Q,10,0),1,2)),
'Шаг1.Выбор плиты'!N:N,1),IF(SUMIFS('Шаг1.Выбор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плиты'!C:Q,12,0)),1))=0,
IF(SUMIFS('Шаг1.Выбор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плиты'!C:Q,12,0)),2))=0,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плиты'!C:Q,12,0)),3)),
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плиты'!C:Q,12,0)),2))),
(SUMIFS('Шаг1.Выбор плиты'!$G:$G,'Шаг1.Выбор плиты'!J:J,"*"&amp;RIGHT(VLOOKUP(C559,'Шаг1.Выбор плиты'!C:Q,8,0),4),'Шаг1.Выбор плиты'!L:L,VLOOKUP(C559,'Шаг1.Выбор плиты'!C:Q,10,0),'Шаг1.Выбор плиты'!N:N,U559,'Шаг1.Выбор плиты'!M:M,SMALL(INDIRECT("мм"&amp;VLOOKUP(C559,'Шаг1.Выбор плиты'!C:Q,12,0)),1)))))))</f>
        <v/>
      </c>
      <c r="L559" s="147" t="str">
        <f ca="1">IFERROR(IFERROR(IF(VLOOKUP($A559,'Шаг2.Бланк заказа NEW'!$B$17:$N$201,9,0)="","",VLOOKUP($A559,'Шаг2.Бланк заказа NEW'!$B$17:$N$201,9,0)),
IF(VLOOKUP($A559-COUNT('Шаг2.Бланк заказа NEW'!$B$19:$B$201),'Бланк OLD 0.8 04'!$B$12:$K$200,9,0)="","",VLOOKUP($A559-COUNT('Шаг2.Бланк заказа NEW'!$B$19:$B$201),'Бланк OLD 0.8 04'!$B$12:$K$200,9,0))),
IF(VLOOKUP($A559-COUNT('Шаг2.Бланк заказа NEW'!$B$19:$B$201)-COUNT('Бланк OLD 0.8 04'!$B$18:$B$200),'Бланк OLD 2.0 04 '!$B$16:$K$200,9,0)="","",VLOOKUP($A559-COUNT('Шаг2.Бланк заказа NEW'!$B$19:$B$201)-COUNT('Бланк OLD 0.8 04'!$B$18:$B$200),'Бланк OLD 2.0 04 '!$B$16:$K$200,9,0)))</f>
        <v/>
      </c>
      <c r="M559" s="154" t="str">
        <f t="shared" ca="1" si="49"/>
        <v/>
      </c>
      <c r="N559" s="153" t="str">
        <f ca="1">IFERROR(IF(VLOOKUP($A559,'Шаг2.Бланк заказа NEW'!$B$17:$N$201,11,0)="","",VLOOKUP($A559,'Шаг2.Бланк заказа NEW'!$B$17:$N$201,11,0)),
"Нет")</f>
        <v/>
      </c>
      <c r="O559" s="147" t="str">
        <f ca="1">IFERROR(IF(VLOOKUP($A559,'Шаг2.Бланк заказа NEW'!$B$17:$N$201,11,0)="","",VLOOKUP($A559,'Шаг2.Бланк заказа NEW'!$B$17:$N$201,12,0)),
"Нет")</f>
        <v/>
      </c>
      <c r="P559" s="153" t="str">
        <f ca="1">IFERROR(IF(VLOOKUP($A559,'Шаг2.Бланк заказа NEW'!$B$17:$N$201,13,0)="","",VLOOKUP($A559,'Шаг2.Бланк заказа NEW'!$B$17:$N$201,13,0)),
"Нет")</f>
        <v/>
      </c>
      <c r="Q559" s="147" t="str">
        <f ca="1">IFERROR(IF(VLOOKUP($A559,'Шаг2.Бланк заказа NEW'!$B$17:$O$201,14,0)="","",VLOOKUP($A559,'Шаг2.Бланк заказа NEW'!$B$17:$O$201,14,0)),"")</f>
        <v/>
      </c>
      <c r="R559" s="147" t="str">
        <f ca="1">IFERROR(IFERROR(IF(VLOOKUP($A559,'Шаг2.Бланк заказа NEW'!$B$17:$N$201,4,0)="","",VLOOKUP($A559,'Шаг2.Бланк заказа NEW'!$B$17:$N$201,4,0)),
IF(VLOOKUP($A559-COUNT('Шаг2.Бланк заказа NEW'!$B$19:$B$201),'Бланк OLD 0.8 04'!$B$12:$K$200,4,0)&gt;0,0.8,
IF(VLOOKUP($A559-COUNT('Шаг2.Бланк заказа NEW'!$B$19:$B$201),'Бланк OLD 0.8 04'!$B$12:$K$200,5,0)&gt;0,0.4,""))),
IF(VLOOKUP($A559-COUNT('Шаг2.Бланк заказа NEW'!$B$19:$B$201)-COUNT('Бланк OLD 0.8 04'!$B$18:$B$200),'Бланк OLD 2.0 04 '!$B$16:$K$200,4,0)&gt;0,2,IF(VLOOKUP($A559-COUNT('Шаг2.Бланк заказа NEW'!$B$19:$B$201)-COUNT('Бланк OLD 0.8 04'!$B$18:$B$200),'Бланк OLD 2.0 04 '!$B$16:$K$200,5,0)&gt;0,0.4,"")))</f>
        <v/>
      </c>
      <c r="S559" s="147" t="str">
        <f ca="1">IFERROR(IFERROR(IF(VLOOKUP($A559,'Шаг2.Бланк заказа NEW'!$B$17:$N$201,5,0)="","",VLOOKUP($A559,'Шаг2.Бланк заказа NEW'!$B$17:$N$201,5,0)),
IF(VLOOKUP($A559-COUNT('Шаг2.Бланк заказа NEW'!$B$19:$B$201),'Бланк OLD 0.8 04'!$B$12:$K$200,4,0)&gt;1,0.8,
IF(VLOOKUP($A559-COUNT('Шаг2.Бланк заказа NEW'!$B$19:$B$201),'Бланк OLD 0.8 04'!$B$12:$K$200,5,0)&gt;1,0.4,
IF(AND(VLOOKUP($A559-COUNT('Шаг2.Бланк заказа NEW'!$B$19:$B$201),'Бланк OLD 0.8 04'!$B$12:$K$200,4,0)&gt;0,VLOOKUP($A559-COUNT('Шаг2.Бланк заказа NEW'!$B$19:$B$201),'Бланк OLD 0.8 04'!$B$12:$K$200,5,0)&gt;0),0.4,"")))),
IF(VLOOKUP($A559-COUNT('Шаг2.Бланк заказа NEW'!$B$19:$B$201)-COUNT('Бланк OLD 0.8 04'!$B$18:$B$200),'Бланк OLD 2.0 04 '!$B$16:$K$200,4,0)&gt;1,2,
IF(VLOOKUP($A559-COUNT('Шаг2.Бланк заказа NEW'!$B$19:$B$201)-COUNT('Бланк OLD 0.8 04'!$B$18:$B$200),'Бланк OLD 2.0 04 '!$B$16:$K$200,5,0)&gt;1,0.4,IF(AND(VLOOKUP($A559-COUNT('Шаг2.Бланк заказа NEW'!$B$19:$B$201)-COUNT('Бланк OLD 0.8 04'!$B$18:$B$200),'Бланк OLD 2.0 04 '!$B$16:$K$200,4,0)&gt;0,VLOOKUP($A559-COUNT('Шаг2.Бланк заказа NEW'!$B$19:$B$201)-COUNT('Бланк OLD 0.8 04'!$B$18:$B$200),'Бланк OLD 2.0 04 '!$B$16:$K$200,5,0)&gt;0),0.4,""))))</f>
        <v/>
      </c>
      <c r="T559" s="147" t="str">
        <f ca="1">IFERROR(IFERROR(IF(VLOOKUP($A559,'Шаг2.Бланк заказа NEW'!$B$17:$N$201,7,0)="","",VLOOKUP($A559,'Шаг2.Бланк заказа NEW'!$B$17:$N$201,7,0)),
IF(VLOOKUP($A559-COUNT('Шаг2.Бланк заказа NEW'!$B$19:$B$201),'Бланк OLD 0.8 04'!$B$12:$K$200,7,0)&gt;0,0.8,
IF(VLOOKUP($A559-COUNT('Шаг2.Бланк заказа NEW'!$B$19:$B$201),'Бланк OLD 0.8 04'!$B$12:$K$200,8,0)&gt;0,0.4,""))),
IF(VLOOKUP($A559-COUNT('Шаг2.Бланк заказа NEW'!$B$19:$B$201)-COUNT('Бланк OLD 0.8 04'!$B$18:$B$200),'Бланк OLD 2.0 04 '!$B$16:$K$200,7,0)&gt;0,2,IF(VLOOKUP($A559-COUNT('Шаг2.Бланк заказа NEW'!$B$19:$B$201)-COUNT('Бланк OLD 0.8 04'!$B$18:$B$200),'Бланк OLD 2.0 04 '!$B$16:$K$200,8,0)&gt;0,0.4,"")))</f>
        <v/>
      </c>
      <c r="U559" s="147" t="str">
        <f ca="1">IFERROR(IFERROR(IF(VLOOKUP($A559,'Шаг2.Бланк заказа NEW'!$B$17:$N$201,8,0)="","",VLOOKUP($A559,'Шаг2.Бланк заказа NEW'!$B$17:$N$201,8,0)),
IF(VLOOKUP($A559-COUNT('Шаг2.Бланк заказа NEW'!$B$19:$B$201),'Бланк OLD 0.8 04'!$B$12:$K$200,7,0)&gt;1,0.8,
IF(VLOOKUP($A559-COUNT('Шаг2.Бланк заказа NEW'!$B$19:$B$201),'Бланк OLD 0.8 04'!$B$12:$K$200,8,0)&gt;1,0.4,
IF(AND(VLOOKUP($A559-COUNT('Шаг2.Бланк заказа NEW'!$B$19:$B$201),'Бланк OLD 0.8 04'!$B$12:$K$200,7,0)&gt;0,VLOOKUP($A559-COUNT('Шаг2.Бланк заказа NEW'!$B$19:$B$201),'Бланк OLD 0.8 04'!$B$12:$K$200,8,0)&gt;0),0.4,"")))),
IF(VLOOKUP($A559-COUNT('Шаг2.Бланк заказа NEW'!$B$19:$B$201)-COUNT('Бланк OLD 0.8 04'!$B$18:$B$200),'Бланк OLD 2.0 04 '!$B$16:$K$200,7,0)&gt;1,2,
IF(VLOOKUP($A559-COUNT('Шаг2.Бланк заказа NEW'!$B$19:$B$201)-COUNT('Бланк OLD 0.8 04'!$B$18:$B$200),'Бланк OLD 2.0 04 '!$B$16:$K$200,8,0)&gt;1,0.4,
IF(AND(VLOOKUP($A559-COUNT('Шаг2.Бланк заказа NEW'!$B$19:$B$201)-COUNT('Бланк OLD 0.8 04'!$B$18:$B$200),'Бланк OLD 2.0 04 '!$B$16:$K$200,7,0)&gt;0,VLOOKUP($A559-COUNT('Шаг2.Бланк заказа NEW'!$B$19:$B$201)-COUNT('Бланк OLD 0.8 04'!$B$18:$B$200),'Бланк OLD 2.0 04 '!$B$16:$K$200,8,0)&gt;0),0.4,""))))</f>
        <v/>
      </c>
      <c r="V559" s="146" t="str">
        <f ca="1">IFERROR(VLOOKUP(C559,'Шаг1.Выбор плиты'!C:S,12,0),"")</f>
        <v/>
      </c>
      <c r="W559" s="146" t="str">
        <f ca="1">IFERROR(VLOOKUP(C559,'Шаг1.Выбор плиты'!C:S,8,0),"")</f>
        <v/>
      </c>
      <c r="X559" s="146" t="str">
        <f ca="1">IFERROR(VLOOKUP(C559,'Шаг1.Выбор плиты'!C:S,10,0),"")</f>
        <v/>
      </c>
      <c r="Y559" s="147" t="str">
        <f t="shared" ca="1" si="51"/>
        <v/>
      </c>
      <c r="AD559" s="147" t="str">
        <f t="shared" ca="1" si="48"/>
        <v/>
      </c>
      <c r="AE559" s="147" t="str">
        <f t="shared" ca="1" si="52"/>
        <v/>
      </c>
      <c r="AF559" s="25"/>
      <c r="AH559" s="147" t="str">
        <f ca="1">IF(C559="","",VLOOKUP(C559,'Шаг1.Выбор плиты'!C:Q,7,0))</f>
        <v/>
      </c>
      <c r="AI559" s="147" t="str">
        <f t="shared" ca="1" si="50"/>
        <v/>
      </c>
    </row>
    <row r="560" spans="1:35" x14ac:dyDescent="0.2">
      <c r="A560" s="151" t="str">
        <f ca="1">IF(C560="","",MAX($A$1:OFFSET(C560,-1,0))+1)</f>
        <v/>
      </c>
      <c r="B560" s="151" t="str">
        <f ca="1">IFERROR(IFERROR(IFERROR("Шаг2.Бланк заказа NEW №"&amp;VLOOKUP(A559+1,CHOOSE({1,2},'Шаг2.Бланк заказа NEW'!$B$19:$B$201,'Шаг2.Бланк заказа NEW'!$A$19:$A$201),1,0),
"Бланк OLD 0.8 04 №"&amp;VLOOKUP(A559+1-COUNT('Шаг2.Бланк заказа NEW'!$B$19:$B$201),CHOOSE({1,2},'Бланк OLD 0.8 04'!$B$18:$B$200,'Бланк OLD 0.8 04'!$A$18:$A$200),1,0)),
"Бланк OLD 2.0 04 №"&amp;VLOOKUP(A559+1-COUNT('Шаг2.Бланк заказа NEW'!$B$19:$B$201)-COUNT('Бланк OLD 0.8 04'!$B$18:$B$200),CHOOSE({1,2},'Бланк OLD 2.0 04 '!$B$18:$B$200,'Бланк OLD 2.0 04 '!$A$18:$A$200),1,0)),"")</f>
        <v/>
      </c>
      <c r="C560" s="152" t="str">
        <f ca="1">IFERROR(IFERROR(IFERROR(VLOOKUP(A559+1,CHOOSE({1,2},'Шаг2.Бланк заказа NEW'!$B$19:$B$201,'Шаг2.Бланк заказа NEW'!$A$19:$A$201),2,0),
VLOOKUP(A559+1-COUNT('Шаг2.Бланк заказа NEW'!$B$19:$B$201),CHOOSE({1,2},'Бланк OLD 0.8 04'!$B$18:$B$200,'Бланк OLD 0.8 04'!$A$18:$A$200),2,0)),
VLOOKUP(A559+1-COUNT('Шаг2.Бланк заказа NEW'!$B$19:$B$201)-COUNT('Бланк OLD 0.8 04'!$B$18:$B$200),CHOOSE({1,2},'Бланк OLD 2.0 04 '!$B$18:$B$200,'Бланк OLD 2.0 04 '!$A$18:$A$200),2,0)),"")</f>
        <v/>
      </c>
      <c r="D560" s="150" t="str">
        <f ca="1">IFERROR(VLOOKUP(C560,'Шаг1.Выбор плиты'!C:G,5,0),"")</f>
        <v/>
      </c>
      <c r="E560" s="147" t="str">
        <f ca="1">IFERROR(IFERROR(IF(VLOOKUP($A560,'Шаг2.Бланк заказа NEW'!$B$17:$N$201,2,0)="","",VLOOKUP($A560,'Шаг2.Бланк заказа NEW'!$B$17:$N$201,2,0)),
IF(VLOOKUP($A560-COUNT('Шаг2.Бланк заказа NEW'!$B$19:$B$201),'Бланк OLD 0.8 04'!$B$12:$K$200,2,0)="","",VLOOKUP($A560-COUNT('Шаг2.Бланк заказа NEW'!$B$19:$B$201),'Бланк OLD 0.8 04'!$B$12:$K$200,2,0))),
IF(VLOOKUP($A560-COUNT('Шаг2.Бланк заказа NEW'!$B$19:$B$201)-COUNT('Бланк OLD 0.8 04'!$B$18:$B$200),'Бланк OLD 2.0 04 '!$B$16:$K$200,2,0)="","",VLOOKUP($A560-COUNT('Шаг2.Бланк заказа NEW'!$B$19:$B$201)-COUNT('Бланк OLD 0.8 04'!$B$18:$B$200),'Бланк OLD 2.0 04 '!$B$16:$K$200,2,0)))</f>
        <v/>
      </c>
      <c r="F560" s="147" t="str">
        <f ca="1">IFERROR(IFERROR(IF(VLOOKUP($A560,'Шаг2.Бланк заказа NEW'!$B$17:$N$201,3,0)="","",VLOOKUP($A560,'Шаг2.Бланк заказа NEW'!$B$17:$N$201,3,0)),
IF(VLOOKUP($A560-COUNT('Шаг2.Бланк заказа NEW'!$B$19:$B$201),'Бланк OLD 0.8 04'!$B$12:$K$200,3,0)="","",VLOOKUP($A560-COUNT('Шаг2.Бланк заказа NEW'!$B$19:$B$201),'Бланк OLD 0.8 04'!$B$12:$K$200,3,0))),
IF(VLOOKUP($A560-COUNT('Шаг2.Бланк заказа NEW'!$B$19:$B$201)-COUNT('Бланк OLD 0.8 04'!$B$18:$B$200),'Бланк OLD 2.0 04 '!$B$16:$K$200,3,0)="","",VLOOKUP($A560-COUNT('Шаг2.Бланк заказа NEW'!$B$19:$B$201)-COUNT('Бланк OLD 0.8 04'!$B$18:$B$200),'Бланк OLD 2.0 04 '!$B$16:$K$200,3,0)))</f>
        <v/>
      </c>
      <c r="G560" s="176" t="str">
        <f ca="1">IF(IF(R560="","",IF(R560=1,SUMIFS('Шаг1.Выбор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плиты'!C:Q,12,0)),1))))))=0,
R560,
IF(R560="","",IF(R560=1,SUMIFS('Шаг1.Выбор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плиты'!N:N,R560,'Шаг1.Выбор плиты'!M:M,SMALL(INDIRECT("мм"&amp;VLOOKUP(C560,'Шаг1.Выбор плиты'!C:Q,12,0)),1)))))))</f>
        <v/>
      </c>
      <c r="H560" s="177" t="str">
        <f ca="1">IF(IF(S560="","",IF(S560=1,SUMIFS('Шаг1.Выбор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плиты'!C:Q,12,0)),1))))))=0,
S560,
IF(S560="","",IF(S560=1,SUMIFS('Шаг1.Выбор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плиты'!N:N,S560,'Шаг1.Выбор плиты'!M:M,SMALL(INDIRECT("мм"&amp;VLOOKUP(C560,'Шаг1.Выбор плиты'!C:Q,12,0)),1)))))))</f>
        <v/>
      </c>
      <c r="I560" s="147" t="str">
        <f ca="1">IFERROR(IFERROR(IF(VLOOKUP($A560,'Шаг2.Бланк заказа NEW'!$B$17:$N$201,6,0)="","",VLOOKUP($A560,'Шаг2.Бланк заказа NEW'!$B$17:$N$201,6,0)),
IF(VLOOKUP($A560-COUNT('Шаг2.Бланк заказа NEW'!$B$19:$B$201),'Бланк OLD 0.8 04'!$B$12:$K$200,6,0)="","",VLOOKUP($A560-COUNT('Шаг2.Бланк заказа NEW'!$B$19:$B$201),'Бланк OLD 0.8 04'!$B$12:$K$200,6,0))),
IF(VLOOKUP($A560-COUNT('Шаг2.Бланк заказа NEW'!$B$19:$B$201)-COUNT('Бланк OLD 0.8 04'!$B$18:$B$200),'Бланк OLD 2.0 04 '!$B$16:$K$200,6,0)="","",VLOOKUP($A560-COUNT('Шаг2.Бланк заказа NEW'!$B$19:$B$201)-COUNT('Бланк OLD 0.8 04'!$B$18:$B$200),'Бланк OLD 2.0 04 '!$B$16:$K$200,6,0)))</f>
        <v/>
      </c>
      <c r="J560" s="177" t="str">
        <f ca="1">IF(IF(T560="","",IF(T560=1,SUMIFS('Шаг1.Выбор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плиты'!C:Q,12,0)),1))))))=0,
T560,
IF(T560="","",IF(T560=1,SUMIFS('Шаг1.Выбор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плиты'!N:N,T560,'Шаг1.Выбор плиты'!M:M,SMALL(INDIRECT("мм"&amp;VLOOKUP(C560,'Шаг1.Выбор плиты'!C:Q,12,0)),1)))))))</f>
        <v/>
      </c>
      <c r="K560" s="177" t="str">
        <f ca="1">IF(IF(U560="","",IF(U560=1,SUMIFS('Шаг1.Выбор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плиты'!C:Q,12,0)),1))))))=0,
U560,
IF(U560="","",IF(U560=1,SUMIFS('Шаг1.Выбор плиты'!$G:$G,'Шаг1.Выбор плиты'!J:J,"*"&amp;RIGHT(VLOOKUP(C560,'Шаг1.Выбор плиты'!C:Q,8,0),4),'Шаг1.Выбор плиты'!L:L,IF(MID(C560,1,6)="ЛДСП P","TM"&amp;MID(VLOOKUP(C560,'Шаг1.Выбор плиты'!C:Q,10,0),3,2),MID(VLOOKUP(C560,'Шаг1.Выбор плиты'!C:Q,10,0),1,2)),
'Шаг1.Выбор плиты'!N:N,1),IF(SUMIFS('Шаг1.Выбор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плиты'!C:Q,12,0)),1))=0,
IF(SUMIFS('Шаг1.Выбор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плиты'!C:Q,12,0)),2))=0,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плиты'!C:Q,12,0)),3)),
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плиты'!C:Q,12,0)),2))),
(SUMIFS('Шаг1.Выбор плиты'!$G:$G,'Шаг1.Выбор плиты'!J:J,"*"&amp;RIGHT(VLOOKUP(C560,'Шаг1.Выбор плиты'!C:Q,8,0),4),'Шаг1.Выбор плиты'!L:L,VLOOKUP(C560,'Шаг1.Выбор плиты'!C:Q,10,0),'Шаг1.Выбор плиты'!N:N,U560,'Шаг1.Выбор плиты'!M:M,SMALL(INDIRECT("мм"&amp;VLOOKUP(C560,'Шаг1.Выбор плиты'!C:Q,12,0)),1)))))))</f>
        <v/>
      </c>
      <c r="L560" s="147" t="str">
        <f ca="1">IFERROR(IFERROR(IF(VLOOKUP($A560,'Шаг2.Бланк заказа NEW'!$B$17:$N$201,9,0)="","",VLOOKUP($A560,'Шаг2.Бланк заказа NEW'!$B$17:$N$201,9,0)),
IF(VLOOKUP($A560-COUNT('Шаг2.Бланк заказа NEW'!$B$19:$B$201),'Бланк OLD 0.8 04'!$B$12:$K$200,9,0)="","",VLOOKUP($A560-COUNT('Шаг2.Бланк заказа NEW'!$B$19:$B$201),'Бланк OLD 0.8 04'!$B$12:$K$200,9,0))),
IF(VLOOKUP($A560-COUNT('Шаг2.Бланк заказа NEW'!$B$19:$B$201)-COUNT('Бланк OLD 0.8 04'!$B$18:$B$200),'Бланк OLD 2.0 04 '!$B$16:$K$200,9,0)="","",VLOOKUP($A560-COUNT('Шаг2.Бланк заказа NEW'!$B$19:$B$201)-COUNT('Бланк OLD 0.8 04'!$B$18:$B$200),'Бланк OLD 2.0 04 '!$B$16:$K$200,9,0)))</f>
        <v/>
      </c>
      <c r="M560" s="154" t="str">
        <f t="shared" ca="1" si="49"/>
        <v/>
      </c>
      <c r="N560" s="153" t="str">
        <f ca="1">IFERROR(IF(VLOOKUP($A560,'Шаг2.Бланк заказа NEW'!$B$17:$N$201,11,0)="","",VLOOKUP($A560,'Шаг2.Бланк заказа NEW'!$B$17:$N$201,11,0)),
"Нет")</f>
        <v/>
      </c>
      <c r="O560" s="147" t="str">
        <f ca="1">IFERROR(IF(VLOOKUP($A560,'Шаг2.Бланк заказа NEW'!$B$17:$N$201,11,0)="","",VLOOKUP($A560,'Шаг2.Бланк заказа NEW'!$B$17:$N$201,12,0)),
"Нет")</f>
        <v/>
      </c>
      <c r="P560" s="153" t="str">
        <f ca="1">IFERROR(IF(VLOOKUP($A560,'Шаг2.Бланк заказа NEW'!$B$17:$N$201,13,0)="","",VLOOKUP($A560,'Шаг2.Бланк заказа NEW'!$B$17:$N$201,13,0)),
"Нет")</f>
        <v/>
      </c>
      <c r="Q560" s="147" t="str">
        <f ca="1">IFERROR(IF(VLOOKUP($A560,'Шаг2.Бланк заказа NEW'!$B$17:$O$201,14,0)="","",VLOOKUP($A560,'Шаг2.Бланк заказа NEW'!$B$17:$O$201,14,0)),"")</f>
        <v/>
      </c>
      <c r="R560" s="147" t="str">
        <f ca="1">IFERROR(IFERROR(IF(VLOOKUP($A560,'Шаг2.Бланк заказа NEW'!$B$17:$N$201,4,0)="","",VLOOKUP($A560,'Шаг2.Бланк заказа NEW'!$B$17:$N$201,4,0)),
IF(VLOOKUP($A560-COUNT('Шаг2.Бланк заказа NEW'!$B$19:$B$201),'Бланк OLD 0.8 04'!$B$12:$K$200,4,0)&gt;0,0.8,
IF(VLOOKUP($A560-COUNT('Шаг2.Бланк заказа NEW'!$B$19:$B$201),'Бланк OLD 0.8 04'!$B$12:$K$200,5,0)&gt;0,0.4,""))),
IF(VLOOKUP($A560-COUNT('Шаг2.Бланк заказа NEW'!$B$19:$B$201)-COUNT('Бланк OLD 0.8 04'!$B$18:$B$200),'Бланк OLD 2.0 04 '!$B$16:$K$200,4,0)&gt;0,2,IF(VLOOKUP($A560-COUNT('Шаг2.Бланк заказа NEW'!$B$19:$B$201)-COUNT('Бланк OLD 0.8 04'!$B$18:$B$200),'Бланк OLD 2.0 04 '!$B$16:$K$200,5,0)&gt;0,0.4,"")))</f>
        <v/>
      </c>
      <c r="S560" s="147" t="str">
        <f ca="1">IFERROR(IFERROR(IF(VLOOKUP($A560,'Шаг2.Бланк заказа NEW'!$B$17:$N$201,5,0)="","",VLOOKUP($A560,'Шаг2.Бланк заказа NEW'!$B$17:$N$201,5,0)),
IF(VLOOKUP($A560-COUNT('Шаг2.Бланк заказа NEW'!$B$19:$B$201),'Бланк OLD 0.8 04'!$B$12:$K$200,4,0)&gt;1,0.8,
IF(VLOOKUP($A560-COUNT('Шаг2.Бланк заказа NEW'!$B$19:$B$201),'Бланк OLD 0.8 04'!$B$12:$K$200,5,0)&gt;1,0.4,
IF(AND(VLOOKUP($A560-COUNT('Шаг2.Бланк заказа NEW'!$B$19:$B$201),'Бланк OLD 0.8 04'!$B$12:$K$200,4,0)&gt;0,VLOOKUP($A560-COUNT('Шаг2.Бланк заказа NEW'!$B$19:$B$201),'Бланк OLD 0.8 04'!$B$12:$K$200,5,0)&gt;0),0.4,"")))),
IF(VLOOKUP($A560-COUNT('Шаг2.Бланк заказа NEW'!$B$19:$B$201)-COUNT('Бланк OLD 0.8 04'!$B$18:$B$200),'Бланк OLD 2.0 04 '!$B$16:$K$200,4,0)&gt;1,2,
IF(VLOOKUP($A560-COUNT('Шаг2.Бланк заказа NEW'!$B$19:$B$201)-COUNT('Бланк OLD 0.8 04'!$B$18:$B$200),'Бланк OLD 2.0 04 '!$B$16:$K$200,5,0)&gt;1,0.4,IF(AND(VLOOKUP($A560-COUNT('Шаг2.Бланк заказа NEW'!$B$19:$B$201)-COUNT('Бланк OLD 0.8 04'!$B$18:$B$200),'Бланк OLD 2.0 04 '!$B$16:$K$200,4,0)&gt;0,VLOOKUP($A560-COUNT('Шаг2.Бланк заказа NEW'!$B$19:$B$201)-COUNT('Бланк OLD 0.8 04'!$B$18:$B$200),'Бланк OLD 2.0 04 '!$B$16:$K$200,5,0)&gt;0),0.4,""))))</f>
        <v/>
      </c>
      <c r="T560" s="147" t="str">
        <f ca="1">IFERROR(IFERROR(IF(VLOOKUP($A560,'Шаг2.Бланк заказа NEW'!$B$17:$N$201,7,0)="","",VLOOKUP($A560,'Шаг2.Бланк заказа NEW'!$B$17:$N$201,7,0)),
IF(VLOOKUP($A560-COUNT('Шаг2.Бланк заказа NEW'!$B$19:$B$201),'Бланк OLD 0.8 04'!$B$12:$K$200,7,0)&gt;0,0.8,
IF(VLOOKUP($A560-COUNT('Шаг2.Бланк заказа NEW'!$B$19:$B$201),'Бланк OLD 0.8 04'!$B$12:$K$200,8,0)&gt;0,0.4,""))),
IF(VLOOKUP($A560-COUNT('Шаг2.Бланк заказа NEW'!$B$19:$B$201)-COUNT('Бланк OLD 0.8 04'!$B$18:$B$200),'Бланк OLD 2.0 04 '!$B$16:$K$200,7,0)&gt;0,2,IF(VLOOKUP($A560-COUNT('Шаг2.Бланк заказа NEW'!$B$19:$B$201)-COUNT('Бланк OLD 0.8 04'!$B$18:$B$200),'Бланк OLD 2.0 04 '!$B$16:$K$200,8,0)&gt;0,0.4,"")))</f>
        <v/>
      </c>
      <c r="U560" s="147" t="str">
        <f ca="1">IFERROR(IFERROR(IF(VLOOKUP($A560,'Шаг2.Бланк заказа NEW'!$B$17:$N$201,8,0)="","",VLOOKUP($A560,'Шаг2.Бланк заказа NEW'!$B$17:$N$201,8,0)),
IF(VLOOKUP($A560-COUNT('Шаг2.Бланк заказа NEW'!$B$19:$B$201),'Бланк OLD 0.8 04'!$B$12:$K$200,7,0)&gt;1,0.8,
IF(VLOOKUP($A560-COUNT('Шаг2.Бланк заказа NEW'!$B$19:$B$201),'Бланк OLD 0.8 04'!$B$12:$K$200,8,0)&gt;1,0.4,
IF(AND(VLOOKUP($A560-COUNT('Шаг2.Бланк заказа NEW'!$B$19:$B$201),'Бланк OLD 0.8 04'!$B$12:$K$200,7,0)&gt;0,VLOOKUP($A560-COUNT('Шаг2.Бланк заказа NEW'!$B$19:$B$201),'Бланк OLD 0.8 04'!$B$12:$K$200,8,0)&gt;0),0.4,"")))),
IF(VLOOKUP($A560-COUNT('Шаг2.Бланк заказа NEW'!$B$19:$B$201)-COUNT('Бланк OLD 0.8 04'!$B$18:$B$200),'Бланк OLD 2.0 04 '!$B$16:$K$200,7,0)&gt;1,2,
IF(VLOOKUP($A560-COUNT('Шаг2.Бланк заказа NEW'!$B$19:$B$201)-COUNT('Бланк OLD 0.8 04'!$B$18:$B$200),'Бланк OLD 2.0 04 '!$B$16:$K$200,8,0)&gt;1,0.4,
IF(AND(VLOOKUP($A560-COUNT('Шаг2.Бланк заказа NEW'!$B$19:$B$201)-COUNT('Бланк OLD 0.8 04'!$B$18:$B$200),'Бланк OLD 2.0 04 '!$B$16:$K$200,7,0)&gt;0,VLOOKUP($A560-COUNT('Шаг2.Бланк заказа NEW'!$B$19:$B$201)-COUNT('Бланк OLD 0.8 04'!$B$18:$B$200),'Бланк OLD 2.0 04 '!$B$16:$K$200,8,0)&gt;0),0.4,""))))</f>
        <v/>
      </c>
      <c r="V560" s="146" t="str">
        <f ca="1">IFERROR(VLOOKUP(C560,'Шаг1.Выбор плиты'!C:S,12,0),"")</f>
        <v/>
      </c>
      <c r="W560" s="146" t="str">
        <f ca="1">IFERROR(VLOOKUP(C560,'Шаг1.Выбор плиты'!C:S,8,0),"")</f>
        <v/>
      </c>
      <c r="X560" s="146" t="str">
        <f ca="1">IFERROR(VLOOKUP(C560,'Шаг1.Выбор плиты'!C:S,10,0),"")</f>
        <v/>
      </c>
      <c r="Y560" s="147" t="str">
        <f t="shared" ca="1" si="51"/>
        <v/>
      </c>
      <c r="AD560" s="147" t="str">
        <f t="shared" ca="1" si="48"/>
        <v/>
      </c>
      <c r="AE560" s="147" t="str">
        <f t="shared" ca="1" si="52"/>
        <v/>
      </c>
      <c r="AF560" s="25"/>
      <c r="AH560" s="147" t="str">
        <f ca="1">IF(C560="","",VLOOKUP(C560,'Шаг1.Выбор плиты'!C:Q,7,0))</f>
        <v/>
      </c>
      <c r="AI560" s="147" t="str">
        <f t="shared" ca="1" si="50"/>
        <v/>
      </c>
    </row>
    <row r="561" spans="1:35" x14ac:dyDescent="0.2">
      <c r="A561" s="151" t="str">
        <f ca="1">IF(C561="","",MAX($A$1:OFFSET(C561,-1,0))+1)</f>
        <v/>
      </c>
      <c r="B561" s="151" t="str">
        <f ca="1">IFERROR(IFERROR(IFERROR("Шаг2.Бланк заказа NEW №"&amp;VLOOKUP(A560+1,CHOOSE({1,2},'Шаг2.Бланк заказа NEW'!$B$19:$B$201,'Шаг2.Бланк заказа NEW'!$A$19:$A$201),1,0),
"Бланк OLD 0.8 04 №"&amp;VLOOKUP(A560+1-COUNT('Шаг2.Бланк заказа NEW'!$B$19:$B$201),CHOOSE({1,2},'Бланк OLD 0.8 04'!$B$18:$B$200,'Бланк OLD 0.8 04'!$A$18:$A$200),1,0)),
"Бланк OLD 2.0 04 №"&amp;VLOOKUP(A560+1-COUNT('Шаг2.Бланк заказа NEW'!$B$19:$B$201)-COUNT('Бланк OLD 0.8 04'!$B$18:$B$200),CHOOSE({1,2},'Бланк OLD 2.0 04 '!$B$18:$B$200,'Бланк OLD 2.0 04 '!$A$18:$A$200),1,0)),"")</f>
        <v/>
      </c>
      <c r="C561" s="152" t="str">
        <f ca="1">IFERROR(IFERROR(IFERROR(VLOOKUP(A560+1,CHOOSE({1,2},'Шаг2.Бланк заказа NEW'!$B$19:$B$201,'Шаг2.Бланк заказа NEW'!$A$19:$A$201),2,0),
VLOOKUP(A560+1-COUNT('Шаг2.Бланк заказа NEW'!$B$19:$B$201),CHOOSE({1,2},'Бланк OLD 0.8 04'!$B$18:$B$200,'Бланк OLD 0.8 04'!$A$18:$A$200),2,0)),
VLOOKUP(A560+1-COUNT('Шаг2.Бланк заказа NEW'!$B$19:$B$201)-COUNT('Бланк OLD 0.8 04'!$B$18:$B$200),CHOOSE({1,2},'Бланк OLD 2.0 04 '!$B$18:$B$200,'Бланк OLD 2.0 04 '!$A$18:$A$200),2,0)),"")</f>
        <v/>
      </c>
      <c r="D561" s="150" t="str">
        <f ca="1">IFERROR(VLOOKUP(C561,'Шаг1.Выбор плиты'!C:G,5,0),"")</f>
        <v/>
      </c>
      <c r="E561" s="147" t="str">
        <f ca="1">IFERROR(IFERROR(IF(VLOOKUP($A561,'Шаг2.Бланк заказа NEW'!$B$17:$N$201,2,0)="","",VLOOKUP($A561,'Шаг2.Бланк заказа NEW'!$B$17:$N$201,2,0)),
IF(VLOOKUP($A561-COUNT('Шаг2.Бланк заказа NEW'!$B$19:$B$201),'Бланк OLD 0.8 04'!$B$12:$K$200,2,0)="","",VLOOKUP($A561-COUNT('Шаг2.Бланк заказа NEW'!$B$19:$B$201),'Бланк OLD 0.8 04'!$B$12:$K$200,2,0))),
IF(VLOOKUP($A561-COUNT('Шаг2.Бланк заказа NEW'!$B$19:$B$201)-COUNT('Бланк OLD 0.8 04'!$B$18:$B$200),'Бланк OLD 2.0 04 '!$B$16:$K$200,2,0)="","",VLOOKUP($A561-COUNT('Шаг2.Бланк заказа NEW'!$B$19:$B$201)-COUNT('Бланк OLD 0.8 04'!$B$18:$B$200),'Бланк OLD 2.0 04 '!$B$16:$K$200,2,0)))</f>
        <v/>
      </c>
      <c r="F561" s="147" t="str">
        <f ca="1">IFERROR(IFERROR(IF(VLOOKUP($A561,'Шаг2.Бланк заказа NEW'!$B$17:$N$201,3,0)="","",VLOOKUP($A561,'Шаг2.Бланк заказа NEW'!$B$17:$N$201,3,0)),
IF(VLOOKUP($A561-COUNT('Шаг2.Бланк заказа NEW'!$B$19:$B$201),'Бланк OLD 0.8 04'!$B$12:$K$200,3,0)="","",VLOOKUP($A561-COUNT('Шаг2.Бланк заказа NEW'!$B$19:$B$201),'Бланк OLD 0.8 04'!$B$12:$K$200,3,0))),
IF(VLOOKUP($A561-COUNT('Шаг2.Бланк заказа NEW'!$B$19:$B$201)-COUNT('Бланк OLD 0.8 04'!$B$18:$B$200),'Бланк OLD 2.0 04 '!$B$16:$K$200,3,0)="","",VLOOKUP($A561-COUNT('Шаг2.Бланк заказа NEW'!$B$19:$B$201)-COUNT('Бланк OLD 0.8 04'!$B$18:$B$200),'Бланк OLD 2.0 04 '!$B$16:$K$200,3,0)))</f>
        <v/>
      </c>
      <c r="G561" s="176" t="str">
        <f ca="1">IF(IF(R561="","",IF(R561=1,SUMIFS('Шаг1.Выбор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плиты'!C:Q,12,0)),1))))))=0,
R561,
IF(R561="","",IF(R561=1,SUMIFS('Шаг1.Выбор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плиты'!N:N,R561,'Шаг1.Выбор плиты'!M:M,SMALL(INDIRECT("мм"&amp;VLOOKUP(C561,'Шаг1.Выбор плиты'!C:Q,12,0)),1)))))))</f>
        <v/>
      </c>
      <c r="H561" s="177" t="str">
        <f ca="1">IF(IF(S561="","",IF(S561=1,SUMIFS('Шаг1.Выбор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плиты'!C:Q,12,0)),1))))))=0,
S561,
IF(S561="","",IF(S561=1,SUMIFS('Шаг1.Выбор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плиты'!N:N,S561,'Шаг1.Выбор плиты'!M:M,SMALL(INDIRECT("мм"&amp;VLOOKUP(C561,'Шаг1.Выбор плиты'!C:Q,12,0)),1)))))))</f>
        <v/>
      </c>
      <c r="I561" s="147" t="str">
        <f ca="1">IFERROR(IFERROR(IF(VLOOKUP($A561,'Шаг2.Бланк заказа NEW'!$B$17:$N$201,6,0)="","",VLOOKUP($A561,'Шаг2.Бланк заказа NEW'!$B$17:$N$201,6,0)),
IF(VLOOKUP($A561-COUNT('Шаг2.Бланк заказа NEW'!$B$19:$B$201),'Бланк OLD 0.8 04'!$B$12:$K$200,6,0)="","",VLOOKUP($A561-COUNT('Шаг2.Бланк заказа NEW'!$B$19:$B$201),'Бланк OLD 0.8 04'!$B$12:$K$200,6,0))),
IF(VLOOKUP($A561-COUNT('Шаг2.Бланк заказа NEW'!$B$19:$B$201)-COUNT('Бланк OLD 0.8 04'!$B$18:$B$200),'Бланк OLD 2.0 04 '!$B$16:$K$200,6,0)="","",VLOOKUP($A561-COUNT('Шаг2.Бланк заказа NEW'!$B$19:$B$201)-COUNT('Бланк OLD 0.8 04'!$B$18:$B$200),'Бланк OLD 2.0 04 '!$B$16:$K$200,6,0)))</f>
        <v/>
      </c>
      <c r="J561" s="177" t="str">
        <f ca="1">IF(IF(T561="","",IF(T561=1,SUMIFS('Шаг1.Выбор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плиты'!C:Q,12,0)),1))))))=0,
T561,
IF(T561="","",IF(T561=1,SUMIFS('Шаг1.Выбор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плиты'!N:N,T561,'Шаг1.Выбор плиты'!M:M,SMALL(INDIRECT("мм"&amp;VLOOKUP(C561,'Шаг1.Выбор плиты'!C:Q,12,0)),1)))))))</f>
        <v/>
      </c>
      <c r="K561" s="177" t="str">
        <f ca="1">IF(IF(U561="","",IF(U561=1,SUMIFS('Шаг1.Выбор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плиты'!C:Q,12,0)),1))))))=0,
U561,
IF(U561="","",IF(U561=1,SUMIFS('Шаг1.Выбор плиты'!$G:$G,'Шаг1.Выбор плиты'!J:J,"*"&amp;RIGHT(VLOOKUP(C561,'Шаг1.Выбор плиты'!C:Q,8,0),4),'Шаг1.Выбор плиты'!L:L,IF(MID(C561,1,6)="ЛДСП P","TM"&amp;MID(VLOOKUP(C561,'Шаг1.Выбор плиты'!C:Q,10,0),3,2),MID(VLOOKUP(C561,'Шаг1.Выбор плиты'!C:Q,10,0),1,2)),
'Шаг1.Выбор плиты'!N:N,1),IF(SUMIFS('Шаг1.Выбор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плиты'!C:Q,12,0)),1))=0,
IF(SUMIFS('Шаг1.Выбор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плиты'!C:Q,12,0)),2))=0,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плиты'!C:Q,12,0)),3)),
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плиты'!C:Q,12,0)),2))),
(SUMIFS('Шаг1.Выбор плиты'!$G:$G,'Шаг1.Выбор плиты'!J:J,"*"&amp;RIGHT(VLOOKUP(C561,'Шаг1.Выбор плиты'!C:Q,8,0),4),'Шаг1.Выбор плиты'!L:L,VLOOKUP(C561,'Шаг1.Выбор плиты'!C:Q,10,0),'Шаг1.Выбор плиты'!N:N,U561,'Шаг1.Выбор плиты'!M:M,SMALL(INDIRECT("мм"&amp;VLOOKUP(C561,'Шаг1.Выбор плиты'!C:Q,12,0)),1)))))))</f>
        <v/>
      </c>
      <c r="L561" s="147" t="str">
        <f ca="1">IFERROR(IFERROR(IF(VLOOKUP($A561,'Шаг2.Бланк заказа NEW'!$B$17:$N$201,9,0)="","",VLOOKUP($A561,'Шаг2.Бланк заказа NEW'!$B$17:$N$201,9,0)),
IF(VLOOKUP($A561-COUNT('Шаг2.Бланк заказа NEW'!$B$19:$B$201),'Бланк OLD 0.8 04'!$B$12:$K$200,9,0)="","",VLOOKUP($A561-COUNT('Шаг2.Бланк заказа NEW'!$B$19:$B$201),'Бланк OLD 0.8 04'!$B$12:$K$200,9,0))),
IF(VLOOKUP($A561-COUNT('Шаг2.Бланк заказа NEW'!$B$19:$B$201)-COUNT('Бланк OLD 0.8 04'!$B$18:$B$200),'Бланк OLD 2.0 04 '!$B$16:$K$200,9,0)="","",VLOOKUP($A561-COUNT('Шаг2.Бланк заказа NEW'!$B$19:$B$201)-COUNT('Бланк OLD 0.8 04'!$B$18:$B$200),'Бланк OLD 2.0 04 '!$B$16:$K$200,9,0)))</f>
        <v/>
      </c>
      <c r="M561" s="154" t="str">
        <f t="shared" ca="1" si="49"/>
        <v/>
      </c>
      <c r="N561" s="153" t="str">
        <f ca="1">IFERROR(IF(VLOOKUP($A561,'Шаг2.Бланк заказа NEW'!$B$17:$N$201,11,0)="","",VLOOKUP($A561,'Шаг2.Бланк заказа NEW'!$B$17:$N$201,11,0)),
"Нет")</f>
        <v/>
      </c>
      <c r="O561" s="147" t="str">
        <f ca="1">IFERROR(IF(VLOOKUP($A561,'Шаг2.Бланк заказа NEW'!$B$17:$N$201,11,0)="","",VLOOKUP($A561,'Шаг2.Бланк заказа NEW'!$B$17:$N$201,12,0)),
"Нет")</f>
        <v/>
      </c>
      <c r="P561" s="153" t="str">
        <f ca="1">IFERROR(IF(VLOOKUP($A561,'Шаг2.Бланк заказа NEW'!$B$17:$N$201,13,0)="","",VLOOKUP($A561,'Шаг2.Бланк заказа NEW'!$B$17:$N$201,13,0)),
"Нет")</f>
        <v/>
      </c>
      <c r="Q561" s="147" t="str">
        <f ca="1">IFERROR(IF(VLOOKUP($A561,'Шаг2.Бланк заказа NEW'!$B$17:$O$201,14,0)="","",VLOOKUP($A561,'Шаг2.Бланк заказа NEW'!$B$17:$O$201,14,0)),"")</f>
        <v/>
      </c>
      <c r="R561" s="147" t="str">
        <f ca="1">IFERROR(IFERROR(IF(VLOOKUP($A561,'Шаг2.Бланк заказа NEW'!$B$17:$N$201,4,0)="","",VLOOKUP($A561,'Шаг2.Бланк заказа NEW'!$B$17:$N$201,4,0)),
IF(VLOOKUP($A561-COUNT('Шаг2.Бланк заказа NEW'!$B$19:$B$201),'Бланк OLD 0.8 04'!$B$12:$K$200,4,0)&gt;0,0.8,
IF(VLOOKUP($A561-COUNT('Шаг2.Бланк заказа NEW'!$B$19:$B$201),'Бланк OLD 0.8 04'!$B$12:$K$200,5,0)&gt;0,0.4,""))),
IF(VLOOKUP($A561-COUNT('Шаг2.Бланк заказа NEW'!$B$19:$B$201)-COUNT('Бланк OLD 0.8 04'!$B$18:$B$200),'Бланк OLD 2.0 04 '!$B$16:$K$200,4,0)&gt;0,2,IF(VLOOKUP($A561-COUNT('Шаг2.Бланк заказа NEW'!$B$19:$B$201)-COUNT('Бланк OLD 0.8 04'!$B$18:$B$200),'Бланк OLD 2.0 04 '!$B$16:$K$200,5,0)&gt;0,0.4,"")))</f>
        <v/>
      </c>
      <c r="S561" s="147" t="str">
        <f ca="1">IFERROR(IFERROR(IF(VLOOKUP($A561,'Шаг2.Бланк заказа NEW'!$B$17:$N$201,5,0)="","",VLOOKUP($A561,'Шаг2.Бланк заказа NEW'!$B$17:$N$201,5,0)),
IF(VLOOKUP($A561-COUNT('Шаг2.Бланк заказа NEW'!$B$19:$B$201),'Бланк OLD 0.8 04'!$B$12:$K$200,4,0)&gt;1,0.8,
IF(VLOOKUP($A561-COUNT('Шаг2.Бланк заказа NEW'!$B$19:$B$201),'Бланк OLD 0.8 04'!$B$12:$K$200,5,0)&gt;1,0.4,
IF(AND(VLOOKUP($A561-COUNT('Шаг2.Бланк заказа NEW'!$B$19:$B$201),'Бланк OLD 0.8 04'!$B$12:$K$200,4,0)&gt;0,VLOOKUP($A561-COUNT('Шаг2.Бланк заказа NEW'!$B$19:$B$201),'Бланк OLD 0.8 04'!$B$12:$K$200,5,0)&gt;0),0.4,"")))),
IF(VLOOKUP($A561-COUNT('Шаг2.Бланк заказа NEW'!$B$19:$B$201)-COUNT('Бланк OLD 0.8 04'!$B$18:$B$200),'Бланк OLD 2.0 04 '!$B$16:$K$200,4,0)&gt;1,2,
IF(VLOOKUP($A561-COUNT('Шаг2.Бланк заказа NEW'!$B$19:$B$201)-COUNT('Бланк OLD 0.8 04'!$B$18:$B$200),'Бланк OLD 2.0 04 '!$B$16:$K$200,5,0)&gt;1,0.4,IF(AND(VLOOKUP($A561-COUNT('Шаг2.Бланк заказа NEW'!$B$19:$B$201)-COUNT('Бланк OLD 0.8 04'!$B$18:$B$200),'Бланк OLD 2.0 04 '!$B$16:$K$200,4,0)&gt;0,VLOOKUP($A561-COUNT('Шаг2.Бланк заказа NEW'!$B$19:$B$201)-COUNT('Бланк OLD 0.8 04'!$B$18:$B$200),'Бланк OLD 2.0 04 '!$B$16:$K$200,5,0)&gt;0),0.4,""))))</f>
        <v/>
      </c>
      <c r="T561" s="147" t="str">
        <f ca="1">IFERROR(IFERROR(IF(VLOOKUP($A561,'Шаг2.Бланк заказа NEW'!$B$17:$N$201,7,0)="","",VLOOKUP($A561,'Шаг2.Бланк заказа NEW'!$B$17:$N$201,7,0)),
IF(VLOOKUP($A561-COUNT('Шаг2.Бланк заказа NEW'!$B$19:$B$201),'Бланк OLD 0.8 04'!$B$12:$K$200,7,0)&gt;0,0.8,
IF(VLOOKUP($A561-COUNT('Шаг2.Бланк заказа NEW'!$B$19:$B$201),'Бланк OLD 0.8 04'!$B$12:$K$200,8,0)&gt;0,0.4,""))),
IF(VLOOKUP($A561-COUNT('Шаг2.Бланк заказа NEW'!$B$19:$B$201)-COUNT('Бланк OLD 0.8 04'!$B$18:$B$200),'Бланк OLD 2.0 04 '!$B$16:$K$200,7,0)&gt;0,2,IF(VLOOKUP($A561-COUNT('Шаг2.Бланк заказа NEW'!$B$19:$B$201)-COUNT('Бланк OLD 0.8 04'!$B$18:$B$200),'Бланк OLD 2.0 04 '!$B$16:$K$200,8,0)&gt;0,0.4,"")))</f>
        <v/>
      </c>
      <c r="U561" s="147" t="str">
        <f ca="1">IFERROR(IFERROR(IF(VLOOKUP($A561,'Шаг2.Бланк заказа NEW'!$B$17:$N$201,8,0)="","",VLOOKUP($A561,'Шаг2.Бланк заказа NEW'!$B$17:$N$201,8,0)),
IF(VLOOKUP($A561-COUNT('Шаг2.Бланк заказа NEW'!$B$19:$B$201),'Бланк OLD 0.8 04'!$B$12:$K$200,7,0)&gt;1,0.8,
IF(VLOOKUP($A561-COUNT('Шаг2.Бланк заказа NEW'!$B$19:$B$201),'Бланк OLD 0.8 04'!$B$12:$K$200,8,0)&gt;1,0.4,
IF(AND(VLOOKUP($A561-COUNT('Шаг2.Бланк заказа NEW'!$B$19:$B$201),'Бланк OLD 0.8 04'!$B$12:$K$200,7,0)&gt;0,VLOOKUP($A561-COUNT('Шаг2.Бланк заказа NEW'!$B$19:$B$201),'Бланк OLD 0.8 04'!$B$12:$K$200,8,0)&gt;0),0.4,"")))),
IF(VLOOKUP($A561-COUNT('Шаг2.Бланк заказа NEW'!$B$19:$B$201)-COUNT('Бланк OLD 0.8 04'!$B$18:$B$200),'Бланк OLD 2.0 04 '!$B$16:$K$200,7,0)&gt;1,2,
IF(VLOOKUP($A561-COUNT('Шаг2.Бланк заказа NEW'!$B$19:$B$201)-COUNT('Бланк OLD 0.8 04'!$B$18:$B$200),'Бланк OLD 2.0 04 '!$B$16:$K$200,8,0)&gt;1,0.4,
IF(AND(VLOOKUP($A561-COUNT('Шаг2.Бланк заказа NEW'!$B$19:$B$201)-COUNT('Бланк OLD 0.8 04'!$B$18:$B$200),'Бланк OLD 2.0 04 '!$B$16:$K$200,7,0)&gt;0,VLOOKUP($A561-COUNT('Шаг2.Бланк заказа NEW'!$B$19:$B$201)-COUNT('Бланк OLD 0.8 04'!$B$18:$B$200),'Бланк OLD 2.0 04 '!$B$16:$K$200,8,0)&gt;0),0.4,""))))</f>
        <v/>
      </c>
      <c r="V561" s="146" t="str">
        <f ca="1">IFERROR(VLOOKUP(C561,'Шаг1.Выбор плиты'!C:S,12,0),"")</f>
        <v/>
      </c>
      <c r="W561" s="146" t="str">
        <f ca="1">IFERROR(VLOOKUP(C561,'Шаг1.Выбор плиты'!C:S,8,0),"")</f>
        <v/>
      </c>
      <c r="X561" s="146" t="str">
        <f ca="1">IFERROR(VLOOKUP(C561,'Шаг1.Выбор плиты'!C:S,10,0),"")</f>
        <v/>
      </c>
      <c r="Y561" s="147" t="str">
        <f t="shared" ca="1" si="51"/>
        <v/>
      </c>
      <c r="AD561" s="147" t="str">
        <f t="shared" ca="1" si="48"/>
        <v/>
      </c>
      <c r="AE561" s="147" t="str">
        <f t="shared" ca="1" si="52"/>
        <v/>
      </c>
      <c r="AF561" s="25"/>
      <c r="AH561" s="147" t="str">
        <f ca="1">IF(C561="","",VLOOKUP(C561,'Шаг1.Выбор плиты'!C:Q,7,0))</f>
        <v/>
      </c>
      <c r="AI561" s="147" t="str">
        <f t="shared" ca="1" si="50"/>
        <v/>
      </c>
    </row>
    <row r="562" spans="1:35" x14ac:dyDescent="0.2">
      <c r="A562" s="151" t="str">
        <f ca="1">IF(C562="","",MAX($A$1:OFFSET(C562,-1,0))+1)</f>
        <v/>
      </c>
      <c r="B562" s="151" t="str">
        <f ca="1">IFERROR(IFERROR(IFERROR("Шаг2.Бланк заказа NEW №"&amp;VLOOKUP(A561+1,CHOOSE({1,2},'Шаг2.Бланк заказа NEW'!$B$19:$B$201,'Шаг2.Бланк заказа NEW'!$A$19:$A$201),1,0),
"Бланк OLD 0.8 04 №"&amp;VLOOKUP(A561+1-COUNT('Шаг2.Бланк заказа NEW'!$B$19:$B$201),CHOOSE({1,2},'Бланк OLD 0.8 04'!$B$18:$B$200,'Бланк OLD 0.8 04'!$A$18:$A$200),1,0)),
"Бланк OLD 2.0 04 №"&amp;VLOOKUP(A561+1-COUNT('Шаг2.Бланк заказа NEW'!$B$19:$B$201)-COUNT('Бланк OLD 0.8 04'!$B$18:$B$200),CHOOSE({1,2},'Бланк OLD 2.0 04 '!$B$18:$B$200,'Бланк OLD 2.0 04 '!$A$18:$A$200),1,0)),"")</f>
        <v/>
      </c>
      <c r="C562" s="152" t="str">
        <f ca="1">IFERROR(IFERROR(IFERROR(VLOOKUP(A561+1,CHOOSE({1,2},'Шаг2.Бланк заказа NEW'!$B$19:$B$201,'Шаг2.Бланк заказа NEW'!$A$19:$A$201),2,0),
VLOOKUP(A561+1-COUNT('Шаг2.Бланк заказа NEW'!$B$19:$B$201),CHOOSE({1,2},'Бланк OLD 0.8 04'!$B$18:$B$200,'Бланк OLD 0.8 04'!$A$18:$A$200),2,0)),
VLOOKUP(A561+1-COUNT('Шаг2.Бланк заказа NEW'!$B$19:$B$201)-COUNT('Бланк OLD 0.8 04'!$B$18:$B$200),CHOOSE({1,2},'Бланк OLD 2.0 04 '!$B$18:$B$200,'Бланк OLD 2.0 04 '!$A$18:$A$200),2,0)),"")</f>
        <v/>
      </c>
      <c r="D562" s="150" t="str">
        <f ca="1">IFERROR(VLOOKUP(C562,'Шаг1.Выбор плиты'!C:G,5,0),"")</f>
        <v/>
      </c>
      <c r="E562" s="147" t="str">
        <f ca="1">IFERROR(IFERROR(IF(VLOOKUP($A562,'Шаг2.Бланк заказа NEW'!$B$17:$N$201,2,0)="","",VLOOKUP($A562,'Шаг2.Бланк заказа NEW'!$B$17:$N$201,2,0)),
IF(VLOOKUP($A562-COUNT('Шаг2.Бланк заказа NEW'!$B$19:$B$201),'Бланк OLD 0.8 04'!$B$12:$K$200,2,0)="","",VLOOKUP($A562-COUNT('Шаг2.Бланк заказа NEW'!$B$19:$B$201),'Бланк OLD 0.8 04'!$B$12:$K$200,2,0))),
IF(VLOOKUP($A562-COUNT('Шаг2.Бланк заказа NEW'!$B$19:$B$201)-COUNT('Бланк OLD 0.8 04'!$B$18:$B$200),'Бланк OLD 2.0 04 '!$B$16:$K$200,2,0)="","",VLOOKUP($A562-COUNT('Шаг2.Бланк заказа NEW'!$B$19:$B$201)-COUNT('Бланк OLD 0.8 04'!$B$18:$B$200),'Бланк OLD 2.0 04 '!$B$16:$K$200,2,0)))</f>
        <v/>
      </c>
      <c r="F562" s="147" t="str">
        <f ca="1">IFERROR(IFERROR(IF(VLOOKUP($A562,'Шаг2.Бланк заказа NEW'!$B$17:$N$201,3,0)="","",VLOOKUP($A562,'Шаг2.Бланк заказа NEW'!$B$17:$N$201,3,0)),
IF(VLOOKUP($A562-COUNT('Шаг2.Бланк заказа NEW'!$B$19:$B$201),'Бланк OLD 0.8 04'!$B$12:$K$200,3,0)="","",VLOOKUP($A562-COUNT('Шаг2.Бланк заказа NEW'!$B$19:$B$201),'Бланк OLD 0.8 04'!$B$12:$K$200,3,0))),
IF(VLOOKUP($A562-COUNT('Шаг2.Бланк заказа NEW'!$B$19:$B$201)-COUNT('Бланк OLD 0.8 04'!$B$18:$B$200),'Бланк OLD 2.0 04 '!$B$16:$K$200,3,0)="","",VLOOKUP($A562-COUNT('Шаг2.Бланк заказа NEW'!$B$19:$B$201)-COUNT('Бланк OLD 0.8 04'!$B$18:$B$200),'Бланк OLD 2.0 04 '!$B$16:$K$200,3,0)))</f>
        <v/>
      </c>
      <c r="G562" s="176" t="str">
        <f ca="1">IF(IF(R562="","",IF(R562=1,SUMIFS('Шаг1.Выбор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плиты'!C:Q,12,0)),1))))))=0,
R562,
IF(R562="","",IF(R562=1,SUMIFS('Шаг1.Выбор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плиты'!N:N,R562,'Шаг1.Выбор плиты'!M:M,SMALL(INDIRECT("мм"&amp;VLOOKUP(C562,'Шаг1.Выбор плиты'!C:Q,12,0)),1)))))))</f>
        <v/>
      </c>
      <c r="H562" s="177" t="str">
        <f ca="1">IF(IF(S562="","",IF(S562=1,SUMIFS('Шаг1.Выбор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плиты'!C:Q,12,0)),1))))))=0,
S562,
IF(S562="","",IF(S562=1,SUMIFS('Шаг1.Выбор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плиты'!N:N,S562,'Шаг1.Выбор плиты'!M:M,SMALL(INDIRECT("мм"&amp;VLOOKUP(C562,'Шаг1.Выбор плиты'!C:Q,12,0)),1)))))))</f>
        <v/>
      </c>
      <c r="I562" s="147" t="str">
        <f ca="1">IFERROR(IFERROR(IF(VLOOKUP($A562,'Шаг2.Бланк заказа NEW'!$B$17:$N$201,6,0)="","",VLOOKUP($A562,'Шаг2.Бланк заказа NEW'!$B$17:$N$201,6,0)),
IF(VLOOKUP($A562-COUNT('Шаг2.Бланк заказа NEW'!$B$19:$B$201),'Бланк OLD 0.8 04'!$B$12:$K$200,6,0)="","",VLOOKUP($A562-COUNT('Шаг2.Бланк заказа NEW'!$B$19:$B$201),'Бланк OLD 0.8 04'!$B$12:$K$200,6,0))),
IF(VLOOKUP($A562-COUNT('Шаг2.Бланк заказа NEW'!$B$19:$B$201)-COUNT('Бланк OLD 0.8 04'!$B$18:$B$200),'Бланк OLD 2.0 04 '!$B$16:$K$200,6,0)="","",VLOOKUP($A562-COUNT('Шаг2.Бланк заказа NEW'!$B$19:$B$201)-COUNT('Бланк OLD 0.8 04'!$B$18:$B$200),'Бланк OLD 2.0 04 '!$B$16:$K$200,6,0)))</f>
        <v/>
      </c>
      <c r="J562" s="177" t="str">
        <f ca="1">IF(IF(T562="","",IF(T562=1,SUMIFS('Шаг1.Выбор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плиты'!C:Q,12,0)),1))))))=0,
T562,
IF(T562="","",IF(T562=1,SUMIFS('Шаг1.Выбор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плиты'!N:N,T562,'Шаг1.Выбор плиты'!M:M,SMALL(INDIRECT("мм"&amp;VLOOKUP(C562,'Шаг1.Выбор плиты'!C:Q,12,0)),1)))))))</f>
        <v/>
      </c>
      <c r="K562" s="177" t="str">
        <f ca="1">IF(IF(U562="","",IF(U562=1,SUMIFS('Шаг1.Выбор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плиты'!C:Q,12,0)),1))))))=0,
U562,
IF(U562="","",IF(U562=1,SUMIFS('Шаг1.Выбор плиты'!$G:$G,'Шаг1.Выбор плиты'!J:J,"*"&amp;RIGHT(VLOOKUP(C562,'Шаг1.Выбор плиты'!C:Q,8,0),4),'Шаг1.Выбор плиты'!L:L,IF(MID(C562,1,6)="ЛДСП P","TM"&amp;MID(VLOOKUP(C562,'Шаг1.Выбор плиты'!C:Q,10,0),3,2),MID(VLOOKUP(C562,'Шаг1.Выбор плиты'!C:Q,10,0),1,2)),
'Шаг1.Выбор плиты'!N:N,1),IF(SUMIFS('Шаг1.Выбор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плиты'!C:Q,12,0)),1))=0,
IF(SUMIFS('Шаг1.Выбор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плиты'!C:Q,12,0)),2))=0,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плиты'!C:Q,12,0)),3)),
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плиты'!C:Q,12,0)),2))),
(SUMIFS('Шаг1.Выбор плиты'!$G:$G,'Шаг1.Выбор плиты'!J:J,"*"&amp;RIGHT(VLOOKUP(C562,'Шаг1.Выбор плиты'!C:Q,8,0),4),'Шаг1.Выбор плиты'!L:L,VLOOKUP(C562,'Шаг1.Выбор плиты'!C:Q,10,0),'Шаг1.Выбор плиты'!N:N,U562,'Шаг1.Выбор плиты'!M:M,SMALL(INDIRECT("мм"&amp;VLOOKUP(C562,'Шаг1.Выбор плиты'!C:Q,12,0)),1)))))))</f>
        <v/>
      </c>
      <c r="L562" s="147" t="str">
        <f ca="1">IFERROR(IFERROR(IF(VLOOKUP($A562,'Шаг2.Бланк заказа NEW'!$B$17:$N$201,9,0)="","",VLOOKUP($A562,'Шаг2.Бланк заказа NEW'!$B$17:$N$201,9,0)),
IF(VLOOKUP($A562-COUNT('Шаг2.Бланк заказа NEW'!$B$19:$B$201),'Бланк OLD 0.8 04'!$B$12:$K$200,9,0)="","",VLOOKUP($A562-COUNT('Шаг2.Бланк заказа NEW'!$B$19:$B$201),'Бланк OLD 0.8 04'!$B$12:$K$200,9,0))),
IF(VLOOKUP($A562-COUNT('Шаг2.Бланк заказа NEW'!$B$19:$B$201)-COUNT('Бланк OLD 0.8 04'!$B$18:$B$200),'Бланк OLD 2.0 04 '!$B$16:$K$200,9,0)="","",VLOOKUP($A562-COUNT('Шаг2.Бланк заказа NEW'!$B$19:$B$201)-COUNT('Бланк OLD 0.8 04'!$B$18:$B$200),'Бланк OLD 2.0 04 '!$B$16:$K$200,9,0)))</f>
        <v/>
      </c>
      <c r="M562" s="154" t="str">
        <f t="shared" ca="1" si="49"/>
        <v/>
      </c>
      <c r="N562" s="153" t="str">
        <f ca="1">IFERROR(IF(VLOOKUP($A562,'Шаг2.Бланк заказа NEW'!$B$17:$N$201,11,0)="","",VLOOKUP($A562,'Шаг2.Бланк заказа NEW'!$B$17:$N$201,11,0)),
"Нет")</f>
        <v/>
      </c>
      <c r="O562" s="147" t="str">
        <f ca="1">IFERROR(IF(VLOOKUP($A562,'Шаг2.Бланк заказа NEW'!$B$17:$N$201,11,0)="","",VLOOKUP($A562,'Шаг2.Бланк заказа NEW'!$B$17:$N$201,12,0)),
"Нет")</f>
        <v/>
      </c>
      <c r="P562" s="153" t="str">
        <f ca="1">IFERROR(IF(VLOOKUP($A562,'Шаг2.Бланк заказа NEW'!$B$17:$N$201,13,0)="","",VLOOKUP($A562,'Шаг2.Бланк заказа NEW'!$B$17:$N$201,13,0)),
"Нет")</f>
        <v/>
      </c>
      <c r="Q562" s="147" t="str">
        <f ca="1">IFERROR(IF(VLOOKUP($A562,'Шаг2.Бланк заказа NEW'!$B$17:$O$201,14,0)="","",VLOOKUP($A562,'Шаг2.Бланк заказа NEW'!$B$17:$O$201,14,0)),"")</f>
        <v/>
      </c>
      <c r="R562" s="147" t="str">
        <f ca="1">IFERROR(IFERROR(IF(VLOOKUP($A562,'Шаг2.Бланк заказа NEW'!$B$17:$N$201,4,0)="","",VLOOKUP($A562,'Шаг2.Бланк заказа NEW'!$B$17:$N$201,4,0)),
IF(VLOOKUP($A562-COUNT('Шаг2.Бланк заказа NEW'!$B$19:$B$201),'Бланк OLD 0.8 04'!$B$12:$K$200,4,0)&gt;0,0.8,
IF(VLOOKUP($A562-COUNT('Шаг2.Бланк заказа NEW'!$B$19:$B$201),'Бланк OLD 0.8 04'!$B$12:$K$200,5,0)&gt;0,0.4,""))),
IF(VLOOKUP($A562-COUNT('Шаг2.Бланк заказа NEW'!$B$19:$B$201)-COUNT('Бланк OLD 0.8 04'!$B$18:$B$200),'Бланк OLD 2.0 04 '!$B$16:$K$200,4,0)&gt;0,2,IF(VLOOKUP($A562-COUNT('Шаг2.Бланк заказа NEW'!$B$19:$B$201)-COUNT('Бланк OLD 0.8 04'!$B$18:$B$200),'Бланк OLD 2.0 04 '!$B$16:$K$200,5,0)&gt;0,0.4,"")))</f>
        <v/>
      </c>
      <c r="S562" s="147" t="str">
        <f ca="1">IFERROR(IFERROR(IF(VLOOKUP($A562,'Шаг2.Бланк заказа NEW'!$B$17:$N$201,5,0)="","",VLOOKUP($A562,'Шаг2.Бланк заказа NEW'!$B$17:$N$201,5,0)),
IF(VLOOKUP($A562-COUNT('Шаг2.Бланк заказа NEW'!$B$19:$B$201),'Бланк OLD 0.8 04'!$B$12:$K$200,4,0)&gt;1,0.8,
IF(VLOOKUP($A562-COUNT('Шаг2.Бланк заказа NEW'!$B$19:$B$201),'Бланк OLD 0.8 04'!$B$12:$K$200,5,0)&gt;1,0.4,
IF(AND(VLOOKUP($A562-COUNT('Шаг2.Бланк заказа NEW'!$B$19:$B$201),'Бланк OLD 0.8 04'!$B$12:$K$200,4,0)&gt;0,VLOOKUP($A562-COUNT('Шаг2.Бланк заказа NEW'!$B$19:$B$201),'Бланк OLD 0.8 04'!$B$12:$K$200,5,0)&gt;0),0.4,"")))),
IF(VLOOKUP($A562-COUNT('Шаг2.Бланк заказа NEW'!$B$19:$B$201)-COUNT('Бланк OLD 0.8 04'!$B$18:$B$200),'Бланк OLD 2.0 04 '!$B$16:$K$200,4,0)&gt;1,2,
IF(VLOOKUP($A562-COUNT('Шаг2.Бланк заказа NEW'!$B$19:$B$201)-COUNT('Бланк OLD 0.8 04'!$B$18:$B$200),'Бланк OLD 2.0 04 '!$B$16:$K$200,5,0)&gt;1,0.4,IF(AND(VLOOKUP($A562-COUNT('Шаг2.Бланк заказа NEW'!$B$19:$B$201)-COUNT('Бланк OLD 0.8 04'!$B$18:$B$200),'Бланк OLD 2.0 04 '!$B$16:$K$200,4,0)&gt;0,VLOOKUP($A562-COUNT('Шаг2.Бланк заказа NEW'!$B$19:$B$201)-COUNT('Бланк OLD 0.8 04'!$B$18:$B$200),'Бланк OLD 2.0 04 '!$B$16:$K$200,5,0)&gt;0),0.4,""))))</f>
        <v/>
      </c>
      <c r="T562" s="147" t="str">
        <f ca="1">IFERROR(IFERROR(IF(VLOOKUP($A562,'Шаг2.Бланк заказа NEW'!$B$17:$N$201,7,0)="","",VLOOKUP($A562,'Шаг2.Бланк заказа NEW'!$B$17:$N$201,7,0)),
IF(VLOOKUP($A562-COUNT('Шаг2.Бланк заказа NEW'!$B$19:$B$201),'Бланк OLD 0.8 04'!$B$12:$K$200,7,0)&gt;0,0.8,
IF(VLOOKUP($A562-COUNT('Шаг2.Бланк заказа NEW'!$B$19:$B$201),'Бланк OLD 0.8 04'!$B$12:$K$200,8,0)&gt;0,0.4,""))),
IF(VLOOKUP($A562-COUNT('Шаг2.Бланк заказа NEW'!$B$19:$B$201)-COUNT('Бланк OLD 0.8 04'!$B$18:$B$200),'Бланк OLD 2.0 04 '!$B$16:$K$200,7,0)&gt;0,2,IF(VLOOKUP($A562-COUNT('Шаг2.Бланк заказа NEW'!$B$19:$B$201)-COUNT('Бланк OLD 0.8 04'!$B$18:$B$200),'Бланк OLD 2.0 04 '!$B$16:$K$200,8,0)&gt;0,0.4,"")))</f>
        <v/>
      </c>
      <c r="U562" s="147" t="str">
        <f ca="1">IFERROR(IFERROR(IF(VLOOKUP($A562,'Шаг2.Бланк заказа NEW'!$B$17:$N$201,8,0)="","",VLOOKUP($A562,'Шаг2.Бланк заказа NEW'!$B$17:$N$201,8,0)),
IF(VLOOKUP($A562-COUNT('Шаг2.Бланк заказа NEW'!$B$19:$B$201),'Бланк OLD 0.8 04'!$B$12:$K$200,7,0)&gt;1,0.8,
IF(VLOOKUP($A562-COUNT('Шаг2.Бланк заказа NEW'!$B$19:$B$201),'Бланк OLD 0.8 04'!$B$12:$K$200,8,0)&gt;1,0.4,
IF(AND(VLOOKUP($A562-COUNT('Шаг2.Бланк заказа NEW'!$B$19:$B$201),'Бланк OLD 0.8 04'!$B$12:$K$200,7,0)&gt;0,VLOOKUP($A562-COUNT('Шаг2.Бланк заказа NEW'!$B$19:$B$201),'Бланк OLD 0.8 04'!$B$12:$K$200,8,0)&gt;0),0.4,"")))),
IF(VLOOKUP($A562-COUNT('Шаг2.Бланк заказа NEW'!$B$19:$B$201)-COUNT('Бланк OLD 0.8 04'!$B$18:$B$200),'Бланк OLD 2.0 04 '!$B$16:$K$200,7,0)&gt;1,2,
IF(VLOOKUP($A562-COUNT('Шаг2.Бланк заказа NEW'!$B$19:$B$201)-COUNT('Бланк OLD 0.8 04'!$B$18:$B$200),'Бланк OLD 2.0 04 '!$B$16:$K$200,8,0)&gt;1,0.4,
IF(AND(VLOOKUP($A562-COUNT('Шаг2.Бланк заказа NEW'!$B$19:$B$201)-COUNT('Бланк OLD 0.8 04'!$B$18:$B$200),'Бланк OLD 2.0 04 '!$B$16:$K$200,7,0)&gt;0,VLOOKUP($A562-COUNT('Шаг2.Бланк заказа NEW'!$B$19:$B$201)-COUNT('Бланк OLD 0.8 04'!$B$18:$B$200),'Бланк OLD 2.0 04 '!$B$16:$K$200,8,0)&gt;0),0.4,""))))</f>
        <v/>
      </c>
      <c r="V562" s="146" t="str">
        <f ca="1">IFERROR(VLOOKUP(C562,'Шаг1.Выбор плиты'!C:S,12,0),"")</f>
        <v/>
      </c>
      <c r="W562" s="146" t="str">
        <f ca="1">IFERROR(VLOOKUP(C562,'Шаг1.Выбор плиты'!C:S,8,0),"")</f>
        <v/>
      </c>
      <c r="X562" s="146" t="str">
        <f ca="1">IFERROR(VLOOKUP(C562,'Шаг1.Выбор плиты'!C:S,10,0),"")</f>
        <v/>
      </c>
      <c r="Y562" s="147" t="str">
        <f t="shared" ca="1" si="51"/>
        <v/>
      </c>
      <c r="AD562" s="147" t="str">
        <f t="shared" ca="1" si="48"/>
        <v/>
      </c>
      <c r="AE562" s="147" t="str">
        <f t="shared" ca="1" si="52"/>
        <v/>
      </c>
      <c r="AF562" s="25"/>
      <c r="AH562" s="147" t="str">
        <f ca="1">IF(C562="","",VLOOKUP(C562,'Шаг1.Выбор плиты'!C:Q,7,0))</f>
        <v/>
      </c>
      <c r="AI562" s="147" t="str">
        <f t="shared" ca="1" si="50"/>
        <v/>
      </c>
    </row>
    <row r="563" spans="1:35" x14ac:dyDescent="0.2">
      <c r="A563" s="151" t="str">
        <f ca="1">IF(C563="","",MAX($A$1:OFFSET(C563,-1,0))+1)</f>
        <v/>
      </c>
      <c r="B563" s="151" t="str">
        <f ca="1">IFERROR(IFERROR(IFERROR("Шаг2.Бланк заказа NEW №"&amp;VLOOKUP(A562+1,CHOOSE({1,2},'Шаг2.Бланк заказа NEW'!$B$19:$B$201,'Шаг2.Бланк заказа NEW'!$A$19:$A$201),1,0),
"Бланк OLD 0.8 04 №"&amp;VLOOKUP(A562+1-COUNT('Шаг2.Бланк заказа NEW'!$B$19:$B$201),CHOOSE({1,2},'Бланк OLD 0.8 04'!$B$18:$B$200,'Бланк OLD 0.8 04'!$A$18:$A$200),1,0)),
"Бланк OLD 2.0 04 №"&amp;VLOOKUP(A562+1-COUNT('Шаг2.Бланк заказа NEW'!$B$19:$B$201)-COUNT('Бланк OLD 0.8 04'!$B$18:$B$200),CHOOSE({1,2},'Бланк OLD 2.0 04 '!$B$18:$B$200,'Бланк OLD 2.0 04 '!$A$18:$A$200),1,0)),"")</f>
        <v/>
      </c>
      <c r="C563" s="152" t="str">
        <f ca="1">IFERROR(IFERROR(IFERROR(VLOOKUP(A562+1,CHOOSE({1,2},'Шаг2.Бланк заказа NEW'!$B$19:$B$201,'Шаг2.Бланк заказа NEW'!$A$19:$A$201),2,0),
VLOOKUP(A562+1-COUNT('Шаг2.Бланк заказа NEW'!$B$19:$B$201),CHOOSE({1,2},'Бланк OLD 0.8 04'!$B$18:$B$200,'Бланк OLD 0.8 04'!$A$18:$A$200),2,0)),
VLOOKUP(A562+1-COUNT('Шаг2.Бланк заказа NEW'!$B$19:$B$201)-COUNT('Бланк OLD 0.8 04'!$B$18:$B$200),CHOOSE({1,2},'Бланк OLD 2.0 04 '!$B$18:$B$200,'Бланк OLD 2.0 04 '!$A$18:$A$200),2,0)),"")</f>
        <v/>
      </c>
      <c r="D563" s="150" t="str">
        <f ca="1">IFERROR(VLOOKUP(C563,'Шаг1.Выбор плиты'!C:G,5,0),"")</f>
        <v/>
      </c>
      <c r="E563" s="147" t="str">
        <f ca="1">IFERROR(IFERROR(IF(VLOOKUP($A563,'Шаг2.Бланк заказа NEW'!$B$17:$N$201,2,0)="","",VLOOKUP($A563,'Шаг2.Бланк заказа NEW'!$B$17:$N$201,2,0)),
IF(VLOOKUP($A563-COUNT('Шаг2.Бланк заказа NEW'!$B$19:$B$201),'Бланк OLD 0.8 04'!$B$12:$K$200,2,0)="","",VLOOKUP($A563-COUNT('Шаг2.Бланк заказа NEW'!$B$19:$B$201),'Бланк OLD 0.8 04'!$B$12:$K$200,2,0))),
IF(VLOOKUP($A563-COUNT('Шаг2.Бланк заказа NEW'!$B$19:$B$201)-COUNT('Бланк OLD 0.8 04'!$B$18:$B$200),'Бланк OLD 2.0 04 '!$B$16:$K$200,2,0)="","",VLOOKUP($A563-COUNT('Шаг2.Бланк заказа NEW'!$B$19:$B$201)-COUNT('Бланк OLD 0.8 04'!$B$18:$B$200),'Бланк OLD 2.0 04 '!$B$16:$K$200,2,0)))</f>
        <v/>
      </c>
      <c r="F563" s="147" t="str">
        <f ca="1">IFERROR(IFERROR(IF(VLOOKUP($A563,'Шаг2.Бланк заказа NEW'!$B$17:$N$201,3,0)="","",VLOOKUP($A563,'Шаг2.Бланк заказа NEW'!$B$17:$N$201,3,0)),
IF(VLOOKUP($A563-COUNT('Шаг2.Бланк заказа NEW'!$B$19:$B$201),'Бланк OLD 0.8 04'!$B$12:$K$200,3,0)="","",VLOOKUP($A563-COUNT('Шаг2.Бланк заказа NEW'!$B$19:$B$201),'Бланк OLD 0.8 04'!$B$12:$K$200,3,0))),
IF(VLOOKUP($A563-COUNT('Шаг2.Бланк заказа NEW'!$B$19:$B$201)-COUNT('Бланк OLD 0.8 04'!$B$18:$B$200),'Бланк OLD 2.0 04 '!$B$16:$K$200,3,0)="","",VLOOKUP($A563-COUNT('Шаг2.Бланк заказа NEW'!$B$19:$B$201)-COUNT('Бланк OLD 0.8 04'!$B$18:$B$200),'Бланк OLD 2.0 04 '!$B$16:$K$200,3,0)))</f>
        <v/>
      </c>
      <c r="G563" s="176" t="str">
        <f ca="1">IF(IF(R563="","",IF(R563=1,SUMIFS('Шаг1.Выбор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плиты'!C:Q,12,0)),1))))))=0,
R563,
IF(R563="","",IF(R563=1,SUMIFS('Шаг1.Выбор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плиты'!N:N,R563,'Шаг1.Выбор плиты'!M:M,SMALL(INDIRECT("мм"&amp;VLOOKUP(C563,'Шаг1.Выбор плиты'!C:Q,12,0)),1)))))))</f>
        <v/>
      </c>
      <c r="H563" s="177" t="str">
        <f ca="1">IF(IF(S563="","",IF(S563=1,SUMIFS('Шаг1.Выбор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плиты'!C:Q,12,0)),1))))))=0,
S563,
IF(S563="","",IF(S563=1,SUMIFS('Шаг1.Выбор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плиты'!N:N,S563,'Шаг1.Выбор плиты'!M:M,SMALL(INDIRECT("мм"&amp;VLOOKUP(C563,'Шаг1.Выбор плиты'!C:Q,12,0)),1)))))))</f>
        <v/>
      </c>
      <c r="I563" s="147" t="str">
        <f ca="1">IFERROR(IFERROR(IF(VLOOKUP($A563,'Шаг2.Бланк заказа NEW'!$B$17:$N$201,6,0)="","",VLOOKUP($A563,'Шаг2.Бланк заказа NEW'!$B$17:$N$201,6,0)),
IF(VLOOKUP($A563-COUNT('Шаг2.Бланк заказа NEW'!$B$19:$B$201),'Бланк OLD 0.8 04'!$B$12:$K$200,6,0)="","",VLOOKUP($A563-COUNT('Шаг2.Бланк заказа NEW'!$B$19:$B$201),'Бланк OLD 0.8 04'!$B$12:$K$200,6,0))),
IF(VLOOKUP($A563-COUNT('Шаг2.Бланк заказа NEW'!$B$19:$B$201)-COUNT('Бланк OLD 0.8 04'!$B$18:$B$200),'Бланк OLD 2.0 04 '!$B$16:$K$200,6,0)="","",VLOOKUP($A563-COUNT('Шаг2.Бланк заказа NEW'!$B$19:$B$201)-COUNT('Бланк OLD 0.8 04'!$B$18:$B$200),'Бланк OLD 2.0 04 '!$B$16:$K$200,6,0)))</f>
        <v/>
      </c>
      <c r="J563" s="177" t="str">
        <f ca="1">IF(IF(T563="","",IF(T563=1,SUMIFS('Шаг1.Выбор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плиты'!C:Q,12,0)),1))))))=0,
T563,
IF(T563="","",IF(T563=1,SUMIFS('Шаг1.Выбор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плиты'!N:N,T563,'Шаг1.Выбор плиты'!M:M,SMALL(INDIRECT("мм"&amp;VLOOKUP(C563,'Шаг1.Выбор плиты'!C:Q,12,0)),1)))))))</f>
        <v/>
      </c>
      <c r="K563" s="177" t="str">
        <f ca="1">IF(IF(U563="","",IF(U563=1,SUMIFS('Шаг1.Выбор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плиты'!C:Q,12,0)),1))))))=0,
U563,
IF(U563="","",IF(U563=1,SUMIFS('Шаг1.Выбор плиты'!$G:$G,'Шаг1.Выбор плиты'!J:J,"*"&amp;RIGHT(VLOOKUP(C563,'Шаг1.Выбор плиты'!C:Q,8,0),4),'Шаг1.Выбор плиты'!L:L,IF(MID(C563,1,6)="ЛДСП P","TM"&amp;MID(VLOOKUP(C563,'Шаг1.Выбор плиты'!C:Q,10,0),3,2),MID(VLOOKUP(C563,'Шаг1.Выбор плиты'!C:Q,10,0),1,2)),
'Шаг1.Выбор плиты'!N:N,1),IF(SUMIFS('Шаг1.Выбор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плиты'!C:Q,12,0)),1))=0,
IF(SUMIFS('Шаг1.Выбор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плиты'!C:Q,12,0)),2))=0,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плиты'!C:Q,12,0)),3)),
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плиты'!C:Q,12,0)),2))),
(SUMIFS('Шаг1.Выбор плиты'!$G:$G,'Шаг1.Выбор плиты'!J:J,"*"&amp;RIGHT(VLOOKUP(C563,'Шаг1.Выбор плиты'!C:Q,8,0),4),'Шаг1.Выбор плиты'!L:L,VLOOKUP(C563,'Шаг1.Выбор плиты'!C:Q,10,0),'Шаг1.Выбор плиты'!N:N,U563,'Шаг1.Выбор плиты'!M:M,SMALL(INDIRECT("мм"&amp;VLOOKUP(C563,'Шаг1.Выбор плиты'!C:Q,12,0)),1)))))))</f>
        <v/>
      </c>
      <c r="L563" s="147" t="str">
        <f ca="1">IFERROR(IFERROR(IF(VLOOKUP($A563,'Шаг2.Бланк заказа NEW'!$B$17:$N$201,9,0)="","",VLOOKUP($A563,'Шаг2.Бланк заказа NEW'!$B$17:$N$201,9,0)),
IF(VLOOKUP($A563-COUNT('Шаг2.Бланк заказа NEW'!$B$19:$B$201),'Бланк OLD 0.8 04'!$B$12:$K$200,9,0)="","",VLOOKUP($A563-COUNT('Шаг2.Бланк заказа NEW'!$B$19:$B$201),'Бланк OLD 0.8 04'!$B$12:$K$200,9,0))),
IF(VLOOKUP($A563-COUNT('Шаг2.Бланк заказа NEW'!$B$19:$B$201)-COUNT('Бланк OLD 0.8 04'!$B$18:$B$200),'Бланк OLD 2.0 04 '!$B$16:$K$200,9,0)="","",VLOOKUP($A563-COUNT('Шаг2.Бланк заказа NEW'!$B$19:$B$201)-COUNT('Бланк OLD 0.8 04'!$B$18:$B$200),'Бланк OLD 2.0 04 '!$B$16:$K$200,9,0)))</f>
        <v/>
      </c>
      <c r="M563" s="154" t="str">
        <f t="shared" ca="1" si="49"/>
        <v/>
      </c>
      <c r="N563" s="153" t="str">
        <f ca="1">IFERROR(IF(VLOOKUP($A563,'Шаг2.Бланк заказа NEW'!$B$17:$N$201,11,0)="","",VLOOKUP($A563,'Шаг2.Бланк заказа NEW'!$B$17:$N$201,11,0)),
"Нет")</f>
        <v/>
      </c>
      <c r="O563" s="147" t="str">
        <f ca="1">IFERROR(IF(VLOOKUP($A563,'Шаг2.Бланк заказа NEW'!$B$17:$N$201,11,0)="","",VLOOKUP($A563,'Шаг2.Бланк заказа NEW'!$B$17:$N$201,12,0)),
"Нет")</f>
        <v/>
      </c>
      <c r="P563" s="153" t="str">
        <f ca="1">IFERROR(IF(VLOOKUP($A563,'Шаг2.Бланк заказа NEW'!$B$17:$N$201,13,0)="","",VLOOKUP($A563,'Шаг2.Бланк заказа NEW'!$B$17:$N$201,13,0)),
"Нет")</f>
        <v/>
      </c>
      <c r="Q563" s="147" t="str">
        <f ca="1">IFERROR(IF(VLOOKUP($A563,'Шаг2.Бланк заказа NEW'!$B$17:$O$201,14,0)="","",VLOOKUP($A563,'Шаг2.Бланк заказа NEW'!$B$17:$O$201,14,0)),"")</f>
        <v/>
      </c>
      <c r="R563" s="147" t="str">
        <f ca="1">IFERROR(IFERROR(IF(VLOOKUP($A563,'Шаг2.Бланк заказа NEW'!$B$17:$N$201,4,0)="","",VLOOKUP($A563,'Шаг2.Бланк заказа NEW'!$B$17:$N$201,4,0)),
IF(VLOOKUP($A563-COUNT('Шаг2.Бланк заказа NEW'!$B$19:$B$201),'Бланк OLD 0.8 04'!$B$12:$K$200,4,0)&gt;0,0.8,
IF(VLOOKUP($A563-COUNT('Шаг2.Бланк заказа NEW'!$B$19:$B$201),'Бланк OLD 0.8 04'!$B$12:$K$200,5,0)&gt;0,0.4,""))),
IF(VLOOKUP($A563-COUNT('Шаг2.Бланк заказа NEW'!$B$19:$B$201)-COUNT('Бланк OLD 0.8 04'!$B$18:$B$200),'Бланк OLD 2.0 04 '!$B$16:$K$200,4,0)&gt;0,2,IF(VLOOKUP($A563-COUNT('Шаг2.Бланк заказа NEW'!$B$19:$B$201)-COUNT('Бланк OLD 0.8 04'!$B$18:$B$200),'Бланк OLD 2.0 04 '!$B$16:$K$200,5,0)&gt;0,0.4,"")))</f>
        <v/>
      </c>
      <c r="S563" s="147" t="str">
        <f ca="1">IFERROR(IFERROR(IF(VLOOKUP($A563,'Шаг2.Бланк заказа NEW'!$B$17:$N$201,5,0)="","",VLOOKUP($A563,'Шаг2.Бланк заказа NEW'!$B$17:$N$201,5,0)),
IF(VLOOKUP($A563-COUNT('Шаг2.Бланк заказа NEW'!$B$19:$B$201),'Бланк OLD 0.8 04'!$B$12:$K$200,4,0)&gt;1,0.8,
IF(VLOOKUP($A563-COUNT('Шаг2.Бланк заказа NEW'!$B$19:$B$201),'Бланк OLD 0.8 04'!$B$12:$K$200,5,0)&gt;1,0.4,
IF(AND(VLOOKUP($A563-COUNT('Шаг2.Бланк заказа NEW'!$B$19:$B$201),'Бланк OLD 0.8 04'!$B$12:$K$200,4,0)&gt;0,VLOOKUP($A563-COUNT('Шаг2.Бланк заказа NEW'!$B$19:$B$201),'Бланк OLD 0.8 04'!$B$12:$K$200,5,0)&gt;0),0.4,"")))),
IF(VLOOKUP($A563-COUNT('Шаг2.Бланк заказа NEW'!$B$19:$B$201)-COUNT('Бланк OLD 0.8 04'!$B$18:$B$200),'Бланк OLD 2.0 04 '!$B$16:$K$200,4,0)&gt;1,2,
IF(VLOOKUP($A563-COUNT('Шаг2.Бланк заказа NEW'!$B$19:$B$201)-COUNT('Бланк OLD 0.8 04'!$B$18:$B$200),'Бланк OLD 2.0 04 '!$B$16:$K$200,5,0)&gt;1,0.4,IF(AND(VLOOKUP($A563-COUNT('Шаг2.Бланк заказа NEW'!$B$19:$B$201)-COUNT('Бланк OLD 0.8 04'!$B$18:$B$200),'Бланк OLD 2.0 04 '!$B$16:$K$200,4,0)&gt;0,VLOOKUP($A563-COUNT('Шаг2.Бланк заказа NEW'!$B$19:$B$201)-COUNT('Бланк OLD 0.8 04'!$B$18:$B$200),'Бланк OLD 2.0 04 '!$B$16:$K$200,5,0)&gt;0),0.4,""))))</f>
        <v/>
      </c>
      <c r="T563" s="147" t="str">
        <f ca="1">IFERROR(IFERROR(IF(VLOOKUP($A563,'Шаг2.Бланк заказа NEW'!$B$17:$N$201,7,0)="","",VLOOKUP($A563,'Шаг2.Бланк заказа NEW'!$B$17:$N$201,7,0)),
IF(VLOOKUP($A563-COUNT('Шаг2.Бланк заказа NEW'!$B$19:$B$201),'Бланк OLD 0.8 04'!$B$12:$K$200,7,0)&gt;0,0.8,
IF(VLOOKUP($A563-COUNT('Шаг2.Бланк заказа NEW'!$B$19:$B$201),'Бланк OLD 0.8 04'!$B$12:$K$200,8,0)&gt;0,0.4,""))),
IF(VLOOKUP($A563-COUNT('Шаг2.Бланк заказа NEW'!$B$19:$B$201)-COUNT('Бланк OLD 0.8 04'!$B$18:$B$200),'Бланк OLD 2.0 04 '!$B$16:$K$200,7,0)&gt;0,2,IF(VLOOKUP($A563-COUNT('Шаг2.Бланк заказа NEW'!$B$19:$B$201)-COUNT('Бланк OLD 0.8 04'!$B$18:$B$200),'Бланк OLD 2.0 04 '!$B$16:$K$200,8,0)&gt;0,0.4,"")))</f>
        <v/>
      </c>
      <c r="U563" s="147" t="str">
        <f ca="1">IFERROR(IFERROR(IF(VLOOKUP($A563,'Шаг2.Бланк заказа NEW'!$B$17:$N$201,8,0)="","",VLOOKUP($A563,'Шаг2.Бланк заказа NEW'!$B$17:$N$201,8,0)),
IF(VLOOKUP($A563-COUNT('Шаг2.Бланк заказа NEW'!$B$19:$B$201),'Бланк OLD 0.8 04'!$B$12:$K$200,7,0)&gt;1,0.8,
IF(VLOOKUP($A563-COUNT('Шаг2.Бланк заказа NEW'!$B$19:$B$201),'Бланк OLD 0.8 04'!$B$12:$K$200,8,0)&gt;1,0.4,
IF(AND(VLOOKUP($A563-COUNT('Шаг2.Бланк заказа NEW'!$B$19:$B$201),'Бланк OLD 0.8 04'!$B$12:$K$200,7,0)&gt;0,VLOOKUP($A563-COUNT('Шаг2.Бланк заказа NEW'!$B$19:$B$201),'Бланк OLD 0.8 04'!$B$12:$K$200,8,0)&gt;0),0.4,"")))),
IF(VLOOKUP($A563-COUNT('Шаг2.Бланк заказа NEW'!$B$19:$B$201)-COUNT('Бланк OLD 0.8 04'!$B$18:$B$200),'Бланк OLD 2.0 04 '!$B$16:$K$200,7,0)&gt;1,2,
IF(VLOOKUP($A563-COUNT('Шаг2.Бланк заказа NEW'!$B$19:$B$201)-COUNT('Бланк OLD 0.8 04'!$B$18:$B$200),'Бланк OLD 2.0 04 '!$B$16:$K$200,8,0)&gt;1,0.4,
IF(AND(VLOOKUP($A563-COUNT('Шаг2.Бланк заказа NEW'!$B$19:$B$201)-COUNT('Бланк OLD 0.8 04'!$B$18:$B$200),'Бланк OLD 2.0 04 '!$B$16:$K$200,7,0)&gt;0,VLOOKUP($A563-COUNT('Шаг2.Бланк заказа NEW'!$B$19:$B$201)-COUNT('Бланк OLD 0.8 04'!$B$18:$B$200),'Бланк OLD 2.0 04 '!$B$16:$K$200,8,0)&gt;0),0.4,""))))</f>
        <v/>
      </c>
      <c r="V563" s="146" t="str">
        <f ca="1">IFERROR(VLOOKUP(C563,'Шаг1.Выбор плиты'!C:S,12,0),"")</f>
        <v/>
      </c>
      <c r="W563" s="146" t="str">
        <f ca="1">IFERROR(VLOOKUP(C563,'Шаг1.Выбор плиты'!C:S,8,0),"")</f>
        <v/>
      </c>
      <c r="X563" s="146" t="str">
        <f ca="1">IFERROR(VLOOKUP(C563,'Шаг1.Выбор плиты'!C:S,10,0),"")</f>
        <v/>
      </c>
      <c r="Y563" s="147" t="str">
        <f t="shared" ca="1" si="51"/>
        <v/>
      </c>
      <c r="AD563" s="147" t="str">
        <f t="shared" ca="1" si="48"/>
        <v/>
      </c>
      <c r="AE563" s="147" t="str">
        <f t="shared" ca="1" si="52"/>
        <v/>
      </c>
      <c r="AF563" s="25"/>
      <c r="AH563" s="147" t="str">
        <f ca="1">IF(C563="","",VLOOKUP(C563,'Шаг1.Выбор плиты'!C:Q,7,0))</f>
        <v/>
      </c>
      <c r="AI563" s="147" t="str">
        <f t="shared" ca="1" si="50"/>
        <v/>
      </c>
    </row>
    <row r="564" spans="1:35" x14ac:dyDescent="0.2">
      <c r="A564" s="151" t="str">
        <f ca="1">IF(C564="","",MAX($A$1:OFFSET(C564,-1,0))+1)</f>
        <v/>
      </c>
      <c r="B564" s="151" t="str">
        <f ca="1">IFERROR(IFERROR(IFERROR("Шаг2.Бланк заказа NEW №"&amp;VLOOKUP(A563+1,CHOOSE({1,2},'Шаг2.Бланк заказа NEW'!$B$19:$B$201,'Шаг2.Бланк заказа NEW'!$A$19:$A$201),1,0),
"Бланк OLD 0.8 04 №"&amp;VLOOKUP(A563+1-COUNT('Шаг2.Бланк заказа NEW'!$B$19:$B$201),CHOOSE({1,2},'Бланк OLD 0.8 04'!$B$18:$B$200,'Бланк OLD 0.8 04'!$A$18:$A$200),1,0)),
"Бланк OLD 2.0 04 №"&amp;VLOOKUP(A563+1-COUNT('Шаг2.Бланк заказа NEW'!$B$19:$B$201)-COUNT('Бланк OLD 0.8 04'!$B$18:$B$200),CHOOSE({1,2},'Бланк OLD 2.0 04 '!$B$18:$B$200,'Бланк OLD 2.0 04 '!$A$18:$A$200),1,0)),"")</f>
        <v/>
      </c>
      <c r="C564" s="152" t="str">
        <f ca="1">IFERROR(IFERROR(IFERROR(VLOOKUP(A563+1,CHOOSE({1,2},'Шаг2.Бланк заказа NEW'!$B$19:$B$201,'Шаг2.Бланк заказа NEW'!$A$19:$A$201),2,0),
VLOOKUP(A563+1-COUNT('Шаг2.Бланк заказа NEW'!$B$19:$B$201),CHOOSE({1,2},'Бланк OLD 0.8 04'!$B$18:$B$200,'Бланк OLD 0.8 04'!$A$18:$A$200),2,0)),
VLOOKUP(A563+1-COUNT('Шаг2.Бланк заказа NEW'!$B$19:$B$201)-COUNT('Бланк OLD 0.8 04'!$B$18:$B$200),CHOOSE({1,2},'Бланк OLD 2.0 04 '!$B$18:$B$200,'Бланк OLD 2.0 04 '!$A$18:$A$200),2,0)),"")</f>
        <v/>
      </c>
      <c r="D564" s="150" t="str">
        <f ca="1">IFERROR(VLOOKUP(C564,'Шаг1.Выбор плиты'!C:G,5,0),"")</f>
        <v/>
      </c>
      <c r="E564" s="147" t="str">
        <f ca="1">IFERROR(IFERROR(IF(VLOOKUP($A564,'Шаг2.Бланк заказа NEW'!$B$17:$N$201,2,0)="","",VLOOKUP($A564,'Шаг2.Бланк заказа NEW'!$B$17:$N$201,2,0)),
IF(VLOOKUP($A564-COUNT('Шаг2.Бланк заказа NEW'!$B$19:$B$201),'Бланк OLD 0.8 04'!$B$12:$K$200,2,0)="","",VLOOKUP($A564-COUNT('Шаг2.Бланк заказа NEW'!$B$19:$B$201),'Бланк OLD 0.8 04'!$B$12:$K$200,2,0))),
IF(VLOOKUP($A564-COUNT('Шаг2.Бланк заказа NEW'!$B$19:$B$201)-COUNT('Бланк OLD 0.8 04'!$B$18:$B$200),'Бланк OLD 2.0 04 '!$B$16:$K$200,2,0)="","",VLOOKUP($A564-COUNT('Шаг2.Бланк заказа NEW'!$B$19:$B$201)-COUNT('Бланк OLD 0.8 04'!$B$18:$B$200),'Бланк OLD 2.0 04 '!$B$16:$K$200,2,0)))</f>
        <v/>
      </c>
      <c r="F564" s="147" t="str">
        <f ca="1">IFERROR(IFERROR(IF(VLOOKUP($A564,'Шаг2.Бланк заказа NEW'!$B$17:$N$201,3,0)="","",VLOOKUP($A564,'Шаг2.Бланк заказа NEW'!$B$17:$N$201,3,0)),
IF(VLOOKUP($A564-COUNT('Шаг2.Бланк заказа NEW'!$B$19:$B$201),'Бланк OLD 0.8 04'!$B$12:$K$200,3,0)="","",VLOOKUP($A564-COUNT('Шаг2.Бланк заказа NEW'!$B$19:$B$201),'Бланк OLD 0.8 04'!$B$12:$K$200,3,0))),
IF(VLOOKUP($A564-COUNT('Шаг2.Бланк заказа NEW'!$B$19:$B$201)-COUNT('Бланк OLD 0.8 04'!$B$18:$B$200),'Бланк OLD 2.0 04 '!$B$16:$K$200,3,0)="","",VLOOKUP($A564-COUNT('Шаг2.Бланк заказа NEW'!$B$19:$B$201)-COUNT('Бланк OLD 0.8 04'!$B$18:$B$200),'Бланк OLD 2.0 04 '!$B$16:$K$200,3,0)))</f>
        <v/>
      </c>
      <c r="G564" s="176" t="str">
        <f ca="1">IF(IF(R564="","",IF(R564=1,SUMIFS('Шаг1.Выбор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плиты'!C:Q,12,0)),1))))))=0,
R564,
IF(R564="","",IF(R564=1,SUMIFS('Шаг1.Выбор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плиты'!N:N,R564,'Шаг1.Выбор плиты'!M:M,SMALL(INDIRECT("мм"&amp;VLOOKUP(C564,'Шаг1.Выбор плиты'!C:Q,12,0)),1)))))))</f>
        <v/>
      </c>
      <c r="H564" s="177" t="str">
        <f ca="1">IF(IF(S564="","",IF(S564=1,SUMIFS('Шаг1.Выбор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плиты'!C:Q,12,0)),1))))))=0,
S564,
IF(S564="","",IF(S564=1,SUMIFS('Шаг1.Выбор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плиты'!N:N,S564,'Шаг1.Выбор плиты'!M:M,SMALL(INDIRECT("мм"&amp;VLOOKUP(C564,'Шаг1.Выбор плиты'!C:Q,12,0)),1)))))))</f>
        <v/>
      </c>
      <c r="I564" s="147" t="str">
        <f ca="1">IFERROR(IFERROR(IF(VLOOKUP($A564,'Шаг2.Бланк заказа NEW'!$B$17:$N$201,6,0)="","",VLOOKUP($A564,'Шаг2.Бланк заказа NEW'!$B$17:$N$201,6,0)),
IF(VLOOKUP($A564-COUNT('Шаг2.Бланк заказа NEW'!$B$19:$B$201),'Бланк OLD 0.8 04'!$B$12:$K$200,6,0)="","",VLOOKUP($A564-COUNT('Шаг2.Бланк заказа NEW'!$B$19:$B$201),'Бланк OLD 0.8 04'!$B$12:$K$200,6,0))),
IF(VLOOKUP($A564-COUNT('Шаг2.Бланк заказа NEW'!$B$19:$B$201)-COUNT('Бланк OLD 0.8 04'!$B$18:$B$200),'Бланк OLD 2.0 04 '!$B$16:$K$200,6,0)="","",VLOOKUP($A564-COUNT('Шаг2.Бланк заказа NEW'!$B$19:$B$201)-COUNT('Бланк OLD 0.8 04'!$B$18:$B$200),'Бланк OLD 2.0 04 '!$B$16:$K$200,6,0)))</f>
        <v/>
      </c>
      <c r="J564" s="177" t="str">
        <f ca="1">IF(IF(T564="","",IF(T564=1,SUMIFS('Шаг1.Выбор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плиты'!C:Q,12,0)),1))))))=0,
T564,
IF(T564="","",IF(T564=1,SUMIFS('Шаг1.Выбор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плиты'!N:N,T564,'Шаг1.Выбор плиты'!M:M,SMALL(INDIRECT("мм"&amp;VLOOKUP(C564,'Шаг1.Выбор плиты'!C:Q,12,0)),1)))))))</f>
        <v/>
      </c>
      <c r="K564" s="177" t="str">
        <f ca="1">IF(IF(U564="","",IF(U564=1,SUMIFS('Шаг1.Выбор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плиты'!C:Q,12,0)),1))))))=0,
U564,
IF(U564="","",IF(U564=1,SUMIFS('Шаг1.Выбор плиты'!$G:$G,'Шаг1.Выбор плиты'!J:J,"*"&amp;RIGHT(VLOOKUP(C564,'Шаг1.Выбор плиты'!C:Q,8,0),4),'Шаг1.Выбор плиты'!L:L,IF(MID(C564,1,6)="ЛДСП P","TM"&amp;MID(VLOOKUP(C564,'Шаг1.Выбор плиты'!C:Q,10,0),3,2),MID(VLOOKUP(C564,'Шаг1.Выбор плиты'!C:Q,10,0),1,2)),
'Шаг1.Выбор плиты'!N:N,1),IF(SUMIFS('Шаг1.Выбор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плиты'!C:Q,12,0)),1))=0,
IF(SUMIFS('Шаг1.Выбор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плиты'!C:Q,12,0)),2))=0,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плиты'!C:Q,12,0)),3)),
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плиты'!C:Q,12,0)),2))),
(SUMIFS('Шаг1.Выбор плиты'!$G:$G,'Шаг1.Выбор плиты'!J:J,"*"&amp;RIGHT(VLOOKUP(C564,'Шаг1.Выбор плиты'!C:Q,8,0),4),'Шаг1.Выбор плиты'!L:L,VLOOKUP(C564,'Шаг1.Выбор плиты'!C:Q,10,0),'Шаг1.Выбор плиты'!N:N,U564,'Шаг1.Выбор плиты'!M:M,SMALL(INDIRECT("мм"&amp;VLOOKUP(C564,'Шаг1.Выбор плиты'!C:Q,12,0)),1)))))))</f>
        <v/>
      </c>
      <c r="L564" s="147" t="str">
        <f ca="1">IFERROR(IFERROR(IF(VLOOKUP($A564,'Шаг2.Бланк заказа NEW'!$B$17:$N$201,9,0)="","",VLOOKUP($A564,'Шаг2.Бланк заказа NEW'!$B$17:$N$201,9,0)),
IF(VLOOKUP($A564-COUNT('Шаг2.Бланк заказа NEW'!$B$19:$B$201),'Бланк OLD 0.8 04'!$B$12:$K$200,9,0)="","",VLOOKUP($A564-COUNT('Шаг2.Бланк заказа NEW'!$B$19:$B$201),'Бланк OLD 0.8 04'!$B$12:$K$200,9,0))),
IF(VLOOKUP($A564-COUNT('Шаг2.Бланк заказа NEW'!$B$19:$B$201)-COUNT('Бланк OLD 0.8 04'!$B$18:$B$200),'Бланк OLD 2.0 04 '!$B$16:$K$200,9,0)="","",VLOOKUP($A564-COUNT('Шаг2.Бланк заказа NEW'!$B$19:$B$201)-COUNT('Бланк OLD 0.8 04'!$B$18:$B$200),'Бланк OLD 2.0 04 '!$B$16:$K$200,9,0)))</f>
        <v/>
      </c>
      <c r="M564" s="154" t="str">
        <f t="shared" ca="1" si="49"/>
        <v/>
      </c>
      <c r="N564" s="153" t="str">
        <f ca="1">IFERROR(IF(VLOOKUP($A564,'Шаг2.Бланк заказа NEW'!$B$17:$N$201,11,0)="","",VLOOKUP($A564,'Шаг2.Бланк заказа NEW'!$B$17:$N$201,11,0)),
"Нет")</f>
        <v/>
      </c>
      <c r="O564" s="147" t="str">
        <f ca="1">IFERROR(IF(VLOOKUP($A564,'Шаг2.Бланк заказа NEW'!$B$17:$N$201,11,0)="","",VLOOKUP($A564,'Шаг2.Бланк заказа NEW'!$B$17:$N$201,12,0)),
"Нет")</f>
        <v/>
      </c>
      <c r="P564" s="153" t="str">
        <f ca="1">IFERROR(IF(VLOOKUP($A564,'Шаг2.Бланк заказа NEW'!$B$17:$N$201,13,0)="","",VLOOKUP($A564,'Шаг2.Бланк заказа NEW'!$B$17:$N$201,13,0)),
"Нет")</f>
        <v/>
      </c>
      <c r="Q564" s="147" t="str">
        <f ca="1">IFERROR(IF(VLOOKUP($A564,'Шаг2.Бланк заказа NEW'!$B$17:$O$201,14,0)="","",VLOOKUP($A564,'Шаг2.Бланк заказа NEW'!$B$17:$O$201,14,0)),"")</f>
        <v/>
      </c>
      <c r="R564" s="147" t="str">
        <f ca="1">IFERROR(IFERROR(IF(VLOOKUP($A564,'Шаг2.Бланк заказа NEW'!$B$17:$N$201,4,0)="","",VLOOKUP($A564,'Шаг2.Бланк заказа NEW'!$B$17:$N$201,4,0)),
IF(VLOOKUP($A564-COUNT('Шаг2.Бланк заказа NEW'!$B$19:$B$201),'Бланк OLD 0.8 04'!$B$12:$K$200,4,0)&gt;0,0.8,
IF(VLOOKUP($A564-COUNT('Шаг2.Бланк заказа NEW'!$B$19:$B$201),'Бланк OLD 0.8 04'!$B$12:$K$200,5,0)&gt;0,0.4,""))),
IF(VLOOKUP($A564-COUNT('Шаг2.Бланк заказа NEW'!$B$19:$B$201)-COUNT('Бланк OLD 0.8 04'!$B$18:$B$200),'Бланк OLD 2.0 04 '!$B$16:$K$200,4,0)&gt;0,2,IF(VLOOKUP($A564-COUNT('Шаг2.Бланк заказа NEW'!$B$19:$B$201)-COUNT('Бланк OLD 0.8 04'!$B$18:$B$200),'Бланк OLD 2.0 04 '!$B$16:$K$200,5,0)&gt;0,0.4,"")))</f>
        <v/>
      </c>
      <c r="S564" s="147" t="str">
        <f ca="1">IFERROR(IFERROR(IF(VLOOKUP($A564,'Шаг2.Бланк заказа NEW'!$B$17:$N$201,5,0)="","",VLOOKUP($A564,'Шаг2.Бланк заказа NEW'!$B$17:$N$201,5,0)),
IF(VLOOKUP($A564-COUNT('Шаг2.Бланк заказа NEW'!$B$19:$B$201),'Бланк OLD 0.8 04'!$B$12:$K$200,4,0)&gt;1,0.8,
IF(VLOOKUP($A564-COUNT('Шаг2.Бланк заказа NEW'!$B$19:$B$201),'Бланк OLD 0.8 04'!$B$12:$K$200,5,0)&gt;1,0.4,
IF(AND(VLOOKUP($A564-COUNT('Шаг2.Бланк заказа NEW'!$B$19:$B$201),'Бланк OLD 0.8 04'!$B$12:$K$200,4,0)&gt;0,VLOOKUP($A564-COUNT('Шаг2.Бланк заказа NEW'!$B$19:$B$201),'Бланк OLD 0.8 04'!$B$12:$K$200,5,0)&gt;0),0.4,"")))),
IF(VLOOKUP($A564-COUNT('Шаг2.Бланк заказа NEW'!$B$19:$B$201)-COUNT('Бланк OLD 0.8 04'!$B$18:$B$200),'Бланк OLD 2.0 04 '!$B$16:$K$200,4,0)&gt;1,2,
IF(VLOOKUP($A564-COUNT('Шаг2.Бланк заказа NEW'!$B$19:$B$201)-COUNT('Бланк OLD 0.8 04'!$B$18:$B$200),'Бланк OLD 2.0 04 '!$B$16:$K$200,5,0)&gt;1,0.4,IF(AND(VLOOKUP($A564-COUNT('Шаг2.Бланк заказа NEW'!$B$19:$B$201)-COUNT('Бланк OLD 0.8 04'!$B$18:$B$200),'Бланк OLD 2.0 04 '!$B$16:$K$200,4,0)&gt;0,VLOOKUP($A564-COUNT('Шаг2.Бланк заказа NEW'!$B$19:$B$201)-COUNT('Бланк OLD 0.8 04'!$B$18:$B$200),'Бланк OLD 2.0 04 '!$B$16:$K$200,5,0)&gt;0),0.4,""))))</f>
        <v/>
      </c>
      <c r="T564" s="147" t="str">
        <f ca="1">IFERROR(IFERROR(IF(VLOOKUP($A564,'Шаг2.Бланк заказа NEW'!$B$17:$N$201,7,0)="","",VLOOKUP($A564,'Шаг2.Бланк заказа NEW'!$B$17:$N$201,7,0)),
IF(VLOOKUP($A564-COUNT('Шаг2.Бланк заказа NEW'!$B$19:$B$201),'Бланк OLD 0.8 04'!$B$12:$K$200,7,0)&gt;0,0.8,
IF(VLOOKUP($A564-COUNT('Шаг2.Бланк заказа NEW'!$B$19:$B$201),'Бланк OLD 0.8 04'!$B$12:$K$200,8,0)&gt;0,0.4,""))),
IF(VLOOKUP($A564-COUNT('Шаг2.Бланк заказа NEW'!$B$19:$B$201)-COUNT('Бланк OLD 0.8 04'!$B$18:$B$200),'Бланк OLD 2.0 04 '!$B$16:$K$200,7,0)&gt;0,2,IF(VLOOKUP($A564-COUNT('Шаг2.Бланк заказа NEW'!$B$19:$B$201)-COUNT('Бланк OLD 0.8 04'!$B$18:$B$200),'Бланк OLD 2.0 04 '!$B$16:$K$200,8,0)&gt;0,0.4,"")))</f>
        <v/>
      </c>
      <c r="U564" s="147" t="str">
        <f ca="1">IFERROR(IFERROR(IF(VLOOKUP($A564,'Шаг2.Бланк заказа NEW'!$B$17:$N$201,8,0)="","",VLOOKUP($A564,'Шаг2.Бланк заказа NEW'!$B$17:$N$201,8,0)),
IF(VLOOKUP($A564-COUNT('Шаг2.Бланк заказа NEW'!$B$19:$B$201),'Бланк OLD 0.8 04'!$B$12:$K$200,7,0)&gt;1,0.8,
IF(VLOOKUP($A564-COUNT('Шаг2.Бланк заказа NEW'!$B$19:$B$201),'Бланк OLD 0.8 04'!$B$12:$K$200,8,0)&gt;1,0.4,
IF(AND(VLOOKUP($A564-COUNT('Шаг2.Бланк заказа NEW'!$B$19:$B$201),'Бланк OLD 0.8 04'!$B$12:$K$200,7,0)&gt;0,VLOOKUP($A564-COUNT('Шаг2.Бланк заказа NEW'!$B$19:$B$201),'Бланк OLD 0.8 04'!$B$12:$K$200,8,0)&gt;0),0.4,"")))),
IF(VLOOKUP($A564-COUNT('Шаг2.Бланк заказа NEW'!$B$19:$B$201)-COUNT('Бланк OLD 0.8 04'!$B$18:$B$200),'Бланк OLD 2.0 04 '!$B$16:$K$200,7,0)&gt;1,2,
IF(VLOOKUP($A564-COUNT('Шаг2.Бланк заказа NEW'!$B$19:$B$201)-COUNT('Бланк OLD 0.8 04'!$B$18:$B$200),'Бланк OLD 2.0 04 '!$B$16:$K$200,8,0)&gt;1,0.4,
IF(AND(VLOOKUP($A564-COUNT('Шаг2.Бланк заказа NEW'!$B$19:$B$201)-COUNT('Бланк OLD 0.8 04'!$B$18:$B$200),'Бланк OLD 2.0 04 '!$B$16:$K$200,7,0)&gt;0,VLOOKUP($A564-COUNT('Шаг2.Бланк заказа NEW'!$B$19:$B$201)-COUNT('Бланк OLD 0.8 04'!$B$18:$B$200),'Бланк OLD 2.0 04 '!$B$16:$K$200,8,0)&gt;0),0.4,""))))</f>
        <v/>
      </c>
      <c r="V564" s="146" t="str">
        <f ca="1">IFERROR(VLOOKUP(C564,'Шаг1.Выбор плиты'!C:S,12,0),"")</f>
        <v/>
      </c>
      <c r="W564" s="146" t="str">
        <f ca="1">IFERROR(VLOOKUP(C564,'Шаг1.Выбор плиты'!C:S,8,0),"")</f>
        <v/>
      </c>
      <c r="X564" s="146" t="str">
        <f ca="1">IFERROR(VLOOKUP(C564,'Шаг1.Выбор плиты'!C:S,10,0),"")</f>
        <v/>
      </c>
      <c r="Y564" s="147" t="str">
        <f t="shared" ca="1" si="51"/>
        <v/>
      </c>
      <c r="AD564" s="147" t="str">
        <f t="shared" ca="1" si="48"/>
        <v/>
      </c>
      <c r="AE564" s="147" t="str">
        <f t="shared" ca="1" si="52"/>
        <v/>
      </c>
      <c r="AF564" s="25"/>
      <c r="AH564" s="147" t="str">
        <f ca="1">IF(C564="","",VLOOKUP(C564,'Шаг1.Выбор плиты'!C:Q,7,0))</f>
        <v/>
      </c>
      <c r="AI564" s="147" t="str">
        <f t="shared" ca="1" si="50"/>
        <v/>
      </c>
    </row>
    <row r="565" spans="1:35" x14ac:dyDescent="0.2">
      <c r="A565" s="151" t="str">
        <f ca="1">IF(C565="","",MAX($A$1:OFFSET(C565,-1,0))+1)</f>
        <v/>
      </c>
      <c r="B565" s="151" t="str">
        <f ca="1">IFERROR(IFERROR(IFERROR("Шаг2.Бланк заказа NEW №"&amp;VLOOKUP(A564+1,CHOOSE({1,2},'Шаг2.Бланк заказа NEW'!$B$19:$B$201,'Шаг2.Бланк заказа NEW'!$A$19:$A$201),1,0),
"Бланк OLD 0.8 04 №"&amp;VLOOKUP(A564+1-COUNT('Шаг2.Бланк заказа NEW'!$B$19:$B$201),CHOOSE({1,2},'Бланк OLD 0.8 04'!$B$18:$B$200,'Бланк OLD 0.8 04'!$A$18:$A$200),1,0)),
"Бланк OLD 2.0 04 №"&amp;VLOOKUP(A564+1-COUNT('Шаг2.Бланк заказа NEW'!$B$19:$B$201)-COUNT('Бланк OLD 0.8 04'!$B$18:$B$200),CHOOSE({1,2},'Бланк OLD 2.0 04 '!$B$18:$B$200,'Бланк OLD 2.0 04 '!$A$18:$A$200),1,0)),"")</f>
        <v/>
      </c>
      <c r="C565" s="152" t="str">
        <f ca="1">IFERROR(IFERROR(IFERROR(VLOOKUP(A564+1,CHOOSE({1,2},'Шаг2.Бланк заказа NEW'!$B$19:$B$201,'Шаг2.Бланк заказа NEW'!$A$19:$A$201),2,0),
VLOOKUP(A564+1-COUNT('Шаг2.Бланк заказа NEW'!$B$19:$B$201),CHOOSE({1,2},'Бланк OLD 0.8 04'!$B$18:$B$200,'Бланк OLD 0.8 04'!$A$18:$A$200),2,0)),
VLOOKUP(A564+1-COUNT('Шаг2.Бланк заказа NEW'!$B$19:$B$201)-COUNT('Бланк OLD 0.8 04'!$B$18:$B$200),CHOOSE({1,2},'Бланк OLD 2.0 04 '!$B$18:$B$200,'Бланк OLD 2.0 04 '!$A$18:$A$200),2,0)),"")</f>
        <v/>
      </c>
      <c r="D565" s="150" t="str">
        <f ca="1">IFERROR(VLOOKUP(C565,'Шаг1.Выбор плиты'!C:G,5,0),"")</f>
        <v/>
      </c>
      <c r="E565" s="147" t="str">
        <f ca="1">IFERROR(IFERROR(IF(VLOOKUP($A565,'Шаг2.Бланк заказа NEW'!$B$17:$N$201,2,0)="","",VLOOKUP($A565,'Шаг2.Бланк заказа NEW'!$B$17:$N$201,2,0)),
IF(VLOOKUP($A565-COUNT('Шаг2.Бланк заказа NEW'!$B$19:$B$201),'Бланк OLD 0.8 04'!$B$12:$K$200,2,0)="","",VLOOKUP($A565-COUNT('Шаг2.Бланк заказа NEW'!$B$19:$B$201),'Бланк OLD 0.8 04'!$B$12:$K$200,2,0))),
IF(VLOOKUP($A565-COUNT('Шаг2.Бланк заказа NEW'!$B$19:$B$201)-COUNT('Бланк OLD 0.8 04'!$B$18:$B$200),'Бланк OLD 2.0 04 '!$B$16:$K$200,2,0)="","",VLOOKUP($A565-COUNT('Шаг2.Бланк заказа NEW'!$B$19:$B$201)-COUNT('Бланк OLD 0.8 04'!$B$18:$B$200),'Бланк OLD 2.0 04 '!$B$16:$K$200,2,0)))</f>
        <v/>
      </c>
      <c r="F565" s="147" t="str">
        <f ca="1">IFERROR(IFERROR(IF(VLOOKUP($A565,'Шаг2.Бланк заказа NEW'!$B$17:$N$201,3,0)="","",VLOOKUP($A565,'Шаг2.Бланк заказа NEW'!$B$17:$N$201,3,0)),
IF(VLOOKUP($A565-COUNT('Шаг2.Бланк заказа NEW'!$B$19:$B$201),'Бланк OLD 0.8 04'!$B$12:$K$200,3,0)="","",VLOOKUP($A565-COUNT('Шаг2.Бланк заказа NEW'!$B$19:$B$201),'Бланк OLD 0.8 04'!$B$12:$K$200,3,0))),
IF(VLOOKUP($A565-COUNT('Шаг2.Бланк заказа NEW'!$B$19:$B$201)-COUNT('Бланк OLD 0.8 04'!$B$18:$B$200),'Бланк OLD 2.0 04 '!$B$16:$K$200,3,0)="","",VLOOKUP($A565-COUNT('Шаг2.Бланк заказа NEW'!$B$19:$B$201)-COUNT('Бланк OLD 0.8 04'!$B$18:$B$200),'Бланк OLD 2.0 04 '!$B$16:$K$200,3,0)))</f>
        <v/>
      </c>
      <c r="G565" s="176" t="str">
        <f ca="1">IF(IF(R565="","",IF(R565=1,SUMIFS('Шаг1.Выбор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плиты'!C:Q,12,0)),1))))))=0,
R565,
IF(R565="","",IF(R565=1,SUMIFS('Шаг1.Выбор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плиты'!N:N,R565,'Шаг1.Выбор плиты'!M:M,SMALL(INDIRECT("мм"&amp;VLOOKUP(C565,'Шаг1.Выбор плиты'!C:Q,12,0)),1)))))))</f>
        <v/>
      </c>
      <c r="H565" s="177" t="str">
        <f ca="1">IF(IF(S565="","",IF(S565=1,SUMIFS('Шаг1.Выбор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плиты'!C:Q,12,0)),1))))))=0,
S565,
IF(S565="","",IF(S565=1,SUMIFS('Шаг1.Выбор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плиты'!N:N,S565,'Шаг1.Выбор плиты'!M:M,SMALL(INDIRECT("мм"&amp;VLOOKUP(C565,'Шаг1.Выбор плиты'!C:Q,12,0)),1)))))))</f>
        <v/>
      </c>
      <c r="I565" s="147" t="str">
        <f ca="1">IFERROR(IFERROR(IF(VLOOKUP($A565,'Шаг2.Бланк заказа NEW'!$B$17:$N$201,6,0)="","",VLOOKUP($A565,'Шаг2.Бланк заказа NEW'!$B$17:$N$201,6,0)),
IF(VLOOKUP($A565-COUNT('Шаг2.Бланк заказа NEW'!$B$19:$B$201),'Бланк OLD 0.8 04'!$B$12:$K$200,6,0)="","",VLOOKUP($A565-COUNT('Шаг2.Бланк заказа NEW'!$B$19:$B$201),'Бланк OLD 0.8 04'!$B$12:$K$200,6,0))),
IF(VLOOKUP($A565-COUNT('Шаг2.Бланк заказа NEW'!$B$19:$B$201)-COUNT('Бланк OLD 0.8 04'!$B$18:$B$200),'Бланк OLD 2.0 04 '!$B$16:$K$200,6,0)="","",VLOOKUP($A565-COUNT('Шаг2.Бланк заказа NEW'!$B$19:$B$201)-COUNT('Бланк OLD 0.8 04'!$B$18:$B$200),'Бланк OLD 2.0 04 '!$B$16:$K$200,6,0)))</f>
        <v/>
      </c>
      <c r="J565" s="177" t="str">
        <f ca="1">IF(IF(T565="","",IF(T565=1,SUMIFS('Шаг1.Выбор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плиты'!C:Q,12,0)),1))))))=0,
T565,
IF(T565="","",IF(T565=1,SUMIFS('Шаг1.Выбор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плиты'!N:N,T565,'Шаг1.Выбор плиты'!M:M,SMALL(INDIRECT("мм"&amp;VLOOKUP(C565,'Шаг1.Выбор плиты'!C:Q,12,0)),1)))))))</f>
        <v/>
      </c>
      <c r="K565" s="177" t="str">
        <f ca="1">IF(IF(U565="","",IF(U565=1,SUMIFS('Шаг1.Выбор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плиты'!C:Q,12,0)),1))))))=0,
U565,
IF(U565="","",IF(U565=1,SUMIFS('Шаг1.Выбор плиты'!$G:$G,'Шаг1.Выбор плиты'!J:J,"*"&amp;RIGHT(VLOOKUP(C565,'Шаг1.Выбор плиты'!C:Q,8,0),4),'Шаг1.Выбор плиты'!L:L,IF(MID(C565,1,6)="ЛДСП P","TM"&amp;MID(VLOOKUP(C565,'Шаг1.Выбор плиты'!C:Q,10,0),3,2),MID(VLOOKUP(C565,'Шаг1.Выбор плиты'!C:Q,10,0),1,2)),
'Шаг1.Выбор плиты'!N:N,1),IF(SUMIFS('Шаг1.Выбор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плиты'!C:Q,12,0)),1))=0,
IF(SUMIFS('Шаг1.Выбор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плиты'!C:Q,12,0)),2))=0,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плиты'!C:Q,12,0)),3)),
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плиты'!C:Q,12,0)),2))),
(SUMIFS('Шаг1.Выбор плиты'!$G:$G,'Шаг1.Выбор плиты'!J:J,"*"&amp;RIGHT(VLOOKUP(C565,'Шаг1.Выбор плиты'!C:Q,8,0),4),'Шаг1.Выбор плиты'!L:L,VLOOKUP(C565,'Шаг1.Выбор плиты'!C:Q,10,0),'Шаг1.Выбор плиты'!N:N,U565,'Шаг1.Выбор плиты'!M:M,SMALL(INDIRECT("мм"&amp;VLOOKUP(C565,'Шаг1.Выбор плиты'!C:Q,12,0)),1)))))))</f>
        <v/>
      </c>
      <c r="L565" s="147" t="str">
        <f ca="1">IFERROR(IFERROR(IF(VLOOKUP($A565,'Шаг2.Бланк заказа NEW'!$B$17:$N$201,9,0)="","",VLOOKUP($A565,'Шаг2.Бланк заказа NEW'!$B$17:$N$201,9,0)),
IF(VLOOKUP($A565-COUNT('Шаг2.Бланк заказа NEW'!$B$19:$B$201),'Бланк OLD 0.8 04'!$B$12:$K$200,9,0)="","",VLOOKUP($A565-COUNT('Шаг2.Бланк заказа NEW'!$B$19:$B$201),'Бланк OLD 0.8 04'!$B$12:$K$200,9,0))),
IF(VLOOKUP($A565-COUNT('Шаг2.Бланк заказа NEW'!$B$19:$B$201)-COUNT('Бланк OLD 0.8 04'!$B$18:$B$200),'Бланк OLD 2.0 04 '!$B$16:$K$200,9,0)="","",VLOOKUP($A565-COUNT('Шаг2.Бланк заказа NEW'!$B$19:$B$201)-COUNT('Бланк OLD 0.8 04'!$B$18:$B$200),'Бланк OLD 2.0 04 '!$B$16:$K$200,9,0)))</f>
        <v/>
      </c>
      <c r="M565" s="154" t="str">
        <f t="shared" ca="1" si="49"/>
        <v/>
      </c>
      <c r="N565" s="153" t="str">
        <f ca="1">IFERROR(IF(VLOOKUP($A565,'Шаг2.Бланк заказа NEW'!$B$17:$N$201,11,0)="","",VLOOKUP($A565,'Шаг2.Бланк заказа NEW'!$B$17:$N$201,11,0)),
"Нет")</f>
        <v/>
      </c>
      <c r="O565" s="147" t="str">
        <f ca="1">IFERROR(IF(VLOOKUP($A565,'Шаг2.Бланк заказа NEW'!$B$17:$N$201,11,0)="","",VLOOKUP($A565,'Шаг2.Бланк заказа NEW'!$B$17:$N$201,12,0)),
"Нет")</f>
        <v/>
      </c>
      <c r="P565" s="153" t="str">
        <f ca="1">IFERROR(IF(VLOOKUP($A565,'Шаг2.Бланк заказа NEW'!$B$17:$N$201,13,0)="","",VLOOKUP($A565,'Шаг2.Бланк заказа NEW'!$B$17:$N$201,13,0)),
"Нет")</f>
        <v/>
      </c>
      <c r="Q565" s="147" t="str">
        <f ca="1">IFERROR(IF(VLOOKUP($A565,'Шаг2.Бланк заказа NEW'!$B$17:$O$201,14,0)="","",VLOOKUP($A565,'Шаг2.Бланк заказа NEW'!$B$17:$O$201,14,0)),"")</f>
        <v/>
      </c>
      <c r="R565" s="147" t="str">
        <f ca="1">IFERROR(IFERROR(IF(VLOOKUP($A565,'Шаг2.Бланк заказа NEW'!$B$17:$N$201,4,0)="","",VLOOKUP($A565,'Шаг2.Бланк заказа NEW'!$B$17:$N$201,4,0)),
IF(VLOOKUP($A565-COUNT('Шаг2.Бланк заказа NEW'!$B$19:$B$201),'Бланк OLD 0.8 04'!$B$12:$K$200,4,0)&gt;0,0.8,
IF(VLOOKUP($A565-COUNT('Шаг2.Бланк заказа NEW'!$B$19:$B$201),'Бланк OLD 0.8 04'!$B$12:$K$200,5,0)&gt;0,0.4,""))),
IF(VLOOKUP($A565-COUNT('Шаг2.Бланк заказа NEW'!$B$19:$B$201)-COUNT('Бланк OLD 0.8 04'!$B$18:$B$200),'Бланк OLD 2.0 04 '!$B$16:$K$200,4,0)&gt;0,2,IF(VLOOKUP($A565-COUNT('Шаг2.Бланк заказа NEW'!$B$19:$B$201)-COUNT('Бланк OLD 0.8 04'!$B$18:$B$200),'Бланк OLD 2.0 04 '!$B$16:$K$200,5,0)&gt;0,0.4,"")))</f>
        <v/>
      </c>
      <c r="S565" s="147" t="str">
        <f ca="1">IFERROR(IFERROR(IF(VLOOKUP($A565,'Шаг2.Бланк заказа NEW'!$B$17:$N$201,5,0)="","",VLOOKUP($A565,'Шаг2.Бланк заказа NEW'!$B$17:$N$201,5,0)),
IF(VLOOKUP($A565-COUNT('Шаг2.Бланк заказа NEW'!$B$19:$B$201),'Бланк OLD 0.8 04'!$B$12:$K$200,4,0)&gt;1,0.8,
IF(VLOOKUP($A565-COUNT('Шаг2.Бланк заказа NEW'!$B$19:$B$201),'Бланк OLD 0.8 04'!$B$12:$K$200,5,0)&gt;1,0.4,
IF(AND(VLOOKUP($A565-COUNT('Шаг2.Бланк заказа NEW'!$B$19:$B$201),'Бланк OLD 0.8 04'!$B$12:$K$200,4,0)&gt;0,VLOOKUP($A565-COUNT('Шаг2.Бланк заказа NEW'!$B$19:$B$201),'Бланк OLD 0.8 04'!$B$12:$K$200,5,0)&gt;0),0.4,"")))),
IF(VLOOKUP($A565-COUNT('Шаг2.Бланк заказа NEW'!$B$19:$B$201)-COUNT('Бланк OLD 0.8 04'!$B$18:$B$200),'Бланк OLD 2.0 04 '!$B$16:$K$200,4,0)&gt;1,2,
IF(VLOOKUP($A565-COUNT('Шаг2.Бланк заказа NEW'!$B$19:$B$201)-COUNT('Бланк OLD 0.8 04'!$B$18:$B$200),'Бланк OLD 2.0 04 '!$B$16:$K$200,5,0)&gt;1,0.4,IF(AND(VLOOKUP($A565-COUNT('Шаг2.Бланк заказа NEW'!$B$19:$B$201)-COUNT('Бланк OLD 0.8 04'!$B$18:$B$200),'Бланк OLD 2.0 04 '!$B$16:$K$200,4,0)&gt;0,VLOOKUP($A565-COUNT('Шаг2.Бланк заказа NEW'!$B$19:$B$201)-COUNT('Бланк OLD 0.8 04'!$B$18:$B$200),'Бланк OLD 2.0 04 '!$B$16:$K$200,5,0)&gt;0),0.4,""))))</f>
        <v/>
      </c>
      <c r="T565" s="147" t="str">
        <f ca="1">IFERROR(IFERROR(IF(VLOOKUP($A565,'Шаг2.Бланк заказа NEW'!$B$17:$N$201,7,0)="","",VLOOKUP($A565,'Шаг2.Бланк заказа NEW'!$B$17:$N$201,7,0)),
IF(VLOOKUP($A565-COUNT('Шаг2.Бланк заказа NEW'!$B$19:$B$201),'Бланк OLD 0.8 04'!$B$12:$K$200,7,0)&gt;0,0.8,
IF(VLOOKUP($A565-COUNT('Шаг2.Бланк заказа NEW'!$B$19:$B$201),'Бланк OLD 0.8 04'!$B$12:$K$200,8,0)&gt;0,0.4,""))),
IF(VLOOKUP($A565-COUNT('Шаг2.Бланк заказа NEW'!$B$19:$B$201)-COUNT('Бланк OLD 0.8 04'!$B$18:$B$200),'Бланк OLD 2.0 04 '!$B$16:$K$200,7,0)&gt;0,2,IF(VLOOKUP($A565-COUNT('Шаг2.Бланк заказа NEW'!$B$19:$B$201)-COUNT('Бланк OLD 0.8 04'!$B$18:$B$200),'Бланк OLD 2.0 04 '!$B$16:$K$200,8,0)&gt;0,0.4,"")))</f>
        <v/>
      </c>
      <c r="U565" s="147" t="str">
        <f ca="1">IFERROR(IFERROR(IF(VLOOKUP($A565,'Шаг2.Бланк заказа NEW'!$B$17:$N$201,8,0)="","",VLOOKUP($A565,'Шаг2.Бланк заказа NEW'!$B$17:$N$201,8,0)),
IF(VLOOKUP($A565-COUNT('Шаг2.Бланк заказа NEW'!$B$19:$B$201),'Бланк OLD 0.8 04'!$B$12:$K$200,7,0)&gt;1,0.8,
IF(VLOOKUP($A565-COUNT('Шаг2.Бланк заказа NEW'!$B$19:$B$201),'Бланк OLD 0.8 04'!$B$12:$K$200,8,0)&gt;1,0.4,
IF(AND(VLOOKUP($A565-COUNT('Шаг2.Бланк заказа NEW'!$B$19:$B$201),'Бланк OLD 0.8 04'!$B$12:$K$200,7,0)&gt;0,VLOOKUP($A565-COUNT('Шаг2.Бланк заказа NEW'!$B$19:$B$201),'Бланк OLD 0.8 04'!$B$12:$K$200,8,0)&gt;0),0.4,"")))),
IF(VLOOKUP($A565-COUNT('Шаг2.Бланк заказа NEW'!$B$19:$B$201)-COUNT('Бланк OLD 0.8 04'!$B$18:$B$200),'Бланк OLD 2.0 04 '!$B$16:$K$200,7,0)&gt;1,2,
IF(VLOOKUP($A565-COUNT('Шаг2.Бланк заказа NEW'!$B$19:$B$201)-COUNT('Бланк OLD 0.8 04'!$B$18:$B$200),'Бланк OLD 2.0 04 '!$B$16:$K$200,8,0)&gt;1,0.4,
IF(AND(VLOOKUP($A565-COUNT('Шаг2.Бланк заказа NEW'!$B$19:$B$201)-COUNT('Бланк OLD 0.8 04'!$B$18:$B$200),'Бланк OLD 2.0 04 '!$B$16:$K$200,7,0)&gt;0,VLOOKUP($A565-COUNT('Шаг2.Бланк заказа NEW'!$B$19:$B$201)-COUNT('Бланк OLD 0.8 04'!$B$18:$B$200),'Бланк OLD 2.0 04 '!$B$16:$K$200,8,0)&gt;0),0.4,""))))</f>
        <v/>
      </c>
      <c r="V565" s="146" t="str">
        <f ca="1">IFERROR(VLOOKUP(C565,'Шаг1.Выбор плиты'!C:S,12,0),"")</f>
        <v/>
      </c>
      <c r="W565" s="146" t="str">
        <f ca="1">IFERROR(VLOOKUP(C565,'Шаг1.Выбор плиты'!C:S,8,0),"")</f>
        <v/>
      </c>
      <c r="X565" s="146" t="str">
        <f ca="1">IFERROR(VLOOKUP(C565,'Шаг1.Выбор плиты'!C:S,10,0),"")</f>
        <v/>
      </c>
      <c r="Y565" s="147" t="str">
        <f t="shared" ca="1" si="51"/>
        <v/>
      </c>
      <c r="AD565" s="147" t="str">
        <f t="shared" ca="1" si="48"/>
        <v/>
      </c>
      <c r="AE565" s="147" t="str">
        <f t="shared" ca="1" si="52"/>
        <v/>
      </c>
      <c r="AF565" s="25"/>
      <c r="AH565" s="147" t="str">
        <f ca="1">IF(C565="","",VLOOKUP(C565,'Шаг1.Выбор плиты'!C:Q,7,0))</f>
        <v/>
      </c>
      <c r="AI565" s="147" t="str">
        <f t="shared" ca="1" si="50"/>
        <v/>
      </c>
    </row>
    <row r="566" spans="1:35" x14ac:dyDescent="0.2">
      <c r="A566" s="151" t="str">
        <f ca="1">IF(C566="","",MAX($A$1:OFFSET(C566,-1,0))+1)</f>
        <v/>
      </c>
      <c r="B566" s="151" t="str">
        <f ca="1">IFERROR(IFERROR(IFERROR("Шаг2.Бланк заказа NEW №"&amp;VLOOKUP(A565+1,CHOOSE({1,2},'Шаг2.Бланк заказа NEW'!$B$19:$B$201,'Шаг2.Бланк заказа NEW'!$A$19:$A$201),1,0),
"Бланк OLD 0.8 04 №"&amp;VLOOKUP(A565+1-COUNT('Шаг2.Бланк заказа NEW'!$B$19:$B$201),CHOOSE({1,2},'Бланк OLD 0.8 04'!$B$18:$B$200,'Бланк OLD 0.8 04'!$A$18:$A$200),1,0)),
"Бланк OLD 2.0 04 №"&amp;VLOOKUP(A565+1-COUNT('Шаг2.Бланк заказа NEW'!$B$19:$B$201)-COUNT('Бланк OLD 0.8 04'!$B$18:$B$200),CHOOSE({1,2},'Бланк OLD 2.0 04 '!$B$18:$B$200,'Бланк OLD 2.0 04 '!$A$18:$A$200),1,0)),"")</f>
        <v/>
      </c>
      <c r="C566" s="152" t="str">
        <f ca="1">IFERROR(IFERROR(IFERROR(VLOOKUP(A565+1,CHOOSE({1,2},'Шаг2.Бланк заказа NEW'!$B$19:$B$201,'Шаг2.Бланк заказа NEW'!$A$19:$A$201),2,0),
VLOOKUP(A565+1-COUNT('Шаг2.Бланк заказа NEW'!$B$19:$B$201),CHOOSE({1,2},'Бланк OLD 0.8 04'!$B$18:$B$200,'Бланк OLD 0.8 04'!$A$18:$A$200),2,0)),
VLOOKUP(A565+1-COUNT('Шаг2.Бланк заказа NEW'!$B$19:$B$201)-COUNT('Бланк OLD 0.8 04'!$B$18:$B$200),CHOOSE({1,2},'Бланк OLD 2.0 04 '!$B$18:$B$200,'Бланк OLD 2.0 04 '!$A$18:$A$200),2,0)),"")</f>
        <v/>
      </c>
      <c r="D566" s="150" t="str">
        <f ca="1">IFERROR(VLOOKUP(C566,'Шаг1.Выбор плиты'!C:G,5,0),"")</f>
        <v/>
      </c>
      <c r="E566" s="147" t="str">
        <f ca="1">IFERROR(IFERROR(IF(VLOOKUP($A566,'Шаг2.Бланк заказа NEW'!$B$17:$N$201,2,0)="","",VLOOKUP($A566,'Шаг2.Бланк заказа NEW'!$B$17:$N$201,2,0)),
IF(VLOOKUP($A566-COUNT('Шаг2.Бланк заказа NEW'!$B$19:$B$201),'Бланк OLD 0.8 04'!$B$12:$K$200,2,0)="","",VLOOKUP($A566-COUNT('Шаг2.Бланк заказа NEW'!$B$19:$B$201),'Бланк OLD 0.8 04'!$B$12:$K$200,2,0))),
IF(VLOOKUP($A566-COUNT('Шаг2.Бланк заказа NEW'!$B$19:$B$201)-COUNT('Бланк OLD 0.8 04'!$B$18:$B$200),'Бланк OLD 2.0 04 '!$B$16:$K$200,2,0)="","",VLOOKUP($A566-COUNT('Шаг2.Бланк заказа NEW'!$B$19:$B$201)-COUNT('Бланк OLD 0.8 04'!$B$18:$B$200),'Бланк OLD 2.0 04 '!$B$16:$K$200,2,0)))</f>
        <v/>
      </c>
      <c r="F566" s="147" t="str">
        <f ca="1">IFERROR(IFERROR(IF(VLOOKUP($A566,'Шаг2.Бланк заказа NEW'!$B$17:$N$201,3,0)="","",VLOOKUP($A566,'Шаг2.Бланк заказа NEW'!$B$17:$N$201,3,0)),
IF(VLOOKUP($A566-COUNT('Шаг2.Бланк заказа NEW'!$B$19:$B$201),'Бланк OLD 0.8 04'!$B$12:$K$200,3,0)="","",VLOOKUP($A566-COUNT('Шаг2.Бланк заказа NEW'!$B$19:$B$201),'Бланк OLD 0.8 04'!$B$12:$K$200,3,0))),
IF(VLOOKUP($A566-COUNT('Шаг2.Бланк заказа NEW'!$B$19:$B$201)-COUNT('Бланк OLD 0.8 04'!$B$18:$B$200),'Бланк OLD 2.0 04 '!$B$16:$K$200,3,0)="","",VLOOKUP($A566-COUNT('Шаг2.Бланк заказа NEW'!$B$19:$B$201)-COUNT('Бланк OLD 0.8 04'!$B$18:$B$200),'Бланк OLD 2.0 04 '!$B$16:$K$200,3,0)))</f>
        <v/>
      </c>
      <c r="G566" s="176" t="str">
        <f ca="1">IF(IF(R566="","",IF(R566=1,SUMIFS('Шаг1.Выбор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плиты'!C:Q,12,0)),1))))))=0,
R566,
IF(R566="","",IF(R566=1,SUMIFS('Шаг1.Выбор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плиты'!N:N,R566,'Шаг1.Выбор плиты'!M:M,SMALL(INDIRECT("мм"&amp;VLOOKUP(C566,'Шаг1.Выбор плиты'!C:Q,12,0)),1)))))))</f>
        <v/>
      </c>
      <c r="H566" s="177" t="str">
        <f ca="1">IF(IF(S566="","",IF(S566=1,SUMIFS('Шаг1.Выбор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плиты'!C:Q,12,0)),1))))))=0,
S566,
IF(S566="","",IF(S566=1,SUMIFS('Шаг1.Выбор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плиты'!N:N,S566,'Шаг1.Выбор плиты'!M:M,SMALL(INDIRECT("мм"&amp;VLOOKUP(C566,'Шаг1.Выбор плиты'!C:Q,12,0)),1)))))))</f>
        <v/>
      </c>
      <c r="I566" s="147" t="str">
        <f ca="1">IFERROR(IFERROR(IF(VLOOKUP($A566,'Шаг2.Бланк заказа NEW'!$B$17:$N$201,6,0)="","",VLOOKUP($A566,'Шаг2.Бланк заказа NEW'!$B$17:$N$201,6,0)),
IF(VLOOKUP($A566-COUNT('Шаг2.Бланк заказа NEW'!$B$19:$B$201),'Бланк OLD 0.8 04'!$B$12:$K$200,6,0)="","",VLOOKUP($A566-COUNT('Шаг2.Бланк заказа NEW'!$B$19:$B$201),'Бланк OLD 0.8 04'!$B$12:$K$200,6,0))),
IF(VLOOKUP($A566-COUNT('Шаг2.Бланк заказа NEW'!$B$19:$B$201)-COUNT('Бланк OLD 0.8 04'!$B$18:$B$200),'Бланк OLD 2.0 04 '!$B$16:$K$200,6,0)="","",VLOOKUP($A566-COUNT('Шаг2.Бланк заказа NEW'!$B$19:$B$201)-COUNT('Бланк OLD 0.8 04'!$B$18:$B$200),'Бланк OLD 2.0 04 '!$B$16:$K$200,6,0)))</f>
        <v/>
      </c>
      <c r="J566" s="177" t="str">
        <f ca="1">IF(IF(T566="","",IF(T566=1,SUMIFS('Шаг1.Выбор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плиты'!C:Q,12,0)),1))))))=0,
T566,
IF(T566="","",IF(T566=1,SUMIFS('Шаг1.Выбор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плиты'!N:N,T566,'Шаг1.Выбор плиты'!M:M,SMALL(INDIRECT("мм"&amp;VLOOKUP(C566,'Шаг1.Выбор плиты'!C:Q,12,0)),1)))))))</f>
        <v/>
      </c>
      <c r="K566" s="177" t="str">
        <f ca="1">IF(IF(U566="","",IF(U566=1,SUMIFS('Шаг1.Выбор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плиты'!C:Q,12,0)),1))))))=0,
U566,
IF(U566="","",IF(U566=1,SUMIFS('Шаг1.Выбор плиты'!$G:$G,'Шаг1.Выбор плиты'!J:J,"*"&amp;RIGHT(VLOOKUP(C566,'Шаг1.Выбор плиты'!C:Q,8,0),4),'Шаг1.Выбор плиты'!L:L,IF(MID(C566,1,6)="ЛДСП P","TM"&amp;MID(VLOOKUP(C566,'Шаг1.Выбор плиты'!C:Q,10,0),3,2),MID(VLOOKUP(C566,'Шаг1.Выбор плиты'!C:Q,10,0),1,2)),
'Шаг1.Выбор плиты'!N:N,1),IF(SUMIFS('Шаг1.Выбор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плиты'!C:Q,12,0)),1))=0,
IF(SUMIFS('Шаг1.Выбор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плиты'!C:Q,12,0)),2))=0,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плиты'!C:Q,12,0)),3)),
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плиты'!C:Q,12,0)),2))),
(SUMIFS('Шаг1.Выбор плиты'!$G:$G,'Шаг1.Выбор плиты'!J:J,"*"&amp;RIGHT(VLOOKUP(C566,'Шаг1.Выбор плиты'!C:Q,8,0),4),'Шаг1.Выбор плиты'!L:L,VLOOKUP(C566,'Шаг1.Выбор плиты'!C:Q,10,0),'Шаг1.Выбор плиты'!N:N,U566,'Шаг1.Выбор плиты'!M:M,SMALL(INDIRECT("мм"&amp;VLOOKUP(C566,'Шаг1.Выбор плиты'!C:Q,12,0)),1)))))))</f>
        <v/>
      </c>
      <c r="L566" s="147" t="str">
        <f ca="1">IFERROR(IFERROR(IF(VLOOKUP($A566,'Шаг2.Бланк заказа NEW'!$B$17:$N$201,9,0)="","",VLOOKUP($A566,'Шаг2.Бланк заказа NEW'!$B$17:$N$201,9,0)),
IF(VLOOKUP($A566-COUNT('Шаг2.Бланк заказа NEW'!$B$19:$B$201),'Бланк OLD 0.8 04'!$B$12:$K$200,9,0)="","",VLOOKUP($A566-COUNT('Шаг2.Бланк заказа NEW'!$B$19:$B$201),'Бланк OLD 0.8 04'!$B$12:$K$200,9,0))),
IF(VLOOKUP($A566-COUNT('Шаг2.Бланк заказа NEW'!$B$19:$B$201)-COUNT('Бланк OLD 0.8 04'!$B$18:$B$200),'Бланк OLD 2.0 04 '!$B$16:$K$200,9,0)="","",VLOOKUP($A566-COUNT('Шаг2.Бланк заказа NEW'!$B$19:$B$201)-COUNT('Бланк OLD 0.8 04'!$B$18:$B$200),'Бланк OLD 2.0 04 '!$B$16:$K$200,9,0)))</f>
        <v/>
      </c>
      <c r="M566" s="154" t="str">
        <f t="shared" ca="1" si="49"/>
        <v/>
      </c>
      <c r="N566" s="153" t="str">
        <f ca="1">IFERROR(IF(VLOOKUP($A566,'Шаг2.Бланк заказа NEW'!$B$17:$N$201,11,0)="","",VLOOKUP($A566,'Шаг2.Бланк заказа NEW'!$B$17:$N$201,11,0)),
"Нет")</f>
        <v/>
      </c>
      <c r="O566" s="147" t="str">
        <f ca="1">IFERROR(IF(VLOOKUP($A566,'Шаг2.Бланк заказа NEW'!$B$17:$N$201,11,0)="","",VLOOKUP($A566,'Шаг2.Бланк заказа NEW'!$B$17:$N$201,12,0)),
"Нет")</f>
        <v/>
      </c>
      <c r="P566" s="153" t="str">
        <f ca="1">IFERROR(IF(VLOOKUP($A566,'Шаг2.Бланк заказа NEW'!$B$17:$N$201,13,0)="","",VLOOKUP($A566,'Шаг2.Бланк заказа NEW'!$B$17:$N$201,13,0)),
"Нет")</f>
        <v/>
      </c>
      <c r="Q566" s="147" t="str">
        <f ca="1">IFERROR(IF(VLOOKUP($A566,'Шаг2.Бланк заказа NEW'!$B$17:$O$201,14,0)="","",VLOOKUP($A566,'Шаг2.Бланк заказа NEW'!$B$17:$O$201,14,0)),"")</f>
        <v/>
      </c>
      <c r="R566" s="147" t="str">
        <f ca="1">IFERROR(IFERROR(IF(VLOOKUP($A566,'Шаг2.Бланк заказа NEW'!$B$17:$N$201,4,0)="","",VLOOKUP($A566,'Шаг2.Бланк заказа NEW'!$B$17:$N$201,4,0)),
IF(VLOOKUP($A566-COUNT('Шаг2.Бланк заказа NEW'!$B$19:$B$201),'Бланк OLD 0.8 04'!$B$12:$K$200,4,0)&gt;0,0.8,
IF(VLOOKUP($A566-COUNT('Шаг2.Бланк заказа NEW'!$B$19:$B$201),'Бланк OLD 0.8 04'!$B$12:$K$200,5,0)&gt;0,0.4,""))),
IF(VLOOKUP($A566-COUNT('Шаг2.Бланк заказа NEW'!$B$19:$B$201)-COUNT('Бланк OLD 0.8 04'!$B$18:$B$200),'Бланк OLD 2.0 04 '!$B$16:$K$200,4,0)&gt;0,2,IF(VLOOKUP($A566-COUNT('Шаг2.Бланк заказа NEW'!$B$19:$B$201)-COUNT('Бланк OLD 0.8 04'!$B$18:$B$200),'Бланк OLD 2.0 04 '!$B$16:$K$200,5,0)&gt;0,0.4,"")))</f>
        <v/>
      </c>
      <c r="S566" s="147" t="str">
        <f ca="1">IFERROR(IFERROR(IF(VLOOKUP($A566,'Шаг2.Бланк заказа NEW'!$B$17:$N$201,5,0)="","",VLOOKUP($A566,'Шаг2.Бланк заказа NEW'!$B$17:$N$201,5,0)),
IF(VLOOKUP($A566-COUNT('Шаг2.Бланк заказа NEW'!$B$19:$B$201),'Бланк OLD 0.8 04'!$B$12:$K$200,4,0)&gt;1,0.8,
IF(VLOOKUP($A566-COUNT('Шаг2.Бланк заказа NEW'!$B$19:$B$201),'Бланк OLD 0.8 04'!$B$12:$K$200,5,0)&gt;1,0.4,
IF(AND(VLOOKUP($A566-COUNT('Шаг2.Бланк заказа NEW'!$B$19:$B$201),'Бланк OLD 0.8 04'!$B$12:$K$200,4,0)&gt;0,VLOOKUP($A566-COUNT('Шаг2.Бланк заказа NEW'!$B$19:$B$201),'Бланк OLD 0.8 04'!$B$12:$K$200,5,0)&gt;0),0.4,"")))),
IF(VLOOKUP($A566-COUNT('Шаг2.Бланк заказа NEW'!$B$19:$B$201)-COUNT('Бланк OLD 0.8 04'!$B$18:$B$200),'Бланк OLD 2.0 04 '!$B$16:$K$200,4,0)&gt;1,2,
IF(VLOOKUP($A566-COUNT('Шаг2.Бланк заказа NEW'!$B$19:$B$201)-COUNT('Бланк OLD 0.8 04'!$B$18:$B$200),'Бланк OLD 2.0 04 '!$B$16:$K$200,5,0)&gt;1,0.4,IF(AND(VLOOKUP($A566-COUNT('Шаг2.Бланк заказа NEW'!$B$19:$B$201)-COUNT('Бланк OLD 0.8 04'!$B$18:$B$200),'Бланк OLD 2.0 04 '!$B$16:$K$200,4,0)&gt;0,VLOOKUP($A566-COUNT('Шаг2.Бланк заказа NEW'!$B$19:$B$201)-COUNT('Бланк OLD 0.8 04'!$B$18:$B$200),'Бланк OLD 2.0 04 '!$B$16:$K$200,5,0)&gt;0),0.4,""))))</f>
        <v/>
      </c>
      <c r="T566" s="147" t="str">
        <f ca="1">IFERROR(IFERROR(IF(VLOOKUP($A566,'Шаг2.Бланк заказа NEW'!$B$17:$N$201,7,0)="","",VLOOKUP($A566,'Шаг2.Бланк заказа NEW'!$B$17:$N$201,7,0)),
IF(VLOOKUP($A566-COUNT('Шаг2.Бланк заказа NEW'!$B$19:$B$201),'Бланк OLD 0.8 04'!$B$12:$K$200,7,0)&gt;0,0.8,
IF(VLOOKUP($A566-COUNT('Шаг2.Бланк заказа NEW'!$B$19:$B$201),'Бланк OLD 0.8 04'!$B$12:$K$200,8,0)&gt;0,0.4,""))),
IF(VLOOKUP($A566-COUNT('Шаг2.Бланк заказа NEW'!$B$19:$B$201)-COUNT('Бланк OLD 0.8 04'!$B$18:$B$200),'Бланк OLD 2.0 04 '!$B$16:$K$200,7,0)&gt;0,2,IF(VLOOKUP($A566-COUNT('Шаг2.Бланк заказа NEW'!$B$19:$B$201)-COUNT('Бланк OLD 0.8 04'!$B$18:$B$200),'Бланк OLD 2.0 04 '!$B$16:$K$200,8,0)&gt;0,0.4,"")))</f>
        <v/>
      </c>
      <c r="U566" s="147" t="str">
        <f ca="1">IFERROR(IFERROR(IF(VLOOKUP($A566,'Шаг2.Бланк заказа NEW'!$B$17:$N$201,8,0)="","",VLOOKUP($A566,'Шаг2.Бланк заказа NEW'!$B$17:$N$201,8,0)),
IF(VLOOKUP($A566-COUNT('Шаг2.Бланк заказа NEW'!$B$19:$B$201),'Бланк OLD 0.8 04'!$B$12:$K$200,7,0)&gt;1,0.8,
IF(VLOOKUP($A566-COUNT('Шаг2.Бланк заказа NEW'!$B$19:$B$201),'Бланк OLD 0.8 04'!$B$12:$K$200,8,0)&gt;1,0.4,
IF(AND(VLOOKUP($A566-COUNT('Шаг2.Бланк заказа NEW'!$B$19:$B$201),'Бланк OLD 0.8 04'!$B$12:$K$200,7,0)&gt;0,VLOOKUP($A566-COUNT('Шаг2.Бланк заказа NEW'!$B$19:$B$201),'Бланк OLD 0.8 04'!$B$12:$K$200,8,0)&gt;0),0.4,"")))),
IF(VLOOKUP($A566-COUNT('Шаг2.Бланк заказа NEW'!$B$19:$B$201)-COUNT('Бланк OLD 0.8 04'!$B$18:$B$200),'Бланк OLD 2.0 04 '!$B$16:$K$200,7,0)&gt;1,2,
IF(VLOOKUP($A566-COUNT('Шаг2.Бланк заказа NEW'!$B$19:$B$201)-COUNT('Бланк OLD 0.8 04'!$B$18:$B$200),'Бланк OLD 2.0 04 '!$B$16:$K$200,8,0)&gt;1,0.4,
IF(AND(VLOOKUP($A566-COUNT('Шаг2.Бланк заказа NEW'!$B$19:$B$201)-COUNT('Бланк OLD 0.8 04'!$B$18:$B$200),'Бланк OLD 2.0 04 '!$B$16:$K$200,7,0)&gt;0,VLOOKUP($A566-COUNT('Шаг2.Бланк заказа NEW'!$B$19:$B$201)-COUNT('Бланк OLD 0.8 04'!$B$18:$B$200),'Бланк OLD 2.0 04 '!$B$16:$K$200,8,0)&gt;0),0.4,""))))</f>
        <v/>
      </c>
      <c r="V566" s="146" t="str">
        <f ca="1">IFERROR(VLOOKUP(C566,'Шаг1.Выбор плиты'!C:S,12,0),"")</f>
        <v/>
      </c>
      <c r="W566" s="146" t="str">
        <f ca="1">IFERROR(VLOOKUP(C566,'Шаг1.Выбор плиты'!C:S,8,0),"")</f>
        <v/>
      </c>
      <c r="X566" s="146" t="str">
        <f ca="1">IFERROR(VLOOKUP(C566,'Шаг1.Выбор плиты'!C:S,10,0),"")</f>
        <v/>
      </c>
      <c r="Y566" s="147" t="str">
        <f t="shared" ca="1" si="51"/>
        <v/>
      </c>
      <c r="AD566" s="147" t="str">
        <f t="shared" ca="1" si="48"/>
        <v/>
      </c>
      <c r="AE566" s="147" t="str">
        <f t="shared" ca="1" si="52"/>
        <v/>
      </c>
      <c r="AF566" s="25"/>
      <c r="AH566" s="147" t="str">
        <f ca="1">IF(C566="","",VLOOKUP(C566,'Шаг1.Выбор плиты'!C:Q,7,0))</f>
        <v/>
      </c>
      <c r="AI566" s="147" t="str">
        <f t="shared" ca="1" si="50"/>
        <v/>
      </c>
    </row>
    <row r="567" spans="1:35" x14ac:dyDescent="0.2">
      <c r="A567" s="151" t="str">
        <f ca="1">IF(C567="","",MAX($A$1:OFFSET(C567,-1,0))+1)</f>
        <v/>
      </c>
      <c r="B567" s="151" t="str">
        <f ca="1">IFERROR(IFERROR(IFERROR("Шаг2.Бланк заказа NEW №"&amp;VLOOKUP(A566+1,CHOOSE({1,2},'Шаг2.Бланк заказа NEW'!$B$19:$B$201,'Шаг2.Бланк заказа NEW'!$A$19:$A$201),1,0),
"Бланк OLD 0.8 04 №"&amp;VLOOKUP(A566+1-COUNT('Шаг2.Бланк заказа NEW'!$B$19:$B$201),CHOOSE({1,2},'Бланк OLD 0.8 04'!$B$18:$B$200,'Бланк OLD 0.8 04'!$A$18:$A$200),1,0)),
"Бланк OLD 2.0 04 №"&amp;VLOOKUP(A566+1-COUNT('Шаг2.Бланк заказа NEW'!$B$19:$B$201)-COUNT('Бланк OLD 0.8 04'!$B$18:$B$200),CHOOSE({1,2},'Бланк OLD 2.0 04 '!$B$18:$B$200,'Бланк OLD 2.0 04 '!$A$18:$A$200),1,0)),"")</f>
        <v/>
      </c>
      <c r="C567" s="152" t="str">
        <f ca="1">IFERROR(IFERROR(IFERROR(VLOOKUP(A566+1,CHOOSE({1,2},'Шаг2.Бланк заказа NEW'!$B$19:$B$201,'Шаг2.Бланк заказа NEW'!$A$19:$A$201),2,0),
VLOOKUP(A566+1-COUNT('Шаг2.Бланк заказа NEW'!$B$19:$B$201),CHOOSE({1,2},'Бланк OLD 0.8 04'!$B$18:$B$200,'Бланк OLD 0.8 04'!$A$18:$A$200),2,0)),
VLOOKUP(A566+1-COUNT('Шаг2.Бланк заказа NEW'!$B$19:$B$201)-COUNT('Бланк OLD 0.8 04'!$B$18:$B$200),CHOOSE({1,2},'Бланк OLD 2.0 04 '!$B$18:$B$200,'Бланк OLD 2.0 04 '!$A$18:$A$200),2,0)),"")</f>
        <v/>
      </c>
      <c r="D567" s="150" t="str">
        <f ca="1">IFERROR(VLOOKUP(C567,'Шаг1.Выбор плиты'!C:G,5,0),"")</f>
        <v/>
      </c>
      <c r="E567" s="147" t="str">
        <f ca="1">IFERROR(IFERROR(IF(VLOOKUP($A567,'Шаг2.Бланк заказа NEW'!$B$17:$N$201,2,0)="","",VLOOKUP($A567,'Шаг2.Бланк заказа NEW'!$B$17:$N$201,2,0)),
IF(VLOOKUP($A567-COUNT('Шаг2.Бланк заказа NEW'!$B$19:$B$201),'Бланк OLD 0.8 04'!$B$12:$K$200,2,0)="","",VLOOKUP($A567-COUNT('Шаг2.Бланк заказа NEW'!$B$19:$B$201),'Бланк OLD 0.8 04'!$B$12:$K$200,2,0))),
IF(VLOOKUP($A567-COUNT('Шаг2.Бланк заказа NEW'!$B$19:$B$201)-COUNT('Бланк OLD 0.8 04'!$B$18:$B$200),'Бланк OLD 2.0 04 '!$B$16:$K$200,2,0)="","",VLOOKUP($A567-COUNT('Шаг2.Бланк заказа NEW'!$B$19:$B$201)-COUNT('Бланк OLD 0.8 04'!$B$18:$B$200),'Бланк OLD 2.0 04 '!$B$16:$K$200,2,0)))</f>
        <v/>
      </c>
      <c r="F567" s="147" t="str">
        <f ca="1">IFERROR(IFERROR(IF(VLOOKUP($A567,'Шаг2.Бланк заказа NEW'!$B$17:$N$201,3,0)="","",VLOOKUP($A567,'Шаг2.Бланк заказа NEW'!$B$17:$N$201,3,0)),
IF(VLOOKUP($A567-COUNT('Шаг2.Бланк заказа NEW'!$B$19:$B$201),'Бланк OLD 0.8 04'!$B$12:$K$200,3,0)="","",VLOOKUP($A567-COUNT('Шаг2.Бланк заказа NEW'!$B$19:$B$201),'Бланк OLD 0.8 04'!$B$12:$K$200,3,0))),
IF(VLOOKUP($A567-COUNT('Шаг2.Бланк заказа NEW'!$B$19:$B$201)-COUNT('Бланк OLD 0.8 04'!$B$18:$B$200),'Бланк OLD 2.0 04 '!$B$16:$K$200,3,0)="","",VLOOKUP($A567-COUNT('Шаг2.Бланк заказа NEW'!$B$19:$B$201)-COUNT('Бланк OLD 0.8 04'!$B$18:$B$200),'Бланк OLD 2.0 04 '!$B$16:$K$200,3,0)))</f>
        <v/>
      </c>
      <c r="G567" s="176" t="str">
        <f ca="1">IF(IF(R567="","",IF(R567=1,SUMIFS('Шаг1.Выбор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плиты'!C:Q,12,0)),1))))))=0,
R567,
IF(R567="","",IF(R567=1,SUMIFS('Шаг1.Выбор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плиты'!N:N,R567,'Шаг1.Выбор плиты'!M:M,SMALL(INDIRECT("мм"&amp;VLOOKUP(C567,'Шаг1.Выбор плиты'!C:Q,12,0)),1)))))))</f>
        <v/>
      </c>
      <c r="H567" s="177" t="str">
        <f ca="1">IF(IF(S567="","",IF(S567=1,SUMIFS('Шаг1.Выбор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плиты'!C:Q,12,0)),1))))))=0,
S567,
IF(S567="","",IF(S567=1,SUMIFS('Шаг1.Выбор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плиты'!N:N,S567,'Шаг1.Выбор плиты'!M:M,SMALL(INDIRECT("мм"&amp;VLOOKUP(C567,'Шаг1.Выбор плиты'!C:Q,12,0)),1)))))))</f>
        <v/>
      </c>
      <c r="I567" s="147" t="str">
        <f ca="1">IFERROR(IFERROR(IF(VLOOKUP($A567,'Шаг2.Бланк заказа NEW'!$B$17:$N$201,6,0)="","",VLOOKUP($A567,'Шаг2.Бланк заказа NEW'!$B$17:$N$201,6,0)),
IF(VLOOKUP($A567-COUNT('Шаг2.Бланк заказа NEW'!$B$19:$B$201),'Бланк OLD 0.8 04'!$B$12:$K$200,6,0)="","",VLOOKUP($A567-COUNT('Шаг2.Бланк заказа NEW'!$B$19:$B$201),'Бланк OLD 0.8 04'!$B$12:$K$200,6,0))),
IF(VLOOKUP($A567-COUNT('Шаг2.Бланк заказа NEW'!$B$19:$B$201)-COUNT('Бланк OLD 0.8 04'!$B$18:$B$200),'Бланк OLD 2.0 04 '!$B$16:$K$200,6,0)="","",VLOOKUP($A567-COUNT('Шаг2.Бланк заказа NEW'!$B$19:$B$201)-COUNT('Бланк OLD 0.8 04'!$B$18:$B$200),'Бланк OLD 2.0 04 '!$B$16:$K$200,6,0)))</f>
        <v/>
      </c>
      <c r="J567" s="177" t="str">
        <f ca="1">IF(IF(T567="","",IF(T567=1,SUMIFS('Шаг1.Выбор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плиты'!C:Q,12,0)),1))))))=0,
T567,
IF(T567="","",IF(T567=1,SUMIFS('Шаг1.Выбор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плиты'!N:N,T567,'Шаг1.Выбор плиты'!M:M,SMALL(INDIRECT("мм"&amp;VLOOKUP(C567,'Шаг1.Выбор плиты'!C:Q,12,0)),1)))))))</f>
        <v/>
      </c>
      <c r="K567" s="177" t="str">
        <f ca="1">IF(IF(U567="","",IF(U567=1,SUMIFS('Шаг1.Выбор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плиты'!C:Q,12,0)),1))))))=0,
U567,
IF(U567="","",IF(U567=1,SUMIFS('Шаг1.Выбор плиты'!$G:$G,'Шаг1.Выбор плиты'!J:J,"*"&amp;RIGHT(VLOOKUP(C567,'Шаг1.Выбор плиты'!C:Q,8,0),4),'Шаг1.Выбор плиты'!L:L,IF(MID(C567,1,6)="ЛДСП P","TM"&amp;MID(VLOOKUP(C567,'Шаг1.Выбор плиты'!C:Q,10,0),3,2),MID(VLOOKUP(C567,'Шаг1.Выбор плиты'!C:Q,10,0),1,2)),
'Шаг1.Выбор плиты'!N:N,1),IF(SUMIFS('Шаг1.Выбор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плиты'!C:Q,12,0)),1))=0,
IF(SUMIFS('Шаг1.Выбор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плиты'!C:Q,12,0)),2))=0,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плиты'!C:Q,12,0)),3)),
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плиты'!C:Q,12,0)),2))),
(SUMIFS('Шаг1.Выбор плиты'!$G:$G,'Шаг1.Выбор плиты'!J:J,"*"&amp;RIGHT(VLOOKUP(C567,'Шаг1.Выбор плиты'!C:Q,8,0),4),'Шаг1.Выбор плиты'!L:L,VLOOKUP(C567,'Шаг1.Выбор плиты'!C:Q,10,0),'Шаг1.Выбор плиты'!N:N,U567,'Шаг1.Выбор плиты'!M:M,SMALL(INDIRECT("мм"&amp;VLOOKUP(C567,'Шаг1.Выбор плиты'!C:Q,12,0)),1)))))))</f>
        <v/>
      </c>
      <c r="L567" s="147" t="str">
        <f ca="1">IFERROR(IFERROR(IF(VLOOKUP($A567,'Шаг2.Бланк заказа NEW'!$B$17:$N$201,9,0)="","",VLOOKUP($A567,'Шаг2.Бланк заказа NEW'!$B$17:$N$201,9,0)),
IF(VLOOKUP($A567-COUNT('Шаг2.Бланк заказа NEW'!$B$19:$B$201),'Бланк OLD 0.8 04'!$B$12:$K$200,9,0)="","",VLOOKUP($A567-COUNT('Шаг2.Бланк заказа NEW'!$B$19:$B$201),'Бланк OLD 0.8 04'!$B$12:$K$200,9,0))),
IF(VLOOKUP($A567-COUNT('Шаг2.Бланк заказа NEW'!$B$19:$B$201)-COUNT('Бланк OLD 0.8 04'!$B$18:$B$200),'Бланк OLD 2.0 04 '!$B$16:$K$200,9,0)="","",VLOOKUP($A567-COUNT('Шаг2.Бланк заказа NEW'!$B$19:$B$201)-COUNT('Бланк OLD 0.8 04'!$B$18:$B$200),'Бланк OLD 2.0 04 '!$B$16:$K$200,9,0)))</f>
        <v/>
      </c>
      <c r="M567" s="154" t="str">
        <f t="shared" ca="1" si="49"/>
        <v/>
      </c>
      <c r="N567" s="153" t="str">
        <f ca="1">IFERROR(IF(VLOOKUP($A567,'Шаг2.Бланк заказа NEW'!$B$17:$N$201,11,0)="","",VLOOKUP($A567,'Шаг2.Бланк заказа NEW'!$B$17:$N$201,11,0)),
"Нет")</f>
        <v/>
      </c>
      <c r="O567" s="147" t="str">
        <f ca="1">IFERROR(IF(VLOOKUP($A567,'Шаг2.Бланк заказа NEW'!$B$17:$N$201,11,0)="","",VLOOKUP($A567,'Шаг2.Бланк заказа NEW'!$B$17:$N$201,12,0)),
"Нет")</f>
        <v/>
      </c>
      <c r="P567" s="153" t="str">
        <f ca="1">IFERROR(IF(VLOOKUP($A567,'Шаг2.Бланк заказа NEW'!$B$17:$N$201,13,0)="","",VLOOKUP($A567,'Шаг2.Бланк заказа NEW'!$B$17:$N$201,13,0)),
"Нет")</f>
        <v/>
      </c>
      <c r="Q567" s="147" t="str">
        <f ca="1">IFERROR(IF(VLOOKUP($A567,'Шаг2.Бланк заказа NEW'!$B$17:$O$201,14,0)="","",VLOOKUP($A567,'Шаг2.Бланк заказа NEW'!$B$17:$O$201,14,0)),"")</f>
        <v/>
      </c>
      <c r="R567" s="147" t="str">
        <f ca="1">IFERROR(IFERROR(IF(VLOOKUP($A567,'Шаг2.Бланк заказа NEW'!$B$17:$N$201,4,0)="","",VLOOKUP($A567,'Шаг2.Бланк заказа NEW'!$B$17:$N$201,4,0)),
IF(VLOOKUP($A567-COUNT('Шаг2.Бланк заказа NEW'!$B$19:$B$201),'Бланк OLD 0.8 04'!$B$12:$K$200,4,0)&gt;0,0.8,
IF(VLOOKUP($A567-COUNT('Шаг2.Бланк заказа NEW'!$B$19:$B$201),'Бланк OLD 0.8 04'!$B$12:$K$200,5,0)&gt;0,0.4,""))),
IF(VLOOKUP($A567-COUNT('Шаг2.Бланк заказа NEW'!$B$19:$B$201)-COUNT('Бланк OLD 0.8 04'!$B$18:$B$200),'Бланк OLD 2.0 04 '!$B$16:$K$200,4,0)&gt;0,2,IF(VLOOKUP($A567-COUNT('Шаг2.Бланк заказа NEW'!$B$19:$B$201)-COUNT('Бланк OLD 0.8 04'!$B$18:$B$200),'Бланк OLD 2.0 04 '!$B$16:$K$200,5,0)&gt;0,0.4,"")))</f>
        <v/>
      </c>
      <c r="S567" s="147" t="str">
        <f ca="1">IFERROR(IFERROR(IF(VLOOKUP($A567,'Шаг2.Бланк заказа NEW'!$B$17:$N$201,5,0)="","",VLOOKUP($A567,'Шаг2.Бланк заказа NEW'!$B$17:$N$201,5,0)),
IF(VLOOKUP($A567-COUNT('Шаг2.Бланк заказа NEW'!$B$19:$B$201),'Бланк OLD 0.8 04'!$B$12:$K$200,4,0)&gt;1,0.8,
IF(VLOOKUP($A567-COUNT('Шаг2.Бланк заказа NEW'!$B$19:$B$201),'Бланк OLD 0.8 04'!$B$12:$K$200,5,0)&gt;1,0.4,
IF(AND(VLOOKUP($A567-COUNT('Шаг2.Бланк заказа NEW'!$B$19:$B$201),'Бланк OLD 0.8 04'!$B$12:$K$200,4,0)&gt;0,VLOOKUP($A567-COUNT('Шаг2.Бланк заказа NEW'!$B$19:$B$201),'Бланк OLD 0.8 04'!$B$12:$K$200,5,0)&gt;0),0.4,"")))),
IF(VLOOKUP($A567-COUNT('Шаг2.Бланк заказа NEW'!$B$19:$B$201)-COUNT('Бланк OLD 0.8 04'!$B$18:$B$200),'Бланк OLD 2.0 04 '!$B$16:$K$200,4,0)&gt;1,2,
IF(VLOOKUP($A567-COUNT('Шаг2.Бланк заказа NEW'!$B$19:$B$201)-COUNT('Бланк OLD 0.8 04'!$B$18:$B$200),'Бланк OLD 2.0 04 '!$B$16:$K$200,5,0)&gt;1,0.4,IF(AND(VLOOKUP($A567-COUNT('Шаг2.Бланк заказа NEW'!$B$19:$B$201)-COUNT('Бланк OLD 0.8 04'!$B$18:$B$200),'Бланк OLD 2.0 04 '!$B$16:$K$200,4,0)&gt;0,VLOOKUP($A567-COUNT('Шаг2.Бланк заказа NEW'!$B$19:$B$201)-COUNT('Бланк OLD 0.8 04'!$B$18:$B$200),'Бланк OLD 2.0 04 '!$B$16:$K$200,5,0)&gt;0),0.4,""))))</f>
        <v/>
      </c>
      <c r="T567" s="147" t="str">
        <f ca="1">IFERROR(IFERROR(IF(VLOOKUP($A567,'Шаг2.Бланк заказа NEW'!$B$17:$N$201,7,0)="","",VLOOKUP($A567,'Шаг2.Бланк заказа NEW'!$B$17:$N$201,7,0)),
IF(VLOOKUP($A567-COUNT('Шаг2.Бланк заказа NEW'!$B$19:$B$201),'Бланк OLD 0.8 04'!$B$12:$K$200,7,0)&gt;0,0.8,
IF(VLOOKUP($A567-COUNT('Шаг2.Бланк заказа NEW'!$B$19:$B$201),'Бланк OLD 0.8 04'!$B$12:$K$200,8,0)&gt;0,0.4,""))),
IF(VLOOKUP($A567-COUNT('Шаг2.Бланк заказа NEW'!$B$19:$B$201)-COUNT('Бланк OLD 0.8 04'!$B$18:$B$200),'Бланк OLD 2.0 04 '!$B$16:$K$200,7,0)&gt;0,2,IF(VLOOKUP($A567-COUNT('Шаг2.Бланк заказа NEW'!$B$19:$B$201)-COUNT('Бланк OLD 0.8 04'!$B$18:$B$200),'Бланк OLD 2.0 04 '!$B$16:$K$200,8,0)&gt;0,0.4,"")))</f>
        <v/>
      </c>
      <c r="U567" s="147" t="str">
        <f ca="1">IFERROR(IFERROR(IF(VLOOKUP($A567,'Шаг2.Бланк заказа NEW'!$B$17:$N$201,8,0)="","",VLOOKUP($A567,'Шаг2.Бланк заказа NEW'!$B$17:$N$201,8,0)),
IF(VLOOKUP($A567-COUNT('Шаг2.Бланк заказа NEW'!$B$19:$B$201),'Бланк OLD 0.8 04'!$B$12:$K$200,7,0)&gt;1,0.8,
IF(VLOOKUP($A567-COUNT('Шаг2.Бланк заказа NEW'!$B$19:$B$201),'Бланк OLD 0.8 04'!$B$12:$K$200,8,0)&gt;1,0.4,
IF(AND(VLOOKUP($A567-COUNT('Шаг2.Бланк заказа NEW'!$B$19:$B$201),'Бланк OLD 0.8 04'!$B$12:$K$200,7,0)&gt;0,VLOOKUP($A567-COUNT('Шаг2.Бланк заказа NEW'!$B$19:$B$201),'Бланк OLD 0.8 04'!$B$12:$K$200,8,0)&gt;0),0.4,"")))),
IF(VLOOKUP($A567-COUNT('Шаг2.Бланк заказа NEW'!$B$19:$B$201)-COUNT('Бланк OLD 0.8 04'!$B$18:$B$200),'Бланк OLD 2.0 04 '!$B$16:$K$200,7,0)&gt;1,2,
IF(VLOOKUP($A567-COUNT('Шаг2.Бланк заказа NEW'!$B$19:$B$201)-COUNT('Бланк OLD 0.8 04'!$B$18:$B$200),'Бланк OLD 2.0 04 '!$B$16:$K$200,8,0)&gt;1,0.4,
IF(AND(VLOOKUP($A567-COUNT('Шаг2.Бланк заказа NEW'!$B$19:$B$201)-COUNT('Бланк OLD 0.8 04'!$B$18:$B$200),'Бланк OLD 2.0 04 '!$B$16:$K$200,7,0)&gt;0,VLOOKUP($A567-COUNT('Шаг2.Бланк заказа NEW'!$B$19:$B$201)-COUNT('Бланк OLD 0.8 04'!$B$18:$B$200),'Бланк OLD 2.0 04 '!$B$16:$K$200,8,0)&gt;0),0.4,""))))</f>
        <v/>
      </c>
      <c r="V567" s="146" t="str">
        <f ca="1">IFERROR(VLOOKUP(C567,'Шаг1.Выбор плиты'!C:S,12,0),"")</f>
        <v/>
      </c>
      <c r="W567" s="146" t="str">
        <f ca="1">IFERROR(VLOOKUP(C567,'Шаг1.Выбор плиты'!C:S,8,0),"")</f>
        <v/>
      </c>
      <c r="X567" s="146" t="str">
        <f ca="1">IFERROR(VLOOKUP(C567,'Шаг1.Выбор плиты'!C:S,10,0),"")</f>
        <v/>
      </c>
      <c r="Y567" s="147" t="str">
        <f t="shared" ca="1" si="51"/>
        <v/>
      </c>
      <c r="AD567" s="147" t="str">
        <f t="shared" ca="1" si="48"/>
        <v/>
      </c>
      <c r="AE567" s="147" t="str">
        <f t="shared" ca="1" si="52"/>
        <v/>
      </c>
      <c r="AF567" s="25"/>
      <c r="AH567" s="147" t="str">
        <f ca="1">IF(C567="","",VLOOKUP(C567,'Шаг1.Выбор плиты'!C:Q,7,0))</f>
        <v/>
      </c>
      <c r="AI567" s="147" t="str">
        <f t="shared" ca="1" si="50"/>
        <v/>
      </c>
    </row>
    <row r="568" spans="1:35" x14ac:dyDescent="0.2">
      <c r="A568" s="151" t="str">
        <f ca="1">IF(C568="","",MAX($A$1:OFFSET(C568,-1,0))+1)</f>
        <v/>
      </c>
      <c r="B568" s="151" t="str">
        <f ca="1">IFERROR(IFERROR(IFERROR("Шаг2.Бланк заказа NEW №"&amp;VLOOKUP(A567+1,CHOOSE({1,2},'Шаг2.Бланк заказа NEW'!$B$19:$B$201,'Шаг2.Бланк заказа NEW'!$A$19:$A$201),1,0),
"Бланк OLD 0.8 04 №"&amp;VLOOKUP(A567+1-COUNT('Шаг2.Бланк заказа NEW'!$B$19:$B$201),CHOOSE({1,2},'Бланк OLD 0.8 04'!$B$18:$B$200,'Бланк OLD 0.8 04'!$A$18:$A$200),1,0)),
"Бланк OLD 2.0 04 №"&amp;VLOOKUP(A567+1-COUNT('Шаг2.Бланк заказа NEW'!$B$19:$B$201)-COUNT('Бланк OLD 0.8 04'!$B$18:$B$200),CHOOSE({1,2},'Бланк OLD 2.0 04 '!$B$18:$B$200,'Бланк OLD 2.0 04 '!$A$18:$A$200),1,0)),"")</f>
        <v/>
      </c>
      <c r="C568" s="152" t="str">
        <f ca="1">IFERROR(IFERROR(IFERROR(VLOOKUP(A567+1,CHOOSE({1,2},'Шаг2.Бланк заказа NEW'!$B$19:$B$201,'Шаг2.Бланк заказа NEW'!$A$19:$A$201),2,0),
VLOOKUP(A567+1-COUNT('Шаг2.Бланк заказа NEW'!$B$19:$B$201),CHOOSE({1,2},'Бланк OLD 0.8 04'!$B$18:$B$200,'Бланк OLD 0.8 04'!$A$18:$A$200),2,0)),
VLOOKUP(A567+1-COUNT('Шаг2.Бланк заказа NEW'!$B$19:$B$201)-COUNT('Бланк OLD 0.8 04'!$B$18:$B$200),CHOOSE({1,2},'Бланк OLD 2.0 04 '!$B$18:$B$200,'Бланк OLD 2.0 04 '!$A$18:$A$200),2,0)),"")</f>
        <v/>
      </c>
      <c r="D568" s="150" t="str">
        <f ca="1">IFERROR(VLOOKUP(C568,'Шаг1.Выбор плиты'!C:G,5,0),"")</f>
        <v/>
      </c>
      <c r="E568" s="147" t="str">
        <f ca="1">IFERROR(IFERROR(IF(VLOOKUP($A568,'Шаг2.Бланк заказа NEW'!$B$17:$N$201,2,0)="","",VLOOKUP($A568,'Шаг2.Бланк заказа NEW'!$B$17:$N$201,2,0)),
IF(VLOOKUP($A568-COUNT('Шаг2.Бланк заказа NEW'!$B$19:$B$201),'Бланк OLD 0.8 04'!$B$12:$K$200,2,0)="","",VLOOKUP($A568-COUNT('Шаг2.Бланк заказа NEW'!$B$19:$B$201),'Бланк OLD 0.8 04'!$B$12:$K$200,2,0))),
IF(VLOOKUP($A568-COUNT('Шаг2.Бланк заказа NEW'!$B$19:$B$201)-COUNT('Бланк OLD 0.8 04'!$B$18:$B$200),'Бланк OLD 2.0 04 '!$B$16:$K$200,2,0)="","",VLOOKUP($A568-COUNT('Шаг2.Бланк заказа NEW'!$B$19:$B$201)-COUNT('Бланк OLD 0.8 04'!$B$18:$B$200),'Бланк OLD 2.0 04 '!$B$16:$K$200,2,0)))</f>
        <v/>
      </c>
      <c r="F568" s="147" t="str">
        <f ca="1">IFERROR(IFERROR(IF(VLOOKUP($A568,'Шаг2.Бланк заказа NEW'!$B$17:$N$201,3,0)="","",VLOOKUP($A568,'Шаг2.Бланк заказа NEW'!$B$17:$N$201,3,0)),
IF(VLOOKUP($A568-COUNT('Шаг2.Бланк заказа NEW'!$B$19:$B$201),'Бланк OLD 0.8 04'!$B$12:$K$200,3,0)="","",VLOOKUP($A568-COUNT('Шаг2.Бланк заказа NEW'!$B$19:$B$201),'Бланк OLD 0.8 04'!$B$12:$K$200,3,0))),
IF(VLOOKUP($A568-COUNT('Шаг2.Бланк заказа NEW'!$B$19:$B$201)-COUNT('Бланк OLD 0.8 04'!$B$18:$B$200),'Бланк OLD 2.0 04 '!$B$16:$K$200,3,0)="","",VLOOKUP($A568-COUNT('Шаг2.Бланк заказа NEW'!$B$19:$B$201)-COUNT('Бланк OLD 0.8 04'!$B$18:$B$200),'Бланк OLD 2.0 04 '!$B$16:$K$200,3,0)))</f>
        <v/>
      </c>
      <c r="G568" s="176" t="str">
        <f ca="1">IF(IF(R568="","",IF(R568=1,SUMIFS('Шаг1.Выбор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плиты'!C:Q,12,0)),1))))))=0,
R568,
IF(R568="","",IF(R568=1,SUMIFS('Шаг1.Выбор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плиты'!N:N,R568,'Шаг1.Выбор плиты'!M:M,SMALL(INDIRECT("мм"&amp;VLOOKUP(C568,'Шаг1.Выбор плиты'!C:Q,12,0)),1)))))))</f>
        <v/>
      </c>
      <c r="H568" s="177" t="str">
        <f ca="1">IF(IF(S568="","",IF(S568=1,SUMIFS('Шаг1.Выбор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плиты'!C:Q,12,0)),1))))))=0,
S568,
IF(S568="","",IF(S568=1,SUMIFS('Шаг1.Выбор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плиты'!N:N,S568,'Шаг1.Выбор плиты'!M:M,SMALL(INDIRECT("мм"&amp;VLOOKUP(C568,'Шаг1.Выбор плиты'!C:Q,12,0)),1)))))))</f>
        <v/>
      </c>
      <c r="I568" s="147" t="str">
        <f ca="1">IFERROR(IFERROR(IF(VLOOKUP($A568,'Шаг2.Бланк заказа NEW'!$B$17:$N$201,6,0)="","",VLOOKUP($A568,'Шаг2.Бланк заказа NEW'!$B$17:$N$201,6,0)),
IF(VLOOKUP($A568-COUNT('Шаг2.Бланк заказа NEW'!$B$19:$B$201),'Бланк OLD 0.8 04'!$B$12:$K$200,6,0)="","",VLOOKUP($A568-COUNT('Шаг2.Бланк заказа NEW'!$B$19:$B$201),'Бланк OLD 0.8 04'!$B$12:$K$200,6,0))),
IF(VLOOKUP($A568-COUNT('Шаг2.Бланк заказа NEW'!$B$19:$B$201)-COUNT('Бланк OLD 0.8 04'!$B$18:$B$200),'Бланк OLD 2.0 04 '!$B$16:$K$200,6,0)="","",VLOOKUP($A568-COUNT('Шаг2.Бланк заказа NEW'!$B$19:$B$201)-COUNT('Бланк OLD 0.8 04'!$B$18:$B$200),'Бланк OLD 2.0 04 '!$B$16:$K$200,6,0)))</f>
        <v/>
      </c>
      <c r="J568" s="177" t="str">
        <f ca="1">IF(IF(T568="","",IF(T568=1,SUMIFS('Шаг1.Выбор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плиты'!C:Q,12,0)),1))))))=0,
T568,
IF(T568="","",IF(T568=1,SUMIFS('Шаг1.Выбор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плиты'!N:N,T568,'Шаг1.Выбор плиты'!M:M,SMALL(INDIRECT("мм"&amp;VLOOKUP(C568,'Шаг1.Выбор плиты'!C:Q,12,0)),1)))))))</f>
        <v/>
      </c>
      <c r="K568" s="177" t="str">
        <f ca="1">IF(IF(U568="","",IF(U568=1,SUMIFS('Шаг1.Выбор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плиты'!C:Q,12,0)),1))))))=0,
U568,
IF(U568="","",IF(U568=1,SUMIFS('Шаг1.Выбор плиты'!$G:$G,'Шаг1.Выбор плиты'!J:J,"*"&amp;RIGHT(VLOOKUP(C568,'Шаг1.Выбор плиты'!C:Q,8,0),4),'Шаг1.Выбор плиты'!L:L,IF(MID(C568,1,6)="ЛДСП P","TM"&amp;MID(VLOOKUP(C568,'Шаг1.Выбор плиты'!C:Q,10,0),3,2),MID(VLOOKUP(C568,'Шаг1.Выбор плиты'!C:Q,10,0),1,2)),
'Шаг1.Выбор плиты'!N:N,1),IF(SUMIFS('Шаг1.Выбор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плиты'!C:Q,12,0)),1))=0,
IF(SUMIFS('Шаг1.Выбор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плиты'!C:Q,12,0)),2))=0,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плиты'!C:Q,12,0)),3)),
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плиты'!C:Q,12,0)),2))),
(SUMIFS('Шаг1.Выбор плиты'!$G:$G,'Шаг1.Выбор плиты'!J:J,"*"&amp;RIGHT(VLOOKUP(C568,'Шаг1.Выбор плиты'!C:Q,8,0),4),'Шаг1.Выбор плиты'!L:L,VLOOKUP(C568,'Шаг1.Выбор плиты'!C:Q,10,0),'Шаг1.Выбор плиты'!N:N,U568,'Шаг1.Выбор плиты'!M:M,SMALL(INDIRECT("мм"&amp;VLOOKUP(C568,'Шаг1.Выбор плиты'!C:Q,12,0)),1)))))))</f>
        <v/>
      </c>
      <c r="L568" s="147" t="str">
        <f ca="1">IFERROR(IFERROR(IF(VLOOKUP($A568,'Шаг2.Бланк заказа NEW'!$B$17:$N$201,9,0)="","",VLOOKUP($A568,'Шаг2.Бланк заказа NEW'!$B$17:$N$201,9,0)),
IF(VLOOKUP($A568-COUNT('Шаг2.Бланк заказа NEW'!$B$19:$B$201),'Бланк OLD 0.8 04'!$B$12:$K$200,9,0)="","",VLOOKUP($A568-COUNT('Шаг2.Бланк заказа NEW'!$B$19:$B$201),'Бланк OLD 0.8 04'!$B$12:$K$200,9,0))),
IF(VLOOKUP($A568-COUNT('Шаг2.Бланк заказа NEW'!$B$19:$B$201)-COUNT('Бланк OLD 0.8 04'!$B$18:$B$200),'Бланк OLD 2.0 04 '!$B$16:$K$200,9,0)="","",VLOOKUP($A568-COUNT('Шаг2.Бланк заказа NEW'!$B$19:$B$201)-COUNT('Бланк OLD 0.8 04'!$B$18:$B$200),'Бланк OLD 2.0 04 '!$B$16:$K$200,9,0)))</f>
        <v/>
      </c>
      <c r="M568" s="154" t="str">
        <f t="shared" ca="1" si="49"/>
        <v/>
      </c>
      <c r="N568" s="153" t="str">
        <f ca="1">IFERROR(IF(VLOOKUP($A568,'Шаг2.Бланк заказа NEW'!$B$17:$N$201,11,0)="","",VLOOKUP($A568,'Шаг2.Бланк заказа NEW'!$B$17:$N$201,11,0)),
"Нет")</f>
        <v/>
      </c>
      <c r="O568" s="147" t="str">
        <f ca="1">IFERROR(IF(VLOOKUP($A568,'Шаг2.Бланк заказа NEW'!$B$17:$N$201,11,0)="","",VLOOKUP($A568,'Шаг2.Бланк заказа NEW'!$B$17:$N$201,12,0)),
"Нет")</f>
        <v/>
      </c>
      <c r="P568" s="153" t="str">
        <f ca="1">IFERROR(IF(VLOOKUP($A568,'Шаг2.Бланк заказа NEW'!$B$17:$N$201,13,0)="","",VLOOKUP($A568,'Шаг2.Бланк заказа NEW'!$B$17:$N$201,13,0)),
"Нет")</f>
        <v/>
      </c>
      <c r="Q568" s="147" t="str">
        <f ca="1">IFERROR(IF(VLOOKUP($A568,'Шаг2.Бланк заказа NEW'!$B$17:$O$201,14,0)="","",VLOOKUP($A568,'Шаг2.Бланк заказа NEW'!$B$17:$O$201,14,0)),"")</f>
        <v/>
      </c>
      <c r="R568" s="147" t="str">
        <f ca="1">IFERROR(IFERROR(IF(VLOOKUP($A568,'Шаг2.Бланк заказа NEW'!$B$17:$N$201,4,0)="","",VLOOKUP($A568,'Шаг2.Бланк заказа NEW'!$B$17:$N$201,4,0)),
IF(VLOOKUP($A568-COUNT('Шаг2.Бланк заказа NEW'!$B$19:$B$201),'Бланк OLD 0.8 04'!$B$12:$K$200,4,0)&gt;0,0.8,
IF(VLOOKUP($A568-COUNT('Шаг2.Бланк заказа NEW'!$B$19:$B$201),'Бланк OLD 0.8 04'!$B$12:$K$200,5,0)&gt;0,0.4,""))),
IF(VLOOKUP($A568-COUNT('Шаг2.Бланк заказа NEW'!$B$19:$B$201)-COUNT('Бланк OLD 0.8 04'!$B$18:$B$200),'Бланк OLD 2.0 04 '!$B$16:$K$200,4,0)&gt;0,2,IF(VLOOKUP($A568-COUNT('Шаг2.Бланк заказа NEW'!$B$19:$B$201)-COUNT('Бланк OLD 0.8 04'!$B$18:$B$200),'Бланк OLD 2.0 04 '!$B$16:$K$200,5,0)&gt;0,0.4,"")))</f>
        <v/>
      </c>
      <c r="S568" s="147" t="str">
        <f ca="1">IFERROR(IFERROR(IF(VLOOKUP($A568,'Шаг2.Бланк заказа NEW'!$B$17:$N$201,5,0)="","",VLOOKUP($A568,'Шаг2.Бланк заказа NEW'!$B$17:$N$201,5,0)),
IF(VLOOKUP($A568-COUNT('Шаг2.Бланк заказа NEW'!$B$19:$B$201),'Бланк OLD 0.8 04'!$B$12:$K$200,4,0)&gt;1,0.8,
IF(VLOOKUP($A568-COUNT('Шаг2.Бланк заказа NEW'!$B$19:$B$201),'Бланк OLD 0.8 04'!$B$12:$K$200,5,0)&gt;1,0.4,
IF(AND(VLOOKUP($A568-COUNT('Шаг2.Бланк заказа NEW'!$B$19:$B$201),'Бланк OLD 0.8 04'!$B$12:$K$200,4,0)&gt;0,VLOOKUP($A568-COUNT('Шаг2.Бланк заказа NEW'!$B$19:$B$201),'Бланк OLD 0.8 04'!$B$12:$K$200,5,0)&gt;0),0.4,"")))),
IF(VLOOKUP($A568-COUNT('Шаг2.Бланк заказа NEW'!$B$19:$B$201)-COUNT('Бланк OLD 0.8 04'!$B$18:$B$200),'Бланк OLD 2.0 04 '!$B$16:$K$200,4,0)&gt;1,2,
IF(VLOOKUP($A568-COUNT('Шаг2.Бланк заказа NEW'!$B$19:$B$201)-COUNT('Бланк OLD 0.8 04'!$B$18:$B$200),'Бланк OLD 2.0 04 '!$B$16:$K$200,5,0)&gt;1,0.4,IF(AND(VLOOKUP($A568-COUNT('Шаг2.Бланк заказа NEW'!$B$19:$B$201)-COUNT('Бланк OLD 0.8 04'!$B$18:$B$200),'Бланк OLD 2.0 04 '!$B$16:$K$200,4,0)&gt;0,VLOOKUP($A568-COUNT('Шаг2.Бланк заказа NEW'!$B$19:$B$201)-COUNT('Бланк OLD 0.8 04'!$B$18:$B$200),'Бланк OLD 2.0 04 '!$B$16:$K$200,5,0)&gt;0),0.4,""))))</f>
        <v/>
      </c>
      <c r="T568" s="147" t="str">
        <f ca="1">IFERROR(IFERROR(IF(VLOOKUP($A568,'Шаг2.Бланк заказа NEW'!$B$17:$N$201,7,0)="","",VLOOKUP($A568,'Шаг2.Бланк заказа NEW'!$B$17:$N$201,7,0)),
IF(VLOOKUP($A568-COUNT('Шаг2.Бланк заказа NEW'!$B$19:$B$201),'Бланк OLD 0.8 04'!$B$12:$K$200,7,0)&gt;0,0.8,
IF(VLOOKUP($A568-COUNT('Шаг2.Бланк заказа NEW'!$B$19:$B$201),'Бланк OLD 0.8 04'!$B$12:$K$200,8,0)&gt;0,0.4,""))),
IF(VLOOKUP($A568-COUNT('Шаг2.Бланк заказа NEW'!$B$19:$B$201)-COUNT('Бланк OLD 0.8 04'!$B$18:$B$200),'Бланк OLD 2.0 04 '!$B$16:$K$200,7,0)&gt;0,2,IF(VLOOKUP($A568-COUNT('Шаг2.Бланк заказа NEW'!$B$19:$B$201)-COUNT('Бланк OLD 0.8 04'!$B$18:$B$200),'Бланк OLD 2.0 04 '!$B$16:$K$200,8,0)&gt;0,0.4,"")))</f>
        <v/>
      </c>
      <c r="U568" s="147" t="str">
        <f ca="1">IFERROR(IFERROR(IF(VLOOKUP($A568,'Шаг2.Бланк заказа NEW'!$B$17:$N$201,8,0)="","",VLOOKUP($A568,'Шаг2.Бланк заказа NEW'!$B$17:$N$201,8,0)),
IF(VLOOKUP($A568-COUNT('Шаг2.Бланк заказа NEW'!$B$19:$B$201),'Бланк OLD 0.8 04'!$B$12:$K$200,7,0)&gt;1,0.8,
IF(VLOOKUP($A568-COUNT('Шаг2.Бланк заказа NEW'!$B$19:$B$201),'Бланк OLD 0.8 04'!$B$12:$K$200,8,0)&gt;1,0.4,
IF(AND(VLOOKUP($A568-COUNT('Шаг2.Бланк заказа NEW'!$B$19:$B$201),'Бланк OLD 0.8 04'!$B$12:$K$200,7,0)&gt;0,VLOOKUP($A568-COUNT('Шаг2.Бланк заказа NEW'!$B$19:$B$201),'Бланк OLD 0.8 04'!$B$12:$K$200,8,0)&gt;0),0.4,"")))),
IF(VLOOKUP($A568-COUNT('Шаг2.Бланк заказа NEW'!$B$19:$B$201)-COUNT('Бланк OLD 0.8 04'!$B$18:$B$200),'Бланк OLD 2.0 04 '!$B$16:$K$200,7,0)&gt;1,2,
IF(VLOOKUP($A568-COUNT('Шаг2.Бланк заказа NEW'!$B$19:$B$201)-COUNT('Бланк OLD 0.8 04'!$B$18:$B$200),'Бланк OLD 2.0 04 '!$B$16:$K$200,8,0)&gt;1,0.4,
IF(AND(VLOOKUP($A568-COUNT('Шаг2.Бланк заказа NEW'!$B$19:$B$201)-COUNT('Бланк OLD 0.8 04'!$B$18:$B$200),'Бланк OLD 2.0 04 '!$B$16:$K$200,7,0)&gt;0,VLOOKUP($A568-COUNT('Шаг2.Бланк заказа NEW'!$B$19:$B$201)-COUNT('Бланк OLD 0.8 04'!$B$18:$B$200),'Бланк OLD 2.0 04 '!$B$16:$K$200,8,0)&gt;0),0.4,""))))</f>
        <v/>
      </c>
      <c r="V568" s="146" t="str">
        <f ca="1">IFERROR(VLOOKUP(C568,'Шаг1.Выбор плиты'!C:S,12,0),"")</f>
        <v/>
      </c>
      <c r="W568" s="146" t="str">
        <f ca="1">IFERROR(VLOOKUP(C568,'Шаг1.Выбор плиты'!C:S,8,0),"")</f>
        <v/>
      </c>
      <c r="X568" s="146" t="str">
        <f ca="1">IFERROR(VLOOKUP(C568,'Шаг1.Выбор плиты'!C:S,10,0),"")</f>
        <v/>
      </c>
      <c r="Y568" s="147" t="str">
        <f t="shared" ca="1" si="51"/>
        <v/>
      </c>
      <c r="AD568" s="147" t="str">
        <f t="shared" ca="1" si="48"/>
        <v/>
      </c>
      <c r="AE568" s="147" t="str">
        <f t="shared" ca="1" si="52"/>
        <v/>
      </c>
      <c r="AF568" s="25"/>
      <c r="AH568" s="147" t="str">
        <f ca="1">IF(C568="","",VLOOKUP(C568,'Шаг1.Выбор плиты'!C:Q,7,0))</f>
        <v/>
      </c>
      <c r="AI568" s="147" t="str">
        <f t="shared" ca="1" si="50"/>
        <v/>
      </c>
    </row>
    <row r="569" spans="1:35" x14ac:dyDescent="0.2">
      <c r="A569" s="151" t="str">
        <f ca="1">IF(C569="","",MAX($A$1:OFFSET(C569,-1,0))+1)</f>
        <v/>
      </c>
      <c r="B569" s="151" t="str">
        <f ca="1">IFERROR(IFERROR(IFERROR("Шаг2.Бланк заказа NEW №"&amp;VLOOKUP(A568+1,CHOOSE({1,2},'Шаг2.Бланк заказа NEW'!$B$19:$B$201,'Шаг2.Бланк заказа NEW'!$A$19:$A$201),1,0),
"Бланк OLD 0.8 04 №"&amp;VLOOKUP(A568+1-COUNT('Шаг2.Бланк заказа NEW'!$B$19:$B$201),CHOOSE({1,2},'Бланк OLD 0.8 04'!$B$18:$B$200,'Бланк OLD 0.8 04'!$A$18:$A$200),1,0)),
"Бланк OLD 2.0 04 №"&amp;VLOOKUP(A568+1-COUNT('Шаг2.Бланк заказа NEW'!$B$19:$B$201)-COUNT('Бланк OLD 0.8 04'!$B$18:$B$200),CHOOSE({1,2},'Бланк OLD 2.0 04 '!$B$18:$B$200,'Бланк OLD 2.0 04 '!$A$18:$A$200),1,0)),"")</f>
        <v/>
      </c>
      <c r="C569" s="152" t="str">
        <f ca="1">IFERROR(IFERROR(IFERROR(VLOOKUP(A568+1,CHOOSE({1,2},'Шаг2.Бланк заказа NEW'!$B$19:$B$201,'Шаг2.Бланк заказа NEW'!$A$19:$A$201),2,0),
VLOOKUP(A568+1-COUNT('Шаг2.Бланк заказа NEW'!$B$19:$B$201),CHOOSE({1,2},'Бланк OLD 0.8 04'!$B$18:$B$200,'Бланк OLD 0.8 04'!$A$18:$A$200),2,0)),
VLOOKUP(A568+1-COUNT('Шаг2.Бланк заказа NEW'!$B$19:$B$201)-COUNT('Бланк OLD 0.8 04'!$B$18:$B$200),CHOOSE({1,2},'Бланк OLD 2.0 04 '!$B$18:$B$200,'Бланк OLD 2.0 04 '!$A$18:$A$200),2,0)),"")</f>
        <v/>
      </c>
      <c r="D569" s="150" t="str">
        <f ca="1">IFERROR(VLOOKUP(C569,'Шаг1.Выбор плиты'!C:G,5,0),"")</f>
        <v/>
      </c>
      <c r="E569" s="147" t="str">
        <f ca="1">IFERROR(IFERROR(IF(VLOOKUP($A569,'Шаг2.Бланк заказа NEW'!$B$17:$N$201,2,0)="","",VLOOKUP($A569,'Шаг2.Бланк заказа NEW'!$B$17:$N$201,2,0)),
IF(VLOOKUP($A569-COUNT('Шаг2.Бланк заказа NEW'!$B$19:$B$201),'Бланк OLD 0.8 04'!$B$12:$K$200,2,0)="","",VLOOKUP($A569-COUNT('Шаг2.Бланк заказа NEW'!$B$19:$B$201),'Бланк OLD 0.8 04'!$B$12:$K$200,2,0))),
IF(VLOOKUP($A569-COUNT('Шаг2.Бланк заказа NEW'!$B$19:$B$201)-COUNT('Бланк OLD 0.8 04'!$B$18:$B$200),'Бланк OLD 2.0 04 '!$B$16:$K$200,2,0)="","",VLOOKUP($A569-COUNT('Шаг2.Бланк заказа NEW'!$B$19:$B$201)-COUNT('Бланк OLD 0.8 04'!$B$18:$B$200),'Бланк OLD 2.0 04 '!$B$16:$K$200,2,0)))</f>
        <v/>
      </c>
      <c r="F569" s="147" t="str">
        <f ca="1">IFERROR(IFERROR(IF(VLOOKUP($A569,'Шаг2.Бланк заказа NEW'!$B$17:$N$201,3,0)="","",VLOOKUP($A569,'Шаг2.Бланк заказа NEW'!$B$17:$N$201,3,0)),
IF(VLOOKUP($A569-COUNT('Шаг2.Бланк заказа NEW'!$B$19:$B$201),'Бланк OLD 0.8 04'!$B$12:$K$200,3,0)="","",VLOOKUP($A569-COUNT('Шаг2.Бланк заказа NEW'!$B$19:$B$201),'Бланк OLD 0.8 04'!$B$12:$K$200,3,0))),
IF(VLOOKUP($A569-COUNT('Шаг2.Бланк заказа NEW'!$B$19:$B$201)-COUNT('Бланк OLD 0.8 04'!$B$18:$B$200),'Бланк OLD 2.0 04 '!$B$16:$K$200,3,0)="","",VLOOKUP($A569-COUNT('Шаг2.Бланк заказа NEW'!$B$19:$B$201)-COUNT('Бланк OLD 0.8 04'!$B$18:$B$200),'Бланк OLD 2.0 04 '!$B$16:$K$200,3,0)))</f>
        <v/>
      </c>
      <c r="G569" s="176" t="str">
        <f ca="1">IF(IF(R569="","",IF(R569=1,SUMIFS('Шаг1.Выбор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плиты'!C:Q,12,0)),1))))))=0,
R569,
IF(R569="","",IF(R569=1,SUMIFS('Шаг1.Выбор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плиты'!N:N,R569,'Шаг1.Выбор плиты'!M:M,SMALL(INDIRECT("мм"&amp;VLOOKUP(C569,'Шаг1.Выбор плиты'!C:Q,12,0)),1)))))))</f>
        <v/>
      </c>
      <c r="H569" s="177" t="str">
        <f ca="1">IF(IF(S569="","",IF(S569=1,SUMIFS('Шаг1.Выбор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плиты'!C:Q,12,0)),1))))))=0,
S569,
IF(S569="","",IF(S569=1,SUMIFS('Шаг1.Выбор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плиты'!N:N,S569,'Шаг1.Выбор плиты'!M:M,SMALL(INDIRECT("мм"&amp;VLOOKUP(C569,'Шаг1.Выбор плиты'!C:Q,12,0)),1)))))))</f>
        <v/>
      </c>
      <c r="I569" s="147" t="str">
        <f ca="1">IFERROR(IFERROR(IF(VLOOKUP($A569,'Шаг2.Бланк заказа NEW'!$B$17:$N$201,6,0)="","",VLOOKUP($A569,'Шаг2.Бланк заказа NEW'!$B$17:$N$201,6,0)),
IF(VLOOKUP($A569-COUNT('Шаг2.Бланк заказа NEW'!$B$19:$B$201),'Бланк OLD 0.8 04'!$B$12:$K$200,6,0)="","",VLOOKUP($A569-COUNT('Шаг2.Бланк заказа NEW'!$B$19:$B$201),'Бланк OLD 0.8 04'!$B$12:$K$200,6,0))),
IF(VLOOKUP($A569-COUNT('Шаг2.Бланк заказа NEW'!$B$19:$B$201)-COUNT('Бланк OLD 0.8 04'!$B$18:$B$200),'Бланк OLD 2.0 04 '!$B$16:$K$200,6,0)="","",VLOOKUP($A569-COUNT('Шаг2.Бланк заказа NEW'!$B$19:$B$201)-COUNT('Бланк OLD 0.8 04'!$B$18:$B$200),'Бланк OLD 2.0 04 '!$B$16:$K$200,6,0)))</f>
        <v/>
      </c>
      <c r="J569" s="177" t="str">
        <f ca="1">IF(IF(T569="","",IF(T569=1,SUMIFS('Шаг1.Выбор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плиты'!C:Q,12,0)),1))))))=0,
T569,
IF(T569="","",IF(T569=1,SUMIFS('Шаг1.Выбор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плиты'!N:N,T569,'Шаг1.Выбор плиты'!M:M,SMALL(INDIRECT("мм"&amp;VLOOKUP(C569,'Шаг1.Выбор плиты'!C:Q,12,0)),1)))))))</f>
        <v/>
      </c>
      <c r="K569" s="177" t="str">
        <f ca="1">IF(IF(U569="","",IF(U569=1,SUMIFS('Шаг1.Выбор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плиты'!C:Q,12,0)),1))))))=0,
U569,
IF(U569="","",IF(U569=1,SUMIFS('Шаг1.Выбор плиты'!$G:$G,'Шаг1.Выбор плиты'!J:J,"*"&amp;RIGHT(VLOOKUP(C569,'Шаг1.Выбор плиты'!C:Q,8,0),4),'Шаг1.Выбор плиты'!L:L,IF(MID(C569,1,6)="ЛДСП P","TM"&amp;MID(VLOOKUP(C569,'Шаг1.Выбор плиты'!C:Q,10,0),3,2),MID(VLOOKUP(C569,'Шаг1.Выбор плиты'!C:Q,10,0),1,2)),
'Шаг1.Выбор плиты'!N:N,1),IF(SUMIFS('Шаг1.Выбор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плиты'!C:Q,12,0)),1))=0,
IF(SUMIFS('Шаг1.Выбор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плиты'!C:Q,12,0)),2))=0,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плиты'!C:Q,12,0)),3)),
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плиты'!C:Q,12,0)),2))),
(SUMIFS('Шаг1.Выбор плиты'!$G:$G,'Шаг1.Выбор плиты'!J:J,"*"&amp;RIGHT(VLOOKUP(C569,'Шаг1.Выбор плиты'!C:Q,8,0),4),'Шаг1.Выбор плиты'!L:L,VLOOKUP(C569,'Шаг1.Выбор плиты'!C:Q,10,0),'Шаг1.Выбор плиты'!N:N,U569,'Шаг1.Выбор плиты'!M:M,SMALL(INDIRECT("мм"&amp;VLOOKUP(C569,'Шаг1.Выбор плиты'!C:Q,12,0)),1)))))))</f>
        <v/>
      </c>
      <c r="L569" s="147" t="str">
        <f ca="1">IFERROR(IFERROR(IF(VLOOKUP($A569,'Шаг2.Бланк заказа NEW'!$B$17:$N$201,9,0)="","",VLOOKUP($A569,'Шаг2.Бланк заказа NEW'!$B$17:$N$201,9,0)),
IF(VLOOKUP($A569-COUNT('Шаг2.Бланк заказа NEW'!$B$19:$B$201),'Бланк OLD 0.8 04'!$B$12:$K$200,9,0)="","",VLOOKUP($A569-COUNT('Шаг2.Бланк заказа NEW'!$B$19:$B$201),'Бланк OLD 0.8 04'!$B$12:$K$200,9,0))),
IF(VLOOKUP($A569-COUNT('Шаг2.Бланк заказа NEW'!$B$19:$B$201)-COUNT('Бланк OLD 0.8 04'!$B$18:$B$200),'Бланк OLD 2.0 04 '!$B$16:$K$200,9,0)="","",VLOOKUP($A569-COUNT('Шаг2.Бланк заказа NEW'!$B$19:$B$201)-COUNT('Бланк OLD 0.8 04'!$B$18:$B$200),'Бланк OLD 2.0 04 '!$B$16:$K$200,9,0)))</f>
        <v/>
      </c>
      <c r="M569" s="154" t="str">
        <f t="shared" ca="1" si="49"/>
        <v/>
      </c>
      <c r="N569" s="153" t="str">
        <f ca="1">IFERROR(IF(VLOOKUP($A569,'Шаг2.Бланк заказа NEW'!$B$17:$N$201,11,0)="","",VLOOKUP($A569,'Шаг2.Бланк заказа NEW'!$B$17:$N$201,11,0)),
"Нет")</f>
        <v/>
      </c>
      <c r="O569" s="147" t="str">
        <f ca="1">IFERROR(IF(VLOOKUP($A569,'Шаг2.Бланк заказа NEW'!$B$17:$N$201,11,0)="","",VLOOKUP($A569,'Шаг2.Бланк заказа NEW'!$B$17:$N$201,12,0)),
"Нет")</f>
        <v/>
      </c>
      <c r="P569" s="153" t="str">
        <f ca="1">IFERROR(IF(VLOOKUP($A569,'Шаг2.Бланк заказа NEW'!$B$17:$N$201,13,0)="","",VLOOKUP($A569,'Шаг2.Бланк заказа NEW'!$B$17:$N$201,13,0)),
"Нет")</f>
        <v/>
      </c>
      <c r="Q569" s="147" t="str">
        <f ca="1">IFERROR(IF(VLOOKUP($A569,'Шаг2.Бланк заказа NEW'!$B$17:$O$201,14,0)="","",VLOOKUP($A569,'Шаг2.Бланк заказа NEW'!$B$17:$O$201,14,0)),"")</f>
        <v/>
      </c>
      <c r="R569" s="147" t="str">
        <f ca="1">IFERROR(IFERROR(IF(VLOOKUP($A569,'Шаг2.Бланк заказа NEW'!$B$17:$N$201,4,0)="","",VLOOKUP($A569,'Шаг2.Бланк заказа NEW'!$B$17:$N$201,4,0)),
IF(VLOOKUP($A569-COUNT('Шаг2.Бланк заказа NEW'!$B$19:$B$201),'Бланк OLD 0.8 04'!$B$12:$K$200,4,0)&gt;0,0.8,
IF(VLOOKUP($A569-COUNT('Шаг2.Бланк заказа NEW'!$B$19:$B$201),'Бланк OLD 0.8 04'!$B$12:$K$200,5,0)&gt;0,0.4,""))),
IF(VLOOKUP($A569-COUNT('Шаг2.Бланк заказа NEW'!$B$19:$B$201)-COUNT('Бланк OLD 0.8 04'!$B$18:$B$200),'Бланк OLD 2.0 04 '!$B$16:$K$200,4,0)&gt;0,2,IF(VLOOKUP($A569-COUNT('Шаг2.Бланк заказа NEW'!$B$19:$B$201)-COUNT('Бланк OLD 0.8 04'!$B$18:$B$200),'Бланк OLD 2.0 04 '!$B$16:$K$200,5,0)&gt;0,0.4,"")))</f>
        <v/>
      </c>
      <c r="S569" s="147" t="str">
        <f ca="1">IFERROR(IFERROR(IF(VLOOKUP($A569,'Шаг2.Бланк заказа NEW'!$B$17:$N$201,5,0)="","",VLOOKUP($A569,'Шаг2.Бланк заказа NEW'!$B$17:$N$201,5,0)),
IF(VLOOKUP($A569-COUNT('Шаг2.Бланк заказа NEW'!$B$19:$B$201),'Бланк OLD 0.8 04'!$B$12:$K$200,4,0)&gt;1,0.8,
IF(VLOOKUP($A569-COUNT('Шаг2.Бланк заказа NEW'!$B$19:$B$201),'Бланк OLD 0.8 04'!$B$12:$K$200,5,0)&gt;1,0.4,
IF(AND(VLOOKUP($A569-COUNT('Шаг2.Бланк заказа NEW'!$B$19:$B$201),'Бланк OLD 0.8 04'!$B$12:$K$200,4,0)&gt;0,VLOOKUP($A569-COUNT('Шаг2.Бланк заказа NEW'!$B$19:$B$201),'Бланк OLD 0.8 04'!$B$12:$K$200,5,0)&gt;0),0.4,"")))),
IF(VLOOKUP($A569-COUNT('Шаг2.Бланк заказа NEW'!$B$19:$B$201)-COUNT('Бланк OLD 0.8 04'!$B$18:$B$200),'Бланк OLD 2.0 04 '!$B$16:$K$200,4,0)&gt;1,2,
IF(VLOOKUP($A569-COUNT('Шаг2.Бланк заказа NEW'!$B$19:$B$201)-COUNT('Бланк OLD 0.8 04'!$B$18:$B$200),'Бланк OLD 2.0 04 '!$B$16:$K$200,5,0)&gt;1,0.4,IF(AND(VLOOKUP($A569-COUNT('Шаг2.Бланк заказа NEW'!$B$19:$B$201)-COUNT('Бланк OLD 0.8 04'!$B$18:$B$200),'Бланк OLD 2.0 04 '!$B$16:$K$200,4,0)&gt;0,VLOOKUP($A569-COUNT('Шаг2.Бланк заказа NEW'!$B$19:$B$201)-COUNT('Бланк OLD 0.8 04'!$B$18:$B$200),'Бланк OLD 2.0 04 '!$B$16:$K$200,5,0)&gt;0),0.4,""))))</f>
        <v/>
      </c>
      <c r="T569" s="147" t="str">
        <f ca="1">IFERROR(IFERROR(IF(VLOOKUP($A569,'Шаг2.Бланк заказа NEW'!$B$17:$N$201,7,0)="","",VLOOKUP($A569,'Шаг2.Бланк заказа NEW'!$B$17:$N$201,7,0)),
IF(VLOOKUP($A569-COUNT('Шаг2.Бланк заказа NEW'!$B$19:$B$201),'Бланк OLD 0.8 04'!$B$12:$K$200,7,0)&gt;0,0.8,
IF(VLOOKUP($A569-COUNT('Шаг2.Бланк заказа NEW'!$B$19:$B$201),'Бланк OLD 0.8 04'!$B$12:$K$200,8,0)&gt;0,0.4,""))),
IF(VLOOKUP($A569-COUNT('Шаг2.Бланк заказа NEW'!$B$19:$B$201)-COUNT('Бланк OLD 0.8 04'!$B$18:$B$200),'Бланк OLD 2.0 04 '!$B$16:$K$200,7,0)&gt;0,2,IF(VLOOKUP($A569-COUNT('Шаг2.Бланк заказа NEW'!$B$19:$B$201)-COUNT('Бланк OLD 0.8 04'!$B$18:$B$200),'Бланк OLD 2.0 04 '!$B$16:$K$200,8,0)&gt;0,0.4,"")))</f>
        <v/>
      </c>
      <c r="U569" s="147" t="str">
        <f ca="1">IFERROR(IFERROR(IF(VLOOKUP($A569,'Шаг2.Бланк заказа NEW'!$B$17:$N$201,8,0)="","",VLOOKUP($A569,'Шаг2.Бланк заказа NEW'!$B$17:$N$201,8,0)),
IF(VLOOKUP($A569-COUNT('Шаг2.Бланк заказа NEW'!$B$19:$B$201),'Бланк OLD 0.8 04'!$B$12:$K$200,7,0)&gt;1,0.8,
IF(VLOOKUP($A569-COUNT('Шаг2.Бланк заказа NEW'!$B$19:$B$201),'Бланк OLD 0.8 04'!$B$12:$K$200,8,0)&gt;1,0.4,
IF(AND(VLOOKUP($A569-COUNT('Шаг2.Бланк заказа NEW'!$B$19:$B$201),'Бланк OLD 0.8 04'!$B$12:$K$200,7,0)&gt;0,VLOOKUP($A569-COUNT('Шаг2.Бланк заказа NEW'!$B$19:$B$201),'Бланк OLD 0.8 04'!$B$12:$K$200,8,0)&gt;0),0.4,"")))),
IF(VLOOKUP($A569-COUNT('Шаг2.Бланк заказа NEW'!$B$19:$B$201)-COUNT('Бланк OLD 0.8 04'!$B$18:$B$200),'Бланк OLD 2.0 04 '!$B$16:$K$200,7,0)&gt;1,2,
IF(VLOOKUP($A569-COUNT('Шаг2.Бланк заказа NEW'!$B$19:$B$201)-COUNT('Бланк OLD 0.8 04'!$B$18:$B$200),'Бланк OLD 2.0 04 '!$B$16:$K$200,8,0)&gt;1,0.4,
IF(AND(VLOOKUP($A569-COUNT('Шаг2.Бланк заказа NEW'!$B$19:$B$201)-COUNT('Бланк OLD 0.8 04'!$B$18:$B$200),'Бланк OLD 2.0 04 '!$B$16:$K$200,7,0)&gt;0,VLOOKUP($A569-COUNT('Шаг2.Бланк заказа NEW'!$B$19:$B$201)-COUNT('Бланк OLD 0.8 04'!$B$18:$B$200),'Бланк OLD 2.0 04 '!$B$16:$K$200,8,0)&gt;0),0.4,""))))</f>
        <v/>
      </c>
      <c r="V569" s="146" t="str">
        <f ca="1">IFERROR(VLOOKUP(C569,'Шаг1.Выбор плиты'!C:S,12,0),"")</f>
        <v/>
      </c>
      <c r="W569" s="146" t="str">
        <f ca="1">IFERROR(VLOOKUP(C569,'Шаг1.Выбор плиты'!C:S,8,0),"")</f>
        <v/>
      </c>
      <c r="X569" s="146" t="str">
        <f ca="1">IFERROR(VLOOKUP(C569,'Шаг1.Выбор плиты'!C:S,10,0),"")</f>
        <v/>
      </c>
      <c r="Y569" s="147" t="str">
        <f t="shared" ca="1" si="51"/>
        <v/>
      </c>
      <c r="AD569" s="147" t="str">
        <f t="shared" ca="1" si="48"/>
        <v/>
      </c>
      <c r="AE569" s="147" t="str">
        <f t="shared" ca="1" si="52"/>
        <v/>
      </c>
      <c r="AF569" s="25"/>
      <c r="AH569" s="147" t="str">
        <f ca="1">IF(C569="","",VLOOKUP(C569,'Шаг1.Выбор плиты'!C:Q,7,0))</f>
        <v/>
      </c>
      <c r="AI569" s="147" t="str">
        <f t="shared" ca="1" si="50"/>
        <v/>
      </c>
    </row>
    <row r="570" spans="1:35" x14ac:dyDescent="0.2">
      <c r="A570" s="151" t="str">
        <f ca="1">IF(C570="","",MAX($A$1:OFFSET(C570,-1,0))+1)</f>
        <v/>
      </c>
      <c r="B570" s="151" t="str">
        <f ca="1">IFERROR(IFERROR(IFERROR("Шаг2.Бланк заказа NEW №"&amp;VLOOKUP(A569+1,CHOOSE({1,2},'Шаг2.Бланк заказа NEW'!$B$19:$B$201,'Шаг2.Бланк заказа NEW'!$A$19:$A$201),1,0),
"Бланк OLD 0.8 04 №"&amp;VLOOKUP(A569+1-COUNT('Шаг2.Бланк заказа NEW'!$B$19:$B$201),CHOOSE({1,2},'Бланк OLD 0.8 04'!$B$18:$B$200,'Бланк OLD 0.8 04'!$A$18:$A$200),1,0)),
"Бланк OLD 2.0 04 №"&amp;VLOOKUP(A569+1-COUNT('Шаг2.Бланк заказа NEW'!$B$19:$B$201)-COUNT('Бланк OLD 0.8 04'!$B$18:$B$200),CHOOSE({1,2},'Бланк OLD 2.0 04 '!$B$18:$B$200,'Бланк OLD 2.0 04 '!$A$18:$A$200),1,0)),"")</f>
        <v/>
      </c>
      <c r="C570" s="152" t="str">
        <f ca="1">IFERROR(IFERROR(IFERROR(VLOOKUP(A569+1,CHOOSE({1,2},'Шаг2.Бланк заказа NEW'!$B$19:$B$201,'Шаг2.Бланк заказа NEW'!$A$19:$A$201),2,0),
VLOOKUP(A569+1-COUNT('Шаг2.Бланк заказа NEW'!$B$19:$B$201),CHOOSE({1,2},'Бланк OLD 0.8 04'!$B$18:$B$200,'Бланк OLD 0.8 04'!$A$18:$A$200),2,0)),
VLOOKUP(A569+1-COUNT('Шаг2.Бланк заказа NEW'!$B$19:$B$201)-COUNT('Бланк OLD 0.8 04'!$B$18:$B$200),CHOOSE({1,2},'Бланк OLD 2.0 04 '!$B$18:$B$200,'Бланк OLD 2.0 04 '!$A$18:$A$200),2,0)),"")</f>
        <v/>
      </c>
      <c r="D570" s="150" t="str">
        <f ca="1">IFERROR(VLOOKUP(C570,'Шаг1.Выбор плиты'!C:G,5,0),"")</f>
        <v/>
      </c>
      <c r="E570" s="147" t="str">
        <f ca="1">IFERROR(IFERROR(IF(VLOOKUP($A570,'Шаг2.Бланк заказа NEW'!$B$17:$N$201,2,0)="","",VLOOKUP($A570,'Шаг2.Бланк заказа NEW'!$B$17:$N$201,2,0)),
IF(VLOOKUP($A570-COUNT('Шаг2.Бланк заказа NEW'!$B$19:$B$201),'Бланк OLD 0.8 04'!$B$12:$K$200,2,0)="","",VLOOKUP($A570-COUNT('Шаг2.Бланк заказа NEW'!$B$19:$B$201),'Бланк OLD 0.8 04'!$B$12:$K$200,2,0))),
IF(VLOOKUP($A570-COUNT('Шаг2.Бланк заказа NEW'!$B$19:$B$201)-COUNT('Бланк OLD 0.8 04'!$B$18:$B$200),'Бланк OLD 2.0 04 '!$B$16:$K$200,2,0)="","",VLOOKUP($A570-COUNT('Шаг2.Бланк заказа NEW'!$B$19:$B$201)-COUNT('Бланк OLD 0.8 04'!$B$18:$B$200),'Бланк OLD 2.0 04 '!$B$16:$K$200,2,0)))</f>
        <v/>
      </c>
      <c r="F570" s="147" t="str">
        <f ca="1">IFERROR(IFERROR(IF(VLOOKUP($A570,'Шаг2.Бланк заказа NEW'!$B$17:$N$201,3,0)="","",VLOOKUP($A570,'Шаг2.Бланк заказа NEW'!$B$17:$N$201,3,0)),
IF(VLOOKUP($A570-COUNT('Шаг2.Бланк заказа NEW'!$B$19:$B$201),'Бланк OLD 0.8 04'!$B$12:$K$200,3,0)="","",VLOOKUP($A570-COUNT('Шаг2.Бланк заказа NEW'!$B$19:$B$201),'Бланк OLD 0.8 04'!$B$12:$K$200,3,0))),
IF(VLOOKUP($A570-COUNT('Шаг2.Бланк заказа NEW'!$B$19:$B$201)-COUNT('Бланк OLD 0.8 04'!$B$18:$B$200),'Бланк OLD 2.0 04 '!$B$16:$K$200,3,0)="","",VLOOKUP($A570-COUNT('Шаг2.Бланк заказа NEW'!$B$19:$B$201)-COUNT('Бланк OLD 0.8 04'!$B$18:$B$200),'Бланк OLD 2.0 04 '!$B$16:$K$200,3,0)))</f>
        <v/>
      </c>
      <c r="G570" s="176" t="str">
        <f ca="1">IF(IF(R570="","",IF(R570=1,SUMIFS('Шаг1.Выбор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плиты'!C:Q,12,0)),1))))))=0,
R570,
IF(R570="","",IF(R570=1,SUMIFS('Шаг1.Выбор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плиты'!N:N,R570,'Шаг1.Выбор плиты'!M:M,SMALL(INDIRECT("мм"&amp;VLOOKUP(C570,'Шаг1.Выбор плиты'!C:Q,12,0)),1)))))))</f>
        <v/>
      </c>
      <c r="H570" s="177" t="str">
        <f ca="1">IF(IF(S570="","",IF(S570=1,SUMIFS('Шаг1.Выбор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плиты'!C:Q,12,0)),1))))))=0,
S570,
IF(S570="","",IF(S570=1,SUMIFS('Шаг1.Выбор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плиты'!N:N,S570,'Шаг1.Выбор плиты'!M:M,SMALL(INDIRECT("мм"&amp;VLOOKUP(C570,'Шаг1.Выбор плиты'!C:Q,12,0)),1)))))))</f>
        <v/>
      </c>
      <c r="I570" s="147" t="str">
        <f ca="1">IFERROR(IFERROR(IF(VLOOKUP($A570,'Шаг2.Бланк заказа NEW'!$B$17:$N$201,6,0)="","",VLOOKUP($A570,'Шаг2.Бланк заказа NEW'!$B$17:$N$201,6,0)),
IF(VLOOKUP($A570-COUNT('Шаг2.Бланк заказа NEW'!$B$19:$B$201),'Бланк OLD 0.8 04'!$B$12:$K$200,6,0)="","",VLOOKUP($A570-COUNT('Шаг2.Бланк заказа NEW'!$B$19:$B$201),'Бланк OLD 0.8 04'!$B$12:$K$200,6,0))),
IF(VLOOKUP($A570-COUNT('Шаг2.Бланк заказа NEW'!$B$19:$B$201)-COUNT('Бланк OLD 0.8 04'!$B$18:$B$200),'Бланк OLD 2.0 04 '!$B$16:$K$200,6,0)="","",VLOOKUP($A570-COUNT('Шаг2.Бланк заказа NEW'!$B$19:$B$201)-COUNT('Бланк OLD 0.8 04'!$B$18:$B$200),'Бланк OLD 2.0 04 '!$B$16:$K$200,6,0)))</f>
        <v/>
      </c>
      <c r="J570" s="177" t="str">
        <f ca="1">IF(IF(T570="","",IF(T570=1,SUMIFS('Шаг1.Выбор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плиты'!C:Q,12,0)),1))))))=0,
T570,
IF(T570="","",IF(T570=1,SUMIFS('Шаг1.Выбор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плиты'!N:N,T570,'Шаг1.Выбор плиты'!M:M,SMALL(INDIRECT("мм"&amp;VLOOKUP(C570,'Шаг1.Выбор плиты'!C:Q,12,0)),1)))))))</f>
        <v/>
      </c>
      <c r="K570" s="177" t="str">
        <f ca="1">IF(IF(U570="","",IF(U570=1,SUMIFS('Шаг1.Выбор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плиты'!C:Q,12,0)),1))))))=0,
U570,
IF(U570="","",IF(U570=1,SUMIFS('Шаг1.Выбор плиты'!$G:$G,'Шаг1.Выбор плиты'!J:J,"*"&amp;RIGHT(VLOOKUP(C570,'Шаг1.Выбор плиты'!C:Q,8,0),4),'Шаг1.Выбор плиты'!L:L,IF(MID(C570,1,6)="ЛДСП P","TM"&amp;MID(VLOOKUP(C570,'Шаг1.Выбор плиты'!C:Q,10,0),3,2),MID(VLOOKUP(C570,'Шаг1.Выбор плиты'!C:Q,10,0),1,2)),
'Шаг1.Выбор плиты'!N:N,1),IF(SUMIFS('Шаг1.Выбор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плиты'!C:Q,12,0)),1))=0,
IF(SUMIFS('Шаг1.Выбор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плиты'!C:Q,12,0)),2))=0,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плиты'!C:Q,12,0)),3)),
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плиты'!C:Q,12,0)),2))),
(SUMIFS('Шаг1.Выбор плиты'!$G:$G,'Шаг1.Выбор плиты'!J:J,"*"&amp;RIGHT(VLOOKUP(C570,'Шаг1.Выбор плиты'!C:Q,8,0),4),'Шаг1.Выбор плиты'!L:L,VLOOKUP(C570,'Шаг1.Выбор плиты'!C:Q,10,0),'Шаг1.Выбор плиты'!N:N,U570,'Шаг1.Выбор плиты'!M:M,SMALL(INDIRECT("мм"&amp;VLOOKUP(C570,'Шаг1.Выбор плиты'!C:Q,12,0)),1)))))))</f>
        <v/>
      </c>
      <c r="L570" s="147" t="str">
        <f ca="1">IFERROR(IFERROR(IF(VLOOKUP($A570,'Шаг2.Бланк заказа NEW'!$B$17:$N$201,9,0)="","",VLOOKUP($A570,'Шаг2.Бланк заказа NEW'!$B$17:$N$201,9,0)),
IF(VLOOKUP($A570-COUNT('Шаг2.Бланк заказа NEW'!$B$19:$B$201),'Бланк OLD 0.8 04'!$B$12:$K$200,9,0)="","",VLOOKUP($A570-COUNT('Шаг2.Бланк заказа NEW'!$B$19:$B$201),'Бланк OLD 0.8 04'!$B$12:$K$200,9,0))),
IF(VLOOKUP($A570-COUNT('Шаг2.Бланк заказа NEW'!$B$19:$B$201)-COUNT('Бланк OLD 0.8 04'!$B$18:$B$200),'Бланк OLD 2.0 04 '!$B$16:$K$200,9,0)="","",VLOOKUP($A570-COUNT('Шаг2.Бланк заказа NEW'!$B$19:$B$201)-COUNT('Бланк OLD 0.8 04'!$B$18:$B$200),'Бланк OLD 2.0 04 '!$B$16:$K$200,9,0)))</f>
        <v/>
      </c>
      <c r="M570" s="154" t="str">
        <f t="shared" ca="1" si="49"/>
        <v/>
      </c>
      <c r="N570" s="153" t="str">
        <f ca="1">IFERROR(IF(VLOOKUP($A570,'Шаг2.Бланк заказа NEW'!$B$17:$N$201,11,0)="","",VLOOKUP($A570,'Шаг2.Бланк заказа NEW'!$B$17:$N$201,11,0)),
"Нет")</f>
        <v/>
      </c>
      <c r="O570" s="147" t="str">
        <f ca="1">IFERROR(IF(VLOOKUP($A570,'Шаг2.Бланк заказа NEW'!$B$17:$N$201,11,0)="","",VLOOKUP($A570,'Шаг2.Бланк заказа NEW'!$B$17:$N$201,12,0)),
"Нет")</f>
        <v/>
      </c>
      <c r="P570" s="153" t="str">
        <f ca="1">IFERROR(IF(VLOOKUP($A570,'Шаг2.Бланк заказа NEW'!$B$17:$N$201,13,0)="","",VLOOKUP($A570,'Шаг2.Бланк заказа NEW'!$B$17:$N$201,13,0)),
"Нет")</f>
        <v/>
      </c>
      <c r="Q570" s="147" t="str">
        <f ca="1">IFERROR(IF(VLOOKUP($A570,'Шаг2.Бланк заказа NEW'!$B$17:$O$201,14,0)="","",VLOOKUP($A570,'Шаг2.Бланк заказа NEW'!$B$17:$O$201,14,0)),"")</f>
        <v/>
      </c>
      <c r="R570" s="147" t="str">
        <f ca="1">IFERROR(IFERROR(IF(VLOOKUP($A570,'Шаг2.Бланк заказа NEW'!$B$17:$N$201,4,0)="","",VLOOKUP($A570,'Шаг2.Бланк заказа NEW'!$B$17:$N$201,4,0)),
IF(VLOOKUP($A570-COUNT('Шаг2.Бланк заказа NEW'!$B$19:$B$201),'Бланк OLD 0.8 04'!$B$12:$K$200,4,0)&gt;0,0.8,
IF(VLOOKUP($A570-COUNT('Шаг2.Бланк заказа NEW'!$B$19:$B$201),'Бланк OLD 0.8 04'!$B$12:$K$200,5,0)&gt;0,0.4,""))),
IF(VLOOKUP($A570-COUNT('Шаг2.Бланк заказа NEW'!$B$19:$B$201)-COUNT('Бланк OLD 0.8 04'!$B$18:$B$200),'Бланк OLD 2.0 04 '!$B$16:$K$200,4,0)&gt;0,2,IF(VLOOKUP($A570-COUNT('Шаг2.Бланк заказа NEW'!$B$19:$B$201)-COUNT('Бланк OLD 0.8 04'!$B$18:$B$200),'Бланк OLD 2.0 04 '!$B$16:$K$200,5,0)&gt;0,0.4,"")))</f>
        <v/>
      </c>
      <c r="S570" s="147" t="str">
        <f ca="1">IFERROR(IFERROR(IF(VLOOKUP($A570,'Шаг2.Бланк заказа NEW'!$B$17:$N$201,5,0)="","",VLOOKUP($A570,'Шаг2.Бланк заказа NEW'!$B$17:$N$201,5,0)),
IF(VLOOKUP($A570-COUNT('Шаг2.Бланк заказа NEW'!$B$19:$B$201),'Бланк OLD 0.8 04'!$B$12:$K$200,4,0)&gt;1,0.8,
IF(VLOOKUP($A570-COUNT('Шаг2.Бланк заказа NEW'!$B$19:$B$201),'Бланк OLD 0.8 04'!$B$12:$K$200,5,0)&gt;1,0.4,
IF(AND(VLOOKUP($A570-COUNT('Шаг2.Бланк заказа NEW'!$B$19:$B$201),'Бланк OLD 0.8 04'!$B$12:$K$200,4,0)&gt;0,VLOOKUP($A570-COUNT('Шаг2.Бланк заказа NEW'!$B$19:$B$201),'Бланк OLD 0.8 04'!$B$12:$K$200,5,0)&gt;0),0.4,"")))),
IF(VLOOKUP($A570-COUNT('Шаг2.Бланк заказа NEW'!$B$19:$B$201)-COUNT('Бланк OLD 0.8 04'!$B$18:$B$200),'Бланк OLD 2.0 04 '!$B$16:$K$200,4,0)&gt;1,2,
IF(VLOOKUP($A570-COUNT('Шаг2.Бланк заказа NEW'!$B$19:$B$201)-COUNT('Бланк OLD 0.8 04'!$B$18:$B$200),'Бланк OLD 2.0 04 '!$B$16:$K$200,5,0)&gt;1,0.4,IF(AND(VLOOKUP($A570-COUNT('Шаг2.Бланк заказа NEW'!$B$19:$B$201)-COUNT('Бланк OLD 0.8 04'!$B$18:$B$200),'Бланк OLD 2.0 04 '!$B$16:$K$200,4,0)&gt;0,VLOOKUP($A570-COUNT('Шаг2.Бланк заказа NEW'!$B$19:$B$201)-COUNT('Бланк OLD 0.8 04'!$B$18:$B$200),'Бланк OLD 2.0 04 '!$B$16:$K$200,5,0)&gt;0),0.4,""))))</f>
        <v/>
      </c>
      <c r="T570" s="147" t="str">
        <f ca="1">IFERROR(IFERROR(IF(VLOOKUP($A570,'Шаг2.Бланк заказа NEW'!$B$17:$N$201,7,0)="","",VLOOKUP($A570,'Шаг2.Бланк заказа NEW'!$B$17:$N$201,7,0)),
IF(VLOOKUP($A570-COUNT('Шаг2.Бланк заказа NEW'!$B$19:$B$201),'Бланк OLD 0.8 04'!$B$12:$K$200,7,0)&gt;0,0.8,
IF(VLOOKUP($A570-COUNT('Шаг2.Бланк заказа NEW'!$B$19:$B$201),'Бланк OLD 0.8 04'!$B$12:$K$200,8,0)&gt;0,0.4,""))),
IF(VLOOKUP($A570-COUNT('Шаг2.Бланк заказа NEW'!$B$19:$B$201)-COUNT('Бланк OLD 0.8 04'!$B$18:$B$200),'Бланк OLD 2.0 04 '!$B$16:$K$200,7,0)&gt;0,2,IF(VLOOKUP($A570-COUNT('Шаг2.Бланк заказа NEW'!$B$19:$B$201)-COUNT('Бланк OLD 0.8 04'!$B$18:$B$200),'Бланк OLD 2.0 04 '!$B$16:$K$200,8,0)&gt;0,0.4,"")))</f>
        <v/>
      </c>
      <c r="U570" s="147" t="str">
        <f ca="1">IFERROR(IFERROR(IF(VLOOKUP($A570,'Шаг2.Бланк заказа NEW'!$B$17:$N$201,8,0)="","",VLOOKUP($A570,'Шаг2.Бланк заказа NEW'!$B$17:$N$201,8,0)),
IF(VLOOKUP($A570-COUNT('Шаг2.Бланк заказа NEW'!$B$19:$B$201),'Бланк OLD 0.8 04'!$B$12:$K$200,7,0)&gt;1,0.8,
IF(VLOOKUP($A570-COUNT('Шаг2.Бланк заказа NEW'!$B$19:$B$201),'Бланк OLD 0.8 04'!$B$12:$K$200,8,0)&gt;1,0.4,
IF(AND(VLOOKUP($A570-COUNT('Шаг2.Бланк заказа NEW'!$B$19:$B$201),'Бланк OLD 0.8 04'!$B$12:$K$200,7,0)&gt;0,VLOOKUP($A570-COUNT('Шаг2.Бланк заказа NEW'!$B$19:$B$201),'Бланк OLD 0.8 04'!$B$12:$K$200,8,0)&gt;0),0.4,"")))),
IF(VLOOKUP($A570-COUNT('Шаг2.Бланк заказа NEW'!$B$19:$B$201)-COUNT('Бланк OLD 0.8 04'!$B$18:$B$200),'Бланк OLD 2.0 04 '!$B$16:$K$200,7,0)&gt;1,2,
IF(VLOOKUP($A570-COUNT('Шаг2.Бланк заказа NEW'!$B$19:$B$201)-COUNT('Бланк OLD 0.8 04'!$B$18:$B$200),'Бланк OLD 2.0 04 '!$B$16:$K$200,8,0)&gt;1,0.4,
IF(AND(VLOOKUP($A570-COUNT('Шаг2.Бланк заказа NEW'!$B$19:$B$201)-COUNT('Бланк OLD 0.8 04'!$B$18:$B$200),'Бланк OLD 2.0 04 '!$B$16:$K$200,7,0)&gt;0,VLOOKUP($A570-COUNT('Шаг2.Бланк заказа NEW'!$B$19:$B$201)-COUNT('Бланк OLD 0.8 04'!$B$18:$B$200),'Бланк OLD 2.0 04 '!$B$16:$K$200,8,0)&gt;0),0.4,""))))</f>
        <v/>
      </c>
      <c r="V570" s="146" t="str">
        <f ca="1">IFERROR(VLOOKUP(C570,'Шаг1.Выбор плиты'!C:S,12,0),"")</f>
        <v/>
      </c>
      <c r="W570" s="146" t="str">
        <f ca="1">IFERROR(VLOOKUP(C570,'Шаг1.Выбор плиты'!C:S,8,0),"")</f>
        <v/>
      </c>
      <c r="X570" s="146" t="str">
        <f ca="1">IFERROR(VLOOKUP(C570,'Шаг1.Выбор плиты'!C:S,10,0),"")</f>
        <v/>
      </c>
      <c r="Y570" s="147" t="str">
        <f t="shared" ca="1" si="51"/>
        <v/>
      </c>
      <c r="AD570" s="147" t="str">
        <f t="shared" ca="1" si="48"/>
        <v/>
      </c>
      <c r="AE570" s="147" t="str">
        <f t="shared" ca="1" si="52"/>
        <v/>
      </c>
      <c r="AF570" s="25"/>
      <c r="AH570" s="147" t="str">
        <f ca="1">IF(C570="","",VLOOKUP(C570,'Шаг1.Выбор плиты'!C:Q,7,0))</f>
        <v/>
      </c>
      <c r="AI570" s="147" t="str">
        <f t="shared" ca="1" si="50"/>
        <v/>
      </c>
    </row>
    <row r="571" spans="1:35" x14ac:dyDescent="0.2">
      <c r="A571" s="151" t="str">
        <f ca="1">IF(C571="","",MAX($A$1:OFFSET(C571,-1,0))+1)</f>
        <v/>
      </c>
      <c r="B571" s="151" t="str">
        <f ca="1">IFERROR(IFERROR(IFERROR("Шаг2.Бланк заказа NEW №"&amp;VLOOKUP(A570+1,CHOOSE({1,2},'Шаг2.Бланк заказа NEW'!$B$19:$B$201,'Шаг2.Бланк заказа NEW'!$A$19:$A$201),1,0),
"Бланк OLD 0.8 04 №"&amp;VLOOKUP(A570+1-COUNT('Шаг2.Бланк заказа NEW'!$B$19:$B$201),CHOOSE({1,2},'Бланк OLD 0.8 04'!$B$18:$B$200,'Бланк OLD 0.8 04'!$A$18:$A$200),1,0)),
"Бланк OLD 2.0 04 №"&amp;VLOOKUP(A570+1-COUNT('Шаг2.Бланк заказа NEW'!$B$19:$B$201)-COUNT('Бланк OLD 0.8 04'!$B$18:$B$200),CHOOSE({1,2},'Бланк OLD 2.0 04 '!$B$18:$B$200,'Бланк OLD 2.0 04 '!$A$18:$A$200),1,0)),"")</f>
        <v/>
      </c>
      <c r="C571" s="152" t="str">
        <f ca="1">IFERROR(IFERROR(IFERROR(VLOOKUP(A570+1,CHOOSE({1,2},'Шаг2.Бланк заказа NEW'!$B$19:$B$201,'Шаг2.Бланк заказа NEW'!$A$19:$A$201),2,0),
VLOOKUP(A570+1-COUNT('Шаг2.Бланк заказа NEW'!$B$19:$B$201),CHOOSE({1,2},'Бланк OLD 0.8 04'!$B$18:$B$200,'Бланк OLD 0.8 04'!$A$18:$A$200),2,0)),
VLOOKUP(A570+1-COUNT('Шаг2.Бланк заказа NEW'!$B$19:$B$201)-COUNT('Бланк OLD 0.8 04'!$B$18:$B$200),CHOOSE({1,2},'Бланк OLD 2.0 04 '!$B$18:$B$200,'Бланк OLD 2.0 04 '!$A$18:$A$200),2,0)),"")</f>
        <v/>
      </c>
      <c r="D571" s="150" t="str">
        <f ca="1">IFERROR(VLOOKUP(C571,'Шаг1.Выбор плиты'!C:G,5,0),"")</f>
        <v/>
      </c>
      <c r="E571" s="147" t="str">
        <f ca="1">IFERROR(IFERROR(IF(VLOOKUP($A571,'Шаг2.Бланк заказа NEW'!$B$17:$N$201,2,0)="","",VLOOKUP($A571,'Шаг2.Бланк заказа NEW'!$B$17:$N$201,2,0)),
IF(VLOOKUP($A571-COUNT('Шаг2.Бланк заказа NEW'!$B$19:$B$201),'Бланк OLD 0.8 04'!$B$12:$K$200,2,0)="","",VLOOKUP($A571-COUNT('Шаг2.Бланк заказа NEW'!$B$19:$B$201),'Бланк OLD 0.8 04'!$B$12:$K$200,2,0))),
IF(VLOOKUP($A571-COUNT('Шаг2.Бланк заказа NEW'!$B$19:$B$201)-COUNT('Бланк OLD 0.8 04'!$B$18:$B$200),'Бланк OLD 2.0 04 '!$B$16:$K$200,2,0)="","",VLOOKUP($A571-COUNT('Шаг2.Бланк заказа NEW'!$B$19:$B$201)-COUNT('Бланк OLD 0.8 04'!$B$18:$B$200),'Бланк OLD 2.0 04 '!$B$16:$K$200,2,0)))</f>
        <v/>
      </c>
      <c r="F571" s="147" t="str">
        <f ca="1">IFERROR(IFERROR(IF(VLOOKUP($A571,'Шаг2.Бланк заказа NEW'!$B$17:$N$201,3,0)="","",VLOOKUP($A571,'Шаг2.Бланк заказа NEW'!$B$17:$N$201,3,0)),
IF(VLOOKUP($A571-COUNT('Шаг2.Бланк заказа NEW'!$B$19:$B$201),'Бланк OLD 0.8 04'!$B$12:$K$200,3,0)="","",VLOOKUP($A571-COUNT('Шаг2.Бланк заказа NEW'!$B$19:$B$201),'Бланк OLD 0.8 04'!$B$12:$K$200,3,0))),
IF(VLOOKUP($A571-COUNT('Шаг2.Бланк заказа NEW'!$B$19:$B$201)-COUNT('Бланк OLD 0.8 04'!$B$18:$B$200),'Бланк OLD 2.0 04 '!$B$16:$K$200,3,0)="","",VLOOKUP($A571-COUNT('Шаг2.Бланк заказа NEW'!$B$19:$B$201)-COUNT('Бланк OLD 0.8 04'!$B$18:$B$200),'Бланк OLD 2.0 04 '!$B$16:$K$200,3,0)))</f>
        <v/>
      </c>
      <c r="G571" s="176" t="str">
        <f ca="1">IF(IF(R571="","",IF(R571=1,SUMIFS('Шаг1.Выбор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плиты'!C:Q,12,0)),1))))))=0,
R571,
IF(R571="","",IF(R571=1,SUMIFS('Шаг1.Выбор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плиты'!N:N,R571,'Шаг1.Выбор плиты'!M:M,SMALL(INDIRECT("мм"&amp;VLOOKUP(C571,'Шаг1.Выбор плиты'!C:Q,12,0)),1)))))))</f>
        <v/>
      </c>
      <c r="H571" s="177" t="str">
        <f ca="1">IF(IF(S571="","",IF(S571=1,SUMIFS('Шаг1.Выбор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плиты'!C:Q,12,0)),1))))))=0,
S571,
IF(S571="","",IF(S571=1,SUMIFS('Шаг1.Выбор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плиты'!N:N,S571,'Шаг1.Выбор плиты'!M:M,SMALL(INDIRECT("мм"&amp;VLOOKUP(C571,'Шаг1.Выбор плиты'!C:Q,12,0)),1)))))))</f>
        <v/>
      </c>
      <c r="I571" s="147" t="str">
        <f ca="1">IFERROR(IFERROR(IF(VLOOKUP($A571,'Шаг2.Бланк заказа NEW'!$B$17:$N$201,6,0)="","",VLOOKUP($A571,'Шаг2.Бланк заказа NEW'!$B$17:$N$201,6,0)),
IF(VLOOKUP($A571-COUNT('Шаг2.Бланк заказа NEW'!$B$19:$B$201),'Бланк OLD 0.8 04'!$B$12:$K$200,6,0)="","",VLOOKUP($A571-COUNT('Шаг2.Бланк заказа NEW'!$B$19:$B$201),'Бланк OLD 0.8 04'!$B$12:$K$200,6,0))),
IF(VLOOKUP($A571-COUNT('Шаг2.Бланк заказа NEW'!$B$19:$B$201)-COUNT('Бланк OLD 0.8 04'!$B$18:$B$200),'Бланк OLD 2.0 04 '!$B$16:$K$200,6,0)="","",VLOOKUP($A571-COUNT('Шаг2.Бланк заказа NEW'!$B$19:$B$201)-COUNT('Бланк OLD 0.8 04'!$B$18:$B$200),'Бланк OLD 2.0 04 '!$B$16:$K$200,6,0)))</f>
        <v/>
      </c>
      <c r="J571" s="177" t="str">
        <f ca="1">IF(IF(T571="","",IF(T571=1,SUMIFS('Шаг1.Выбор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плиты'!C:Q,12,0)),1))))))=0,
T571,
IF(T571="","",IF(T571=1,SUMIFS('Шаг1.Выбор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плиты'!N:N,T571,'Шаг1.Выбор плиты'!M:M,SMALL(INDIRECT("мм"&amp;VLOOKUP(C571,'Шаг1.Выбор плиты'!C:Q,12,0)),1)))))))</f>
        <v/>
      </c>
      <c r="K571" s="177" t="str">
        <f ca="1">IF(IF(U571="","",IF(U571=1,SUMIFS('Шаг1.Выбор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плиты'!C:Q,12,0)),1))))))=0,
U571,
IF(U571="","",IF(U571=1,SUMIFS('Шаг1.Выбор плиты'!$G:$G,'Шаг1.Выбор плиты'!J:J,"*"&amp;RIGHT(VLOOKUP(C571,'Шаг1.Выбор плиты'!C:Q,8,0),4),'Шаг1.Выбор плиты'!L:L,IF(MID(C571,1,6)="ЛДСП P","TM"&amp;MID(VLOOKUP(C571,'Шаг1.Выбор плиты'!C:Q,10,0),3,2),MID(VLOOKUP(C571,'Шаг1.Выбор плиты'!C:Q,10,0),1,2)),
'Шаг1.Выбор плиты'!N:N,1),IF(SUMIFS('Шаг1.Выбор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плиты'!C:Q,12,0)),1))=0,
IF(SUMIFS('Шаг1.Выбор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плиты'!C:Q,12,0)),2))=0,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плиты'!C:Q,12,0)),3)),
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плиты'!C:Q,12,0)),2))),
(SUMIFS('Шаг1.Выбор плиты'!$G:$G,'Шаг1.Выбор плиты'!J:J,"*"&amp;RIGHT(VLOOKUP(C571,'Шаг1.Выбор плиты'!C:Q,8,0),4),'Шаг1.Выбор плиты'!L:L,VLOOKUP(C571,'Шаг1.Выбор плиты'!C:Q,10,0),'Шаг1.Выбор плиты'!N:N,U571,'Шаг1.Выбор плиты'!M:M,SMALL(INDIRECT("мм"&amp;VLOOKUP(C571,'Шаг1.Выбор плиты'!C:Q,12,0)),1)))))))</f>
        <v/>
      </c>
      <c r="L571" s="147" t="str">
        <f ca="1">IFERROR(IFERROR(IF(VLOOKUP($A571,'Шаг2.Бланк заказа NEW'!$B$17:$N$201,9,0)="","",VLOOKUP($A571,'Шаг2.Бланк заказа NEW'!$B$17:$N$201,9,0)),
IF(VLOOKUP($A571-COUNT('Шаг2.Бланк заказа NEW'!$B$19:$B$201),'Бланк OLD 0.8 04'!$B$12:$K$200,9,0)="","",VLOOKUP($A571-COUNT('Шаг2.Бланк заказа NEW'!$B$19:$B$201),'Бланк OLD 0.8 04'!$B$12:$K$200,9,0))),
IF(VLOOKUP($A571-COUNT('Шаг2.Бланк заказа NEW'!$B$19:$B$201)-COUNT('Бланк OLD 0.8 04'!$B$18:$B$200),'Бланк OLD 2.0 04 '!$B$16:$K$200,9,0)="","",VLOOKUP($A571-COUNT('Шаг2.Бланк заказа NEW'!$B$19:$B$201)-COUNT('Бланк OLD 0.8 04'!$B$18:$B$200),'Бланк OLD 2.0 04 '!$B$16:$K$200,9,0)))</f>
        <v/>
      </c>
      <c r="M571" s="154" t="str">
        <f t="shared" ca="1" si="49"/>
        <v/>
      </c>
      <c r="N571" s="153" t="str">
        <f ca="1">IFERROR(IF(VLOOKUP($A571,'Шаг2.Бланк заказа NEW'!$B$17:$N$201,11,0)="","",VLOOKUP($A571,'Шаг2.Бланк заказа NEW'!$B$17:$N$201,11,0)),
"Нет")</f>
        <v/>
      </c>
      <c r="O571" s="147" t="str">
        <f ca="1">IFERROR(IF(VLOOKUP($A571,'Шаг2.Бланк заказа NEW'!$B$17:$N$201,11,0)="","",VLOOKUP($A571,'Шаг2.Бланк заказа NEW'!$B$17:$N$201,12,0)),
"Нет")</f>
        <v/>
      </c>
      <c r="P571" s="153" t="str">
        <f ca="1">IFERROR(IF(VLOOKUP($A571,'Шаг2.Бланк заказа NEW'!$B$17:$N$201,13,0)="","",VLOOKUP($A571,'Шаг2.Бланк заказа NEW'!$B$17:$N$201,13,0)),
"Нет")</f>
        <v/>
      </c>
      <c r="Q571" s="147" t="str">
        <f ca="1">IFERROR(IF(VLOOKUP($A571,'Шаг2.Бланк заказа NEW'!$B$17:$O$201,14,0)="","",VLOOKUP($A571,'Шаг2.Бланк заказа NEW'!$B$17:$O$201,14,0)),"")</f>
        <v/>
      </c>
      <c r="R571" s="147" t="str">
        <f ca="1">IFERROR(IFERROR(IF(VLOOKUP($A571,'Шаг2.Бланк заказа NEW'!$B$17:$N$201,4,0)="","",VLOOKUP($A571,'Шаг2.Бланк заказа NEW'!$B$17:$N$201,4,0)),
IF(VLOOKUP($A571-COUNT('Шаг2.Бланк заказа NEW'!$B$19:$B$201),'Бланк OLD 0.8 04'!$B$12:$K$200,4,0)&gt;0,0.8,
IF(VLOOKUP($A571-COUNT('Шаг2.Бланк заказа NEW'!$B$19:$B$201),'Бланк OLD 0.8 04'!$B$12:$K$200,5,0)&gt;0,0.4,""))),
IF(VLOOKUP($A571-COUNT('Шаг2.Бланк заказа NEW'!$B$19:$B$201)-COUNT('Бланк OLD 0.8 04'!$B$18:$B$200),'Бланк OLD 2.0 04 '!$B$16:$K$200,4,0)&gt;0,2,IF(VLOOKUP($A571-COUNT('Шаг2.Бланк заказа NEW'!$B$19:$B$201)-COUNT('Бланк OLD 0.8 04'!$B$18:$B$200),'Бланк OLD 2.0 04 '!$B$16:$K$200,5,0)&gt;0,0.4,"")))</f>
        <v/>
      </c>
      <c r="S571" s="147" t="str">
        <f ca="1">IFERROR(IFERROR(IF(VLOOKUP($A571,'Шаг2.Бланк заказа NEW'!$B$17:$N$201,5,0)="","",VLOOKUP($A571,'Шаг2.Бланк заказа NEW'!$B$17:$N$201,5,0)),
IF(VLOOKUP($A571-COUNT('Шаг2.Бланк заказа NEW'!$B$19:$B$201),'Бланк OLD 0.8 04'!$B$12:$K$200,4,0)&gt;1,0.8,
IF(VLOOKUP($A571-COUNT('Шаг2.Бланк заказа NEW'!$B$19:$B$201),'Бланк OLD 0.8 04'!$B$12:$K$200,5,0)&gt;1,0.4,
IF(AND(VLOOKUP($A571-COUNT('Шаг2.Бланк заказа NEW'!$B$19:$B$201),'Бланк OLD 0.8 04'!$B$12:$K$200,4,0)&gt;0,VLOOKUP($A571-COUNT('Шаг2.Бланк заказа NEW'!$B$19:$B$201),'Бланк OLD 0.8 04'!$B$12:$K$200,5,0)&gt;0),0.4,"")))),
IF(VLOOKUP($A571-COUNT('Шаг2.Бланк заказа NEW'!$B$19:$B$201)-COUNT('Бланк OLD 0.8 04'!$B$18:$B$200),'Бланк OLD 2.0 04 '!$B$16:$K$200,4,0)&gt;1,2,
IF(VLOOKUP($A571-COUNT('Шаг2.Бланк заказа NEW'!$B$19:$B$201)-COUNT('Бланк OLD 0.8 04'!$B$18:$B$200),'Бланк OLD 2.0 04 '!$B$16:$K$200,5,0)&gt;1,0.4,IF(AND(VLOOKUP($A571-COUNT('Шаг2.Бланк заказа NEW'!$B$19:$B$201)-COUNT('Бланк OLD 0.8 04'!$B$18:$B$200),'Бланк OLD 2.0 04 '!$B$16:$K$200,4,0)&gt;0,VLOOKUP($A571-COUNT('Шаг2.Бланк заказа NEW'!$B$19:$B$201)-COUNT('Бланк OLD 0.8 04'!$B$18:$B$200),'Бланк OLD 2.0 04 '!$B$16:$K$200,5,0)&gt;0),0.4,""))))</f>
        <v/>
      </c>
      <c r="T571" s="147" t="str">
        <f ca="1">IFERROR(IFERROR(IF(VLOOKUP($A571,'Шаг2.Бланк заказа NEW'!$B$17:$N$201,7,0)="","",VLOOKUP($A571,'Шаг2.Бланк заказа NEW'!$B$17:$N$201,7,0)),
IF(VLOOKUP($A571-COUNT('Шаг2.Бланк заказа NEW'!$B$19:$B$201),'Бланк OLD 0.8 04'!$B$12:$K$200,7,0)&gt;0,0.8,
IF(VLOOKUP($A571-COUNT('Шаг2.Бланк заказа NEW'!$B$19:$B$201),'Бланк OLD 0.8 04'!$B$12:$K$200,8,0)&gt;0,0.4,""))),
IF(VLOOKUP($A571-COUNT('Шаг2.Бланк заказа NEW'!$B$19:$B$201)-COUNT('Бланк OLD 0.8 04'!$B$18:$B$200),'Бланк OLD 2.0 04 '!$B$16:$K$200,7,0)&gt;0,2,IF(VLOOKUP($A571-COUNT('Шаг2.Бланк заказа NEW'!$B$19:$B$201)-COUNT('Бланк OLD 0.8 04'!$B$18:$B$200),'Бланк OLD 2.0 04 '!$B$16:$K$200,8,0)&gt;0,0.4,"")))</f>
        <v/>
      </c>
      <c r="U571" s="147" t="str">
        <f ca="1">IFERROR(IFERROR(IF(VLOOKUP($A571,'Шаг2.Бланк заказа NEW'!$B$17:$N$201,8,0)="","",VLOOKUP($A571,'Шаг2.Бланк заказа NEW'!$B$17:$N$201,8,0)),
IF(VLOOKUP($A571-COUNT('Шаг2.Бланк заказа NEW'!$B$19:$B$201),'Бланк OLD 0.8 04'!$B$12:$K$200,7,0)&gt;1,0.8,
IF(VLOOKUP($A571-COUNT('Шаг2.Бланк заказа NEW'!$B$19:$B$201),'Бланк OLD 0.8 04'!$B$12:$K$200,8,0)&gt;1,0.4,
IF(AND(VLOOKUP($A571-COUNT('Шаг2.Бланк заказа NEW'!$B$19:$B$201),'Бланк OLD 0.8 04'!$B$12:$K$200,7,0)&gt;0,VLOOKUP($A571-COUNT('Шаг2.Бланк заказа NEW'!$B$19:$B$201),'Бланк OLD 0.8 04'!$B$12:$K$200,8,0)&gt;0),0.4,"")))),
IF(VLOOKUP($A571-COUNT('Шаг2.Бланк заказа NEW'!$B$19:$B$201)-COUNT('Бланк OLD 0.8 04'!$B$18:$B$200),'Бланк OLD 2.0 04 '!$B$16:$K$200,7,0)&gt;1,2,
IF(VLOOKUP($A571-COUNT('Шаг2.Бланк заказа NEW'!$B$19:$B$201)-COUNT('Бланк OLD 0.8 04'!$B$18:$B$200),'Бланк OLD 2.0 04 '!$B$16:$K$200,8,0)&gt;1,0.4,
IF(AND(VLOOKUP($A571-COUNT('Шаг2.Бланк заказа NEW'!$B$19:$B$201)-COUNT('Бланк OLD 0.8 04'!$B$18:$B$200),'Бланк OLD 2.0 04 '!$B$16:$K$200,7,0)&gt;0,VLOOKUP($A571-COUNT('Шаг2.Бланк заказа NEW'!$B$19:$B$201)-COUNT('Бланк OLD 0.8 04'!$B$18:$B$200),'Бланк OLD 2.0 04 '!$B$16:$K$200,8,0)&gt;0),0.4,""))))</f>
        <v/>
      </c>
      <c r="V571" s="146" t="str">
        <f ca="1">IFERROR(VLOOKUP(C571,'Шаг1.Выбор плиты'!C:S,12,0),"")</f>
        <v/>
      </c>
      <c r="W571" s="146" t="str">
        <f ca="1">IFERROR(VLOOKUP(C571,'Шаг1.Выбор плиты'!C:S,8,0),"")</f>
        <v/>
      </c>
      <c r="X571" s="146" t="str">
        <f ca="1">IFERROR(VLOOKUP(C571,'Шаг1.Выбор плиты'!C:S,10,0),"")</f>
        <v/>
      </c>
      <c r="Y571" s="147" t="str">
        <f t="shared" ca="1" si="51"/>
        <v/>
      </c>
      <c r="AD571" s="147" t="str">
        <f t="shared" ca="1" si="48"/>
        <v/>
      </c>
      <c r="AE571" s="147" t="str">
        <f t="shared" ca="1" si="52"/>
        <v/>
      </c>
      <c r="AF571" s="25"/>
      <c r="AH571" s="147" t="str">
        <f ca="1">IF(C571="","",VLOOKUP(C571,'Шаг1.Выбор плиты'!C:Q,7,0))</f>
        <v/>
      </c>
      <c r="AI571" s="147" t="str">
        <f t="shared" ca="1" si="50"/>
        <v/>
      </c>
    </row>
    <row r="572" spans="1:35" x14ac:dyDescent="0.2">
      <c r="A572" s="151" t="str">
        <f ca="1">IF(C572="","",MAX($A$1:OFFSET(C572,-1,0))+1)</f>
        <v/>
      </c>
      <c r="B572" s="151" t="str">
        <f ca="1">IFERROR(IFERROR(IFERROR("Шаг2.Бланк заказа NEW №"&amp;VLOOKUP(A571+1,CHOOSE({1,2},'Шаг2.Бланк заказа NEW'!$B$19:$B$201,'Шаг2.Бланк заказа NEW'!$A$19:$A$201),1,0),
"Бланк OLD 0.8 04 №"&amp;VLOOKUP(A571+1-COUNT('Шаг2.Бланк заказа NEW'!$B$19:$B$201),CHOOSE({1,2},'Бланк OLD 0.8 04'!$B$18:$B$200,'Бланк OLD 0.8 04'!$A$18:$A$200),1,0)),
"Бланк OLD 2.0 04 №"&amp;VLOOKUP(A571+1-COUNT('Шаг2.Бланк заказа NEW'!$B$19:$B$201)-COUNT('Бланк OLD 0.8 04'!$B$18:$B$200),CHOOSE({1,2},'Бланк OLD 2.0 04 '!$B$18:$B$200,'Бланк OLD 2.0 04 '!$A$18:$A$200),1,0)),"")</f>
        <v/>
      </c>
      <c r="C572" s="152" t="str">
        <f ca="1">IFERROR(IFERROR(IFERROR(VLOOKUP(A571+1,CHOOSE({1,2},'Шаг2.Бланк заказа NEW'!$B$19:$B$201,'Шаг2.Бланк заказа NEW'!$A$19:$A$201),2,0),
VLOOKUP(A571+1-COUNT('Шаг2.Бланк заказа NEW'!$B$19:$B$201),CHOOSE({1,2},'Бланк OLD 0.8 04'!$B$18:$B$200,'Бланк OLD 0.8 04'!$A$18:$A$200),2,0)),
VLOOKUP(A571+1-COUNT('Шаг2.Бланк заказа NEW'!$B$19:$B$201)-COUNT('Бланк OLD 0.8 04'!$B$18:$B$200),CHOOSE({1,2},'Бланк OLD 2.0 04 '!$B$18:$B$200,'Бланк OLD 2.0 04 '!$A$18:$A$200),2,0)),"")</f>
        <v/>
      </c>
      <c r="D572" s="150" t="str">
        <f ca="1">IFERROR(VLOOKUP(C572,'Шаг1.Выбор плиты'!C:G,5,0),"")</f>
        <v/>
      </c>
      <c r="E572" s="147" t="str">
        <f ca="1">IFERROR(IFERROR(IF(VLOOKUP($A572,'Шаг2.Бланк заказа NEW'!$B$17:$N$201,2,0)="","",VLOOKUP($A572,'Шаг2.Бланк заказа NEW'!$B$17:$N$201,2,0)),
IF(VLOOKUP($A572-COUNT('Шаг2.Бланк заказа NEW'!$B$19:$B$201),'Бланк OLD 0.8 04'!$B$12:$K$200,2,0)="","",VLOOKUP($A572-COUNT('Шаг2.Бланк заказа NEW'!$B$19:$B$201),'Бланк OLD 0.8 04'!$B$12:$K$200,2,0))),
IF(VLOOKUP($A572-COUNT('Шаг2.Бланк заказа NEW'!$B$19:$B$201)-COUNT('Бланк OLD 0.8 04'!$B$18:$B$200),'Бланк OLD 2.0 04 '!$B$16:$K$200,2,0)="","",VLOOKUP($A572-COUNT('Шаг2.Бланк заказа NEW'!$B$19:$B$201)-COUNT('Бланк OLD 0.8 04'!$B$18:$B$200),'Бланк OLD 2.0 04 '!$B$16:$K$200,2,0)))</f>
        <v/>
      </c>
      <c r="F572" s="147" t="str">
        <f ca="1">IFERROR(IFERROR(IF(VLOOKUP($A572,'Шаг2.Бланк заказа NEW'!$B$17:$N$201,3,0)="","",VLOOKUP($A572,'Шаг2.Бланк заказа NEW'!$B$17:$N$201,3,0)),
IF(VLOOKUP($A572-COUNT('Шаг2.Бланк заказа NEW'!$B$19:$B$201),'Бланк OLD 0.8 04'!$B$12:$K$200,3,0)="","",VLOOKUP($A572-COUNT('Шаг2.Бланк заказа NEW'!$B$19:$B$201),'Бланк OLD 0.8 04'!$B$12:$K$200,3,0))),
IF(VLOOKUP($A572-COUNT('Шаг2.Бланк заказа NEW'!$B$19:$B$201)-COUNT('Бланк OLD 0.8 04'!$B$18:$B$200),'Бланк OLD 2.0 04 '!$B$16:$K$200,3,0)="","",VLOOKUP($A572-COUNT('Шаг2.Бланк заказа NEW'!$B$19:$B$201)-COUNT('Бланк OLD 0.8 04'!$B$18:$B$200),'Бланк OLD 2.0 04 '!$B$16:$K$200,3,0)))</f>
        <v/>
      </c>
      <c r="G572" s="176" t="str">
        <f ca="1">IF(IF(R572="","",IF(R572=1,SUMIFS('Шаг1.Выбор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плиты'!C:Q,12,0)),1))))))=0,
R572,
IF(R572="","",IF(R572=1,SUMIFS('Шаг1.Выбор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плиты'!N:N,R572,'Шаг1.Выбор плиты'!M:M,SMALL(INDIRECT("мм"&amp;VLOOKUP(C572,'Шаг1.Выбор плиты'!C:Q,12,0)),1)))))))</f>
        <v/>
      </c>
      <c r="H572" s="177" t="str">
        <f ca="1">IF(IF(S572="","",IF(S572=1,SUMIFS('Шаг1.Выбор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плиты'!C:Q,12,0)),1))))))=0,
S572,
IF(S572="","",IF(S572=1,SUMIFS('Шаг1.Выбор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плиты'!N:N,S572,'Шаг1.Выбор плиты'!M:M,SMALL(INDIRECT("мм"&amp;VLOOKUP(C572,'Шаг1.Выбор плиты'!C:Q,12,0)),1)))))))</f>
        <v/>
      </c>
      <c r="I572" s="147" t="str">
        <f ca="1">IFERROR(IFERROR(IF(VLOOKUP($A572,'Шаг2.Бланк заказа NEW'!$B$17:$N$201,6,0)="","",VLOOKUP($A572,'Шаг2.Бланк заказа NEW'!$B$17:$N$201,6,0)),
IF(VLOOKUP($A572-COUNT('Шаг2.Бланк заказа NEW'!$B$19:$B$201),'Бланк OLD 0.8 04'!$B$12:$K$200,6,0)="","",VLOOKUP($A572-COUNT('Шаг2.Бланк заказа NEW'!$B$19:$B$201),'Бланк OLD 0.8 04'!$B$12:$K$200,6,0))),
IF(VLOOKUP($A572-COUNT('Шаг2.Бланк заказа NEW'!$B$19:$B$201)-COUNT('Бланк OLD 0.8 04'!$B$18:$B$200),'Бланк OLD 2.0 04 '!$B$16:$K$200,6,0)="","",VLOOKUP($A572-COUNT('Шаг2.Бланк заказа NEW'!$B$19:$B$201)-COUNT('Бланк OLD 0.8 04'!$B$18:$B$200),'Бланк OLD 2.0 04 '!$B$16:$K$200,6,0)))</f>
        <v/>
      </c>
      <c r="J572" s="177" t="str">
        <f ca="1">IF(IF(T572="","",IF(T572=1,SUMIFS('Шаг1.Выбор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плиты'!C:Q,12,0)),1))))))=0,
T572,
IF(T572="","",IF(T572=1,SUMIFS('Шаг1.Выбор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плиты'!N:N,T572,'Шаг1.Выбор плиты'!M:M,SMALL(INDIRECT("мм"&amp;VLOOKUP(C572,'Шаг1.Выбор плиты'!C:Q,12,0)),1)))))))</f>
        <v/>
      </c>
      <c r="K572" s="177" t="str">
        <f ca="1">IF(IF(U572="","",IF(U572=1,SUMIFS('Шаг1.Выбор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плиты'!C:Q,12,0)),1))))))=0,
U572,
IF(U572="","",IF(U572=1,SUMIFS('Шаг1.Выбор плиты'!$G:$G,'Шаг1.Выбор плиты'!J:J,"*"&amp;RIGHT(VLOOKUP(C572,'Шаг1.Выбор плиты'!C:Q,8,0),4),'Шаг1.Выбор плиты'!L:L,IF(MID(C572,1,6)="ЛДСП P","TM"&amp;MID(VLOOKUP(C572,'Шаг1.Выбор плиты'!C:Q,10,0),3,2),MID(VLOOKUP(C572,'Шаг1.Выбор плиты'!C:Q,10,0),1,2)),
'Шаг1.Выбор плиты'!N:N,1),IF(SUMIFS('Шаг1.Выбор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плиты'!C:Q,12,0)),1))=0,
IF(SUMIFS('Шаг1.Выбор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плиты'!C:Q,12,0)),2))=0,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плиты'!C:Q,12,0)),3)),
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плиты'!C:Q,12,0)),2))),
(SUMIFS('Шаг1.Выбор плиты'!$G:$G,'Шаг1.Выбор плиты'!J:J,"*"&amp;RIGHT(VLOOKUP(C572,'Шаг1.Выбор плиты'!C:Q,8,0),4),'Шаг1.Выбор плиты'!L:L,VLOOKUP(C572,'Шаг1.Выбор плиты'!C:Q,10,0),'Шаг1.Выбор плиты'!N:N,U572,'Шаг1.Выбор плиты'!M:M,SMALL(INDIRECT("мм"&amp;VLOOKUP(C572,'Шаг1.Выбор плиты'!C:Q,12,0)),1)))))))</f>
        <v/>
      </c>
      <c r="L572" s="147" t="str">
        <f ca="1">IFERROR(IFERROR(IF(VLOOKUP($A572,'Шаг2.Бланк заказа NEW'!$B$17:$N$201,9,0)="","",VLOOKUP($A572,'Шаг2.Бланк заказа NEW'!$B$17:$N$201,9,0)),
IF(VLOOKUP($A572-COUNT('Шаг2.Бланк заказа NEW'!$B$19:$B$201),'Бланк OLD 0.8 04'!$B$12:$K$200,9,0)="","",VLOOKUP($A572-COUNT('Шаг2.Бланк заказа NEW'!$B$19:$B$201),'Бланк OLD 0.8 04'!$B$12:$K$200,9,0))),
IF(VLOOKUP($A572-COUNT('Шаг2.Бланк заказа NEW'!$B$19:$B$201)-COUNT('Бланк OLD 0.8 04'!$B$18:$B$200),'Бланк OLD 2.0 04 '!$B$16:$K$200,9,0)="","",VLOOKUP($A572-COUNT('Шаг2.Бланк заказа NEW'!$B$19:$B$201)-COUNT('Бланк OLD 0.8 04'!$B$18:$B$200),'Бланк OLD 2.0 04 '!$B$16:$K$200,9,0)))</f>
        <v/>
      </c>
      <c r="M572" s="154" t="str">
        <f t="shared" ca="1" si="49"/>
        <v/>
      </c>
      <c r="N572" s="153" t="str">
        <f ca="1">IFERROR(IF(VLOOKUP($A572,'Шаг2.Бланк заказа NEW'!$B$17:$N$201,11,0)="","",VLOOKUP($A572,'Шаг2.Бланк заказа NEW'!$B$17:$N$201,11,0)),
"Нет")</f>
        <v/>
      </c>
      <c r="O572" s="147" t="str">
        <f ca="1">IFERROR(IF(VLOOKUP($A572,'Шаг2.Бланк заказа NEW'!$B$17:$N$201,11,0)="","",VLOOKUP($A572,'Шаг2.Бланк заказа NEW'!$B$17:$N$201,12,0)),
"Нет")</f>
        <v/>
      </c>
      <c r="P572" s="153" t="str">
        <f ca="1">IFERROR(IF(VLOOKUP($A572,'Шаг2.Бланк заказа NEW'!$B$17:$N$201,13,0)="","",VLOOKUP($A572,'Шаг2.Бланк заказа NEW'!$B$17:$N$201,13,0)),
"Нет")</f>
        <v/>
      </c>
      <c r="Q572" s="147" t="str">
        <f ca="1">IFERROR(IF(VLOOKUP($A572,'Шаг2.Бланк заказа NEW'!$B$17:$O$201,14,0)="","",VLOOKUP($A572,'Шаг2.Бланк заказа NEW'!$B$17:$O$201,14,0)),"")</f>
        <v/>
      </c>
      <c r="R572" s="147" t="str">
        <f ca="1">IFERROR(IFERROR(IF(VLOOKUP($A572,'Шаг2.Бланк заказа NEW'!$B$17:$N$201,4,0)="","",VLOOKUP($A572,'Шаг2.Бланк заказа NEW'!$B$17:$N$201,4,0)),
IF(VLOOKUP($A572-COUNT('Шаг2.Бланк заказа NEW'!$B$19:$B$201),'Бланк OLD 0.8 04'!$B$12:$K$200,4,0)&gt;0,0.8,
IF(VLOOKUP($A572-COUNT('Шаг2.Бланк заказа NEW'!$B$19:$B$201),'Бланк OLD 0.8 04'!$B$12:$K$200,5,0)&gt;0,0.4,""))),
IF(VLOOKUP($A572-COUNT('Шаг2.Бланк заказа NEW'!$B$19:$B$201)-COUNT('Бланк OLD 0.8 04'!$B$18:$B$200),'Бланк OLD 2.0 04 '!$B$16:$K$200,4,0)&gt;0,2,IF(VLOOKUP($A572-COUNT('Шаг2.Бланк заказа NEW'!$B$19:$B$201)-COUNT('Бланк OLD 0.8 04'!$B$18:$B$200),'Бланк OLD 2.0 04 '!$B$16:$K$200,5,0)&gt;0,0.4,"")))</f>
        <v/>
      </c>
      <c r="S572" s="147" t="str">
        <f ca="1">IFERROR(IFERROR(IF(VLOOKUP($A572,'Шаг2.Бланк заказа NEW'!$B$17:$N$201,5,0)="","",VLOOKUP($A572,'Шаг2.Бланк заказа NEW'!$B$17:$N$201,5,0)),
IF(VLOOKUP($A572-COUNT('Шаг2.Бланк заказа NEW'!$B$19:$B$201),'Бланк OLD 0.8 04'!$B$12:$K$200,4,0)&gt;1,0.8,
IF(VLOOKUP($A572-COUNT('Шаг2.Бланк заказа NEW'!$B$19:$B$201),'Бланк OLD 0.8 04'!$B$12:$K$200,5,0)&gt;1,0.4,
IF(AND(VLOOKUP($A572-COUNT('Шаг2.Бланк заказа NEW'!$B$19:$B$201),'Бланк OLD 0.8 04'!$B$12:$K$200,4,0)&gt;0,VLOOKUP($A572-COUNT('Шаг2.Бланк заказа NEW'!$B$19:$B$201),'Бланк OLD 0.8 04'!$B$12:$K$200,5,0)&gt;0),0.4,"")))),
IF(VLOOKUP($A572-COUNT('Шаг2.Бланк заказа NEW'!$B$19:$B$201)-COUNT('Бланк OLD 0.8 04'!$B$18:$B$200),'Бланк OLD 2.0 04 '!$B$16:$K$200,4,0)&gt;1,2,
IF(VLOOKUP($A572-COUNT('Шаг2.Бланк заказа NEW'!$B$19:$B$201)-COUNT('Бланк OLD 0.8 04'!$B$18:$B$200),'Бланк OLD 2.0 04 '!$B$16:$K$200,5,0)&gt;1,0.4,IF(AND(VLOOKUP($A572-COUNT('Шаг2.Бланк заказа NEW'!$B$19:$B$201)-COUNT('Бланк OLD 0.8 04'!$B$18:$B$200),'Бланк OLD 2.0 04 '!$B$16:$K$200,4,0)&gt;0,VLOOKUP($A572-COUNT('Шаг2.Бланк заказа NEW'!$B$19:$B$201)-COUNT('Бланк OLD 0.8 04'!$B$18:$B$200),'Бланк OLD 2.0 04 '!$B$16:$K$200,5,0)&gt;0),0.4,""))))</f>
        <v/>
      </c>
      <c r="T572" s="147" t="str">
        <f ca="1">IFERROR(IFERROR(IF(VLOOKUP($A572,'Шаг2.Бланк заказа NEW'!$B$17:$N$201,7,0)="","",VLOOKUP($A572,'Шаг2.Бланк заказа NEW'!$B$17:$N$201,7,0)),
IF(VLOOKUP($A572-COUNT('Шаг2.Бланк заказа NEW'!$B$19:$B$201),'Бланк OLD 0.8 04'!$B$12:$K$200,7,0)&gt;0,0.8,
IF(VLOOKUP($A572-COUNT('Шаг2.Бланк заказа NEW'!$B$19:$B$201),'Бланк OLD 0.8 04'!$B$12:$K$200,8,0)&gt;0,0.4,""))),
IF(VLOOKUP($A572-COUNT('Шаг2.Бланк заказа NEW'!$B$19:$B$201)-COUNT('Бланк OLD 0.8 04'!$B$18:$B$200),'Бланк OLD 2.0 04 '!$B$16:$K$200,7,0)&gt;0,2,IF(VLOOKUP($A572-COUNT('Шаг2.Бланк заказа NEW'!$B$19:$B$201)-COUNT('Бланк OLD 0.8 04'!$B$18:$B$200),'Бланк OLD 2.0 04 '!$B$16:$K$200,8,0)&gt;0,0.4,"")))</f>
        <v/>
      </c>
      <c r="U572" s="147" t="str">
        <f ca="1">IFERROR(IFERROR(IF(VLOOKUP($A572,'Шаг2.Бланк заказа NEW'!$B$17:$N$201,8,0)="","",VLOOKUP($A572,'Шаг2.Бланк заказа NEW'!$B$17:$N$201,8,0)),
IF(VLOOKUP($A572-COUNT('Шаг2.Бланк заказа NEW'!$B$19:$B$201),'Бланк OLD 0.8 04'!$B$12:$K$200,7,0)&gt;1,0.8,
IF(VLOOKUP($A572-COUNT('Шаг2.Бланк заказа NEW'!$B$19:$B$201),'Бланк OLD 0.8 04'!$B$12:$K$200,8,0)&gt;1,0.4,
IF(AND(VLOOKUP($A572-COUNT('Шаг2.Бланк заказа NEW'!$B$19:$B$201),'Бланк OLD 0.8 04'!$B$12:$K$200,7,0)&gt;0,VLOOKUP($A572-COUNT('Шаг2.Бланк заказа NEW'!$B$19:$B$201),'Бланк OLD 0.8 04'!$B$12:$K$200,8,0)&gt;0),0.4,"")))),
IF(VLOOKUP($A572-COUNT('Шаг2.Бланк заказа NEW'!$B$19:$B$201)-COUNT('Бланк OLD 0.8 04'!$B$18:$B$200),'Бланк OLD 2.0 04 '!$B$16:$K$200,7,0)&gt;1,2,
IF(VLOOKUP($A572-COUNT('Шаг2.Бланк заказа NEW'!$B$19:$B$201)-COUNT('Бланк OLD 0.8 04'!$B$18:$B$200),'Бланк OLD 2.0 04 '!$B$16:$K$200,8,0)&gt;1,0.4,
IF(AND(VLOOKUP($A572-COUNT('Шаг2.Бланк заказа NEW'!$B$19:$B$201)-COUNT('Бланк OLD 0.8 04'!$B$18:$B$200),'Бланк OLD 2.0 04 '!$B$16:$K$200,7,0)&gt;0,VLOOKUP($A572-COUNT('Шаг2.Бланк заказа NEW'!$B$19:$B$201)-COUNT('Бланк OLD 0.8 04'!$B$18:$B$200),'Бланк OLD 2.0 04 '!$B$16:$K$200,8,0)&gt;0),0.4,""))))</f>
        <v/>
      </c>
      <c r="V572" s="146" t="str">
        <f ca="1">IFERROR(VLOOKUP(C572,'Шаг1.Выбор плиты'!C:S,12,0),"")</f>
        <v/>
      </c>
      <c r="W572" s="146" t="str">
        <f ca="1">IFERROR(VLOOKUP(C572,'Шаг1.Выбор плиты'!C:S,8,0),"")</f>
        <v/>
      </c>
      <c r="X572" s="146" t="str">
        <f ca="1">IFERROR(VLOOKUP(C572,'Шаг1.Выбор плиты'!C:S,10,0),"")</f>
        <v/>
      </c>
      <c r="Y572" s="147" t="str">
        <f t="shared" ca="1" si="51"/>
        <v/>
      </c>
      <c r="AD572" s="147" t="str">
        <f t="shared" ca="1" si="48"/>
        <v/>
      </c>
      <c r="AE572" s="147" t="str">
        <f t="shared" ca="1" si="52"/>
        <v/>
      </c>
      <c r="AF572" s="25"/>
      <c r="AH572" s="147" t="str">
        <f ca="1">IF(C572="","",VLOOKUP(C572,'Шаг1.Выбор плиты'!C:Q,7,0))</f>
        <v/>
      </c>
      <c r="AI572" s="147" t="str">
        <f t="shared" ca="1" si="50"/>
        <v/>
      </c>
    </row>
    <row r="573" spans="1:35" x14ac:dyDescent="0.2">
      <c r="A573" s="151" t="str">
        <f ca="1">IF(C573="","",MAX($A$1:OFFSET(C573,-1,0))+1)</f>
        <v/>
      </c>
      <c r="B573" s="151" t="str">
        <f ca="1">IFERROR(IFERROR(IFERROR("Шаг2.Бланк заказа NEW №"&amp;VLOOKUP(A572+1,CHOOSE({1,2},'Шаг2.Бланк заказа NEW'!$B$19:$B$201,'Шаг2.Бланк заказа NEW'!$A$19:$A$201),1,0),
"Бланк OLD 0.8 04 №"&amp;VLOOKUP(A572+1-COUNT('Шаг2.Бланк заказа NEW'!$B$19:$B$201),CHOOSE({1,2},'Бланк OLD 0.8 04'!$B$18:$B$200,'Бланк OLD 0.8 04'!$A$18:$A$200),1,0)),
"Бланк OLD 2.0 04 №"&amp;VLOOKUP(A572+1-COUNT('Шаг2.Бланк заказа NEW'!$B$19:$B$201)-COUNT('Бланк OLD 0.8 04'!$B$18:$B$200),CHOOSE({1,2},'Бланк OLD 2.0 04 '!$B$18:$B$200,'Бланк OLD 2.0 04 '!$A$18:$A$200),1,0)),"")</f>
        <v/>
      </c>
      <c r="C573" s="152" t="str">
        <f ca="1">IFERROR(IFERROR(IFERROR(VLOOKUP(A572+1,CHOOSE({1,2},'Шаг2.Бланк заказа NEW'!$B$19:$B$201,'Шаг2.Бланк заказа NEW'!$A$19:$A$201),2,0),
VLOOKUP(A572+1-COUNT('Шаг2.Бланк заказа NEW'!$B$19:$B$201),CHOOSE({1,2},'Бланк OLD 0.8 04'!$B$18:$B$200,'Бланк OLD 0.8 04'!$A$18:$A$200),2,0)),
VLOOKUP(A572+1-COUNT('Шаг2.Бланк заказа NEW'!$B$19:$B$201)-COUNT('Бланк OLD 0.8 04'!$B$18:$B$200),CHOOSE({1,2},'Бланк OLD 2.0 04 '!$B$18:$B$200,'Бланк OLD 2.0 04 '!$A$18:$A$200),2,0)),"")</f>
        <v/>
      </c>
      <c r="D573" s="150" t="str">
        <f ca="1">IFERROR(VLOOKUP(C573,'Шаг1.Выбор плиты'!C:G,5,0),"")</f>
        <v/>
      </c>
      <c r="E573" s="147" t="str">
        <f ca="1">IFERROR(IFERROR(IF(VLOOKUP($A573,'Шаг2.Бланк заказа NEW'!$B$17:$N$201,2,0)="","",VLOOKUP($A573,'Шаг2.Бланк заказа NEW'!$B$17:$N$201,2,0)),
IF(VLOOKUP($A573-COUNT('Шаг2.Бланк заказа NEW'!$B$19:$B$201),'Бланк OLD 0.8 04'!$B$12:$K$200,2,0)="","",VLOOKUP($A573-COUNT('Шаг2.Бланк заказа NEW'!$B$19:$B$201),'Бланк OLD 0.8 04'!$B$12:$K$200,2,0))),
IF(VLOOKUP($A573-COUNT('Шаг2.Бланк заказа NEW'!$B$19:$B$201)-COUNT('Бланк OLD 0.8 04'!$B$18:$B$200),'Бланк OLD 2.0 04 '!$B$16:$K$200,2,0)="","",VLOOKUP($A573-COUNT('Шаг2.Бланк заказа NEW'!$B$19:$B$201)-COUNT('Бланк OLD 0.8 04'!$B$18:$B$200),'Бланк OLD 2.0 04 '!$B$16:$K$200,2,0)))</f>
        <v/>
      </c>
      <c r="F573" s="147" t="str">
        <f ca="1">IFERROR(IFERROR(IF(VLOOKUP($A573,'Шаг2.Бланк заказа NEW'!$B$17:$N$201,3,0)="","",VLOOKUP($A573,'Шаг2.Бланк заказа NEW'!$B$17:$N$201,3,0)),
IF(VLOOKUP($A573-COUNT('Шаг2.Бланк заказа NEW'!$B$19:$B$201),'Бланк OLD 0.8 04'!$B$12:$K$200,3,0)="","",VLOOKUP($A573-COUNT('Шаг2.Бланк заказа NEW'!$B$19:$B$201),'Бланк OLD 0.8 04'!$B$12:$K$200,3,0))),
IF(VLOOKUP($A573-COUNT('Шаг2.Бланк заказа NEW'!$B$19:$B$201)-COUNT('Бланк OLD 0.8 04'!$B$18:$B$200),'Бланк OLD 2.0 04 '!$B$16:$K$200,3,0)="","",VLOOKUP($A573-COUNT('Шаг2.Бланк заказа NEW'!$B$19:$B$201)-COUNT('Бланк OLD 0.8 04'!$B$18:$B$200),'Бланк OLD 2.0 04 '!$B$16:$K$200,3,0)))</f>
        <v/>
      </c>
      <c r="G573" s="176" t="str">
        <f ca="1">IF(IF(R573="","",IF(R573=1,SUMIFS('Шаг1.Выбор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плиты'!C:Q,12,0)),1))))))=0,
R573,
IF(R573="","",IF(R573=1,SUMIFS('Шаг1.Выбор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плиты'!N:N,R573,'Шаг1.Выбор плиты'!M:M,SMALL(INDIRECT("мм"&amp;VLOOKUP(C573,'Шаг1.Выбор плиты'!C:Q,12,0)),1)))))))</f>
        <v/>
      </c>
      <c r="H573" s="177" t="str">
        <f ca="1">IF(IF(S573="","",IF(S573=1,SUMIFS('Шаг1.Выбор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плиты'!C:Q,12,0)),1))))))=0,
S573,
IF(S573="","",IF(S573=1,SUMIFS('Шаг1.Выбор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плиты'!N:N,S573,'Шаг1.Выбор плиты'!M:M,SMALL(INDIRECT("мм"&amp;VLOOKUP(C573,'Шаг1.Выбор плиты'!C:Q,12,0)),1)))))))</f>
        <v/>
      </c>
      <c r="I573" s="147" t="str">
        <f ca="1">IFERROR(IFERROR(IF(VLOOKUP($A573,'Шаг2.Бланк заказа NEW'!$B$17:$N$201,6,0)="","",VLOOKUP($A573,'Шаг2.Бланк заказа NEW'!$B$17:$N$201,6,0)),
IF(VLOOKUP($A573-COUNT('Шаг2.Бланк заказа NEW'!$B$19:$B$201),'Бланк OLD 0.8 04'!$B$12:$K$200,6,0)="","",VLOOKUP($A573-COUNT('Шаг2.Бланк заказа NEW'!$B$19:$B$201),'Бланк OLD 0.8 04'!$B$12:$K$200,6,0))),
IF(VLOOKUP($A573-COUNT('Шаг2.Бланк заказа NEW'!$B$19:$B$201)-COUNT('Бланк OLD 0.8 04'!$B$18:$B$200),'Бланк OLD 2.0 04 '!$B$16:$K$200,6,0)="","",VLOOKUP($A573-COUNT('Шаг2.Бланк заказа NEW'!$B$19:$B$201)-COUNT('Бланк OLD 0.8 04'!$B$18:$B$200),'Бланк OLD 2.0 04 '!$B$16:$K$200,6,0)))</f>
        <v/>
      </c>
      <c r="J573" s="177" t="str">
        <f ca="1">IF(IF(T573="","",IF(T573=1,SUMIFS('Шаг1.Выбор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плиты'!C:Q,12,0)),1))))))=0,
T573,
IF(T573="","",IF(T573=1,SUMIFS('Шаг1.Выбор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плиты'!N:N,T573,'Шаг1.Выбор плиты'!M:M,SMALL(INDIRECT("мм"&amp;VLOOKUP(C573,'Шаг1.Выбор плиты'!C:Q,12,0)),1)))))))</f>
        <v/>
      </c>
      <c r="K573" s="177" t="str">
        <f ca="1">IF(IF(U573="","",IF(U573=1,SUMIFS('Шаг1.Выбор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плиты'!C:Q,12,0)),1))))))=0,
U573,
IF(U573="","",IF(U573=1,SUMIFS('Шаг1.Выбор плиты'!$G:$G,'Шаг1.Выбор плиты'!J:J,"*"&amp;RIGHT(VLOOKUP(C573,'Шаг1.Выбор плиты'!C:Q,8,0),4),'Шаг1.Выбор плиты'!L:L,IF(MID(C573,1,6)="ЛДСП P","TM"&amp;MID(VLOOKUP(C573,'Шаг1.Выбор плиты'!C:Q,10,0),3,2),MID(VLOOKUP(C573,'Шаг1.Выбор плиты'!C:Q,10,0),1,2)),
'Шаг1.Выбор плиты'!N:N,1),IF(SUMIFS('Шаг1.Выбор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плиты'!C:Q,12,0)),1))=0,
IF(SUMIFS('Шаг1.Выбор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плиты'!C:Q,12,0)),2))=0,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плиты'!C:Q,12,0)),3)),
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плиты'!C:Q,12,0)),2))),
(SUMIFS('Шаг1.Выбор плиты'!$G:$G,'Шаг1.Выбор плиты'!J:J,"*"&amp;RIGHT(VLOOKUP(C573,'Шаг1.Выбор плиты'!C:Q,8,0),4),'Шаг1.Выбор плиты'!L:L,VLOOKUP(C573,'Шаг1.Выбор плиты'!C:Q,10,0),'Шаг1.Выбор плиты'!N:N,U573,'Шаг1.Выбор плиты'!M:M,SMALL(INDIRECT("мм"&amp;VLOOKUP(C573,'Шаг1.Выбор плиты'!C:Q,12,0)),1)))))))</f>
        <v/>
      </c>
      <c r="L573" s="147" t="str">
        <f ca="1">IFERROR(IFERROR(IF(VLOOKUP($A573,'Шаг2.Бланк заказа NEW'!$B$17:$N$201,9,0)="","",VLOOKUP($A573,'Шаг2.Бланк заказа NEW'!$B$17:$N$201,9,0)),
IF(VLOOKUP($A573-COUNT('Шаг2.Бланк заказа NEW'!$B$19:$B$201),'Бланк OLD 0.8 04'!$B$12:$K$200,9,0)="","",VLOOKUP($A573-COUNT('Шаг2.Бланк заказа NEW'!$B$19:$B$201),'Бланк OLD 0.8 04'!$B$12:$K$200,9,0))),
IF(VLOOKUP($A573-COUNT('Шаг2.Бланк заказа NEW'!$B$19:$B$201)-COUNT('Бланк OLD 0.8 04'!$B$18:$B$200),'Бланк OLD 2.0 04 '!$B$16:$K$200,9,0)="","",VLOOKUP($A573-COUNT('Шаг2.Бланк заказа NEW'!$B$19:$B$201)-COUNT('Бланк OLD 0.8 04'!$B$18:$B$200),'Бланк OLD 2.0 04 '!$B$16:$K$200,9,0)))</f>
        <v/>
      </c>
      <c r="M573" s="154" t="str">
        <f t="shared" ca="1" si="49"/>
        <v/>
      </c>
      <c r="N573" s="153" t="str">
        <f ca="1">IFERROR(IF(VLOOKUP($A573,'Шаг2.Бланк заказа NEW'!$B$17:$N$201,11,0)="","",VLOOKUP($A573,'Шаг2.Бланк заказа NEW'!$B$17:$N$201,11,0)),
"Нет")</f>
        <v/>
      </c>
      <c r="O573" s="147" t="str">
        <f ca="1">IFERROR(IF(VLOOKUP($A573,'Шаг2.Бланк заказа NEW'!$B$17:$N$201,11,0)="","",VLOOKUP($A573,'Шаг2.Бланк заказа NEW'!$B$17:$N$201,12,0)),
"Нет")</f>
        <v/>
      </c>
      <c r="P573" s="153" t="str">
        <f ca="1">IFERROR(IF(VLOOKUP($A573,'Шаг2.Бланк заказа NEW'!$B$17:$N$201,13,0)="","",VLOOKUP($A573,'Шаг2.Бланк заказа NEW'!$B$17:$N$201,13,0)),
"Нет")</f>
        <v/>
      </c>
      <c r="Q573" s="147" t="str">
        <f ca="1">IFERROR(IF(VLOOKUP($A573,'Шаг2.Бланк заказа NEW'!$B$17:$O$201,14,0)="","",VLOOKUP($A573,'Шаг2.Бланк заказа NEW'!$B$17:$O$201,14,0)),"")</f>
        <v/>
      </c>
      <c r="R573" s="147" t="str">
        <f ca="1">IFERROR(IFERROR(IF(VLOOKUP($A573,'Шаг2.Бланк заказа NEW'!$B$17:$N$201,4,0)="","",VLOOKUP($A573,'Шаг2.Бланк заказа NEW'!$B$17:$N$201,4,0)),
IF(VLOOKUP($A573-COUNT('Шаг2.Бланк заказа NEW'!$B$19:$B$201),'Бланк OLD 0.8 04'!$B$12:$K$200,4,0)&gt;0,0.8,
IF(VLOOKUP($A573-COUNT('Шаг2.Бланк заказа NEW'!$B$19:$B$201),'Бланк OLD 0.8 04'!$B$12:$K$200,5,0)&gt;0,0.4,""))),
IF(VLOOKUP($A573-COUNT('Шаг2.Бланк заказа NEW'!$B$19:$B$201)-COUNT('Бланк OLD 0.8 04'!$B$18:$B$200),'Бланк OLD 2.0 04 '!$B$16:$K$200,4,0)&gt;0,2,IF(VLOOKUP($A573-COUNT('Шаг2.Бланк заказа NEW'!$B$19:$B$201)-COUNT('Бланк OLD 0.8 04'!$B$18:$B$200),'Бланк OLD 2.0 04 '!$B$16:$K$200,5,0)&gt;0,0.4,"")))</f>
        <v/>
      </c>
      <c r="S573" s="147" t="str">
        <f ca="1">IFERROR(IFERROR(IF(VLOOKUP($A573,'Шаг2.Бланк заказа NEW'!$B$17:$N$201,5,0)="","",VLOOKUP($A573,'Шаг2.Бланк заказа NEW'!$B$17:$N$201,5,0)),
IF(VLOOKUP($A573-COUNT('Шаг2.Бланк заказа NEW'!$B$19:$B$201),'Бланк OLD 0.8 04'!$B$12:$K$200,4,0)&gt;1,0.8,
IF(VLOOKUP($A573-COUNT('Шаг2.Бланк заказа NEW'!$B$19:$B$201),'Бланк OLD 0.8 04'!$B$12:$K$200,5,0)&gt;1,0.4,
IF(AND(VLOOKUP($A573-COUNT('Шаг2.Бланк заказа NEW'!$B$19:$B$201),'Бланк OLD 0.8 04'!$B$12:$K$200,4,0)&gt;0,VLOOKUP($A573-COUNT('Шаг2.Бланк заказа NEW'!$B$19:$B$201),'Бланк OLD 0.8 04'!$B$12:$K$200,5,0)&gt;0),0.4,"")))),
IF(VLOOKUP($A573-COUNT('Шаг2.Бланк заказа NEW'!$B$19:$B$201)-COUNT('Бланк OLD 0.8 04'!$B$18:$B$200),'Бланк OLD 2.0 04 '!$B$16:$K$200,4,0)&gt;1,2,
IF(VLOOKUP($A573-COUNT('Шаг2.Бланк заказа NEW'!$B$19:$B$201)-COUNT('Бланк OLD 0.8 04'!$B$18:$B$200),'Бланк OLD 2.0 04 '!$B$16:$K$200,5,0)&gt;1,0.4,IF(AND(VLOOKUP($A573-COUNT('Шаг2.Бланк заказа NEW'!$B$19:$B$201)-COUNT('Бланк OLD 0.8 04'!$B$18:$B$200),'Бланк OLD 2.0 04 '!$B$16:$K$200,4,0)&gt;0,VLOOKUP($A573-COUNT('Шаг2.Бланк заказа NEW'!$B$19:$B$201)-COUNT('Бланк OLD 0.8 04'!$B$18:$B$200),'Бланк OLD 2.0 04 '!$B$16:$K$200,5,0)&gt;0),0.4,""))))</f>
        <v/>
      </c>
      <c r="T573" s="147" t="str">
        <f ca="1">IFERROR(IFERROR(IF(VLOOKUP($A573,'Шаг2.Бланк заказа NEW'!$B$17:$N$201,7,0)="","",VLOOKUP($A573,'Шаг2.Бланк заказа NEW'!$B$17:$N$201,7,0)),
IF(VLOOKUP($A573-COUNT('Шаг2.Бланк заказа NEW'!$B$19:$B$201),'Бланк OLD 0.8 04'!$B$12:$K$200,7,0)&gt;0,0.8,
IF(VLOOKUP($A573-COUNT('Шаг2.Бланк заказа NEW'!$B$19:$B$201),'Бланк OLD 0.8 04'!$B$12:$K$200,8,0)&gt;0,0.4,""))),
IF(VLOOKUP($A573-COUNT('Шаг2.Бланк заказа NEW'!$B$19:$B$201)-COUNT('Бланк OLD 0.8 04'!$B$18:$B$200),'Бланк OLD 2.0 04 '!$B$16:$K$200,7,0)&gt;0,2,IF(VLOOKUP($A573-COUNT('Шаг2.Бланк заказа NEW'!$B$19:$B$201)-COUNT('Бланк OLD 0.8 04'!$B$18:$B$200),'Бланк OLD 2.0 04 '!$B$16:$K$200,8,0)&gt;0,0.4,"")))</f>
        <v/>
      </c>
      <c r="U573" s="147" t="str">
        <f ca="1">IFERROR(IFERROR(IF(VLOOKUP($A573,'Шаг2.Бланк заказа NEW'!$B$17:$N$201,8,0)="","",VLOOKUP($A573,'Шаг2.Бланк заказа NEW'!$B$17:$N$201,8,0)),
IF(VLOOKUP($A573-COUNT('Шаг2.Бланк заказа NEW'!$B$19:$B$201),'Бланк OLD 0.8 04'!$B$12:$K$200,7,0)&gt;1,0.8,
IF(VLOOKUP($A573-COUNT('Шаг2.Бланк заказа NEW'!$B$19:$B$201),'Бланк OLD 0.8 04'!$B$12:$K$200,8,0)&gt;1,0.4,
IF(AND(VLOOKUP($A573-COUNT('Шаг2.Бланк заказа NEW'!$B$19:$B$201),'Бланк OLD 0.8 04'!$B$12:$K$200,7,0)&gt;0,VLOOKUP($A573-COUNT('Шаг2.Бланк заказа NEW'!$B$19:$B$201),'Бланк OLD 0.8 04'!$B$12:$K$200,8,0)&gt;0),0.4,"")))),
IF(VLOOKUP($A573-COUNT('Шаг2.Бланк заказа NEW'!$B$19:$B$201)-COUNT('Бланк OLD 0.8 04'!$B$18:$B$200),'Бланк OLD 2.0 04 '!$B$16:$K$200,7,0)&gt;1,2,
IF(VLOOKUP($A573-COUNT('Шаг2.Бланк заказа NEW'!$B$19:$B$201)-COUNT('Бланк OLD 0.8 04'!$B$18:$B$200),'Бланк OLD 2.0 04 '!$B$16:$K$200,8,0)&gt;1,0.4,
IF(AND(VLOOKUP($A573-COUNT('Шаг2.Бланк заказа NEW'!$B$19:$B$201)-COUNT('Бланк OLD 0.8 04'!$B$18:$B$200),'Бланк OLD 2.0 04 '!$B$16:$K$200,7,0)&gt;0,VLOOKUP($A573-COUNT('Шаг2.Бланк заказа NEW'!$B$19:$B$201)-COUNT('Бланк OLD 0.8 04'!$B$18:$B$200),'Бланк OLD 2.0 04 '!$B$16:$K$200,8,0)&gt;0),0.4,""))))</f>
        <v/>
      </c>
      <c r="V573" s="146" t="str">
        <f ca="1">IFERROR(VLOOKUP(C573,'Шаг1.Выбор плиты'!C:S,12,0),"")</f>
        <v/>
      </c>
      <c r="W573" s="146" t="str">
        <f ca="1">IFERROR(VLOOKUP(C573,'Шаг1.Выбор плиты'!C:S,8,0),"")</f>
        <v/>
      </c>
      <c r="X573" s="146" t="str">
        <f ca="1">IFERROR(VLOOKUP(C573,'Шаг1.Выбор плиты'!C:S,10,0),"")</f>
        <v/>
      </c>
      <c r="Y573" s="147" t="str">
        <f t="shared" ca="1" si="51"/>
        <v/>
      </c>
      <c r="AD573" s="147" t="str">
        <f t="shared" ref="AD573:AD603" ca="1" si="53">IF(C573="","",0)</f>
        <v/>
      </c>
      <c r="AE573" s="147" t="str">
        <f t="shared" ca="1" si="52"/>
        <v/>
      </c>
      <c r="AF573" s="25"/>
      <c r="AH573" s="147" t="str">
        <f ca="1">IF(C573="","",VLOOKUP(C573,'Шаг1.Выбор плиты'!C:Q,7,0))</f>
        <v/>
      </c>
      <c r="AI573" s="147" t="str">
        <f t="shared" ca="1" si="50"/>
        <v/>
      </c>
    </row>
    <row r="574" spans="1:35" x14ac:dyDescent="0.2">
      <c r="A574" s="151" t="str">
        <f ca="1">IF(C574="","",MAX($A$1:OFFSET(C574,-1,0))+1)</f>
        <v/>
      </c>
      <c r="B574" s="151" t="str">
        <f ca="1">IFERROR(IFERROR(IFERROR("Шаг2.Бланк заказа NEW №"&amp;VLOOKUP(A573+1,CHOOSE({1,2},'Шаг2.Бланк заказа NEW'!$B$19:$B$201,'Шаг2.Бланк заказа NEW'!$A$19:$A$201),1,0),
"Бланк OLD 0.8 04 №"&amp;VLOOKUP(A573+1-COUNT('Шаг2.Бланк заказа NEW'!$B$19:$B$201),CHOOSE({1,2},'Бланк OLD 0.8 04'!$B$18:$B$200,'Бланк OLD 0.8 04'!$A$18:$A$200),1,0)),
"Бланк OLD 2.0 04 №"&amp;VLOOKUP(A573+1-COUNT('Шаг2.Бланк заказа NEW'!$B$19:$B$201)-COUNT('Бланк OLD 0.8 04'!$B$18:$B$200),CHOOSE({1,2},'Бланк OLD 2.0 04 '!$B$18:$B$200,'Бланк OLD 2.0 04 '!$A$18:$A$200),1,0)),"")</f>
        <v/>
      </c>
      <c r="C574" s="152" t="str">
        <f ca="1">IFERROR(IFERROR(IFERROR(VLOOKUP(A573+1,CHOOSE({1,2},'Шаг2.Бланк заказа NEW'!$B$19:$B$201,'Шаг2.Бланк заказа NEW'!$A$19:$A$201),2,0),
VLOOKUP(A573+1-COUNT('Шаг2.Бланк заказа NEW'!$B$19:$B$201),CHOOSE({1,2},'Бланк OLD 0.8 04'!$B$18:$B$200,'Бланк OLD 0.8 04'!$A$18:$A$200),2,0)),
VLOOKUP(A573+1-COUNT('Шаг2.Бланк заказа NEW'!$B$19:$B$201)-COUNT('Бланк OLD 0.8 04'!$B$18:$B$200),CHOOSE({1,2},'Бланк OLD 2.0 04 '!$B$18:$B$200,'Бланк OLD 2.0 04 '!$A$18:$A$200),2,0)),"")</f>
        <v/>
      </c>
      <c r="D574" s="150" t="str">
        <f ca="1">IFERROR(VLOOKUP(C574,'Шаг1.Выбор плиты'!C:G,5,0),"")</f>
        <v/>
      </c>
      <c r="E574" s="147" t="str">
        <f ca="1">IFERROR(IFERROR(IF(VLOOKUP($A574,'Шаг2.Бланк заказа NEW'!$B$17:$N$201,2,0)="","",VLOOKUP($A574,'Шаг2.Бланк заказа NEW'!$B$17:$N$201,2,0)),
IF(VLOOKUP($A574-COUNT('Шаг2.Бланк заказа NEW'!$B$19:$B$201),'Бланк OLD 0.8 04'!$B$12:$K$200,2,0)="","",VLOOKUP($A574-COUNT('Шаг2.Бланк заказа NEW'!$B$19:$B$201),'Бланк OLD 0.8 04'!$B$12:$K$200,2,0))),
IF(VLOOKUP($A574-COUNT('Шаг2.Бланк заказа NEW'!$B$19:$B$201)-COUNT('Бланк OLD 0.8 04'!$B$18:$B$200),'Бланк OLD 2.0 04 '!$B$16:$K$200,2,0)="","",VLOOKUP($A574-COUNT('Шаг2.Бланк заказа NEW'!$B$19:$B$201)-COUNT('Бланк OLD 0.8 04'!$B$18:$B$200),'Бланк OLD 2.0 04 '!$B$16:$K$200,2,0)))</f>
        <v/>
      </c>
      <c r="F574" s="147" t="str">
        <f ca="1">IFERROR(IFERROR(IF(VLOOKUP($A574,'Шаг2.Бланк заказа NEW'!$B$17:$N$201,3,0)="","",VLOOKUP($A574,'Шаг2.Бланк заказа NEW'!$B$17:$N$201,3,0)),
IF(VLOOKUP($A574-COUNT('Шаг2.Бланк заказа NEW'!$B$19:$B$201),'Бланк OLD 0.8 04'!$B$12:$K$200,3,0)="","",VLOOKUP($A574-COUNT('Шаг2.Бланк заказа NEW'!$B$19:$B$201),'Бланк OLD 0.8 04'!$B$12:$K$200,3,0))),
IF(VLOOKUP($A574-COUNT('Шаг2.Бланк заказа NEW'!$B$19:$B$201)-COUNT('Бланк OLD 0.8 04'!$B$18:$B$200),'Бланк OLD 2.0 04 '!$B$16:$K$200,3,0)="","",VLOOKUP($A574-COUNT('Шаг2.Бланк заказа NEW'!$B$19:$B$201)-COUNT('Бланк OLD 0.8 04'!$B$18:$B$200),'Бланк OLD 2.0 04 '!$B$16:$K$200,3,0)))</f>
        <v/>
      </c>
      <c r="G574" s="176" t="str">
        <f ca="1">IF(IF(R574="","",IF(R574=1,SUMIFS('Шаг1.Выбор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плиты'!C:Q,12,0)),1))))))=0,
R574,
IF(R574="","",IF(R574=1,SUMIFS('Шаг1.Выбор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плиты'!N:N,R574,'Шаг1.Выбор плиты'!M:M,SMALL(INDIRECT("мм"&amp;VLOOKUP(C574,'Шаг1.Выбор плиты'!C:Q,12,0)),1)))))))</f>
        <v/>
      </c>
      <c r="H574" s="177" t="str">
        <f ca="1">IF(IF(S574="","",IF(S574=1,SUMIFS('Шаг1.Выбор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плиты'!C:Q,12,0)),1))))))=0,
S574,
IF(S574="","",IF(S574=1,SUMIFS('Шаг1.Выбор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плиты'!N:N,S574,'Шаг1.Выбор плиты'!M:M,SMALL(INDIRECT("мм"&amp;VLOOKUP(C574,'Шаг1.Выбор плиты'!C:Q,12,0)),1)))))))</f>
        <v/>
      </c>
      <c r="I574" s="147" t="str">
        <f ca="1">IFERROR(IFERROR(IF(VLOOKUP($A574,'Шаг2.Бланк заказа NEW'!$B$17:$N$201,6,0)="","",VLOOKUP($A574,'Шаг2.Бланк заказа NEW'!$B$17:$N$201,6,0)),
IF(VLOOKUP($A574-COUNT('Шаг2.Бланк заказа NEW'!$B$19:$B$201),'Бланк OLD 0.8 04'!$B$12:$K$200,6,0)="","",VLOOKUP($A574-COUNT('Шаг2.Бланк заказа NEW'!$B$19:$B$201),'Бланк OLD 0.8 04'!$B$12:$K$200,6,0))),
IF(VLOOKUP($A574-COUNT('Шаг2.Бланк заказа NEW'!$B$19:$B$201)-COUNT('Бланк OLD 0.8 04'!$B$18:$B$200),'Бланк OLD 2.0 04 '!$B$16:$K$200,6,0)="","",VLOOKUP($A574-COUNT('Шаг2.Бланк заказа NEW'!$B$19:$B$201)-COUNT('Бланк OLD 0.8 04'!$B$18:$B$200),'Бланк OLD 2.0 04 '!$B$16:$K$200,6,0)))</f>
        <v/>
      </c>
      <c r="J574" s="177" t="str">
        <f ca="1">IF(IF(T574="","",IF(T574=1,SUMIFS('Шаг1.Выбор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плиты'!C:Q,12,0)),1))))))=0,
T574,
IF(T574="","",IF(T574=1,SUMIFS('Шаг1.Выбор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плиты'!N:N,T574,'Шаг1.Выбор плиты'!M:M,SMALL(INDIRECT("мм"&amp;VLOOKUP(C574,'Шаг1.Выбор плиты'!C:Q,12,0)),1)))))))</f>
        <v/>
      </c>
      <c r="K574" s="177" t="str">
        <f ca="1">IF(IF(U574="","",IF(U574=1,SUMIFS('Шаг1.Выбор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плиты'!C:Q,12,0)),1))))))=0,
U574,
IF(U574="","",IF(U574=1,SUMIFS('Шаг1.Выбор плиты'!$G:$G,'Шаг1.Выбор плиты'!J:J,"*"&amp;RIGHT(VLOOKUP(C574,'Шаг1.Выбор плиты'!C:Q,8,0),4),'Шаг1.Выбор плиты'!L:L,IF(MID(C574,1,6)="ЛДСП P","TM"&amp;MID(VLOOKUP(C574,'Шаг1.Выбор плиты'!C:Q,10,0),3,2),MID(VLOOKUP(C574,'Шаг1.Выбор плиты'!C:Q,10,0),1,2)),
'Шаг1.Выбор плиты'!N:N,1),IF(SUMIFS('Шаг1.Выбор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плиты'!C:Q,12,0)),1))=0,
IF(SUMIFS('Шаг1.Выбор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плиты'!C:Q,12,0)),2))=0,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плиты'!C:Q,12,0)),3)),
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плиты'!C:Q,12,0)),2))),
(SUMIFS('Шаг1.Выбор плиты'!$G:$G,'Шаг1.Выбор плиты'!J:J,"*"&amp;RIGHT(VLOOKUP(C574,'Шаг1.Выбор плиты'!C:Q,8,0),4),'Шаг1.Выбор плиты'!L:L,VLOOKUP(C574,'Шаг1.Выбор плиты'!C:Q,10,0),'Шаг1.Выбор плиты'!N:N,U574,'Шаг1.Выбор плиты'!M:M,SMALL(INDIRECT("мм"&amp;VLOOKUP(C574,'Шаг1.Выбор плиты'!C:Q,12,0)),1)))))))</f>
        <v/>
      </c>
      <c r="L574" s="147" t="str">
        <f ca="1">IFERROR(IFERROR(IF(VLOOKUP($A574,'Шаг2.Бланк заказа NEW'!$B$17:$N$201,9,0)="","",VLOOKUP($A574,'Шаг2.Бланк заказа NEW'!$B$17:$N$201,9,0)),
IF(VLOOKUP($A574-COUNT('Шаг2.Бланк заказа NEW'!$B$19:$B$201),'Бланк OLD 0.8 04'!$B$12:$K$200,9,0)="","",VLOOKUP($A574-COUNT('Шаг2.Бланк заказа NEW'!$B$19:$B$201),'Бланк OLD 0.8 04'!$B$12:$K$200,9,0))),
IF(VLOOKUP($A574-COUNT('Шаг2.Бланк заказа NEW'!$B$19:$B$201)-COUNT('Бланк OLD 0.8 04'!$B$18:$B$200),'Бланк OLD 2.0 04 '!$B$16:$K$200,9,0)="","",VLOOKUP($A574-COUNT('Шаг2.Бланк заказа NEW'!$B$19:$B$201)-COUNT('Бланк OLD 0.8 04'!$B$18:$B$200),'Бланк OLD 2.0 04 '!$B$16:$K$200,9,0)))</f>
        <v/>
      </c>
      <c r="M574" s="154" t="str">
        <f t="shared" ca="1" si="49"/>
        <v/>
      </c>
      <c r="N574" s="153" t="str">
        <f ca="1">IFERROR(IF(VLOOKUP($A574,'Шаг2.Бланк заказа NEW'!$B$17:$N$201,11,0)="","",VLOOKUP($A574,'Шаг2.Бланк заказа NEW'!$B$17:$N$201,11,0)),
"Нет")</f>
        <v/>
      </c>
      <c r="O574" s="147" t="str">
        <f ca="1">IFERROR(IF(VLOOKUP($A574,'Шаг2.Бланк заказа NEW'!$B$17:$N$201,11,0)="","",VLOOKUP($A574,'Шаг2.Бланк заказа NEW'!$B$17:$N$201,12,0)),
"Нет")</f>
        <v/>
      </c>
      <c r="P574" s="153" t="str">
        <f ca="1">IFERROR(IF(VLOOKUP($A574,'Шаг2.Бланк заказа NEW'!$B$17:$N$201,13,0)="","",VLOOKUP($A574,'Шаг2.Бланк заказа NEW'!$B$17:$N$201,13,0)),
"Нет")</f>
        <v/>
      </c>
      <c r="Q574" s="147" t="str">
        <f ca="1">IFERROR(IF(VLOOKUP($A574,'Шаг2.Бланк заказа NEW'!$B$17:$O$201,14,0)="","",VLOOKUP($A574,'Шаг2.Бланк заказа NEW'!$B$17:$O$201,14,0)),"")</f>
        <v/>
      </c>
      <c r="R574" s="147" t="str">
        <f ca="1">IFERROR(IFERROR(IF(VLOOKUP($A574,'Шаг2.Бланк заказа NEW'!$B$17:$N$201,4,0)="","",VLOOKUP($A574,'Шаг2.Бланк заказа NEW'!$B$17:$N$201,4,0)),
IF(VLOOKUP($A574-COUNT('Шаг2.Бланк заказа NEW'!$B$19:$B$201),'Бланк OLD 0.8 04'!$B$12:$K$200,4,0)&gt;0,0.8,
IF(VLOOKUP($A574-COUNT('Шаг2.Бланк заказа NEW'!$B$19:$B$201),'Бланк OLD 0.8 04'!$B$12:$K$200,5,0)&gt;0,0.4,""))),
IF(VLOOKUP($A574-COUNT('Шаг2.Бланк заказа NEW'!$B$19:$B$201)-COUNT('Бланк OLD 0.8 04'!$B$18:$B$200),'Бланк OLD 2.0 04 '!$B$16:$K$200,4,0)&gt;0,2,IF(VLOOKUP($A574-COUNT('Шаг2.Бланк заказа NEW'!$B$19:$B$201)-COUNT('Бланк OLD 0.8 04'!$B$18:$B$200),'Бланк OLD 2.0 04 '!$B$16:$K$200,5,0)&gt;0,0.4,"")))</f>
        <v/>
      </c>
      <c r="S574" s="147" t="str">
        <f ca="1">IFERROR(IFERROR(IF(VLOOKUP($A574,'Шаг2.Бланк заказа NEW'!$B$17:$N$201,5,0)="","",VLOOKUP($A574,'Шаг2.Бланк заказа NEW'!$B$17:$N$201,5,0)),
IF(VLOOKUP($A574-COUNT('Шаг2.Бланк заказа NEW'!$B$19:$B$201),'Бланк OLD 0.8 04'!$B$12:$K$200,4,0)&gt;1,0.8,
IF(VLOOKUP($A574-COUNT('Шаг2.Бланк заказа NEW'!$B$19:$B$201),'Бланк OLD 0.8 04'!$B$12:$K$200,5,0)&gt;1,0.4,
IF(AND(VLOOKUP($A574-COUNT('Шаг2.Бланк заказа NEW'!$B$19:$B$201),'Бланк OLD 0.8 04'!$B$12:$K$200,4,0)&gt;0,VLOOKUP($A574-COUNT('Шаг2.Бланк заказа NEW'!$B$19:$B$201),'Бланк OLD 0.8 04'!$B$12:$K$200,5,0)&gt;0),0.4,"")))),
IF(VLOOKUP($A574-COUNT('Шаг2.Бланк заказа NEW'!$B$19:$B$201)-COUNT('Бланк OLD 0.8 04'!$B$18:$B$200),'Бланк OLD 2.0 04 '!$B$16:$K$200,4,0)&gt;1,2,
IF(VLOOKUP($A574-COUNT('Шаг2.Бланк заказа NEW'!$B$19:$B$201)-COUNT('Бланк OLD 0.8 04'!$B$18:$B$200),'Бланк OLD 2.0 04 '!$B$16:$K$200,5,0)&gt;1,0.4,IF(AND(VLOOKUP($A574-COUNT('Шаг2.Бланк заказа NEW'!$B$19:$B$201)-COUNT('Бланк OLD 0.8 04'!$B$18:$B$200),'Бланк OLD 2.0 04 '!$B$16:$K$200,4,0)&gt;0,VLOOKUP($A574-COUNT('Шаг2.Бланк заказа NEW'!$B$19:$B$201)-COUNT('Бланк OLD 0.8 04'!$B$18:$B$200),'Бланк OLD 2.0 04 '!$B$16:$K$200,5,0)&gt;0),0.4,""))))</f>
        <v/>
      </c>
      <c r="T574" s="147" t="str">
        <f ca="1">IFERROR(IFERROR(IF(VLOOKUP($A574,'Шаг2.Бланк заказа NEW'!$B$17:$N$201,7,0)="","",VLOOKUP($A574,'Шаг2.Бланк заказа NEW'!$B$17:$N$201,7,0)),
IF(VLOOKUP($A574-COUNT('Шаг2.Бланк заказа NEW'!$B$19:$B$201),'Бланк OLD 0.8 04'!$B$12:$K$200,7,0)&gt;0,0.8,
IF(VLOOKUP($A574-COUNT('Шаг2.Бланк заказа NEW'!$B$19:$B$201),'Бланк OLD 0.8 04'!$B$12:$K$200,8,0)&gt;0,0.4,""))),
IF(VLOOKUP($A574-COUNT('Шаг2.Бланк заказа NEW'!$B$19:$B$201)-COUNT('Бланк OLD 0.8 04'!$B$18:$B$200),'Бланк OLD 2.0 04 '!$B$16:$K$200,7,0)&gt;0,2,IF(VLOOKUP($A574-COUNT('Шаг2.Бланк заказа NEW'!$B$19:$B$201)-COUNT('Бланк OLD 0.8 04'!$B$18:$B$200),'Бланк OLD 2.0 04 '!$B$16:$K$200,8,0)&gt;0,0.4,"")))</f>
        <v/>
      </c>
      <c r="U574" s="147" t="str">
        <f ca="1">IFERROR(IFERROR(IF(VLOOKUP($A574,'Шаг2.Бланк заказа NEW'!$B$17:$N$201,8,0)="","",VLOOKUP($A574,'Шаг2.Бланк заказа NEW'!$B$17:$N$201,8,0)),
IF(VLOOKUP($A574-COUNT('Шаг2.Бланк заказа NEW'!$B$19:$B$201),'Бланк OLD 0.8 04'!$B$12:$K$200,7,0)&gt;1,0.8,
IF(VLOOKUP($A574-COUNT('Шаг2.Бланк заказа NEW'!$B$19:$B$201),'Бланк OLD 0.8 04'!$B$12:$K$200,8,0)&gt;1,0.4,
IF(AND(VLOOKUP($A574-COUNT('Шаг2.Бланк заказа NEW'!$B$19:$B$201),'Бланк OLD 0.8 04'!$B$12:$K$200,7,0)&gt;0,VLOOKUP($A574-COUNT('Шаг2.Бланк заказа NEW'!$B$19:$B$201),'Бланк OLD 0.8 04'!$B$12:$K$200,8,0)&gt;0),0.4,"")))),
IF(VLOOKUP($A574-COUNT('Шаг2.Бланк заказа NEW'!$B$19:$B$201)-COUNT('Бланк OLD 0.8 04'!$B$18:$B$200),'Бланк OLD 2.0 04 '!$B$16:$K$200,7,0)&gt;1,2,
IF(VLOOKUP($A574-COUNT('Шаг2.Бланк заказа NEW'!$B$19:$B$201)-COUNT('Бланк OLD 0.8 04'!$B$18:$B$200),'Бланк OLD 2.0 04 '!$B$16:$K$200,8,0)&gt;1,0.4,
IF(AND(VLOOKUP($A574-COUNT('Шаг2.Бланк заказа NEW'!$B$19:$B$201)-COUNT('Бланк OLD 0.8 04'!$B$18:$B$200),'Бланк OLD 2.0 04 '!$B$16:$K$200,7,0)&gt;0,VLOOKUP($A574-COUNT('Шаг2.Бланк заказа NEW'!$B$19:$B$201)-COUNT('Бланк OLD 0.8 04'!$B$18:$B$200),'Бланк OLD 2.0 04 '!$B$16:$K$200,8,0)&gt;0),0.4,""))))</f>
        <v/>
      </c>
      <c r="V574" s="146" t="str">
        <f ca="1">IFERROR(VLOOKUP(C574,'Шаг1.Выбор плиты'!C:S,12,0),"")</f>
        <v/>
      </c>
      <c r="W574" s="146" t="str">
        <f ca="1">IFERROR(VLOOKUP(C574,'Шаг1.Выбор плиты'!C:S,8,0),"")</f>
        <v/>
      </c>
      <c r="X574" s="146" t="str">
        <f ca="1">IFERROR(VLOOKUP(C574,'Шаг1.Выбор плиты'!C:S,10,0),"")</f>
        <v/>
      </c>
      <c r="Y574" s="147" t="str">
        <f t="shared" ca="1" si="51"/>
        <v/>
      </c>
      <c r="AD574" s="147" t="str">
        <f t="shared" ca="1" si="53"/>
        <v/>
      </c>
      <c r="AE574" s="147" t="str">
        <f t="shared" ca="1" si="52"/>
        <v/>
      </c>
      <c r="AF574" s="25"/>
      <c r="AH574" s="147" t="str">
        <f ca="1">IF(C574="","",VLOOKUP(C574,'Шаг1.Выбор плиты'!C:Q,7,0))</f>
        <v/>
      </c>
      <c r="AI574" s="147" t="str">
        <f t="shared" ca="1" si="50"/>
        <v/>
      </c>
    </row>
    <row r="575" spans="1:35" x14ac:dyDescent="0.2">
      <c r="A575" s="151" t="str">
        <f ca="1">IF(C575="","",MAX($A$1:OFFSET(C575,-1,0))+1)</f>
        <v/>
      </c>
      <c r="B575" s="151" t="str">
        <f ca="1">IFERROR(IFERROR(IFERROR("Шаг2.Бланк заказа NEW №"&amp;VLOOKUP(A574+1,CHOOSE({1,2},'Шаг2.Бланк заказа NEW'!$B$19:$B$201,'Шаг2.Бланк заказа NEW'!$A$19:$A$201),1,0),
"Бланк OLD 0.8 04 №"&amp;VLOOKUP(A574+1-COUNT('Шаг2.Бланк заказа NEW'!$B$19:$B$201),CHOOSE({1,2},'Бланк OLD 0.8 04'!$B$18:$B$200,'Бланк OLD 0.8 04'!$A$18:$A$200),1,0)),
"Бланк OLD 2.0 04 №"&amp;VLOOKUP(A574+1-COUNT('Шаг2.Бланк заказа NEW'!$B$19:$B$201)-COUNT('Бланк OLD 0.8 04'!$B$18:$B$200),CHOOSE({1,2},'Бланк OLD 2.0 04 '!$B$18:$B$200,'Бланк OLD 2.0 04 '!$A$18:$A$200),1,0)),"")</f>
        <v/>
      </c>
      <c r="C575" s="152" t="str">
        <f ca="1">IFERROR(IFERROR(IFERROR(VLOOKUP(A574+1,CHOOSE({1,2},'Шаг2.Бланк заказа NEW'!$B$19:$B$201,'Шаг2.Бланк заказа NEW'!$A$19:$A$201),2,0),
VLOOKUP(A574+1-COUNT('Шаг2.Бланк заказа NEW'!$B$19:$B$201),CHOOSE({1,2},'Бланк OLD 0.8 04'!$B$18:$B$200,'Бланк OLD 0.8 04'!$A$18:$A$200),2,0)),
VLOOKUP(A574+1-COUNT('Шаг2.Бланк заказа NEW'!$B$19:$B$201)-COUNT('Бланк OLD 0.8 04'!$B$18:$B$200),CHOOSE({1,2},'Бланк OLD 2.0 04 '!$B$18:$B$200,'Бланк OLD 2.0 04 '!$A$18:$A$200),2,0)),"")</f>
        <v/>
      </c>
      <c r="D575" s="150" t="str">
        <f ca="1">IFERROR(VLOOKUP(C575,'Шаг1.Выбор плиты'!C:G,5,0),"")</f>
        <v/>
      </c>
      <c r="E575" s="147" t="str">
        <f ca="1">IFERROR(IFERROR(IF(VLOOKUP($A575,'Шаг2.Бланк заказа NEW'!$B$17:$N$201,2,0)="","",VLOOKUP($A575,'Шаг2.Бланк заказа NEW'!$B$17:$N$201,2,0)),
IF(VLOOKUP($A575-COUNT('Шаг2.Бланк заказа NEW'!$B$19:$B$201),'Бланк OLD 0.8 04'!$B$12:$K$200,2,0)="","",VLOOKUP($A575-COUNT('Шаг2.Бланк заказа NEW'!$B$19:$B$201),'Бланк OLD 0.8 04'!$B$12:$K$200,2,0))),
IF(VLOOKUP($A575-COUNT('Шаг2.Бланк заказа NEW'!$B$19:$B$201)-COUNT('Бланк OLD 0.8 04'!$B$18:$B$200),'Бланк OLD 2.0 04 '!$B$16:$K$200,2,0)="","",VLOOKUP($A575-COUNT('Шаг2.Бланк заказа NEW'!$B$19:$B$201)-COUNT('Бланк OLD 0.8 04'!$B$18:$B$200),'Бланк OLD 2.0 04 '!$B$16:$K$200,2,0)))</f>
        <v/>
      </c>
      <c r="F575" s="147" t="str">
        <f ca="1">IFERROR(IFERROR(IF(VLOOKUP($A575,'Шаг2.Бланк заказа NEW'!$B$17:$N$201,3,0)="","",VLOOKUP($A575,'Шаг2.Бланк заказа NEW'!$B$17:$N$201,3,0)),
IF(VLOOKUP($A575-COUNT('Шаг2.Бланк заказа NEW'!$B$19:$B$201),'Бланк OLD 0.8 04'!$B$12:$K$200,3,0)="","",VLOOKUP($A575-COUNT('Шаг2.Бланк заказа NEW'!$B$19:$B$201),'Бланк OLD 0.8 04'!$B$12:$K$200,3,0))),
IF(VLOOKUP($A575-COUNT('Шаг2.Бланк заказа NEW'!$B$19:$B$201)-COUNT('Бланк OLD 0.8 04'!$B$18:$B$200),'Бланк OLD 2.0 04 '!$B$16:$K$200,3,0)="","",VLOOKUP($A575-COUNT('Шаг2.Бланк заказа NEW'!$B$19:$B$201)-COUNT('Бланк OLD 0.8 04'!$B$18:$B$200),'Бланк OLD 2.0 04 '!$B$16:$K$200,3,0)))</f>
        <v/>
      </c>
      <c r="G575" s="176" t="str">
        <f ca="1">IF(IF(R575="","",IF(R575=1,SUMIFS('Шаг1.Выбор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плиты'!C:Q,12,0)),1))))))=0,
R575,
IF(R575="","",IF(R575=1,SUMIFS('Шаг1.Выбор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плиты'!N:N,R575,'Шаг1.Выбор плиты'!M:M,SMALL(INDIRECT("мм"&amp;VLOOKUP(C575,'Шаг1.Выбор плиты'!C:Q,12,0)),1)))))))</f>
        <v/>
      </c>
      <c r="H575" s="177" t="str">
        <f ca="1">IF(IF(S575="","",IF(S575=1,SUMIFS('Шаг1.Выбор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плиты'!C:Q,12,0)),1))))))=0,
S575,
IF(S575="","",IF(S575=1,SUMIFS('Шаг1.Выбор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плиты'!N:N,S575,'Шаг1.Выбор плиты'!M:M,SMALL(INDIRECT("мм"&amp;VLOOKUP(C575,'Шаг1.Выбор плиты'!C:Q,12,0)),1)))))))</f>
        <v/>
      </c>
      <c r="I575" s="147" t="str">
        <f ca="1">IFERROR(IFERROR(IF(VLOOKUP($A575,'Шаг2.Бланк заказа NEW'!$B$17:$N$201,6,0)="","",VLOOKUP($A575,'Шаг2.Бланк заказа NEW'!$B$17:$N$201,6,0)),
IF(VLOOKUP($A575-COUNT('Шаг2.Бланк заказа NEW'!$B$19:$B$201),'Бланк OLD 0.8 04'!$B$12:$K$200,6,0)="","",VLOOKUP($A575-COUNT('Шаг2.Бланк заказа NEW'!$B$19:$B$201),'Бланк OLD 0.8 04'!$B$12:$K$200,6,0))),
IF(VLOOKUP($A575-COUNT('Шаг2.Бланк заказа NEW'!$B$19:$B$201)-COUNT('Бланк OLD 0.8 04'!$B$18:$B$200),'Бланк OLD 2.0 04 '!$B$16:$K$200,6,0)="","",VLOOKUP($A575-COUNT('Шаг2.Бланк заказа NEW'!$B$19:$B$201)-COUNT('Бланк OLD 0.8 04'!$B$18:$B$200),'Бланк OLD 2.0 04 '!$B$16:$K$200,6,0)))</f>
        <v/>
      </c>
      <c r="J575" s="177" t="str">
        <f ca="1">IF(IF(T575="","",IF(T575=1,SUMIFS('Шаг1.Выбор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плиты'!C:Q,12,0)),1))))))=0,
T575,
IF(T575="","",IF(T575=1,SUMIFS('Шаг1.Выбор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плиты'!N:N,T575,'Шаг1.Выбор плиты'!M:M,SMALL(INDIRECT("мм"&amp;VLOOKUP(C575,'Шаг1.Выбор плиты'!C:Q,12,0)),1)))))))</f>
        <v/>
      </c>
      <c r="K575" s="177" t="str">
        <f ca="1">IF(IF(U575="","",IF(U575=1,SUMIFS('Шаг1.Выбор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плиты'!C:Q,12,0)),1))))))=0,
U575,
IF(U575="","",IF(U575=1,SUMIFS('Шаг1.Выбор плиты'!$G:$G,'Шаг1.Выбор плиты'!J:J,"*"&amp;RIGHT(VLOOKUP(C575,'Шаг1.Выбор плиты'!C:Q,8,0),4),'Шаг1.Выбор плиты'!L:L,IF(MID(C575,1,6)="ЛДСП P","TM"&amp;MID(VLOOKUP(C575,'Шаг1.Выбор плиты'!C:Q,10,0),3,2),MID(VLOOKUP(C575,'Шаг1.Выбор плиты'!C:Q,10,0),1,2)),
'Шаг1.Выбор плиты'!N:N,1),IF(SUMIFS('Шаг1.Выбор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плиты'!C:Q,12,0)),1))=0,
IF(SUMIFS('Шаг1.Выбор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плиты'!C:Q,12,0)),2))=0,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плиты'!C:Q,12,0)),3)),
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плиты'!C:Q,12,0)),2))),
(SUMIFS('Шаг1.Выбор плиты'!$G:$G,'Шаг1.Выбор плиты'!J:J,"*"&amp;RIGHT(VLOOKUP(C575,'Шаг1.Выбор плиты'!C:Q,8,0),4),'Шаг1.Выбор плиты'!L:L,VLOOKUP(C575,'Шаг1.Выбор плиты'!C:Q,10,0),'Шаг1.Выбор плиты'!N:N,U575,'Шаг1.Выбор плиты'!M:M,SMALL(INDIRECT("мм"&amp;VLOOKUP(C575,'Шаг1.Выбор плиты'!C:Q,12,0)),1)))))))</f>
        <v/>
      </c>
      <c r="L575" s="147" t="str">
        <f ca="1">IFERROR(IFERROR(IF(VLOOKUP($A575,'Шаг2.Бланк заказа NEW'!$B$17:$N$201,9,0)="","",VLOOKUP($A575,'Шаг2.Бланк заказа NEW'!$B$17:$N$201,9,0)),
IF(VLOOKUP($A575-COUNT('Шаг2.Бланк заказа NEW'!$B$19:$B$201),'Бланк OLD 0.8 04'!$B$12:$K$200,9,0)="","",VLOOKUP($A575-COUNT('Шаг2.Бланк заказа NEW'!$B$19:$B$201),'Бланк OLD 0.8 04'!$B$12:$K$200,9,0))),
IF(VLOOKUP($A575-COUNT('Шаг2.Бланк заказа NEW'!$B$19:$B$201)-COUNT('Бланк OLD 0.8 04'!$B$18:$B$200),'Бланк OLD 2.0 04 '!$B$16:$K$200,9,0)="","",VLOOKUP($A575-COUNT('Шаг2.Бланк заказа NEW'!$B$19:$B$201)-COUNT('Бланк OLD 0.8 04'!$B$18:$B$200),'Бланк OLD 2.0 04 '!$B$16:$K$200,9,0)))</f>
        <v/>
      </c>
      <c r="M575" s="154" t="str">
        <f t="shared" ca="1" si="49"/>
        <v/>
      </c>
      <c r="N575" s="153" t="str">
        <f ca="1">IFERROR(IF(VLOOKUP($A575,'Шаг2.Бланк заказа NEW'!$B$17:$N$201,11,0)="","",VLOOKUP($A575,'Шаг2.Бланк заказа NEW'!$B$17:$N$201,11,0)),
"Нет")</f>
        <v/>
      </c>
      <c r="O575" s="147" t="str">
        <f ca="1">IFERROR(IF(VLOOKUP($A575,'Шаг2.Бланк заказа NEW'!$B$17:$N$201,11,0)="","",VLOOKUP($A575,'Шаг2.Бланк заказа NEW'!$B$17:$N$201,12,0)),
"Нет")</f>
        <v/>
      </c>
      <c r="P575" s="153" t="str">
        <f ca="1">IFERROR(IF(VLOOKUP($A575,'Шаг2.Бланк заказа NEW'!$B$17:$N$201,13,0)="","",VLOOKUP($A575,'Шаг2.Бланк заказа NEW'!$B$17:$N$201,13,0)),
"Нет")</f>
        <v/>
      </c>
      <c r="Q575" s="147" t="str">
        <f ca="1">IFERROR(IF(VLOOKUP($A575,'Шаг2.Бланк заказа NEW'!$B$17:$O$201,14,0)="","",VLOOKUP($A575,'Шаг2.Бланк заказа NEW'!$B$17:$O$201,14,0)),"")</f>
        <v/>
      </c>
      <c r="R575" s="147" t="str">
        <f ca="1">IFERROR(IFERROR(IF(VLOOKUP($A575,'Шаг2.Бланк заказа NEW'!$B$17:$N$201,4,0)="","",VLOOKUP($A575,'Шаг2.Бланк заказа NEW'!$B$17:$N$201,4,0)),
IF(VLOOKUP($A575-COUNT('Шаг2.Бланк заказа NEW'!$B$19:$B$201),'Бланк OLD 0.8 04'!$B$12:$K$200,4,0)&gt;0,0.8,
IF(VLOOKUP($A575-COUNT('Шаг2.Бланк заказа NEW'!$B$19:$B$201),'Бланк OLD 0.8 04'!$B$12:$K$200,5,0)&gt;0,0.4,""))),
IF(VLOOKUP($A575-COUNT('Шаг2.Бланк заказа NEW'!$B$19:$B$201)-COUNT('Бланк OLD 0.8 04'!$B$18:$B$200),'Бланк OLD 2.0 04 '!$B$16:$K$200,4,0)&gt;0,2,IF(VLOOKUP($A575-COUNT('Шаг2.Бланк заказа NEW'!$B$19:$B$201)-COUNT('Бланк OLD 0.8 04'!$B$18:$B$200),'Бланк OLD 2.0 04 '!$B$16:$K$200,5,0)&gt;0,0.4,"")))</f>
        <v/>
      </c>
      <c r="S575" s="147" t="str">
        <f ca="1">IFERROR(IFERROR(IF(VLOOKUP($A575,'Шаг2.Бланк заказа NEW'!$B$17:$N$201,5,0)="","",VLOOKUP($A575,'Шаг2.Бланк заказа NEW'!$B$17:$N$201,5,0)),
IF(VLOOKUP($A575-COUNT('Шаг2.Бланк заказа NEW'!$B$19:$B$201),'Бланк OLD 0.8 04'!$B$12:$K$200,4,0)&gt;1,0.8,
IF(VLOOKUP($A575-COUNT('Шаг2.Бланк заказа NEW'!$B$19:$B$201),'Бланк OLD 0.8 04'!$B$12:$K$200,5,0)&gt;1,0.4,
IF(AND(VLOOKUP($A575-COUNT('Шаг2.Бланк заказа NEW'!$B$19:$B$201),'Бланк OLD 0.8 04'!$B$12:$K$200,4,0)&gt;0,VLOOKUP($A575-COUNT('Шаг2.Бланк заказа NEW'!$B$19:$B$201),'Бланк OLD 0.8 04'!$B$12:$K$200,5,0)&gt;0),0.4,"")))),
IF(VLOOKUP($A575-COUNT('Шаг2.Бланк заказа NEW'!$B$19:$B$201)-COUNT('Бланк OLD 0.8 04'!$B$18:$B$200),'Бланк OLD 2.0 04 '!$B$16:$K$200,4,0)&gt;1,2,
IF(VLOOKUP($A575-COUNT('Шаг2.Бланк заказа NEW'!$B$19:$B$201)-COUNT('Бланк OLD 0.8 04'!$B$18:$B$200),'Бланк OLD 2.0 04 '!$B$16:$K$200,5,0)&gt;1,0.4,IF(AND(VLOOKUP($A575-COUNT('Шаг2.Бланк заказа NEW'!$B$19:$B$201)-COUNT('Бланк OLD 0.8 04'!$B$18:$B$200),'Бланк OLD 2.0 04 '!$B$16:$K$200,4,0)&gt;0,VLOOKUP($A575-COUNT('Шаг2.Бланк заказа NEW'!$B$19:$B$201)-COUNT('Бланк OLD 0.8 04'!$B$18:$B$200),'Бланк OLD 2.0 04 '!$B$16:$K$200,5,0)&gt;0),0.4,""))))</f>
        <v/>
      </c>
      <c r="T575" s="147" t="str">
        <f ca="1">IFERROR(IFERROR(IF(VLOOKUP($A575,'Шаг2.Бланк заказа NEW'!$B$17:$N$201,7,0)="","",VLOOKUP($A575,'Шаг2.Бланк заказа NEW'!$B$17:$N$201,7,0)),
IF(VLOOKUP($A575-COUNT('Шаг2.Бланк заказа NEW'!$B$19:$B$201),'Бланк OLD 0.8 04'!$B$12:$K$200,7,0)&gt;0,0.8,
IF(VLOOKUP($A575-COUNT('Шаг2.Бланк заказа NEW'!$B$19:$B$201),'Бланк OLD 0.8 04'!$B$12:$K$200,8,0)&gt;0,0.4,""))),
IF(VLOOKUP($A575-COUNT('Шаг2.Бланк заказа NEW'!$B$19:$B$201)-COUNT('Бланк OLD 0.8 04'!$B$18:$B$200),'Бланк OLD 2.0 04 '!$B$16:$K$200,7,0)&gt;0,2,IF(VLOOKUP($A575-COUNT('Шаг2.Бланк заказа NEW'!$B$19:$B$201)-COUNT('Бланк OLD 0.8 04'!$B$18:$B$200),'Бланк OLD 2.0 04 '!$B$16:$K$200,8,0)&gt;0,0.4,"")))</f>
        <v/>
      </c>
      <c r="U575" s="147" t="str">
        <f ca="1">IFERROR(IFERROR(IF(VLOOKUP($A575,'Шаг2.Бланк заказа NEW'!$B$17:$N$201,8,0)="","",VLOOKUP($A575,'Шаг2.Бланк заказа NEW'!$B$17:$N$201,8,0)),
IF(VLOOKUP($A575-COUNT('Шаг2.Бланк заказа NEW'!$B$19:$B$201),'Бланк OLD 0.8 04'!$B$12:$K$200,7,0)&gt;1,0.8,
IF(VLOOKUP($A575-COUNT('Шаг2.Бланк заказа NEW'!$B$19:$B$201),'Бланк OLD 0.8 04'!$B$12:$K$200,8,0)&gt;1,0.4,
IF(AND(VLOOKUP($A575-COUNT('Шаг2.Бланк заказа NEW'!$B$19:$B$201),'Бланк OLD 0.8 04'!$B$12:$K$200,7,0)&gt;0,VLOOKUP($A575-COUNT('Шаг2.Бланк заказа NEW'!$B$19:$B$201),'Бланк OLD 0.8 04'!$B$12:$K$200,8,0)&gt;0),0.4,"")))),
IF(VLOOKUP($A575-COUNT('Шаг2.Бланк заказа NEW'!$B$19:$B$201)-COUNT('Бланк OLD 0.8 04'!$B$18:$B$200),'Бланк OLD 2.0 04 '!$B$16:$K$200,7,0)&gt;1,2,
IF(VLOOKUP($A575-COUNT('Шаг2.Бланк заказа NEW'!$B$19:$B$201)-COUNT('Бланк OLD 0.8 04'!$B$18:$B$200),'Бланк OLD 2.0 04 '!$B$16:$K$200,8,0)&gt;1,0.4,
IF(AND(VLOOKUP($A575-COUNT('Шаг2.Бланк заказа NEW'!$B$19:$B$201)-COUNT('Бланк OLD 0.8 04'!$B$18:$B$200),'Бланк OLD 2.0 04 '!$B$16:$K$200,7,0)&gt;0,VLOOKUP($A575-COUNT('Шаг2.Бланк заказа NEW'!$B$19:$B$201)-COUNT('Бланк OLD 0.8 04'!$B$18:$B$200),'Бланк OLD 2.0 04 '!$B$16:$K$200,8,0)&gt;0),0.4,""))))</f>
        <v/>
      </c>
      <c r="V575" s="146" t="str">
        <f ca="1">IFERROR(VLOOKUP(C575,'Шаг1.Выбор плиты'!C:S,12,0),"")</f>
        <v/>
      </c>
      <c r="W575" s="146" t="str">
        <f ca="1">IFERROR(VLOOKUP(C575,'Шаг1.Выбор плиты'!C:S,8,0),"")</f>
        <v/>
      </c>
      <c r="X575" s="146" t="str">
        <f ca="1">IFERROR(VLOOKUP(C575,'Шаг1.Выбор плиты'!C:S,10,0),"")</f>
        <v/>
      </c>
      <c r="Y575" s="147" t="str">
        <f t="shared" ca="1" si="51"/>
        <v/>
      </c>
      <c r="AD575" s="147" t="str">
        <f t="shared" ca="1" si="53"/>
        <v/>
      </c>
      <c r="AE575" s="147" t="str">
        <f t="shared" ca="1" si="52"/>
        <v/>
      </c>
      <c r="AF575" s="25"/>
      <c r="AH575" s="147" t="str">
        <f ca="1">IF(C575="","",VLOOKUP(C575,'Шаг1.Выбор плиты'!C:Q,7,0))</f>
        <v/>
      </c>
      <c r="AI575" s="147" t="str">
        <f t="shared" ca="1" si="50"/>
        <v/>
      </c>
    </row>
    <row r="576" spans="1:35" x14ac:dyDescent="0.2">
      <c r="A576" s="151" t="str">
        <f ca="1">IF(C576="","",MAX($A$1:OFFSET(C576,-1,0))+1)</f>
        <v/>
      </c>
      <c r="B576" s="151" t="str">
        <f ca="1">IFERROR(IFERROR(IFERROR("Шаг2.Бланк заказа NEW №"&amp;VLOOKUP(A575+1,CHOOSE({1,2},'Шаг2.Бланк заказа NEW'!$B$19:$B$201,'Шаг2.Бланк заказа NEW'!$A$19:$A$201),1,0),
"Бланк OLD 0.8 04 №"&amp;VLOOKUP(A575+1-COUNT('Шаг2.Бланк заказа NEW'!$B$19:$B$201),CHOOSE({1,2},'Бланк OLD 0.8 04'!$B$18:$B$200,'Бланк OLD 0.8 04'!$A$18:$A$200),1,0)),
"Бланк OLD 2.0 04 №"&amp;VLOOKUP(A575+1-COUNT('Шаг2.Бланк заказа NEW'!$B$19:$B$201)-COUNT('Бланк OLD 0.8 04'!$B$18:$B$200),CHOOSE({1,2},'Бланк OLD 2.0 04 '!$B$18:$B$200,'Бланк OLD 2.0 04 '!$A$18:$A$200),1,0)),"")</f>
        <v/>
      </c>
      <c r="C576" s="152" t="str">
        <f ca="1">IFERROR(IFERROR(IFERROR(VLOOKUP(A575+1,CHOOSE({1,2},'Шаг2.Бланк заказа NEW'!$B$19:$B$201,'Шаг2.Бланк заказа NEW'!$A$19:$A$201),2,0),
VLOOKUP(A575+1-COUNT('Шаг2.Бланк заказа NEW'!$B$19:$B$201),CHOOSE({1,2},'Бланк OLD 0.8 04'!$B$18:$B$200,'Бланк OLD 0.8 04'!$A$18:$A$200),2,0)),
VLOOKUP(A575+1-COUNT('Шаг2.Бланк заказа NEW'!$B$19:$B$201)-COUNT('Бланк OLD 0.8 04'!$B$18:$B$200),CHOOSE({1,2},'Бланк OLD 2.0 04 '!$B$18:$B$200,'Бланк OLD 2.0 04 '!$A$18:$A$200),2,0)),"")</f>
        <v/>
      </c>
      <c r="D576" s="150" t="str">
        <f ca="1">IFERROR(VLOOKUP(C576,'Шаг1.Выбор плиты'!C:G,5,0),"")</f>
        <v/>
      </c>
      <c r="E576" s="147" t="str">
        <f ca="1">IFERROR(IFERROR(IF(VLOOKUP($A576,'Шаг2.Бланк заказа NEW'!$B$17:$N$201,2,0)="","",VLOOKUP($A576,'Шаг2.Бланк заказа NEW'!$B$17:$N$201,2,0)),
IF(VLOOKUP($A576-COUNT('Шаг2.Бланк заказа NEW'!$B$19:$B$201),'Бланк OLD 0.8 04'!$B$12:$K$200,2,0)="","",VLOOKUP($A576-COUNT('Шаг2.Бланк заказа NEW'!$B$19:$B$201),'Бланк OLD 0.8 04'!$B$12:$K$200,2,0))),
IF(VLOOKUP($A576-COUNT('Шаг2.Бланк заказа NEW'!$B$19:$B$201)-COUNT('Бланк OLD 0.8 04'!$B$18:$B$200),'Бланк OLD 2.0 04 '!$B$16:$K$200,2,0)="","",VLOOKUP($A576-COUNT('Шаг2.Бланк заказа NEW'!$B$19:$B$201)-COUNT('Бланк OLD 0.8 04'!$B$18:$B$200),'Бланк OLD 2.0 04 '!$B$16:$K$200,2,0)))</f>
        <v/>
      </c>
      <c r="F576" s="147" t="str">
        <f ca="1">IFERROR(IFERROR(IF(VLOOKUP($A576,'Шаг2.Бланк заказа NEW'!$B$17:$N$201,3,0)="","",VLOOKUP($A576,'Шаг2.Бланк заказа NEW'!$B$17:$N$201,3,0)),
IF(VLOOKUP($A576-COUNT('Шаг2.Бланк заказа NEW'!$B$19:$B$201),'Бланк OLD 0.8 04'!$B$12:$K$200,3,0)="","",VLOOKUP($A576-COUNT('Шаг2.Бланк заказа NEW'!$B$19:$B$201),'Бланк OLD 0.8 04'!$B$12:$K$200,3,0))),
IF(VLOOKUP($A576-COUNT('Шаг2.Бланк заказа NEW'!$B$19:$B$201)-COUNT('Бланк OLD 0.8 04'!$B$18:$B$200),'Бланк OLD 2.0 04 '!$B$16:$K$200,3,0)="","",VLOOKUP($A576-COUNT('Шаг2.Бланк заказа NEW'!$B$19:$B$201)-COUNT('Бланк OLD 0.8 04'!$B$18:$B$200),'Бланк OLD 2.0 04 '!$B$16:$K$200,3,0)))</f>
        <v/>
      </c>
      <c r="G576" s="176" t="str">
        <f ca="1">IF(IF(R576="","",IF(R576=1,SUMIFS('Шаг1.Выбор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плиты'!C:Q,12,0)),1))))))=0,
R576,
IF(R576="","",IF(R576=1,SUMIFS('Шаг1.Выбор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плиты'!N:N,R576,'Шаг1.Выбор плиты'!M:M,SMALL(INDIRECT("мм"&amp;VLOOKUP(C576,'Шаг1.Выбор плиты'!C:Q,12,0)),1)))))))</f>
        <v/>
      </c>
      <c r="H576" s="177" t="str">
        <f ca="1">IF(IF(S576="","",IF(S576=1,SUMIFS('Шаг1.Выбор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плиты'!C:Q,12,0)),1))))))=0,
S576,
IF(S576="","",IF(S576=1,SUMIFS('Шаг1.Выбор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плиты'!N:N,S576,'Шаг1.Выбор плиты'!M:M,SMALL(INDIRECT("мм"&amp;VLOOKUP(C576,'Шаг1.Выбор плиты'!C:Q,12,0)),1)))))))</f>
        <v/>
      </c>
      <c r="I576" s="147" t="str">
        <f ca="1">IFERROR(IFERROR(IF(VLOOKUP($A576,'Шаг2.Бланк заказа NEW'!$B$17:$N$201,6,0)="","",VLOOKUP($A576,'Шаг2.Бланк заказа NEW'!$B$17:$N$201,6,0)),
IF(VLOOKUP($A576-COUNT('Шаг2.Бланк заказа NEW'!$B$19:$B$201),'Бланк OLD 0.8 04'!$B$12:$K$200,6,0)="","",VLOOKUP($A576-COUNT('Шаг2.Бланк заказа NEW'!$B$19:$B$201),'Бланк OLD 0.8 04'!$B$12:$K$200,6,0))),
IF(VLOOKUP($A576-COUNT('Шаг2.Бланк заказа NEW'!$B$19:$B$201)-COUNT('Бланк OLD 0.8 04'!$B$18:$B$200),'Бланк OLD 2.0 04 '!$B$16:$K$200,6,0)="","",VLOOKUP($A576-COUNT('Шаг2.Бланк заказа NEW'!$B$19:$B$201)-COUNT('Бланк OLD 0.8 04'!$B$18:$B$200),'Бланк OLD 2.0 04 '!$B$16:$K$200,6,0)))</f>
        <v/>
      </c>
      <c r="J576" s="177" t="str">
        <f ca="1">IF(IF(T576="","",IF(T576=1,SUMIFS('Шаг1.Выбор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плиты'!C:Q,12,0)),1))))))=0,
T576,
IF(T576="","",IF(T576=1,SUMIFS('Шаг1.Выбор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плиты'!N:N,T576,'Шаг1.Выбор плиты'!M:M,SMALL(INDIRECT("мм"&amp;VLOOKUP(C576,'Шаг1.Выбор плиты'!C:Q,12,0)),1)))))))</f>
        <v/>
      </c>
      <c r="K576" s="177" t="str">
        <f ca="1">IF(IF(U576="","",IF(U576=1,SUMIFS('Шаг1.Выбор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плиты'!C:Q,12,0)),1))))))=0,
U576,
IF(U576="","",IF(U576=1,SUMIFS('Шаг1.Выбор плиты'!$G:$G,'Шаг1.Выбор плиты'!J:J,"*"&amp;RIGHT(VLOOKUP(C576,'Шаг1.Выбор плиты'!C:Q,8,0),4),'Шаг1.Выбор плиты'!L:L,IF(MID(C576,1,6)="ЛДСП P","TM"&amp;MID(VLOOKUP(C576,'Шаг1.Выбор плиты'!C:Q,10,0),3,2),MID(VLOOKUP(C576,'Шаг1.Выбор плиты'!C:Q,10,0),1,2)),
'Шаг1.Выбор плиты'!N:N,1),IF(SUMIFS('Шаг1.Выбор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плиты'!C:Q,12,0)),1))=0,
IF(SUMIFS('Шаг1.Выбор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плиты'!C:Q,12,0)),2))=0,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плиты'!C:Q,12,0)),3)),
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плиты'!C:Q,12,0)),2))),
(SUMIFS('Шаг1.Выбор плиты'!$G:$G,'Шаг1.Выбор плиты'!J:J,"*"&amp;RIGHT(VLOOKUP(C576,'Шаг1.Выбор плиты'!C:Q,8,0),4),'Шаг1.Выбор плиты'!L:L,VLOOKUP(C576,'Шаг1.Выбор плиты'!C:Q,10,0),'Шаг1.Выбор плиты'!N:N,U576,'Шаг1.Выбор плиты'!M:M,SMALL(INDIRECT("мм"&amp;VLOOKUP(C576,'Шаг1.Выбор плиты'!C:Q,12,0)),1)))))))</f>
        <v/>
      </c>
      <c r="L576" s="147" t="str">
        <f ca="1">IFERROR(IFERROR(IF(VLOOKUP($A576,'Шаг2.Бланк заказа NEW'!$B$17:$N$201,9,0)="","",VLOOKUP($A576,'Шаг2.Бланк заказа NEW'!$B$17:$N$201,9,0)),
IF(VLOOKUP($A576-COUNT('Шаг2.Бланк заказа NEW'!$B$19:$B$201),'Бланк OLD 0.8 04'!$B$12:$K$200,9,0)="","",VLOOKUP($A576-COUNT('Шаг2.Бланк заказа NEW'!$B$19:$B$201),'Бланк OLD 0.8 04'!$B$12:$K$200,9,0))),
IF(VLOOKUP($A576-COUNT('Шаг2.Бланк заказа NEW'!$B$19:$B$201)-COUNT('Бланк OLD 0.8 04'!$B$18:$B$200),'Бланк OLD 2.0 04 '!$B$16:$K$200,9,0)="","",VLOOKUP($A576-COUNT('Шаг2.Бланк заказа NEW'!$B$19:$B$201)-COUNT('Бланк OLD 0.8 04'!$B$18:$B$200),'Бланк OLD 2.0 04 '!$B$16:$K$200,9,0)))</f>
        <v/>
      </c>
      <c r="M576" s="154" t="str">
        <f t="shared" ca="1" si="49"/>
        <v/>
      </c>
      <c r="N576" s="153" t="str">
        <f ca="1">IFERROR(IF(VLOOKUP($A576,'Шаг2.Бланк заказа NEW'!$B$17:$N$201,11,0)="","",VLOOKUP($A576,'Шаг2.Бланк заказа NEW'!$B$17:$N$201,11,0)),
"Нет")</f>
        <v/>
      </c>
      <c r="O576" s="147" t="str">
        <f ca="1">IFERROR(IF(VLOOKUP($A576,'Шаг2.Бланк заказа NEW'!$B$17:$N$201,11,0)="","",VLOOKUP($A576,'Шаг2.Бланк заказа NEW'!$B$17:$N$201,12,0)),
"Нет")</f>
        <v/>
      </c>
      <c r="P576" s="153" t="str">
        <f ca="1">IFERROR(IF(VLOOKUP($A576,'Шаг2.Бланк заказа NEW'!$B$17:$N$201,13,0)="","",VLOOKUP($A576,'Шаг2.Бланк заказа NEW'!$B$17:$N$201,13,0)),
"Нет")</f>
        <v/>
      </c>
      <c r="Q576" s="147" t="str">
        <f ca="1">IFERROR(IF(VLOOKUP($A576,'Шаг2.Бланк заказа NEW'!$B$17:$O$201,14,0)="","",VLOOKUP($A576,'Шаг2.Бланк заказа NEW'!$B$17:$O$201,14,0)),"")</f>
        <v/>
      </c>
      <c r="R576" s="147" t="str">
        <f ca="1">IFERROR(IFERROR(IF(VLOOKUP($A576,'Шаг2.Бланк заказа NEW'!$B$17:$N$201,4,0)="","",VLOOKUP($A576,'Шаг2.Бланк заказа NEW'!$B$17:$N$201,4,0)),
IF(VLOOKUP($A576-COUNT('Шаг2.Бланк заказа NEW'!$B$19:$B$201),'Бланк OLD 0.8 04'!$B$12:$K$200,4,0)&gt;0,0.8,
IF(VLOOKUP($A576-COUNT('Шаг2.Бланк заказа NEW'!$B$19:$B$201),'Бланк OLD 0.8 04'!$B$12:$K$200,5,0)&gt;0,0.4,""))),
IF(VLOOKUP($A576-COUNT('Шаг2.Бланк заказа NEW'!$B$19:$B$201)-COUNT('Бланк OLD 0.8 04'!$B$18:$B$200),'Бланк OLD 2.0 04 '!$B$16:$K$200,4,0)&gt;0,2,IF(VLOOKUP($A576-COUNT('Шаг2.Бланк заказа NEW'!$B$19:$B$201)-COUNT('Бланк OLD 0.8 04'!$B$18:$B$200),'Бланк OLD 2.0 04 '!$B$16:$K$200,5,0)&gt;0,0.4,"")))</f>
        <v/>
      </c>
      <c r="S576" s="147" t="str">
        <f ca="1">IFERROR(IFERROR(IF(VLOOKUP($A576,'Шаг2.Бланк заказа NEW'!$B$17:$N$201,5,0)="","",VLOOKUP($A576,'Шаг2.Бланк заказа NEW'!$B$17:$N$201,5,0)),
IF(VLOOKUP($A576-COUNT('Шаг2.Бланк заказа NEW'!$B$19:$B$201),'Бланк OLD 0.8 04'!$B$12:$K$200,4,0)&gt;1,0.8,
IF(VLOOKUP($A576-COUNT('Шаг2.Бланк заказа NEW'!$B$19:$B$201),'Бланк OLD 0.8 04'!$B$12:$K$200,5,0)&gt;1,0.4,
IF(AND(VLOOKUP($A576-COUNT('Шаг2.Бланк заказа NEW'!$B$19:$B$201),'Бланк OLD 0.8 04'!$B$12:$K$200,4,0)&gt;0,VLOOKUP($A576-COUNT('Шаг2.Бланк заказа NEW'!$B$19:$B$201),'Бланк OLD 0.8 04'!$B$12:$K$200,5,0)&gt;0),0.4,"")))),
IF(VLOOKUP($A576-COUNT('Шаг2.Бланк заказа NEW'!$B$19:$B$201)-COUNT('Бланк OLD 0.8 04'!$B$18:$B$200),'Бланк OLD 2.0 04 '!$B$16:$K$200,4,0)&gt;1,2,
IF(VLOOKUP($A576-COUNT('Шаг2.Бланк заказа NEW'!$B$19:$B$201)-COUNT('Бланк OLD 0.8 04'!$B$18:$B$200),'Бланк OLD 2.0 04 '!$B$16:$K$200,5,0)&gt;1,0.4,IF(AND(VLOOKUP($A576-COUNT('Шаг2.Бланк заказа NEW'!$B$19:$B$201)-COUNT('Бланк OLD 0.8 04'!$B$18:$B$200),'Бланк OLD 2.0 04 '!$B$16:$K$200,4,0)&gt;0,VLOOKUP($A576-COUNT('Шаг2.Бланк заказа NEW'!$B$19:$B$201)-COUNT('Бланк OLD 0.8 04'!$B$18:$B$200),'Бланк OLD 2.0 04 '!$B$16:$K$200,5,0)&gt;0),0.4,""))))</f>
        <v/>
      </c>
      <c r="T576" s="147" t="str">
        <f ca="1">IFERROR(IFERROR(IF(VLOOKUP($A576,'Шаг2.Бланк заказа NEW'!$B$17:$N$201,7,0)="","",VLOOKUP($A576,'Шаг2.Бланк заказа NEW'!$B$17:$N$201,7,0)),
IF(VLOOKUP($A576-COUNT('Шаг2.Бланк заказа NEW'!$B$19:$B$201),'Бланк OLD 0.8 04'!$B$12:$K$200,7,0)&gt;0,0.8,
IF(VLOOKUP($A576-COUNT('Шаг2.Бланк заказа NEW'!$B$19:$B$201),'Бланк OLD 0.8 04'!$B$12:$K$200,8,0)&gt;0,0.4,""))),
IF(VLOOKUP($A576-COUNT('Шаг2.Бланк заказа NEW'!$B$19:$B$201)-COUNT('Бланк OLD 0.8 04'!$B$18:$B$200),'Бланк OLD 2.0 04 '!$B$16:$K$200,7,0)&gt;0,2,IF(VLOOKUP($A576-COUNT('Шаг2.Бланк заказа NEW'!$B$19:$B$201)-COUNT('Бланк OLD 0.8 04'!$B$18:$B$200),'Бланк OLD 2.0 04 '!$B$16:$K$200,8,0)&gt;0,0.4,"")))</f>
        <v/>
      </c>
      <c r="U576" s="147" t="str">
        <f ca="1">IFERROR(IFERROR(IF(VLOOKUP($A576,'Шаг2.Бланк заказа NEW'!$B$17:$N$201,8,0)="","",VLOOKUP($A576,'Шаг2.Бланк заказа NEW'!$B$17:$N$201,8,0)),
IF(VLOOKUP($A576-COUNT('Шаг2.Бланк заказа NEW'!$B$19:$B$201),'Бланк OLD 0.8 04'!$B$12:$K$200,7,0)&gt;1,0.8,
IF(VLOOKUP($A576-COUNT('Шаг2.Бланк заказа NEW'!$B$19:$B$201),'Бланк OLD 0.8 04'!$B$12:$K$200,8,0)&gt;1,0.4,
IF(AND(VLOOKUP($A576-COUNT('Шаг2.Бланк заказа NEW'!$B$19:$B$201),'Бланк OLD 0.8 04'!$B$12:$K$200,7,0)&gt;0,VLOOKUP($A576-COUNT('Шаг2.Бланк заказа NEW'!$B$19:$B$201),'Бланк OLD 0.8 04'!$B$12:$K$200,8,0)&gt;0),0.4,"")))),
IF(VLOOKUP($A576-COUNT('Шаг2.Бланк заказа NEW'!$B$19:$B$201)-COUNT('Бланк OLD 0.8 04'!$B$18:$B$200),'Бланк OLD 2.0 04 '!$B$16:$K$200,7,0)&gt;1,2,
IF(VLOOKUP($A576-COUNT('Шаг2.Бланк заказа NEW'!$B$19:$B$201)-COUNT('Бланк OLD 0.8 04'!$B$18:$B$200),'Бланк OLD 2.0 04 '!$B$16:$K$200,8,0)&gt;1,0.4,
IF(AND(VLOOKUP($A576-COUNT('Шаг2.Бланк заказа NEW'!$B$19:$B$201)-COUNT('Бланк OLD 0.8 04'!$B$18:$B$200),'Бланк OLD 2.0 04 '!$B$16:$K$200,7,0)&gt;0,VLOOKUP($A576-COUNT('Шаг2.Бланк заказа NEW'!$B$19:$B$201)-COUNT('Бланк OLD 0.8 04'!$B$18:$B$200),'Бланк OLD 2.0 04 '!$B$16:$K$200,8,0)&gt;0),0.4,""))))</f>
        <v/>
      </c>
      <c r="V576" s="146" t="str">
        <f ca="1">IFERROR(VLOOKUP(C576,'Шаг1.Выбор плиты'!C:S,12,0),"")</f>
        <v/>
      </c>
      <c r="W576" s="146" t="str">
        <f ca="1">IFERROR(VLOOKUP(C576,'Шаг1.Выбор плиты'!C:S,8,0),"")</f>
        <v/>
      </c>
      <c r="X576" s="146" t="str">
        <f ca="1">IFERROR(VLOOKUP(C576,'Шаг1.Выбор плиты'!C:S,10,0),"")</f>
        <v/>
      </c>
      <c r="Y576" s="147" t="str">
        <f t="shared" ca="1" si="51"/>
        <v/>
      </c>
      <c r="AD576" s="147" t="str">
        <f t="shared" ca="1" si="53"/>
        <v/>
      </c>
      <c r="AE576" s="147" t="str">
        <f t="shared" ca="1" si="52"/>
        <v/>
      </c>
      <c r="AF576" s="25"/>
      <c r="AH576" s="147" t="str">
        <f ca="1">IF(C576="","",VLOOKUP(C576,'Шаг1.Выбор плиты'!C:Q,7,0))</f>
        <v/>
      </c>
      <c r="AI576" s="147" t="str">
        <f t="shared" ca="1" si="50"/>
        <v/>
      </c>
    </row>
    <row r="577" spans="1:35" x14ac:dyDescent="0.2">
      <c r="A577" s="151" t="str">
        <f ca="1">IF(C577="","",MAX($A$1:OFFSET(C577,-1,0))+1)</f>
        <v/>
      </c>
      <c r="B577" s="151" t="str">
        <f ca="1">IFERROR(IFERROR(IFERROR("Шаг2.Бланк заказа NEW №"&amp;VLOOKUP(A576+1,CHOOSE({1,2},'Шаг2.Бланк заказа NEW'!$B$19:$B$201,'Шаг2.Бланк заказа NEW'!$A$19:$A$201),1,0),
"Бланк OLD 0.8 04 №"&amp;VLOOKUP(A576+1-COUNT('Шаг2.Бланк заказа NEW'!$B$19:$B$201),CHOOSE({1,2},'Бланк OLD 0.8 04'!$B$18:$B$200,'Бланк OLD 0.8 04'!$A$18:$A$200),1,0)),
"Бланк OLD 2.0 04 №"&amp;VLOOKUP(A576+1-COUNT('Шаг2.Бланк заказа NEW'!$B$19:$B$201)-COUNT('Бланк OLD 0.8 04'!$B$18:$B$200),CHOOSE({1,2},'Бланк OLD 2.0 04 '!$B$18:$B$200,'Бланк OLD 2.0 04 '!$A$18:$A$200),1,0)),"")</f>
        <v/>
      </c>
      <c r="C577" s="152" t="str">
        <f ca="1">IFERROR(IFERROR(IFERROR(VLOOKUP(A576+1,CHOOSE({1,2},'Шаг2.Бланк заказа NEW'!$B$19:$B$201,'Шаг2.Бланк заказа NEW'!$A$19:$A$201),2,0),
VLOOKUP(A576+1-COUNT('Шаг2.Бланк заказа NEW'!$B$19:$B$201),CHOOSE({1,2},'Бланк OLD 0.8 04'!$B$18:$B$200,'Бланк OLD 0.8 04'!$A$18:$A$200),2,0)),
VLOOKUP(A576+1-COUNT('Шаг2.Бланк заказа NEW'!$B$19:$B$201)-COUNT('Бланк OLD 0.8 04'!$B$18:$B$200),CHOOSE({1,2},'Бланк OLD 2.0 04 '!$B$18:$B$200,'Бланк OLD 2.0 04 '!$A$18:$A$200),2,0)),"")</f>
        <v/>
      </c>
      <c r="D577" s="150" t="str">
        <f ca="1">IFERROR(VLOOKUP(C577,'Шаг1.Выбор плиты'!C:G,5,0),"")</f>
        <v/>
      </c>
      <c r="E577" s="147" t="str">
        <f ca="1">IFERROR(IFERROR(IF(VLOOKUP($A577,'Шаг2.Бланк заказа NEW'!$B$17:$N$201,2,0)="","",VLOOKUP($A577,'Шаг2.Бланк заказа NEW'!$B$17:$N$201,2,0)),
IF(VLOOKUP($A577-COUNT('Шаг2.Бланк заказа NEW'!$B$19:$B$201),'Бланк OLD 0.8 04'!$B$12:$K$200,2,0)="","",VLOOKUP($A577-COUNT('Шаг2.Бланк заказа NEW'!$B$19:$B$201),'Бланк OLD 0.8 04'!$B$12:$K$200,2,0))),
IF(VLOOKUP($A577-COUNT('Шаг2.Бланк заказа NEW'!$B$19:$B$201)-COUNT('Бланк OLD 0.8 04'!$B$18:$B$200),'Бланк OLD 2.0 04 '!$B$16:$K$200,2,0)="","",VLOOKUP($A577-COUNT('Шаг2.Бланк заказа NEW'!$B$19:$B$201)-COUNT('Бланк OLD 0.8 04'!$B$18:$B$200),'Бланк OLD 2.0 04 '!$B$16:$K$200,2,0)))</f>
        <v/>
      </c>
      <c r="F577" s="147" t="str">
        <f ca="1">IFERROR(IFERROR(IF(VLOOKUP($A577,'Шаг2.Бланк заказа NEW'!$B$17:$N$201,3,0)="","",VLOOKUP($A577,'Шаг2.Бланк заказа NEW'!$B$17:$N$201,3,0)),
IF(VLOOKUP($A577-COUNT('Шаг2.Бланк заказа NEW'!$B$19:$B$201),'Бланк OLD 0.8 04'!$B$12:$K$200,3,0)="","",VLOOKUP($A577-COUNT('Шаг2.Бланк заказа NEW'!$B$19:$B$201),'Бланк OLD 0.8 04'!$B$12:$K$200,3,0))),
IF(VLOOKUP($A577-COUNT('Шаг2.Бланк заказа NEW'!$B$19:$B$201)-COUNT('Бланк OLD 0.8 04'!$B$18:$B$200),'Бланк OLD 2.0 04 '!$B$16:$K$200,3,0)="","",VLOOKUP($A577-COUNT('Шаг2.Бланк заказа NEW'!$B$19:$B$201)-COUNT('Бланк OLD 0.8 04'!$B$18:$B$200),'Бланк OLD 2.0 04 '!$B$16:$K$200,3,0)))</f>
        <v/>
      </c>
      <c r="G577" s="176" t="str">
        <f ca="1">IF(IF(R577="","",IF(R577=1,SUMIFS('Шаг1.Выбор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плиты'!C:Q,12,0)),1))))))=0,
R577,
IF(R577="","",IF(R577=1,SUMIFS('Шаг1.Выбор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плиты'!N:N,R577,'Шаг1.Выбор плиты'!M:M,SMALL(INDIRECT("мм"&amp;VLOOKUP(C577,'Шаг1.Выбор плиты'!C:Q,12,0)),1)))))))</f>
        <v/>
      </c>
      <c r="H577" s="177" t="str">
        <f ca="1">IF(IF(S577="","",IF(S577=1,SUMIFS('Шаг1.Выбор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плиты'!C:Q,12,0)),1))))))=0,
S577,
IF(S577="","",IF(S577=1,SUMIFS('Шаг1.Выбор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плиты'!N:N,S577,'Шаг1.Выбор плиты'!M:M,SMALL(INDIRECT("мм"&amp;VLOOKUP(C577,'Шаг1.Выбор плиты'!C:Q,12,0)),1)))))))</f>
        <v/>
      </c>
      <c r="I577" s="147" t="str">
        <f ca="1">IFERROR(IFERROR(IF(VLOOKUP($A577,'Шаг2.Бланк заказа NEW'!$B$17:$N$201,6,0)="","",VLOOKUP($A577,'Шаг2.Бланк заказа NEW'!$B$17:$N$201,6,0)),
IF(VLOOKUP($A577-COUNT('Шаг2.Бланк заказа NEW'!$B$19:$B$201),'Бланк OLD 0.8 04'!$B$12:$K$200,6,0)="","",VLOOKUP($A577-COUNT('Шаг2.Бланк заказа NEW'!$B$19:$B$201),'Бланк OLD 0.8 04'!$B$12:$K$200,6,0))),
IF(VLOOKUP($A577-COUNT('Шаг2.Бланк заказа NEW'!$B$19:$B$201)-COUNT('Бланк OLD 0.8 04'!$B$18:$B$200),'Бланк OLD 2.0 04 '!$B$16:$K$200,6,0)="","",VLOOKUP($A577-COUNT('Шаг2.Бланк заказа NEW'!$B$19:$B$201)-COUNT('Бланк OLD 0.8 04'!$B$18:$B$200),'Бланк OLD 2.0 04 '!$B$16:$K$200,6,0)))</f>
        <v/>
      </c>
      <c r="J577" s="177" t="str">
        <f ca="1">IF(IF(T577="","",IF(T577=1,SUMIFS('Шаг1.Выбор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плиты'!C:Q,12,0)),1))))))=0,
T577,
IF(T577="","",IF(T577=1,SUMIFS('Шаг1.Выбор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плиты'!N:N,T577,'Шаг1.Выбор плиты'!M:M,SMALL(INDIRECT("мм"&amp;VLOOKUP(C577,'Шаг1.Выбор плиты'!C:Q,12,0)),1)))))))</f>
        <v/>
      </c>
      <c r="K577" s="177" t="str">
        <f ca="1">IF(IF(U577="","",IF(U577=1,SUMIFS('Шаг1.Выбор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плиты'!C:Q,12,0)),1))))))=0,
U577,
IF(U577="","",IF(U577=1,SUMIFS('Шаг1.Выбор плиты'!$G:$G,'Шаг1.Выбор плиты'!J:J,"*"&amp;RIGHT(VLOOKUP(C577,'Шаг1.Выбор плиты'!C:Q,8,0),4),'Шаг1.Выбор плиты'!L:L,IF(MID(C577,1,6)="ЛДСП P","TM"&amp;MID(VLOOKUP(C577,'Шаг1.Выбор плиты'!C:Q,10,0),3,2),MID(VLOOKUP(C577,'Шаг1.Выбор плиты'!C:Q,10,0),1,2)),
'Шаг1.Выбор плиты'!N:N,1),IF(SUMIFS('Шаг1.Выбор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плиты'!C:Q,12,0)),1))=0,
IF(SUMIFS('Шаг1.Выбор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плиты'!C:Q,12,0)),2))=0,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плиты'!C:Q,12,0)),3)),
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плиты'!C:Q,12,0)),2))),
(SUMIFS('Шаг1.Выбор плиты'!$G:$G,'Шаг1.Выбор плиты'!J:J,"*"&amp;RIGHT(VLOOKUP(C577,'Шаг1.Выбор плиты'!C:Q,8,0),4),'Шаг1.Выбор плиты'!L:L,VLOOKUP(C577,'Шаг1.Выбор плиты'!C:Q,10,0),'Шаг1.Выбор плиты'!N:N,U577,'Шаг1.Выбор плиты'!M:M,SMALL(INDIRECT("мм"&amp;VLOOKUP(C577,'Шаг1.Выбор плиты'!C:Q,12,0)),1)))))))</f>
        <v/>
      </c>
      <c r="L577" s="147" t="str">
        <f ca="1">IFERROR(IFERROR(IF(VLOOKUP($A577,'Шаг2.Бланк заказа NEW'!$B$17:$N$201,9,0)="","",VLOOKUP($A577,'Шаг2.Бланк заказа NEW'!$B$17:$N$201,9,0)),
IF(VLOOKUP($A577-COUNT('Шаг2.Бланк заказа NEW'!$B$19:$B$201),'Бланк OLD 0.8 04'!$B$12:$K$200,9,0)="","",VLOOKUP($A577-COUNT('Шаг2.Бланк заказа NEW'!$B$19:$B$201),'Бланк OLD 0.8 04'!$B$12:$K$200,9,0))),
IF(VLOOKUP($A577-COUNT('Шаг2.Бланк заказа NEW'!$B$19:$B$201)-COUNT('Бланк OLD 0.8 04'!$B$18:$B$200),'Бланк OLD 2.0 04 '!$B$16:$K$200,9,0)="","",VLOOKUP($A577-COUNT('Шаг2.Бланк заказа NEW'!$B$19:$B$201)-COUNT('Бланк OLD 0.8 04'!$B$18:$B$200),'Бланк OLD 2.0 04 '!$B$16:$K$200,9,0)))</f>
        <v/>
      </c>
      <c r="M577" s="154" t="str">
        <f t="shared" ref="M577:M603" ca="1" si="54">IFERROR((F577/1000)*(I577/1000)*L577,"")</f>
        <v/>
      </c>
      <c r="N577" s="153" t="str">
        <f ca="1">IFERROR(IF(VLOOKUP($A577,'Шаг2.Бланк заказа NEW'!$B$17:$N$201,11,0)="","",VLOOKUP($A577,'Шаг2.Бланк заказа NEW'!$B$17:$N$201,11,0)),
"Нет")</f>
        <v/>
      </c>
      <c r="O577" s="147" t="str">
        <f ca="1">IFERROR(IF(VLOOKUP($A577,'Шаг2.Бланк заказа NEW'!$B$17:$N$201,11,0)="","",VLOOKUP($A577,'Шаг2.Бланк заказа NEW'!$B$17:$N$201,12,0)),
"Нет")</f>
        <v/>
      </c>
      <c r="P577" s="153" t="str">
        <f ca="1">IFERROR(IF(VLOOKUP($A577,'Шаг2.Бланк заказа NEW'!$B$17:$N$201,13,0)="","",VLOOKUP($A577,'Шаг2.Бланк заказа NEW'!$B$17:$N$201,13,0)),
"Нет")</f>
        <v/>
      </c>
      <c r="Q577" s="147" t="str">
        <f ca="1">IFERROR(IF(VLOOKUP($A577,'Шаг2.Бланк заказа NEW'!$B$17:$O$201,14,0)="","",VLOOKUP($A577,'Шаг2.Бланк заказа NEW'!$B$17:$O$201,14,0)),"")</f>
        <v/>
      </c>
      <c r="R577" s="147" t="str">
        <f ca="1">IFERROR(IFERROR(IF(VLOOKUP($A577,'Шаг2.Бланк заказа NEW'!$B$17:$N$201,4,0)="","",VLOOKUP($A577,'Шаг2.Бланк заказа NEW'!$B$17:$N$201,4,0)),
IF(VLOOKUP($A577-COUNT('Шаг2.Бланк заказа NEW'!$B$19:$B$201),'Бланк OLD 0.8 04'!$B$12:$K$200,4,0)&gt;0,0.8,
IF(VLOOKUP($A577-COUNT('Шаг2.Бланк заказа NEW'!$B$19:$B$201),'Бланк OLD 0.8 04'!$B$12:$K$200,5,0)&gt;0,0.4,""))),
IF(VLOOKUP($A577-COUNT('Шаг2.Бланк заказа NEW'!$B$19:$B$201)-COUNT('Бланк OLD 0.8 04'!$B$18:$B$200),'Бланк OLD 2.0 04 '!$B$16:$K$200,4,0)&gt;0,2,IF(VLOOKUP($A577-COUNT('Шаг2.Бланк заказа NEW'!$B$19:$B$201)-COUNT('Бланк OLD 0.8 04'!$B$18:$B$200),'Бланк OLD 2.0 04 '!$B$16:$K$200,5,0)&gt;0,0.4,"")))</f>
        <v/>
      </c>
      <c r="S577" s="147" t="str">
        <f ca="1">IFERROR(IFERROR(IF(VLOOKUP($A577,'Шаг2.Бланк заказа NEW'!$B$17:$N$201,5,0)="","",VLOOKUP($A577,'Шаг2.Бланк заказа NEW'!$B$17:$N$201,5,0)),
IF(VLOOKUP($A577-COUNT('Шаг2.Бланк заказа NEW'!$B$19:$B$201),'Бланк OLD 0.8 04'!$B$12:$K$200,4,0)&gt;1,0.8,
IF(VLOOKUP($A577-COUNT('Шаг2.Бланк заказа NEW'!$B$19:$B$201),'Бланк OLD 0.8 04'!$B$12:$K$200,5,0)&gt;1,0.4,
IF(AND(VLOOKUP($A577-COUNT('Шаг2.Бланк заказа NEW'!$B$19:$B$201),'Бланк OLD 0.8 04'!$B$12:$K$200,4,0)&gt;0,VLOOKUP($A577-COUNT('Шаг2.Бланк заказа NEW'!$B$19:$B$201),'Бланк OLD 0.8 04'!$B$12:$K$200,5,0)&gt;0),0.4,"")))),
IF(VLOOKUP($A577-COUNT('Шаг2.Бланк заказа NEW'!$B$19:$B$201)-COUNT('Бланк OLD 0.8 04'!$B$18:$B$200),'Бланк OLD 2.0 04 '!$B$16:$K$200,4,0)&gt;1,2,
IF(VLOOKUP($A577-COUNT('Шаг2.Бланк заказа NEW'!$B$19:$B$201)-COUNT('Бланк OLD 0.8 04'!$B$18:$B$200),'Бланк OLD 2.0 04 '!$B$16:$K$200,5,0)&gt;1,0.4,IF(AND(VLOOKUP($A577-COUNT('Шаг2.Бланк заказа NEW'!$B$19:$B$201)-COUNT('Бланк OLD 0.8 04'!$B$18:$B$200),'Бланк OLD 2.0 04 '!$B$16:$K$200,4,0)&gt;0,VLOOKUP($A577-COUNT('Шаг2.Бланк заказа NEW'!$B$19:$B$201)-COUNT('Бланк OLD 0.8 04'!$B$18:$B$200),'Бланк OLD 2.0 04 '!$B$16:$K$200,5,0)&gt;0),0.4,""))))</f>
        <v/>
      </c>
      <c r="T577" s="147" t="str">
        <f ca="1">IFERROR(IFERROR(IF(VLOOKUP($A577,'Шаг2.Бланк заказа NEW'!$B$17:$N$201,7,0)="","",VLOOKUP($A577,'Шаг2.Бланк заказа NEW'!$B$17:$N$201,7,0)),
IF(VLOOKUP($A577-COUNT('Шаг2.Бланк заказа NEW'!$B$19:$B$201),'Бланк OLD 0.8 04'!$B$12:$K$200,7,0)&gt;0,0.8,
IF(VLOOKUP($A577-COUNT('Шаг2.Бланк заказа NEW'!$B$19:$B$201),'Бланк OLD 0.8 04'!$B$12:$K$200,8,0)&gt;0,0.4,""))),
IF(VLOOKUP($A577-COUNT('Шаг2.Бланк заказа NEW'!$B$19:$B$201)-COUNT('Бланк OLD 0.8 04'!$B$18:$B$200),'Бланк OLD 2.0 04 '!$B$16:$K$200,7,0)&gt;0,2,IF(VLOOKUP($A577-COUNT('Шаг2.Бланк заказа NEW'!$B$19:$B$201)-COUNT('Бланк OLD 0.8 04'!$B$18:$B$200),'Бланк OLD 2.0 04 '!$B$16:$K$200,8,0)&gt;0,0.4,"")))</f>
        <v/>
      </c>
      <c r="U577" s="147" t="str">
        <f ca="1">IFERROR(IFERROR(IF(VLOOKUP($A577,'Шаг2.Бланк заказа NEW'!$B$17:$N$201,8,0)="","",VLOOKUP($A577,'Шаг2.Бланк заказа NEW'!$B$17:$N$201,8,0)),
IF(VLOOKUP($A577-COUNT('Шаг2.Бланк заказа NEW'!$B$19:$B$201),'Бланк OLD 0.8 04'!$B$12:$K$200,7,0)&gt;1,0.8,
IF(VLOOKUP($A577-COUNT('Шаг2.Бланк заказа NEW'!$B$19:$B$201),'Бланк OLD 0.8 04'!$B$12:$K$200,8,0)&gt;1,0.4,
IF(AND(VLOOKUP($A577-COUNT('Шаг2.Бланк заказа NEW'!$B$19:$B$201),'Бланк OLD 0.8 04'!$B$12:$K$200,7,0)&gt;0,VLOOKUP($A577-COUNT('Шаг2.Бланк заказа NEW'!$B$19:$B$201),'Бланк OLD 0.8 04'!$B$12:$K$200,8,0)&gt;0),0.4,"")))),
IF(VLOOKUP($A577-COUNT('Шаг2.Бланк заказа NEW'!$B$19:$B$201)-COUNT('Бланк OLD 0.8 04'!$B$18:$B$200),'Бланк OLD 2.0 04 '!$B$16:$K$200,7,0)&gt;1,2,
IF(VLOOKUP($A577-COUNT('Шаг2.Бланк заказа NEW'!$B$19:$B$201)-COUNT('Бланк OLD 0.8 04'!$B$18:$B$200),'Бланк OLD 2.0 04 '!$B$16:$K$200,8,0)&gt;1,0.4,
IF(AND(VLOOKUP($A577-COUNT('Шаг2.Бланк заказа NEW'!$B$19:$B$201)-COUNT('Бланк OLD 0.8 04'!$B$18:$B$200),'Бланк OLD 2.0 04 '!$B$16:$K$200,7,0)&gt;0,VLOOKUP($A577-COUNT('Шаг2.Бланк заказа NEW'!$B$19:$B$201)-COUNT('Бланк OLD 0.8 04'!$B$18:$B$200),'Бланк OLD 2.0 04 '!$B$16:$K$200,8,0)&gt;0),0.4,""))))</f>
        <v/>
      </c>
      <c r="V577" s="146" t="str">
        <f ca="1">IFERROR(VLOOKUP(C577,'Шаг1.Выбор плиты'!C:S,12,0),"")</f>
        <v/>
      </c>
      <c r="W577" s="146" t="str">
        <f ca="1">IFERROR(VLOOKUP(C577,'Шаг1.Выбор плиты'!C:S,8,0),"")</f>
        <v/>
      </c>
      <c r="X577" s="146" t="str">
        <f ca="1">IFERROR(VLOOKUP(C577,'Шаг1.Выбор плиты'!C:S,10,0),"")</f>
        <v/>
      </c>
      <c r="Y577" s="147" t="str">
        <f t="shared" ca="1" si="51"/>
        <v/>
      </c>
      <c r="AD577" s="147" t="str">
        <f t="shared" ca="1" si="53"/>
        <v/>
      </c>
      <c r="AE577" s="147" t="str">
        <f t="shared" ca="1" si="52"/>
        <v/>
      </c>
      <c r="AF577" s="25"/>
      <c r="AH577" s="147" t="str">
        <f ca="1">IF(C577="","",VLOOKUP(C577,'Шаг1.Выбор плиты'!C:Q,7,0))</f>
        <v/>
      </c>
      <c r="AI577" s="147" t="str">
        <f t="shared" ref="AI577:AI603" ca="1" si="55">IF(N577="","",IF(N577="да",1,0))</f>
        <v/>
      </c>
    </row>
    <row r="578" spans="1:35" x14ac:dyDescent="0.2">
      <c r="A578" s="151" t="str">
        <f ca="1">IF(C578="","",MAX($A$1:OFFSET(C578,-1,0))+1)</f>
        <v/>
      </c>
      <c r="B578" s="151" t="str">
        <f ca="1">IFERROR(IFERROR(IFERROR("Шаг2.Бланк заказа NEW №"&amp;VLOOKUP(A577+1,CHOOSE({1,2},'Шаг2.Бланк заказа NEW'!$B$19:$B$201,'Шаг2.Бланк заказа NEW'!$A$19:$A$201),1,0),
"Бланк OLD 0.8 04 №"&amp;VLOOKUP(A577+1-COUNT('Шаг2.Бланк заказа NEW'!$B$19:$B$201),CHOOSE({1,2},'Бланк OLD 0.8 04'!$B$18:$B$200,'Бланк OLD 0.8 04'!$A$18:$A$200),1,0)),
"Бланк OLD 2.0 04 №"&amp;VLOOKUP(A577+1-COUNT('Шаг2.Бланк заказа NEW'!$B$19:$B$201)-COUNT('Бланк OLD 0.8 04'!$B$18:$B$200),CHOOSE({1,2},'Бланк OLD 2.0 04 '!$B$18:$B$200,'Бланк OLD 2.0 04 '!$A$18:$A$200),1,0)),"")</f>
        <v/>
      </c>
      <c r="C578" s="152" t="str">
        <f ca="1">IFERROR(IFERROR(IFERROR(VLOOKUP(A577+1,CHOOSE({1,2},'Шаг2.Бланк заказа NEW'!$B$19:$B$201,'Шаг2.Бланк заказа NEW'!$A$19:$A$201),2,0),
VLOOKUP(A577+1-COUNT('Шаг2.Бланк заказа NEW'!$B$19:$B$201),CHOOSE({1,2},'Бланк OLD 0.8 04'!$B$18:$B$200,'Бланк OLD 0.8 04'!$A$18:$A$200),2,0)),
VLOOKUP(A577+1-COUNT('Шаг2.Бланк заказа NEW'!$B$19:$B$201)-COUNT('Бланк OLD 0.8 04'!$B$18:$B$200),CHOOSE({1,2},'Бланк OLD 2.0 04 '!$B$18:$B$200,'Бланк OLD 2.0 04 '!$A$18:$A$200),2,0)),"")</f>
        <v/>
      </c>
      <c r="D578" s="150" t="str">
        <f ca="1">IFERROR(VLOOKUP(C578,'Шаг1.Выбор плиты'!C:G,5,0),"")</f>
        <v/>
      </c>
      <c r="E578" s="147" t="str">
        <f ca="1">IFERROR(IFERROR(IF(VLOOKUP($A578,'Шаг2.Бланк заказа NEW'!$B$17:$N$201,2,0)="","",VLOOKUP($A578,'Шаг2.Бланк заказа NEW'!$B$17:$N$201,2,0)),
IF(VLOOKUP($A578-COUNT('Шаг2.Бланк заказа NEW'!$B$19:$B$201),'Бланк OLD 0.8 04'!$B$12:$K$200,2,0)="","",VLOOKUP($A578-COUNT('Шаг2.Бланк заказа NEW'!$B$19:$B$201),'Бланк OLD 0.8 04'!$B$12:$K$200,2,0))),
IF(VLOOKUP($A578-COUNT('Шаг2.Бланк заказа NEW'!$B$19:$B$201)-COUNT('Бланк OLD 0.8 04'!$B$18:$B$200),'Бланк OLD 2.0 04 '!$B$16:$K$200,2,0)="","",VLOOKUP($A578-COUNT('Шаг2.Бланк заказа NEW'!$B$19:$B$201)-COUNT('Бланк OLD 0.8 04'!$B$18:$B$200),'Бланк OLD 2.0 04 '!$B$16:$K$200,2,0)))</f>
        <v/>
      </c>
      <c r="F578" s="147" t="str">
        <f ca="1">IFERROR(IFERROR(IF(VLOOKUP($A578,'Шаг2.Бланк заказа NEW'!$B$17:$N$201,3,0)="","",VLOOKUP($A578,'Шаг2.Бланк заказа NEW'!$B$17:$N$201,3,0)),
IF(VLOOKUP($A578-COUNT('Шаг2.Бланк заказа NEW'!$B$19:$B$201),'Бланк OLD 0.8 04'!$B$12:$K$200,3,0)="","",VLOOKUP($A578-COUNT('Шаг2.Бланк заказа NEW'!$B$19:$B$201),'Бланк OLD 0.8 04'!$B$12:$K$200,3,0))),
IF(VLOOKUP($A578-COUNT('Шаг2.Бланк заказа NEW'!$B$19:$B$201)-COUNT('Бланк OLD 0.8 04'!$B$18:$B$200),'Бланк OLD 2.0 04 '!$B$16:$K$200,3,0)="","",VLOOKUP($A578-COUNT('Шаг2.Бланк заказа NEW'!$B$19:$B$201)-COUNT('Бланк OLD 0.8 04'!$B$18:$B$200),'Бланк OLD 2.0 04 '!$B$16:$K$200,3,0)))</f>
        <v/>
      </c>
      <c r="G578" s="176" t="str">
        <f ca="1">IF(IF(R578="","",IF(R578=1,SUMIFS('Шаг1.Выбор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плиты'!C:Q,12,0)),1))))))=0,
R578,
IF(R578="","",IF(R578=1,SUMIFS('Шаг1.Выбор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плиты'!N:N,R578,'Шаг1.Выбор плиты'!M:M,SMALL(INDIRECT("мм"&amp;VLOOKUP(C578,'Шаг1.Выбор плиты'!C:Q,12,0)),1)))))))</f>
        <v/>
      </c>
      <c r="H578" s="177" t="str">
        <f ca="1">IF(IF(S578="","",IF(S578=1,SUMIFS('Шаг1.Выбор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плиты'!C:Q,12,0)),1))))))=0,
S578,
IF(S578="","",IF(S578=1,SUMIFS('Шаг1.Выбор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плиты'!N:N,S578,'Шаг1.Выбор плиты'!M:M,SMALL(INDIRECT("мм"&amp;VLOOKUP(C578,'Шаг1.Выбор плиты'!C:Q,12,0)),1)))))))</f>
        <v/>
      </c>
      <c r="I578" s="147" t="str">
        <f ca="1">IFERROR(IFERROR(IF(VLOOKUP($A578,'Шаг2.Бланк заказа NEW'!$B$17:$N$201,6,0)="","",VLOOKUP($A578,'Шаг2.Бланк заказа NEW'!$B$17:$N$201,6,0)),
IF(VLOOKUP($A578-COUNT('Шаг2.Бланк заказа NEW'!$B$19:$B$201),'Бланк OLD 0.8 04'!$B$12:$K$200,6,0)="","",VLOOKUP($A578-COUNT('Шаг2.Бланк заказа NEW'!$B$19:$B$201),'Бланк OLD 0.8 04'!$B$12:$K$200,6,0))),
IF(VLOOKUP($A578-COUNT('Шаг2.Бланк заказа NEW'!$B$19:$B$201)-COUNT('Бланк OLD 0.8 04'!$B$18:$B$200),'Бланк OLD 2.0 04 '!$B$16:$K$200,6,0)="","",VLOOKUP($A578-COUNT('Шаг2.Бланк заказа NEW'!$B$19:$B$201)-COUNT('Бланк OLD 0.8 04'!$B$18:$B$200),'Бланк OLD 2.0 04 '!$B$16:$K$200,6,0)))</f>
        <v/>
      </c>
      <c r="J578" s="177" t="str">
        <f ca="1">IF(IF(T578="","",IF(T578=1,SUMIFS('Шаг1.Выбор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плиты'!C:Q,12,0)),1))))))=0,
T578,
IF(T578="","",IF(T578=1,SUMIFS('Шаг1.Выбор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плиты'!N:N,T578,'Шаг1.Выбор плиты'!M:M,SMALL(INDIRECT("мм"&amp;VLOOKUP(C578,'Шаг1.Выбор плиты'!C:Q,12,0)),1)))))))</f>
        <v/>
      </c>
      <c r="K578" s="177" t="str">
        <f ca="1">IF(IF(U578="","",IF(U578=1,SUMIFS('Шаг1.Выбор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плиты'!C:Q,12,0)),1))))))=0,
U578,
IF(U578="","",IF(U578=1,SUMIFS('Шаг1.Выбор плиты'!$G:$G,'Шаг1.Выбор плиты'!J:J,"*"&amp;RIGHT(VLOOKUP(C578,'Шаг1.Выбор плиты'!C:Q,8,0),4),'Шаг1.Выбор плиты'!L:L,IF(MID(C578,1,6)="ЛДСП P","TM"&amp;MID(VLOOKUP(C578,'Шаг1.Выбор плиты'!C:Q,10,0),3,2),MID(VLOOKUP(C578,'Шаг1.Выбор плиты'!C:Q,10,0),1,2)),
'Шаг1.Выбор плиты'!N:N,1),IF(SUMIFS('Шаг1.Выбор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плиты'!C:Q,12,0)),1))=0,
IF(SUMIFS('Шаг1.Выбор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плиты'!C:Q,12,0)),2))=0,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плиты'!C:Q,12,0)),3)),
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плиты'!C:Q,12,0)),2))),
(SUMIFS('Шаг1.Выбор плиты'!$G:$G,'Шаг1.Выбор плиты'!J:J,"*"&amp;RIGHT(VLOOKUP(C578,'Шаг1.Выбор плиты'!C:Q,8,0),4),'Шаг1.Выбор плиты'!L:L,VLOOKUP(C578,'Шаг1.Выбор плиты'!C:Q,10,0),'Шаг1.Выбор плиты'!N:N,U578,'Шаг1.Выбор плиты'!M:M,SMALL(INDIRECT("мм"&amp;VLOOKUP(C578,'Шаг1.Выбор плиты'!C:Q,12,0)),1)))))))</f>
        <v/>
      </c>
      <c r="L578" s="147" t="str">
        <f ca="1">IFERROR(IFERROR(IF(VLOOKUP($A578,'Шаг2.Бланк заказа NEW'!$B$17:$N$201,9,0)="","",VLOOKUP($A578,'Шаг2.Бланк заказа NEW'!$B$17:$N$201,9,0)),
IF(VLOOKUP($A578-COUNT('Шаг2.Бланк заказа NEW'!$B$19:$B$201),'Бланк OLD 0.8 04'!$B$12:$K$200,9,0)="","",VLOOKUP($A578-COUNT('Шаг2.Бланк заказа NEW'!$B$19:$B$201),'Бланк OLD 0.8 04'!$B$12:$K$200,9,0))),
IF(VLOOKUP($A578-COUNT('Шаг2.Бланк заказа NEW'!$B$19:$B$201)-COUNT('Бланк OLD 0.8 04'!$B$18:$B$200),'Бланк OLD 2.0 04 '!$B$16:$K$200,9,0)="","",VLOOKUP($A578-COUNT('Шаг2.Бланк заказа NEW'!$B$19:$B$201)-COUNT('Бланк OLD 0.8 04'!$B$18:$B$200),'Бланк OLD 2.0 04 '!$B$16:$K$200,9,0)))</f>
        <v/>
      </c>
      <c r="M578" s="154" t="str">
        <f t="shared" ca="1" si="54"/>
        <v/>
      </c>
      <c r="N578" s="153" t="str">
        <f ca="1">IFERROR(IF(VLOOKUP($A578,'Шаг2.Бланк заказа NEW'!$B$17:$N$201,11,0)="","",VLOOKUP($A578,'Шаг2.Бланк заказа NEW'!$B$17:$N$201,11,0)),
"Нет")</f>
        <v/>
      </c>
      <c r="O578" s="147" t="str">
        <f ca="1">IFERROR(IF(VLOOKUP($A578,'Шаг2.Бланк заказа NEW'!$B$17:$N$201,11,0)="","",VLOOKUP($A578,'Шаг2.Бланк заказа NEW'!$B$17:$N$201,12,0)),
"Нет")</f>
        <v/>
      </c>
      <c r="P578" s="153" t="str">
        <f ca="1">IFERROR(IF(VLOOKUP($A578,'Шаг2.Бланк заказа NEW'!$B$17:$N$201,13,0)="","",VLOOKUP($A578,'Шаг2.Бланк заказа NEW'!$B$17:$N$201,13,0)),
"Нет")</f>
        <v/>
      </c>
      <c r="Q578" s="147" t="str">
        <f ca="1">IFERROR(IF(VLOOKUP($A578,'Шаг2.Бланк заказа NEW'!$B$17:$O$201,14,0)="","",VLOOKUP($A578,'Шаг2.Бланк заказа NEW'!$B$17:$O$201,14,0)),"")</f>
        <v/>
      </c>
      <c r="R578" s="147" t="str">
        <f ca="1">IFERROR(IFERROR(IF(VLOOKUP($A578,'Шаг2.Бланк заказа NEW'!$B$17:$N$201,4,0)="","",VLOOKUP($A578,'Шаг2.Бланк заказа NEW'!$B$17:$N$201,4,0)),
IF(VLOOKUP($A578-COUNT('Шаг2.Бланк заказа NEW'!$B$19:$B$201),'Бланк OLD 0.8 04'!$B$12:$K$200,4,0)&gt;0,0.8,
IF(VLOOKUP($A578-COUNT('Шаг2.Бланк заказа NEW'!$B$19:$B$201),'Бланк OLD 0.8 04'!$B$12:$K$200,5,0)&gt;0,0.4,""))),
IF(VLOOKUP($A578-COUNT('Шаг2.Бланк заказа NEW'!$B$19:$B$201)-COUNT('Бланк OLD 0.8 04'!$B$18:$B$200),'Бланк OLD 2.0 04 '!$B$16:$K$200,4,0)&gt;0,2,IF(VLOOKUP($A578-COUNT('Шаг2.Бланк заказа NEW'!$B$19:$B$201)-COUNT('Бланк OLD 0.8 04'!$B$18:$B$200),'Бланк OLD 2.0 04 '!$B$16:$K$200,5,0)&gt;0,0.4,"")))</f>
        <v/>
      </c>
      <c r="S578" s="147" t="str">
        <f ca="1">IFERROR(IFERROR(IF(VLOOKUP($A578,'Шаг2.Бланк заказа NEW'!$B$17:$N$201,5,0)="","",VLOOKUP($A578,'Шаг2.Бланк заказа NEW'!$B$17:$N$201,5,0)),
IF(VLOOKUP($A578-COUNT('Шаг2.Бланк заказа NEW'!$B$19:$B$201),'Бланк OLD 0.8 04'!$B$12:$K$200,4,0)&gt;1,0.8,
IF(VLOOKUP($A578-COUNT('Шаг2.Бланк заказа NEW'!$B$19:$B$201),'Бланк OLD 0.8 04'!$B$12:$K$200,5,0)&gt;1,0.4,
IF(AND(VLOOKUP($A578-COUNT('Шаг2.Бланк заказа NEW'!$B$19:$B$201),'Бланк OLD 0.8 04'!$B$12:$K$200,4,0)&gt;0,VLOOKUP($A578-COUNT('Шаг2.Бланк заказа NEW'!$B$19:$B$201),'Бланк OLD 0.8 04'!$B$12:$K$200,5,0)&gt;0),0.4,"")))),
IF(VLOOKUP($A578-COUNT('Шаг2.Бланк заказа NEW'!$B$19:$B$201)-COUNT('Бланк OLD 0.8 04'!$B$18:$B$200),'Бланк OLD 2.0 04 '!$B$16:$K$200,4,0)&gt;1,2,
IF(VLOOKUP($A578-COUNT('Шаг2.Бланк заказа NEW'!$B$19:$B$201)-COUNT('Бланк OLD 0.8 04'!$B$18:$B$200),'Бланк OLD 2.0 04 '!$B$16:$K$200,5,0)&gt;1,0.4,IF(AND(VLOOKUP($A578-COUNT('Шаг2.Бланк заказа NEW'!$B$19:$B$201)-COUNT('Бланк OLD 0.8 04'!$B$18:$B$200),'Бланк OLD 2.0 04 '!$B$16:$K$200,4,0)&gt;0,VLOOKUP($A578-COUNT('Шаг2.Бланк заказа NEW'!$B$19:$B$201)-COUNT('Бланк OLD 0.8 04'!$B$18:$B$200),'Бланк OLD 2.0 04 '!$B$16:$K$200,5,0)&gt;0),0.4,""))))</f>
        <v/>
      </c>
      <c r="T578" s="147" t="str">
        <f ca="1">IFERROR(IFERROR(IF(VLOOKUP($A578,'Шаг2.Бланк заказа NEW'!$B$17:$N$201,7,0)="","",VLOOKUP($A578,'Шаг2.Бланк заказа NEW'!$B$17:$N$201,7,0)),
IF(VLOOKUP($A578-COUNT('Шаг2.Бланк заказа NEW'!$B$19:$B$201),'Бланк OLD 0.8 04'!$B$12:$K$200,7,0)&gt;0,0.8,
IF(VLOOKUP($A578-COUNT('Шаг2.Бланк заказа NEW'!$B$19:$B$201),'Бланк OLD 0.8 04'!$B$12:$K$200,8,0)&gt;0,0.4,""))),
IF(VLOOKUP($A578-COUNT('Шаг2.Бланк заказа NEW'!$B$19:$B$201)-COUNT('Бланк OLD 0.8 04'!$B$18:$B$200),'Бланк OLD 2.0 04 '!$B$16:$K$200,7,0)&gt;0,2,IF(VLOOKUP($A578-COUNT('Шаг2.Бланк заказа NEW'!$B$19:$B$201)-COUNT('Бланк OLD 0.8 04'!$B$18:$B$200),'Бланк OLD 2.0 04 '!$B$16:$K$200,8,0)&gt;0,0.4,"")))</f>
        <v/>
      </c>
      <c r="U578" s="147" t="str">
        <f ca="1">IFERROR(IFERROR(IF(VLOOKUP($A578,'Шаг2.Бланк заказа NEW'!$B$17:$N$201,8,0)="","",VLOOKUP($A578,'Шаг2.Бланк заказа NEW'!$B$17:$N$201,8,0)),
IF(VLOOKUP($A578-COUNT('Шаг2.Бланк заказа NEW'!$B$19:$B$201),'Бланк OLD 0.8 04'!$B$12:$K$200,7,0)&gt;1,0.8,
IF(VLOOKUP($A578-COUNT('Шаг2.Бланк заказа NEW'!$B$19:$B$201),'Бланк OLD 0.8 04'!$B$12:$K$200,8,0)&gt;1,0.4,
IF(AND(VLOOKUP($A578-COUNT('Шаг2.Бланк заказа NEW'!$B$19:$B$201),'Бланк OLD 0.8 04'!$B$12:$K$200,7,0)&gt;0,VLOOKUP($A578-COUNT('Шаг2.Бланк заказа NEW'!$B$19:$B$201),'Бланк OLD 0.8 04'!$B$12:$K$200,8,0)&gt;0),0.4,"")))),
IF(VLOOKUP($A578-COUNT('Шаг2.Бланк заказа NEW'!$B$19:$B$201)-COUNT('Бланк OLD 0.8 04'!$B$18:$B$200),'Бланк OLD 2.0 04 '!$B$16:$K$200,7,0)&gt;1,2,
IF(VLOOKUP($A578-COUNT('Шаг2.Бланк заказа NEW'!$B$19:$B$201)-COUNT('Бланк OLD 0.8 04'!$B$18:$B$200),'Бланк OLD 2.0 04 '!$B$16:$K$200,8,0)&gt;1,0.4,
IF(AND(VLOOKUP($A578-COUNT('Шаг2.Бланк заказа NEW'!$B$19:$B$201)-COUNT('Бланк OLD 0.8 04'!$B$18:$B$200),'Бланк OLD 2.0 04 '!$B$16:$K$200,7,0)&gt;0,VLOOKUP($A578-COUNT('Шаг2.Бланк заказа NEW'!$B$19:$B$201)-COUNT('Бланк OLD 0.8 04'!$B$18:$B$200),'Бланк OLD 2.0 04 '!$B$16:$K$200,8,0)&gt;0),0.4,""))))</f>
        <v/>
      </c>
      <c r="V578" s="146" t="str">
        <f ca="1">IFERROR(VLOOKUP(C578,'Шаг1.Выбор плиты'!C:S,12,0),"")</f>
        <v/>
      </c>
      <c r="W578" s="146" t="str">
        <f ca="1">IFERROR(VLOOKUP(C578,'Шаг1.Выбор плиты'!C:S,8,0),"")</f>
        <v/>
      </c>
      <c r="X578" s="146" t="str">
        <f ca="1">IFERROR(VLOOKUP(C578,'Шаг1.Выбор плиты'!C:S,10,0),"")</f>
        <v/>
      </c>
      <c r="Y578" s="147" t="str">
        <f t="shared" ca="1" si="51"/>
        <v/>
      </c>
      <c r="AD578" s="147" t="str">
        <f t="shared" ca="1" si="53"/>
        <v/>
      </c>
      <c r="AE578" s="147" t="str">
        <f t="shared" ca="1" si="52"/>
        <v/>
      </c>
      <c r="AF578" s="25"/>
      <c r="AH578" s="147" t="str">
        <f ca="1">IF(C578="","",VLOOKUP(C578,'Шаг1.Выбор плиты'!C:Q,7,0))</f>
        <v/>
      </c>
      <c r="AI578" s="147" t="str">
        <f t="shared" ca="1" si="55"/>
        <v/>
      </c>
    </row>
    <row r="579" spans="1:35" x14ac:dyDescent="0.2">
      <c r="A579" s="151" t="str">
        <f ca="1">IF(C579="","",MAX($A$1:OFFSET(C579,-1,0))+1)</f>
        <v/>
      </c>
      <c r="B579" s="151" t="str">
        <f ca="1">IFERROR(IFERROR(IFERROR("Шаг2.Бланк заказа NEW №"&amp;VLOOKUP(A578+1,CHOOSE({1,2},'Шаг2.Бланк заказа NEW'!$B$19:$B$201,'Шаг2.Бланк заказа NEW'!$A$19:$A$201),1,0),
"Бланк OLD 0.8 04 №"&amp;VLOOKUP(A578+1-COUNT('Шаг2.Бланк заказа NEW'!$B$19:$B$201),CHOOSE({1,2},'Бланк OLD 0.8 04'!$B$18:$B$200,'Бланк OLD 0.8 04'!$A$18:$A$200),1,0)),
"Бланк OLD 2.0 04 №"&amp;VLOOKUP(A578+1-COUNT('Шаг2.Бланк заказа NEW'!$B$19:$B$201)-COUNT('Бланк OLD 0.8 04'!$B$18:$B$200),CHOOSE({1,2},'Бланк OLD 2.0 04 '!$B$18:$B$200,'Бланк OLD 2.0 04 '!$A$18:$A$200),1,0)),"")</f>
        <v/>
      </c>
      <c r="C579" s="152" t="str">
        <f ca="1">IFERROR(IFERROR(IFERROR(VLOOKUP(A578+1,CHOOSE({1,2},'Шаг2.Бланк заказа NEW'!$B$19:$B$201,'Шаг2.Бланк заказа NEW'!$A$19:$A$201),2,0),
VLOOKUP(A578+1-COUNT('Шаг2.Бланк заказа NEW'!$B$19:$B$201),CHOOSE({1,2},'Бланк OLD 0.8 04'!$B$18:$B$200,'Бланк OLD 0.8 04'!$A$18:$A$200),2,0)),
VLOOKUP(A578+1-COUNT('Шаг2.Бланк заказа NEW'!$B$19:$B$201)-COUNT('Бланк OLD 0.8 04'!$B$18:$B$200),CHOOSE({1,2},'Бланк OLD 2.0 04 '!$B$18:$B$200,'Бланк OLD 2.0 04 '!$A$18:$A$200),2,0)),"")</f>
        <v/>
      </c>
      <c r="D579" s="150" t="str">
        <f ca="1">IFERROR(VLOOKUP(C579,'Шаг1.Выбор плиты'!C:G,5,0),"")</f>
        <v/>
      </c>
      <c r="E579" s="147" t="str">
        <f ca="1">IFERROR(IFERROR(IF(VLOOKUP($A579,'Шаг2.Бланк заказа NEW'!$B$17:$N$201,2,0)="","",VLOOKUP($A579,'Шаг2.Бланк заказа NEW'!$B$17:$N$201,2,0)),
IF(VLOOKUP($A579-COUNT('Шаг2.Бланк заказа NEW'!$B$19:$B$201),'Бланк OLD 0.8 04'!$B$12:$K$200,2,0)="","",VLOOKUP($A579-COUNT('Шаг2.Бланк заказа NEW'!$B$19:$B$201),'Бланк OLD 0.8 04'!$B$12:$K$200,2,0))),
IF(VLOOKUP($A579-COUNT('Шаг2.Бланк заказа NEW'!$B$19:$B$201)-COUNT('Бланк OLD 0.8 04'!$B$18:$B$200),'Бланк OLD 2.0 04 '!$B$16:$K$200,2,0)="","",VLOOKUP($A579-COUNT('Шаг2.Бланк заказа NEW'!$B$19:$B$201)-COUNT('Бланк OLD 0.8 04'!$B$18:$B$200),'Бланк OLD 2.0 04 '!$B$16:$K$200,2,0)))</f>
        <v/>
      </c>
      <c r="F579" s="147" t="str">
        <f ca="1">IFERROR(IFERROR(IF(VLOOKUP($A579,'Шаг2.Бланк заказа NEW'!$B$17:$N$201,3,0)="","",VLOOKUP($A579,'Шаг2.Бланк заказа NEW'!$B$17:$N$201,3,0)),
IF(VLOOKUP($A579-COUNT('Шаг2.Бланк заказа NEW'!$B$19:$B$201),'Бланк OLD 0.8 04'!$B$12:$K$200,3,0)="","",VLOOKUP($A579-COUNT('Шаг2.Бланк заказа NEW'!$B$19:$B$201),'Бланк OLD 0.8 04'!$B$12:$K$200,3,0))),
IF(VLOOKUP($A579-COUNT('Шаг2.Бланк заказа NEW'!$B$19:$B$201)-COUNT('Бланк OLD 0.8 04'!$B$18:$B$200),'Бланк OLD 2.0 04 '!$B$16:$K$200,3,0)="","",VLOOKUP($A579-COUNT('Шаг2.Бланк заказа NEW'!$B$19:$B$201)-COUNT('Бланк OLD 0.8 04'!$B$18:$B$200),'Бланк OLD 2.0 04 '!$B$16:$K$200,3,0)))</f>
        <v/>
      </c>
      <c r="G579" s="176" t="str">
        <f ca="1">IF(IF(R579="","",IF(R579=1,SUMIFS('Шаг1.Выбор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плиты'!C:Q,12,0)),1))))))=0,
R579,
IF(R579="","",IF(R579=1,SUMIFS('Шаг1.Выбор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плиты'!N:N,R579,'Шаг1.Выбор плиты'!M:M,SMALL(INDIRECT("мм"&amp;VLOOKUP(C579,'Шаг1.Выбор плиты'!C:Q,12,0)),1)))))))</f>
        <v/>
      </c>
      <c r="H579" s="177" t="str">
        <f ca="1">IF(IF(S579="","",IF(S579=1,SUMIFS('Шаг1.Выбор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плиты'!C:Q,12,0)),1))))))=0,
S579,
IF(S579="","",IF(S579=1,SUMIFS('Шаг1.Выбор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плиты'!N:N,S579,'Шаг1.Выбор плиты'!M:M,SMALL(INDIRECT("мм"&amp;VLOOKUP(C579,'Шаг1.Выбор плиты'!C:Q,12,0)),1)))))))</f>
        <v/>
      </c>
      <c r="I579" s="147" t="str">
        <f ca="1">IFERROR(IFERROR(IF(VLOOKUP($A579,'Шаг2.Бланк заказа NEW'!$B$17:$N$201,6,0)="","",VLOOKUP($A579,'Шаг2.Бланк заказа NEW'!$B$17:$N$201,6,0)),
IF(VLOOKUP($A579-COUNT('Шаг2.Бланк заказа NEW'!$B$19:$B$201),'Бланк OLD 0.8 04'!$B$12:$K$200,6,0)="","",VLOOKUP($A579-COUNT('Шаг2.Бланк заказа NEW'!$B$19:$B$201),'Бланк OLD 0.8 04'!$B$12:$K$200,6,0))),
IF(VLOOKUP($A579-COUNT('Шаг2.Бланк заказа NEW'!$B$19:$B$201)-COUNT('Бланк OLD 0.8 04'!$B$18:$B$200),'Бланк OLD 2.0 04 '!$B$16:$K$200,6,0)="","",VLOOKUP($A579-COUNT('Шаг2.Бланк заказа NEW'!$B$19:$B$201)-COUNT('Бланк OLD 0.8 04'!$B$18:$B$200),'Бланк OLD 2.0 04 '!$B$16:$K$200,6,0)))</f>
        <v/>
      </c>
      <c r="J579" s="177" t="str">
        <f ca="1">IF(IF(T579="","",IF(T579=1,SUMIFS('Шаг1.Выбор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плиты'!C:Q,12,0)),1))))))=0,
T579,
IF(T579="","",IF(T579=1,SUMIFS('Шаг1.Выбор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плиты'!N:N,T579,'Шаг1.Выбор плиты'!M:M,SMALL(INDIRECT("мм"&amp;VLOOKUP(C579,'Шаг1.Выбор плиты'!C:Q,12,0)),1)))))))</f>
        <v/>
      </c>
      <c r="K579" s="177" t="str">
        <f ca="1">IF(IF(U579="","",IF(U579=1,SUMIFS('Шаг1.Выбор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плиты'!C:Q,12,0)),1))))))=0,
U579,
IF(U579="","",IF(U579=1,SUMIFS('Шаг1.Выбор плиты'!$G:$G,'Шаг1.Выбор плиты'!J:J,"*"&amp;RIGHT(VLOOKUP(C579,'Шаг1.Выбор плиты'!C:Q,8,0),4),'Шаг1.Выбор плиты'!L:L,IF(MID(C579,1,6)="ЛДСП P","TM"&amp;MID(VLOOKUP(C579,'Шаг1.Выбор плиты'!C:Q,10,0),3,2),MID(VLOOKUP(C579,'Шаг1.Выбор плиты'!C:Q,10,0),1,2)),
'Шаг1.Выбор плиты'!N:N,1),IF(SUMIFS('Шаг1.Выбор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плиты'!C:Q,12,0)),1))=0,
IF(SUMIFS('Шаг1.Выбор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плиты'!C:Q,12,0)),2))=0,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плиты'!C:Q,12,0)),3)),
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плиты'!C:Q,12,0)),2))),
(SUMIFS('Шаг1.Выбор плиты'!$G:$G,'Шаг1.Выбор плиты'!J:J,"*"&amp;RIGHT(VLOOKUP(C579,'Шаг1.Выбор плиты'!C:Q,8,0),4),'Шаг1.Выбор плиты'!L:L,VLOOKUP(C579,'Шаг1.Выбор плиты'!C:Q,10,0),'Шаг1.Выбор плиты'!N:N,U579,'Шаг1.Выбор плиты'!M:M,SMALL(INDIRECT("мм"&amp;VLOOKUP(C579,'Шаг1.Выбор плиты'!C:Q,12,0)),1)))))))</f>
        <v/>
      </c>
      <c r="L579" s="147" t="str">
        <f ca="1">IFERROR(IFERROR(IF(VLOOKUP($A579,'Шаг2.Бланк заказа NEW'!$B$17:$N$201,9,0)="","",VLOOKUP($A579,'Шаг2.Бланк заказа NEW'!$B$17:$N$201,9,0)),
IF(VLOOKUP($A579-COUNT('Шаг2.Бланк заказа NEW'!$B$19:$B$201),'Бланк OLD 0.8 04'!$B$12:$K$200,9,0)="","",VLOOKUP($A579-COUNT('Шаг2.Бланк заказа NEW'!$B$19:$B$201),'Бланк OLD 0.8 04'!$B$12:$K$200,9,0))),
IF(VLOOKUP($A579-COUNT('Шаг2.Бланк заказа NEW'!$B$19:$B$201)-COUNT('Бланк OLD 0.8 04'!$B$18:$B$200),'Бланк OLD 2.0 04 '!$B$16:$K$200,9,0)="","",VLOOKUP($A579-COUNT('Шаг2.Бланк заказа NEW'!$B$19:$B$201)-COUNT('Бланк OLD 0.8 04'!$B$18:$B$200),'Бланк OLD 2.0 04 '!$B$16:$K$200,9,0)))</f>
        <v/>
      </c>
      <c r="M579" s="154" t="str">
        <f t="shared" ca="1" si="54"/>
        <v/>
      </c>
      <c r="N579" s="153" t="str">
        <f ca="1">IFERROR(IF(VLOOKUP($A579,'Шаг2.Бланк заказа NEW'!$B$17:$N$201,11,0)="","",VLOOKUP($A579,'Шаг2.Бланк заказа NEW'!$B$17:$N$201,11,0)),
"Нет")</f>
        <v/>
      </c>
      <c r="O579" s="147" t="str">
        <f ca="1">IFERROR(IF(VLOOKUP($A579,'Шаг2.Бланк заказа NEW'!$B$17:$N$201,11,0)="","",VLOOKUP($A579,'Шаг2.Бланк заказа NEW'!$B$17:$N$201,12,0)),
"Нет")</f>
        <v/>
      </c>
      <c r="P579" s="153" t="str">
        <f ca="1">IFERROR(IF(VLOOKUP($A579,'Шаг2.Бланк заказа NEW'!$B$17:$N$201,13,0)="","",VLOOKUP($A579,'Шаг2.Бланк заказа NEW'!$B$17:$N$201,13,0)),
"Нет")</f>
        <v/>
      </c>
      <c r="Q579" s="147" t="str">
        <f ca="1">IFERROR(IF(VLOOKUP($A579,'Шаг2.Бланк заказа NEW'!$B$17:$O$201,14,0)="","",VLOOKUP($A579,'Шаг2.Бланк заказа NEW'!$B$17:$O$201,14,0)),"")</f>
        <v/>
      </c>
      <c r="R579" s="147" t="str">
        <f ca="1">IFERROR(IFERROR(IF(VLOOKUP($A579,'Шаг2.Бланк заказа NEW'!$B$17:$N$201,4,0)="","",VLOOKUP($A579,'Шаг2.Бланк заказа NEW'!$B$17:$N$201,4,0)),
IF(VLOOKUP($A579-COUNT('Шаг2.Бланк заказа NEW'!$B$19:$B$201),'Бланк OLD 0.8 04'!$B$12:$K$200,4,0)&gt;0,0.8,
IF(VLOOKUP($A579-COUNT('Шаг2.Бланк заказа NEW'!$B$19:$B$201),'Бланк OLD 0.8 04'!$B$12:$K$200,5,0)&gt;0,0.4,""))),
IF(VLOOKUP($A579-COUNT('Шаг2.Бланк заказа NEW'!$B$19:$B$201)-COUNT('Бланк OLD 0.8 04'!$B$18:$B$200),'Бланк OLD 2.0 04 '!$B$16:$K$200,4,0)&gt;0,2,IF(VLOOKUP($A579-COUNT('Шаг2.Бланк заказа NEW'!$B$19:$B$201)-COUNT('Бланк OLD 0.8 04'!$B$18:$B$200),'Бланк OLD 2.0 04 '!$B$16:$K$200,5,0)&gt;0,0.4,"")))</f>
        <v/>
      </c>
      <c r="S579" s="147" t="str">
        <f ca="1">IFERROR(IFERROR(IF(VLOOKUP($A579,'Шаг2.Бланк заказа NEW'!$B$17:$N$201,5,0)="","",VLOOKUP($A579,'Шаг2.Бланк заказа NEW'!$B$17:$N$201,5,0)),
IF(VLOOKUP($A579-COUNT('Шаг2.Бланк заказа NEW'!$B$19:$B$201),'Бланк OLD 0.8 04'!$B$12:$K$200,4,0)&gt;1,0.8,
IF(VLOOKUP($A579-COUNT('Шаг2.Бланк заказа NEW'!$B$19:$B$201),'Бланк OLD 0.8 04'!$B$12:$K$200,5,0)&gt;1,0.4,
IF(AND(VLOOKUP($A579-COUNT('Шаг2.Бланк заказа NEW'!$B$19:$B$201),'Бланк OLD 0.8 04'!$B$12:$K$200,4,0)&gt;0,VLOOKUP($A579-COUNT('Шаг2.Бланк заказа NEW'!$B$19:$B$201),'Бланк OLD 0.8 04'!$B$12:$K$200,5,0)&gt;0),0.4,"")))),
IF(VLOOKUP($A579-COUNT('Шаг2.Бланк заказа NEW'!$B$19:$B$201)-COUNT('Бланк OLD 0.8 04'!$B$18:$B$200),'Бланк OLD 2.0 04 '!$B$16:$K$200,4,0)&gt;1,2,
IF(VLOOKUP($A579-COUNT('Шаг2.Бланк заказа NEW'!$B$19:$B$201)-COUNT('Бланк OLD 0.8 04'!$B$18:$B$200),'Бланк OLD 2.0 04 '!$B$16:$K$200,5,0)&gt;1,0.4,IF(AND(VLOOKUP($A579-COUNT('Шаг2.Бланк заказа NEW'!$B$19:$B$201)-COUNT('Бланк OLD 0.8 04'!$B$18:$B$200),'Бланк OLD 2.0 04 '!$B$16:$K$200,4,0)&gt;0,VLOOKUP($A579-COUNT('Шаг2.Бланк заказа NEW'!$B$19:$B$201)-COUNT('Бланк OLD 0.8 04'!$B$18:$B$200),'Бланк OLD 2.0 04 '!$B$16:$K$200,5,0)&gt;0),0.4,""))))</f>
        <v/>
      </c>
      <c r="T579" s="147" t="str">
        <f ca="1">IFERROR(IFERROR(IF(VLOOKUP($A579,'Шаг2.Бланк заказа NEW'!$B$17:$N$201,7,0)="","",VLOOKUP($A579,'Шаг2.Бланк заказа NEW'!$B$17:$N$201,7,0)),
IF(VLOOKUP($A579-COUNT('Шаг2.Бланк заказа NEW'!$B$19:$B$201),'Бланк OLD 0.8 04'!$B$12:$K$200,7,0)&gt;0,0.8,
IF(VLOOKUP($A579-COUNT('Шаг2.Бланк заказа NEW'!$B$19:$B$201),'Бланк OLD 0.8 04'!$B$12:$K$200,8,0)&gt;0,0.4,""))),
IF(VLOOKUP($A579-COUNT('Шаг2.Бланк заказа NEW'!$B$19:$B$201)-COUNT('Бланк OLD 0.8 04'!$B$18:$B$200),'Бланк OLD 2.0 04 '!$B$16:$K$200,7,0)&gt;0,2,IF(VLOOKUP($A579-COUNT('Шаг2.Бланк заказа NEW'!$B$19:$B$201)-COUNT('Бланк OLD 0.8 04'!$B$18:$B$200),'Бланк OLD 2.0 04 '!$B$16:$K$200,8,0)&gt;0,0.4,"")))</f>
        <v/>
      </c>
      <c r="U579" s="147" t="str">
        <f ca="1">IFERROR(IFERROR(IF(VLOOKUP($A579,'Шаг2.Бланк заказа NEW'!$B$17:$N$201,8,0)="","",VLOOKUP($A579,'Шаг2.Бланк заказа NEW'!$B$17:$N$201,8,0)),
IF(VLOOKUP($A579-COUNT('Шаг2.Бланк заказа NEW'!$B$19:$B$201),'Бланк OLD 0.8 04'!$B$12:$K$200,7,0)&gt;1,0.8,
IF(VLOOKUP($A579-COUNT('Шаг2.Бланк заказа NEW'!$B$19:$B$201),'Бланк OLD 0.8 04'!$B$12:$K$200,8,0)&gt;1,0.4,
IF(AND(VLOOKUP($A579-COUNT('Шаг2.Бланк заказа NEW'!$B$19:$B$201),'Бланк OLD 0.8 04'!$B$12:$K$200,7,0)&gt;0,VLOOKUP($A579-COUNT('Шаг2.Бланк заказа NEW'!$B$19:$B$201),'Бланк OLD 0.8 04'!$B$12:$K$200,8,0)&gt;0),0.4,"")))),
IF(VLOOKUP($A579-COUNT('Шаг2.Бланк заказа NEW'!$B$19:$B$201)-COUNT('Бланк OLD 0.8 04'!$B$18:$B$200),'Бланк OLD 2.0 04 '!$B$16:$K$200,7,0)&gt;1,2,
IF(VLOOKUP($A579-COUNT('Шаг2.Бланк заказа NEW'!$B$19:$B$201)-COUNT('Бланк OLD 0.8 04'!$B$18:$B$200),'Бланк OLD 2.0 04 '!$B$16:$K$200,8,0)&gt;1,0.4,
IF(AND(VLOOKUP($A579-COUNT('Шаг2.Бланк заказа NEW'!$B$19:$B$201)-COUNT('Бланк OLD 0.8 04'!$B$18:$B$200),'Бланк OLD 2.0 04 '!$B$16:$K$200,7,0)&gt;0,VLOOKUP($A579-COUNT('Шаг2.Бланк заказа NEW'!$B$19:$B$201)-COUNT('Бланк OLD 0.8 04'!$B$18:$B$200),'Бланк OLD 2.0 04 '!$B$16:$K$200,8,0)&gt;0),0.4,""))))</f>
        <v/>
      </c>
      <c r="V579" s="146" t="str">
        <f ca="1">IFERROR(VLOOKUP(C579,'Шаг1.Выбор плиты'!C:S,12,0),"")</f>
        <v/>
      </c>
      <c r="W579" s="146" t="str">
        <f ca="1">IFERROR(VLOOKUP(C579,'Шаг1.Выбор плиты'!C:S,8,0),"")</f>
        <v/>
      </c>
      <c r="X579" s="146" t="str">
        <f ca="1">IFERROR(VLOOKUP(C579,'Шаг1.Выбор плиты'!C:S,10,0),"")</f>
        <v/>
      </c>
      <c r="Y579" s="147" t="str">
        <f t="shared" ref="Y579:Y603" ca="1" si="56">IF(C579="","",$Z$7)</f>
        <v/>
      </c>
      <c r="AD579" s="147" t="str">
        <f t="shared" ca="1" si="53"/>
        <v/>
      </c>
      <c r="AE579" s="147" t="str">
        <f t="shared" ref="AE579:AE603" ca="1" si="57">IF(B579="","","kwadrat"&amp;(V579*1))</f>
        <v/>
      </c>
      <c r="AF579" s="25"/>
      <c r="AH579" s="147" t="str">
        <f ca="1">IF(C579="","",VLOOKUP(C579,'Шаг1.Выбор плиты'!C:Q,7,0))</f>
        <v/>
      </c>
      <c r="AI579" s="147" t="str">
        <f t="shared" ca="1" si="55"/>
        <v/>
      </c>
    </row>
    <row r="580" spans="1:35" x14ac:dyDescent="0.2">
      <c r="A580" s="151" t="str">
        <f ca="1">IF(C580="","",MAX($A$1:OFFSET(C580,-1,0))+1)</f>
        <v/>
      </c>
      <c r="B580" s="151" t="str">
        <f ca="1">IFERROR(IFERROR(IFERROR("Шаг2.Бланк заказа NEW №"&amp;VLOOKUP(A579+1,CHOOSE({1,2},'Шаг2.Бланк заказа NEW'!$B$19:$B$201,'Шаг2.Бланк заказа NEW'!$A$19:$A$201),1,0),
"Бланк OLD 0.8 04 №"&amp;VLOOKUP(A579+1-COUNT('Шаг2.Бланк заказа NEW'!$B$19:$B$201),CHOOSE({1,2},'Бланк OLD 0.8 04'!$B$18:$B$200,'Бланк OLD 0.8 04'!$A$18:$A$200),1,0)),
"Бланк OLD 2.0 04 №"&amp;VLOOKUP(A579+1-COUNT('Шаг2.Бланк заказа NEW'!$B$19:$B$201)-COUNT('Бланк OLD 0.8 04'!$B$18:$B$200),CHOOSE({1,2},'Бланк OLD 2.0 04 '!$B$18:$B$200,'Бланк OLD 2.0 04 '!$A$18:$A$200),1,0)),"")</f>
        <v/>
      </c>
      <c r="C580" s="152" t="str">
        <f ca="1">IFERROR(IFERROR(IFERROR(VLOOKUP(A579+1,CHOOSE({1,2},'Шаг2.Бланк заказа NEW'!$B$19:$B$201,'Шаг2.Бланк заказа NEW'!$A$19:$A$201),2,0),
VLOOKUP(A579+1-COUNT('Шаг2.Бланк заказа NEW'!$B$19:$B$201),CHOOSE({1,2},'Бланк OLD 0.8 04'!$B$18:$B$200,'Бланк OLD 0.8 04'!$A$18:$A$200),2,0)),
VLOOKUP(A579+1-COUNT('Шаг2.Бланк заказа NEW'!$B$19:$B$201)-COUNT('Бланк OLD 0.8 04'!$B$18:$B$200),CHOOSE({1,2},'Бланк OLD 2.0 04 '!$B$18:$B$200,'Бланк OLD 2.0 04 '!$A$18:$A$200),2,0)),"")</f>
        <v/>
      </c>
      <c r="D580" s="150" t="str">
        <f ca="1">IFERROR(VLOOKUP(C580,'Шаг1.Выбор плиты'!C:G,5,0),"")</f>
        <v/>
      </c>
      <c r="E580" s="147" t="str">
        <f ca="1">IFERROR(IFERROR(IF(VLOOKUP($A580,'Шаг2.Бланк заказа NEW'!$B$17:$N$201,2,0)="","",VLOOKUP($A580,'Шаг2.Бланк заказа NEW'!$B$17:$N$201,2,0)),
IF(VLOOKUP($A580-COUNT('Шаг2.Бланк заказа NEW'!$B$19:$B$201),'Бланк OLD 0.8 04'!$B$12:$K$200,2,0)="","",VLOOKUP($A580-COUNT('Шаг2.Бланк заказа NEW'!$B$19:$B$201),'Бланк OLD 0.8 04'!$B$12:$K$200,2,0))),
IF(VLOOKUP($A580-COUNT('Шаг2.Бланк заказа NEW'!$B$19:$B$201)-COUNT('Бланк OLD 0.8 04'!$B$18:$B$200),'Бланк OLD 2.0 04 '!$B$16:$K$200,2,0)="","",VLOOKUP($A580-COUNT('Шаг2.Бланк заказа NEW'!$B$19:$B$201)-COUNT('Бланк OLD 0.8 04'!$B$18:$B$200),'Бланк OLD 2.0 04 '!$B$16:$K$200,2,0)))</f>
        <v/>
      </c>
      <c r="F580" s="147" t="str">
        <f ca="1">IFERROR(IFERROR(IF(VLOOKUP($A580,'Шаг2.Бланк заказа NEW'!$B$17:$N$201,3,0)="","",VLOOKUP($A580,'Шаг2.Бланк заказа NEW'!$B$17:$N$201,3,0)),
IF(VLOOKUP($A580-COUNT('Шаг2.Бланк заказа NEW'!$B$19:$B$201),'Бланк OLD 0.8 04'!$B$12:$K$200,3,0)="","",VLOOKUP($A580-COUNT('Шаг2.Бланк заказа NEW'!$B$19:$B$201),'Бланк OLD 0.8 04'!$B$12:$K$200,3,0))),
IF(VLOOKUP($A580-COUNT('Шаг2.Бланк заказа NEW'!$B$19:$B$201)-COUNT('Бланк OLD 0.8 04'!$B$18:$B$200),'Бланк OLD 2.0 04 '!$B$16:$K$200,3,0)="","",VLOOKUP($A580-COUNT('Шаг2.Бланк заказа NEW'!$B$19:$B$201)-COUNT('Бланк OLD 0.8 04'!$B$18:$B$200),'Бланк OLD 2.0 04 '!$B$16:$K$200,3,0)))</f>
        <v/>
      </c>
      <c r="G580" s="176" t="str">
        <f ca="1">IF(IF(R580="","",IF(R580=1,SUMIFS('Шаг1.Выбор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плиты'!C:Q,12,0)),1))))))=0,
R580,
IF(R580="","",IF(R580=1,SUMIFS('Шаг1.Выбор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плиты'!N:N,R580,'Шаг1.Выбор плиты'!M:M,SMALL(INDIRECT("мм"&amp;VLOOKUP(C580,'Шаг1.Выбор плиты'!C:Q,12,0)),1)))))))</f>
        <v/>
      </c>
      <c r="H580" s="177" t="str">
        <f ca="1">IF(IF(S580="","",IF(S580=1,SUMIFS('Шаг1.Выбор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плиты'!C:Q,12,0)),1))))))=0,
S580,
IF(S580="","",IF(S580=1,SUMIFS('Шаг1.Выбор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плиты'!N:N,S580,'Шаг1.Выбор плиты'!M:M,SMALL(INDIRECT("мм"&amp;VLOOKUP(C580,'Шаг1.Выбор плиты'!C:Q,12,0)),1)))))))</f>
        <v/>
      </c>
      <c r="I580" s="147" t="str">
        <f ca="1">IFERROR(IFERROR(IF(VLOOKUP($A580,'Шаг2.Бланк заказа NEW'!$B$17:$N$201,6,0)="","",VLOOKUP($A580,'Шаг2.Бланк заказа NEW'!$B$17:$N$201,6,0)),
IF(VLOOKUP($A580-COUNT('Шаг2.Бланк заказа NEW'!$B$19:$B$201),'Бланк OLD 0.8 04'!$B$12:$K$200,6,0)="","",VLOOKUP($A580-COUNT('Шаг2.Бланк заказа NEW'!$B$19:$B$201),'Бланк OLD 0.8 04'!$B$12:$K$200,6,0))),
IF(VLOOKUP($A580-COUNT('Шаг2.Бланк заказа NEW'!$B$19:$B$201)-COUNT('Бланк OLD 0.8 04'!$B$18:$B$200),'Бланк OLD 2.0 04 '!$B$16:$K$200,6,0)="","",VLOOKUP($A580-COUNT('Шаг2.Бланк заказа NEW'!$B$19:$B$201)-COUNT('Бланк OLD 0.8 04'!$B$18:$B$200),'Бланк OLD 2.0 04 '!$B$16:$K$200,6,0)))</f>
        <v/>
      </c>
      <c r="J580" s="177" t="str">
        <f ca="1">IF(IF(T580="","",IF(T580=1,SUMIFS('Шаг1.Выбор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плиты'!C:Q,12,0)),1))))))=0,
T580,
IF(T580="","",IF(T580=1,SUMIFS('Шаг1.Выбор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плиты'!N:N,T580,'Шаг1.Выбор плиты'!M:M,SMALL(INDIRECT("мм"&amp;VLOOKUP(C580,'Шаг1.Выбор плиты'!C:Q,12,0)),1)))))))</f>
        <v/>
      </c>
      <c r="K580" s="177" t="str">
        <f ca="1">IF(IF(U580="","",IF(U580=1,SUMIFS('Шаг1.Выбор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плиты'!C:Q,12,0)),1))))))=0,
U580,
IF(U580="","",IF(U580=1,SUMIFS('Шаг1.Выбор плиты'!$G:$G,'Шаг1.Выбор плиты'!J:J,"*"&amp;RIGHT(VLOOKUP(C580,'Шаг1.Выбор плиты'!C:Q,8,0),4),'Шаг1.Выбор плиты'!L:L,IF(MID(C580,1,6)="ЛДСП P","TM"&amp;MID(VLOOKUP(C580,'Шаг1.Выбор плиты'!C:Q,10,0),3,2),MID(VLOOKUP(C580,'Шаг1.Выбор плиты'!C:Q,10,0),1,2)),
'Шаг1.Выбор плиты'!N:N,1),IF(SUMIFS('Шаг1.Выбор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плиты'!C:Q,12,0)),1))=0,
IF(SUMIFS('Шаг1.Выбор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плиты'!C:Q,12,0)),2))=0,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плиты'!C:Q,12,0)),3)),
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плиты'!C:Q,12,0)),2))),
(SUMIFS('Шаг1.Выбор плиты'!$G:$G,'Шаг1.Выбор плиты'!J:J,"*"&amp;RIGHT(VLOOKUP(C580,'Шаг1.Выбор плиты'!C:Q,8,0),4),'Шаг1.Выбор плиты'!L:L,VLOOKUP(C580,'Шаг1.Выбор плиты'!C:Q,10,0),'Шаг1.Выбор плиты'!N:N,U580,'Шаг1.Выбор плиты'!M:M,SMALL(INDIRECT("мм"&amp;VLOOKUP(C580,'Шаг1.Выбор плиты'!C:Q,12,0)),1)))))))</f>
        <v/>
      </c>
      <c r="L580" s="147" t="str">
        <f ca="1">IFERROR(IFERROR(IF(VLOOKUP($A580,'Шаг2.Бланк заказа NEW'!$B$17:$N$201,9,0)="","",VLOOKUP($A580,'Шаг2.Бланк заказа NEW'!$B$17:$N$201,9,0)),
IF(VLOOKUP($A580-COUNT('Шаг2.Бланк заказа NEW'!$B$19:$B$201),'Бланк OLD 0.8 04'!$B$12:$K$200,9,0)="","",VLOOKUP($A580-COUNT('Шаг2.Бланк заказа NEW'!$B$19:$B$201),'Бланк OLD 0.8 04'!$B$12:$K$200,9,0))),
IF(VLOOKUP($A580-COUNT('Шаг2.Бланк заказа NEW'!$B$19:$B$201)-COUNT('Бланк OLD 0.8 04'!$B$18:$B$200),'Бланк OLD 2.0 04 '!$B$16:$K$200,9,0)="","",VLOOKUP($A580-COUNT('Шаг2.Бланк заказа NEW'!$B$19:$B$201)-COUNT('Бланк OLD 0.8 04'!$B$18:$B$200),'Бланк OLD 2.0 04 '!$B$16:$K$200,9,0)))</f>
        <v/>
      </c>
      <c r="M580" s="154" t="str">
        <f t="shared" ca="1" si="54"/>
        <v/>
      </c>
      <c r="N580" s="153" t="str">
        <f ca="1">IFERROR(IF(VLOOKUP($A580,'Шаг2.Бланк заказа NEW'!$B$17:$N$201,11,0)="","",VLOOKUP($A580,'Шаг2.Бланк заказа NEW'!$B$17:$N$201,11,0)),
"Нет")</f>
        <v/>
      </c>
      <c r="O580" s="147" t="str">
        <f ca="1">IFERROR(IF(VLOOKUP($A580,'Шаг2.Бланк заказа NEW'!$B$17:$N$201,11,0)="","",VLOOKUP($A580,'Шаг2.Бланк заказа NEW'!$B$17:$N$201,12,0)),
"Нет")</f>
        <v/>
      </c>
      <c r="P580" s="153" t="str">
        <f ca="1">IFERROR(IF(VLOOKUP($A580,'Шаг2.Бланк заказа NEW'!$B$17:$N$201,13,0)="","",VLOOKUP($A580,'Шаг2.Бланк заказа NEW'!$B$17:$N$201,13,0)),
"Нет")</f>
        <v/>
      </c>
      <c r="Q580" s="147" t="str">
        <f ca="1">IFERROR(IF(VLOOKUP($A580,'Шаг2.Бланк заказа NEW'!$B$17:$O$201,14,0)="","",VLOOKUP($A580,'Шаг2.Бланк заказа NEW'!$B$17:$O$201,14,0)),"")</f>
        <v/>
      </c>
      <c r="R580" s="147" t="str">
        <f ca="1">IFERROR(IFERROR(IF(VLOOKUP($A580,'Шаг2.Бланк заказа NEW'!$B$17:$N$201,4,0)="","",VLOOKUP($A580,'Шаг2.Бланк заказа NEW'!$B$17:$N$201,4,0)),
IF(VLOOKUP($A580-COUNT('Шаг2.Бланк заказа NEW'!$B$19:$B$201),'Бланк OLD 0.8 04'!$B$12:$K$200,4,0)&gt;0,0.8,
IF(VLOOKUP($A580-COUNT('Шаг2.Бланк заказа NEW'!$B$19:$B$201),'Бланк OLD 0.8 04'!$B$12:$K$200,5,0)&gt;0,0.4,""))),
IF(VLOOKUP($A580-COUNT('Шаг2.Бланк заказа NEW'!$B$19:$B$201)-COUNT('Бланк OLD 0.8 04'!$B$18:$B$200),'Бланк OLD 2.0 04 '!$B$16:$K$200,4,0)&gt;0,2,IF(VLOOKUP($A580-COUNT('Шаг2.Бланк заказа NEW'!$B$19:$B$201)-COUNT('Бланк OLD 0.8 04'!$B$18:$B$200),'Бланк OLD 2.0 04 '!$B$16:$K$200,5,0)&gt;0,0.4,"")))</f>
        <v/>
      </c>
      <c r="S580" s="147" t="str">
        <f ca="1">IFERROR(IFERROR(IF(VLOOKUP($A580,'Шаг2.Бланк заказа NEW'!$B$17:$N$201,5,0)="","",VLOOKUP($A580,'Шаг2.Бланк заказа NEW'!$B$17:$N$201,5,0)),
IF(VLOOKUP($A580-COUNT('Шаг2.Бланк заказа NEW'!$B$19:$B$201),'Бланк OLD 0.8 04'!$B$12:$K$200,4,0)&gt;1,0.8,
IF(VLOOKUP($A580-COUNT('Шаг2.Бланк заказа NEW'!$B$19:$B$201),'Бланк OLD 0.8 04'!$B$12:$K$200,5,0)&gt;1,0.4,
IF(AND(VLOOKUP($A580-COUNT('Шаг2.Бланк заказа NEW'!$B$19:$B$201),'Бланк OLD 0.8 04'!$B$12:$K$200,4,0)&gt;0,VLOOKUP($A580-COUNT('Шаг2.Бланк заказа NEW'!$B$19:$B$201),'Бланк OLD 0.8 04'!$B$12:$K$200,5,0)&gt;0),0.4,"")))),
IF(VLOOKUP($A580-COUNT('Шаг2.Бланк заказа NEW'!$B$19:$B$201)-COUNT('Бланк OLD 0.8 04'!$B$18:$B$200),'Бланк OLD 2.0 04 '!$B$16:$K$200,4,0)&gt;1,2,
IF(VLOOKUP($A580-COUNT('Шаг2.Бланк заказа NEW'!$B$19:$B$201)-COUNT('Бланк OLD 0.8 04'!$B$18:$B$200),'Бланк OLD 2.0 04 '!$B$16:$K$200,5,0)&gt;1,0.4,IF(AND(VLOOKUP($A580-COUNT('Шаг2.Бланк заказа NEW'!$B$19:$B$201)-COUNT('Бланк OLD 0.8 04'!$B$18:$B$200),'Бланк OLD 2.0 04 '!$B$16:$K$200,4,0)&gt;0,VLOOKUP($A580-COUNT('Шаг2.Бланк заказа NEW'!$B$19:$B$201)-COUNT('Бланк OLD 0.8 04'!$B$18:$B$200),'Бланк OLD 2.0 04 '!$B$16:$K$200,5,0)&gt;0),0.4,""))))</f>
        <v/>
      </c>
      <c r="T580" s="147" t="str">
        <f ca="1">IFERROR(IFERROR(IF(VLOOKUP($A580,'Шаг2.Бланк заказа NEW'!$B$17:$N$201,7,0)="","",VLOOKUP($A580,'Шаг2.Бланк заказа NEW'!$B$17:$N$201,7,0)),
IF(VLOOKUP($A580-COUNT('Шаг2.Бланк заказа NEW'!$B$19:$B$201),'Бланк OLD 0.8 04'!$B$12:$K$200,7,0)&gt;0,0.8,
IF(VLOOKUP($A580-COUNT('Шаг2.Бланк заказа NEW'!$B$19:$B$201),'Бланк OLD 0.8 04'!$B$12:$K$200,8,0)&gt;0,0.4,""))),
IF(VLOOKUP($A580-COUNT('Шаг2.Бланк заказа NEW'!$B$19:$B$201)-COUNT('Бланк OLD 0.8 04'!$B$18:$B$200),'Бланк OLD 2.0 04 '!$B$16:$K$200,7,0)&gt;0,2,IF(VLOOKUP($A580-COUNT('Шаг2.Бланк заказа NEW'!$B$19:$B$201)-COUNT('Бланк OLD 0.8 04'!$B$18:$B$200),'Бланк OLD 2.0 04 '!$B$16:$K$200,8,0)&gt;0,0.4,"")))</f>
        <v/>
      </c>
      <c r="U580" s="147" t="str">
        <f ca="1">IFERROR(IFERROR(IF(VLOOKUP($A580,'Шаг2.Бланк заказа NEW'!$B$17:$N$201,8,0)="","",VLOOKUP($A580,'Шаг2.Бланк заказа NEW'!$B$17:$N$201,8,0)),
IF(VLOOKUP($A580-COUNT('Шаг2.Бланк заказа NEW'!$B$19:$B$201),'Бланк OLD 0.8 04'!$B$12:$K$200,7,0)&gt;1,0.8,
IF(VLOOKUP($A580-COUNT('Шаг2.Бланк заказа NEW'!$B$19:$B$201),'Бланк OLD 0.8 04'!$B$12:$K$200,8,0)&gt;1,0.4,
IF(AND(VLOOKUP($A580-COUNT('Шаг2.Бланк заказа NEW'!$B$19:$B$201),'Бланк OLD 0.8 04'!$B$12:$K$200,7,0)&gt;0,VLOOKUP($A580-COUNT('Шаг2.Бланк заказа NEW'!$B$19:$B$201),'Бланк OLD 0.8 04'!$B$12:$K$200,8,0)&gt;0),0.4,"")))),
IF(VLOOKUP($A580-COUNT('Шаг2.Бланк заказа NEW'!$B$19:$B$201)-COUNT('Бланк OLD 0.8 04'!$B$18:$B$200),'Бланк OLD 2.0 04 '!$B$16:$K$200,7,0)&gt;1,2,
IF(VLOOKUP($A580-COUNT('Шаг2.Бланк заказа NEW'!$B$19:$B$201)-COUNT('Бланк OLD 0.8 04'!$B$18:$B$200),'Бланк OLD 2.0 04 '!$B$16:$K$200,8,0)&gt;1,0.4,
IF(AND(VLOOKUP($A580-COUNT('Шаг2.Бланк заказа NEW'!$B$19:$B$201)-COUNT('Бланк OLD 0.8 04'!$B$18:$B$200),'Бланк OLD 2.0 04 '!$B$16:$K$200,7,0)&gt;0,VLOOKUP($A580-COUNT('Шаг2.Бланк заказа NEW'!$B$19:$B$201)-COUNT('Бланк OLD 0.8 04'!$B$18:$B$200),'Бланк OLD 2.0 04 '!$B$16:$K$200,8,0)&gt;0),0.4,""))))</f>
        <v/>
      </c>
      <c r="V580" s="146" t="str">
        <f ca="1">IFERROR(VLOOKUP(C580,'Шаг1.Выбор плиты'!C:S,12,0),"")</f>
        <v/>
      </c>
      <c r="W580" s="146" t="str">
        <f ca="1">IFERROR(VLOOKUP(C580,'Шаг1.Выбор плиты'!C:S,8,0),"")</f>
        <v/>
      </c>
      <c r="X580" s="146" t="str">
        <f ca="1">IFERROR(VLOOKUP(C580,'Шаг1.Выбор плиты'!C:S,10,0),"")</f>
        <v/>
      </c>
      <c r="Y580" s="147" t="str">
        <f t="shared" ca="1" si="56"/>
        <v/>
      </c>
      <c r="AD580" s="147" t="str">
        <f t="shared" ca="1" si="53"/>
        <v/>
      </c>
      <c r="AE580" s="147" t="str">
        <f t="shared" ca="1" si="57"/>
        <v/>
      </c>
      <c r="AF580" s="25"/>
      <c r="AH580" s="147" t="str">
        <f ca="1">IF(C580="","",VLOOKUP(C580,'Шаг1.Выбор плиты'!C:Q,7,0))</f>
        <v/>
      </c>
      <c r="AI580" s="147" t="str">
        <f t="shared" ca="1" si="55"/>
        <v/>
      </c>
    </row>
    <row r="581" spans="1:35" x14ac:dyDescent="0.2">
      <c r="A581" s="151" t="str">
        <f ca="1">IF(C581="","",MAX($A$1:OFFSET(C581,-1,0))+1)</f>
        <v/>
      </c>
      <c r="B581" s="151" t="str">
        <f ca="1">IFERROR(IFERROR(IFERROR("Шаг2.Бланк заказа NEW №"&amp;VLOOKUP(A580+1,CHOOSE({1,2},'Шаг2.Бланк заказа NEW'!$B$19:$B$201,'Шаг2.Бланк заказа NEW'!$A$19:$A$201),1,0),
"Бланк OLD 0.8 04 №"&amp;VLOOKUP(A580+1-COUNT('Шаг2.Бланк заказа NEW'!$B$19:$B$201),CHOOSE({1,2},'Бланк OLD 0.8 04'!$B$18:$B$200,'Бланк OLD 0.8 04'!$A$18:$A$200),1,0)),
"Бланк OLD 2.0 04 №"&amp;VLOOKUP(A580+1-COUNT('Шаг2.Бланк заказа NEW'!$B$19:$B$201)-COUNT('Бланк OLD 0.8 04'!$B$18:$B$200),CHOOSE({1,2},'Бланк OLD 2.0 04 '!$B$18:$B$200,'Бланк OLD 2.0 04 '!$A$18:$A$200),1,0)),"")</f>
        <v/>
      </c>
      <c r="C581" s="152" t="str">
        <f ca="1">IFERROR(IFERROR(IFERROR(VLOOKUP(A580+1,CHOOSE({1,2},'Шаг2.Бланк заказа NEW'!$B$19:$B$201,'Шаг2.Бланк заказа NEW'!$A$19:$A$201),2,0),
VLOOKUP(A580+1-COUNT('Шаг2.Бланк заказа NEW'!$B$19:$B$201),CHOOSE({1,2},'Бланк OLD 0.8 04'!$B$18:$B$200,'Бланк OLD 0.8 04'!$A$18:$A$200),2,0)),
VLOOKUP(A580+1-COUNT('Шаг2.Бланк заказа NEW'!$B$19:$B$201)-COUNT('Бланк OLD 0.8 04'!$B$18:$B$200),CHOOSE({1,2},'Бланк OLD 2.0 04 '!$B$18:$B$200,'Бланк OLD 2.0 04 '!$A$18:$A$200),2,0)),"")</f>
        <v/>
      </c>
      <c r="D581" s="150" t="str">
        <f ca="1">IFERROR(VLOOKUP(C581,'Шаг1.Выбор плиты'!C:G,5,0),"")</f>
        <v/>
      </c>
      <c r="E581" s="147" t="str">
        <f ca="1">IFERROR(IFERROR(IF(VLOOKUP($A581,'Шаг2.Бланк заказа NEW'!$B$17:$N$201,2,0)="","",VLOOKUP($A581,'Шаг2.Бланк заказа NEW'!$B$17:$N$201,2,0)),
IF(VLOOKUP($A581-COUNT('Шаг2.Бланк заказа NEW'!$B$19:$B$201),'Бланк OLD 0.8 04'!$B$12:$K$200,2,0)="","",VLOOKUP($A581-COUNT('Шаг2.Бланк заказа NEW'!$B$19:$B$201),'Бланк OLD 0.8 04'!$B$12:$K$200,2,0))),
IF(VLOOKUP($A581-COUNT('Шаг2.Бланк заказа NEW'!$B$19:$B$201)-COUNT('Бланк OLD 0.8 04'!$B$18:$B$200),'Бланк OLD 2.0 04 '!$B$16:$K$200,2,0)="","",VLOOKUP($A581-COUNT('Шаг2.Бланк заказа NEW'!$B$19:$B$201)-COUNT('Бланк OLD 0.8 04'!$B$18:$B$200),'Бланк OLD 2.0 04 '!$B$16:$K$200,2,0)))</f>
        <v/>
      </c>
      <c r="F581" s="147" t="str">
        <f ca="1">IFERROR(IFERROR(IF(VLOOKUP($A581,'Шаг2.Бланк заказа NEW'!$B$17:$N$201,3,0)="","",VLOOKUP($A581,'Шаг2.Бланк заказа NEW'!$B$17:$N$201,3,0)),
IF(VLOOKUP($A581-COUNT('Шаг2.Бланк заказа NEW'!$B$19:$B$201),'Бланк OLD 0.8 04'!$B$12:$K$200,3,0)="","",VLOOKUP($A581-COUNT('Шаг2.Бланк заказа NEW'!$B$19:$B$201),'Бланк OLD 0.8 04'!$B$12:$K$200,3,0))),
IF(VLOOKUP($A581-COUNT('Шаг2.Бланк заказа NEW'!$B$19:$B$201)-COUNT('Бланк OLD 0.8 04'!$B$18:$B$200),'Бланк OLD 2.0 04 '!$B$16:$K$200,3,0)="","",VLOOKUP($A581-COUNT('Шаг2.Бланк заказа NEW'!$B$19:$B$201)-COUNT('Бланк OLD 0.8 04'!$B$18:$B$200),'Бланк OLD 2.0 04 '!$B$16:$K$200,3,0)))</f>
        <v/>
      </c>
      <c r="G581" s="176" t="str">
        <f ca="1">IF(IF(R581="","",IF(R581=1,SUMIFS('Шаг1.Выбор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плиты'!C:Q,12,0)),1))))))=0,
R581,
IF(R581="","",IF(R581=1,SUMIFS('Шаг1.Выбор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плиты'!N:N,R581,'Шаг1.Выбор плиты'!M:M,SMALL(INDIRECT("мм"&amp;VLOOKUP(C581,'Шаг1.Выбор плиты'!C:Q,12,0)),1)))))))</f>
        <v/>
      </c>
      <c r="H581" s="177" t="str">
        <f ca="1">IF(IF(S581="","",IF(S581=1,SUMIFS('Шаг1.Выбор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плиты'!C:Q,12,0)),1))))))=0,
S581,
IF(S581="","",IF(S581=1,SUMIFS('Шаг1.Выбор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плиты'!N:N,S581,'Шаг1.Выбор плиты'!M:M,SMALL(INDIRECT("мм"&amp;VLOOKUP(C581,'Шаг1.Выбор плиты'!C:Q,12,0)),1)))))))</f>
        <v/>
      </c>
      <c r="I581" s="147" t="str">
        <f ca="1">IFERROR(IFERROR(IF(VLOOKUP($A581,'Шаг2.Бланк заказа NEW'!$B$17:$N$201,6,0)="","",VLOOKUP($A581,'Шаг2.Бланк заказа NEW'!$B$17:$N$201,6,0)),
IF(VLOOKUP($A581-COUNT('Шаг2.Бланк заказа NEW'!$B$19:$B$201),'Бланк OLD 0.8 04'!$B$12:$K$200,6,0)="","",VLOOKUP($A581-COUNT('Шаг2.Бланк заказа NEW'!$B$19:$B$201),'Бланк OLD 0.8 04'!$B$12:$K$200,6,0))),
IF(VLOOKUP($A581-COUNT('Шаг2.Бланк заказа NEW'!$B$19:$B$201)-COUNT('Бланк OLD 0.8 04'!$B$18:$B$200),'Бланк OLD 2.0 04 '!$B$16:$K$200,6,0)="","",VLOOKUP($A581-COUNT('Шаг2.Бланк заказа NEW'!$B$19:$B$201)-COUNT('Бланк OLD 0.8 04'!$B$18:$B$200),'Бланк OLD 2.0 04 '!$B$16:$K$200,6,0)))</f>
        <v/>
      </c>
      <c r="J581" s="177" t="str">
        <f ca="1">IF(IF(T581="","",IF(T581=1,SUMIFS('Шаг1.Выбор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плиты'!C:Q,12,0)),1))))))=0,
T581,
IF(T581="","",IF(T581=1,SUMIFS('Шаг1.Выбор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плиты'!N:N,T581,'Шаг1.Выбор плиты'!M:M,SMALL(INDIRECT("мм"&amp;VLOOKUP(C581,'Шаг1.Выбор плиты'!C:Q,12,0)),1)))))))</f>
        <v/>
      </c>
      <c r="K581" s="177" t="str">
        <f ca="1">IF(IF(U581="","",IF(U581=1,SUMIFS('Шаг1.Выбор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плиты'!C:Q,12,0)),1))))))=0,
U581,
IF(U581="","",IF(U581=1,SUMIFS('Шаг1.Выбор плиты'!$G:$G,'Шаг1.Выбор плиты'!J:J,"*"&amp;RIGHT(VLOOKUP(C581,'Шаг1.Выбор плиты'!C:Q,8,0),4),'Шаг1.Выбор плиты'!L:L,IF(MID(C581,1,6)="ЛДСП P","TM"&amp;MID(VLOOKUP(C581,'Шаг1.Выбор плиты'!C:Q,10,0),3,2),MID(VLOOKUP(C581,'Шаг1.Выбор плиты'!C:Q,10,0),1,2)),
'Шаг1.Выбор плиты'!N:N,1),IF(SUMIFS('Шаг1.Выбор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плиты'!C:Q,12,0)),1))=0,
IF(SUMIFS('Шаг1.Выбор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плиты'!C:Q,12,0)),2))=0,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плиты'!C:Q,12,0)),3)),
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плиты'!C:Q,12,0)),2))),
(SUMIFS('Шаг1.Выбор плиты'!$G:$G,'Шаг1.Выбор плиты'!J:J,"*"&amp;RIGHT(VLOOKUP(C581,'Шаг1.Выбор плиты'!C:Q,8,0),4),'Шаг1.Выбор плиты'!L:L,VLOOKUP(C581,'Шаг1.Выбор плиты'!C:Q,10,0),'Шаг1.Выбор плиты'!N:N,U581,'Шаг1.Выбор плиты'!M:M,SMALL(INDIRECT("мм"&amp;VLOOKUP(C581,'Шаг1.Выбор плиты'!C:Q,12,0)),1)))))))</f>
        <v/>
      </c>
      <c r="L581" s="147" t="str">
        <f ca="1">IFERROR(IFERROR(IF(VLOOKUP($A581,'Шаг2.Бланк заказа NEW'!$B$17:$N$201,9,0)="","",VLOOKUP($A581,'Шаг2.Бланк заказа NEW'!$B$17:$N$201,9,0)),
IF(VLOOKUP($A581-COUNT('Шаг2.Бланк заказа NEW'!$B$19:$B$201),'Бланк OLD 0.8 04'!$B$12:$K$200,9,0)="","",VLOOKUP($A581-COUNT('Шаг2.Бланк заказа NEW'!$B$19:$B$201),'Бланк OLD 0.8 04'!$B$12:$K$200,9,0))),
IF(VLOOKUP($A581-COUNT('Шаг2.Бланк заказа NEW'!$B$19:$B$201)-COUNT('Бланк OLD 0.8 04'!$B$18:$B$200),'Бланк OLD 2.0 04 '!$B$16:$K$200,9,0)="","",VLOOKUP($A581-COUNT('Шаг2.Бланк заказа NEW'!$B$19:$B$201)-COUNT('Бланк OLD 0.8 04'!$B$18:$B$200),'Бланк OLD 2.0 04 '!$B$16:$K$200,9,0)))</f>
        <v/>
      </c>
      <c r="M581" s="154" t="str">
        <f t="shared" ca="1" si="54"/>
        <v/>
      </c>
      <c r="N581" s="153" t="str">
        <f ca="1">IFERROR(IF(VLOOKUP($A581,'Шаг2.Бланк заказа NEW'!$B$17:$N$201,11,0)="","",VLOOKUP($A581,'Шаг2.Бланк заказа NEW'!$B$17:$N$201,11,0)),
"Нет")</f>
        <v/>
      </c>
      <c r="O581" s="147" t="str">
        <f ca="1">IFERROR(IF(VLOOKUP($A581,'Шаг2.Бланк заказа NEW'!$B$17:$N$201,11,0)="","",VLOOKUP($A581,'Шаг2.Бланк заказа NEW'!$B$17:$N$201,12,0)),
"Нет")</f>
        <v/>
      </c>
      <c r="P581" s="153" t="str">
        <f ca="1">IFERROR(IF(VLOOKUP($A581,'Шаг2.Бланк заказа NEW'!$B$17:$N$201,13,0)="","",VLOOKUP($A581,'Шаг2.Бланк заказа NEW'!$B$17:$N$201,13,0)),
"Нет")</f>
        <v/>
      </c>
      <c r="Q581" s="147" t="str">
        <f ca="1">IFERROR(IF(VLOOKUP($A581,'Шаг2.Бланк заказа NEW'!$B$17:$O$201,14,0)="","",VLOOKUP($A581,'Шаг2.Бланк заказа NEW'!$B$17:$O$201,14,0)),"")</f>
        <v/>
      </c>
      <c r="R581" s="147" t="str">
        <f ca="1">IFERROR(IFERROR(IF(VLOOKUP($A581,'Шаг2.Бланк заказа NEW'!$B$17:$N$201,4,0)="","",VLOOKUP($A581,'Шаг2.Бланк заказа NEW'!$B$17:$N$201,4,0)),
IF(VLOOKUP($A581-COUNT('Шаг2.Бланк заказа NEW'!$B$19:$B$201),'Бланк OLD 0.8 04'!$B$12:$K$200,4,0)&gt;0,0.8,
IF(VLOOKUP($A581-COUNT('Шаг2.Бланк заказа NEW'!$B$19:$B$201),'Бланк OLD 0.8 04'!$B$12:$K$200,5,0)&gt;0,0.4,""))),
IF(VLOOKUP($A581-COUNT('Шаг2.Бланк заказа NEW'!$B$19:$B$201)-COUNT('Бланк OLD 0.8 04'!$B$18:$B$200),'Бланк OLD 2.0 04 '!$B$16:$K$200,4,0)&gt;0,2,IF(VLOOKUP($A581-COUNT('Шаг2.Бланк заказа NEW'!$B$19:$B$201)-COUNT('Бланк OLD 0.8 04'!$B$18:$B$200),'Бланк OLD 2.0 04 '!$B$16:$K$200,5,0)&gt;0,0.4,"")))</f>
        <v/>
      </c>
      <c r="S581" s="147" t="str">
        <f ca="1">IFERROR(IFERROR(IF(VLOOKUP($A581,'Шаг2.Бланк заказа NEW'!$B$17:$N$201,5,0)="","",VLOOKUP($A581,'Шаг2.Бланк заказа NEW'!$B$17:$N$201,5,0)),
IF(VLOOKUP($A581-COUNT('Шаг2.Бланк заказа NEW'!$B$19:$B$201),'Бланк OLD 0.8 04'!$B$12:$K$200,4,0)&gt;1,0.8,
IF(VLOOKUP($A581-COUNT('Шаг2.Бланк заказа NEW'!$B$19:$B$201),'Бланк OLD 0.8 04'!$B$12:$K$200,5,0)&gt;1,0.4,
IF(AND(VLOOKUP($A581-COUNT('Шаг2.Бланк заказа NEW'!$B$19:$B$201),'Бланк OLD 0.8 04'!$B$12:$K$200,4,0)&gt;0,VLOOKUP($A581-COUNT('Шаг2.Бланк заказа NEW'!$B$19:$B$201),'Бланк OLD 0.8 04'!$B$12:$K$200,5,0)&gt;0),0.4,"")))),
IF(VLOOKUP($A581-COUNT('Шаг2.Бланк заказа NEW'!$B$19:$B$201)-COUNT('Бланк OLD 0.8 04'!$B$18:$B$200),'Бланк OLD 2.0 04 '!$B$16:$K$200,4,0)&gt;1,2,
IF(VLOOKUP($A581-COUNT('Шаг2.Бланк заказа NEW'!$B$19:$B$201)-COUNT('Бланк OLD 0.8 04'!$B$18:$B$200),'Бланк OLD 2.0 04 '!$B$16:$K$200,5,0)&gt;1,0.4,IF(AND(VLOOKUP($A581-COUNT('Шаг2.Бланк заказа NEW'!$B$19:$B$201)-COUNT('Бланк OLD 0.8 04'!$B$18:$B$200),'Бланк OLD 2.0 04 '!$B$16:$K$200,4,0)&gt;0,VLOOKUP($A581-COUNT('Шаг2.Бланк заказа NEW'!$B$19:$B$201)-COUNT('Бланк OLD 0.8 04'!$B$18:$B$200),'Бланк OLD 2.0 04 '!$B$16:$K$200,5,0)&gt;0),0.4,""))))</f>
        <v/>
      </c>
      <c r="T581" s="147" t="str">
        <f ca="1">IFERROR(IFERROR(IF(VLOOKUP($A581,'Шаг2.Бланк заказа NEW'!$B$17:$N$201,7,0)="","",VLOOKUP($A581,'Шаг2.Бланк заказа NEW'!$B$17:$N$201,7,0)),
IF(VLOOKUP($A581-COUNT('Шаг2.Бланк заказа NEW'!$B$19:$B$201),'Бланк OLD 0.8 04'!$B$12:$K$200,7,0)&gt;0,0.8,
IF(VLOOKUP($A581-COUNT('Шаг2.Бланк заказа NEW'!$B$19:$B$201),'Бланк OLD 0.8 04'!$B$12:$K$200,8,0)&gt;0,0.4,""))),
IF(VLOOKUP($A581-COUNT('Шаг2.Бланк заказа NEW'!$B$19:$B$201)-COUNT('Бланк OLD 0.8 04'!$B$18:$B$200),'Бланк OLD 2.0 04 '!$B$16:$K$200,7,0)&gt;0,2,IF(VLOOKUP($A581-COUNT('Шаг2.Бланк заказа NEW'!$B$19:$B$201)-COUNT('Бланк OLD 0.8 04'!$B$18:$B$200),'Бланк OLD 2.0 04 '!$B$16:$K$200,8,0)&gt;0,0.4,"")))</f>
        <v/>
      </c>
      <c r="U581" s="147" t="str">
        <f ca="1">IFERROR(IFERROR(IF(VLOOKUP($A581,'Шаг2.Бланк заказа NEW'!$B$17:$N$201,8,0)="","",VLOOKUP($A581,'Шаг2.Бланк заказа NEW'!$B$17:$N$201,8,0)),
IF(VLOOKUP($A581-COUNT('Шаг2.Бланк заказа NEW'!$B$19:$B$201),'Бланк OLD 0.8 04'!$B$12:$K$200,7,0)&gt;1,0.8,
IF(VLOOKUP($A581-COUNT('Шаг2.Бланк заказа NEW'!$B$19:$B$201),'Бланк OLD 0.8 04'!$B$12:$K$200,8,0)&gt;1,0.4,
IF(AND(VLOOKUP($A581-COUNT('Шаг2.Бланк заказа NEW'!$B$19:$B$201),'Бланк OLD 0.8 04'!$B$12:$K$200,7,0)&gt;0,VLOOKUP($A581-COUNT('Шаг2.Бланк заказа NEW'!$B$19:$B$201),'Бланк OLD 0.8 04'!$B$12:$K$200,8,0)&gt;0),0.4,"")))),
IF(VLOOKUP($A581-COUNT('Шаг2.Бланк заказа NEW'!$B$19:$B$201)-COUNT('Бланк OLD 0.8 04'!$B$18:$B$200),'Бланк OLD 2.0 04 '!$B$16:$K$200,7,0)&gt;1,2,
IF(VLOOKUP($A581-COUNT('Шаг2.Бланк заказа NEW'!$B$19:$B$201)-COUNT('Бланк OLD 0.8 04'!$B$18:$B$200),'Бланк OLD 2.0 04 '!$B$16:$K$200,8,0)&gt;1,0.4,
IF(AND(VLOOKUP($A581-COUNT('Шаг2.Бланк заказа NEW'!$B$19:$B$201)-COUNT('Бланк OLD 0.8 04'!$B$18:$B$200),'Бланк OLD 2.0 04 '!$B$16:$K$200,7,0)&gt;0,VLOOKUP($A581-COUNT('Шаг2.Бланк заказа NEW'!$B$19:$B$201)-COUNT('Бланк OLD 0.8 04'!$B$18:$B$200),'Бланк OLD 2.0 04 '!$B$16:$K$200,8,0)&gt;0),0.4,""))))</f>
        <v/>
      </c>
      <c r="V581" s="146" t="str">
        <f ca="1">IFERROR(VLOOKUP(C581,'Шаг1.Выбор плиты'!C:S,12,0),"")</f>
        <v/>
      </c>
      <c r="W581" s="146" t="str">
        <f ca="1">IFERROR(VLOOKUP(C581,'Шаг1.Выбор плиты'!C:S,8,0),"")</f>
        <v/>
      </c>
      <c r="X581" s="146" t="str">
        <f ca="1">IFERROR(VLOOKUP(C581,'Шаг1.Выбор плиты'!C:S,10,0),"")</f>
        <v/>
      </c>
      <c r="Y581" s="147" t="str">
        <f t="shared" ca="1" si="56"/>
        <v/>
      </c>
      <c r="AD581" s="147" t="str">
        <f t="shared" ca="1" si="53"/>
        <v/>
      </c>
      <c r="AE581" s="147" t="str">
        <f t="shared" ca="1" si="57"/>
        <v/>
      </c>
      <c r="AF581" s="25"/>
      <c r="AH581" s="147" t="str">
        <f ca="1">IF(C581="","",VLOOKUP(C581,'Шаг1.Выбор плиты'!C:Q,7,0))</f>
        <v/>
      </c>
      <c r="AI581" s="147" t="str">
        <f t="shared" ca="1" si="55"/>
        <v/>
      </c>
    </row>
    <row r="582" spans="1:35" x14ac:dyDescent="0.2">
      <c r="A582" s="151" t="str">
        <f ca="1">IF(C582="","",MAX($A$1:OFFSET(C582,-1,0))+1)</f>
        <v/>
      </c>
      <c r="B582" s="151" t="str">
        <f ca="1">IFERROR(IFERROR(IFERROR("Шаг2.Бланк заказа NEW №"&amp;VLOOKUP(A581+1,CHOOSE({1,2},'Шаг2.Бланк заказа NEW'!$B$19:$B$201,'Шаг2.Бланк заказа NEW'!$A$19:$A$201),1,0),
"Бланк OLD 0.8 04 №"&amp;VLOOKUP(A581+1-COUNT('Шаг2.Бланк заказа NEW'!$B$19:$B$201),CHOOSE({1,2},'Бланк OLD 0.8 04'!$B$18:$B$200,'Бланк OLD 0.8 04'!$A$18:$A$200),1,0)),
"Бланк OLD 2.0 04 №"&amp;VLOOKUP(A581+1-COUNT('Шаг2.Бланк заказа NEW'!$B$19:$B$201)-COUNT('Бланк OLD 0.8 04'!$B$18:$B$200),CHOOSE({1,2},'Бланк OLD 2.0 04 '!$B$18:$B$200,'Бланк OLD 2.0 04 '!$A$18:$A$200),1,0)),"")</f>
        <v/>
      </c>
      <c r="C582" s="152" t="str">
        <f ca="1">IFERROR(IFERROR(IFERROR(VLOOKUP(A581+1,CHOOSE({1,2},'Шаг2.Бланк заказа NEW'!$B$19:$B$201,'Шаг2.Бланк заказа NEW'!$A$19:$A$201),2,0),
VLOOKUP(A581+1-COUNT('Шаг2.Бланк заказа NEW'!$B$19:$B$201),CHOOSE({1,2},'Бланк OLD 0.8 04'!$B$18:$B$200,'Бланк OLD 0.8 04'!$A$18:$A$200),2,0)),
VLOOKUP(A581+1-COUNT('Шаг2.Бланк заказа NEW'!$B$19:$B$201)-COUNT('Бланк OLD 0.8 04'!$B$18:$B$200),CHOOSE({1,2},'Бланк OLD 2.0 04 '!$B$18:$B$200,'Бланк OLD 2.0 04 '!$A$18:$A$200),2,0)),"")</f>
        <v/>
      </c>
      <c r="D582" s="150" t="str">
        <f ca="1">IFERROR(VLOOKUP(C582,'Шаг1.Выбор плиты'!C:G,5,0),"")</f>
        <v/>
      </c>
      <c r="E582" s="147" t="str">
        <f ca="1">IFERROR(IFERROR(IF(VLOOKUP($A582,'Шаг2.Бланк заказа NEW'!$B$17:$N$201,2,0)="","",VLOOKUP($A582,'Шаг2.Бланк заказа NEW'!$B$17:$N$201,2,0)),
IF(VLOOKUP($A582-COUNT('Шаг2.Бланк заказа NEW'!$B$19:$B$201),'Бланк OLD 0.8 04'!$B$12:$K$200,2,0)="","",VLOOKUP($A582-COUNT('Шаг2.Бланк заказа NEW'!$B$19:$B$201),'Бланк OLD 0.8 04'!$B$12:$K$200,2,0))),
IF(VLOOKUP($A582-COUNT('Шаг2.Бланк заказа NEW'!$B$19:$B$201)-COUNT('Бланк OLD 0.8 04'!$B$18:$B$200),'Бланк OLD 2.0 04 '!$B$16:$K$200,2,0)="","",VLOOKUP($A582-COUNT('Шаг2.Бланк заказа NEW'!$B$19:$B$201)-COUNT('Бланк OLD 0.8 04'!$B$18:$B$200),'Бланк OLD 2.0 04 '!$B$16:$K$200,2,0)))</f>
        <v/>
      </c>
      <c r="F582" s="147" t="str">
        <f ca="1">IFERROR(IFERROR(IF(VLOOKUP($A582,'Шаг2.Бланк заказа NEW'!$B$17:$N$201,3,0)="","",VLOOKUP($A582,'Шаг2.Бланк заказа NEW'!$B$17:$N$201,3,0)),
IF(VLOOKUP($A582-COUNT('Шаг2.Бланк заказа NEW'!$B$19:$B$201),'Бланк OLD 0.8 04'!$B$12:$K$200,3,0)="","",VLOOKUP($A582-COUNT('Шаг2.Бланк заказа NEW'!$B$19:$B$201),'Бланк OLD 0.8 04'!$B$12:$K$200,3,0))),
IF(VLOOKUP($A582-COUNT('Шаг2.Бланк заказа NEW'!$B$19:$B$201)-COUNT('Бланк OLD 0.8 04'!$B$18:$B$200),'Бланк OLD 2.0 04 '!$B$16:$K$200,3,0)="","",VLOOKUP($A582-COUNT('Шаг2.Бланк заказа NEW'!$B$19:$B$201)-COUNT('Бланк OLD 0.8 04'!$B$18:$B$200),'Бланк OLD 2.0 04 '!$B$16:$K$200,3,0)))</f>
        <v/>
      </c>
      <c r="G582" s="176" t="str">
        <f ca="1">IF(IF(R582="","",IF(R582=1,SUMIFS('Шаг1.Выбор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плиты'!C:Q,12,0)),1))))))=0,
R582,
IF(R582="","",IF(R582=1,SUMIFS('Шаг1.Выбор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плиты'!N:N,R582,'Шаг1.Выбор плиты'!M:M,SMALL(INDIRECT("мм"&amp;VLOOKUP(C582,'Шаг1.Выбор плиты'!C:Q,12,0)),1)))))))</f>
        <v/>
      </c>
      <c r="H582" s="177" t="str">
        <f ca="1">IF(IF(S582="","",IF(S582=1,SUMIFS('Шаг1.Выбор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плиты'!C:Q,12,0)),1))))))=0,
S582,
IF(S582="","",IF(S582=1,SUMIFS('Шаг1.Выбор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плиты'!N:N,S582,'Шаг1.Выбор плиты'!M:M,SMALL(INDIRECT("мм"&amp;VLOOKUP(C582,'Шаг1.Выбор плиты'!C:Q,12,0)),1)))))))</f>
        <v/>
      </c>
      <c r="I582" s="147" t="str">
        <f ca="1">IFERROR(IFERROR(IF(VLOOKUP($A582,'Шаг2.Бланк заказа NEW'!$B$17:$N$201,6,0)="","",VLOOKUP($A582,'Шаг2.Бланк заказа NEW'!$B$17:$N$201,6,0)),
IF(VLOOKUP($A582-COUNT('Шаг2.Бланк заказа NEW'!$B$19:$B$201),'Бланк OLD 0.8 04'!$B$12:$K$200,6,0)="","",VLOOKUP($A582-COUNT('Шаг2.Бланк заказа NEW'!$B$19:$B$201),'Бланк OLD 0.8 04'!$B$12:$K$200,6,0))),
IF(VLOOKUP($A582-COUNT('Шаг2.Бланк заказа NEW'!$B$19:$B$201)-COUNT('Бланк OLD 0.8 04'!$B$18:$B$200),'Бланк OLD 2.0 04 '!$B$16:$K$200,6,0)="","",VLOOKUP($A582-COUNT('Шаг2.Бланк заказа NEW'!$B$19:$B$201)-COUNT('Бланк OLD 0.8 04'!$B$18:$B$200),'Бланк OLD 2.0 04 '!$B$16:$K$200,6,0)))</f>
        <v/>
      </c>
      <c r="J582" s="177" t="str">
        <f ca="1">IF(IF(T582="","",IF(T582=1,SUMIFS('Шаг1.Выбор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плиты'!C:Q,12,0)),1))))))=0,
T582,
IF(T582="","",IF(T582=1,SUMIFS('Шаг1.Выбор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плиты'!N:N,T582,'Шаг1.Выбор плиты'!M:M,SMALL(INDIRECT("мм"&amp;VLOOKUP(C582,'Шаг1.Выбор плиты'!C:Q,12,0)),1)))))))</f>
        <v/>
      </c>
      <c r="K582" s="177" t="str">
        <f ca="1">IF(IF(U582="","",IF(U582=1,SUMIFS('Шаг1.Выбор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плиты'!C:Q,12,0)),1))))))=0,
U582,
IF(U582="","",IF(U582=1,SUMIFS('Шаг1.Выбор плиты'!$G:$G,'Шаг1.Выбор плиты'!J:J,"*"&amp;RIGHT(VLOOKUP(C582,'Шаг1.Выбор плиты'!C:Q,8,0),4),'Шаг1.Выбор плиты'!L:L,IF(MID(C582,1,6)="ЛДСП P","TM"&amp;MID(VLOOKUP(C582,'Шаг1.Выбор плиты'!C:Q,10,0),3,2),MID(VLOOKUP(C582,'Шаг1.Выбор плиты'!C:Q,10,0),1,2)),
'Шаг1.Выбор плиты'!N:N,1),IF(SUMIFS('Шаг1.Выбор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плиты'!C:Q,12,0)),1))=0,
IF(SUMIFS('Шаг1.Выбор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плиты'!C:Q,12,0)),2))=0,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плиты'!C:Q,12,0)),3)),
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плиты'!C:Q,12,0)),2))),
(SUMIFS('Шаг1.Выбор плиты'!$G:$G,'Шаг1.Выбор плиты'!J:J,"*"&amp;RIGHT(VLOOKUP(C582,'Шаг1.Выбор плиты'!C:Q,8,0),4),'Шаг1.Выбор плиты'!L:L,VLOOKUP(C582,'Шаг1.Выбор плиты'!C:Q,10,0),'Шаг1.Выбор плиты'!N:N,U582,'Шаг1.Выбор плиты'!M:M,SMALL(INDIRECT("мм"&amp;VLOOKUP(C582,'Шаг1.Выбор плиты'!C:Q,12,0)),1)))))))</f>
        <v/>
      </c>
      <c r="L582" s="147" t="str">
        <f ca="1">IFERROR(IFERROR(IF(VLOOKUP($A582,'Шаг2.Бланк заказа NEW'!$B$17:$N$201,9,0)="","",VLOOKUP($A582,'Шаг2.Бланк заказа NEW'!$B$17:$N$201,9,0)),
IF(VLOOKUP($A582-COUNT('Шаг2.Бланк заказа NEW'!$B$19:$B$201),'Бланк OLD 0.8 04'!$B$12:$K$200,9,0)="","",VLOOKUP($A582-COUNT('Шаг2.Бланк заказа NEW'!$B$19:$B$201),'Бланк OLD 0.8 04'!$B$12:$K$200,9,0))),
IF(VLOOKUP($A582-COUNT('Шаг2.Бланк заказа NEW'!$B$19:$B$201)-COUNT('Бланк OLD 0.8 04'!$B$18:$B$200),'Бланк OLD 2.0 04 '!$B$16:$K$200,9,0)="","",VLOOKUP($A582-COUNT('Шаг2.Бланк заказа NEW'!$B$19:$B$201)-COUNT('Бланк OLD 0.8 04'!$B$18:$B$200),'Бланк OLD 2.0 04 '!$B$16:$K$200,9,0)))</f>
        <v/>
      </c>
      <c r="M582" s="154" t="str">
        <f t="shared" ca="1" si="54"/>
        <v/>
      </c>
      <c r="N582" s="153" t="str">
        <f ca="1">IFERROR(IF(VLOOKUP($A582,'Шаг2.Бланк заказа NEW'!$B$17:$N$201,11,0)="","",VLOOKUP($A582,'Шаг2.Бланк заказа NEW'!$B$17:$N$201,11,0)),
"Нет")</f>
        <v/>
      </c>
      <c r="O582" s="147" t="str">
        <f ca="1">IFERROR(IF(VLOOKUP($A582,'Шаг2.Бланк заказа NEW'!$B$17:$N$201,11,0)="","",VLOOKUP($A582,'Шаг2.Бланк заказа NEW'!$B$17:$N$201,12,0)),
"Нет")</f>
        <v/>
      </c>
      <c r="P582" s="153" t="str">
        <f ca="1">IFERROR(IF(VLOOKUP($A582,'Шаг2.Бланк заказа NEW'!$B$17:$N$201,13,0)="","",VLOOKUP($A582,'Шаг2.Бланк заказа NEW'!$B$17:$N$201,13,0)),
"Нет")</f>
        <v/>
      </c>
      <c r="Q582" s="147" t="str">
        <f ca="1">IFERROR(IF(VLOOKUP($A582,'Шаг2.Бланк заказа NEW'!$B$17:$O$201,14,0)="","",VLOOKUP($A582,'Шаг2.Бланк заказа NEW'!$B$17:$O$201,14,0)),"")</f>
        <v/>
      </c>
      <c r="R582" s="147" t="str">
        <f ca="1">IFERROR(IFERROR(IF(VLOOKUP($A582,'Шаг2.Бланк заказа NEW'!$B$17:$N$201,4,0)="","",VLOOKUP($A582,'Шаг2.Бланк заказа NEW'!$B$17:$N$201,4,0)),
IF(VLOOKUP($A582-COUNT('Шаг2.Бланк заказа NEW'!$B$19:$B$201),'Бланк OLD 0.8 04'!$B$12:$K$200,4,0)&gt;0,0.8,
IF(VLOOKUP($A582-COUNT('Шаг2.Бланк заказа NEW'!$B$19:$B$201),'Бланк OLD 0.8 04'!$B$12:$K$200,5,0)&gt;0,0.4,""))),
IF(VLOOKUP($A582-COUNT('Шаг2.Бланк заказа NEW'!$B$19:$B$201)-COUNT('Бланк OLD 0.8 04'!$B$18:$B$200),'Бланк OLD 2.0 04 '!$B$16:$K$200,4,0)&gt;0,2,IF(VLOOKUP($A582-COUNT('Шаг2.Бланк заказа NEW'!$B$19:$B$201)-COUNT('Бланк OLD 0.8 04'!$B$18:$B$200),'Бланк OLD 2.0 04 '!$B$16:$K$200,5,0)&gt;0,0.4,"")))</f>
        <v/>
      </c>
      <c r="S582" s="147" t="str">
        <f ca="1">IFERROR(IFERROR(IF(VLOOKUP($A582,'Шаг2.Бланк заказа NEW'!$B$17:$N$201,5,0)="","",VLOOKUP($A582,'Шаг2.Бланк заказа NEW'!$B$17:$N$201,5,0)),
IF(VLOOKUP($A582-COUNT('Шаг2.Бланк заказа NEW'!$B$19:$B$201),'Бланк OLD 0.8 04'!$B$12:$K$200,4,0)&gt;1,0.8,
IF(VLOOKUP($A582-COUNT('Шаг2.Бланк заказа NEW'!$B$19:$B$201),'Бланк OLD 0.8 04'!$B$12:$K$200,5,0)&gt;1,0.4,
IF(AND(VLOOKUP($A582-COUNT('Шаг2.Бланк заказа NEW'!$B$19:$B$201),'Бланк OLD 0.8 04'!$B$12:$K$200,4,0)&gt;0,VLOOKUP($A582-COUNT('Шаг2.Бланк заказа NEW'!$B$19:$B$201),'Бланк OLD 0.8 04'!$B$12:$K$200,5,0)&gt;0),0.4,"")))),
IF(VLOOKUP($A582-COUNT('Шаг2.Бланк заказа NEW'!$B$19:$B$201)-COUNT('Бланк OLD 0.8 04'!$B$18:$B$200),'Бланк OLD 2.0 04 '!$B$16:$K$200,4,0)&gt;1,2,
IF(VLOOKUP($A582-COUNT('Шаг2.Бланк заказа NEW'!$B$19:$B$201)-COUNT('Бланк OLD 0.8 04'!$B$18:$B$200),'Бланк OLD 2.0 04 '!$B$16:$K$200,5,0)&gt;1,0.4,IF(AND(VLOOKUP($A582-COUNT('Шаг2.Бланк заказа NEW'!$B$19:$B$201)-COUNT('Бланк OLD 0.8 04'!$B$18:$B$200),'Бланк OLD 2.0 04 '!$B$16:$K$200,4,0)&gt;0,VLOOKUP($A582-COUNT('Шаг2.Бланк заказа NEW'!$B$19:$B$201)-COUNT('Бланк OLD 0.8 04'!$B$18:$B$200),'Бланк OLD 2.0 04 '!$B$16:$K$200,5,0)&gt;0),0.4,""))))</f>
        <v/>
      </c>
      <c r="T582" s="147" t="str">
        <f ca="1">IFERROR(IFERROR(IF(VLOOKUP($A582,'Шаг2.Бланк заказа NEW'!$B$17:$N$201,7,0)="","",VLOOKUP($A582,'Шаг2.Бланк заказа NEW'!$B$17:$N$201,7,0)),
IF(VLOOKUP($A582-COUNT('Шаг2.Бланк заказа NEW'!$B$19:$B$201),'Бланк OLD 0.8 04'!$B$12:$K$200,7,0)&gt;0,0.8,
IF(VLOOKUP($A582-COUNT('Шаг2.Бланк заказа NEW'!$B$19:$B$201),'Бланк OLD 0.8 04'!$B$12:$K$200,8,0)&gt;0,0.4,""))),
IF(VLOOKUP($A582-COUNT('Шаг2.Бланк заказа NEW'!$B$19:$B$201)-COUNT('Бланк OLD 0.8 04'!$B$18:$B$200),'Бланк OLD 2.0 04 '!$B$16:$K$200,7,0)&gt;0,2,IF(VLOOKUP($A582-COUNT('Шаг2.Бланк заказа NEW'!$B$19:$B$201)-COUNT('Бланк OLD 0.8 04'!$B$18:$B$200),'Бланк OLD 2.0 04 '!$B$16:$K$200,8,0)&gt;0,0.4,"")))</f>
        <v/>
      </c>
      <c r="U582" s="147" t="str">
        <f ca="1">IFERROR(IFERROR(IF(VLOOKUP($A582,'Шаг2.Бланк заказа NEW'!$B$17:$N$201,8,0)="","",VLOOKUP($A582,'Шаг2.Бланк заказа NEW'!$B$17:$N$201,8,0)),
IF(VLOOKUP($A582-COUNT('Шаг2.Бланк заказа NEW'!$B$19:$B$201),'Бланк OLD 0.8 04'!$B$12:$K$200,7,0)&gt;1,0.8,
IF(VLOOKUP($A582-COUNT('Шаг2.Бланк заказа NEW'!$B$19:$B$201),'Бланк OLD 0.8 04'!$B$12:$K$200,8,0)&gt;1,0.4,
IF(AND(VLOOKUP($A582-COUNT('Шаг2.Бланк заказа NEW'!$B$19:$B$201),'Бланк OLD 0.8 04'!$B$12:$K$200,7,0)&gt;0,VLOOKUP($A582-COUNT('Шаг2.Бланк заказа NEW'!$B$19:$B$201),'Бланк OLD 0.8 04'!$B$12:$K$200,8,0)&gt;0),0.4,"")))),
IF(VLOOKUP($A582-COUNT('Шаг2.Бланк заказа NEW'!$B$19:$B$201)-COUNT('Бланк OLD 0.8 04'!$B$18:$B$200),'Бланк OLD 2.0 04 '!$B$16:$K$200,7,0)&gt;1,2,
IF(VLOOKUP($A582-COUNT('Шаг2.Бланк заказа NEW'!$B$19:$B$201)-COUNT('Бланк OLD 0.8 04'!$B$18:$B$200),'Бланк OLD 2.0 04 '!$B$16:$K$200,8,0)&gt;1,0.4,
IF(AND(VLOOKUP($A582-COUNT('Шаг2.Бланк заказа NEW'!$B$19:$B$201)-COUNT('Бланк OLD 0.8 04'!$B$18:$B$200),'Бланк OLD 2.0 04 '!$B$16:$K$200,7,0)&gt;0,VLOOKUP($A582-COUNT('Шаг2.Бланк заказа NEW'!$B$19:$B$201)-COUNT('Бланк OLD 0.8 04'!$B$18:$B$200),'Бланк OLD 2.0 04 '!$B$16:$K$200,8,0)&gt;0),0.4,""))))</f>
        <v/>
      </c>
      <c r="V582" s="146" t="str">
        <f ca="1">IFERROR(VLOOKUP(C582,'Шаг1.Выбор плиты'!C:S,12,0),"")</f>
        <v/>
      </c>
      <c r="W582" s="146" t="str">
        <f ca="1">IFERROR(VLOOKUP(C582,'Шаг1.Выбор плиты'!C:S,8,0),"")</f>
        <v/>
      </c>
      <c r="X582" s="146" t="str">
        <f ca="1">IFERROR(VLOOKUP(C582,'Шаг1.Выбор плиты'!C:S,10,0),"")</f>
        <v/>
      </c>
      <c r="Y582" s="147" t="str">
        <f t="shared" ca="1" si="56"/>
        <v/>
      </c>
      <c r="AD582" s="147" t="str">
        <f t="shared" ca="1" si="53"/>
        <v/>
      </c>
      <c r="AE582" s="147" t="str">
        <f t="shared" ca="1" si="57"/>
        <v/>
      </c>
      <c r="AF582" s="25"/>
      <c r="AH582" s="147" t="str">
        <f ca="1">IF(C582="","",VLOOKUP(C582,'Шаг1.Выбор плиты'!C:Q,7,0))</f>
        <v/>
      </c>
      <c r="AI582" s="147" t="str">
        <f t="shared" ca="1" si="55"/>
        <v/>
      </c>
    </row>
    <row r="583" spans="1:35" x14ac:dyDescent="0.2">
      <c r="A583" s="151" t="str">
        <f ca="1">IF(C583="","",MAX($A$1:OFFSET(C583,-1,0))+1)</f>
        <v/>
      </c>
      <c r="B583" s="151" t="str">
        <f ca="1">IFERROR(IFERROR(IFERROR("Шаг2.Бланк заказа NEW №"&amp;VLOOKUP(A582+1,CHOOSE({1,2},'Шаг2.Бланк заказа NEW'!$B$19:$B$201,'Шаг2.Бланк заказа NEW'!$A$19:$A$201),1,0),
"Бланк OLD 0.8 04 №"&amp;VLOOKUP(A582+1-COUNT('Шаг2.Бланк заказа NEW'!$B$19:$B$201),CHOOSE({1,2},'Бланк OLD 0.8 04'!$B$18:$B$200,'Бланк OLD 0.8 04'!$A$18:$A$200),1,0)),
"Бланк OLD 2.0 04 №"&amp;VLOOKUP(A582+1-COUNT('Шаг2.Бланк заказа NEW'!$B$19:$B$201)-COUNT('Бланк OLD 0.8 04'!$B$18:$B$200),CHOOSE({1,2},'Бланк OLD 2.0 04 '!$B$18:$B$200,'Бланк OLD 2.0 04 '!$A$18:$A$200),1,0)),"")</f>
        <v/>
      </c>
      <c r="C583" s="152" t="str">
        <f ca="1">IFERROR(IFERROR(IFERROR(VLOOKUP(A582+1,CHOOSE({1,2},'Шаг2.Бланк заказа NEW'!$B$19:$B$201,'Шаг2.Бланк заказа NEW'!$A$19:$A$201),2,0),
VLOOKUP(A582+1-COUNT('Шаг2.Бланк заказа NEW'!$B$19:$B$201),CHOOSE({1,2},'Бланк OLD 0.8 04'!$B$18:$B$200,'Бланк OLD 0.8 04'!$A$18:$A$200),2,0)),
VLOOKUP(A582+1-COUNT('Шаг2.Бланк заказа NEW'!$B$19:$B$201)-COUNT('Бланк OLD 0.8 04'!$B$18:$B$200),CHOOSE({1,2},'Бланк OLD 2.0 04 '!$B$18:$B$200,'Бланк OLD 2.0 04 '!$A$18:$A$200),2,0)),"")</f>
        <v/>
      </c>
      <c r="D583" s="150" t="str">
        <f ca="1">IFERROR(VLOOKUP(C583,'Шаг1.Выбор плиты'!C:G,5,0),"")</f>
        <v/>
      </c>
      <c r="E583" s="147" t="str">
        <f ca="1">IFERROR(IFERROR(IF(VLOOKUP($A583,'Шаг2.Бланк заказа NEW'!$B$17:$N$201,2,0)="","",VLOOKUP($A583,'Шаг2.Бланк заказа NEW'!$B$17:$N$201,2,0)),
IF(VLOOKUP($A583-COUNT('Шаг2.Бланк заказа NEW'!$B$19:$B$201),'Бланк OLD 0.8 04'!$B$12:$K$200,2,0)="","",VLOOKUP($A583-COUNT('Шаг2.Бланк заказа NEW'!$B$19:$B$201),'Бланк OLD 0.8 04'!$B$12:$K$200,2,0))),
IF(VLOOKUP($A583-COUNT('Шаг2.Бланк заказа NEW'!$B$19:$B$201)-COUNT('Бланк OLD 0.8 04'!$B$18:$B$200),'Бланк OLD 2.0 04 '!$B$16:$K$200,2,0)="","",VLOOKUP($A583-COUNT('Шаг2.Бланк заказа NEW'!$B$19:$B$201)-COUNT('Бланк OLD 0.8 04'!$B$18:$B$200),'Бланк OLD 2.0 04 '!$B$16:$K$200,2,0)))</f>
        <v/>
      </c>
      <c r="F583" s="147" t="str">
        <f ca="1">IFERROR(IFERROR(IF(VLOOKUP($A583,'Шаг2.Бланк заказа NEW'!$B$17:$N$201,3,0)="","",VLOOKUP($A583,'Шаг2.Бланк заказа NEW'!$B$17:$N$201,3,0)),
IF(VLOOKUP($A583-COUNT('Шаг2.Бланк заказа NEW'!$B$19:$B$201),'Бланк OLD 0.8 04'!$B$12:$K$200,3,0)="","",VLOOKUP($A583-COUNT('Шаг2.Бланк заказа NEW'!$B$19:$B$201),'Бланк OLD 0.8 04'!$B$12:$K$200,3,0))),
IF(VLOOKUP($A583-COUNT('Шаг2.Бланк заказа NEW'!$B$19:$B$201)-COUNT('Бланк OLD 0.8 04'!$B$18:$B$200),'Бланк OLD 2.0 04 '!$B$16:$K$200,3,0)="","",VLOOKUP($A583-COUNT('Шаг2.Бланк заказа NEW'!$B$19:$B$201)-COUNT('Бланк OLD 0.8 04'!$B$18:$B$200),'Бланк OLD 2.0 04 '!$B$16:$K$200,3,0)))</f>
        <v/>
      </c>
      <c r="G583" s="176" t="str">
        <f ca="1">IF(IF(R583="","",IF(R583=1,SUMIFS('Шаг1.Выбор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плиты'!C:Q,12,0)),1))))))=0,
R583,
IF(R583="","",IF(R583=1,SUMIFS('Шаг1.Выбор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плиты'!N:N,R583,'Шаг1.Выбор плиты'!M:M,SMALL(INDIRECT("мм"&amp;VLOOKUP(C583,'Шаг1.Выбор плиты'!C:Q,12,0)),1)))))))</f>
        <v/>
      </c>
      <c r="H583" s="177" t="str">
        <f ca="1">IF(IF(S583="","",IF(S583=1,SUMIFS('Шаг1.Выбор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плиты'!C:Q,12,0)),1))))))=0,
S583,
IF(S583="","",IF(S583=1,SUMIFS('Шаг1.Выбор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плиты'!N:N,S583,'Шаг1.Выбор плиты'!M:M,SMALL(INDIRECT("мм"&amp;VLOOKUP(C583,'Шаг1.Выбор плиты'!C:Q,12,0)),1)))))))</f>
        <v/>
      </c>
      <c r="I583" s="147" t="str">
        <f ca="1">IFERROR(IFERROR(IF(VLOOKUP($A583,'Шаг2.Бланк заказа NEW'!$B$17:$N$201,6,0)="","",VLOOKUP($A583,'Шаг2.Бланк заказа NEW'!$B$17:$N$201,6,0)),
IF(VLOOKUP($A583-COUNT('Шаг2.Бланк заказа NEW'!$B$19:$B$201),'Бланк OLD 0.8 04'!$B$12:$K$200,6,0)="","",VLOOKUP($A583-COUNT('Шаг2.Бланк заказа NEW'!$B$19:$B$201),'Бланк OLD 0.8 04'!$B$12:$K$200,6,0))),
IF(VLOOKUP($A583-COUNT('Шаг2.Бланк заказа NEW'!$B$19:$B$201)-COUNT('Бланк OLD 0.8 04'!$B$18:$B$200),'Бланк OLD 2.0 04 '!$B$16:$K$200,6,0)="","",VLOOKUP($A583-COUNT('Шаг2.Бланк заказа NEW'!$B$19:$B$201)-COUNT('Бланк OLD 0.8 04'!$B$18:$B$200),'Бланк OLD 2.0 04 '!$B$16:$K$200,6,0)))</f>
        <v/>
      </c>
      <c r="J583" s="177" t="str">
        <f ca="1">IF(IF(T583="","",IF(T583=1,SUMIFS('Шаг1.Выбор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плиты'!C:Q,12,0)),1))))))=0,
T583,
IF(T583="","",IF(T583=1,SUMIFS('Шаг1.Выбор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плиты'!N:N,T583,'Шаг1.Выбор плиты'!M:M,SMALL(INDIRECT("мм"&amp;VLOOKUP(C583,'Шаг1.Выбор плиты'!C:Q,12,0)),1)))))))</f>
        <v/>
      </c>
      <c r="K583" s="177" t="str">
        <f ca="1">IF(IF(U583="","",IF(U583=1,SUMIFS('Шаг1.Выбор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плиты'!C:Q,12,0)),1))))))=0,
U583,
IF(U583="","",IF(U583=1,SUMIFS('Шаг1.Выбор плиты'!$G:$G,'Шаг1.Выбор плиты'!J:J,"*"&amp;RIGHT(VLOOKUP(C583,'Шаг1.Выбор плиты'!C:Q,8,0),4),'Шаг1.Выбор плиты'!L:L,IF(MID(C583,1,6)="ЛДСП P","TM"&amp;MID(VLOOKUP(C583,'Шаг1.Выбор плиты'!C:Q,10,0),3,2),MID(VLOOKUP(C583,'Шаг1.Выбор плиты'!C:Q,10,0),1,2)),
'Шаг1.Выбор плиты'!N:N,1),IF(SUMIFS('Шаг1.Выбор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плиты'!C:Q,12,0)),1))=0,
IF(SUMIFS('Шаг1.Выбор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плиты'!C:Q,12,0)),2))=0,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плиты'!C:Q,12,0)),3)),
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плиты'!C:Q,12,0)),2))),
(SUMIFS('Шаг1.Выбор плиты'!$G:$G,'Шаг1.Выбор плиты'!J:J,"*"&amp;RIGHT(VLOOKUP(C583,'Шаг1.Выбор плиты'!C:Q,8,0),4),'Шаг1.Выбор плиты'!L:L,VLOOKUP(C583,'Шаг1.Выбор плиты'!C:Q,10,0),'Шаг1.Выбор плиты'!N:N,U583,'Шаг1.Выбор плиты'!M:M,SMALL(INDIRECT("мм"&amp;VLOOKUP(C583,'Шаг1.Выбор плиты'!C:Q,12,0)),1)))))))</f>
        <v/>
      </c>
      <c r="L583" s="147" t="str">
        <f ca="1">IFERROR(IFERROR(IF(VLOOKUP($A583,'Шаг2.Бланк заказа NEW'!$B$17:$N$201,9,0)="","",VLOOKUP($A583,'Шаг2.Бланк заказа NEW'!$B$17:$N$201,9,0)),
IF(VLOOKUP($A583-COUNT('Шаг2.Бланк заказа NEW'!$B$19:$B$201),'Бланк OLD 0.8 04'!$B$12:$K$200,9,0)="","",VLOOKUP($A583-COUNT('Шаг2.Бланк заказа NEW'!$B$19:$B$201),'Бланк OLD 0.8 04'!$B$12:$K$200,9,0))),
IF(VLOOKUP($A583-COUNT('Шаг2.Бланк заказа NEW'!$B$19:$B$201)-COUNT('Бланк OLD 0.8 04'!$B$18:$B$200),'Бланк OLD 2.0 04 '!$B$16:$K$200,9,0)="","",VLOOKUP($A583-COUNT('Шаг2.Бланк заказа NEW'!$B$19:$B$201)-COUNT('Бланк OLD 0.8 04'!$B$18:$B$200),'Бланк OLD 2.0 04 '!$B$16:$K$200,9,0)))</f>
        <v/>
      </c>
      <c r="M583" s="154" t="str">
        <f t="shared" ca="1" si="54"/>
        <v/>
      </c>
      <c r="N583" s="153" t="str">
        <f ca="1">IFERROR(IF(VLOOKUP($A583,'Шаг2.Бланк заказа NEW'!$B$17:$N$201,11,0)="","",VLOOKUP($A583,'Шаг2.Бланк заказа NEW'!$B$17:$N$201,11,0)),
"Нет")</f>
        <v/>
      </c>
      <c r="O583" s="147" t="str">
        <f ca="1">IFERROR(IF(VLOOKUP($A583,'Шаг2.Бланк заказа NEW'!$B$17:$N$201,11,0)="","",VLOOKUP($A583,'Шаг2.Бланк заказа NEW'!$B$17:$N$201,12,0)),
"Нет")</f>
        <v/>
      </c>
      <c r="P583" s="153" t="str">
        <f ca="1">IFERROR(IF(VLOOKUP($A583,'Шаг2.Бланк заказа NEW'!$B$17:$N$201,13,0)="","",VLOOKUP($A583,'Шаг2.Бланк заказа NEW'!$B$17:$N$201,13,0)),
"Нет")</f>
        <v/>
      </c>
      <c r="Q583" s="147" t="str">
        <f ca="1">IFERROR(IF(VLOOKUP($A583,'Шаг2.Бланк заказа NEW'!$B$17:$O$201,14,0)="","",VLOOKUP($A583,'Шаг2.Бланк заказа NEW'!$B$17:$O$201,14,0)),"")</f>
        <v/>
      </c>
      <c r="R583" s="147" t="str">
        <f ca="1">IFERROR(IFERROR(IF(VLOOKUP($A583,'Шаг2.Бланк заказа NEW'!$B$17:$N$201,4,0)="","",VLOOKUP($A583,'Шаг2.Бланк заказа NEW'!$B$17:$N$201,4,0)),
IF(VLOOKUP($A583-COUNT('Шаг2.Бланк заказа NEW'!$B$19:$B$201),'Бланк OLD 0.8 04'!$B$12:$K$200,4,0)&gt;0,0.8,
IF(VLOOKUP($A583-COUNT('Шаг2.Бланк заказа NEW'!$B$19:$B$201),'Бланк OLD 0.8 04'!$B$12:$K$200,5,0)&gt;0,0.4,""))),
IF(VLOOKUP($A583-COUNT('Шаг2.Бланк заказа NEW'!$B$19:$B$201)-COUNT('Бланк OLD 0.8 04'!$B$18:$B$200),'Бланк OLD 2.0 04 '!$B$16:$K$200,4,0)&gt;0,2,IF(VLOOKUP($A583-COUNT('Шаг2.Бланк заказа NEW'!$B$19:$B$201)-COUNT('Бланк OLD 0.8 04'!$B$18:$B$200),'Бланк OLD 2.0 04 '!$B$16:$K$200,5,0)&gt;0,0.4,"")))</f>
        <v/>
      </c>
      <c r="S583" s="147" t="str">
        <f ca="1">IFERROR(IFERROR(IF(VLOOKUP($A583,'Шаг2.Бланк заказа NEW'!$B$17:$N$201,5,0)="","",VLOOKUP($A583,'Шаг2.Бланк заказа NEW'!$B$17:$N$201,5,0)),
IF(VLOOKUP($A583-COUNT('Шаг2.Бланк заказа NEW'!$B$19:$B$201),'Бланк OLD 0.8 04'!$B$12:$K$200,4,0)&gt;1,0.8,
IF(VLOOKUP($A583-COUNT('Шаг2.Бланк заказа NEW'!$B$19:$B$201),'Бланк OLD 0.8 04'!$B$12:$K$200,5,0)&gt;1,0.4,
IF(AND(VLOOKUP($A583-COUNT('Шаг2.Бланк заказа NEW'!$B$19:$B$201),'Бланк OLD 0.8 04'!$B$12:$K$200,4,0)&gt;0,VLOOKUP($A583-COUNT('Шаг2.Бланк заказа NEW'!$B$19:$B$201),'Бланк OLD 0.8 04'!$B$12:$K$200,5,0)&gt;0),0.4,"")))),
IF(VLOOKUP($A583-COUNT('Шаг2.Бланк заказа NEW'!$B$19:$B$201)-COUNT('Бланк OLD 0.8 04'!$B$18:$B$200),'Бланк OLD 2.0 04 '!$B$16:$K$200,4,0)&gt;1,2,
IF(VLOOKUP($A583-COUNT('Шаг2.Бланк заказа NEW'!$B$19:$B$201)-COUNT('Бланк OLD 0.8 04'!$B$18:$B$200),'Бланк OLD 2.0 04 '!$B$16:$K$200,5,0)&gt;1,0.4,IF(AND(VLOOKUP($A583-COUNT('Шаг2.Бланк заказа NEW'!$B$19:$B$201)-COUNT('Бланк OLD 0.8 04'!$B$18:$B$200),'Бланк OLD 2.0 04 '!$B$16:$K$200,4,0)&gt;0,VLOOKUP($A583-COUNT('Шаг2.Бланк заказа NEW'!$B$19:$B$201)-COUNT('Бланк OLD 0.8 04'!$B$18:$B$200),'Бланк OLD 2.0 04 '!$B$16:$K$200,5,0)&gt;0),0.4,""))))</f>
        <v/>
      </c>
      <c r="T583" s="147" t="str">
        <f ca="1">IFERROR(IFERROR(IF(VLOOKUP($A583,'Шаг2.Бланк заказа NEW'!$B$17:$N$201,7,0)="","",VLOOKUP($A583,'Шаг2.Бланк заказа NEW'!$B$17:$N$201,7,0)),
IF(VLOOKUP($A583-COUNT('Шаг2.Бланк заказа NEW'!$B$19:$B$201),'Бланк OLD 0.8 04'!$B$12:$K$200,7,0)&gt;0,0.8,
IF(VLOOKUP($A583-COUNT('Шаг2.Бланк заказа NEW'!$B$19:$B$201),'Бланк OLD 0.8 04'!$B$12:$K$200,8,0)&gt;0,0.4,""))),
IF(VLOOKUP($A583-COUNT('Шаг2.Бланк заказа NEW'!$B$19:$B$201)-COUNT('Бланк OLD 0.8 04'!$B$18:$B$200),'Бланк OLD 2.0 04 '!$B$16:$K$200,7,0)&gt;0,2,IF(VLOOKUP($A583-COUNT('Шаг2.Бланк заказа NEW'!$B$19:$B$201)-COUNT('Бланк OLD 0.8 04'!$B$18:$B$200),'Бланк OLD 2.0 04 '!$B$16:$K$200,8,0)&gt;0,0.4,"")))</f>
        <v/>
      </c>
      <c r="U583" s="147" t="str">
        <f ca="1">IFERROR(IFERROR(IF(VLOOKUP($A583,'Шаг2.Бланк заказа NEW'!$B$17:$N$201,8,0)="","",VLOOKUP($A583,'Шаг2.Бланк заказа NEW'!$B$17:$N$201,8,0)),
IF(VLOOKUP($A583-COUNT('Шаг2.Бланк заказа NEW'!$B$19:$B$201),'Бланк OLD 0.8 04'!$B$12:$K$200,7,0)&gt;1,0.8,
IF(VLOOKUP($A583-COUNT('Шаг2.Бланк заказа NEW'!$B$19:$B$201),'Бланк OLD 0.8 04'!$B$12:$K$200,8,0)&gt;1,0.4,
IF(AND(VLOOKUP($A583-COUNT('Шаг2.Бланк заказа NEW'!$B$19:$B$201),'Бланк OLD 0.8 04'!$B$12:$K$200,7,0)&gt;0,VLOOKUP($A583-COUNT('Шаг2.Бланк заказа NEW'!$B$19:$B$201),'Бланк OLD 0.8 04'!$B$12:$K$200,8,0)&gt;0),0.4,"")))),
IF(VLOOKUP($A583-COUNT('Шаг2.Бланк заказа NEW'!$B$19:$B$201)-COUNT('Бланк OLD 0.8 04'!$B$18:$B$200),'Бланк OLD 2.0 04 '!$B$16:$K$200,7,0)&gt;1,2,
IF(VLOOKUP($A583-COUNT('Шаг2.Бланк заказа NEW'!$B$19:$B$201)-COUNT('Бланк OLD 0.8 04'!$B$18:$B$200),'Бланк OLD 2.0 04 '!$B$16:$K$200,8,0)&gt;1,0.4,
IF(AND(VLOOKUP($A583-COUNT('Шаг2.Бланк заказа NEW'!$B$19:$B$201)-COUNT('Бланк OLD 0.8 04'!$B$18:$B$200),'Бланк OLD 2.0 04 '!$B$16:$K$200,7,0)&gt;0,VLOOKUP($A583-COUNT('Шаг2.Бланк заказа NEW'!$B$19:$B$201)-COUNT('Бланк OLD 0.8 04'!$B$18:$B$200),'Бланк OLD 2.0 04 '!$B$16:$K$200,8,0)&gt;0),0.4,""))))</f>
        <v/>
      </c>
      <c r="V583" s="146" t="str">
        <f ca="1">IFERROR(VLOOKUP(C583,'Шаг1.Выбор плиты'!C:S,12,0),"")</f>
        <v/>
      </c>
      <c r="W583" s="146" t="str">
        <f ca="1">IFERROR(VLOOKUP(C583,'Шаг1.Выбор плиты'!C:S,8,0),"")</f>
        <v/>
      </c>
      <c r="X583" s="146" t="str">
        <f ca="1">IFERROR(VLOOKUP(C583,'Шаг1.Выбор плиты'!C:S,10,0),"")</f>
        <v/>
      </c>
      <c r="Y583" s="147" t="str">
        <f t="shared" ca="1" si="56"/>
        <v/>
      </c>
      <c r="AD583" s="147" t="str">
        <f t="shared" ca="1" si="53"/>
        <v/>
      </c>
      <c r="AE583" s="147" t="str">
        <f t="shared" ca="1" si="57"/>
        <v/>
      </c>
      <c r="AF583" s="25"/>
      <c r="AH583" s="147" t="str">
        <f ca="1">IF(C583="","",VLOOKUP(C583,'Шаг1.Выбор плиты'!C:Q,7,0))</f>
        <v/>
      </c>
      <c r="AI583" s="147" t="str">
        <f t="shared" ca="1" si="55"/>
        <v/>
      </c>
    </row>
    <row r="584" spans="1:35" x14ac:dyDescent="0.2">
      <c r="A584" s="151" t="str">
        <f ca="1">IF(C584="","",MAX($A$1:OFFSET(C584,-1,0))+1)</f>
        <v/>
      </c>
      <c r="B584" s="151" t="str">
        <f ca="1">IFERROR(IFERROR(IFERROR("Шаг2.Бланк заказа NEW №"&amp;VLOOKUP(A583+1,CHOOSE({1,2},'Шаг2.Бланк заказа NEW'!$B$19:$B$201,'Шаг2.Бланк заказа NEW'!$A$19:$A$201),1,0),
"Бланк OLD 0.8 04 №"&amp;VLOOKUP(A583+1-COUNT('Шаг2.Бланк заказа NEW'!$B$19:$B$201),CHOOSE({1,2},'Бланк OLD 0.8 04'!$B$18:$B$200,'Бланк OLD 0.8 04'!$A$18:$A$200),1,0)),
"Бланк OLD 2.0 04 №"&amp;VLOOKUP(A583+1-COUNT('Шаг2.Бланк заказа NEW'!$B$19:$B$201)-COUNT('Бланк OLD 0.8 04'!$B$18:$B$200),CHOOSE({1,2},'Бланк OLD 2.0 04 '!$B$18:$B$200,'Бланк OLD 2.0 04 '!$A$18:$A$200),1,0)),"")</f>
        <v/>
      </c>
      <c r="C584" s="152" t="str">
        <f ca="1">IFERROR(IFERROR(IFERROR(VLOOKUP(A583+1,CHOOSE({1,2},'Шаг2.Бланк заказа NEW'!$B$19:$B$201,'Шаг2.Бланк заказа NEW'!$A$19:$A$201),2,0),
VLOOKUP(A583+1-COUNT('Шаг2.Бланк заказа NEW'!$B$19:$B$201),CHOOSE({1,2},'Бланк OLD 0.8 04'!$B$18:$B$200,'Бланк OLD 0.8 04'!$A$18:$A$200),2,0)),
VLOOKUP(A583+1-COUNT('Шаг2.Бланк заказа NEW'!$B$19:$B$201)-COUNT('Бланк OLD 0.8 04'!$B$18:$B$200),CHOOSE({1,2},'Бланк OLD 2.0 04 '!$B$18:$B$200,'Бланк OLD 2.0 04 '!$A$18:$A$200),2,0)),"")</f>
        <v/>
      </c>
      <c r="D584" s="150" t="str">
        <f ca="1">IFERROR(VLOOKUP(C584,'Шаг1.Выбор плиты'!C:G,5,0),"")</f>
        <v/>
      </c>
      <c r="E584" s="147" t="str">
        <f ca="1">IFERROR(IFERROR(IF(VLOOKUP($A584,'Шаг2.Бланк заказа NEW'!$B$17:$N$201,2,0)="","",VLOOKUP($A584,'Шаг2.Бланк заказа NEW'!$B$17:$N$201,2,0)),
IF(VLOOKUP($A584-COUNT('Шаг2.Бланк заказа NEW'!$B$19:$B$201),'Бланк OLD 0.8 04'!$B$12:$K$200,2,0)="","",VLOOKUP($A584-COUNT('Шаг2.Бланк заказа NEW'!$B$19:$B$201),'Бланк OLD 0.8 04'!$B$12:$K$200,2,0))),
IF(VLOOKUP($A584-COUNT('Шаг2.Бланк заказа NEW'!$B$19:$B$201)-COUNT('Бланк OLD 0.8 04'!$B$18:$B$200),'Бланк OLD 2.0 04 '!$B$16:$K$200,2,0)="","",VLOOKUP($A584-COUNT('Шаг2.Бланк заказа NEW'!$B$19:$B$201)-COUNT('Бланк OLD 0.8 04'!$B$18:$B$200),'Бланк OLD 2.0 04 '!$B$16:$K$200,2,0)))</f>
        <v/>
      </c>
      <c r="F584" s="147" t="str">
        <f ca="1">IFERROR(IFERROR(IF(VLOOKUP($A584,'Шаг2.Бланк заказа NEW'!$B$17:$N$201,3,0)="","",VLOOKUP($A584,'Шаг2.Бланк заказа NEW'!$B$17:$N$201,3,0)),
IF(VLOOKUP($A584-COUNT('Шаг2.Бланк заказа NEW'!$B$19:$B$201),'Бланк OLD 0.8 04'!$B$12:$K$200,3,0)="","",VLOOKUP($A584-COUNT('Шаг2.Бланк заказа NEW'!$B$19:$B$201),'Бланк OLD 0.8 04'!$B$12:$K$200,3,0))),
IF(VLOOKUP($A584-COUNT('Шаг2.Бланк заказа NEW'!$B$19:$B$201)-COUNT('Бланк OLD 0.8 04'!$B$18:$B$200),'Бланк OLD 2.0 04 '!$B$16:$K$200,3,0)="","",VLOOKUP($A584-COUNT('Шаг2.Бланк заказа NEW'!$B$19:$B$201)-COUNT('Бланк OLD 0.8 04'!$B$18:$B$200),'Бланк OLD 2.0 04 '!$B$16:$K$200,3,0)))</f>
        <v/>
      </c>
      <c r="G584" s="176" t="str">
        <f ca="1">IF(IF(R584="","",IF(R584=1,SUMIFS('Шаг1.Выбор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плиты'!C:Q,12,0)),1))))))=0,
R584,
IF(R584="","",IF(R584=1,SUMIFS('Шаг1.Выбор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плиты'!N:N,R584,'Шаг1.Выбор плиты'!M:M,SMALL(INDIRECT("мм"&amp;VLOOKUP(C584,'Шаг1.Выбор плиты'!C:Q,12,0)),1)))))))</f>
        <v/>
      </c>
      <c r="H584" s="177" t="str">
        <f ca="1">IF(IF(S584="","",IF(S584=1,SUMIFS('Шаг1.Выбор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плиты'!C:Q,12,0)),1))))))=0,
S584,
IF(S584="","",IF(S584=1,SUMIFS('Шаг1.Выбор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плиты'!N:N,S584,'Шаг1.Выбор плиты'!M:M,SMALL(INDIRECT("мм"&amp;VLOOKUP(C584,'Шаг1.Выбор плиты'!C:Q,12,0)),1)))))))</f>
        <v/>
      </c>
      <c r="I584" s="147" t="str">
        <f ca="1">IFERROR(IFERROR(IF(VLOOKUP($A584,'Шаг2.Бланк заказа NEW'!$B$17:$N$201,6,0)="","",VLOOKUP($A584,'Шаг2.Бланк заказа NEW'!$B$17:$N$201,6,0)),
IF(VLOOKUP($A584-COUNT('Шаг2.Бланк заказа NEW'!$B$19:$B$201),'Бланк OLD 0.8 04'!$B$12:$K$200,6,0)="","",VLOOKUP($A584-COUNT('Шаг2.Бланк заказа NEW'!$B$19:$B$201),'Бланк OLD 0.8 04'!$B$12:$K$200,6,0))),
IF(VLOOKUP($A584-COUNT('Шаг2.Бланк заказа NEW'!$B$19:$B$201)-COUNT('Бланк OLD 0.8 04'!$B$18:$B$200),'Бланк OLD 2.0 04 '!$B$16:$K$200,6,0)="","",VLOOKUP($A584-COUNT('Шаг2.Бланк заказа NEW'!$B$19:$B$201)-COUNT('Бланк OLD 0.8 04'!$B$18:$B$200),'Бланк OLD 2.0 04 '!$B$16:$K$200,6,0)))</f>
        <v/>
      </c>
      <c r="J584" s="177" t="str">
        <f ca="1">IF(IF(T584="","",IF(T584=1,SUMIFS('Шаг1.Выбор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плиты'!C:Q,12,0)),1))))))=0,
T584,
IF(T584="","",IF(T584=1,SUMIFS('Шаг1.Выбор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плиты'!N:N,T584,'Шаг1.Выбор плиты'!M:M,SMALL(INDIRECT("мм"&amp;VLOOKUP(C584,'Шаг1.Выбор плиты'!C:Q,12,0)),1)))))))</f>
        <v/>
      </c>
      <c r="K584" s="177" t="str">
        <f ca="1">IF(IF(U584="","",IF(U584=1,SUMIFS('Шаг1.Выбор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плиты'!C:Q,12,0)),1))))))=0,
U584,
IF(U584="","",IF(U584=1,SUMIFS('Шаг1.Выбор плиты'!$G:$G,'Шаг1.Выбор плиты'!J:J,"*"&amp;RIGHT(VLOOKUP(C584,'Шаг1.Выбор плиты'!C:Q,8,0),4),'Шаг1.Выбор плиты'!L:L,IF(MID(C584,1,6)="ЛДСП P","TM"&amp;MID(VLOOKUP(C584,'Шаг1.Выбор плиты'!C:Q,10,0),3,2),MID(VLOOKUP(C584,'Шаг1.Выбор плиты'!C:Q,10,0),1,2)),
'Шаг1.Выбор плиты'!N:N,1),IF(SUMIFS('Шаг1.Выбор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плиты'!C:Q,12,0)),1))=0,
IF(SUMIFS('Шаг1.Выбор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плиты'!C:Q,12,0)),2))=0,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плиты'!C:Q,12,0)),3)),
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плиты'!C:Q,12,0)),2))),
(SUMIFS('Шаг1.Выбор плиты'!$G:$G,'Шаг1.Выбор плиты'!J:J,"*"&amp;RIGHT(VLOOKUP(C584,'Шаг1.Выбор плиты'!C:Q,8,0),4),'Шаг1.Выбор плиты'!L:L,VLOOKUP(C584,'Шаг1.Выбор плиты'!C:Q,10,0),'Шаг1.Выбор плиты'!N:N,U584,'Шаг1.Выбор плиты'!M:M,SMALL(INDIRECT("мм"&amp;VLOOKUP(C584,'Шаг1.Выбор плиты'!C:Q,12,0)),1)))))))</f>
        <v/>
      </c>
      <c r="L584" s="147" t="str">
        <f ca="1">IFERROR(IFERROR(IF(VLOOKUP($A584,'Шаг2.Бланк заказа NEW'!$B$17:$N$201,9,0)="","",VLOOKUP($A584,'Шаг2.Бланк заказа NEW'!$B$17:$N$201,9,0)),
IF(VLOOKUP($A584-COUNT('Шаг2.Бланк заказа NEW'!$B$19:$B$201),'Бланк OLD 0.8 04'!$B$12:$K$200,9,0)="","",VLOOKUP($A584-COUNT('Шаг2.Бланк заказа NEW'!$B$19:$B$201),'Бланк OLD 0.8 04'!$B$12:$K$200,9,0))),
IF(VLOOKUP($A584-COUNT('Шаг2.Бланк заказа NEW'!$B$19:$B$201)-COUNT('Бланк OLD 0.8 04'!$B$18:$B$200),'Бланк OLD 2.0 04 '!$B$16:$K$200,9,0)="","",VLOOKUP($A584-COUNT('Шаг2.Бланк заказа NEW'!$B$19:$B$201)-COUNT('Бланк OLD 0.8 04'!$B$18:$B$200),'Бланк OLD 2.0 04 '!$B$16:$K$200,9,0)))</f>
        <v/>
      </c>
      <c r="M584" s="154" t="str">
        <f t="shared" ca="1" si="54"/>
        <v/>
      </c>
      <c r="N584" s="153" t="str">
        <f ca="1">IFERROR(IF(VLOOKUP($A584,'Шаг2.Бланк заказа NEW'!$B$17:$N$201,11,0)="","",VLOOKUP($A584,'Шаг2.Бланк заказа NEW'!$B$17:$N$201,11,0)),
"Нет")</f>
        <v/>
      </c>
      <c r="O584" s="147" t="str">
        <f ca="1">IFERROR(IF(VLOOKUP($A584,'Шаг2.Бланк заказа NEW'!$B$17:$N$201,11,0)="","",VLOOKUP($A584,'Шаг2.Бланк заказа NEW'!$B$17:$N$201,12,0)),
"Нет")</f>
        <v/>
      </c>
      <c r="P584" s="153" t="str">
        <f ca="1">IFERROR(IF(VLOOKUP($A584,'Шаг2.Бланк заказа NEW'!$B$17:$N$201,13,0)="","",VLOOKUP($A584,'Шаг2.Бланк заказа NEW'!$B$17:$N$201,13,0)),
"Нет")</f>
        <v/>
      </c>
      <c r="Q584" s="147" t="str">
        <f ca="1">IFERROR(IF(VLOOKUP($A584,'Шаг2.Бланк заказа NEW'!$B$17:$O$201,14,0)="","",VLOOKUP($A584,'Шаг2.Бланк заказа NEW'!$B$17:$O$201,14,0)),"")</f>
        <v/>
      </c>
      <c r="R584" s="147" t="str">
        <f ca="1">IFERROR(IFERROR(IF(VLOOKUP($A584,'Шаг2.Бланк заказа NEW'!$B$17:$N$201,4,0)="","",VLOOKUP($A584,'Шаг2.Бланк заказа NEW'!$B$17:$N$201,4,0)),
IF(VLOOKUP($A584-COUNT('Шаг2.Бланк заказа NEW'!$B$19:$B$201),'Бланк OLD 0.8 04'!$B$12:$K$200,4,0)&gt;0,0.8,
IF(VLOOKUP($A584-COUNT('Шаг2.Бланк заказа NEW'!$B$19:$B$201),'Бланк OLD 0.8 04'!$B$12:$K$200,5,0)&gt;0,0.4,""))),
IF(VLOOKUP($A584-COUNT('Шаг2.Бланк заказа NEW'!$B$19:$B$201)-COUNT('Бланк OLD 0.8 04'!$B$18:$B$200),'Бланк OLD 2.0 04 '!$B$16:$K$200,4,0)&gt;0,2,IF(VLOOKUP($A584-COUNT('Шаг2.Бланк заказа NEW'!$B$19:$B$201)-COUNT('Бланк OLD 0.8 04'!$B$18:$B$200),'Бланк OLD 2.0 04 '!$B$16:$K$200,5,0)&gt;0,0.4,"")))</f>
        <v/>
      </c>
      <c r="S584" s="147" t="str">
        <f ca="1">IFERROR(IFERROR(IF(VLOOKUP($A584,'Шаг2.Бланк заказа NEW'!$B$17:$N$201,5,0)="","",VLOOKUP($A584,'Шаг2.Бланк заказа NEW'!$B$17:$N$201,5,0)),
IF(VLOOKUP($A584-COUNT('Шаг2.Бланк заказа NEW'!$B$19:$B$201),'Бланк OLD 0.8 04'!$B$12:$K$200,4,0)&gt;1,0.8,
IF(VLOOKUP($A584-COUNT('Шаг2.Бланк заказа NEW'!$B$19:$B$201),'Бланк OLD 0.8 04'!$B$12:$K$200,5,0)&gt;1,0.4,
IF(AND(VLOOKUP($A584-COUNT('Шаг2.Бланк заказа NEW'!$B$19:$B$201),'Бланк OLD 0.8 04'!$B$12:$K$200,4,0)&gt;0,VLOOKUP($A584-COUNT('Шаг2.Бланк заказа NEW'!$B$19:$B$201),'Бланк OLD 0.8 04'!$B$12:$K$200,5,0)&gt;0),0.4,"")))),
IF(VLOOKUP($A584-COUNT('Шаг2.Бланк заказа NEW'!$B$19:$B$201)-COUNT('Бланк OLD 0.8 04'!$B$18:$B$200),'Бланк OLD 2.0 04 '!$B$16:$K$200,4,0)&gt;1,2,
IF(VLOOKUP($A584-COUNT('Шаг2.Бланк заказа NEW'!$B$19:$B$201)-COUNT('Бланк OLD 0.8 04'!$B$18:$B$200),'Бланк OLD 2.0 04 '!$B$16:$K$200,5,0)&gt;1,0.4,IF(AND(VLOOKUP($A584-COUNT('Шаг2.Бланк заказа NEW'!$B$19:$B$201)-COUNT('Бланк OLD 0.8 04'!$B$18:$B$200),'Бланк OLD 2.0 04 '!$B$16:$K$200,4,0)&gt;0,VLOOKUP($A584-COUNT('Шаг2.Бланк заказа NEW'!$B$19:$B$201)-COUNT('Бланк OLD 0.8 04'!$B$18:$B$200),'Бланк OLD 2.0 04 '!$B$16:$K$200,5,0)&gt;0),0.4,""))))</f>
        <v/>
      </c>
      <c r="T584" s="147" t="str">
        <f ca="1">IFERROR(IFERROR(IF(VLOOKUP($A584,'Шаг2.Бланк заказа NEW'!$B$17:$N$201,7,0)="","",VLOOKUP($A584,'Шаг2.Бланк заказа NEW'!$B$17:$N$201,7,0)),
IF(VLOOKUP($A584-COUNT('Шаг2.Бланк заказа NEW'!$B$19:$B$201),'Бланк OLD 0.8 04'!$B$12:$K$200,7,0)&gt;0,0.8,
IF(VLOOKUP($A584-COUNT('Шаг2.Бланк заказа NEW'!$B$19:$B$201),'Бланк OLD 0.8 04'!$B$12:$K$200,8,0)&gt;0,0.4,""))),
IF(VLOOKUP($A584-COUNT('Шаг2.Бланк заказа NEW'!$B$19:$B$201)-COUNT('Бланк OLD 0.8 04'!$B$18:$B$200),'Бланк OLD 2.0 04 '!$B$16:$K$200,7,0)&gt;0,2,IF(VLOOKUP($A584-COUNT('Шаг2.Бланк заказа NEW'!$B$19:$B$201)-COUNT('Бланк OLD 0.8 04'!$B$18:$B$200),'Бланк OLD 2.0 04 '!$B$16:$K$200,8,0)&gt;0,0.4,"")))</f>
        <v/>
      </c>
      <c r="U584" s="147" t="str">
        <f ca="1">IFERROR(IFERROR(IF(VLOOKUP($A584,'Шаг2.Бланк заказа NEW'!$B$17:$N$201,8,0)="","",VLOOKUP($A584,'Шаг2.Бланк заказа NEW'!$B$17:$N$201,8,0)),
IF(VLOOKUP($A584-COUNT('Шаг2.Бланк заказа NEW'!$B$19:$B$201),'Бланк OLD 0.8 04'!$B$12:$K$200,7,0)&gt;1,0.8,
IF(VLOOKUP($A584-COUNT('Шаг2.Бланк заказа NEW'!$B$19:$B$201),'Бланк OLD 0.8 04'!$B$12:$K$200,8,0)&gt;1,0.4,
IF(AND(VLOOKUP($A584-COUNT('Шаг2.Бланк заказа NEW'!$B$19:$B$201),'Бланк OLD 0.8 04'!$B$12:$K$200,7,0)&gt;0,VLOOKUP($A584-COUNT('Шаг2.Бланк заказа NEW'!$B$19:$B$201),'Бланк OLD 0.8 04'!$B$12:$K$200,8,0)&gt;0),0.4,"")))),
IF(VLOOKUP($A584-COUNT('Шаг2.Бланк заказа NEW'!$B$19:$B$201)-COUNT('Бланк OLD 0.8 04'!$B$18:$B$200),'Бланк OLD 2.0 04 '!$B$16:$K$200,7,0)&gt;1,2,
IF(VLOOKUP($A584-COUNT('Шаг2.Бланк заказа NEW'!$B$19:$B$201)-COUNT('Бланк OLD 0.8 04'!$B$18:$B$200),'Бланк OLD 2.0 04 '!$B$16:$K$200,8,0)&gt;1,0.4,
IF(AND(VLOOKUP($A584-COUNT('Шаг2.Бланк заказа NEW'!$B$19:$B$201)-COUNT('Бланк OLD 0.8 04'!$B$18:$B$200),'Бланк OLD 2.0 04 '!$B$16:$K$200,7,0)&gt;0,VLOOKUP($A584-COUNT('Шаг2.Бланк заказа NEW'!$B$19:$B$201)-COUNT('Бланк OLD 0.8 04'!$B$18:$B$200),'Бланк OLD 2.0 04 '!$B$16:$K$200,8,0)&gt;0),0.4,""))))</f>
        <v/>
      </c>
      <c r="V584" s="146" t="str">
        <f ca="1">IFERROR(VLOOKUP(C584,'Шаг1.Выбор плиты'!C:S,12,0),"")</f>
        <v/>
      </c>
      <c r="W584" s="146" t="str">
        <f ca="1">IFERROR(VLOOKUP(C584,'Шаг1.Выбор плиты'!C:S,8,0),"")</f>
        <v/>
      </c>
      <c r="X584" s="146" t="str">
        <f ca="1">IFERROR(VLOOKUP(C584,'Шаг1.Выбор плиты'!C:S,10,0),"")</f>
        <v/>
      </c>
      <c r="Y584" s="147" t="str">
        <f t="shared" ca="1" si="56"/>
        <v/>
      </c>
      <c r="AD584" s="147" t="str">
        <f t="shared" ca="1" si="53"/>
        <v/>
      </c>
      <c r="AE584" s="147" t="str">
        <f t="shared" ca="1" si="57"/>
        <v/>
      </c>
      <c r="AF584" s="25"/>
      <c r="AH584" s="147" t="str">
        <f ca="1">IF(C584="","",VLOOKUP(C584,'Шаг1.Выбор плиты'!C:Q,7,0))</f>
        <v/>
      </c>
      <c r="AI584" s="147" t="str">
        <f t="shared" ca="1" si="55"/>
        <v/>
      </c>
    </row>
    <row r="585" spans="1:35" x14ac:dyDescent="0.2">
      <c r="A585" s="151" t="str">
        <f ca="1">IF(C585="","",MAX($A$1:OFFSET(C585,-1,0))+1)</f>
        <v/>
      </c>
      <c r="B585" s="151" t="str">
        <f ca="1">IFERROR(IFERROR(IFERROR("Шаг2.Бланк заказа NEW №"&amp;VLOOKUP(A584+1,CHOOSE({1,2},'Шаг2.Бланк заказа NEW'!$B$19:$B$201,'Шаг2.Бланк заказа NEW'!$A$19:$A$201),1,0),
"Бланк OLD 0.8 04 №"&amp;VLOOKUP(A584+1-COUNT('Шаг2.Бланк заказа NEW'!$B$19:$B$201),CHOOSE({1,2},'Бланк OLD 0.8 04'!$B$18:$B$200,'Бланк OLD 0.8 04'!$A$18:$A$200),1,0)),
"Бланк OLD 2.0 04 №"&amp;VLOOKUP(A584+1-COUNT('Шаг2.Бланк заказа NEW'!$B$19:$B$201)-COUNT('Бланк OLD 0.8 04'!$B$18:$B$200),CHOOSE({1,2},'Бланк OLD 2.0 04 '!$B$18:$B$200,'Бланк OLD 2.0 04 '!$A$18:$A$200),1,0)),"")</f>
        <v/>
      </c>
      <c r="C585" s="152" t="str">
        <f ca="1">IFERROR(IFERROR(IFERROR(VLOOKUP(A584+1,CHOOSE({1,2},'Шаг2.Бланк заказа NEW'!$B$19:$B$201,'Шаг2.Бланк заказа NEW'!$A$19:$A$201),2,0),
VLOOKUP(A584+1-COUNT('Шаг2.Бланк заказа NEW'!$B$19:$B$201),CHOOSE({1,2},'Бланк OLD 0.8 04'!$B$18:$B$200,'Бланк OLD 0.8 04'!$A$18:$A$200),2,0)),
VLOOKUP(A584+1-COUNT('Шаг2.Бланк заказа NEW'!$B$19:$B$201)-COUNT('Бланк OLD 0.8 04'!$B$18:$B$200),CHOOSE({1,2},'Бланк OLD 2.0 04 '!$B$18:$B$200,'Бланк OLD 2.0 04 '!$A$18:$A$200),2,0)),"")</f>
        <v/>
      </c>
      <c r="D585" s="150" t="str">
        <f ca="1">IFERROR(VLOOKUP(C585,'Шаг1.Выбор плиты'!C:G,5,0),"")</f>
        <v/>
      </c>
      <c r="E585" s="147" t="str">
        <f ca="1">IFERROR(IFERROR(IF(VLOOKUP($A585,'Шаг2.Бланк заказа NEW'!$B$17:$N$201,2,0)="","",VLOOKUP($A585,'Шаг2.Бланк заказа NEW'!$B$17:$N$201,2,0)),
IF(VLOOKUP($A585-COUNT('Шаг2.Бланк заказа NEW'!$B$19:$B$201),'Бланк OLD 0.8 04'!$B$12:$K$200,2,0)="","",VLOOKUP($A585-COUNT('Шаг2.Бланк заказа NEW'!$B$19:$B$201),'Бланк OLD 0.8 04'!$B$12:$K$200,2,0))),
IF(VLOOKUP($A585-COUNT('Шаг2.Бланк заказа NEW'!$B$19:$B$201)-COUNT('Бланк OLD 0.8 04'!$B$18:$B$200),'Бланк OLD 2.0 04 '!$B$16:$K$200,2,0)="","",VLOOKUP($A585-COUNT('Шаг2.Бланк заказа NEW'!$B$19:$B$201)-COUNT('Бланк OLD 0.8 04'!$B$18:$B$200),'Бланк OLD 2.0 04 '!$B$16:$K$200,2,0)))</f>
        <v/>
      </c>
      <c r="F585" s="147" t="str">
        <f ca="1">IFERROR(IFERROR(IF(VLOOKUP($A585,'Шаг2.Бланк заказа NEW'!$B$17:$N$201,3,0)="","",VLOOKUP($A585,'Шаг2.Бланк заказа NEW'!$B$17:$N$201,3,0)),
IF(VLOOKUP($A585-COUNT('Шаг2.Бланк заказа NEW'!$B$19:$B$201),'Бланк OLD 0.8 04'!$B$12:$K$200,3,0)="","",VLOOKUP($A585-COUNT('Шаг2.Бланк заказа NEW'!$B$19:$B$201),'Бланк OLD 0.8 04'!$B$12:$K$200,3,0))),
IF(VLOOKUP($A585-COUNT('Шаг2.Бланк заказа NEW'!$B$19:$B$201)-COUNT('Бланк OLD 0.8 04'!$B$18:$B$200),'Бланк OLD 2.0 04 '!$B$16:$K$200,3,0)="","",VLOOKUP($A585-COUNT('Шаг2.Бланк заказа NEW'!$B$19:$B$201)-COUNT('Бланк OLD 0.8 04'!$B$18:$B$200),'Бланк OLD 2.0 04 '!$B$16:$K$200,3,0)))</f>
        <v/>
      </c>
      <c r="G585" s="176" t="str">
        <f ca="1">IF(IF(R585="","",IF(R585=1,SUMIFS('Шаг1.Выбор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плиты'!C:Q,12,0)),1))))))=0,
R585,
IF(R585="","",IF(R585=1,SUMIFS('Шаг1.Выбор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плиты'!N:N,R585,'Шаг1.Выбор плиты'!M:M,SMALL(INDIRECT("мм"&amp;VLOOKUP(C585,'Шаг1.Выбор плиты'!C:Q,12,0)),1)))))))</f>
        <v/>
      </c>
      <c r="H585" s="177" t="str">
        <f ca="1">IF(IF(S585="","",IF(S585=1,SUMIFS('Шаг1.Выбор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плиты'!C:Q,12,0)),1))))))=0,
S585,
IF(S585="","",IF(S585=1,SUMIFS('Шаг1.Выбор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плиты'!N:N,S585,'Шаг1.Выбор плиты'!M:M,SMALL(INDIRECT("мм"&amp;VLOOKUP(C585,'Шаг1.Выбор плиты'!C:Q,12,0)),1)))))))</f>
        <v/>
      </c>
      <c r="I585" s="147" t="str">
        <f ca="1">IFERROR(IFERROR(IF(VLOOKUP($A585,'Шаг2.Бланк заказа NEW'!$B$17:$N$201,6,0)="","",VLOOKUP($A585,'Шаг2.Бланк заказа NEW'!$B$17:$N$201,6,0)),
IF(VLOOKUP($A585-COUNT('Шаг2.Бланк заказа NEW'!$B$19:$B$201),'Бланк OLD 0.8 04'!$B$12:$K$200,6,0)="","",VLOOKUP($A585-COUNT('Шаг2.Бланк заказа NEW'!$B$19:$B$201),'Бланк OLD 0.8 04'!$B$12:$K$200,6,0))),
IF(VLOOKUP($A585-COUNT('Шаг2.Бланк заказа NEW'!$B$19:$B$201)-COUNT('Бланк OLD 0.8 04'!$B$18:$B$200),'Бланк OLD 2.0 04 '!$B$16:$K$200,6,0)="","",VLOOKUP($A585-COUNT('Шаг2.Бланк заказа NEW'!$B$19:$B$201)-COUNT('Бланк OLD 0.8 04'!$B$18:$B$200),'Бланк OLD 2.0 04 '!$B$16:$K$200,6,0)))</f>
        <v/>
      </c>
      <c r="J585" s="177" t="str">
        <f ca="1">IF(IF(T585="","",IF(T585=1,SUMIFS('Шаг1.Выбор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плиты'!C:Q,12,0)),1))))))=0,
T585,
IF(T585="","",IF(T585=1,SUMIFS('Шаг1.Выбор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плиты'!N:N,T585,'Шаг1.Выбор плиты'!M:M,SMALL(INDIRECT("мм"&amp;VLOOKUP(C585,'Шаг1.Выбор плиты'!C:Q,12,0)),1)))))))</f>
        <v/>
      </c>
      <c r="K585" s="177" t="str">
        <f ca="1">IF(IF(U585="","",IF(U585=1,SUMIFS('Шаг1.Выбор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плиты'!C:Q,12,0)),1))))))=0,
U585,
IF(U585="","",IF(U585=1,SUMIFS('Шаг1.Выбор плиты'!$G:$G,'Шаг1.Выбор плиты'!J:J,"*"&amp;RIGHT(VLOOKUP(C585,'Шаг1.Выбор плиты'!C:Q,8,0),4),'Шаг1.Выбор плиты'!L:L,IF(MID(C585,1,6)="ЛДСП P","TM"&amp;MID(VLOOKUP(C585,'Шаг1.Выбор плиты'!C:Q,10,0),3,2),MID(VLOOKUP(C585,'Шаг1.Выбор плиты'!C:Q,10,0),1,2)),
'Шаг1.Выбор плиты'!N:N,1),IF(SUMIFS('Шаг1.Выбор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плиты'!C:Q,12,0)),1))=0,
IF(SUMIFS('Шаг1.Выбор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плиты'!C:Q,12,0)),2))=0,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плиты'!C:Q,12,0)),3)),
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плиты'!C:Q,12,0)),2))),
(SUMIFS('Шаг1.Выбор плиты'!$G:$G,'Шаг1.Выбор плиты'!J:J,"*"&amp;RIGHT(VLOOKUP(C585,'Шаг1.Выбор плиты'!C:Q,8,0),4),'Шаг1.Выбор плиты'!L:L,VLOOKUP(C585,'Шаг1.Выбор плиты'!C:Q,10,0),'Шаг1.Выбор плиты'!N:N,U585,'Шаг1.Выбор плиты'!M:M,SMALL(INDIRECT("мм"&amp;VLOOKUP(C585,'Шаг1.Выбор плиты'!C:Q,12,0)),1)))))))</f>
        <v/>
      </c>
      <c r="L585" s="147" t="str">
        <f ca="1">IFERROR(IFERROR(IF(VLOOKUP($A585,'Шаг2.Бланк заказа NEW'!$B$17:$N$201,9,0)="","",VLOOKUP($A585,'Шаг2.Бланк заказа NEW'!$B$17:$N$201,9,0)),
IF(VLOOKUP($A585-COUNT('Шаг2.Бланк заказа NEW'!$B$19:$B$201),'Бланк OLD 0.8 04'!$B$12:$K$200,9,0)="","",VLOOKUP($A585-COUNT('Шаг2.Бланк заказа NEW'!$B$19:$B$201),'Бланк OLD 0.8 04'!$B$12:$K$200,9,0))),
IF(VLOOKUP($A585-COUNT('Шаг2.Бланк заказа NEW'!$B$19:$B$201)-COUNT('Бланк OLD 0.8 04'!$B$18:$B$200),'Бланк OLD 2.0 04 '!$B$16:$K$200,9,0)="","",VLOOKUP($A585-COUNT('Шаг2.Бланк заказа NEW'!$B$19:$B$201)-COUNT('Бланк OLD 0.8 04'!$B$18:$B$200),'Бланк OLD 2.0 04 '!$B$16:$K$200,9,0)))</f>
        <v/>
      </c>
      <c r="M585" s="154" t="str">
        <f t="shared" ca="1" si="54"/>
        <v/>
      </c>
      <c r="N585" s="153" t="str">
        <f ca="1">IFERROR(IF(VLOOKUP($A585,'Шаг2.Бланк заказа NEW'!$B$17:$N$201,11,0)="","",VLOOKUP($A585,'Шаг2.Бланк заказа NEW'!$B$17:$N$201,11,0)),
"Нет")</f>
        <v/>
      </c>
      <c r="O585" s="147" t="str">
        <f ca="1">IFERROR(IF(VLOOKUP($A585,'Шаг2.Бланк заказа NEW'!$B$17:$N$201,11,0)="","",VLOOKUP($A585,'Шаг2.Бланк заказа NEW'!$B$17:$N$201,12,0)),
"Нет")</f>
        <v/>
      </c>
      <c r="P585" s="153" t="str">
        <f ca="1">IFERROR(IF(VLOOKUP($A585,'Шаг2.Бланк заказа NEW'!$B$17:$N$201,13,0)="","",VLOOKUP($A585,'Шаг2.Бланк заказа NEW'!$B$17:$N$201,13,0)),
"Нет")</f>
        <v/>
      </c>
      <c r="Q585" s="147" t="str">
        <f ca="1">IFERROR(IF(VLOOKUP($A585,'Шаг2.Бланк заказа NEW'!$B$17:$O$201,14,0)="","",VLOOKUP($A585,'Шаг2.Бланк заказа NEW'!$B$17:$O$201,14,0)),"")</f>
        <v/>
      </c>
      <c r="R585" s="147" t="str">
        <f ca="1">IFERROR(IFERROR(IF(VLOOKUP($A585,'Шаг2.Бланк заказа NEW'!$B$17:$N$201,4,0)="","",VLOOKUP($A585,'Шаг2.Бланк заказа NEW'!$B$17:$N$201,4,0)),
IF(VLOOKUP($A585-COUNT('Шаг2.Бланк заказа NEW'!$B$19:$B$201),'Бланк OLD 0.8 04'!$B$12:$K$200,4,0)&gt;0,0.8,
IF(VLOOKUP($A585-COUNT('Шаг2.Бланк заказа NEW'!$B$19:$B$201),'Бланк OLD 0.8 04'!$B$12:$K$200,5,0)&gt;0,0.4,""))),
IF(VLOOKUP($A585-COUNT('Шаг2.Бланк заказа NEW'!$B$19:$B$201)-COUNT('Бланк OLD 0.8 04'!$B$18:$B$200),'Бланк OLD 2.0 04 '!$B$16:$K$200,4,0)&gt;0,2,IF(VLOOKUP($A585-COUNT('Шаг2.Бланк заказа NEW'!$B$19:$B$201)-COUNT('Бланк OLD 0.8 04'!$B$18:$B$200),'Бланк OLD 2.0 04 '!$B$16:$K$200,5,0)&gt;0,0.4,"")))</f>
        <v/>
      </c>
      <c r="S585" s="147" t="str">
        <f ca="1">IFERROR(IFERROR(IF(VLOOKUP($A585,'Шаг2.Бланк заказа NEW'!$B$17:$N$201,5,0)="","",VLOOKUP($A585,'Шаг2.Бланк заказа NEW'!$B$17:$N$201,5,0)),
IF(VLOOKUP($A585-COUNT('Шаг2.Бланк заказа NEW'!$B$19:$B$201),'Бланк OLD 0.8 04'!$B$12:$K$200,4,0)&gt;1,0.8,
IF(VLOOKUP($A585-COUNT('Шаг2.Бланк заказа NEW'!$B$19:$B$201),'Бланк OLD 0.8 04'!$B$12:$K$200,5,0)&gt;1,0.4,
IF(AND(VLOOKUP($A585-COUNT('Шаг2.Бланк заказа NEW'!$B$19:$B$201),'Бланк OLD 0.8 04'!$B$12:$K$200,4,0)&gt;0,VLOOKUP($A585-COUNT('Шаг2.Бланк заказа NEW'!$B$19:$B$201),'Бланк OLD 0.8 04'!$B$12:$K$200,5,0)&gt;0),0.4,"")))),
IF(VLOOKUP($A585-COUNT('Шаг2.Бланк заказа NEW'!$B$19:$B$201)-COUNT('Бланк OLD 0.8 04'!$B$18:$B$200),'Бланк OLD 2.0 04 '!$B$16:$K$200,4,0)&gt;1,2,
IF(VLOOKUP($A585-COUNT('Шаг2.Бланк заказа NEW'!$B$19:$B$201)-COUNT('Бланк OLD 0.8 04'!$B$18:$B$200),'Бланк OLD 2.0 04 '!$B$16:$K$200,5,0)&gt;1,0.4,IF(AND(VLOOKUP($A585-COUNT('Шаг2.Бланк заказа NEW'!$B$19:$B$201)-COUNT('Бланк OLD 0.8 04'!$B$18:$B$200),'Бланк OLD 2.0 04 '!$B$16:$K$200,4,0)&gt;0,VLOOKUP($A585-COUNT('Шаг2.Бланк заказа NEW'!$B$19:$B$201)-COUNT('Бланк OLD 0.8 04'!$B$18:$B$200),'Бланк OLD 2.0 04 '!$B$16:$K$200,5,0)&gt;0),0.4,""))))</f>
        <v/>
      </c>
      <c r="T585" s="147" t="str">
        <f ca="1">IFERROR(IFERROR(IF(VLOOKUP($A585,'Шаг2.Бланк заказа NEW'!$B$17:$N$201,7,0)="","",VLOOKUP($A585,'Шаг2.Бланк заказа NEW'!$B$17:$N$201,7,0)),
IF(VLOOKUP($A585-COUNT('Шаг2.Бланк заказа NEW'!$B$19:$B$201),'Бланк OLD 0.8 04'!$B$12:$K$200,7,0)&gt;0,0.8,
IF(VLOOKUP($A585-COUNT('Шаг2.Бланк заказа NEW'!$B$19:$B$201),'Бланк OLD 0.8 04'!$B$12:$K$200,8,0)&gt;0,0.4,""))),
IF(VLOOKUP($A585-COUNT('Шаг2.Бланк заказа NEW'!$B$19:$B$201)-COUNT('Бланк OLD 0.8 04'!$B$18:$B$200),'Бланк OLD 2.0 04 '!$B$16:$K$200,7,0)&gt;0,2,IF(VLOOKUP($A585-COUNT('Шаг2.Бланк заказа NEW'!$B$19:$B$201)-COUNT('Бланк OLD 0.8 04'!$B$18:$B$200),'Бланк OLD 2.0 04 '!$B$16:$K$200,8,0)&gt;0,0.4,"")))</f>
        <v/>
      </c>
      <c r="U585" s="147" t="str">
        <f ca="1">IFERROR(IFERROR(IF(VLOOKUP($A585,'Шаг2.Бланк заказа NEW'!$B$17:$N$201,8,0)="","",VLOOKUP($A585,'Шаг2.Бланк заказа NEW'!$B$17:$N$201,8,0)),
IF(VLOOKUP($A585-COUNT('Шаг2.Бланк заказа NEW'!$B$19:$B$201),'Бланк OLD 0.8 04'!$B$12:$K$200,7,0)&gt;1,0.8,
IF(VLOOKUP($A585-COUNT('Шаг2.Бланк заказа NEW'!$B$19:$B$201),'Бланк OLD 0.8 04'!$B$12:$K$200,8,0)&gt;1,0.4,
IF(AND(VLOOKUP($A585-COUNT('Шаг2.Бланк заказа NEW'!$B$19:$B$201),'Бланк OLD 0.8 04'!$B$12:$K$200,7,0)&gt;0,VLOOKUP($A585-COUNT('Шаг2.Бланк заказа NEW'!$B$19:$B$201),'Бланк OLD 0.8 04'!$B$12:$K$200,8,0)&gt;0),0.4,"")))),
IF(VLOOKUP($A585-COUNT('Шаг2.Бланк заказа NEW'!$B$19:$B$201)-COUNT('Бланк OLD 0.8 04'!$B$18:$B$200),'Бланк OLD 2.0 04 '!$B$16:$K$200,7,0)&gt;1,2,
IF(VLOOKUP($A585-COUNT('Шаг2.Бланк заказа NEW'!$B$19:$B$201)-COUNT('Бланк OLD 0.8 04'!$B$18:$B$200),'Бланк OLD 2.0 04 '!$B$16:$K$200,8,0)&gt;1,0.4,
IF(AND(VLOOKUP($A585-COUNT('Шаг2.Бланк заказа NEW'!$B$19:$B$201)-COUNT('Бланк OLD 0.8 04'!$B$18:$B$200),'Бланк OLD 2.0 04 '!$B$16:$K$200,7,0)&gt;0,VLOOKUP($A585-COUNT('Шаг2.Бланк заказа NEW'!$B$19:$B$201)-COUNT('Бланк OLD 0.8 04'!$B$18:$B$200),'Бланк OLD 2.0 04 '!$B$16:$K$200,8,0)&gt;0),0.4,""))))</f>
        <v/>
      </c>
      <c r="V585" s="146" t="str">
        <f ca="1">IFERROR(VLOOKUP(C585,'Шаг1.Выбор плиты'!C:S,12,0),"")</f>
        <v/>
      </c>
      <c r="W585" s="146" t="str">
        <f ca="1">IFERROR(VLOOKUP(C585,'Шаг1.Выбор плиты'!C:S,8,0),"")</f>
        <v/>
      </c>
      <c r="X585" s="146" t="str">
        <f ca="1">IFERROR(VLOOKUP(C585,'Шаг1.Выбор плиты'!C:S,10,0),"")</f>
        <v/>
      </c>
      <c r="Y585" s="147" t="str">
        <f t="shared" ca="1" si="56"/>
        <v/>
      </c>
      <c r="AD585" s="147" t="str">
        <f t="shared" ca="1" si="53"/>
        <v/>
      </c>
      <c r="AE585" s="147" t="str">
        <f t="shared" ca="1" si="57"/>
        <v/>
      </c>
      <c r="AF585" s="25"/>
      <c r="AH585" s="147" t="str">
        <f ca="1">IF(C585="","",VLOOKUP(C585,'Шаг1.Выбор плиты'!C:Q,7,0))</f>
        <v/>
      </c>
      <c r="AI585" s="147" t="str">
        <f t="shared" ca="1" si="55"/>
        <v/>
      </c>
    </row>
    <row r="586" spans="1:35" x14ac:dyDescent="0.2">
      <c r="A586" s="151" t="str">
        <f ca="1">IF(C586="","",MAX($A$1:OFFSET(C586,-1,0))+1)</f>
        <v/>
      </c>
      <c r="B586" s="151" t="str">
        <f ca="1">IFERROR(IFERROR(IFERROR("Шаг2.Бланк заказа NEW №"&amp;VLOOKUP(A585+1,CHOOSE({1,2},'Шаг2.Бланк заказа NEW'!$B$19:$B$201,'Шаг2.Бланк заказа NEW'!$A$19:$A$201),1,0),
"Бланк OLD 0.8 04 №"&amp;VLOOKUP(A585+1-COUNT('Шаг2.Бланк заказа NEW'!$B$19:$B$201),CHOOSE({1,2},'Бланк OLD 0.8 04'!$B$18:$B$200,'Бланк OLD 0.8 04'!$A$18:$A$200),1,0)),
"Бланк OLD 2.0 04 №"&amp;VLOOKUP(A585+1-COUNT('Шаг2.Бланк заказа NEW'!$B$19:$B$201)-COUNT('Бланк OLD 0.8 04'!$B$18:$B$200),CHOOSE({1,2},'Бланк OLD 2.0 04 '!$B$18:$B$200,'Бланк OLD 2.0 04 '!$A$18:$A$200),1,0)),"")</f>
        <v/>
      </c>
      <c r="C586" s="152" t="str">
        <f ca="1">IFERROR(IFERROR(IFERROR(VLOOKUP(A585+1,CHOOSE({1,2},'Шаг2.Бланк заказа NEW'!$B$19:$B$201,'Шаг2.Бланк заказа NEW'!$A$19:$A$201),2,0),
VLOOKUP(A585+1-COUNT('Шаг2.Бланк заказа NEW'!$B$19:$B$201),CHOOSE({1,2},'Бланк OLD 0.8 04'!$B$18:$B$200,'Бланк OLD 0.8 04'!$A$18:$A$200),2,0)),
VLOOKUP(A585+1-COUNT('Шаг2.Бланк заказа NEW'!$B$19:$B$201)-COUNT('Бланк OLD 0.8 04'!$B$18:$B$200),CHOOSE({1,2},'Бланк OLD 2.0 04 '!$B$18:$B$200,'Бланк OLD 2.0 04 '!$A$18:$A$200),2,0)),"")</f>
        <v/>
      </c>
      <c r="D586" s="150" t="str">
        <f ca="1">IFERROR(VLOOKUP(C586,'Шаг1.Выбор плиты'!C:G,5,0),"")</f>
        <v/>
      </c>
      <c r="E586" s="147" t="str">
        <f ca="1">IFERROR(IFERROR(IF(VLOOKUP($A586,'Шаг2.Бланк заказа NEW'!$B$17:$N$201,2,0)="","",VLOOKUP($A586,'Шаг2.Бланк заказа NEW'!$B$17:$N$201,2,0)),
IF(VLOOKUP($A586-COUNT('Шаг2.Бланк заказа NEW'!$B$19:$B$201),'Бланк OLD 0.8 04'!$B$12:$K$200,2,0)="","",VLOOKUP($A586-COUNT('Шаг2.Бланк заказа NEW'!$B$19:$B$201),'Бланк OLD 0.8 04'!$B$12:$K$200,2,0))),
IF(VLOOKUP($A586-COUNT('Шаг2.Бланк заказа NEW'!$B$19:$B$201)-COUNT('Бланк OLD 0.8 04'!$B$18:$B$200),'Бланк OLD 2.0 04 '!$B$16:$K$200,2,0)="","",VLOOKUP($A586-COUNT('Шаг2.Бланк заказа NEW'!$B$19:$B$201)-COUNT('Бланк OLD 0.8 04'!$B$18:$B$200),'Бланк OLD 2.0 04 '!$B$16:$K$200,2,0)))</f>
        <v/>
      </c>
      <c r="F586" s="147" t="str">
        <f ca="1">IFERROR(IFERROR(IF(VLOOKUP($A586,'Шаг2.Бланк заказа NEW'!$B$17:$N$201,3,0)="","",VLOOKUP($A586,'Шаг2.Бланк заказа NEW'!$B$17:$N$201,3,0)),
IF(VLOOKUP($A586-COUNT('Шаг2.Бланк заказа NEW'!$B$19:$B$201),'Бланк OLD 0.8 04'!$B$12:$K$200,3,0)="","",VLOOKUP($A586-COUNT('Шаг2.Бланк заказа NEW'!$B$19:$B$201),'Бланк OLD 0.8 04'!$B$12:$K$200,3,0))),
IF(VLOOKUP($A586-COUNT('Шаг2.Бланк заказа NEW'!$B$19:$B$201)-COUNT('Бланк OLD 0.8 04'!$B$18:$B$200),'Бланк OLD 2.0 04 '!$B$16:$K$200,3,0)="","",VLOOKUP($A586-COUNT('Шаг2.Бланк заказа NEW'!$B$19:$B$201)-COUNT('Бланк OLD 0.8 04'!$B$18:$B$200),'Бланк OLD 2.0 04 '!$B$16:$K$200,3,0)))</f>
        <v/>
      </c>
      <c r="G586" s="176" t="str">
        <f ca="1">IF(IF(R586="","",IF(R586=1,SUMIFS('Шаг1.Выбор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плиты'!C:Q,12,0)),1))))))=0,
R586,
IF(R586="","",IF(R586=1,SUMIFS('Шаг1.Выбор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плиты'!N:N,R586,'Шаг1.Выбор плиты'!M:M,SMALL(INDIRECT("мм"&amp;VLOOKUP(C586,'Шаг1.Выбор плиты'!C:Q,12,0)),1)))))))</f>
        <v/>
      </c>
      <c r="H586" s="177" t="str">
        <f ca="1">IF(IF(S586="","",IF(S586=1,SUMIFS('Шаг1.Выбор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плиты'!C:Q,12,0)),1))))))=0,
S586,
IF(S586="","",IF(S586=1,SUMIFS('Шаг1.Выбор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плиты'!N:N,S586,'Шаг1.Выбор плиты'!M:M,SMALL(INDIRECT("мм"&amp;VLOOKUP(C586,'Шаг1.Выбор плиты'!C:Q,12,0)),1)))))))</f>
        <v/>
      </c>
      <c r="I586" s="147" t="str">
        <f ca="1">IFERROR(IFERROR(IF(VLOOKUP($A586,'Шаг2.Бланк заказа NEW'!$B$17:$N$201,6,0)="","",VLOOKUP($A586,'Шаг2.Бланк заказа NEW'!$B$17:$N$201,6,0)),
IF(VLOOKUP($A586-COUNT('Шаг2.Бланк заказа NEW'!$B$19:$B$201),'Бланк OLD 0.8 04'!$B$12:$K$200,6,0)="","",VLOOKUP($A586-COUNT('Шаг2.Бланк заказа NEW'!$B$19:$B$201),'Бланк OLD 0.8 04'!$B$12:$K$200,6,0))),
IF(VLOOKUP($A586-COUNT('Шаг2.Бланк заказа NEW'!$B$19:$B$201)-COUNT('Бланк OLD 0.8 04'!$B$18:$B$200),'Бланк OLD 2.0 04 '!$B$16:$K$200,6,0)="","",VLOOKUP($A586-COUNT('Шаг2.Бланк заказа NEW'!$B$19:$B$201)-COUNT('Бланк OLD 0.8 04'!$B$18:$B$200),'Бланк OLD 2.0 04 '!$B$16:$K$200,6,0)))</f>
        <v/>
      </c>
      <c r="J586" s="177" t="str">
        <f ca="1">IF(IF(T586="","",IF(T586=1,SUMIFS('Шаг1.Выбор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плиты'!C:Q,12,0)),1))))))=0,
T586,
IF(T586="","",IF(T586=1,SUMIFS('Шаг1.Выбор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плиты'!N:N,T586,'Шаг1.Выбор плиты'!M:M,SMALL(INDIRECT("мм"&amp;VLOOKUP(C586,'Шаг1.Выбор плиты'!C:Q,12,0)),1)))))))</f>
        <v/>
      </c>
      <c r="K586" s="177" t="str">
        <f ca="1">IF(IF(U586="","",IF(U586=1,SUMIFS('Шаг1.Выбор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плиты'!C:Q,12,0)),1))))))=0,
U586,
IF(U586="","",IF(U586=1,SUMIFS('Шаг1.Выбор плиты'!$G:$G,'Шаг1.Выбор плиты'!J:J,"*"&amp;RIGHT(VLOOKUP(C586,'Шаг1.Выбор плиты'!C:Q,8,0),4),'Шаг1.Выбор плиты'!L:L,IF(MID(C586,1,6)="ЛДСП P","TM"&amp;MID(VLOOKUP(C586,'Шаг1.Выбор плиты'!C:Q,10,0),3,2),MID(VLOOKUP(C586,'Шаг1.Выбор плиты'!C:Q,10,0),1,2)),
'Шаг1.Выбор плиты'!N:N,1),IF(SUMIFS('Шаг1.Выбор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плиты'!C:Q,12,0)),1))=0,
IF(SUMIFS('Шаг1.Выбор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плиты'!C:Q,12,0)),2))=0,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плиты'!C:Q,12,0)),3)),
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плиты'!C:Q,12,0)),2))),
(SUMIFS('Шаг1.Выбор плиты'!$G:$G,'Шаг1.Выбор плиты'!J:J,"*"&amp;RIGHT(VLOOKUP(C586,'Шаг1.Выбор плиты'!C:Q,8,0),4),'Шаг1.Выбор плиты'!L:L,VLOOKUP(C586,'Шаг1.Выбор плиты'!C:Q,10,0),'Шаг1.Выбор плиты'!N:N,U586,'Шаг1.Выбор плиты'!M:M,SMALL(INDIRECT("мм"&amp;VLOOKUP(C586,'Шаг1.Выбор плиты'!C:Q,12,0)),1)))))))</f>
        <v/>
      </c>
      <c r="L586" s="147" t="str">
        <f ca="1">IFERROR(IFERROR(IF(VLOOKUP($A586,'Шаг2.Бланк заказа NEW'!$B$17:$N$201,9,0)="","",VLOOKUP($A586,'Шаг2.Бланк заказа NEW'!$B$17:$N$201,9,0)),
IF(VLOOKUP($A586-COUNT('Шаг2.Бланк заказа NEW'!$B$19:$B$201),'Бланк OLD 0.8 04'!$B$12:$K$200,9,0)="","",VLOOKUP($A586-COUNT('Шаг2.Бланк заказа NEW'!$B$19:$B$201),'Бланк OLD 0.8 04'!$B$12:$K$200,9,0))),
IF(VLOOKUP($A586-COUNT('Шаг2.Бланк заказа NEW'!$B$19:$B$201)-COUNT('Бланк OLD 0.8 04'!$B$18:$B$200),'Бланк OLD 2.0 04 '!$B$16:$K$200,9,0)="","",VLOOKUP($A586-COUNT('Шаг2.Бланк заказа NEW'!$B$19:$B$201)-COUNT('Бланк OLD 0.8 04'!$B$18:$B$200),'Бланк OLD 2.0 04 '!$B$16:$K$200,9,0)))</f>
        <v/>
      </c>
      <c r="M586" s="154" t="str">
        <f t="shared" ca="1" si="54"/>
        <v/>
      </c>
      <c r="N586" s="153" t="str">
        <f ca="1">IFERROR(IF(VLOOKUP($A586,'Шаг2.Бланк заказа NEW'!$B$17:$N$201,11,0)="","",VLOOKUP($A586,'Шаг2.Бланк заказа NEW'!$B$17:$N$201,11,0)),
"Нет")</f>
        <v/>
      </c>
      <c r="O586" s="147" t="str">
        <f ca="1">IFERROR(IF(VLOOKUP($A586,'Шаг2.Бланк заказа NEW'!$B$17:$N$201,11,0)="","",VLOOKUP($A586,'Шаг2.Бланк заказа NEW'!$B$17:$N$201,12,0)),
"Нет")</f>
        <v/>
      </c>
      <c r="P586" s="153" t="str">
        <f ca="1">IFERROR(IF(VLOOKUP($A586,'Шаг2.Бланк заказа NEW'!$B$17:$N$201,13,0)="","",VLOOKUP($A586,'Шаг2.Бланк заказа NEW'!$B$17:$N$201,13,0)),
"Нет")</f>
        <v/>
      </c>
      <c r="Q586" s="147" t="str">
        <f ca="1">IFERROR(IF(VLOOKUP($A586,'Шаг2.Бланк заказа NEW'!$B$17:$O$201,14,0)="","",VLOOKUP($A586,'Шаг2.Бланк заказа NEW'!$B$17:$O$201,14,0)),"")</f>
        <v/>
      </c>
      <c r="R586" s="147" t="str">
        <f ca="1">IFERROR(IFERROR(IF(VLOOKUP($A586,'Шаг2.Бланк заказа NEW'!$B$17:$N$201,4,0)="","",VLOOKUP($A586,'Шаг2.Бланк заказа NEW'!$B$17:$N$201,4,0)),
IF(VLOOKUP($A586-COUNT('Шаг2.Бланк заказа NEW'!$B$19:$B$201),'Бланк OLD 0.8 04'!$B$12:$K$200,4,0)&gt;0,0.8,
IF(VLOOKUP($A586-COUNT('Шаг2.Бланк заказа NEW'!$B$19:$B$201),'Бланк OLD 0.8 04'!$B$12:$K$200,5,0)&gt;0,0.4,""))),
IF(VLOOKUP($A586-COUNT('Шаг2.Бланк заказа NEW'!$B$19:$B$201)-COUNT('Бланк OLD 0.8 04'!$B$18:$B$200),'Бланк OLD 2.0 04 '!$B$16:$K$200,4,0)&gt;0,2,IF(VLOOKUP($A586-COUNT('Шаг2.Бланк заказа NEW'!$B$19:$B$201)-COUNT('Бланк OLD 0.8 04'!$B$18:$B$200),'Бланк OLD 2.0 04 '!$B$16:$K$200,5,0)&gt;0,0.4,"")))</f>
        <v/>
      </c>
      <c r="S586" s="147" t="str">
        <f ca="1">IFERROR(IFERROR(IF(VLOOKUP($A586,'Шаг2.Бланк заказа NEW'!$B$17:$N$201,5,0)="","",VLOOKUP($A586,'Шаг2.Бланк заказа NEW'!$B$17:$N$201,5,0)),
IF(VLOOKUP($A586-COUNT('Шаг2.Бланк заказа NEW'!$B$19:$B$201),'Бланк OLD 0.8 04'!$B$12:$K$200,4,0)&gt;1,0.8,
IF(VLOOKUP($A586-COUNT('Шаг2.Бланк заказа NEW'!$B$19:$B$201),'Бланк OLD 0.8 04'!$B$12:$K$200,5,0)&gt;1,0.4,
IF(AND(VLOOKUP($A586-COUNT('Шаг2.Бланк заказа NEW'!$B$19:$B$201),'Бланк OLD 0.8 04'!$B$12:$K$200,4,0)&gt;0,VLOOKUP($A586-COUNT('Шаг2.Бланк заказа NEW'!$B$19:$B$201),'Бланк OLD 0.8 04'!$B$12:$K$200,5,0)&gt;0),0.4,"")))),
IF(VLOOKUP($A586-COUNT('Шаг2.Бланк заказа NEW'!$B$19:$B$201)-COUNT('Бланк OLD 0.8 04'!$B$18:$B$200),'Бланк OLD 2.0 04 '!$B$16:$K$200,4,0)&gt;1,2,
IF(VLOOKUP($A586-COUNT('Шаг2.Бланк заказа NEW'!$B$19:$B$201)-COUNT('Бланк OLD 0.8 04'!$B$18:$B$200),'Бланк OLD 2.0 04 '!$B$16:$K$200,5,0)&gt;1,0.4,IF(AND(VLOOKUP($A586-COUNT('Шаг2.Бланк заказа NEW'!$B$19:$B$201)-COUNT('Бланк OLD 0.8 04'!$B$18:$B$200),'Бланк OLD 2.0 04 '!$B$16:$K$200,4,0)&gt;0,VLOOKUP($A586-COUNT('Шаг2.Бланк заказа NEW'!$B$19:$B$201)-COUNT('Бланк OLD 0.8 04'!$B$18:$B$200),'Бланк OLD 2.0 04 '!$B$16:$K$200,5,0)&gt;0),0.4,""))))</f>
        <v/>
      </c>
      <c r="T586" s="147" t="str">
        <f ca="1">IFERROR(IFERROR(IF(VLOOKUP($A586,'Шаг2.Бланк заказа NEW'!$B$17:$N$201,7,0)="","",VLOOKUP($A586,'Шаг2.Бланк заказа NEW'!$B$17:$N$201,7,0)),
IF(VLOOKUP($A586-COUNT('Шаг2.Бланк заказа NEW'!$B$19:$B$201),'Бланк OLD 0.8 04'!$B$12:$K$200,7,0)&gt;0,0.8,
IF(VLOOKUP($A586-COUNT('Шаг2.Бланк заказа NEW'!$B$19:$B$201),'Бланк OLD 0.8 04'!$B$12:$K$200,8,0)&gt;0,0.4,""))),
IF(VLOOKUP($A586-COUNT('Шаг2.Бланк заказа NEW'!$B$19:$B$201)-COUNT('Бланк OLD 0.8 04'!$B$18:$B$200),'Бланк OLD 2.0 04 '!$B$16:$K$200,7,0)&gt;0,2,IF(VLOOKUP($A586-COUNT('Шаг2.Бланк заказа NEW'!$B$19:$B$201)-COUNT('Бланк OLD 0.8 04'!$B$18:$B$200),'Бланк OLD 2.0 04 '!$B$16:$K$200,8,0)&gt;0,0.4,"")))</f>
        <v/>
      </c>
      <c r="U586" s="147" t="str">
        <f ca="1">IFERROR(IFERROR(IF(VLOOKUP($A586,'Шаг2.Бланк заказа NEW'!$B$17:$N$201,8,0)="","",VLOOKUP($A586,'Шаг2.Бланк заказа NEW'!$B$17:$N$201,8,0)),
IF(VLOOKUP($A586-COUNT('Шаг2.Бланк заказа NEW'!$B$19:$B$201),'Бланк OLD 0.8 04'!$B$12:$K$200,7,0)&gt;1,0.8,
IF(VLOOKUP($A586-COUNT('Шаг2.Бланк заказа NEW'!$B$19:$B$201),'Бланк OLD 0.8 04'!$B$12:$K$200,8,0)&gt;1,0.4,
IF(AND(VLOOKUP($A586-COUNT('Шаг2.Бланк заказа NEW'!$B$19:$B$201),'Бланк OLD 0.8 04'!$B$12:$K$200,7,0)&gt;0,VLOOKUP($A586-COUNT('Шаг2.Бланк заказа NEW'!$B$19:$B$201),'Бланк OLD 0.8 04'!$B$12:$K$200,8,0)&gt;0),0.4,"")))),
IF(VLOOKUP($A586-COUNT('Шаг2.Бланк заказа NEW'!$B$19:$B$201)-COUNT('Бланк OLD 0.8 04'!$B$18:$B$200),'Бланк OLD 2.0 04 '!$B$16:$K$200,7,0)&gt;1,2,
IF(VLOOKUP($A586-COUNT('Шаг2.Бланк заказа NEW'!$B$19:$B$201)-COUNT('Бланк OLD 0.8 04'!$B$18:$B$200),'Бланк OLD 2.0 04 '!$B$16:$K$200,8,0)&gt;1,0.4,
IF(AND(VLOOKUP($A586-COUNT('Шаг2.Бланк заказа NEW'!$B$19:$B$201)-COUNT('Бланк OLD 0.8 04'!$B$18:$B$200),'Бланк OLD 2.0 04 '!$B$16:$K$200,7,0)&gt;0,VLOOKUP($A586-COUNT('Шаг2.Бланк заказа NEW'!$B$19:$B$201)-COUNT('Бланк OLD 0.8 04'!$B$18:$B$200),'Бланк OLD 2.0 04 '!$B$16:$K$200,8,0)&gt;0),0.4,""))))</f>
        <v/>
      </c>
      <c r="V586" s="146" t="str">
        <f ca="1">IFERROR(VLOOKUP(C586,'Шаг1.Выбор плиты'!C:S,12,0),"")</f>
        <v/>
      </c>
      <c r="W586" s="146" t="str">
        <f ca="1">IFERROR(VLOOKUP(C586,'Шаг1.Выбор плиты'!C:S,8,0),"")</f>
        <v/>
      </c>
      <c r="X586" s="146" t="str">
        <f ca="1">IFERROR(VLOOKUP(C586,'Шаг1.Выбор плиты'!C:S,10,0),"")</f>
        <v/>
      </c>
      <c r="Y586" s="147" t="str">
        <f t="shared" ca="1" si="56"/>
        <v/>
      </c>
      <c r="AD586" s="147" t="str">
        <f t="shared" ca="1" si="53"/>
        <v/>
      </c>
      <c r="AE586" s="147" t="str">
        <f t="shared" ca="1" si="57"/>
        <v/>
      </c>
      <c r="AF586" s="25"/>
      <c r="AH586" s="147" t="str">
        <f ca="1">IF(C586="","",VLOOKUP(C586,'Шаг1.Выбор плиты'!C:Q,7,0))</f>
        <v/>
      </c>
      <c r="AI586" s="147" t="str">
        <f t="shared" ca="1" si="55"/>
        <v/>
      </c>
    </row>
    <row r="587" spans="1:35" x14ac:dyDescent="0.2">
      <c r="A587" s="151" t="str">
        <f ca="1">IF(C587="","",MAX($A$1:OFFSET(C587,-1,0))+1)</f>
        <v/>
      </c>
      <c r="B587" s="151" t="str">
        <f ca="1">IFERROR(IFERROR(IFERROR("Шаг2.Бланк заказа NEW №"&amp;VLOOKUP(A586+1,CHOOSE({1,2},'Шаг2.Бланк заказа NEW'!$B$19:$B$201,'Шаг2.Бланк заказа NEW'!$A$19:$A$201),1,0),
"Бланк OLD 0.8 04 №"&amp;VLOOKUP(A586+1-COUNT('Шаг2.Бланк заказа NEW'!$B$19:$B$201),CHOOSE({1,2},'Бланк OLD 0.8 04'!$B$18:$B$200,'Бланк OLD 0.8 04'!$A$18:$A$200),1,0)),
"Бланк OLD 2.0 04 №"&amp;VLOOKUP(A586+1-COUNT('Шаг2.Бланк заказа NEW'!$B$19:$B$201)-COUNT('Бланк OLD 0.8 04'!$B$18:$B$200),CHOOSE({1,2},'Бланк OLD 2.0 04 '!$B$18:$B$200,'Бланк OLD 2.0 04 '!$A$18:$A$200),1,0)),"")</f>
        <v/>
      </c>
      <c r="C587" s="152" t="str">
        <f ca="1">IFERROR(IFERROR(IFERROR(VLOOKUP(A586+1,CHOOSE({1,2},'Шаг2.Бланк заказа NEW'!$B$19:$B$201,'Шаг2.Бланк заказа NEW'!$A$19:$A$201),2,0),
VLOOKUP(A586+1-COUNT('Шаг2.Бланк заказа NEW'!$B$19:$B$201),CHOOSE({1,2},'Бланк OLD 0.8 04'!$B$18:$B$200,'Бланк OLD 0.8 04'!$A$18:$A$200),2,0)),
VLOOKUP(A586+1-COUNT('Шаг2.Бланк заказа NEW'!$B$19:$B$201)-COUNT('Бланк OLD 0.8 04'!$B$18:$B$200),CHOOSE({1,2},'Бланк OLD 2.0 04 '!$B$18:$B$200,'Бланк OLD 2.0 04 '!$A$18:$A$200),2,0)),"")</f>
        <v/>
      </c>
      <c r="D587" s="150" t="str">
        <f ca="1">IFERROR(VLOOKUP(C587,'Шаг1.Выбор плиты'!C:G,5,0),"")</f>
        <v/>
      </c>
      <c r="E587" s="147" t="str">
        <f ca="1">IFERROR(IFERROR(IF(VLOOKUP($A587,'Шаг2.Бланк заказа NEW'!$B$17:$N$201,2,0)="","",VLOOKUP($A587,'Шаг2.Бланк заказа NEW'!$B$17:$N$201,2,0)),
IF(VLOOKUP($A587-COUNT('Шаг2.Бланк заказа NEW'!$B$19:$B$201),'Бланк OLD 0.8 04'!$B$12:$K$200,2,0)="","",VLOOKUP($A587-COUNT('Шаг2.Бланк заказа NEW'!$B$19:$B$201),'Бланк OLD 0.8 04'!$B$12:$K$200,2,0))),
IF(VLOOKUP($A587-COUNT('Шаг2.Бланк заказа NEW'!$B$19:$B$201)-COUNT('Бланк OLD 0.8 04'!$B$18:$B$200),'Бланк OLD 2.0 04 '!$B$16:$K$200,2,0)="","",VLOOKUP($A587-COUNT('Шаг2.Бланк заказа NEW'!$B$19:$B$201)-COUNT('Бланк OLD 0.8 04'!$B$18:$B$200),'Бланк OLD 2.0 04 '!$B$16:$K$200,2,0)))</f>
        <v/>
      </c>
      <c r="F587" s="147" t="str">
        <f ca="1">IFERROR(IFERROR(IF(VLOOKUP($A587,'Шаг2.Бланк заказа NEW'!$B$17:$N$201,3,0)="","",VLOOKUP($A587,'Шаг2.Бланк заказа NEW'!$B$17:$N$201,3,0)),
IF(VLOOKUP($A587-COUNT('Шаг2.Бланк заказа NEW'!$B$19:$B$201),'Бланк OLD 0.8 04'!$B$12:$K$200,3,0)="","",VLOOKUP($A587-COUNT('Шаг2.Бланк заказа NEW'!$B$19:$B$201),'Бланк OLD 0.8 04'!$B$12:$K$200,3,0))),
IF(VLOOKUP($A587-COUNT('Шаг2.Бланк заказа NEW'!$B$19:$B$201)-COUNT('Бланк OLD 0.8 04'!$B$18:$B$200),'Бланк OLD 2.0 04 '!$B$16:$K$200,3,0)="","",VLOOKUP($A587-COUNT('Шаг2.Бланк заказа NEW'!$B$19:$B$201)-COUNT('Бланк OLD 0.8 04'!$B$18:$B$200),'Бланк OLD 2.0 04 '!$B$16:$K$200,3,0)))</f>
        <v/>
      </c>
      <c r="G587" s="176" t="str">
        <f ca="1">IF(IF(R587="","",IF(R587=1,SUMIFS('Шаг1.Выбор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плиты'!C:Q,12,0)),1))))))=0,
R587,
IF(R587="","",IF(R587=1,SUMIFS('Шаг1.Выбор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плиты'!N:N,R587,'Шаг1.Выбор плиты'!M:M,SMALL(INDIRECT("мм"&amp;VLOOKUP(C587,'Шаг1.Выбор плиты'!C:Q,12,0)),1)))))))</f>
        <v/>
      </c>
      <c r="H587" s="177" t="str">
        <f ca="1">IF(IF(S587="","",IF(S587=1,SUMIFS('Шаг1.Выбор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плиты'!C:Q,12,0)),1))))))=0,
S587,
IF(S587="","",IF(S587=1,SUMIFS('Шаг1.Выбор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плиты'!N:N,S587,'Шаг1.Выбор плиты'!M:M,SMALL(INDIRECT("мм"&amp;VLOOKUP(C587,'Шаг1.Выбор плиты'!C:Q,12,0)),1)))))))</f>
        <v/>
      </c>
      <c r="I587" s="147" t="str">
        <f ca="1">IFERROR(IFERROR(IF(VLOOKUP($A587,'Шаг2.Бланк заказа NEW'!$B$17:$N$201,6,0)="","",VLOOKUP($A587,'Шаг2.Бланк заказа NEW'!$B$17:$N$201,6,0)),
IF(VLOOKUP($A587-COUNT('Шаг2.Бланк заказа NEW'!$B$19:$B$201),'Бланк OLD 0.8 04'!$B$12:$K$200,6,0)="","",VLOOKUP($A587-COUNT('Шаг2.Бланк заказа NEW'!$B$19:$B$201),'Бланк OLD 0.8 04'!$B$12:$K$200,6,0))),
IF(VLOOKUP($A587-COUNT('Шаг2.Бланк заказа NEW'!$B$19:$B$201)-COUNT('Бланк OLD 0.8 04'!$B$18:$B$200),'Бланк OLD 2.0 04 '!$B$16:$K$200,6,0)="","",VLOOKUP($A587-COUNT('Шаг2.Бланк заказа NEW'!$B$19:$B$201)-COUNT('Бланк OLD 0.8 04'!$B$18:$B$200),'Бланк OLD 2.0 04 '!$B$16:$K$200,6,0)))</f>
        <v/>
      </c>
      <c r="J587" s="177" t="str">
        <f ca="1">IF(IF(T587="","",IF(T587=1,SUMIFS('Шаг1.Выбор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плиты'!C:Q,12,0)),1))))))=0,
T587,
IF(T587="","",IF(T587=1,SUMIFS('Шаг1.Выбор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плиты'!N:N,T587,'Шаг1.Выбор плиты'!M:M,SMALL(INDIRECT("мм"&amp;VLOOKUP(C587,'Шаг1.Выбор плиты'!C:Q,12,0)),1)))))))</f>
        <v/>
      </c>
      <c r="K587" s="177" t="str">
        <f ca="1">IF(IF(U587="","",IF(U587=1,SUMIFS('Шаг1.Выбор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плиты'!C:Q,12,0)),1))))))=0,
U587,
IF(U587="","",IF(U587=1,SUMIFS('Шаг1.Выбор плиты'!$G:$G,'Шаг1.Выбор плиты'!J:J,"*"&amp;RIGHT(VLOOKUP(C587,'Шаг1.Выбор плиты'!C:Q,8,0),4),'Шаг1.Выбор плиты'!L:L,IF(MID(C587,1,6)="ЛДСП P","TM"&amp;MID(VLOOKUP(C587,'Шаг1.Выбор плиты'!C:Q,10,0),3,2),MID(VLOOKUP(C587,'Шаг1.Выбор плиты'!C:Q,10,0),1,2)),
'Шаг1.Выбор плиты'!N:N,1),IF(SUMIFS('Шаг1.Выбор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плиты'!C:Q,12,0)),1))=0,
IF(SUMIFS('Шаг1.Выбор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плиты'!C:Q,12,0)),2))=0,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плиты'!C:Q,12,0)),3)),
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плиты'!C:Q,12,0)),2))),
(SUMIFS('Шаг1.Выбор плиты'!$G:$G,'Шаг1.Выбор плиты'!J:J,"*"&amp;RIGHT(VLOOKUP(C587,'Шаг1.Выбор плиты'!C:Q,8,0),4),'Шаг1.Выбор плиты'!L:L,VLOOKUP(C587,'Шаг1.Выбор плиты'!C:Q,10,0),'Шаг1.Выбор плиты'!N:N,U587,'Шаг1.Выбор плиты'!M:M,SMALL(INDIRECT("мм"&amp;VLOOKUP(C587,'Шаг1.Выбор плиты'!C:Q,12,0)),1)))))))</f>
        <v/>
      </c>
      <c r="L587" s="147" t="str">
        <f ca="1">IFERROR(IFERROR(IF(VLOOKUP($A587,'Шаг2.Бланк заказа NEW'!$B$17:$N$201,9,0)="","",VLOOKUP($A587,'Шаг2.Бланк заказа NEW'!$B$17:$N$201,9,0)),
IF(VLOOKUP($A587-COUNT('Шаг2.Бланк заказа NEW'!$B$19:$B$201),'Бланк OLD 0.8 04'!$B$12:$K$200,9,0)="","",VLOOKUP($A587-COUNT('Шаг2.Бланк заказа NEW'!$B$19:$B$201),'Бланк OLD 0.8 04'!$B$12:$K$200,9,0))),
IF(VLOOKUP($A587-COUNT('Шаг2.Бланк заказа NEW'!$B$19:$B$201)-COUNT('Бланк OLD 0.8 04'!$B$18:$B$200),'Бланк OLD 2.0 04 '!$B$16:$K$200,9,0)="","",VLOOKUP($A587-COUNT('Шаг2.Бланк заказа NEW'!$B$19:$B$201)-COUNT('Бланк OLD 0.8 04'!$B$18:$B$200),'Бланк OLD 2.0 04 '!$B$16:$K$200,9,0)))</f>
        <v/>
      </c>
      <c r="M587" s="154" t="str">
        <f t="shared" ca="1" si="54"/>
        <v/>
      </c>
      <c r="N587" s="153" t="str">
        <f ca="1">IFERROR(IF(VLOOKUP($A587,'Шаг2.Бланк заказа NEW'!$B$17:$N$201,11,0)="","",VLOOKUP($A587,'Шаг2.Бланк заказа NEW'!$B$17:$N$201,11,0)),
"Нет")</f>
        <v/>
      </c>
      <c r="O587" s="147" t="str">
        <f ca="1">IFERROR(IF(VLOOKUP($A587,'Шаг2.Бланк заказа NEW'!$B$17:$N$201,11,0)="","",VLOOKUP($A587,'Шаг2.Бланк заказа NEW'!$B$17:$N$201,12,0)),
"Нет")</f>
        <v/>
      </c>
      <c r="P587" s="153" t="str">
        <f ca="1">IFERROR(IF(VLOOKUP($A587,'Шаг2.Бланк заказа NEW'!$B$17:$N$201,13,0)="","",VLOOKUP($A587,'Шаг2.Бланк заказа NEW'!$B$17:$N$201,13,0)),
"Нет")</f>
        <v/>
      </c>
      <c r="Q587" s="147" t="str">
        <f ca="1">IFERROR(IF(VLOOKUP($A587,'Шаг2.Бланк заказа NEW'!$B$17:$O$201,14,0)="","",VLOOKUP($A587,'Шаг2.Бланк заказа NEW'!$B$17:$O$201,14,0)),"")</f>
        <v/>
      </c>
      <c r="R587" s="147" t="str">
        <f ca="1">IFERROR(IFERROR(IF(VLOOKUP($A587,'Шаг2.Бланк заказа NEW'!$B$17:$N$201,4,0)="","",VLOOKUP($A587,'Шаг2.Бланк заказа NEW'!$B$17:$N$201,4,0)),
IF(VLOOKUP($A587-COUNT('Шаг2.Бланк заказа NEW'!$B$19:$B$201),'Бланк OLD 0.8 04'!$B$12:$K$200,4,0)&gt;0,0.8,
IF(VLOOKUP($A587-COUNT('Шаг2.Бланк заказа NEW'!$B$19:$B$201),'Бланк OLD 0.8 04'!$B$12:$K$200,5,0)&gt;0,0.4,""))),
IF(VLOOKUP($A587-COUNT('Шаг2.Бланк заказа NEW'!$B$19:$B$201)-COUNT('Бланк OLD 0.8 04'!$B$18:$B$200),'Бланк OLD 2.0 04 '!$B$16:$K$200,4,0)&gt;0,2,IF(VLOOKUP($A587-COUNT('Шаг2.Бланк заказа NEW'!$B$19:$B$201)-COUNT('Бланк OLD 0.8 04'!$B$18:$B$200),'Бланк OLD 2.0 04 '!$B$16:$K$200,5,0)&gt;0,0.4,"")))</f>
        <v/>
      </c>
      <c r="S587" s="147" t="str">
        <f ca="1">IFERROR(IFERROR(IF(VLOOKUP($A587,'Шаг2.Бланк заказа NEW'!$B$17:$N$201,5,0)="","",VLOOKUP($A587,'Шаг2.Бланк заказа NEW'!$B$17:$N$201,5,0)),
IF(VLOOKUP($A587-COUNT('Шаг2.Бланк заказа NEW'!$B$19:$B$201),'Бланк OLD 0.8 04'!$B$12:$K$200,4,0)&gt;1,0.8,
IF(VLOOKUP($A587-COUNT('Шаг2.Бланк заказа NEW'!$B$19:$B$201),'Бланк OLD 0.8 04'!$B$12:$K$200,5,0)&gt;1,0.4,
IF(AND(VLOOKUP($A587-COUNT('Шаг2.Бланк заказа NEW'!$B$19:$B$201),'Бланк OLD 0.8 04'!$B$12:$K$200,4,0)&gt;0,VLOOKUP($A587-COUNT('Шаг2.Бланк заказа NEW'!$B$19:$B$201),'Бланк OLD 0.8 04'!$B$12:$K$200,5,0)&gt;0),0.4,"")))),
IF(VLOOKUP($A587-COUNT('Шаг2.Бланк заказа NEW'!$B$19:$B$201)-COUNT('Бланк OLD 0.8 04'!$B$18:$B$200),'Бланк OLD 2.0 04 '!$B$16:$K$200,4,0)&gt;1,2,
IF(VLOOKUP($A587-COUNT('Шаг2.Бланк заказа NEW'!$B$19:$B$201)-COUNT('Бланк OLD 0.8 04'!$B$18:$B$200),'Бланк OLD 2.0 04 '!$B$16:$K$200,5,0)&gt;1,0.4,IF(AND(VLOOKUP($A587-COUNT('Шаг2.Бланк заказа NEW'!$B$19:$B$201)-COUNT('Бланк OLD 0.8 04'!$B$18:$B$200),'Бланк OLD 2.0 04 '!$B$16:$K$200,4,0)&gt;0,VLOOKUP($A587-COUNT('Шаг2.Бланк заказа NEW'!$B$19:$B$201)-COUNT('Бланк OLD 0.8 04'!$B$18:$B$200),'Бланк OLD 2.0 04 '!$B$16:$K$200,5,0)&gt;0),0.4,""))))</f>
        <v/>
      </c>
      <c r="T587" s="147" t="str">
        <f ca="1">IFERROR(IFERROR(IF(VLOOKUP($A587,'Шаг2.Бланк заказа NEW'!$B$17:$N$201,7,0)="","",VLOOKUP($A587,'Шаг2.Бланк заказа NEW'!$B$17:$N$201,7,0)),
IF(VLOOKUP($A587-COUNT('Шаг2.Бланк заказа NEW'!$B$19:$B$201),'Бланк OLD 0.8 04'!$B$12:$K$200,7,0)&gt;0,0.8,
IF(VLOOKUP($A587-COUNT('Шаг2.Бланк заказа NEW'!$B$19:$B$201),'Бланк OLD 0.8 04'!$B$12:$K$200,8,0)&gt;0,0.4,""))),
IF(VLOOKUP($A587-COUNT('Шаг2.Бланк заказа NEW'!$B$19:$B$201)-COUNT('Бланк OLD 0.8 04'!$B$18:$B$200),'Бланк OLD 2.0 04 '!$B$16:$K$200,7,0)&gt;0,2,IF(VLOOKUP($A587-COUNT('Шаг2.Бланк заказа NEW'!$B$19:$B$201)-COUNT('Бланк OLD 0.8 04'!$B$18:$B$200),'Бланк OLD 2.0 04 '!$B$16:$K$200,8,0)&gt;0,0.4,"")))</f>
        <v/>
      </c>
      <c r="U587" s="147" t="str">
        <f ca="1">IFERROR(IFERROR(IF(VLOOKUP($A587,'Шаг2.Бланк заказа NEW'!$B$17:$N$201,8,0)="","",VLOOKUP($A587,'Шаг2.Бланк заказа NEW'!$B$17:$N$201,8,0)),
IF(VLOOKUP($A587-COUNT('Шаг2.Бланк заказа NEW'!$B$19:$B$201),'Бланк OLD 0.8 04'!$B$12:$K$200,7,0)&gt;1,0.8,
IF(VLOOKUP($A587-COUNT('Шаг2.Бланк заказа NEW'!$B$19:$B$201),'Бланк OLD 0.8 04'!$B$12:$K$200,8,0)&gt;1,0.4,
IF(AND(VLOOKUP($A587-COUNT('Шаг2.Бланк заказа NEW'!$B$19:$B$201),'Бланк OLD 0.8 04'!$B$12:$K$200,7,0)&gt;0,VLOOKUP($A587-COUNT('Шаг2.Бланк заказа NEW'!$B$19:$B$201),'Бланк OLD 0.8 04'!$B$12:$K$200,8,0)&gt;0),0.4,"")))),
IF(VLOOKUP($A587-COUNT('Шаг2.Бланк заказа NEW'!$B$19:$B$201)-COUNT('Бланк OLD 0.8 04'!$B$18:$B$200),'Бланк OLD 2.0 04 '!$B$16:$K$200,7,0)&gt;1,2,
IF(VLOOKUP($A587-COUNT('Шаг2.Бланк заказа NEW'!$B$19:$B$201)-COUNT('Бланк OLD 0.8 04'!$B$18:$B$200),'Бланк OLD 2.0 04 '!$B$16:$K$200,8,0)&gt;1,0.4,
IF(AND(VLOOKUP($A587-COUNT('Шаг2.Бланк заказа NEW'!$B$19:$B$201)-COUNT('Бланк OLD 0.8 04'!$B$18:$B$200),'Бланк OLD 2.0 04 '!$B$16:$K$200,7,0)&gt;0,VLOOKUP($A587-COUNT('Шаг2.Бланк заказа NEW'!$B$19:$B$201)-COUNT('Бланк OLD 0.8 04'!$B$18:$B$200),'Бланк OLD 2.0 04 '!$B$16:$K$200,8,0)&gt;0),0.4,""))))</f>
        <v/>
      </c>
      <c r="V587" s="146" t="str">
        <f ca="1">IFERROR(VLOOKUP(C587,'Шаг1.Выбор плиты'!C:S,12,0),"")</f>
        <v/>
      </c>
      <c r="W587" s="146" t="str">
        <f ca="1">IFERROR(VLOOKUP(C587,'Шаг1.Выбор плиты'!C:S,8,0),"")</f>
        <v/>
      </c>
      <c r="X587" s="146" t="str">
        <f ca="1">IFERROR(VLOOKUP(C587,'Шаг1.Выбор плиты'!C:S,10,0),"")</f>
        <v/>
      </c>
      <c r="Y587" s="147" t="str">
        <f t="shared" ca="1" si="56"/>
        <v/>
      </c>
      <c r="AD587" s="147" t="str">
        <f t="shared" ca="1" si="53"/>
        <v/>
      </c>
      <c r="AE587" s="147" t="str">
        <f t="shared" ca="1" si="57"/>
        <v/>
      </c>
      <c r="AF587" s="25"/>
      <c r="AH587" s="147" t="str">
        <f ca="1">IF(C587="","",VLOOKUP(C587,'Шаг1.Выбор плиты'!C:Q,7,0))</f>
        <v/>
      </c>
      <c r="AI587" s="147" t="str">
        <f t="shared" ca="1" si="55"/>
        <v/>
      </c>
    </row>
    <row r="588" spans="1:35" x14ac:dyDescent="0.2">
      <c r="A588" s="151" t="str">
        <f ca="1">IF(C588="","",MAX($A$1:OFFSET(C588,-1,0))+1)</f>
        <v/>
      </c>
      <c r="B588" s="151" t="str">
        <f ca="1">IFERROR(IFERROR(IFERROR("Шаг2.Бланк заказа NEW №"&amp;VLOOKUP(A587+1,CHOOSE({1,2},'Шаг2.Бланк заказа NEW'!$B$19:$B$201,'Шаг2.Бланк заказа NEW'!$A$19:$A$201),1,0),
"Бланк OLD 0.8 04 №"&amp;VLOOKUP(A587+1-COUNT('Шаг2.Бланк заказа NEW'!$B$19:$B$201),CHOOSE({1,2},'Бланк OLD 0.8 04'!$B$18:$B$200,'Бланк OLD 0.8 04'!$A$18:$A$200),1,0)),
"Бланк OLD 2.0 04 №"&amp;VLOOKUP(A587+1-COUNT('Шаг2.Бланк заказа NEW'!$B$19:$B$201)-COUNT('Бланк OLD 0.8 04'!$B$18:$B$200),CHOOSE({1,2},'Бланк OLD 2.0 04 '!$B$18:$B$200,'Бланк OLD 2.0 04 '!$A$18:$A$200),1,0)),"")</f>
        <v/>
      </c>
      <c r="C588" s="152" t="str">
        <f ca="1">IFERROR(IFERROR(IFERROR(VLOOKUP(A587+1,CHOOSE({1,2},'Шаг2.Бланк заказа NEW'!$B$19:$B$201,'Шаг2.Бланк заказа NEW'!$A$19:$A$201),2,0),
VLOOKUP(A587+1-COUNT('Шаг2.Бланк заказа NEW'!$B$19:$B$201),CHOOSE({1,2},'Бланк OLD 0.8 04'!$B$18:$B$200,'Бланк OLD 0.8 04'!$A$18:$A$200),2,0)),
VLOOKUP(A587+1-COUNT('Шаг2.Бланк заказа NEW'!$B$19:$B$201)-COUNT('Бланк OLD 0.8 04'!$B$18:$B$200),CHOOSE({1,2},'Бланк OLD 2.0 04 '!$B$18:$B$200,'Бланк OLD 2.0 04 '!$A$18:$A$200),2,0)),"")</f>
        <v/>
      </c>
      <c r="D588" s="150" t="str">
        <f ca="1">IFERROR(VLOOKUP(C588,'Шаг1.Выбор плиты'!C:G,5,0),"")</f>
        <v/>
      </c>
      <c r="E588" s="147" t="str">
        <f ca="1">IFERROR(IFERROR(IF(VLOOKUP($A588,'Шаг2.Бланк заказа NEW'!$B$17:$N$201,2,0)="","",VLOOKUP($A588,'Шаг2.Бланк заказа NEW'!$B$17:$N$201,2,0)),
IF(VLOOKUP($A588-COUNT('Шаг2.Бланк заказа NEW'!$B$19:$B$201),'Бланк OLD 0.8 04'!$B$12:$K$200,2,0)="","",VLOOKUP($A588-COUNT('Шаг2.Бланк заказа NEW'!$B$19:$B$201),'Бланк OLD 0.8 04'!$B$12:$K$200,2,0))),
IF(VLOOKUP($A588-COUNT('Шаг2.Бланк заказа NEW'!$B$19:$B$201)-COUNT('Бланк OLD 0.8 04'!$B$18:$B$200),'Бланк OLD 2.0 04 '!$B$16:$K$200,2,0)="","",VLOOKUP($A588-COUNT('Шаг2.Бланк заказа NEW'!$B$19:$B$201)-COUNT('Бланк OLD 0.8 04'!$B$18:$B$200),'Бланк OLD 2.0 04 '!$B$16:$K$200,2,0)))</f>
        <v/>
      </c>
      <c r="F588" s="147" t="str">
        <f ca="1">IFERROR(IFERROR(IF(VLOOKUP($A588,'Шаг2.Бланк заказа NEW'!$B$17:$N$201,3,0)="","",VLOOKUP($A588,'Шаг2.Бланк заказа NEW'!$B$17:$N$201,3,0)),
IF(VLOOKUP($A588-COUNT('Шаг2.Бланк заказа NEW'!$B$19:$B$201),'Бланк OLD 0.8 04'!$B$12:$K$200,3,0)="","",VLOOKUP($A588-COUNT('Шаг2.Бланк заказа NEW'!$B$19:$B$201),'Бланк OLD 0.8 04'!$B$12:$K$200,3,0))),
IF(VLOOKUP($A588-COUNT('Шаг2.Бланк заказа NEW'!$B$19:$B$201)-COUNT('Бланк OLD 0.8 04'!$B$18:$B$200),'Бланк OLD 2.0 04 '!$B$16:$K$200,3,0)="","",VLOOKUP($A588-COUNT('Шаг2.Бланк заказа NEW'!$B$19:$B$201)-COUNT('Бланк OLD 0.8 04'!$B$18:$B$200),'Бланк OLD 2.0 04 '!$B$16:$K$200,3,0)))</f>
        <v/>
      </c>
      <c r="G588" s="176" t="str">
        <f ca="1">IF(IF(R588="","",IF(R588=1,SUMIFS('Шаг1.Выбор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плиты'!C:Q,12,0)),1))))))=0,
R588,
IF(R588="","",IF(R588=1,SUMIFS('Шаг1.Выбор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плиты'!N:N,R588,'Шаг1.Выбор плиты'!M:M,SMALL(INDIRECT("мм"&amp;VLOOKUP(C588,'Шаг1.Выбор плиты'!C:Q,12,0)),1)))))))</f>
        <v/>
      </c>
      <c r="H588" s="177" t="str">
        <f ca="1">IF(IF(S588="","",IF(S588=1,SUMIFS('Шаг1.Выбор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плиты'!C:Q,12,0)),1))))))=0,
S588,
IF(S588="","",IF(S588=1,SUMIFS('Шаг1.Выбор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плиты'!N:N,S588,'Шаг1.Выбор плиты'!M:M,SMALL(INDIRECT("мм"&amp;VLOOKUP(C588,'Шаг1.Выбор плиты'!C:Q,12,0)),1)))))))</f>
        <v/>
      </c>
      <c r="I588" s="147" t="str">
        <f ca="1">IFERROR(IFERROR(IF(VLOOKUP($A588,'Шаг2.Бланк заказа NEW'!$B$17:$N$201,6,0)="","",VLOOKUP($A588,'Шаг2.Бланк заказа NEW'!$B$17:$N$201,6,0)),
IF(VLOOKUP($A588-COUNT('Шаг2.Бланк заказа NEW'!$B$19:$B$201),'Бланк OLD 0.8 04'!$B$12:$K$200,6,0)="","",VLOOKUP($A588-COUNT('Шаг2.Бланк заказа NEW'!$B$19:$B$201),'Бланк OLD 0.8 04'!$B$12:$K$200,6,0))),
IF(VLOOKUP($A588-COUNT('Шаг2.Бланк заказа NEW'!$B$19:$B$201)-COUNT('Бланк OLD 0.8 04'!$B$18:$B$200),'Бланк OLD 2.0 04 '!$B$16:$K$200,6,0)="","",VLOOKUP($A588-COUNT('Шаг2.Бланк заказа NEW'!$B$19:$B$201)-COUNT('Бланк OLD 0.8 04'!$B$18:$B$200),'Бланк OLD 2.0 04 '!$B$16:$K$200,6,0)))</f>
        <v/>
      </c>
      <c r="J588" s="177" t="str">
        <f ca="1">IF(IF(T588="","",IF(T588=1,SUMIFS('Шаг1.Выбор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плиты'!C:Q,12,0)),1))))))=0,
T588,
IF(T588="","",IF(T588=1,SUMIFS('Шаг1.Выбор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плиты'!N:N,T588,'Шаг1.Выбор плиты'!M:M,SMALL(INDIRECT("мм"&amp;VLOOKUP(C588,'Шаг1.Выбор плиты'!C:Q,12,0)),1)))))))</f>
        <v/>
      </c>
      <c r="K588" s="177" t="str">
        <f ca="1">IF(IF(U588="","",IF(U588=1,SUMIFS('Шаг1.Выбор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плиты'!C:Q,12,0)),1))))))=0,
U588,
IF(U588="","",IF(U588=1,SUMIFS('Шаг1.Выбор плиты'!$G:$G,'Шаг1.Выбор плиты'!J:J,"*"&amp;RIGHT(VLOOKUP(C588,'Шаг1.Выбор плиты'!C:Q,8,0),4),'Шаг1.Выбор плиты'!L:L,IF(MID(C588,1,6)="ЛДСП P","TM"&amp;MID(VLOOKUP(C588,'Шаг1.Выбор плиты'!C:Q,10,0),3,2),MID(VLOOKUP(C588,'Шаг1.Выбор плиты'!C:Q,10,0),1,2)),
'Шаг1.Выбор плиты'!N:N,1),IF(SUMIFS('Шаг1.Выбор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плиты'!C:Q,12,0)),1))=0,
IF(SUMIFS('Шаг1.Выбор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плиты'!C:Q,12,0)),2))=0,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плиты'!C:Q,12,0)),3)),
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плиты'!C:Q,12,0)),2))),
(SUMIFS('Шаг1.Выбор плиты'!$G:$G,'Шаг1.Выбор плиты'!J:J,"*"&amp;RIGHT(VLOOKUP(C588,'Шаг1.Выбор плиты'!C:Q,8,0),4),'Шаг1.Выбор плиты'!L:L,VLOOKUP(C588,'Шаг1.Выбор плиты'!C:Q,10,0),'Шаг1.Выбор плиты'!N:N,U588,'Шаг1.Выбор плиты'!M:M,SMALL(INDIRECT("мм"&amp;VLOOKUP(C588,'Шаг1.Выбор плиты'!C:Q,12,0)),1)))))))</f>
        <v/>
      </c>
      <c r="L588" s="147" t="str">
        <f ca="1">IFERROR(IFERROR(IF(VLOOKUP($A588,'Шаг2.Бланк заказа NEW'!$B$17:$N$201,9,0)="","",VLOOKUP($A588,'Шаг2.Бланк заказа NEW'!$B$17:$N$201,9,0)),
IF(VLOOKUP($A588-COUNT('Шаг2.Бланк заказа NEW'!$B$19:$B$201),'Бланк OLD 0.8 04'!$B$12:$K$200,9,0)="","",VLOOKUP($A588-COUNT('Шаг2.Бланк заказа NEW'!$B$19:$B$201),'Бланк OLD 0.8 04'!$B$12:$K$200,9,0))),
IF(VLOOKUP($A588-COUNT('Шаг2.Бланк заказа NEW'!$B$19:$B$201)-COUNT('Бланк OLD 0.8 04'!$B$18:$B$200),'Бланк OLD 2.0 04 '!$B$16:$K$200,9,0)="","",VLOOKUP($A588-COUNT('Шаг2.Бланк заказа NEW'!$B$19:$B$201)-COUNT('Бланк OLD 0.8 04'!$B$18:$B$200),'Бланк OLD 2.0 04 '!$B$16:$K$200,9,0)))</f>
        <v/>
      </c>
      <c r="M588" s="154" t="str">
        <f t="shared" ca="1" si="54"/>
        <v/>
      </c>
      <c r="N588" s="153" t="str">
        <f ca="1">IFERROR(IF(VLOOKUP($A588,'Шаг2.Бланк заказа NEW'!$B$17:$N$201,11,0)="","",VLOOKUP($A588,'Шаг2.Бланк заказа NEW'!$B$17:$N$201,11,0)),
"Нет")</f>
        <v/>
      </c>
      <c r="O588" s="147" t="str">
        <f ca="1">IFERROR(IF(VLOOKUP($A588,'Шаг2.Бланк заказа NEW'!$B$17:$N$201,11,0)="","",VLOOKUP($A588,'Шаг2.Бланк заказа NEW'!$B$17:$N$201,12,0)),
"Нет")</f>
        <v/>
      </c>
      <c r="P588" s="153" t="str">
        <f ca="1">IFERROR(IF(VLOOKUP($A588,'Шаг2.Бланк заказа NEW'!$B$17:$N$201,13,0)="","",VLOOKUP($A588,'Шаг2.Бланк заказа NEW'!$B$17:$N$201,13,0)),
"Нет")</f>
        <v/>
      </c>
      <c r="Q588" s="147" t="str">
        <f ca="1">IFERROR(IF(VLOOKUP($A588,'Шаг2.Бланк заказа NEW'!$B$17:$O$201,14,0)="","",VLOOKUP($A588,'Шаг2.Бланк заказа NEW'!$B$17:$O$201,14,0)),"")</f>
        <v/>
      </c>
      <c r="R588" s="147" t="str">
        <f ca="1">IFERROR(IFERROR(IF(VLOOKUP($A588,'Шаг2.Бланк заказа NEW'!$B$17:$N$201,4,0)="","",VLOOKUP($A588,'Шаг2.Бланк заказа NEW'!$B$17:$N$201,4,0)),
IF(VLOOKUP($A588-COUNT('Шаг2.Бланк заказа NEW'!$B$19:$B$201),'Бланк OLD 0.8 04'!$B$12:$K$200,4,0)&gt;0,0.8,
IF(VLOOKUP($A588-COUNT('Шаг2.Бланк заказа NEW'!$B$19:$B$201),'Бланк OLD 0.8 04'!$B$12:$K$200,5,0)&gt;0,0.4,""))),
IF(VLOOKUP($A588-COUNT('Шаг2.Бланк заказа NEW'!$B$19:$B$201)-COUNT('Бланк OLD 0.8 04'!$B$18:$B$200),'Бланк OLD 2.0 04 '!$B$16:$K$200,4,0)&gt;0,2,IF(VLOOKUP($A588-COUNT('Шаг2.Бланк заказа NEW'!$B$19:$B$201)-COUNT('Бланк OLD 0.8 04'!$B$18:$B$200),'Бланк OLD 2.0 04 '!$B$16:$K$200,5,0)&gt;0,0.4,"")))</f>
        <v/>
      </c>
      <c r="S588" s="147" t="str">
        <f ca="1">IFERROR(IFERROR(IF(VLOOKUP($A588,'Шаг2.Бланк заказа NEW'!$B$17:$N$201,5,0)="","",VLOOKUP($A588,'Шаг2.Бланк заказа NEW'!$B$17:$N$201,5,0)),
IF(VLOOKUP($A588-COUNT('Шаг2.Бланк заказа NEW'!$B$19:$B$201),'Бланк OLD 0.8 04'!$B$12:$K$200,4,0)&gt;1,0.8,
IF(VLOOKUP($A588-COUNT('Шаг2.Бланк заказа NEW'!$B$19:$B$201),'Бланк OLD 0.8 04'!$B$12:$K$200,5,0)&gt;1,0.4,
IF(AND(VLOOKUP($A588-COUNT('Шаг2.Бланк заказа NEW'!$B$19:$B$201),'Бланк OLD 0.8 04'!$B$12:$K$200,4,0)&gt;0,VLOOKUP($A588-COUNT('Шаг2.Бланк заказа NEW'!$B$19:$B$201),'Бланк OLD 0.8 04'!$B$12:$K$200,5,0)&gt;0),0.4,"")))),
IF(VLOOKUP($A588-COUNT('Шаг2.Бланк заказа NEW'!$B$19:$B$201)-COUNT('Бланк OLD 0.8 04'!$B$18:$B$200),'Бланк OLD 2.0 04 '!$B$16:$K$200,4,0)&gt;1,2,
IF(VLOOKUP($A588-COUNT('Шаг2.Бланк заказа NEW'!$B$19:$B$201)-COUNT('Бланк OLD 0.8 04'!$B$18:$B$200),'Бланк OLD 2.0 04 '!$B$16:$K$200,5,0)&gt;1,0.4,IF(AND(VLOOKUP($A588-COUNT('Шаг2.Бланк заказа NEW'!$B$19:$B$201)-COUNT('Бланк OLD 0.8 04'!$B$18:$B$200),'Бланк OLD 2.0 04 '!$B$16:$K$200,4,0)&gt;0,VLOOKUP($A588-COUNT('Шаг2.Бланк заказа NEW'!$B$19:$B$201)-COUNT('Бланк OLD 0.8 04'!$B$18:$B$200),'Бланк OLD 2.0 04 '!$B$16:$K$200,5,0)&gt;0),0.4,""))))</f>
        <v/>
      </c>
      <c r="T588" s="147" t="str">
        <f ca="1">IFERROR(IFERROR(IF(VLOOKUP($A588,'Шаг2.Бланк заказа NEW'!$B$17:$N$201,7,0)="","",VLOOKUP($A588,'Шаг2.Бланк заказа NEW'!$B$17:$N$201,7,0)),
IF(VLOOKUP($A588-COUNT('Шаг2.Бланк заказа NEW'!$B$19:$B$201),'Бланк OLD 0.8 04'!$B$12:$K$200,7,0)&gt;0,0.8,
IF(VLOOKUP($A588-COUNT('Шаг2.Бланк заказа NEW'!$B$19:$B$201),'Бланк OLD 0.8 04'!$B$12:$K$200,8,0)&gt;0,0.4,""))),
IF(VLOOKUP($A588-COUNT('Шаг2.Бланк заказа NEW'!$B$19:$B$201)-COUNT('Бланк OLD 0.8 04'!$B$18:$B$200),'Бланк OLD 2.0 04 '!$B$16:$K$200,7,0)&gt;0,2,IF(VLOOKUP($A588-COUNT('Шаг2.Бланк заказа NEW'!$B$19:$B$201)-COUNT('Бланк OLD 0.8 04'!$B$18:$B$200),'Бланк OLD 2.0 04 '!$B$16:$K$200,8,0)&gt;0,0.4,"")))</f>
        <v/>
      </c>
      <c r="U588" s="147" t="str">
        <f ca="1">IFERROR(IFERROR(IF(VLOOKUP($A588,'Шаг2.Бланк заказа NEW'!$B$17:$N$201,8,0)="","",VLOOKUP($A588,'Шаг2.Бланк заказа NEW'!$B$17:$N$201,8,0)),
IF(VLOOKUP($A588-COUNT('Шаг2.Бланк заказа NEW'!$B$19:$B$201),'Бланк OLD 0.8 04'!$B$12:$K$200,7,0)&gt;1,0.8,
IF(VLOOKUP($A588-COUNT('Шаг2.Бланк заказа NEW'!$B$19:$B$201),'Бланк OLD 0.8 04'!$B$12:$K$200,8,0)&gt;1,0.4,
IF(AND(VLOOKUP($A588-COUNT('Шаг2.Бланк заказа NEW'!$B$19:$B$201),'Бланк OLD 0.8 04'!$B$12:$K$200,7,0)&gt;0,VLOOKUP($A588-COUNT('Шаг2.Бланк заказа NEW'!$B$19:$B$201),'Бланк OLD 0.8 04'!$B$12:$K$200,8,0)&gt;0),0.4,"")))),
IF(VLOOKUP($A588-COUNT('Шаг2.Бланк заказа NEW'!$B$19:$B$201)-COUNT('Бланк OLD 0.8 04'!$B$18:$B$200),'Бланк OLD 2.0 04 '!$B$16:$K$200,7,0)&gt;1,2,
IF(VLOOKUP($A588-COUNT('Шаг2.Бланк заказа NEW'!$B$19:$B$201)-COUNT('Бланк OLD 0.8 04'!$B$18:$B$200),'Бланк OLD 2.0 04 '!$B$16:$K$200,8,0)&gt;1,0.4,
IF(AND(VLOOKUP($A588-COUNT('Шаг2.Бланк заказа NEW'!$B$19:$B$201)-COUNT('Бланк OLD 0.8 04'!$B$18:$B$200),'Бланк OLD 2.0 04 '!$B$16:$K$200,7,0)&gt;0,VLOOKUP($A588-COUNT('Шаг2.Бланк заказа NEW'!$B$19:$B$201)-COUNT('Бланк OLD 0.8 04'!$B$18:$B$200),'Бланк OLD 2.0 04 '!$B$16:$K$200,8,0)&gt;0),0.4,""))))</f>
        <v/>
      </c>
      <c r="V588" s="146" t="str">
        <f ca="1">IFERROR(VLOOKUP(C588,'Шаг1.Выбор плиты'!C:S,12,0),"")</f>
        <v/>
      </c>
      <c r="W588" s="146" t="str">
        <f ca="1">IFERROR(VLOOKUP(C588,'Шаг1.Выбор плиты'!C:S,8,0),"")</f>
        <v/>
      </c>
      <c r="X588" s="146" t="str">
        <f ca="1">IFERROR(VLOOKUP(C588,'Шаг1.Выбор плиты'!C:S,10,0),"")</f>
        <v/>
      </c>
      <c r="Y588" s="147" t="str">
        <f t="shared" ca="1" si="56"/>
        <v/>
      </c>
      <c r="AD588" s="147" t="str">
        <f t="shared" ca="1" si="53"/>
        <v/>
      </c>
      <c r="AE588" s="147" t="str">
        <f t="shared" ca="1" si="57"/>
        <v/>
      </c>
      <c r="AF588" s="25"/>
      <c r="AH588" s="147" t="str">
        <f ca="1">IF(C588="","",VLOOKUP(C588,'Шаг1.Выбор плиты'!C:Q,7,0))</f>
        <v/>
      </c>
      <c r="AI588" s="147" t="str">
        <f t="shared" ca="1" si="55"/>
        <v/>
      </c>
    </row>
    <row r="589" spans="1:35" x14ac:dyDescent="0.2">
      <c r="A589" s="151" t="str">
        <f ca="1">IF(C589="","",MAX($A$1:OFFSET(C589,-1,0))+1)</f>
        <v/>
      </c>
      <c r="B589" s="151" t="str">
        <f ca="1">IFERROR(IFERROR(IFERROR("Шаг2.Бланк заказа NEW №"&amp;VLOOKUP(A588+1,CHOOSE({1,2},'Шаг2.Бланк заказа NEW'!$B$19:$B$201,'Шаг2.Бланк заказа NEW'!$A$19:$A$201),1,0),
"Бланк OLD 0.8 04 №"&amp;VLOOKUP(A588+1-COUNT('Шаг2.Бланк заказа NEW'!$B$19:$B$201),CHOOSE({1,2},'Бланк OLD 0.8 04'!$B$18:$B$200,'Бланк OLD 0.8 04'!$A$18:$A$200),1,0)),
"Бланк OLD 2.0 04 №"&amp;VLOOKUP(A588+1-COUNT('Шаг2.Бланк заказа NEW'!$B$19:$B$201)-COUNT('Бланк OLD 0.8 04'!$B$18:$B$200),CHOOSE({1,2},'Бланк OLD 2.0 04 '!$B$18:$B$200,'Бланк OLD 2.0 04 '!$A$18:$A$200),1,0)),"")</f>
        <v/>
      </c>
      <c r="C589" s="152" t="str">
        <f ca="1">IFERROR(IFERROR(IFERROR(VLOOKUP(A588+1,CHOOSE({1,2},'Шаг2.Бланк заказа NEW'!$B$19:$B$201,'Шаг2.Бланк заказа NEW'!$A$19:$A$201),2,0),
VLOOKUP(A588+1-COUNT('Шаг2.Бланк заказа NEW'!$B$19:$B$201),CHOOSE({1,2},'Бланк OLD 0.8 04'!$B$18:$B$200,'Бланк OLD 0.8 04'!$A$18:$A$200),2,0)),
VLOOKUP(A588+1-COUNT('Шаг2.Бланк заказа NEW'!$B$19:$B$201)-COUNT('Бланк OLD 0.8 04'!$B$18:$B$200),CHOOSE({1,2},'Бланк OLD 2.0 04 '!$B$18:$B$200,'Бланк OLD 2.0 04 '!$A$18:$A$200),2,0)),"")</f>
        <v/>
      </c>
      <c r="D589" s="150" t="str">
        <f ca="1">IFERROR(VLOOKUP(C589,'Шаг1.Выбор плиты'!C:G,5,0),"")</f>
        <v/>
      </c>
      <c r="E589" s="147" t="str">
        <f ca="1">IFERROR(IFERROR(IF(VLOOKUP($A589,'Шаг2.Бланк заказа NEW'!$B$17:$N$201,2,0)="","",VLOOKUP($A589,'Шаг2.Бланк заказа NEW'!$B$17:$N$201,2,0)),
IF(VLOOKUP($A589-COUNT('Шаг2.Бланк заказа NEW'!$B$19:$B$201),'Бланк OLD 0.8 04'!$B$12:$K$200,2,0)="","",VLOOKUP($A589-COUNT('Шаг2.Бланк заказа NEW'!$B$19:$B$201),'Бланк OLD 0.8 04'!$B$12:$K$200,2,0))),
IF(VLOOKUP($A589-COUNT('Шаг2.Бланк заказа NEW'!$B$19:$B$201)-COUNT('Бланк OLD 0.8 04'!$B$18:$B$200),'Бланк OLD 2.0 04 '!$B$16:$K$200,2,0)="","",VLOOKUP($A589-COUNT('Шаг2.Бланк заказа NEW'!$B$19:$B$201)-COUNT('Бланк OLD 0.8 04'!$B$18:$B$200),'Бланк OLD 2.0 04 '!$B$16:$K$200,2,0)))</f>
        <v/>
      </c>
      <c r="F589" s="147" t="str">
        <f ca="1">IFERROR(IFERROR(IF(VLOOKUP($A589,'Шаг2.Бланк заказа NEW'!$B$17:$N$201,3,0)="","",VLOOKUP($A589,'Шаг2.Бланк заказа NEW'!$B$17:$N$201,3,0)),
IF(VLOOKUP($A589-COUNT('Шаг2.Бланк заказа NEW'!$B$19:$B$201),'Бланк OLD 0.8 04'!$B$12:$K$200,3,0)="","",VLOOKUP($A589-COUNT('Шаг2.Бланк заказа NEW'!$B$19:$B$201),'Бланк OLD 0.8 04'!$B$12:$K$200,3,0))),
IF(VLOOKUP($A589-COUNT('Шаг2.Бланк заказа NEW'!$B$19:$B$201)-COUNT('Бланк OLD 0.8 04'!$B$18:$B$200),'Бланк OLD 2.0 04 '!$B$16:$K$200,3,0)="","",VLOOKUP($A589-COUNT('Шаг2.Бланк заказа NEW'!$B$19:$B$201)-COUNT('Бланк OLD 0.8 04'!$B$18:$B$200),'Бланк OLD 2.0 04 '!$B$16:$K$200,3,0)))</f>
        <v/>
      </c>
      <c r="G589" s="176" t="str">
        <f ca="1">IF(IF(R589="","",IF(R589=1,SUMIFS('Шаг1.Выбор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плиты'!C:Q,12,0)),1))))))=0,
R589,
IF(R589="","",IF(R589=1,SUMIFS('Шаг1.Выбор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плиты'!N:N,R589,'Шаг1.Выбор плиты'!M:M,SMALL(INDIRECT("мм"&amp;VLOOKUP(C589,'Шаг1.Выбор плиты'!C:Q,12,0)),1)))))))</f>
        <v/>
      </c>
      <c r="H589" s="177" t="str">
        <f ca="1">IF(IF(S589="","",IF(S589=1,SUMIFS('Шаг1.Выбор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плиты'!C:Q,12,0)),1))))))=0,
S589,
IF(S589="","",IF(S589=1,SUMIFS('Шаг1.Выбор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плиты'!N:N,S589,'Шаг1.Выбор плиты'!M:M,SMALL(INDIRECT("мм"&amp;VLOOKUP(C589,'Шаг1.Выбор плиты'!C:Q,12,0)),1)))))))</f>
        <v/>
      </c>
      <c r="I589" s="147" t="str">
        <f ca="1">IFERROR(IFERROR(IF(VLOOKUP($A589,'Шаг2.Бланк заказа NEW'!$B$17:$N$201,6,0)="","",VLOOKUP($A589,'Шаг2.Бланк заказа NEW'!$B$17:$N$201,6,0)),
IF(VLOOKUP($A589-COUNT('Шаг2.Бланк заказа NEW'!$B$19:$B$201),'Бланк OLD 0.8 04'!$B$12:$K$200,6,0)="","",VLOOKUP($A589-COUNT('Шаг2.Бланк заказа NEW'!$B$19:$B$201),'Бланк OLD 0.8 04'!$B$12:$K$200,6,0))),
IF(VLOOKUP($A589-COUNT('Шаг2.Бланк заказа NEW'!$B$19:$B$201)-COUNT('Бланк OLD 0.8 04'!$B$18:$B$200),'Бланк OLD 2.0 04 '!$B$16:$K$200,6,0)="","",VLOOKUP($A589-COUNT('Шаг2.Бланк заказа NEW'!$B$19:$B$201)-COUNT('Бланк OLD 0.8 04'!$B$18:$B$200),'Бланк OLD 2.0 04 '!$B$16:$K$200,6,0)))</f>
        <v/>
      </c>
      <c r="J589" s="177" t="str">
        <f ca="1">IF(IF(T589="","",IF(T589=1,SUMIFS('Шаг1.Выбор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плиты'!C:Q,12,0)),1))))))=0,
T589,
IF(T589="","",IF(T589=1,SUMIFS('Шаг1.Выбор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плиты'!N:N,T589,'Шаг1.Выбор плиты'!M:M,SMALL(INDIRECT("мм"&amp;VLOOKUP(C589,'Шаг1.Выбор плиты'!C:Q,12,0)),1)))))))</f>
        <v/>
      </c>
      <c r="K589" s="177" t="str">
        <f ca="1">IF(IF(U589="","",IF(U589=1,SUMIFS('Шаг1.Выбор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плиты'!C:Q,12,0)),1))))))=0,
U589,
IF(U589="","",IF(U589=1,SUMIFS('Шаг1.Выбор плиты'!$G:$G,'Шаг1.Выбор плиты'!J:J,"*"&amp;RIGHT(VLOOKUP(C589,'Шаг1.Выбор плиты'!C:Q,8,0),4),'Шаг1.Выбор плиты'!L:L,IF(MID(C589,1,6)="ЛДСП P","TM"&amp;MID(VLOOKUP(C589,'Шаг1.Выбор плиты'!C:Q,10,0),3,2),MID(VLOOKUP(C589,'Шаг1.Выбор плиты'!C:Q,10,0),1,2)),
'Шаг1.Выбор плиты'!N:N,1),IF(SUMIFS('Шаг1.Выбор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плиты'!C:Q,12,0)),1))=0,
IF(SUMIFS('Шаг1.Выбор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плиты'!C:Q,12,0)),2))=0,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плиты'!C:Q,12,0)),3)),
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плиты'!C:Q,12,0)),2))),
(SUMIFS('Шаг1.Выбор плиты'!$G:$G,'Шаг1.Выбор плиты'!J:J,"*"&amp;RIGHT(VLOOKUP(C589,'Шаг1.Выбор плиты'!C:Q,8,0),4),'Шаг1.Выбор плиты'!L:L,VLOOKUP(C589,'Шаг1.Выбор плиты'!C:Q,10,0),'Шаг1.Выбор плиты'!N:N,U589,'Шаг1.Выбор плиты'!M:M,SMALL(INDIRECT("мм"&amp;VLOOKUP(C589,'Шаг1.Выбор плиты'!C:Q,12,0)),1)))))))</f>
        <v/>
      </c>
      <c r="L589" s="147" t="str">
        <f ca="1">IFERROR(IFERROR(IF(VLOOKUP($A589,'Шаг2.Бланк заказа NEW'!$B$17:$N$201,9,0)="","",VLOOKUP($A589,'Шаг2.Бланк заказа NEW'!$B$17:$N$201,9,0)),
IF(VLOOKUP($A589-COUNT('Шаг2.Бланк заказа NEW'!$B$19:$B$201),'Бланк OLD 0.8 04'!$B$12:$K$200,9,0)="","",VLOOKUP($A589-COUNT('Шаг2.Бланк заказа NEW'!$B$19:$B$201),'Бланк OLD 0.8 04'!$B$12:$K$200,9,0))),
IF(VLOOKUP($A589-COUNT('Шаг2.Бланк заказа NEW'!$B$19:$B$201)-COUNT('Бланк OLD 0.8 04'!$B$18:$B$200),'Бланк OLD 2.0 04 '!$B$16:$K$200,9,0)="","",VLOOKUP($A589-COUNT('Шаг2.Бланк заказа NEW'!$B$19:$B$201)-COUNT('Бланк OLD 0.8 04'!$B$18:$B$200),'Бланк OLD 2.0 04 '!$B$16:$K$200,9,0)))</f>
        <v/>
      </c>
      <c r="M589" s="154" t="str">
        <f t="shared" ca="1" si="54"/>
        <v/>
      </c>
      <c r="N589" s="153" t="str">
        <f ca="1">IFERROR(IF(VLOOKUP($A589,'Шаг2.Бланк заказа NEW'!$B$17:$N$201,11,0)="","",VLOOKUP($A589,'Шаг2.Бланк заказа NEW'!$B$17:$N$201,11,0)),
"Нет")</f>
        <v/>
      </c>
      <c r="O589" s="147" t="str">
        <f ca="1">IFERROR(IF(VLOOKUP($A589,'Шаг2.Бланк заказа NEW'!$B$17:$N$201,11,0)="","",VLOOKUP($A589,'Шаг2.Бланк заказа NEW'!$B$17:$N$201,12,0)),
"Нет")</f>
        <v/>
      </c>
      <c r="P589" s="153" t="str">
        <f ca="1">IFERROR(IF(VLOOKUP($A589,'Шаг2.Бланк заказа NEW'!$B$17:$N$201,13,0)="","",VLOOKUP($A589,'Шаг2.Бланк заказа NEW'!$B$17:$N$201,13,0)),
"Нет")</f>
        <v/>
      </c>
      <c r="Q589" s="147" t="str">
        <f ca="1">IFERROR(IF(VLOOKUP($A589,'Шаг2.Бланк заказа NEW'!$B$17:$O$201,14,0)="","",VLOOKUP($A589,'Шаг2.Бланк заказа NEW'!$B$17:$O$201,14,0)),"")</f>
        <v/>
      </c>
      <c r="R589" s="147" t="str">
        <f ca="1">IFERROR(IFERROR(IF(VLOOKUP($A589,'Шаг2.Бланк заказа NEW'!$B$17:$N$201,4,0)="","",VLOOKUP($A589,'Шаг2.Бланк заказа NEW'!$B$17:$N$201,4,0)),
IF(VLOOKUP($A589-COUNT('Шаг2.Бланк заказа NEW'!$B$19:$B$201),'Бланк OLD 0.8 04'!$B$12:$K$200,4,0)&gt;0,0.8,
IF(VLOOKUP($A589-COUNT('Шаг2.Бланк заказа NEW'!$B$19:$B$201),'Бланк OLD 0.8 04'!$B$12:$K$200,5,0)&gt;0,0.4,""))),
IF(VLOOKUP($A589-COUNT('Шаг2.Бланк заказа NEW'!$B$19:$B$201)-COUNT('Бланк OLD 0.8 04'!$B$18:$B$200),'Бланк OLD 2.0 04 '!$B$16:$K$200,4,0)&gt;0,2,IF(VLOOKUP($A589-COUNT('Шаг2.Бланк заказа NEW'!$B$19:$B$201)-COUNT('Бланк OLD 0.8 04'!$B$18:$B$200),'Бланк OLD 2.0 04 '!$B$16:$K$200,5,0)&gt;0,0.4,"")))</f>
        <v/>
      </c>
      <c r="S589" s="147" t="str">
        <f ca="1">IFERROR(IFERROR(IF(VLOOKUP($A589,'Шаг2.Бланк заказа NEW'!$B$17:$N$201,5,0)="","",VLOOKUP($A589,'Шаг2.Бланк заказа NEW'!$B$17:$N$201,5,0)),
IF(VLOOKUP($A589-COUNT('Шаг2.Бланк заказа NEW'!$B$19:$B$201),'Бланк OLD 0.8 04'!$B$12:$K$200,4,0)&gt;1,0.8,
IF(VLOOKUP($A589-COUNT('Шаг2.Бланк заказа NEW'!$B$19:$B$201),'Бланк OLD 0.8 04'!$B$12:$K$200,5,0)&gt;1,0.4,
IF(AND(VLOOKUP($A589-COUNT('Шаг2.Бланк заказа NEW'!$B$19:$B$201),'Бланк OLD 0.8 04'!$B$12:$K$200,4,0)&gt;0,VLOOKUP($A589-COUNT('Шаг2.Бланк заказа NEW'!$B$19:$B$201),'Бланк OLD 0.8 04'!$B$12:$K$200,5,0)&gt;0),0.4,"")))),
IF(VLOOKUP($A589-COUNT('Шаг2.Бланк заказа NEW'!$B$19:$B$201)-COUNT('Бланк OLD 0.8 04'!$B$18:$B$200),'Бланк OLD 2.0 04 '!$B$16:$K$200,4,0)&gt;1,2,
IF(VLOOKUP($A589-COUNT('Шаг2.Бланк заказа NEW'!$B$19:$B$201)-COUNT('Бланк OLD 0.8 04'!$B$18:$B$200),'Бланк OLD 2.0 04 '!$B$16:$K$200,5,0)&gt;1,0.4,IF(AND(VLOOKUP($A589-COUNT('Шаг2.Бланк заказа NEW'!$B$19:$B$201)-COUNT('Бланк OLD 0.8 04'!$B$18:$B$200),'Бланк OLD 2.0 04 '!$B$16:$K$200,4,0)&gt;0,VLOOKUP($A589-COUNT('Шаг2.Бланк заказа NEW'!$B$19:$B$201)-COUNT('Бланк OLD 0.8 04'!$B$18:$B$200),'Бланк OLD 2.0 04 '!$B$16:$K$200,5,0)&gt;0),0.4,""))))</f>
        <v/>
      </c>
      <c r="T589" s="147" t="str">
        <f ca="1">IFERROR(IFERROR(IF(VLOOKUP($A589,'Шаг2.Бланк заказа NEW'!$B$17:$N$201,7,0)="","",VLOOKUP($A589,'Шаг2.Бланк заказа NEW'!$B$17:$N$201,7,0)),
IF(VLOOKUP($A589-COUNT('Шаг2.Бланк заказа NEW'!$B$19:$B$201),'Бланк OLD 0.8 04'!$B$12:$K$200,7,0)&gt;0,0.8,
IF(VLOOKUP($A589-COUNT('Шаг2.Бланк заказа NEW'!$B$19:$B$201),'Бланк OLD 0.8 04'!$B$12:$K$200,8,0)&gt;0,0.4,""))),
IF(VLOOKUP($A589-COUNT('Шаг2.Бланк заказа NEW'!$B$19:$B$201)-COUNT('Бланк OLD 0.8 04'!$B$18:$B$200),'Бланк OLD 2.0 04 '!$B$16:$K$200,7,0)&gt;0,2,IF(VLOOKUP($A589-COUNT('Шаг2.Бланк заказа NEW'!$B$19:$B$201)-COUNT('Бланк OLD 0.8 04'!$B$18:$B$200),'Бланк OLD 2.0 04 '!$B$16:$K$200,8,0)&gt;0,0.4,"")))</f>
        <v/>
      </c>
      <c r="U589" s="147" t="str">
        <f ca="1">IFERROR(IFERROR(IF(VLOOKUP($A589,'Шаг2.Бланк заказа NEW'!$B$17:$N$201,8,0)="","",VLOOKUP($A589,'Шаг2.Бланк заказа NEW'!$B$17:$N$201,8,0)),
IF(VLOOKUP($A589-COUNT('Шаг2.Бланк заказа NEW'!$B$19:$B$201),'Бланк OLD 0.8 04'!$B$12:$K$200,7,0)&gt;1,0.8,
IF(VLOOKUP($A589-COUNT('Шаг2.Бланк заказа NEW'!$B$19:$B$201),'Бланк OLD 0.8 04'!$B$12:$K$200,8,0)&gt;1,0.4,
IF(AND(VLOOKUP($A589-COUNT('Шаг2.Бланк заказа NEW'!$B$19:$B$201),'Бланк OLD 0.8 04'!$B$12:$K$200,7,0)&gt;0,VLOOKUP($A589-COUNT('Шаг2.Бланк заказа NEW'!$B$19:$B$201),'Бланк OLD 0.8 04'!$B$12:$K$200,8,0)&gt;0),0.4,"")))),
IF(VLOOKUP($A589-COUNT('Шаг2.Бланк заказа NEW'!$B$19:$B$201)-COUNT('Бланк OLD 0.8 04'!$B$18:$B$200),'Бланк OLD 2.0 04 '!$B$16:$K$200,7,0)&gt;1,2,
IF(VLOOKUP($A589-COUNT('Шаг2.Бланк заказа NEW'!$B$19:$B$201)-COUNT('Бланк OLD 0.8 04'!$B$18:$B$200),'Бланк OLD 2.0 04 '!$B$16:$K$200,8,0)&gt;1,0.4,
IF(AND(VLOOKUP($A589-COUNT('Шаг2.Бланк заказа NEW'!$B$19:$B$201)-COUNT('Бланк OLD 0.8 04'!$B$18:$B$200),'Бланк OLD 2.0 04 '!$B$16:$K$200,7,0)&gt;0,VLOOKUP($A589-COUNT('Шаг2.Бланк заказа NEW'!$B$19:$B$201)-COUNT('Бланк OLD 0.8 04'!$B$18:$B$200),'Бланк OLD 2.0 04 '!$B$16:$K$200,8,0)&gt;0),0.4,""))))</f>
        <v/>
      </c>
      <c r="V589" s="146" t="str">
        <f ca="1">IFERROR(VLOOKUP(C589,'Шаг1.Выбор плиты'!C:S,12,0),"")</f>
        <v/>
      </c>
      <c r="W589" s="146" t="str">
        <f ca="1">IFERROR(VLOOKUP(C589,'Шаг1.Выбор плиты'!C:S,8,0),"")</f>
        <v/>
      </c>
      <c r="X589" s="146" t="str">
        <f ca="1">IFERROR(VLOOKUP(C589,'Шаг1.Выбор плиты'!C:S,10,0),"")</f>
        <v/>
      </c>
      <c r="Y589" s="147" t="str">
        <f ca="1">IF(C589="","",$Z$7)</f>
        <v/>
      </c>
      <c r="AD589" s="147" t="str">
        <f t="shared" ca="1" si="53"/>
        <v/>
      </c>
      <c r="AE589" s="147" t="str">
        <f t="shared" ca="1" si="57"/>
        <v/>
      </c>
      <c r="AF589" s="25"/>
      <c r="AH589" s="147" t="str">
        <f ca="1">IF(C589="","",VLOOKUP(C589,'Шаг1.Выбор плиты'!C:Q,7,0))</f>
        <v/>
      </c>
      <c r="AI589" s="147" t="str">
        <f t="shared" ca="1" si="55"/>
        <v/>
      </c>
    </row>
    <row r="590" spans="1:35" x14ac:dyDescent="0.2">
      <c r="A590" s="151" t="str">
        <f ca="1">IF(C590="","",MAX($A$1:OFFSET(C590,-1,0))+1)</f>
        <v/>
      </c>
      <c r="B590" s="151" t="str">
        <f ca="1">IFERROR(IFERROR(IFERROR("Шаг2.Бланк заказа NEW №"&amp;VLOOKUP(A589+1,CHOOSE({1,2},'Шаг2.Бланк заказа NEW'!$B$19:$B$201,'Шаг2.Бланк заказа NEW'!$A$19:$A$201),1,0),
"Бланк OLD 0.8 04 №"&amp;VLOOKUP(A589+1-COUNT('Шаг2.Бланк заказа NEW'!$B$19:$B$201),CHOOSE({1,2},'Бланк OLD 0.8 04'!$B$18:$B$200,'Бланк OLD 0.8 04'!$A$18:$A$200),1,0)),
"Бланк OLD 2.0 04 №"&amp;VLOOKUP(A589+1-COUNT('Шаг2.Бланк заказа NEW'!$B$19:$B$201)-COUNT('Бланк OLD 0.8 04'!$B$18:$B$200),CHOOSE({1,2},'Бланк OLD 2.0 04 '!$B$18:$B$200,'Бланк OLD 2.0 04 '!$A$18:$A$200),1,0)),"")</f>
        <v/>
      </c>
      <c r="C590" s="152" t="str">
        <f ca="1">IFERROR(IFERROR(IFERROR(VLOOKUP(A589+1,CHOOSE({1,2},'Шаг2.Бланк заказа NEW'!$B$19:$B$201,'Шаг2.Бланк заказа NEW'!$A$19:$A$201),2,0),
VLOOKUP(A589+1-COUNT('Шаг2.Бланк заказа NEW'!$B$19:$B$201),CHOOSE({1,2},'Бланк OLD 0.8 04'!$B$18:$B$200,'Бланк OLD 0.8 04'!$A$18:$A$200),2,0)),
VLOOKUP(A589+1-COUNT('Шаг2.Бланк заказа NEW'!$B$19:$B$201)-COUNT('Бланк OLD 0.8 04'!$B$18:$B$200),CHOOSE({1,2},'Бланк OLD 2.0 04 '!$B$18:$B$200,'Бланк OLD 2.0 04 '!$A$18:$A$200),2,0)),"")</f>
        <v/>
      </c>
      <c r="D590" s="150" t="str">
        <f ca="1">IFERROR(VLOOKUP(C590,'Шаг1.Выбор плиты'!C:G,5,0),"")</f>
        <v/>
      </c>
      <c r="E590" s="147" t="str">
        <f ca="1">IFERROR(IFERROR(IF(VLOOKUP($A590,'Шаг2.Бланк заказа NEW'!$B$17:$N$201,2,0)="","",VLOOKUP($A590,'Шаг2.Бланк заказа NEW'!$B$17:$N$201,2,0)),
IF(VLOOKUP($A590-COUNT('Шаг2.Бланк заказа NEW'!$B$19:$B$201),'Бланк OLD 0.8 04'!$B$12:$K$200,2,0)="","",VLOOKUP($A590-COUNT('Шаг2.Бланк заказа NEW'!$B$19:$B$201),'Бланк OLD 0.8 04'!$B$12:$K$200,2,0))),
IF(VLOOKUP($A590-COUNT('Шаг2.Бланк заказа NEW'!$B$19:$B$201)-COUNT('Бланк OLD 0.8 04'!$B$18:$B$200),'Бланк OLD 2.0 04 '!$B$16:$K$200,2,0)="","",VLOOKUP($A590-COUNT('Шаг2.Бланк заказа NEW'!$B$19:$B$201)-COUNT('Бланк OLD 0.8 04'!$B$18:$B$200),'Бланк OLD 2.0 04 '!$B$16:$K$200,2,0)))</f>
        <v/>
      </c>
      <c r="F590" s="147" t="str">
        <f ca="1">IFERROR(IFERROR(IF(VLOOKUP($A590,'Шаг2.Бланк заказа NEW'!$B$17:$N$201,3,0)="","",VLOOKUP($A590,'Шаг2.Бланк заказа NEW'!$B$17:$N$201,3,0)),
IF(VLOOKUP($A590-COUNT('Шаг2.Бланк заказа NEW'!$B$19:$B$201),'Бланк OLD 0.8 04'!$B$12:$K$200,3,0)="","",VLOOKUP($A590-COUNT('Шаг2.Бланк заказа NEW'!$B$19:$B$201),'Бланк OLD 0.8 04'!$B$12:$K$200,3,0))),
IF(VLOOKUP($A590-COUNT('Шаг2.Бланк заказа NEW'!$B$19:$B$201)-COUNT('Бланк OLD 0.8 04'!$B$18:$B$200),'Бланк OLD 2.0 04 '!$B$16:$K$200,3,0)="","",VLOOKUP($A590-COUNT('Шаг2.Бланк заказа NEW'!$B$19:$B$201)-COUNT('Бланк OLD 0.8 04'!$B$18:$B$200),'Бланк OLD 2.0 04 '!$B$16:$K$200,3,0)))</f>
        <v/>
      </c>
      <c r="G590" s="176" t="str">
        <f ca="1">IF(IF(R590="","",IF(R590=1,SUMIFS('Шаг1.Выбор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плиты'!C:Q,12,0)),1))))))=0,
R590,
IF(R590="","",IF(R590=1,SUMIFS('Шаг1.Выбор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плиты'!N:N,R590,'Шаг1.Выбор плиты'!M:M,SMALL(INDIRECT("мм"&amp;VLOOKUP(C590,'Шаг1.Выбор плиты'!C:Q,12,0)),1)))))))</f>
        <v/>
      </c>
      <c r="H590" s="177" t="str">
        <f ca="1">IF(IF(S590="","",IF(S590=1,SUMIFS('Шаг1.Выбор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плиты'!C:Q,12,0)),1))))))=0,
S590,
IF(S590="","",IF(S590=1,SUMIFS('Шаг1.Выбор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плиты'!N:N,S590,'Шаг1.Выбор плиты'!M:M,SMALL(INDIRECT("мм"&amp;VLOOKUP(C590,'Шаг1.Выбор плиты'!C:Q,12,0)),1)))))))</f>
        <v/>
      </c>
      <c r="I590" s="147" t="str">
        <f ca="1">IFERROR(IFERROR(IF(VLOOKUP($A590,'Шаг2.Бланк заказа NEW'!$B$17:$N$201,6,0)="","",VLOOKUP($A590,'Шаг2.Бланк заказа NEW'!$B$17:$N$201,6,0)),
IF(VLOOKUP($A590-COUNT('Шаг2.Бланк заказа NEW'!$B$19:$B$201),'Бланк OLD 0.8 04'!$B$12:$K$200,6,0)="","",VLOOKUP($A590-COUNT('Шаг2.Бланк заказа NEW'!$B$19:$B$201),'Бланк OLD 0.8 04'!$B$12:$K$200,6,0))),
IF(VLOOKUP($A590-COUNT('Шаг2.Бланк заказа NEW'!$B$19:$B$201)-COUNT('Бланк OLD 0.8 04'!$B$18:$B$200),'Бланк OLD 2.0 04 '!$B$16:$K$200,6,0)="","",VLOOKUP($A590-COUNT('Шаг2.Бланк заказа NEW'!$B$19:$B$201)-COUNT('Бланк OLD 0.8 04'!$B$18:$B$200),'Бланк OLD 2.0 04 '!$B$16:$K$200,6,0)))</f>
        <v/>
      </c>
      <c r="J590" s="177" t="str">
        <f ca="1">IF(IF(T590="","",IF(T590=1,SUMIFS('Шаг1.Выбор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плиты'!C:Q,12,0)),1))))))=0,
T590,
IF(T590="","",IF(T590=1,SUMIFS('Шаг1.Выбор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плиты'!N:N,T590,'Шаг1.Выбор плиты'!M:M,SMALL(INDIRECT("мм"&amp;VLOOKUP(C590,'Шаг1.Выбор плиты'!C:Q,12,0)),1)))))))</f>
        <v/>
      </c>
      <c r="K590" s="177" t="str">
        <f ca="1">IF(IF(U590="","",IF(U590=1,SUMIFS('Шаг1.Выбор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плиты'!C:Q,12,0)),1))))))=0,
U590,
IF(U590="","",IF(U590=1,SUMIFS('Шаг1.Выбор плиты'!$G:$G,'Шаг1.Выбор плиты'!J:J,"*"&amp;RIGHT(VLOOKUP(C590,'Шаг1.Выбор плиты'!C:Q,8,0),4),'Шаг1.Выбор плиты'!L:L,IF(MID(C590,1,6)="ЛДСП P","TM"&amp;MID(VLOOKUP(C590,'Шаг1.Выбор плиты'!C:Q,10,0),3,2),MID(VLOOKUP(C590,'Шаг1.Выбор плиты'!C:Q,10,0),1,2)),
'Шаг1.Выбор плиты'!N:N,1),IF(SUMIFS('Шаг1.Выбор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плиты'!C:Q,12,0)),1))=0,
IF(SUMIFS('Шаг1.Выбор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плиты'!C:Q,12,0)),2))=0,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плиты'!C:Q,12,0)),3)),
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плиты'!C:Q,12,0)),2))),
(SUMIFS('Шаг1.Выбор плиты'!$G:$G,'Шаг1.Выбор плиты'!J:J,"*"&amp;RIGHT(VLOOKUP(C590,'Шаг1.Выбор плиты'!C:Q,8,0),4),'Шаг1.Выбор плиты'!L:L,VLOOKUP(C590,'Шаг1.Выбор плиты'!C:Q,10,0),'Шаг1.Выбор плиты'!N:N,U590,'Шаг1.Выбор плиты'!M:M,SMALL(INDIRECT("мм"&amp;VLOOKUP(C590,'Шаг1.Выбор плиты'!C:Q,12,0)),1)))))))</f>
        <v/>
      </c>
      <c r="L590" s="147" t="str">
        <f ca="1">IFERROR(IFERROR(IF(VLOOKUP($A590,'Шаг2.Бланк заказа NEW'!$B$17:$N$201,9,0)="","",VLOOKUP($A590,'Шаг2.Бланк заказа NEW'!$B$17:$N$201,9,0)),
IF(VLOOKUP($A590-COUNT('Шаг2.Бланк заказа NEW'!$B$19:$B$201),'Бланк OLD 0.8 04'!$B$12:$K$200,9,0)="","",VLOOKUP($A590-COUNT('Шаг2.Бланк заказа NEW'!$B$19:$B$201),'Бланк OLD 0.8 04'!$B$12:$K$200,9,0))),
IF(VLOOKUP($A590-COUNT('Шаг2.Бланк заказа NEW'!$B$19:$B$201)-COUNT('Бланк OLD 0.8 04'!$B$18:$B$200),'Бланк OLD 2.0 04 '!$B$16:$K$200,9,0)="","",VLOOKUP($A590-COUNT('Шаг2.Бланк заказа NEW'!$B$19:$B$201)-COUNT('Бланк OLD 0.8 04'!$B$18:$B$200),'Бланк OLD 2.0 04 '!$B$16:$K$200,9,0)))</f>
        <v/>
      </c>
      <c r="M590" s="154" t="str">
        <f t="shared" ca="1" si="54"/>
        <v/>
      </c>
      <c r="N590" s="153" t="str">
        <f ca="1">IFERROR(IF(VLOOKUP($A590,'Шаг2.Бланк заказа NEW'!$B$17:$N$201,11,0)="","",VLOOKUP($A590,'Шаг2.Бланк заказа NEW'!$B$17:$N$201,11,0)),
"Нет")</f>
        <v/>
      </c>
      <c r="O590" s="147" t="str">
        <f ca="1">IFERROR(IF(VLOOKUP($A590,'Шаг2.Бланк заказа NEW'!$B$17:$N$201,11,0)="","",VLOOKUP($A590,'Шаг2.Бланк заказа NEW'!$B$17:$N$201,12,0)),
"Нет")</f>
        <v/>
      </c>
      <c r="P590" s="153" t="str">
        <f ca="1">IFERROR(IF(VLOOKUP($A590,'Шаг2.Бланк заказа NEW'!$B$17:$N$201,13,0)="","",VLOOKUP($A590,'Шаг2.Бланк заказа NEW'!$B$17:$N$201,13,0)),
"Нет")</f>
        <v/>
      </c>
      <c r="Q590" s="147" t="str">
        <f ca="1">IFERROR(IF(VLOOKUP($A590,'Шаг2.Бланк заказа NEW'!$B$17:$O$201,14,0)="","",VLOOKUP($A590,'Шаг2.Бланк заказа NEW'!$B$17:$O$201,14,0)),"")</f>
        <v/>
      </c>
      <c r="R590" s="147" t="str">
        <f ca="1">IFERROR(IFERROR(IF(VLOOKUP($A590,'Шаг2.Бланк заказа NEW'!$B$17:$N$201,4,0)="","",VLOOKUP($A590,'Шаг2.Бланк заказа NEW'!$B$17:$N$201,4,0)),
IF(VLOOKUP($A590-COUNT('Шаг2.Бланк заказа NEW'!$B$19:$B$201),'Бланк OLD 0.8 04'!$B$12:$K$200,4,0)&gt;0,0.8,
IF(VLOOKUP($A590-COUNT('Шаг2.Бланк заказа NEW'!$B$19:$B$201),'Бланк OLD 0.8 04'!$B$12:$K$200,5,0)&gt;0,0.4,""))),
IF(VLOOKUP($A590-COUNT('Шаг2.Бланк заказа NEW'!$B$19:$B$201)-COUNT('Бланк OLD 0.8 04'!$B$18:$B$200),'Бланк OLD 2.0 04 '!$B$16:$K$200,4,0)&gt;0,2,IF(VLOOKUP($A590-COUNT('Шаг2.Бланк заказа NEW'!$B$19:$B$201)-COUNT('Бланк OLD 0.8 04'!$B$18:$B$200),'Бланк OLD 2.0 04 '!$B$16:$K$200,5,0)&gt;0,0.4,"")))</f>
        <v/>
      </c>
      <c r="S590" s="147" t="str">
        <f ca="1">IFERROR(IFERROR(IF(VLOOKUP($A590,'Шаг2.Бланк заказа NEW'!$B$17:$N$201,5,0)="","",VLOOKUP($A590,'Шаг2.Бланк заказа NEW'!$B$17:$N$201,5,0)),
IF(VLOOKUP($A590-COUNT('Шаг2.Бланк заказа NEW'!$B$19:$B$201),'Бланк OLD 0.8 04'!$B$12:$K$200,4,0)&gt;1,0.8,
IF(VLOOKUP($A590-COUNT('Шаг2.Бланк заказа NEW'!$B$19:$B$201),'Бланк OLD 0.8 04'!$B$12:$K$200,5,0)&gt;1,0.4,
IF(AND(VLOOKUP($A590-COUNT('Шаг2.Бланк заказа NEW'!$B$19:$B$201),'Бланк OLD 0.8 04'!$B$12:$K$200,4,0)&gt;0,VLOOKUP($A590-COUNT('Шаг2.Бланк заказа NEW'!$B$19:$B$201),'Бланк OLD 0.8 04'!$B$12:$K$200,5,0)&gt;0),0.4,"")))),
IF(VLOOKUP($A590-COUNT('Шаг2.Бланк заказа NEW'!$B$19:$B$201)-COUNT('Бланк OLD 0.8 04'!$B$18:$B$200),'Бланк OLD 2.0 04 '!$B$16:$K$200,4,0)&gt;1,2,
IF(VLOOKUP($A590-COUNT('Шаг2.Бланк заказа NEW'!$B$19:$B$201)-COUNT('Бланк OLD 0.8 04'!$B$18:$B$200),'Бланк OLD 2.0 04 '!$B$16:$K$200,5,0)&gt;1,0.4,IF(AND(VLOOKUP($A590-COUNT('Шаг2.Бланк заказа NEW'!$B$19:$B$201)-COUNT('Бланк OLD 0.8 04'!$B$18:$B$200),'Бланк OLD 2.0 04 '!$B$16:$K$200,4,0)&gt;0,VLOOKUP($A590-COUNT('Шаг2.Бланк заказа NEW'!$B$19:$B$201)-COUNT('Бланк OLD 0.8 04'!$B$18:$B$200),'Бланк OLD 2.0 04 '!$B$16:$K$200,5,0)&gt;0),0.4,""))))</f>
        <v/>
      </c>
      <c r="T590" s="147" t="str">
        <f ca="1">IFERROR(IFERROR(IF(VLOOKUP($A590,'Шаг2.Бланк заказа NEW'!$B$17:$N$201,7,0)="","",VLOOKUP($A590,'Шаг2.Бланк заказа NEW'!$B$17:$N$201,7,0)),
IF(VLOOKUP($A590-COUNT('Шаг2.Бланк заказа NEW'!$B$19:$B$201),'Бланк OLD 0.8 04'!$B$12:$K$200,7,0)&gt;0,0.8,
IF(VLOOKUP($A590-COUNT('Шаг2.Бланк заказа NEW'!$B$19:$B$201),'Бланк OLD 0.8 04'!$B$12:$K$200,8,0)&gt;0,0.4,""))),
IF(VLOOKUP($A590-COUNT('Шаг2.Бланк заказа NEW'!$B$19:$B$201)-COUNT('Бланк OLD 0.8 04'!$B$18:$B$200),'Бланк OLD 2.0 04 '!$B$16:$K$200,7,0)&gt;0,2,IF(VLOOKUP($A590-COUNT('Шаг2.Бланк заказа NEW'!$B$19:$B$201)-COUNT('Бланк OLD 0.8 04'!$B$18:$B$200),'Бланк OLD 2.0 04 '!$B$16:$K$200,8,0)&gt;0,0.4,"")))</f>
        <v/>
      </c>
      <c r="U590" s="147" t="str">
        <f ca="1">IFERROR(IFERROR(IF(VLOOKUP($A590,'Шаг2.Бланк заказа NEW'!$B$17:$N$201,8,0)="","",VLOOKUP($A590,'Шаг2.Бланк заказа NEW'!$B$17:$N$201,8,0)),
IF(VLOOKUP($A590-COUNT('Шаг2.Бланк заказа NEW'!$B$19:$B$201),'Бланк OLD 0.8 04'!$B$12:$K$200,7,0)&gt;1,0.8,
IF(VLOOKUP($A590-COUNT('Шаг2.Бланк заказа NEW'!$B$19:$B$201),'Бланк OLD 0.8 04'!$B$12:$K$200,8,0)&gt;1,0.4,
IF(AND(VLOOKUP($A590-COUNT('Шаг2.Бланк заказа NEW'!$B$19:$B$201),'Бланк OLD 0.8 04'!$B$12:$K$200,7,0)&gt;0,VLOOKUP($A590-COUNT('Шаг2.Бланк заказа NEW'!$B$19:$B$201),'Бланк OLD 0.8 04'!$B$12:$K$200,8,0)&gt;0),0.4,"")))),
IF(VLOOKUP($A590-COUNT('Шаг2.Бланк заказа NEW'!$B$19:$B$201)-COUNT('Бланк OLD 0.8 04'!$B$18:$B$200),'Бланк OLD 2.0 04 '!$B$16:$K$200,7,0)&gt;1,2,
IF(VLOOKUP($A590-COUNT('Шаг2.Бланк заказа NEW'!$B$19:$B$201)-COUNT('Бланк OLD 0.8 04'!$B$18:$B$200),'Бланк OLD 2.0 04 '!$B$16:$K$200,8,0)&gt;1,0.4,
IF(AND(VLOOKUP($A590-COUNT('Шаг2.Бланк заказа NEW'!$B$19:$B$201)-COUNT('Бланк OLD 0.8 04'!$B$18:$B$200),'Бланк OLD 2.0 04 '!$B$16:$K$200,7,0)&gt;0,VLOOKUP($A590-COUNT('Шаг2.Бланк заказа NEW'!$B$19:$B$201)-COUNT('Бланк OLD 0.8 04'!$B$18:$B$200),'Бланк OLD 2.0 04 '!$B$16:$K$200,8,0)&gt;0),0.4,""))))</f>
        <v/>
      </c>
      <c r="V590" s="146" t="str">
        <f ca="1">IFERROR(VLOOKUP(C590,'Шаг1.Выбор плиты'!C:S,12,0),"")</f>
        <v/>
      </c>
      <c r="W590" s="146" t="str">
        <f ca="1">IFERROR(VLOOKUP(C590,'Шаг1.Выбор плиты'!C:S,8,0),"")</f>
        <v/>
      </c>
      <c r="X590" s="146" t="str">
        <f ca="1">IFERROR(VLOOKUP(C590,'Шаг1.Выбор плиты'!C:S,10,0),"")</f>
        <v/>
      </c>
      <c r="Y590" s="147" t="str">
        <f t="shared" ca="1" si="56"/>
        <v/>
      </c>
      <c r="AD590" s="147" t="str">
        <f t="shared" ca="1" si="53"/>
        <v/>
      </c>
      <c r="AE590" s="147" t="str">
        <f t="shared" ca="1" si="57"/>
        <v/>
      </c>
      <c r="AF590" s="25"/>
      <c r="AH590" s="147" t="str">
        <f ca="1">IF(C590="","",VLOOKUP(C590,'Шаг1.Выбор плиты'!C:Q,7,0))</f>
        <v/>
      </c>
      <c r="AI590" s="147" t="str">
        <f t="shared" ca="1" si="55"/>
        <v/>
      </c>
    </row>
    <row r="591" spans="1:35" x14ac:dyDescent="0.2">
      <c r="A591" s="151" t="str">
        <f ca="1">IF(C591="","",MAX($A$1:OFFSET(C591,-1,0))+1)</f>
        <v/>
      </c>
      <c r="B591" s="151" t="str">
        <f ca="1">IFERROR(IFERROR(IFERROR("Шаг2.Бланк заказа NEW №"&amp;VLOOKUP(A590+1,CHOOSE({1,2},'Шаг2.Бланк заказа NEW'!$B$19:$B$201,'Шаг2.Бланк заказа NEW'!$A$19:$A$201),1,0),
"Бланк OLD 0.8 04 №"&amp;VLOOKUP(A590+1-COUNT('Шаг2.Бланк заказа NEW'!$B$19:$B$201),CHOOSE({1,2},'Бланк OLD 0.8 04'!$B$18:$B$200,'Бланк OLD 0.8 04'!$A$18:$A$200),1,0)),
"Бланк OLD 2.0 04 №"&amp;VLOOKUP(A590+1-COUNT('Шаг2.Бланк заказа NEW'!$B$19:$B$201)-COUNT('Бланк OLD 0.8 04'!$B$18:$B$200),CHOOSE({1,2},'Бланк OLD 2.0 04 '!$B$18:$B$200,'Бланк OLD 2.0 04 '!$A$18:$A$200),1,0)),"")</f>
        <v/>
      </c>
      <c r="C591" s="152" t="str">
        <f ca="1">IFERROR(IFERROR(IFERROR(VLOOKUP(A590+1,CHOOSE({1,2},'Шаг2.Бланк заказа NEW'!$B$19:$B$201,'Шаг2.Бланк заказа NEW'!$A$19:$A$201),2,0),
VLOOKUP(A590+1-COUNT('Шаг2.Бланк заказа NEW'!$B$19:$B$201),CHOOSE({1,2},'Бланк OLD 0.8 04'!$B$18:$B$200,'Бланк OLD 0.8 04'!$A$18:$A$200),2,0)),
VLOOKUP(A590+1-COUNT('Шаг2.Бланк заказа NEW'!$B$19:$B$201)-COUNT('Бланк OLD 0.8 04'!$B$18:$B$200),CHOOSE({1,2},'Бланк OLD 2.0 04 '!$B$18:$B$200,'Бланк OLD 2.0 04 '!$A$18:$A$200),2,0)),"")</f>
        <v/>
      </c>
      <c r="D591" s="150" t="str">
        <f ca="1">IFERROR(VLOOKUP(C591,'Шаг1.Выбор плиты'!C:G,5,0),"")</f>
        <v/>
      </c>
      <c r="E591" s="147" t="str">
        <f ca="1">IFERROR(IFERROR(IF(VLOOKUP($A591,'Шаг2.Бланк заказа NEW'!$B$17:$N$201,2,0)="","",VLOOKUP($A591,'Шаг2.Бланк заказа NEW'!$B$17:$N$201,2,0)),
IF(VLOOKUP($A591-COUNT('Шаг2.Бланк заказа NEW'!$B$19:$B$201),'Бланк OLD 0.8 04'!$B$12:$K$200,2,0)="","",VLOOKUP($A591-COUNT('Шаг2.Бланк заказа NEW'!$B$19:$B$201),'Бланк OLD 0.8 04'!$B$12:$K$200,2,0))),
IF(VLOOKUP($A591-COUNT('Шаг2.Бланк заказа NEW'!$B$19:$B$201)-COUNT('Бланк OLD 0.8 04'!$B$18:$B$200),'Бланк OLD 2.0 04 '!$B$16:$K$200,2,0)="","",VLOOKUP($A591-COUNT('Шаг2.Бланк заказа NEW'!$B$19:$B$201)-COUNT('Бланк OLD 0.8 04'!$B$18:$B$200),'Бланк OLD 2.0 04 '!$B$16:$K$200,2,0)))</f>
        <v/>
      </c>
      <c r="F591" s="147" t="str">
        <f ca="1">IFERROR(IFERROR(IF(VLOOKUP($A591,'Шаг2.Бланк заказа NEW'!$B$17:$N$201,3,0)="","",VLOOKUP($A591,'Шаг2.Бланк заказа NEW'!$B$17:$N$201,3,0)),
IF(VLOOKUP($A591-COUNT('Шаг2.Бланк заказа NEW'!$B$19:$B$201),'Бланк OLD 0.8 04'!$B$12:$K$200,3,0)="","",VLOOKUP($A591-COUNT('Шаг2.Бланк заказа NEW'!$B$19:$B$201),'Бланк OLD 0.8 04'!$B$12:$K$200,3,0))),
IF(VLOOKUP($A591-COUNT('Шаг2.Бланк заказа NEW'!$B$19:$B$201)-COUNT('Бланк OLD 0.8 04'!$B$18:$B$200),'Бланк OLD 2.0 04 '!$B$16:$K$200,3,0)="","",VLOOKUP($A591-COUNT('Шаг2.Бланк заказа NEW'!$B$19:$B$201)-COUNT('Бланк OLD 0.8 04'!$B$18:$B$200),'Бланк OLD 2.0 04 '!$B$16:$K$200,3,0)))</f>
        <v/>
      </c>
      <c r="G591" s="176" t="str">
        <f ca="1">IF(IF(R591="","",IF(R591=1,SUMIFS('Шаг1.Выбор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плиты'!C:Q,12,0)),1))))))=0,
R591,
IF(R591="","",IF(R591=1,SUMIFS('Шаг1.Выбор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плиты'!N:N,R591,'Шаг1.Выбор плиты'!M:M,SMALL(INDIRECT("мм"&amp;VLOOKUP(C591,'Шаг1.Выбор плиты'!C:Q,12,0)),1)))))))</f>
        <v/>
      </c>
      <c r="H591" s="177" t="str">
        <f ca="1">IF(IF(S591="","",IF(S591=1,SUMIFS('Шаг1.Выбор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плиты'!C:Q,12,0)),1))))))=0,
S591,
IF(S591="","",IF(S591=1,SUMIFS('Шаг1.Выбор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плиты'!N:N,S591,'Шаг1.Выбор плиты'!M:M,SMALL(INDIRECT("мм"&amp;VLOOKUP(C591,'Шаг1.Выбор плиты'!C:Q,12,0)),1)))))))</f>
        <v/>
      </c>
      <c r="I591" s="147" t="str">
        <f ca="1">IFERROR(IFERROR(IF(VLOOKUP($A591,'Шаг2.Бланк заказа NEW'!$B$17:$N$201,6,0)="","",VLOOKUP($A591,'Шаг2.Бланк заказа NEW'!$B$17:$N$201,6,0)),
IF(VLOOKUP($A591-COUNT('Шаг2.Бланк заказа NEW'!$B$19:$B$201),'Бланк OLD 0.8 04'!$B$12:$K$200,6,0)="","",VLOOKUP($A591-COUNT('Шаг2.Бланк заказа NEW'!$B$19:$B$201),'Бланк OLD 0.8 04'!$B$12:$K$200,6,0))),
IF(VLOOKUP($A591-COUNT('Шаг2.Бланк заказа NEW'!$B$19:$B$201)-COUNT('Бланк OLD 0.8 04'!$B$18:$B$200),'Бланк OLD 2.0 04 '!$B$16:$K$200,6,0)="","",VLOOKUP($A591-COUNT('Шаг2.Бланк заказа NEW'!$B$19:$B$201)-COUNT('Бланк OLD 0.8 04'!$B$18:$B$200),'Бланк OLD 2.0 04 '!$B$16:$K$200,6,0)))</f>
        <v/>
      </c>
      <c r="J591" s="177" t="str">
        <f ca="1">IF(IF(T591="","",IF(T591=1,SUMIFS('Шаг1.Выбор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плиты'!C:Q,12,0)),1))))))=0,
T591,
IF(T591="","",IF(T591=1,SUMIFS('Шаг1.Выбор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плиты'!N:N,T591,'Шаг1.Выбор плиты'!M:M,SMALL(INDIRECT("мм"&amp;VLOOKUP(C591,'Шаг1.Выбор плиты'!C:Q,12,0)),1)))))))</f>
        <v/>
      </c>
      <c r="K591" s="177" t="str">
        <f ca="1">IF(IF(U591="","",IF(U591=1,SUMIFS('Шаг1.Выбор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плиты'!C:Q,12,0)),1))))))=0,
U591,
IF(U591="","",IF(U591=1,SUMIFS('Шаг1.Выбор плиты'!$G:$G,'Шаг1.Выбор плиты'!J:J,"*"&amp;RIGHT(VLOOKUP(C591,'Шаг1.Выбор плиты'!C:Q,8,0),4),'Шаг1.Выбор плиты'!L:L,IF(MID(C591,1,6)="ЛДСП P","TM"&amp;MID(VLOOKUP(C591,'Шаг1.Выбор плиты'!C:Q,10,0),3,2),MID(VLOOKUP(C591,'Шаг1.Выбор плиты'!C:Q,10,0),1,2)),
'Шаг1.Выбор плиты'!N:N,1),IF(SUMIFS('Шаг1.Выбор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плиты'!C:Q,12,0)),1))=0,
IF(SUMIFS('Шаг1.Выбор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плиты'!C:Q,12,0)),2))=0,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плиты'!C:Q,12,0)),3)),
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плиты'!C:Q,12,0)),2))),
(SUMIFS('Шаг1.Выбор плиты'!$G:$G,'Шаг1.Выбор плиты'!J:J,"*"&amp;RIGHT(VLOOKUP(C591,'Шаг1.Выбор плиты'!C:Q,8,0),4),'Шаг1.Выбор плиты'!L:L,VLOOKUP(C591,'Шаг1.Выбор плиты'!C:Q,10,0),'Шаг1.Выбор плиты'!N:N,U591,'Шаг1.Выбор плиты'!M:M,SMALL(INDIRECT("мм"&amp;VLOOKUP(C591,'Шаг1.Выбор плиты'!C:Q,12,0)),1)))))))</f>
        <v/>
      </c>
      <c r="L591" s="147" t="str">
        <f ca="1">IFERROR(IFERROR(IF(VLOOKUP($A591,'Шаг2.Бланк заказа NEW'!$B$17:$N$201,9,0)="","",VLOOKUP($A591,'Шаг2.Бланк заказа NEW'!$B$17:$N$201,9,0)),
IF(VLOOKUP($A591-COUNT('Шаг2.Бланк заказа NEW'!$B$19:$B$201),'Бланк OLD 0.8 04'!$B$12:$K$200,9,0)="","",VLOOKUP($A591-COUNT('Шаг2.Бланк заказа NEW'!$B$19:$B$201),'Бланк OLD 0.8 04'!$B$12:$K$200,9,0))),
IF(VLOOKUP($A591-COUNT('Шаг2.Бланк заказа NEW'!$B$19:$B$201)-COUNT('Бланк OLD 0.8 04'!$B$18:$B$200),'Бланк OLD 2.0 04 '!$B$16:$K$200,9,0)="","",VLOOKUP($A591-COUNT('Шаг2.Бланк заказа NEW'!$B$19:$B$201)-COUNT('Бланк OLD 0.8 04'!$B$18:$B$200),'Бланк OLD 2.0 04 '!$B$16:$K$200,9,0)))</f>
        <v/>
      </c>
      <c r="M591" s="154" t="str">
        <f t="shared" ca="1" si="54"/>
        <v/>
      </c>
      <c r="N591" s="153" t="str">
        <f ca="1">IFERROR(IF(VLOOKUP($A591,'Шаг2.Бланк заказа NEW'!$B$17:$N$201,11,0)="","",VLOOKUP($A591,'Шаг2.Бланк заказа NEW'!$B$17:$N$201,11,0)),
"Нет")</f>
        <v/>
      </c>
      <c r="O591" s="147" t="str">
        <f ca="1">IFERROR(IF(VLOOKUP($A591,'Шаг2.Бланк заказа NEW'!$B$17:$N$201,11,0)="","",VLOOKUP($A591,'Шаг2.Бланк заказа NEW'!$B$17:$N$201,12,0)),
"Нет")</f>
        <v/>
      </c>
      <c r="P591" s="153" t="str">
        <f ca="1">IFERROR(IF(VLOOKUP($A591,'Шаг2.Бланк заказа NEW'!$B$17:$N$201,13,0)="","",VLOOKUP($A591,'Шаг2.Бланк заказа NEW'!$B$17:$N$201,13,0)),
"Нет")</f>
        <v/>
      </c>
      <c r="Q591" s="147" t="str">
        <f ca="1">IFERROR(IF(VLOOKUP($A591,'Шаг2.Бланк заказа NEW'!$B$17:$O$201,14,0)="","",VLOOKUP($A591,'Шаг2.Бланк заказа NEW'!$B$17:$O$201,14,0)),"")</f>
        <v/>
      </c>
      <c r="R591" s="147" t="str">
        <f ca="1">IFERROR(IFERROR(IF(VLOOKUP($A591,'Шаг2.Бланк заказа NEW'!$B$17:$N$201,4,0)="","",VLOOKUP($A591,'Шаг2.Бланк заказа NEW'!$B$17:$N$201,4,0)),
IF(VLOOKUP($A591-COUNT('Шаг2.Бланк заказа NEW'!$B$19:$B$201),'Бланк OLD 0.8 04'!$B$12:$K$200,4,0)&gt;0,0.8,
IF(VLOOKUP($A591-COUNT('Шаг2.Бланк заказа NEW'!$B$19:$B$201),'Бланк OLD 0.8 04'!$B$12:$K$200,5,0)&gt;0,0.4,""))),
IF(VLOOKUP($A591-COUNT('Шаг2.Бланк заказа NEW'!$B$19:$B$201)-COUNT('Бланк OLD 0.8 04'!$B$18:$B$200),'Бланк OLD 2.0 04 '!$B$16:$K$200,4,0)&gt;0,2,IF(VLOOKUP($A591-COUNT('Шаг2.Бланк заказа NEW'!$B$19:$B$201)-COUNT('Бланк OLD 0.8 04'!$B$18:$B$200),'Бланк OLD 2.0 04 '!$B$16:$K$200,5,0)&gt;0,0.4,"")))</f>
        <v/>
      </c>
      <c r="S591" s="147" t="str">
        <f ca="1">IFERROR(IFERROR(IF(VLOOKUP($A591,'Шаг2.Бланк заказа NEW'!$B$17:$N$201,5,0)="","",VLOOKUP($A591,'Шаг2.Бланк заказа NEW'!$B$17:$N$201,5,0)),
IF(VLOOKUP($A591-COUNT('Шаг2.Бланк заказа NEW'!$B$19:$B$201),'Бланк OLD 0.8 04'!$B$12:$K$200,4,0)&gt;1,0.8,
IF(VLOOKUP($A591-COUNT('Шаг2.Бланк заказа NEW'!$B$19:$B$201),'Бланк OLD 0.8 04'!$B$12:$K$200,5,0)&gt;1,0.4,
IF(AND(VLOOKUP($A591-COUNT('Шаг2.Бланк заказа NEW'!$B$19:$B$201),'Бланк OLD 0.8 04'!$B$12:$K$200,4,0)&gt;0,VLOOKUP($A591-COUNT('Шаг2.Бланк заказа NEW'!$B$19:$B$201),'Бланк OLD 0.8 04'!$B$12:$K$200,5,0)&gt;0),0.4,"")))),
IF(VLOOKUP($A591-COUNT('Шаг2.Бланк заказа NEW'!$B$19:$B$201)-COUNT('Бланк OLD 0.8 04'!$B$18:$B$200),'Бланк OLD 2.0 04 '!$B$16:$K$200,4,0)&gt;1,2,
IF(VLOOKUP($A591-COUNT('Шаг2.Бланк заказа NEW'!$B$19:$B$201)-COUNT('Бланк OLD 0.8 04'!$B$18:$B$200),'Бланк OLD 2.0 04 '!$B$16:$K$200,5,0)&gt;1,0.4,IF(AND(VLOOKUP($A591-COUNT('Шаг2.Бланк заказа NEW'!$B$19:$B$201)-COUNT('Бланк OLD 0.8 04'!$B$18:$B$200),'Бланк OLD 2.0 04 '!$B$16:$K$200,4,0)&gt;0,VLOOKUP($A591-COUNT('Шаг2.Бланк заказа NEW'!$B$19:$B$201)-COUNT('Бланк OLD 0.8 04'!$B$18:$B$200),'Бланк OLD 2.0 04 '!$B$16:$K$200,5,0)&gt;0),0.4,""))))</f>
        <v/>
      </c>
      <c r="T591" s="147" t="str">
        <f ca="1">IFERROR(IFERROR(IF(VLOOKUP($A591,'Шаг2.Бланк заказа NEW'!$B$17:$N$201,7,0)="","",VLOOKUP($A591,'Шаг2.Бланк заказа NEW'!$B$17:$N$201,7,0)),
IF(VLOOKUP($A591-COUNT('Шаг2.Бланк заказа NEW'!$B$19:$B$201),'Бланк OLD 0.8 04'!$B$12:$K$200,7,0)&gt;0,0.8,
IF(VLOOKUP($A591-COUNT('Шаг2.Бланк заказа NEW'!$B$19:$B$201),'Бланк OLD 0.8 04'!$B$12:$K$200,8,0)&gt;0,0.4,""))),
IF(VLOOKUP($A591-COUNT('Шаг2.Бланк заказа NEW'!$B$19:$B$201)-COUNT('Бланк OLD 0.8 04'!$B$18:$B$200),'Бланк OLD 2.0 04 '!$B$16:$K$200,7,0)&gt;0,2,IF(VLOOKUP($A591-COUNT('Шаг2.Бланк заказа NEW'!$B$19:$B$201)-COUNT('Бланк OLD 0.8 04'!$B$18:$B$200),'Бланк OLD 2.0 04 '!$B$16:$K$200,8,0)&gt;0,0.4,"")))</f>
        <v/>
      </c>
      <c r="U591" s="147" t="str">
        <f ca="1">IFERROR(IFERROR(IF(VLOOKUP($A591,'Шаг2.Бланк заказа NEW'!$B$17:$N$201,8,0)="","",VLOOKUP($A591,'Шаг2.Бланк заказа NEW'!$B$17:$N$201,8,0)),
IF(VLOOKUP($A591-COUNT('Шаг2.Бланк заказа NEW'!$B$19:$B$201),'Бланк OLD 0.8 04'!$B$12:$K$200,7,0)&gt;1,0.8,
IF(VLOOKUP($A591-COUNT('Шаг2.Бланк заказа NEW'!$B$19:$B$201),'Бланк OLD 0.8 04'!$B$12:$K$200,8,0)&gt;1,0.4,
IF(AND(VLOOKUP($A591-COUNT('Шаг2.Бланк заказа NEW'!$B$19:$B$201),'Бланк OLD 0.8 04'!$B$12:$K$200,7,0)&gt;0,VLOOKUP($A591-COUNT('Шаг2.Бланк заказа NEW'!$B$19:$B$201),'Бланк OLD 0.8 04'!$B$12:$K$200,8,0)&gt;0),0.4,"")))),
IF(VLOOKUP($A591-COUNT('Шаг2.Бланк заказа NEW'!$B$19:$B$201)-COUNT('Бланк OLD 0.8 04'!$B$18:$B$200),'Бланк OLD 2.0 04 '!$B$16:$K$200,7,0)&gt;1,2,
IF(VLOOKUP($A591-COUNT('Шаг2.Бланк заказа NEW'!$B$19:$B$201)-COUNT('Бланк OLD 0.8 04'!$B$18:$B$200),'Бланк OLD 2.0 04 '!$B$16:$K$200,8,0)&gt;1,0.4,
IF(AND(VLOOKUP($A591-COUNT('Шаг2.Бланк заказа NEW'!$B$19:$B$201)-COUNT('Бланк OLD 0.8 04'!$B$18:$B$200),'Бланк OLD 2.0 04 '!$B$16:$K$200,7,0)&gt;0,VLOOKUP($A591-COUNT('Шаг2.Бланк заказа NEW'!$B$19:$B$201)-COUNT('Бланк OLD 0.8 04'!$B$18:$B$200),'Бланк OLD 2.0 04 '!$B$16:$K$200,8,0)&gt;0),0.4,""))))</f>
        <v/>
      </c>
      <c r="V591" s="146" t="str">
        <f ca="1">IFERROR(VLOOKUP(C591,'Шаг1.Выбор плиты'!C:S,12,0),"")</f>
        <v/>
      </c>
      <c r="W591" s="146" t="str">
        <f ca="1">IFERROR(VLOOKUP(C591,'Шаг1.Выбор плиты'!C:S,8,0),"")</f>
        <v/>
      </c>
      <c r="X591" s="146" t="str">
        <f ca="1">IFERROR(VLOOKUP(C591,'Шаг1.Выбор плиты'!C:S,10,0),"")</f>
        <v/>
      </c>
      <c r="Y591" s="147" t="str">
        <f t="shared" ca="1" si="56"/>
        <v/>
      </c>
      <c r="AD591" s="147" t="str">
        <f t="shared" ca="1" si="53"/>
        <v/>
      </c>
      <c r="AE591" s="147" t="str">
        <f t="shared" ca="1" si="57"/>
        <v/>
      </c>
      <c r="AF591" s="25"/>
      <c r="AH591" s="147" t="str">
        <f ca="1">IF(C591="","",VLOOKUP(C591,'Шаг1.Выбор плиты'!C:Q,7,0))</f>
        <v/>
      </c>
      <c r="AI591" s="147" t="str">
        <f t="shared" ca="1" si="55"/>
        <v/>
      </c>
    </row>
    <row r="592" spans="1:35" x14ac:dyDescent="0.2">
      <c r="A592" s="151" t="str">
        <f ca="1">IF(C592="","",MAX($A$1:OFFSET(C592,-1,0))+1)</f>
        <v/>
      </c>
      <c r="B592" s="151" t="str">
        <f ca="1">IFERROR(IFERROR(IFERROR("Шаг2.Бланк заказа NEW №"&amp;VLOOKUP(A591+1,CHOOSE({1,2},'Шаг2.Бланк заказа NEW'!$B$19:$B$201,'Шаг2.Бланк заказа NEW'!$A$19:$A$201),1,0),
"Бланк OLD 0.8 04 №"&amp;VLOOKUP(A591+1-COUNT('Шаг2.Бланк заказа NEW'!$B$19:$B$201),CHOOSE({1,2},'Бланк OLD 0.8 04'!$B$18:$B$200,'Бланк OLD 0.8 04'!$A$18:$A$200),1,0)),
"Бланк OLD 2.0 04 №"&amp;VLOOKUP(A591+1-COUNT('Шаг2.Бланк заказа NEW'!$B$19:$B$201)-COUNT('Бланк OLD 0.8 04'!$B$18:$B$200),CHOOSE({1,2},'Бланк OLD 2.0 04 '!$B$18:$B$200,'Бланк OLD 2.0 04 '!$A$18:$A$200),1,0)),"")</f>
        <v/>
      </c>
      <c r="C592" s="152" t="str">
        <f ca="1">IFERROR(IFERROR(IFERROR(VLOOKUP(A591+1,CHOOSE({1,2},'Шаг2.Бланк заказа NEW'!$B$19:$B$201,'Шаг2.Бланк заказа NEW'!$A$19:$A$201),2,0),
VLOOKUP(A591+1-COUNT('Шаг2.Бланк заказа NEW'!$B$19:$B$201),CHOOSE({1,2},'Бланк OLD 0.8 04'!$B$18:$B$200,'Бланк OLD 0.8 04'!$A$18:$A$200),2,0)),
VLOOKUP(A591+1-COUNT('Шаг2.Бланк заказа NEW'!$B$19:$B$201)-COUNT('Бланк OLD 0.8 04'!$B$18:$B$200),CHOOSE({1,2},'Бланк OLD 2.0 04 '!$B$18:$B$200,'Бланк OLD 2.0 04 '!$A$18:$A$200),2,0)),"")</f>
        <v/>
      </c>
      <c r="D592" s="150" t="str">
        <f ca="1">IFERROR(VLOOKUP(C592,'Шаг1.Выбор плиты'!C:G,5,0),"")</f>
        <v/>
      </c>
      <c r="E592" s="147" t="str">
        <f ca="1">IFERROR(IFERROR(IF(VLOOKUP($A592,'Шаг2.Бланк заказа NEW'!$B$17:$N$201,2,0)="","",VLOOKUP($A592,'Шаг2.Бланк заказа NEW'!$B$17:$N$201,2,0)),
IF(VLOOKUP($A592-COUNT('Шаг2.Бланк заказа NEW'!$B$19:$B$201),'Бланк OLD 0.8 04'!$B$12:$K$200,2,0)="","",VLOOKUP($A592-COUNT('Шаг2.Бланк заказа NEW'!$B$19:$B$201),'Бланк OLD 0.8 04'!$B$12:$K$200,2,0))),
IF(VLOOKUP($A592-COUNT('Шаг2.Бланк заказа NEW'!$B$19:$B$201)-COUNT('Бланк OLD 0.8 04'!$B$18:$B$200),'Бланк OLD 2.0 04 '!$B$16:$K$200,2,0)="","",VLOOKUP($A592-COUNT('Шаг2.Бланк заказа NEW'!$B$19:$B$201)-COUNT('Бланк OLD 0.8 04'!$B$18:$B$200),'Бланк OLD 2.0 04 '!$B$16:$K$200,2,0)))</f>
        <v/>
      </c>
      <c r="F592" s="147" t="str">
        <f ca="1">IFERROR(IFERROR(IF(VLOOKUP($A592,'Шаг2.Бланк заказа NEW'!$B$17:$N$201,3,0)="","",VLOOKUP($A592,'Шаг2.Бланк заказа NEW'!$B$17:$N$201,3,0)),
IF(VLOOKUP($A592-COUNT('Шаг2.Бланк заказа NEW'!$B$19:$B$201),'Бланк OLD 0.8 04'!$B$12:$K$200,3,0)="","",VLOOKUP($A592-COUNT('Шаг2.Бланк заказа NEW'!$B$19:$B$201),'Бланк OLD 0.8 04'!$B$12:$K$200,3,0))),
IF(VLOOKUP($A592-COUNT('Шаг2.Бланк заказа NEW'!$B$19:$B$201)-COUNT('Бланк OLD 0.8 04'!$B$18:$B$200),'Бланк OLD 2.0 04 '!$B$16:$K$200,3,0)="","",VLOOKUP($A592-COUNT('Шаг2.Бланк заказа NEW'!$B$19:$B$201)-COUNT('Бланк OLD 0.8 04'!$B$18:$B$200),'Бланк OLD 2.0 04 '!$B$16:$K$200,3,0)))</f>
        <v/>
      </c>
      <c r="G592" s="176" t="str">
        <f ca="1">IF(IF(R592="","",IF(R592=1,SUMIFS('Шаг1.Выбор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плиты'!C:Q,12,0)),1))))))=0,
R592,
IF(R592="","",IF(R592=1,SUMIFS('Шаг1.Выбор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плиты'!N:N,R592,'Шаг1.Выбор плиты'!M:M,SMALL(INDIRECT("мм"&amp;VLOOKUP(C592,'Шаг1.Выбор плиты'!C:Q,12,0)),1)))))))</f>
        <v/>
      </c>
      <c r="H592" s="177" t="str">
        <f ca="1">IF(IF(S592="","",IF(S592=1,SUMIFS('Шаг1.Выбор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плиты'!C:Q,12,0)),1))))))=0,
S592,
IF(S592="","",IF(S592=1,SUMIFS('Шаг1.Выбор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плиты'!N:N,S592,'Шаг1.Выбор плиты'!M:M,SMALL(INDIRECT("мм"&amp;VLOOKUP(C592,'Шаг1.Выбор плиты'!C:Q,12,0)),1)))))))</f>
        <v/>
      </c>
      <c r="I592" s="147" t="str">
        <f ca="1">IFERROR(IFERROR(IF(VLOOKUP($A592,'Шаг2.Бланк заказа NEW'!$B$17:$N$201,6,0)="","",VLOOKUP($A592,'Шаг2.Бланк заказа NEW'!$B$17:$N$201,6,0)),
IF(VLOOKUP($A592-COUNT('Шаг2.Бланк заказа NEW'!$B$19:$B$201),'Бланк OLD 0.8 04'!$B$12:$K$200,6,0)="","",VLOOKUP($A592-COUNT('Шаг2.Бланк заказа NEW'!$B$19:$B$201),'Бланк OLD 0.8 04'!$B$12:$K$200,6,0))),
IF(VLOOKUP($A592-COUNT('Шаг2.Бланк заказа NEW'!$B$19:$B$201)-COUNT('Бланк OLD 0.8 04'!$B$18:$B$200),'Бланк OLD 2.0 04 '!$B$16:$K$200,6,0)="","",VLOOKUP($A592-COUNT('Шаг2.Бланк заказа NEW'!$B$19:$B$201)-COUNT('Бланк OLD 0.8 04'!$B$18:$B$200),'Бланк OLD 2.0 04 '!$B$16:$K$200,6,0)))</f>
        <v/>
      </c>
      <c r="J592" s="177" t="str">
        <f ca="1">IF(IF(T592="","",IF(T592=1,SUMIFS('Шаг1.Выбор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плиты'!C:Q,12,0)),1))))))=0,
T592,
IF(T592="","",IF(T592=1,SUMIFS('Шаг1.Выбор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плиты'!N:N,T592,'Шаг1.Выбор плиты'!M:M,SMALL(INDIRECT("мм"&amp;VLOOKUP(C592,'Шаг1.Выбор плиты'!C:Q,12,0)),1)))))))</f>
        <v/>
      </c>
      <c r="K592" s="177" t="str">
        <f ca="1">IF(IF(U592="","",IF(U592=1,SUMIFS('Шаг1.Выбор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плиты'!C:Q,12,0)),1))))))=0,
U592,
IF(U592="","",IF(U592=1,SUMIFS('Шаг1.Выбор плиты'!$G:$G,'Шаг1.Выбор плиты'!J:J,"*"&amp;RIGHT(VLOOKUP(C592,'Шаг1.Выбор плиты'!C:Q,8,0),4),'Шаг1.Выбор плиты'!L:L,IF(MID(C592,1,6)="ЛДСП P","TM"&amp;MID(VLOOKUP(C592,'Шаг1.Выбор плиты'!C:Q,10,0),3,2),MID(VLOOKUP(C592,'Шаг1.Выбор плиты'!C:Q,10,0),1,2)),
'Шаг1.Выбор плиты'!N:N,1),IF(SUMIFS('Шаг1.Выбор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плиты'!C:Q,12,0)),1))=0,
IF(SUMIFS('Шаг1.Выбор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плиты'!C:Q,12,0)),2))=0,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плиты'!C:Q,12,0)),3)),
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плиты'!C:Q,12,0)),2))),
(SUMIFS('Шаг1.Выбор плиты'!$G:$G,'Шаг1.Выбор плиты'!J:J,"*"&amp;RIGHT(VLOOKUP(C592,'Шаг1.Выбор плиты'!C:Q,8,0),4),'Шаг1.Выбор плиты'!L:L,VLOOKUP(C592,'Шаг1.Выбор плиты'!C:Q,10,0),'Шаг1.Выбор плиты'!N:N,U592,'Шаг1.Выбор плиты'!M:M,SMALL(INDIRECT("мм"&amp;VLOOKUP(C592,'Шаг1.Выбор плиты'!C:Q,12,0)),1)))))))</f>
        <v/>
      </c>
      <c r="L592" s="147" t="str">
        <f ca="1">IFERROR(IFERROR(IF(VLOOKUP($A592,'Шаг2.Бланк заказа NEW'!$B$17:$N$201,9,0)="","",VLOOKUP($A592,'Шаг2.Бланк заказа NEW'!$B$17:$N$201,9,0)),
IF(VLOOKUP($A592-COUNT('Шаг2.Бланк заказа NEW'!$B$19:$B$201),'Бланк OLD 0.8 04'!$B$12:$K$200,9,0)="","",VLOOKUP($A592-COUNT('Шаг2.Бланк заказа NEW'!$B$19:$B$201),'Бланк OLD 0.8 04'!$B$12:$K$200,9,0))),
IF(VLOOKUP($A592-COUNT('Шаг2.Бланк заказа NEW'!$B$19:$B$201)-COUNT('Бланк OLD 0.8 04'!$B$18:$B$200),'Бланк OLD 2.0 04 '!$B$16:$K$200,9,0)="","",VLOOKUP($A592-COUNT('Шаг2.Бланк заказа NEW'!$B$19:$B$201)-COUNT('Бланк OLD 0.8 04'!$B$18:$B$200),'Бланк OLD 2.0 04 '!$B$16:$K$200,9,0)))</f>
        <v/>
      </c>
      <c r="M592" s="154" t="str">
        <f t="shared" ca="1" si="54"/>
        <v/>
      </c>
      <c r="N592" s="153" t="str">
        <f ca="1">IFERROR(IF(VLOOKUP($A592,'Шаг2.Бланк заказа NEW'!$B$17:$N$201,11,0)="","",VLOOKUP($A592,'Шаг2.Бланк заказа NEW'!$B$17:$N$201,11,0)),
"Нет")</f>
        <v/>
      </c>
      <c r="O592" s="147" t="str">
        <f ca="1">IFERROR(IF(VLOOKUP($A592,'Шаг2.Бланк заказа NEW'!$B$17:$N$201,11,0)="","",VLOOKUP($A592,'Шаг2.Бланк заказа NEW'!$B$17:$N$201,12,0)),
"Нет")</f>
        <v/>
      </c>
      <c r="P592" s="153" t="str">
        <f ca="1">IFERROR(IF(VLOOKUP($A592,'Шаг2.Бланк заказа NEW'!$B$17:$N$201,13,0)="","",VLOOKUP($A592,'Шаг2.Бланк заказа NEW'!$B$17:$N$201,13,0)),
"Нет")</f>
        <v/>
      </c>
      <c r="Q592" s="147" t="str">
        <f ca="1">IFERROR(IF(VLOOKUP($A592,'Шаг2.Бланк заказа NEW'!$B$17:$O$201,14,0)="","",VLOOKUP($A592,'Шаг2.Бланк заказа NEW'!$B$17:$O$201,14,0)),"")</f>
        <v/>
      </c>
      <c r="R592" s="147" t="str">
        <f ca="1">IFERROR(IFERROR(IF(VLOOKUP($A592,'Шаг2.Бланк заказа NEW'!$B$17:$N$201,4,0)="","",VLOOKUP($A592,'Шаг2.Бланк заказа NEW'!$B$17:$N$201,4,0)),
IF(VLOOKUP($A592-COUNT('Шаг2.Бланк заказа NEW'!$B$19:$B$201),'Бланк OLD 0.8 04'!$B$12:$K$200,4,0)&gt;0,0.8,
IF(VLOOKUP($A592-COUNT('Шаг2.Бланк заказа NEW'!$B$19:$B$201),'Бланк OLD 0.8 04'!$B$12:$K$200,5,0)&gt;0,0.4,""))),
IF(VLOOKUP($A592-COUNT('Шаг2.Бланк заказа NEW'!$B$19:$B$201)-COUNT('Бланк OLD 0.8 04'!$B$18:$B$200),'Бланк OLD 2.0 04 '!$B$16:$K$200,4,0)&gt;0,2,IF(VLOOKUP($A592-COUNT('Шаг2.Бланк заказа NEW'!$B$19:$B$201)-COUNT('Бланк OLD 0.8 04'!$B$18:$B$200),'Бланк OLD 2.0 04 '!$B$16:$K$200,5,0)&gt;0,0.4,"")))</f>
        <v/>
      </c>
      <c r="S592" s="147" t="str">
        <f ca="1">IFERROR(IFERROR(IF(VLOOKUP($A592,'Шаг2.Бланк заказа NEW'!$B$17:$N$201,5,0)="","",VLOOKUP($A592,'Шаг2.Бланк заказа NEW'!$B$17:$N$201,5,0)),
IF(VLOOKUP($A592-COUNT('Шаг2.Бланк заказа NEW'!$B$19:$B$201),'Бланк OLD 0.8 04'!$B$12:$K$200,4,0)&gt;1,0.8,
IF(VLOOKUP($A592-COUNT('Шаг2.Бланк заказа NEW'!$B$19:$B$201),'Бланк OLD 0.8 04'!$B$12:$K$200,5,0)&gt;1,0.4,
IF(AND(VLOOKUP($A592-COUNT('Шаг2.Бланк заказа NEW'!$B$19:$B$201),'Бланк OLD 0.8 04'!$B$12:$K$200,4,0)&gt;0,VLOOKUP($A592-COUNT('Шаг2.Бланк заказа NEW'!$B$19:$B$201),'Бланк OLD 0.8 04'!$B$12:$K$200,5,0)&gt;0),0.4,"")))),
IF(VLOOKUP($A592-COUNT('Шаг2.Бланк заказа NEW'!$B$19:$B$201)-COUNT('Бланк OLD 0.8 04'!$B$18:$B$200),'Бланк OLD 2.0 04 '!$B$16:$K$200,4,0)&gt;1,2,
IF(VLOOKUP($A592-COUNT('Шаг2.Бланк заказа NEW'!$B$19:$B$201)-COUNT('Бланк OLD 0.8 04'!$B$18:$B$200),'Бланк OLD 2.0 04 '!$B$16:$K$200,5,0)&gt;1,0.4,IF(AND(VLOOKUP($A592-COUNT('Шаг2.Бланк заказа NEW'!$B$19:$B$201)-COUNT('Бланк OLD 0.8 04'!$B$18:$B$200),'Бланк OLD 2.0 04 '!$B$16:$K$200,4,0)&gt;0,VLOOKUP($A592-COUNT('Шаг2.Бланк заказа NEW'!$B$19:$B$201)-COUNT('Бланк OLD 0.8 04'!$B$18:$B$200),'Бланк OLD 2.0 04 '!$B$16:$K$200,5,0)&gt;0),0.4,""))))</f>
        <v/>
      </c>
      <c r="T592" s="147" t="str">
        <f ca="1">IFERROR(IFERROR(IF(VLOOKUP($A592,'Шаг2.Бланк заказа NEW'!$B$17:$N$201,7,0)="","",VLOOKUP($A592,'Шаг2.Бланк заказа NEW'!$B$17:$N$201,7,0)),
IF(VLOOKUP($A592-COUNT('Шаг2.Бланк заказа NEW'!$B$19:$B$201),'Бланк OLD 0.8 04'!$B$12:$K$200,7,0)&gt;0,0.8,
IF(VLOOKUP($A592-COUNT('Шаг2.Бланк заказа NEW'!$B$19:$B$201),'Бланк OLD 0.8 04'!$B$12:$K$200,8,0)&gt;0,0.4,""))),
IF(VLOOKUP($A592-COUNT('Шаг2.Бланк заказа NEW'!$B$19:$B$201)-COUNT('Бланк OLD 0.8 04'!$B$18:$B$200),'Бланк OLD 2.0 04 '!$B$16:$K$200,7,0)&gt;0,2,IF(VLOOKUP($A592-COUNT('Шаг2.Бланк заказа NEW'!$B$19:$B$201)-COUNT('Бланк OLD 0.8 04'!$B$18:$B$200),'Бланк OLD 2.0 04 '!$B$16:$K$200,8,0)&gt;0,0.4,"")))</f>
        <v/>
      </c>
      <c r="U592" s="147" t="str">
        <f ca="1">IFERROR(IFERROR(IF(VLOOKUP($A592,'Шаг2.Бланк заказа NEW'!$B$17:$N$201,8,0)="","",VLOOKUP($A592,'Шаг2.Бланк заказа NEW'!$B$17:$N$201,8,0)),
IF(VLOOKUP($A592-COUNT('Шаг2.Бланк заказа NEW'!$B$19:$B$201),'Бланк OLD 0.8 04'!$B$12:$K$200,7,0)&gt;1,0.8,
IF(VLOOKUP($A592-COUNT('Шаг2.Бланк заказа NEW'!$B$19:$B$201),'Бланк OLD 0.8 04'!$B$12:$K$200,8,0)&gt;1,0.4,
IF(AND(VLOOKUP($A592-COUNT('Шаг2.Бланк заказа NEW'!$B$19:$B$201),'Бланк OLD 0.8 04'!$B$12:$K$200,7,0)&gt;0,VLOOKUP($A592-COUNT('Шаг2.Бланк заказа NEW'!$B$19:$B$201),'Бланк OLD 0.8 04'!$B$12:$K$200,8,0)&gt;0),0.4,"")))),
IF(VLOOKUP($A592-COUNT('Шаг2.Бланк заказа NEW'!$B$19:$B$201)-COUNT('Бланк OLD 0.8 04'!$B$18:$B$200),'Бланк OLD 2.0 04 '!$B$16:$K$200,7,0)&gt;1,2,
IF(VLOOKUP($A592-COUNT('Шаг2.Бланк заказа NEW'!$B$19:$B$201)-COUNT('Бланк OLD 0.8 04'!$B$18:$B$200),'Бланк OLD 2.0 04 '!$B$16:$K$200,8,0)&gt;1,0.4,
IF(AND(VLOOKUP($A592-COUNT('Шаг2.Бланк заказа NEW'!$B$19:$B$201)-COUNT('Бланк OLD 0.8 04'!$B$18:$B$200),'Бланк OLD 2.0 04 '!$B$16:$K$200,7,0)&gt;0,VLOOKUP($A592-COUNT('Шаг2.Бланк заказа NEW'!$B$19:$B$201)-COUNT('Бланк OLD 0.8 04'!$B$18:$B$200),'Бланк OLD 2.0 04 '!$B$16:$K$200,8,0)&gt;0),0.4,""))))</f>
        <v/>
      </c>
      <c r="V592" s="146" t="str">
        <f ca="1">IFERROR(VLOOKUP(C592,'Шаг1.Выбор плиты'!C:S,12,0),"")</f>
        <v/>
      </c>
      <c r="W592" s="146" t="str">
        <f ca="1">IFERROR(VLOOKUP(C592,'Шаг1.Выбор плиты'!C:S,8,0),"")</f>
        <v/>
      </c>
      <c r="X592" s="146" t="str">
        <f ca="1">IFERROR(VLOOKUP(C592,'Шаг1.Выбор плиты'!C:S,10,0),"")</f>
        <v/>
      </c>
      <c r="Y592" s="147" t="str">
        <f t="shared" ca="1" si="56"/>
        <v/>
      </c>
      <c r="AD592" s="147" t="str">
        <f t="shared" ca="1" si="53"/>
        <v/>
      </c>
      <c r="AE592" s="147" t="str">
        <f t="shared" ca="1" si="57"/>
        <v/>
      </c>
      <c r="AF592" s="25"/>
      <c r="AH592" s="147" t="str">
        <f ca="1">IF(C592="","",VLOOKUP(C592,'Шаг1.Выбор плиты'!C:Q,7,0))</f>
        <v/>
      </c>
      <c r="AI592" s="147" t="str">
        <f t="shared" ca="1" si="55"/>
        <v/>
      </c>
    </row>
    <row r="593" spans="1:35" x14ac:dyDescent="0.2">
      <c r="A593" s="151" t="str">
        <f ca="1">IF(C593="","",MAX($A$1:OFFSET(C593,-1,0))+1)</f>
        <v/>
      </c>
      <c r="B593" s="151" t="str">
        <f ca="1">IFERROR(IFERROR(IFERROR("Шаг2.Бланк заказа NEW №"&amp;VLOOKUP(A592+1,CHOOSE({1,2},'Шаг2.Бланк заказа NEW'!$B$19:$B$201,'Шаг2.Бланк заказа NEW'!$A$19:$A$201),1,0),
"Бланк OLD 0.8 04 №"&amp;VLOOKUP(A592+1-COUNT('Шаг2.Бланк заказа NEW'!$B$19:$B$201),CHOOSE({1,2},'Бланк OLD 0.8 04'!$B$18:$B$200,'Бланк OLD 0.8 04'!$A$18:$A$200),1,0)),
"Бланк OLD 2.0 04 №"&amp;VLOOKUP(A592+1-COUNT('Шаг2.Бланк заказа NEW'!$B$19:$B$201)-COUNT('Бланк OLD 0.8 04'!$B$18:$B$200),CHOOSE({1,2},'Бланк OLD 2.0 04 '!$B$18:$B$200,'Бланк OLD 2.0 04 '!$A$18:$A$200),1,0)),"")</f>
        <v/>
      </c>
      <c r="C593" s="152" t="str">
        <f ca="1">IFERROR(IFERROR(IFERROR(VLOOKUP(A592+1,CHOOSE({1,2},'Шаг2.Бланк заказа NEW'!$B$19:$B$201,'Шаг2.Бланк заказа NEW'!$A$19:$A$201),2,0),
VLOOKUP(A592+1-COUNT('Шаг2.Бланк заказа NEW'!$B$19:$B$201),CHOOSE({1,2},'Бланк OLD 0.8 04'!$B$18:$B$200,'Бланк OLD 0.8 04'!$A$18:$A$200),2,0)),
VLOOKUP(A592+1-COUNT('Шаг2.Бланк заказа NEW'!$B$19:$B$201)-COUNT('Бланк OLD 0.8 04'!$B$18:$B$200),CHOOSE({1,2},'Бланк OLD 2.0 04 '!$B$18:$B$200,'Бланк OLD 2.0 04 '!$A$18:$A$200),2,0)),"")</f>
        <v/>
      </c>
      <c r="D593" s="150" t="str">
        <f ca="1">IFERROR(VLOOKUP(C593,'Шаг1.Выбор плиты'!C:G,5,0),"")</f>
        <v/>
      </c>
      <c r="E593" s="147" t="str">
        <f ca="1">IFERROR(IFERROR(IF(VLOOKUP($A593,'Шаг2.Бланк заказа NEW'!$B$17:$N$201,2,0)="","",VLOOKUP($A593,'Шаг2.Бланк заказа NEW'!$B$17:$N$201,2,0)),
IF(VLOOKUP($A593-COUNT('Шаг2.Бланк заказа NEW'!$B$19:$B$201),'Бланк OLD 0.8 04'!$B$12:$K$200,2,0)="","",VLOOKUP($A593-COUNT('Шаг2.Бланк заказа NEW'!$B$19:$B$201),'Бланк OLD 0.8 04'!$B$12:$K$200,2,0))),
IF(VLOOKUP($A593-COUNT('Шаг2.Бланк заказа NEW'!$B$19:$B$201)-COUNT('Бланк OLD 0.8 04'!$B$18:$B$200),'Бланк OLD 2.0 04 '!$B$16:$K$200,2,0)="","",VLOOKUP($A593-COUNT('Шаг2.Бланк заказа NEW'!$B$19:$B$201)-COUNT('Бланк OLD 0.8 04'!$B$18:$B$200),'Бланк OLD 2.0 04 '!$B$16:$K$200,2,0)))</f>
        <v/>
      </c>
      <c r="F593" s="147" t="str">
        <f ca="1">IFERROR(IFERROR(IF(VLOOKUP($A593,'Шаг2.Бланк заказа NEW'!$B$17:$N$201,3,0)="","",VLOOKUP($A593,'Шаг2.Бланк заказа NEW'!$B$17:$N$201,3,0)),
IF(VLOOKUP($A593-COUNT('Шаг2.Бланк заказа NEW'!$B$19:$B$201),'Бланк OLD 0.8 04'!$B$12:$K$200,3,0)="","",VLOOKUP($A593-COUNT('Шаг2.Бланк заказа NEW'!$B$19:$B$201),'Бланк OLD 0.8 04'!$B$12:$K$200,3,0))),
IF(VLOOKUP($A593-COUNT('Шаг2.Бланк заказа NEW'!$B$19:$B$201)-COUNT('Бланк OLD 0.8 04'!$B$18:$B$200),'Бланк OLD 2.0 04 '!$B$16:$K$200,3,0)="","",VLOOKUP($A593-COUNT('Шаг2.Бланк заказа NEW'!$B$19:$B$201)-COUNT('Бланк OLD 0.8 04'!$B$18:$B$200),'Бланк OLD 2.0 04 '!$B$16:$K$200,3,0)))</f>
        <v/>
      </c>
      <c r="G593" s="176" t="str">
        <f ca="1">IF(IF(R593="","",IF(R593=1,SUMIFS('Шаг1.Выбор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плиты'!C:Q,12,0)),1))))))=0,
R593,
IF(R593="","",IF(R593=1,SUMIFS('Шаг1.Выбор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плиты'!N:N,R593,'Шаг1.Выбор плиты'!M:M,SMALL(INDIRECT("мм"&amp;VLOOKUP(C593,'Шаг1.Выбор плиты'!C:Q,12,0)),1)))))))</f>
        <v/>
      </c>
      <c r="H593" s="177" t="str">
        <f ca="1">IF(IF(S593="","",IF(S593=1,SUMIFS('Шаг1.Выбор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плиты'!C:Q,12,0)),1))))))=0,
S593,
IF(S593="","",IF(S593=1,SUMIFS('Шаг1.Выбор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плиты'!N:N,S593,'Шаг1.Выбор плиты'!M:M,SMALL(INDIRECT("мм"&amp;VLOOKUP(C593,'Шаг1.Выбор плиты'!C:Q,12,0)),1)))))))</f>
        <v/>
      </c>
      <c r="I593" s="147" t="str">
        <f ca="1">IFERROR(IFERROR(IF(VLOOKUP($A593,'Шаг2.Бланк заказа NEW'!$B$17:$N$201,6,0)="","",VLOOKUP($A593,'Шаг2.Бланк заказа NEW'!$B$17:$N$201,6,0)),
IF(VLOOKUP($A593-COUNT('Шаг2.Бланк заказа NEW'!$B$19:$B$201),'Бланк OLD 0.8 04'!$B$12:$K$200,6,0)="","",VLOOKUP($A593-COUNT('Шаг2.Бланк заказа NEW'!$B$19:$B$201),'Бланк OLD 0.8 04'!$B$12:$K$200,6,0))),
IF(VLOOKUP($A593-COUNT('Шаг2.Бланк заказа NEW'!$B$19:$B$201)-COUNT('Бланк OLD 0.8 04'!$B$18:$B$200),'Бланк OLD 2.0 04 '!$B$16:$K$200,6,0)="","",VLOOKUP($A593-COUNT('Шаг2.Бланк заказа NEW'!$B$19:$B$201)-COUNT('Бланк OLD 0.8 04'!$B$18:$B$200),'Бланк OLD 2.0 04 '!$B$16:$K$200,6,0)))</f>
        <v/>
      </c>
      <c r="J593" s="177" t="str">
        <f ca="1">IF(IF(T593="","",IF(T593=1,SUMIFS('Шаг1.Выбор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плиты'!C:Q,12,0)),1))))))=0,
T593,
IF(T593="","",IF(T593=1,SUMIFS('Шаг1.Выбор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плиты'!N:N,T593,'Шаг1.Выбор плиты'!M:M,SMALL(INDIRECT("мм"&amp;VLOOKUP(C593,'Шаг1.Выбор плиты'!C:Q,12,0)),1)))))))</f>
        <v/>
      </c>
      <c r="K593" s="177" t="str">
        <f ca="1">IF(IF(U593="","",IF(U593=1,SUMIFS('Шаг1.Выбор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плиты'!C:Q,12,0)),1))))))=0,
U593,
IF(U593="","",IF(U593=1,SUMIFS('Шаг1.Выбор плиты'!$G:$G,'Шаг1.Выбор плиты'!J:J,"*"&amp;RIGHT(VLOOKUP(C593,'Шаг1.Выбор плиты'!C:Q,8,0),4),'Шаг1.Выбор плиты'!L:L,IF(MID(C593,1,6)="ЛДСП P","TM"&amp;MID(VLOOKUP(C593,'Шаг1.Выбор плиты'!C:Q,10,0),3,2),MID(VLOOKUP(C593,'Шаг1.Выбор плиты'!C:Q,10,0),1,2)),
'Шаг1.Выбор плиты'!N:N,1),IF(SUMIFS('Шаг1.Выбор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плиты'!C:Q,12,0)),1))=0,
IF(SUMIFS('Шаг1.Выбор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плиты'!C:Q,12,0)),2))=0,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плиты'!C:Q,12,0)),3)),
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плиты'!C:Q,12,0)),2))),
(SUMIFS('Шаг1.Выбор плиты'!$G:$G,'Шаг1.Выбор плиты'!J:J,"*"&amp;RIGHT(VLOOKUP(C593,'Шаг1.Выбор плиты'!C:Q,8,0),4),'Шаг1.Выбор плиты'!L:L,VLOOKUP(C593,'Шаг1.Выбор плиты'!C:Q,10,0),'Шаг1.Выбор плиты'!N:N,U593,'Шаг1.Выбор плиты'!M:M,SMALL(INDIRECT("мм"&amp;VLOOKUP(C593,'Шаг1.Выбор плиты'!C:Q,12,0)),1)))))))</f>
        <v/>
      </c>
      <c r="L593" s="147" t="str">
        <f ca="1">IFERROR(IFERROR(IF(VLOOKUP($A593,'Шаг2.Бланк заказа NEW'!$B$17:$N$201,9,0)="","",VLOOKUP($A593,'Шаг2.Бланк заказа NEW'!$B$17:$N$201,9,0)),
IF(VLOOKUP($A593-COUNT('Шаг2.Бланк заказа NEW'!$B$19:$B$201),'Бланк OLD 0.8 04'!$B$12:$K$200,9,0)="","",VLOOKUP($A593-COUNT('Шаг2.Бланк заказа NEW'!$B$19:$B$201),'Бланк OLD 0.8 04'!$B$12:$K$200,9,0))),
IF(VLOOKUP($A593-COUNT('Шаг2.Бланк заказа NEW'!$B$19:$B$201)-COUNT('Бланк OLD 0.8 04'!$B$18:$B$200),'Бланк OLD 2.0 04 '!$B$16:$K$200,9,0)="","",VLOOKUP($A593-COUNT('Шаг2.Бланк заказа NEW'!$B$19:$B$201)-COUNT('Бланк OLD 0.8 04'!$B$18:$B$200),'Бланк OLD 2.0 04 '!$B$16:$K$200,9,0)))</f>
        <v/>
      </c>
      <c r="M593" s="154" t="str">
        <f t="shared" ca="1" si="54"/>
        <v/>
      </c>
      <c r="N593" s="153" t="str">
        <f ca="1">IFERROR(IF(VLOOKUP($A593,'Шаг2.Бланк заказа NEW'!$B$17:$N$201,11,0)="","",VLOOKUP($A593,'Шаг2.Бланк заказа NEW'!$B$17:$N$201,11,0)),
"Нет")</f>
        <v/>
      </c>
      <c r="O593" s="147" t="str">
        <f ca="1">IFERROR(IF(VLOOKUP($A593,'Шаг2.Бланк заказа NEW'!$B$17:$N$201,11,0)="","",VLOOKUP($A593,'Шаг2.Бланк заказа NEW'!$B$17:$N$201,12,0)),
"Нет")</f>
        <v/>
      </c>
      <c r="P593" s="153" t="str">
        <f ca="1">IFERROR(IF(VLOOKUP($A593,'Шаг2.Бланк заказа NEW'!$B$17:$N$201,13,0)="","",VLOOKUP($A593,'Шаг2.Бланк заказа NEW'!$B$17:$N$201,13,0)),
"Нет")</f>
        <v/>
      </c>
      <c r="Q593" s="147" t="str">
        <f ca="1">IFERROR(IF(VLOOKUP($A593,'Шаг2.Бланк заказа NEW'!$B$17:$O$201,14,0)="","",VLOOKUP($A593,'Шаг2.Бланк заказа NEW'!$B$17:$O$201,14,0)),"")</f>
        <v/>
      </c>
      <c r="R593" s="147" t="str">
        <f ca="1">IFERROR(IFERROR(IF(VLOOKUP($A593,'Шаг2.Бланк заказа NEW'!$B$17:$N$201,4,0)="","",VLOOKUP($A593,'Шаг2.Бланк заказа NEW'!$B$17:$N$201,4,0)),
IF(VLOOKUP($A593-COUNT('Шаг2.Бланк заказа NEW'!$B$19:$B$201),'Бланк OLD 0.8 04'!$B$12:$K$200,4,0)&gt;0,0.8,
IF(VLOOKUP($A593-COUNT('Шаг2.Бланк заказа NEW'!$B$19:$B$201),'Бланк OLD 0.8 04'!$B$12:$K$200,5,0)&gt;0,0.4,""))),
IF(VLOOKUP($A593-COUNT('Шаг2.Бланк заказа NEW'!$B$19:$B$201)-COUNT('Бланк OLD 0.8 04'!$B$18:$B$200),'Бланк OLD 2.0 04 '!$B$16:$K$200,4,0)&gt;0,2,IF(VLOOKUP($A593-COUNT('Шаг2.Бланк заказа NEW'!$B$19:$B$201)-COUNT('Бланк OLD 0.8 04'!$B$18:$B$200),'Бланк OLD 2.0 04 '!$B$16:$K$200,5,0)&gt;0,0.4,"")))</f>
        <v/>
      </c>
      <c r="S593" s="147" t="str">
        <f ca="1">IFERROR(IFERROR(IF(VLOOKUP($A593,'Шаг2.Бланк заказа NEW'!$B$17:$N$201,5,0)="","",VLOOKUP($A593,'Шаг2.Бланк заказа NEW'!$B$17:$N$201,5,0)),
IF(VLOOKUP($A593-COUNT('Шаг2.Бланк заказа NEW'!$B$19:$B$201),'Бланк OLD 0.8 04'!$B$12:$K$200,4,0)&gt;1,0.8,
IF(VLOOKUP($A593-COUNT('Шаг2.Бланк заказа NEW'!$B$19:$B$201),'Бланк OLD 0.8 04'!$B$12:$K$200,5,0)&gt;1,0.4,
IF(AND(VLOOKUP($A593-COUNT('Шаг2.Бланк заказа NEW'!$B$19:$B$201),'Бланк OLD 0.8 04'!$B$12:$K$200,4,0)&gt;0,VLOOKUP($A593-COUNT('Шаг2.Бланк заказа NEW'!$B$19:$B$201),'Бланк OLD 0.8 04'!$B$12:$K$200,5,0)&gt;0),0.4,"")))),
IF(VLOOKUP($A593-COUNT('Шаг2.Бланк заказа NEW'!$B$19:$B$201)-COUNT('Бланк OLD 0.8 04'!$B$18:$B$200),'Бланк OLD 2.0 04 '!$B$16:$K$200,4,0)&gt;1,2,
IF(VLOOKUP($A593-COUNT('Шаг2.Бланк заказа NEW'!$B$19:$B$201)-COUNT('Бланк OLD 0.8 04'!$B$18:$B$200),'Бланк OLD 2.0 04 '!$B$16:$K$200,5,0)&gt;1,0.4,IF(AND(VLOOKUP($A593-COUNT('Шаг2.Бланк заказа NEW'!$B$19:$B$201)-COUNT('Бланк OLD 0.8 04'!$B$18:$B$200),'Бланк OLD 2.0 04 '!$B$16:$K$200,4,0)&gt;0,VLOOKUP($A593-COUNT('Шаг2.Бланк заказа NEW'!$B$19:$B$201)-COUNT('Бланк OLD 0.8 04'!$B$18:$B$200),'Бланк OLD 2.0 04 '!$B$16:$K$200,5,0)&gt;0),0.4,""))))</f>
        <v/>
      </c>
      <c r="T593" s="147" t="str">
        <f ca="1">IFERROR(IFERROR(IF(VLOOKUP($A593,'Шаг2.Бланк заказа NEW'!$B$17:$N$201,7,0)="","",VLOOKUP($A593,'Шаг2.Бланк заказа NEW'!$B$17:$N$201,7,0)),
IF(VLOOKUP($A593-COUNT('Шаг2.Бланк заказа NEW'!$B$19:$B$201),'Бланк OLD 0.8 04'!$B$12:$K$200,7,0)&gt;0,0.8,
IF(VLOOKUP($A593-COUNT('Шаг2.Бланк заказа NEW'!$B$19:$B$201),'Бланк OLD 0.8 04'!$B$12:$K$200,8,0)&gt;0,0.4,""))),
IF(VLOOKUP($A593-COUNT('Шаг2.Бланк заказа NEW'!$B$19:$B$201)-COUNT('Бланк OLD 0.8 04'!$B$18:$B$200),'Бланк OLD 2.0 04 '!$B$16:$K$200,7,0)&gt;0,2,IF(VLOOKUP($A593-COUNT('Шаг2.Бланк заказа NEW'!$B$19:$B$201)-COUNT('Бланк OLD 0.8 04'!$B$18:$B$200),'Бланк OLD 2.0 04 '!$B$16:$K$200,8,0)&gt;0,0.4,"")))</f>
        <v/>
      </c>
      <c r="U593" s="147" t="str">
        <f ca="1">IFERROR(IFERROR(IF(VLOOKUP($A593,'Шаг2.Бланк заказа NEW'!$B$17:$N$201,8,0)="","",VLOOKUP($A593,'Шаг2.Бланк заказа NEW'!$B$17:$N$201,8,0)),
IF(VLOOKUP($A593-COUNT('Шаг2.Бланк заказа NEW'!$B$19:$B$201),'Бланк OLD 0.8 04'!$B$12:$K$200,7,0)&gt;1,0.8,
IF(VLOOKUP($A593-COUNT('Шаг2.Бланк заказа NEW'!$B$19:$B$201),'Бланк OLD 0.8 04'!$B$12:$K$200,8,0)&gt;1,0.4,
IF(AND(VLOOKUP($A593-COUNT('Шаг2.Бланк заказа NEW'!$B$19:$B$201),'Бланк OLD 0.8 04'!$B$12:$K$200,7,0)&gt;0,VLOOKUP($A593-COUNT('Шаг2.Бланк заказа NEW'!$B$19:$B$201),'Бланк OLD 0.8 04'!$B$12:$K$200,8,0)&gt;0),0.4,"")))),
IF(VLOOKUP($A593-COUNT('Шаг2.Бланк заказа NEW'!$B$19:$B$201)-COUNT('Бланк OLD 0.8 04'!$B$18:$B$200),'Бланк OLD 2.0 04 '!$B$16:$K$200,7,0)&gt;1,2,
IF(VLOOKUP($A593-COUNT('Шаг2.Бланк заказа NEW'!$B$19:$B$201)-COUNT('Бланк OLD 0.8 04'!$B$18:$B$200),'Бланк OLD 2.0 04 '!$B$16:$K$200,8,0)&gt;1,0.4,
IF(AND(VLOOKUP($A593-COUNT('Шаг2.Бланк заказа NEW'!$B$19:$B$201)-COUNT('Бланк OLD 0.8 04'!$B$18:$B$200),'Бланк OLD 2.0 04 '!$B$16:$K$200,7,0)&gt;0,VLOOKUP($A593-COUNT('Шаг2.Бланк заказа NEW'!$B$19:$B$201)-COUNT('Бланк OLD 0.8 04'!$B$18:$B$200),'Бланк OLD 2.0 04 '!$B$16:$K$200,8,0)&gt;0),0.4,""))))</f>
        <v/>
      </c>
      <c r="V593" s="146" t="str">
        <f ca="1">IFERROR(VLOOKUP(C593,'Шаг1.Выбор плиты'!C:S,12,0),"")</f>
        <v/>
      </c>
      <c r="W593" s="146" t="str">
        <f ca="1">IFERROR(VLOOKUP(C593,'Шаг1.Выбор плиты'!C:S,8,0),"")</f>
        <v/>
      </c>
      <c r="X593" s="146" t="str">
        <f ca="1">IFERROR(VLOOKUP(C593,'Шаг1.Выбор плиты'!C:S,10,0),"")</f>
        <v/>
      </c>
      <c r="Y593" s="147" t="str">
        <f t="shared" ca="1" si="56"/>
        <v/>
      </c>
      <c r="AD593" s="147" t="str">
        <f t="shared" ca="1" si="53"/>
        <v/>
      </c>
      <c r="AE593" s="147" t="str">
        <f t="shared" ca="1" si="57"/>
        <v/>
      </c>
      <c r="AF593" s="25"/>
      <c r="AH593" s="147" t="str">
        <f ca="1">IF(C593="","",VLOOKUP(C593,'Шаг1.Выбор плиты'!C:Q,7,0))</f>
        <v/>
      </c>
      <c r="AI593" s="147" t="str">
        <f t="shared" ca="1" si="55"/>
        <v/>
      </c>
    </row>
    <row r="594" spans="1:35" x14ac:dyDescent="0.2">
      <c r="A594" s="151" t="str">
        <f ca="1">IF(C594="","",MAX($A$1:OFFSET(C594,-1,0))+1)</f>
        <v/>
      </c>
      <c r="B594" s="151" t="str">
        <f ca="1">IFERROR(IFERROR(IFERROR("Шаг2.Бланк заказа NEW №"&amp;VLOOKUP(A593+1,CHOOSE({1,2},'Шаг2.Бланк заказа NEW'!$B$19:$B$201,'Шаг2.Бланк заказа NEW'!$A$19:$A$201),1,0),
"Бланк OLD 0.8 04 №"&amp;VLOOKUP(A593+1-COUNT('Шаг2.Бланк заказа NEW'!$B$19:$B$201),CHOOSE({1,2},'Бланк OLD 0.8 04'!$B$18:$B$200,'Бланк OLD 0.8 04'!$A$18:$A$200),1,0)),
"Бланк OLD 2.0 04 №"&amp;VLOOKUP(A593+1-COUNT('Шаг2.Бланк заказа NEW'!$B$19:$B$201)-COUNT('Бланк OLD 0.8 04'!$B$18:$B$200),CHOOSE({1,2},'Бланк OLD 2.0 04 '!$B$18:$B$200,'Бланк OLD 2.0 04 '!$A$18:$A$200),1,0)),"")</f>
        <v/>
      </c>
      <c r="C594" s="152" t="str">
        <f ca="1">IFERROR(IFERROR(IFERROR(VLOOKUP(A593+1,CHOOSE({1,2},'Шаг2.Бланк заказа NEW'!$B$19:$B$201,'Шаг2.Бланк заказа NEW'!$A$19:$A$201),2,0),
VLOOKUP(A593+1-COUNT('Шаг2.Бланк заказа NEW'!$B$19:$B$201),CHOOSE({1,2},'Бланк OLD 0.8 04'!$B$18:$B$200,'Бланк OLD 0.8 04'!$A$18:$A$200),2,0)),
VLOOKUP(A593+1-COUNT('Шаг2.Бланк заказа NEW'!$B$19:$B$201)-COUNT('Бланк OLD 0.8 04'!$B$18:$B$200),CHOOSE({1,2},'Бланк OLD 2.0 04 '!$B$18:$B$200,'Бланк OLD 2.0 04 '!$A$18:$A$200),2,0)),"")</f>
        <v/>
      </c>
      <c r="D594" s="150" t="str">
        <f ca="1">IFERROR(VLOOKUP(C594,'Шаг1.Выбор плиты'!C:G,5,0),"")</f>
        <v/>
      </c>
      <c r="E594" s="147" t="str">
        <f ca="1">IFERROR(IFERROR(IF(VLOOKUP($A594,'Шаг2.Бланк заказа NEW'!$B$17:$N$201,2,0)="","",VLOOKUP($A594,'Шаг2.Бланк заказа NEW'!$B$17:$N$201,2,0)),
IF(VLOOKUP($A594-COUNT('Шаг2.Бланк заказа NEW'!$B$19:$B$201),'Бланк OLD 0.8 04'!$B$12:$K$200,2,0)="","",VLOOKUP($A594-COUNT('Шаг2.Бланк заказа NEW'!$B$19:$B$201),'Бланк OLD 0.8 04'!$B$12:$K$200,2,0))),
IF(VLOOKUP($A594-COUNT('Шаг2.Бланк заказа NEW'!$B$19:$B$201)-COUNT('Бланк OLD 0.8 04'!$B$18:$B$200),'Бланк OLD 2.0 04 '!$B$16:$K$200,2,0)="","",VLOOKUP($A594-COUNT('Шаг2.Бланк заказа NEW'!$B$19:$B$201)-COUNT('Бланк OLD 0.8 04'!$B$18:$B$200),'Бланк OLD 2.0 04 '!$B$16:$K$200,2,0)))</f>
        <v/>
      </c>
      <c r="F594" s="147" t="str">
        <f ca="1">IFERROR(IFERROR(IF(VLOOKUP($A594,'Шаг2.Бланк заказа NEW'!$B$17:$N$201,3,0)="","",VLOOKUP($A594,'Шаг2.Бланк заказа NEW'!$B$17:$N$201,3,0)),
IF(VLOOKUP($A594-COUNT('Шаг2.Бланк заказа NEW'!$B$19:$B$201),'Бланк OLD 0.8 04'!$B$12:$K$200,3,0)="","",VLOOKUP($A594-COUNT('Шаг2.Бланк заказа NEW'!$B$19:$B$201),'Бланк OLD 0.8 04'!$B$12:$K$200,3,0))),
IF(VLOOKUP($A594-COUNT('Шаг2.Бланк заказа NEW'!$B$19:$B$201)-COUNT('Бланк OLD 0.8 04'!$B$18:$B$200),'Бланк OLD 2.0 04 '!$B$16:$K$200,3,0)="","",VLOOKUP($A594-COUNT('Шаг2.Бланк заказа NEW'!$B$19:$B$201)-COUNT('Бланк OLD 0.8 04'!$B$18:$B$200),'Бланк OLD 2.0 04 '!$B$16:$K$200,3,0)))</f>
        <v/>
      </c>
      <c r="G594" s="176" t="str">
        <f ca="1">IF(IF(R594="","",IF(R594=1,SUMIFS('Шаг1.Выбор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плиты'!C:Q,12,0)),1))))))=0,
R594,
IF(R594="","",IF(R594=1,SUMIFS('Шаг1.Выбор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плиты'!N:N,R594,'Шаг1.Выбор плиты'!M:M,SMALL(INDIRECT("мм"&amp;VLOOKUP(C594,'Шаг1.Выбор плиты'!C:Q,12,0)),1)))))))</f>
        <v/>
      </c>
      <c r="H594" s="177" t="str">
        <f ca="1">IF(IF(S594="","",IF(S594=1,SUMIFS('Шаг1.Выбор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плиты'!C:Q,12,0)),1))))))=0,
S594,
IF(S594="","",IF(S594=1,SUMIFS('Шаг1.Выбор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плиты'!N:N,S594,'Шаг1.Выбор плиты'!M:M,SMALL(INDIRECT("мм"&amp;VLOOKUP(C594,'Шаг1.Выбор плиты'!C:Q,12,0)),1)))))))</f>
        <v/>
      </c>
      <c r="I594" s="147" t="str">
        <f ca="1">IFERROR(IFERROR(IF(VLOOKUP($A594,'Шаг2.Бланк заказа NEW'!$B$17:$N$201,6,0)="","",VLOOKUP($A594,'Шаг2.Бланк заказа NEW'!$B$17:$N$201,6,0)),
IF(VLOOKUP($A594-COUNT('Шаг2.Бланк заказа NEW'!$B$19:$B$201),'Бланк OLD 0.8 04'!$B$12:$K$200,6,0)="","",VLOOKUP($A594-COUNT('Шаг2.Бланк заказа NEW'!$B$19:$B$201),'Бланк OLD 0.8 04'!$B$12:$K$200,6,0))),
IF(VLOOKUP($A594-COUNT('Шаг2.Бланк заказа NEW'!$B$19:$B$201)-COUNT('Бланк OLD 0.8 04'!$B$18:$B$200),'Бланк OLD 2.0 04 '!$B$16:$K$200,6,0)="","",VLOOKUP($A594-COUNT('Шаг2.Бланк заказа NEW'!$B$19:$B$201)-COUNT('Бланк OLD 0.8 04'!$B$18:$B$200),'Бланк OLD 2.0 04 '!$B$16:$K$200,6,0)))</f>
        <v/>
      </c>
      <c r="J594" s="177" t="str">
        <f ca="1">IF(IF(T594="","",IF(T594=1,SUMIFS('Шаг1.Выбор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плиты'!C:Q,12,0)),1))))))=0,
T594,
IF(T594="","",IF(T594=1,SUMIFS('Шаг1.Выбор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плиты'!N:N,T594,'Шаг1.Выбор плиты'!M:M,SMALL(INDIRECT("мм"&amp;VLOOKUP(C594,'Шаг1.Выбор плиты'!C:Q,12,0)),1)))))))</f>
        <v/>
      </c>
      <c r="K594" s="177" t="str">
        <f ca="1">IF(IF(U594="","",IF(U594=1,SUMIFS('Шаг1.Выбор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плиты'!C:Q,12,0)),1))))))=0,
U594,
IF(U594="","",IF(U594=1,SUMIFS('Шаг1.Выбор плиты'!$G:$G,'Шаг1.Выбор плиты'!J:J,"*"&amp;RIGHT(VLOOKUP(C594,'Шаг1.Выбор плиты'!C:Q,8,0),4),'Шаг1.Выбор плиты'!L:L,IF(MID(C594,1,6)="ЛДСП P","TM"&amp;MID(VLOOKUP(C594,'Шаг1.Выбор плиты'!C:Q,10,0),3,2),MID(VLOOKUP(C594,'Шаг1.Выбор плиты'!C:Q,10,0),1,2)),
'Шаг1.Выбор плиты'!N:N,1),IF(SUMIFS('Шаг1.Выбор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плиты'!C:Q,12,0)),1))=0,
IF(SUMIFS('Шаг1.Выбор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плиты'!C:Q,12,0)),2))=0,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плиты'!C:Q,12,0)),3)),
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плиты'!C:Q,12,0)),2))),
(SUMIFS('Шаг1.Выбор плиты'!$G:$G,'Шаг1.Выбор плиты'!J:J,"*"&amp;RIGHT(VLOOKUP(C594,'Шаг1.Выбор плиты'!C:Q,8,0),4),'Шаг1.Выбор плиты'!L:L,VLOOKUP(C594,'Шаг1.Выбор плиты'!C:Q,10,0),'Шаг1.Выбор плиты'!N:N,U594,'Шаг1.Выбор плиты'!M:M,SMALL(INDIRECT("мм"&amp;VLOOKUP(C594,'Шаг1.Выбор плиты'!C:Q,12,0)),1)))))))</f>
        <v/>
      </c>
      <c r="L594" s="147" t="str">
        <f ca="1">IFERROR(IFERROR(IF(VLOOKUP($A594,'Шаг2.Бланк заказа NEW'!$B$17:$N$201,9,0)="","",VLOOKUP($A594,'Шаг2.Бланк заказа NEW'!$B$17:$N$201,9,0)),
IF(VLOOKUP($A594-COUNT('Шаг2.Бланк заказа NEW'!$B$19:$B$201),'Бланк OLD 0.8 04'!$B$12:$K$200,9,0)="","",VLOOKUP($A594-COUNT('Шаг2.Бланк заказа NEW'!$B$19:$B$201),'Бланк OLD 0.8 04'!$B$12:$K$200,9,0))),
IF(VLOOKUP($A594-COUNT('Шаг2.Бланк заказа NEW'!$B$19:$B$201)-COUNT('Бланк OLD 0.8 04'!$B$18:$B$200),'Бланк OLD 2.0 04 '!$B$16:$K$200,9,0)="","",VLOOKUP($A594-COUNT('Шаг2.Бланк заказа NEW'!$B$19:$B$201)-COUNT('Бланк OLD 0.8 04'!$B$18:$B$200),'Бланк OLD 2.0 04 '!$B$16:$K$200,9,0)))</f>
        <v/>
      </c>
      <c r="M594" s="154" t="str">
        <f t="shared" ca="1" si="54"/>
        <v/>
      </c>
      <c r="N594" s="153" t="str">
        <f ca="1">IFERROR(IF(VLOOKUP($A594,'Шаг2.Бланк заказа NEW'!$B$17:$N$201,11,0)="","",VLOOKUP($A594,'Шаг2.Бланк заказа NEW'!$B$17:$N$201,11,0)),
"Нет")</f>
        <v/>
      </c>
      <c r="O594" s="147" t="str">
        <f ca="1">IFERROR(IF(VLOOKUP($A594,'Шаг2.Бланк заказа NEW'!$B$17:$N$201,11,0)="","",VLOOKUP($A594,'Шаг2.Бланк заказа NEW'!$B$17:$N$201,12,0)),
"Нет")</f>
        <v/>
      </c>
      <c r="P594" s="153" t="str">
        <f ca="1">IFERROR(IF(VLOOKUP($A594,'Шаг2.Бланк заказа NEW'!$B$17:$N$201,13,0)="","",VLOOKUP($A594,'Шаг2.Бланк заказа NEW'!$B$17:$N$201,13,0)),
"Нет")</f>
        <v/>
      </c>
      <c r="Q594" s="147" t="str">
        <f ca="1">IFERROR(IF(VLOOKUP($A594,'Шаг2.Бланк заказа NEW'!$B$17:$O$201,14,0)="","",VLOOKUP($A594,'Шаг2.Бланк заказа NEW'!$B$17:$O$201,14,0)),"")</f>
        <v/>
      </c>
      <c r="R594" s="147" t="str">
        <f ca="1">IFERROR(IFERROR(IF(VLOOKUP($A594,'Шаг2.Бланк заказа NEW'!$B$17:$N$201,4,0)="","",VLOOKUP($A594,'Шаг2.Бланк заказа NEW'!$B$17:$N$201,4,0)),
IF(VLOOKUP($A594-COUNT('Шаг2.Бланк заказа NEW'!$B$19:$B$201),'Бланк OLD 0.8 04'!$B$12:$K$200,4,0)&gt;0,0.8,
IF(VLOOKUP($A594-COUNT('Шаг2.Бланк заказа NEW'!$B$19:$B$201),'Бланк OLD 0.8 04'!$B$12:$K$200,5,0)&gt;0,0.4,""))),
IF(VLOOKUP($A594-COUNT('Шаг2.Бланк заказа NEW'!$B$19:$B$201)-COUNT('Бланк OLD 0.8 04'!$B$18:$B$200),'Бланк OLD 2.0 04 '!$B$16:$K$200,4,0)&gt;0,2,IF(VLOOKUP($A594-COUNT('Шаг2.Бланк заказа NEW'!$B$19:$B$201)-COUNT('Бланк OLD 0.8 04'!$B$18:$B$200),'Бланк OLD 2.0 04 '!$B$16:$K$200,5,0)&gt;0,0.4,"")))</f>
        <v/>
      </c>
      <c r="S594" s="147" t="str">
        <f ca="1">IFERROR(IFERROR(IF(VLOOKUP($A594,'Шаг2.Бланк заказа NEW'!$B$17:$N$201,5,0)="","",VLOOKUP($A594,'Шаг2.Бланк заказа NEW'!$B$17:$N$201,5,0)),
IF(VLOOKUP($A594-COUNT('Шаг2.Бланк заказа NEW'!$B$19:$B$201),'Бланк OLD 0.8 04'!$B$12:$K$200,4,0)&gt;1,0.8,
IF(VLOOKUP($A594-COUNT('Шаг2.Бланк заказа NEW'!$B$19:$B$201),'Бланк OLD 0.8 04'!$B$12:$K$200,5,0)&gt;1,0.4,
IF(AND(VLOOKUP($A594-COUNT('Шаг2.Бланк заказа NEW'!$B$19:$B$201),'Бланк OLD 0.8 04'!$B$12:$K$200,4,0)&gt;0,VLOOKUP($A594-COUNT('Шаг2.Бланк заказа NEW'!$B$19:$B$201),'Бланк OLD 0.8 04'!$B$12:$K$200,5,0)&gt;0),0.4,"")))),
IF(VLOOKUP($A594-COUNT('Шаг2.Бланк заказа NEW'!$B$19:$B$201)-COUNT('Бланк OLD 0.8 04'!$B$18:$B$200),'Бланк OLD 2.0 04 '!$B$16:$K$200,4,0)&gt;1,2,
IF(VLOOKUP($A594-COUNT('Шаг2.Бланк заказа NEW'!$B$19:$B$201)-COUNT('Бланк OLD 0.8 04'!$B$18:$B$200),'Бланк OLD 2.0 04 '!$B$16:$K$200,5,0)&gt;1,0.4,IF(AND(VLOOKUP($A594-COUNT('Шаг2.Бланк заказа NEW'!$B$19:$B$201)-COUNT('Бланк OLD 0.8 04'!$B$18:$B$200),'Бланк OLD 2.0 04 '!$B$16:$K$200,4,0)&gt;0,VLOOKUP($A594-COUNT('Шаг2.Бланк заказа NEW'!$B$19:$B$201)-COUNT('Бланк OLD 0.8 04'!$B$18:$B$200),'Бланк OLD 2.0 04 '!$B$16:$K$200,5,0)&gt;0),0.4,""))))</f>
        <v/>
      </c>
      <c r="T594" s="147" t="str">
        <f ca="1">IFERROR(IFERROR(IF(VLOOKUP($A594,'Шаг2.Бланк заказа NEW'!$B$17:$N$201,7,0)="","",VLOOKUP($A594,'Шаг2.Бланк заказа NEW'!$B$17:$N$201,7,0)),
IF(VLOOKUP($A594-COUNT('Шаг2.Бланк заказа NEW'!$B$19:$B$201),'Бланк OLD 0.8 04'!$B$12:$K$200,7,0)&gt;0,0.8,
IF(VLOOKUP($A594-COUNT('Шаг2.Бланк заказа NEW'!$B$19:$B$201),'Бланк OLD 0.8 04'!$B$12:$K$200,8,0)&gt;0,0.4,""))),
IF(VLOOKUP($A594-COUNT('Шаг2.Бланк заказа NEW'!$B$19:$B$201)-COUNT('Бланк OLD 0.8 04'!$B$18:$B$200),'Бланк OLD 2.0 04 '!$B$16:$K$200,7,0)&gt;0,2,IF(VLOOKUP($A594-COUNT('Шаг2.Бланк заказа NEW'!$B$19:$B$201)-COUNT('Бланк OLD 0.8 04'!$B$18:$B$200),'Бланк OLD 2.0 04 '!$B$16:$K$200,8,0)&gt;0,0.4,"")))</f>
        <v/>
      </c>
      <c r="U594" s="147" t="str">
        <f ca="1">IFERROR(IFERROR(IF(VLOOKUP($A594,'Шаг2.Бланк заказа NEW'!$B$17:$N$201,8,0)="","",VLOOKUP($A594,'Шаг2.Бланк заказа NEW'!$B$17:$N$201,8,0)),
IF(VLOOKUP($A594-COUNT('Шаг2.Бланк заказа NEW'!$B$19:$B$201),'Бланк OLD 0.8 04'!$B$12:$K$200,7,0)&gt;1,0.8,
IF(VLOOKUP($A594-COUNT('Шаг2.Бланк заказа NEW'!$B$19:$B$201),'Бланк OLD 0.8 04'!$B$12:$K$200,8,0)&gt;1,0.4,
IF(AND(VLOOKUP($A594-COUNT('Шаг2.Бланк заказа NEW'!$B$19:$B$201),'Бланк OLD 0.8 04'!$B$12:$K$200,7,0)&gt;0,VLOOKUP($A594-COUNT('Шаг2.Бланк заказа NEW'!$B$19:$B$201),'Бланк OLD 0.8 04'!$B$12:$K$200,8,0)&gt;0),0.4,"")))),
IF(VLOOKUP($A594-COUNT('Шаг2.Бланк заказа NEW'!$B$19:$B$201)-COUNT('Бланк OLD 0.8 04'!$B$18:$B$200),'Бланк OLD 2.0 04 '!$B$16:$K$200,7,0)&gt;1,2,
IF(VLOOKUP($A594-COUNT('Шаг2.Бланк заказа NEW'!$B$19:$B$201)-COUNT('Бланк OLD 0.8 04'!$B$18:$B$200),'Бланк OLD 2.0 04 '!$B$16:$K$200,8,0)&gt;1,0.4,
IF(AND(VLOOKUP($A594-COUNT('Шаг2.Бланк заказа NEW'!$B$19:$B$201)-COUNT('Бланк OLD 0.8 04'!$B$18:$B$200),'Бланк OLD 2.0 04 '!$B$16:$K$200,7,0)&gt;0,VLOOKUP($A594-COUNT('Шаг2.Бланк заказа NEW'!$B$19:$B$201)-COUNT('Бланк OLD 0.8 04'!$B$18:$B$200),'Бланк OLD 2.0 04 '!$B$16:$K$200,8,0)&gt;0),0.4,""))))</f>
        <v/>
      </c>
      <c r="V594" s="146" t="str">
        <f ca="1">IFERROR(VLOOKUP(C594,'Шаг1.Выбор плиты'!C:S,12,0),"")</f>
        <v/>
      </c>
      <c r="W594" s="146" t="str">
        <f ca="1">IFERROR(VLOOKUP(C594,'Шаг1.Выбор плиты'!C:S,8,0),"")</f>
        <v/>
      </c>
      <c r="X594" s="146" t="str">
        <f ca="1">IFERROR(VLOOKUP(C594,'Шаг1.Выбор плиты'!C:S,10,0),"")</f>
        <v/>
      </c>
      <c r="Y594" s="147" t="str">
        <f t="shared" ca="1" si="56"/>
        <v/>
      </c>
      <c r="AD594" s="147" t="str">
        <f t="shared" ca="1" si="53"/>
        <v/>
      </c>
      <c r="AE594" s="147" t="str">
        <f t="shared" ca="1" si="57"/>
        <v/>
      </c>
      <c r="AF594" s="25"/>
      <c r="AH594" s="147" t="str">
        <f ca="1">IF(C594="","",VLOOKUP(C594,'Шаг1.Выбор плиты'!C:Q,7,0))</f>
        <v/>
      </c>
      <c r="AI594" s="147" t="str">
        <f t="shared" ca="1" si="55"/>
        <v/>
      </c>
    </row>
    <row r="595" spans="1:35" x14ac:dyDescent="0.2">
      <c r="A595" s="151" t="str">
        <f ca="1">IF(C595="","",MAX($A$1:OFFSET(C595,-1,0))+1)</f>
        <v/>
      </c>
      <c r="B595" s="151" t="str">
        <f ca="1">IFERROR(IFERROR(IFERROR("Шаг2.Бланк заказа NEW №"&amp;VLOOKUP(A594+1,CHOOSE({1,2},'Шаг2.Бланк заказа NEW'!$B$19:$B$201,'Шаг2.Бланк заказа NEW'!$A$19:$A$201),1,0),
"Бланк OLD 0.8 04 №"&amp;VLOOKUP(A594+1-COUNT('Шаг2.Бланк заказа NEW'!$B$19:$B$201),CHOOSE({1,2},'Бланк OLD 0.8 04'!$B$18:$B$200,'Бланк OLD 0.8 04'!$A$18:$A$200),1,0)),
"Бланк OLD 2.0 04 №"&amp;VLOOKUP(A594+1-COUNT('Шаг2.Бланк заказа NEW'!$B$19:$B$201)-COUNT('Бланк OLD 0.8 04'!$B$18:$B$200),CHOOSE({1,2},'Бланк OLD 2.0 04 '!$B$18:$B$200,'Бланк OLD 2.0 04 '!$A$18:$A$200),1,0)),"")</f>
        <v/>
      </c>
      <c r="C595" s="152" t="str">
        <f ca="1">IFERROR(IFERROR(IFERROR(VLOOKUP(A594+1,CHOOSE({1,2},'Шаг2.Бланк заказа NEW'!$B$19:$B$201,'Шаг2.Бланк заказа NEW'!$A$19:$A$201),2,0),
VLOOKUP(A594+1-COUNT('Шаг2.Бланк заказа NEW'!$B$19:$B$201),CHOOSE({1,2},'Бланк OLD 0.8 04'!$B$18:$B$200,'Бланк OLD 0.8 04'!$A$18:$A$200),2,0)),
VLOOKUP(A594+1-COUNT('Шаг2.Бланк заказа NEW'!$B$19:$B$201)-COUNT('Бланк OLD 0.8 04'!$B$18:$B$200),CHOOSE({1,2},'Бланк OLD 2.0 04 '!$B$18:$B$200,'Бланк OLD 2.0 04 '!$A$18:$A$200),2,0)),"")</f>
        <v/>
      </c>
      <c r="D595" s="150" t="str">
        <f ca="1">IFERROR(VLOOKUP(C595,'Шаг1.Выбор плиты'!C:G,5,0),"")</f>
        <v/>
      </c>
      <c r="E595" s="147" t="str">
        <f ca="1">IFERROR(IFERROR(IF(VLOOKUP($A595,'Шаг2.Бланк заказа NEW'!$B$17:$N$201,2,0)="","",VLOOKUP($A595,'Шаг2.Бланк заказа NEW'!$B$17:$N$201,2,0)),
IF(VLOOKUP($A595-COUNT('Шаг2.Бланк заказа NEW'!$B$19:$B$201),'Бланк OLD 0.8 04'!$B$12:$K$200,2,0)="","",VLOOKUP($A595-COUNT('Шаг2.Бланк заказа NEW'!$B$19:$B$201),'Бланк OLD 0.8 04'!$B$12:$K$200,2,0))),
IF(VLOOKUP($A595-COUNT('Шаг2.Бланк заказа NEW'!$B$19:$B$201)-COUNT('Бланк OLD 0.8 04'!$B$18:$B$200),'Бланк OLD 2.0 04 '!$B$16:$K$200,2,0)="","",VLOOKUP($A595-COUNT('Шаг2.Бланк заказа NEW'!$B$19:$B$201)-COUNT('Бланк OLD 0.8 04'!$B$18:$B$200),'Бланк OLD 2.0 04 '!$B$16:$K$200,2,0)))</f>
        <v/>
      </c>
      <c r="F595" s="147" t="str">
        <f ca="1">IFERROR(IFERROR(IF(VLOOKUP($A595,'Шаг2.Бланк заказа NEW'!$B$17:$N$201,3,0)="","",VLOOKUP($A595,'Шаг2.Бланк заказа NEW'!$B$17:$N$201,3,0)),
IF(VLOOKUP($A595-COUNT('Шаг2.Бланк заказа NEW'!$B$19:$B$201),'Бланк OLD 0.8 04'!$B$12:$K$200,3,0)="","",VLOOKUP($A595-COUNT('Шаг2.Бланк заказа NEW'!$B$19:$B$201),'Бланк OLD 0.8 04'!$B$12:$K$200,3,0))),
IF(VLOOKUP($A595-COUNT('Шаг2.Бланк заказа NEW'!$B$19:$B$201)-COUNT('Бланк OLD 0.8 04'!$B$18:$B$200),'Бланк OLD 2.0 04 '!$B$16:$K$200,3,0)="","",VLOOKUP($A595-COUNT('Шаг2.Бланк заказа NEW'!$B$19:$B$201)-COUNT('Бланк OLD 0.8 04'!$B$18:$B$200),'Бланк OLD 2.0 04 '!$B$16:$K$200,3,0)))</f>
        <v/>
      </c>
      <c r="G595" s="176" t="str">
        <f ca="1">IF(IF(R595="","",IF(R595=1,SUMIFS('Шаг1.Выбор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плиты'!C:Q,12,0)),1))))))=0,
R595,
IF(R595="","",IF(R595=1,SUMIFS('Шаг1.Выбор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плиты'!N:N,R595,'Шаг1.Выбор плиты'!M:M,SMALL(INDIRECT("мм"&amp;VLOOKUP(C595,'Шаг1.Выбор плиты'!C:Q,12,0)),1)))))))</f>
        <v/>
      </c>
      <c r="H595" s="177" t="str">
        <f ca="1">IF(IF(S595="","",IF(S595=1,SUMIFS('Шаг1.Выбор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плиты'!C:Q,12,0)),1))))))=0,
S595,
IF(S595="","",IF(S595=1,SUMIFS('Шаг1.Выбор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плиты'!N:N,S595,'Шаг1.Выбор плиты'!M:M,SMALL(INDIRECT("мм"&amp;VLOOKUP(C595,'Шаг1.Выбор плиты'!C:Q,12,0)),1)))))))</f>
        <v/>
      </c>
      <c r="I595" s="147" t="str">
        <f ca="1">IFERROR(IFERROR(IF(VLOOKUP($A595,'Шаг2.Бланк заказа NEW'!$B$17:$N$201,6,0)="","",VLOOKUP($A595,'Шаг2.Бланк заказа NEW'!$B$17:$N$201,6,0)),
IF(VLOOKUP($A595-COUNT('Шаг2.Бланк заказа NEW'!$B$19:$B$201),'Бланк OLD 0.8 04'!$B$12:$K$200,6,0)="","",VLOOKUP($A595-COUNT('Шаг2.Бланк заказа NEW'!$B$19:$B$201),'Бланк OLD 0.8 04'!$B$12:$K$200,6,0))),
IF(VLOOKUP($A595-COUNT('Шаг2.Бланк заказа NEW'!$B$19:$B$201)-COUNT('Бланк OLD 0.8 04'!$B$18:$B$200),'Бланк OLD 2.0 04 '!$B$16:$K$200,6,0)="","",VLOOKUP($A595-COUNT('Шаг2.Бланк заказа NEW'!$B$19:$B$201)-COUNT('Бланк OLD 0.8 04'!$B$18:$B$200),'Бланк OLD 2.0 04 '!$B$16:$K$200,6,0)))</f>
        <v/>
      </c>
      <c r="J595" s="177" t="str">
        <f ca="1">IF(IF(T595="","",IF(T595=1,SUMIFS('Шаг1.Выбор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плиты'!C:Q,12,0)),1))))))=0,
T595,
IF(T595="","",IF(T595=1,SUMIFS('Шаг1.Выбор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плиты'!N:N,T595,'Шаг1.Выбор плиты'!M:M,SMALL(INDIRECT("мм"&amp;VLOOKUP(C595,'Шаг1.Выбор плиты'!C:Q,12,0)),1)))))))</f>
        <v/>
      </c>
      <c r="K595" s="177" t="str">
        <f ca="1">IF(IF(U595="","",IF(U595=1,SUMIFS('Шаг1.Выбор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плиты'!C:Q,12,0)),1))))))=0,
U595,
IF(U595="","",IF(U595=1,SUMIFS('Шаг1.Выбор плиты'!$G:$G,'Шаг1.Выбор плиты'!J:J,"*"&amp;RIGHT(VLOOKUP(C595,'Шаг1.Выбор плиты'!C:Q,8,0),4),'Шаг1.Выбор плиты'!L:L,IF(MID(C595,1,6)="ЛДСП P","TM"&amp;MID(VLOOKUP(C595,'Шаг1.Выбор плиты'!C:Q,10,0),3,2),MID(VLOOKUP(C595,'Шаг1.Выбор плиты'!C:Q,10,0),1,2)),
'Шаг1.Выбор плиты'!N:N,1),IF(SUMIFS('Шаг1.Выбор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плиты'!C:Q,12,0)),1))=0,
IF(SUMIFS('Шаг1.Выбор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плиты'!C:Q,12,0)),2))=0,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плиты'!C:Q,12,0)),3)),
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плиты'!C:Q,12,0)),2))),
(SUMIFS('Шаг1.Выбор плиты'!$G:$G,'Шаг1.Выбор плиты'!J:J,"*"&amp;RIGHT(VLOOKUP(C595,'Шаг1.Выбор плиты'!C:Q,8,0),4),'Шаг1.Выбор плиты'!L:L,VLOOKUP(C595,'Шаг1.Выбор плиты'!C:Q,10,0),'Шаг1.Выбор плиты'!N:N,U595,'Шаг1.Выбор плиты'!M:M,SMALL(INDIRECT("мм"&amp;VLOOKUP(C595,'Шаг1.Выбор плиты'!C:Q,12,0)),1)))))))</f>
        <v/>
      </c>
      <c r="L595" s="147" t="str">
        <f ca="1">IFERROR(IFERROR(IF(VLOOKUP($A595,'Шаг2.Бланк заказа NEW'!$B$17:$N$201,9,0)="","",VLOOKUP($A595,'Шаг2.Бланк заказа NEW'!$B$17:$N$201,9,0)),
IF(VLOOKUP($A595-COUNT('Шаг2.Бланк заказа NEW'!$B$19:$B$201),'Бланк OLD 0.8 04'!$B$12:$K$200,9,0)="","",VLOOKUP($A595-COUNT('Шаг2.Бланк заказа NEW'!$B$19:$B$201),'Бланк OLD 0.8 04'!$B$12:$K$200,9,0))),
IF(VLOOKUP($A595-COUNT('Шаг2.Бланк заказа NEW'!$B$19:$B$201)-COUNT('Бланк OLD 0.8 04'!$B$18:$B$200),'Бланк OLD 2.0 04 '!$B$16:$K$200,9,0)="","",VLOOKUP($A595-COUNT('Шаг2.Бланк заказа NEW'!$B$19:$B$201)-COUNT('Бланк OLD 0.8 04'!$B$18:$B$200),'Бланк OLD 2.0 04 '!$B$16:$K$200,9,0)))</f>
        <v/>
      </c>
      <c r="M595" s="154" t="str">
        <f t="shared" ca="1" si="54"/>
        <v/>
      </c>
      <c r="N595" s="153" t="str">
        <f ca="1">IFERROR(IF(VLOOKUP($A595,'Шаг2.Бланк заказа NEW'!$B$17:$N$201,11,0)="","",VLOOKUP($A595,'Шаг2.Бланк заказа NEW'!$B$17:$N$201,11,0)),
"Нет")</f>
        <v/>
      </c>
      <c r="O595" s="147" t="str">
        <f ca="1">IFERROR(IF(VLOOKUP($A595,'Шаг2.Бланк заказа NEW'!$B$17:$N$201,11,0)="","",VLOOKUP($A595,'Шаг2.Бланк заказа NEW'!$B$17:$N$201,12,0)),
"Нет")</f>
        <v/>
      </c>
      <c r="P595" s="153" t="str">
        <f ca="1">IFERROR(IF(VLOOKUP($A595,'Шаг2.Бланк заказа NEW'!$B$17:$N$201,13,0)="","",VLOOKUP($A595,'Шаг2.Бланк заказа NEW'!$B$17:$N$201,13,0)),
"Нет")</f>
        <v/>
      </c>
      <c r="Q595" s="147" t="str">
        <f ca="1">IFERROR(IF(VLOOKUP($A595,'Шаг2.Бланк заказа NEW'!$B$17:$O$201,14,0)="","",VLOOKUP($A595,'Шаг2.Бланк заказа NEW'!$B$17:$O$201,14,0)),"")</f>
        <v/>
      </c>
      <c r="R595" s="147" t="str">
        <f ca="1">IFERROR(IFERROR(IF(VLOOKUP($A595,'Шаг2.Бланк заказа NEW'!$B$17:$N$201,4,0)="","",VLOOKUP($A595,'Шаг2.Бланк заказа NEW'!$B$17:$N$201,4,0)),
IF(VLOOKUP($A595-COUNT('Шаг2.Бланк заказа NEW'!$B$19:$B$201),'Бланк OLD 0.8 04'!$B$12:$K$200,4,0)&gt;0,0.8,
IF(VLOOKUP($A595-COUNT('Шаг2.Бланк заказа NEW'!$B$19:$B$201),'Бланк OLD 0.8 04'!$B$12:$K$200,5,0)&gt;0,0.4,""))),
IF(VLOOKUP($A595-COUNT('Шаг2.Бланк заказа NEW'!$B$19:$B$201)-COUNT('Бланк OLD 0.8 04'!$B$18:$B$200),'Бланк OLD 2.0 04 '!$B$16:$K$200,4,0)&gt;0,2,IF(VLOOKUP($A595-COUNT('Шаг2.Бланк заказа NEW'!$B$19:$B$201)-COUNT('Бланк OLD 0.8 04'!$B$18:$B$200),'Бланк OLD 2.0 04 '!$B$16:$K$200,5,0)&gt;0,0.4,"")))</f>
        <v/>
      </c>
      <c r="S595" s="147" t="str">
        <f ca="1">IFERROR(IFERROR(IF(VLOOKUP($A595,'Шаг2.Бланк заказа NEW'!$B$17:$N$201,5,0)="","",VLOOKUP($A595,'Шаг2.Бланк заказа NEW'!$B$17:$N$201,5,0)),
IF(VLOOKUP($A595-COUNT('Шаг2.Бланк заказа NEW'!$B$19:$B$201),'Бланк OLD 0.8 04'!$B$12:$K$200,4,0)&gt;1,0.8,
IF(VLOOKUP($A595-COUNT('Шаг2.Бланк заказа NEW'!$B$19:$B$201),'Бланк OLD 0.8 04'!$B$12:$K$200,5,0)&gt;1,0.4,
IF(AND(VLOOKUP($A595-COUNT('Шаг2.Бланк заказа NEW'!$B$19:$B$201),'Бланк OLD 0.8 04'!$B$12:$K$200,4,0)&gt;0,VLOOKUP($A595-COUNT('Шаг2.Бланк заказа NEW'!$B$19:$B$201),'Бланк OLD 0.8 04'!$B$12:$K$200,5,0)&gt;0),0.4,"")))),
IF(VLOOKUP($A595-COUNT('Шаг2.Бланк заказа NEW'!$B$19:$B$201)-COUNT('Бланк OLD 0.8 04'!$B$18:$B$200),'Бланк OLD 2.0 04 '!$B$16:$K$200,4,0)&gt;1,2,
IF(VLOOKUP($A595-COUNT('Шаг2.Бланк заказа NEW'!$B$19:$B$201)-COUNT('Бланк OLD 0.8 04'!$B$18:$B$200),'Бланк OLD 2.0 04 '!$B$16:$K$200,5,0)&gt;1,0.4,IF(AND(VLOOKUP($A595-COUNT('Шаг2.Бланк заказа NEW'!$B$19:$B$201)-COUNT('Бланк OLD 0.8 04'!$B$18:$B$200),'Бланк OLD 2.0 04 '!$B$16:$K$200,4,0)&gt;0,VLOOKUP($A595-COUNT('Шаг2.Бланк заказа NEW'!$B$19:$B$201)-COUNT('Бланк OLD 0.8 04'!$B$18:$B$200),'Бланк OLD 2.0 04 '!$B$16:$K$200,5,0)&gt;0),0.4,""))))</f>
        <v/>
      </c>
      <c r="T595" s="147" t="str">
        <f ca="1">IFERROR(IFERROR(IF(VLOOKUP($A595,'Шаг2.Бланк заказа NEW'!$B$17:$N$201,7,0)="","",VLOOKUP($A595,'Шаг2.Бланк заказа NEW'!$B$17:$N$201,7,0)),
IF(VLOOKUP($A595-COUNT('Шаг2.Бланк заказа NEW'!$B$19:$B$201),'Бланк OLD 0.8 04'!$B$12:$K$200,7,0)&gt;0,0.8,
IF(VLOOKUP($A595-COUNT('Шаг2.Бланк заказа NEW'!$B$19:$B$201),'Бланк OLD 0.8 04'!$B$12:$K$200,8,0)&gt;0,0.4,""))),
IF(VLOOKUP($A595-COUNT('Шаг2.Бланк заказа NEW'!$B$19:$B$201)-COUNT('Бланк OLD 0.8 04'!$B$18:$B$200),'Бланк OLD 2.0 04 '!$B$16:$K$200,7,0)&gt;0,2,IF(VLOOKUP($A595-COUNT('Шаг2.Бланк заказа NEW'!$B$19:$B$201)-COUNT('Бланк OLD 0.8 04'!$B$18:$B$200),'Бланк OLD 2.0 04 '!$B$16:$K$200,8,0)&gt;0,0.4,"")))</f>
        <v/>
      </c>
      <c r="U595" s="147" t="str">
        <f ca="1">IFERROR(IFERROR(IF(VLOOKUP($A595,'Шаг2.Бланк заказа NEW'!$B$17:$N$201,8,0)="","",VLOOKUP($A595,'Шаг2.Бланк заказа NEW'!$B$17:$N$201,8,0)),
IF(VLOOKUP($A595-COUNT('Шаг2.Бланк заказа NEW'!$B$19:$B$201),'Бланк OLD 0.8 04'!$B$12:$K$200,7,0)&gt;1,0.8,
IF(VLOOKUP($A595-COUNT('Шаг2.Бланк заказа NEW'!$B$19:$B$201),'Бланк OLD 0.8 04'!$B$12:$K$200,8,0)&gt;1,0.4,
IF(AND(VLOOKUP($A595-COUNT('Шаг2.Бланк заказа NEW'!$B$19:$B$201),'Бланк OLD 0.8 04'!$B$12:$K$200,7,0)&gt;0,VLOOKUP($A595-COUNT('Шаг2.Бланк заказа NEW'!$B$19:$B$201),'Бланк OLD 0.8 04'!$B$12:$K$200,8,0)&gt;0),0.4,"")))),
IF(VLOOKUP($A595-COUNT('Шаг2.Бланк заказа NEW'!$B$19:$B$201)-COUNT('Бланк OLD 0.8 04'!$B$18:$B$200),'Бланк OLD 2.0 04 '!$B$16:$K$200,7,0)&gt;1,2,
IF(VLOOKUP($A595-COUNT('Шаг2.Бланк заказа NEW'!$B$19:$B$201)-COUNT('Бланк OLD 0.8 04'!$B$18:$B$200),'Бланк OLD 2.0 04 '!$B$16:$K$200,8,0)&gt;1,0.4,
IF(AND(VLOOKUP($A595-COUNT('Шаг2.Бланк заказа NEW'!$B$19:$B$201)-COUNT('Бланк OLD 0.8 04'!$B$18:$B$200),'Бланк OLD 2.0 04 '!$B$16:$K$200,7,0)&gt;0,VLOOKUP($A595-COUNT('Шаг2.Бланк заказа NEW'!$B$19:$B$201)-COUNT('Бланк OLD 0.8 04'!$B$18:$B$200),'Бланк OLD 2.0 04 '!$B$16:$K$200,8,0)&gt;0),0.4,""))))</f>
        <v/>
      </c>
      <c r="V595" s="146" t="str">
        <f ca="1">IFERROR(VLOOKUP(C595,'Шаг1.Выбор плиты'!C:S,12,0),"")</f>
        <v/>
      </c>
      <c r="W595" s="146" t="str">
        <f ca="1">IFERROR(VLOOKUP(C595,'Шаг1.Выбор плиты'!C:S,8,0),"")</f>
        <v/>
      </c>
      <c r="X595" s="146" t="str">
        <f ca="1">IFERROR(VLOOKUP(C595,'Шаг1.Выбор плиты'!C:S,10,0),"")</f>
        <v/>
      </c>
      <c r="Y595" s="147" t="str">
        <f t="shared" ca="1" si="56"/>
        <v/>
      </c>
      <c r="AD595" s="147" t="str">
        <f t="shared" ca="1" si="53"/>
        <v/>
      </c>
      <c r="AE595" s="147" t="str">
        <f t="shared" ca="1" si="57"/>
        <v/>
      </c>
      <c r="AF595" s="25"/>
      <c r="AH595" s="147" t="str">
        <f ca="1">IF(C595="","",VLOOKUP(C595,'Шаг1.Выбор плиты'!C:Q,7,0))</f>
        <v/>
      </c>
      <c r="AI595" s="147" t="str">
        <f t="shared" ca="1" si="55"/>
        <v/>
      </c>
    </row>
    <row r="596" spans="1:35" x14ac:dyDescent="0.2">
      <c r="A596" s="151" t="str">
        <f ca="1">IF(C596="","",MAX($A$1:OFFSET(C596,-1,0))+1)</f>
        <v/>
      </c>
      <c r="B596" s="151" t="str">
        <f ca="1">IFERROR(IFERROR(IFERROR("Шаг2.Бланк заказа NEW №"&amp;VLOOKUP(A595+1,CHOOSE({1,2},'Шаг2.Бланк заказа NEW'!$B$19:$B$201,'Шаг2.Бланк заказа NEW'!$A$19:$A$201),1,0),
"Бланк OLD 0.8 04 №"&amp;VLOOKUP(A595+1-COUNT('Шаг2.Бланк заказа NEW'!$B$19:$B$201),CHOOSE({1,2},'Бланк OLD 0.8 04'!$B$18:$B$200,'Бланк OLD 0.8 04'!$A$18:$A$200),1,0)),
"Бланк OLD 2.0 04 №"&amp;VLOOKUP(A595+1-COUNT('Шаг2.Бланк заказа NEW'!$B$19:$B$201)-COUNT('Бланк OLD 0.8 04'!$B$18:$B$200),CHOOSE({1,2},'Бланк OLD 2.0 04 '!$B$18:$B$200,'Бланк OLD 2.0 04 '!$A$18:$A$200),1,0)),"")</f>
        <v/>
      </c>
      <c r="C596" s="152" t="str">
        <f ca="1">IFERROR(IFERROR(IFERROR(VLOOKUP(A595+1,CHOOSE({1,2},'Шаг2.Бланк заказа NEW'!$B$19:$B$201,'Шаг2.Бланк заказа NEW'!$A$19:$A$201),2,0),
VLOOKUP(A595+1-COUNT('Шаг2.Бланк заказа NEW'!$B$19:$B$201),CHOOSE({1,2},'Бланк OLD 0.8 04'!$B$18:$B$200,'Бланк OLD 0.8 04'!$A$18:$A$200),2,0)),
VLOOKUP(A595+1-COUNT('Шаг2.Бланк заказа NEW'!$B$19:$B$201)-COUNT('Бланк OLD 0.8 04'!$B$18:$B$200),CHOOSE({1,2},'Бланк OLD 2.0 04 '!$B$18:$B$200,'Бланк OLD 2.0 04 '!$A$18:$A$200),2,0)),"")</f>
        <v/>
      </c>
      <c r="D596" s="150" t="str">
        <f ca="1">IFERROR(VLOOKUP(C596,'Шаг1.Выбор плиты'!C:G,5,0),"")</f>
        <v/>
      </c>
      <c r="E596" s="147" t="str">
        <f ca="1">IFERROR(IFERROR(IF(VLOOKUP($A596,'Шаг2.Бланк заказа NEW'!$B$17:$N$201,2,0)="","",VLOOKUP($A596,'Шаг2.Бланк заказа NEW'!$B$17:$N$201,2,0)),
IF(VLOOKUP($A596-COUNT('Шаг2.Бланк заказа NEW'!$B$19:$B$201),'Бланк OLD 0.8 04'!$B$12:$K$200,2,0)="","",VLOOKUP($A596-COUNT('Шаг2.Бланк заказа NEW'!$B$19:$B$201),'Бланк OLD 0.8 04'!$B$12:$K$200,2,0))),
IF(VLOOKUP($A596-COUNT('Шаг2.Бланк заказа NEW'!$B$19:$B$201)-COUNT('Бланк OLD 0.8 04'!$B$18:$B$200),'Бланк OLD 2.0 04 '!$B$16:$K$200,2,0)="","",VLOOKUP($A596-COUNT('Шаг2.Бланк заказа NEW'!$B$19:$B$201)-COUNT('Бланк OLD 0.8 04'!$B$18:$B$200),'Бланк OLD 2.0 04 '!$B$16:$K$200,2,0)))</f>
        <v/>
      </c>
      <c r="F596" s="147" t="str">
        <f ca="1">IFERROR(IFERROR(IF(VLOOKUP($A596,'Шаг2.Бланк заказа NEW'!$B$17:$N$201,3,0)="","",VLOOKUP($A596,'Шаг2.Бланк заказа NEW'!$B$17:$N$201,3,0)),
IF(VLOOKUP($A596-COUNT('Шаг2.Бланк заказа NEW'!$B$19:$B$201),'Бланк OLD 0.8 04'!$B$12:$K$200,3,0)="","",VLOOKUP($A596-COUNT('Шаг2.Бланк заказа NEW'!$B$19:$B$201),'Бланк OLD 0.8 04'!$B$12:$K$200,3,0))),
IF(VLOOKUP($A596-COUNT('Шаг2.Бланк заказа NEW'!$B$19:$B$201)-COUNT('Бланк OLD 0.8 04'!$B$18:$B$200),'Бланк OLD 2.0 04 '!$B$16:$K$200,3,0)="","",VLOOKUP($A596-COUNT('Шаг2.Бланк заказа NEW'!$B$19:$B$201)-COUNT('Бланк OLD 0.8 04'!$B$18:$B$200),'Бланк OLD 2.0 04 '!$B$16:$K$200,3,0)))</f>
        <v/>
      </c>
      <c r="G596" s="176" t="str">
        <f ca="1">IF(IF(R596="","",IF(R596=1,SUMIFS('Шаг1.Выбор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плиты'!C:Q,12,0)),1))))))=0,
R596,
IF(R596="","",IF(R596=1,SUMIFS('Шаг1.Выбор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плиты'!N:N,R596,'Шаг1.Выбор плиты'!M:M,SMALL(INDIRECT("мм"&amp;VLOOKUP(C596,'Шаг1.Выбор плиты'!C:Q,12,0)),1)))))))</f>
        <v/>
      </c>
      <c r="H596" s="177" t="str">
        <f ca="1">IF(IF(S596="","",IF(S596=1,SUMIFS('Шаг1.Выбор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плиты'!C:Q,12,0)),1))))))=0,
S596,
IF(S596="","",IF(S596=1,SUMIFS('Шаг1.Выбор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плиты'!N:N,S596,'Шаг1.Выбор плиты'!M:M,SMALL(INDIRECT("мм"&amp;VLOOKUP(C596,'Шаг1.Выбор плиты'!C:Q,12,0)),1)))))))</f>
        <v/>
      </c>
      <c r="I596" s="147" t="str">
        <f ca="1">IFERROR(IFERROR(IF(VLOOKUP($A596,'Шаг2.Бланк заказа NEW'!$B$17:$N$201,6,0)="","",VLOOKUP($A596,'Шаг2.Бланк заказа NEW'!$B$17:$N$201,6,0)),
IF(VLOOKUP($A596-COUNT('Шаг2.Бланк заказа NEW'!$B$19:$B$201),'Бланк OLD 0.8 04'!$B$12:$K$200,6,0)="","",VLOOKUP($A596-COUNT('Шаг2.Бланк заказа NEW'!$B$19:$B$201),'Бланк OLD 0.8 04'!$B$12:$K$200,6,0))),
IF(VLOOKUP($A596-COUNT('Шаг2.Бланк заказа NEW'!$B$19:$B$201)-COUNT('Бланк OLD 0.8 04'!$B$18:$B$200),'Бланк OLD 2.0 04 '!$B$16:$K$200,6,0)="","",VLOOKUP($A596-COUNT('Шаг2.Бланк заказа NEW'!$B$19:$B$201)-COUNT('Бланк OLD 0.8 04'!$B$18:$B$200),'Бланк OLD 2.0 04 '!$B$16:$K$200,6,0)))</f>
        <v/>
      </c>
      <c r="J596" s="177" t="str">
        <f ca="1">IF(IF(T596="","",IF(T596=1,SUMIFS('Шаг1.Выбор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плиты'!C:Q,12,0)),1))))))=0,
T596,
IF(T596="","",IF(T596=1,SUMIFS('Шаг1.Выбор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плиты'!N:N,T596,'Шаг1.Выбор плиты'!M:M,SMALL(INDIRECT("мм"&amp;VLOOKUP(C596,'Шаг1.Выбор плиты'!C:Q,12,0)),1)))))))</f>
        <v/>
      </c>
      <c r="K596" s="177" t="str">
        <f ca="1">IF(IF(U596="","",IF(U596=1,SUMIFS('Шаг1.Выбор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плиты'!C:Q,12,0)),1))))))=0,
U596,
IF(U596="","",IF(U596=1,SUMIFS('Шаг1.Выбор плиты'!$G:$G,'Шаг1.Выбор плиты'!J:J,"*"&amp;RIGHT(VLOOKUP(C596,'Шаг1.Выбор плиты'!C:Q,8,0),4),'Шаг1.Выбор плиты'!L:L,IF(MID(C596,1,6)="ЛДСП P","TM"&amp;MID(VLOOKUP(C596,'Шаг1.Выбор плиты'!C:Q,10,0),3,2),MID(VLOOKUP(C596,'Шаг1.Выбор плиты'!C:Q,10,0),1,2)),
'Шаг1.Выбор плиты'!N:N,1),IF(SUMIFS('Шаг1.Выбор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плиты'!C:Q,12,0)),1))=0,
IF(SUMIFS('Шаг1.Выбор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плиты'!C:Q,12,0)),2))=0,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плиты'!C:Q,12,0)),3)),
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плиты'!C:Q,12,0)),2))),
(SUMIFS('Шаг1.Выбор плиты'!$G:$G,'Шаг1.Выбор плиты'!J:J,"*"&amp;RIGHT(VLOOKUP(C596,'Шаг1.Выбор плиты'!C:Q,8,0),4),'Шаг1.Выбор плиты'!L:L,VLOOKUP(C596,'Шаг1.Выбор плиты'!C:Q,10,0),'Шаг1.Выбор плиты'!N:N,U596,'Шаг1.Выбор плиты'!M:M,SMALL(INDIRECT("мм"&amp;VLOOKUP(C596,'Шаг1.Выбор плиты'!C:Q,12,0)),1)))))))</f>
        <v/>
      </c>
      <c r="L596" s="147" t="str">
        <f ca="1">IFERROR(IFERROR(IF(VLOOKUP($A596,'Шаг2.Бланк заказа NEW'!$B$17:$N$201,9,0)="","",VLOOKUP($A596,'Шаг2.Бланк заказа NEW'!$B$17:$N$201,9,0)),
IF(VLOOKUP($A596-COUNT('Шаг2.Бланк заказа NEW'!$B$19:$B$201),'Бланк OLD 0.8 04'!$B$12:$K$200,9,0)="","",VLOOKUP($A596-COUNT('Шаг2.Бланк заказа NEW'!$B$19:$B$201),'Бланк OLD 0.8 04'!$B$12:$K$200,9,0))),
IF(VLOOKUP($A596-COUNT('Шаг2.Бланк заказа NEW'!$B$19:$B$201)-COUNT('Бланк OLD 0.8 04'!$B$18:$B$200),'Бланк OLD 2.0 04 '!$B$16:$K$200,9,0)="","",VLOOKUP($A596-COUNT('Шаг2.Бланк заказа NEW'!$B$19:$B$201)-COUNT('Бланк OLD 0.8 04'!$B$18:$B$200),'Бланк OLD 2.0 04 '!$B$16:$K$200,9,0)))</f>
        <v/>
      </c>
      <c r="M596" s="154" t="str">
        <f t="shared" ca="1" si="54"/>
        <v/>
      </c>
      <c r="N596" s="153" t="str">
        <f ca="1">IFERROR(IF(VLOOKUP($A596,'Шаг2.Бланк заказа NEW'!$B$17:$N$201,11,0)="","",VLOOKUP($A596,'Шаг2.Бланк заказа NEW'!$B$17:$N$201,11,0)),
"Нет")</f>
        <v/>
      </c>
      <c r="O596" s="147" t="str">
        <f ca="1">IFERROR(IF(VLOOKUP($A596,'Шаг2.Бланк заказа NEW'!$B$17:$N$201,11,0)="","",VLOOKUP($A596,'Шаг2.Бланк заказа NEW'!$B$17:$N$201,12,0)),
"Нет")</f>
        <v/>
      </c>
      <c r="P596" s="153" t="str">
        <f ca="1">IFERROR(IF(VLOOKUP($A596,'Шаг2.Бланк заказа NEW'!$B$17:$N$201,13,0)="","",VLOOKUP($A596,'Шаг2.Бланк заказа NEW'!$B$17:$N$201,13,0)),
"Нет")</f>
        <v/>
      </c>
      <c r="Q596" s="147" t="str">
        <f ca="1">IFERROR(IF(VLOOKUP($A596,'Шаг2.Бланк заказа NEW'!$B$17:$O$201,14,0)="","",VLOOKUP($A596,'Шаг2.Бланк заказа NEW'!$B$17:$O$201,14,0)),"")</f>
        <v/>
      </c>
      <c r="R596" s="147" t="str">
        <f ca="1">IFERROR(IFERROR(IF(VLOOKUP($A596,'Шаг2.Бланк заказа NEW'!$B$17:$N$201,4,0)="","",VLOOKUP($A596,'Шаг2.Бланк заказа NEW'!$B$17:$N$201,4,0)),
IF(VLOOKUP($A596-COUNT('Шаг2.Бланк заказа NEW'!$B$19:$B$201),'Бланк OLD 0.8 04'!$B$12:$K$200,4,0)&gt;0,0.8,
IF(VLOOKUP($A596-COUNT('Шаг2.Бланк заказа NEW'!$B$19:$B$201),'Бланк OLD 0.8 04'!$B$12:$K$200,5,0)&gt;0,0.4,""))),
IF(VLOOKUP($A596-COUNT('Шаг2.Бланк заказа NEW'!$B$19:$B$201)-COUNT('Бланк OLD 0.8 04'!$B$18:$B$200),'Бланк OLD 2.0 04 '!$B$16:$K$200,4,0)&gt;0,2,IF(VLOOKUP($A596-COUNT('Шаг2.Бланк заказа NEW'!$B$19:$B$201)-COUNT('Бланк OLD 0.8 04'!$B$18:$B$200),'Бланк OLD 2.0 04 '!$B$16:$K$200,5,0)&gt;0,0.4,"")))</f>
        <v/>
      </c>
      <c r="S596" s="147" t="str">
        <f ca="1">IFERROR(IFERROR(IF(VLOOKUP($A596,'Шаг2.Бланк заказа NEW'!$B$17:$N$201,5,0)="","",VLOOKUP($A596,'Шаг2.Бланк заказа NEW'!$B$17:$N$201,5,0)),
IF(VLOOKUP($A596-COUNT('Шаг2.Бланк заказа NEW'!$B$19:$B$201),'Бланк OLD 0.8 04'!$B$12:$K$200,4,0)&gt;1,0.8,
IF(VLOOKUP($A596-COUNT('Шаг2.Бланк заказа NEW'!$B$19:$B$201),'Бланк OLD 0.8 04'!$B$12:$K$200,5,0)&gt;1,0.4,
IF(AND(VLOOKUP($A596-COUNT('Шаг2.Бланк заказа NEW'!$B$19:$B$201),'Бланк OLD 0.8 04'!$B$12:$K$200,4,0)&gt;0,VLOOKUP($A596-COUNT('Шаг2.Бланк заказа NEW'!$B$19:$B$201),'Бланк OLD 0.8 04'!$B$12:$K$200,5,0)&gt;0),0.4,"")))),
IF(VLOOKUP($A596-COUNT('Шаг2.Бланк заказа NEW'!$B$19:$B$201)-COUNT('Бланк OLD 0.8 04'!$B$18:$B$200),'Бланк OLD 2.0 04 '!$B$16:$K$200,4,0)&gt;1,2,
IF(VLOOKUP($A596-COUNT('Шаг2.Бланк заказа NEW'!$B$19:$B$201)-COUNT('Бланк OLD 0.8 04'!$B$18:$B$200),'Бланк OLD 2.0 04 '!$B$16:$K$200,5,0)&gt;1,0.4,IF(AND(VLOOKUP($A596-COUNT('Шаг2.Бланк заказа NEW'!$B$19:$B$201)-COUNT('Бланк OLD 0.8 04'!$B$18:$B$200),'Бланк OLD 2.0 04 '!$B$16:$K$200,4,0)&gt;0,VLOOKUP($A596-COUNT('Шаг2.Бланк заказа NEW'!$B$19:$B$201)-COUNT('Бланк OLD 0.8 04'!$B$18:$B$200),'Бланк OLD 2.0 04 '!$B$16:$K$200,5,0)&gt;0),0.4,""))))</f>
        <v/>
      </c>
      <c r="T596" s="147" t="str">
        <f ca="1">IFERROR(IFERROR(IF(VLOOKUP($A596,'Шаг2.Бланк заказа NEW'!$B$17:$N$201,7,0)="","",VLOOKUP($A596,'Шаг2.Бланк заказа NEW'!$B$17:$N$201,7,0)),
IF(VLOOKUP($A596-COUNT('Шаг2.Бланк заказа NEW'!$B$19:$B$201),'Бланк OLD 0.8 04'!$B$12:$K$200,7,0)&gt;0,0.8,
IF(VLOOKUP($A596-COUNT('Шаг2.Бланк заказа NEW'!$B$19:$B$201),'Бланк OLD 0.8 04'!$B$12:$K$200,8,0)&gt;0,0.4,""))),
IF(VLOOKUP($A596-COUNT('Шаг2.Бланк заказа NEW'!$B$19:$B$201)-COUNT('Бланк OLD 0.8 04'!$B$18:$B$200),'Бланк OLD 2.0 04 '!$B$16:$K$200,7,0)&gt;0,2,IF(VLOOKUP($A596-COUNT('Шаг2.Бланк заказа NEW'!$B$19:$B$201)-COUNT('Бланк OLD 0.8 04'!$B$18:$B$200),'Бланк OLD 2.0 04 '!$B$16:$K$200,8,0)&gt;0,0.4,"")))</f>
        <v/>
      </c>
      <c r="U596" s="147" t="str">
        <f ca="1">IFERROR(IFERROR(IF(VLOOKUP($A596,'Шаг2.Бланк заказа NEW'!$B$17:$N$201,8,0)="","",VLOOKUP($A596,'Шаг2.Бланк заказа NEW'!$B$17:$N$201,8,0)),
IF(VLOOKUP($A596-COUNT('Шаг2.Бланк заказа NEW'!$B$19:$B$201),'Бланк OLD 0.8 04'!$B$12:$K$200,7,0)&gt;1,0.8,
IF(VLOOKUP($A596-COUNT('Шаг2.Бланк заказа NEW'!$B$19:$B$201),'Бланк OLD 0.8 04'!$B$12:$K$200,8,0)&gt;1,0.4,
IF(AND(VLOOKUP($A596-COUNT('Шаг2.Бланк заказа NEW'!$B$19:$B$201),'Бланк OLD 0.8 04'!$B$12:$K$200,7,0)&gt;0,VLOOKUP($A596-COUNT('Шаг2.Бланк заказа NEW'!$B$19:$B$201),'Бланк OLD 0.8 04'!$B$12:$K$200,8,0)&gt;0),0.4,"")))),
IF(VLOOKUP($A596-COUNT('Шаг2.Бланк заказа NEW'!$B$19:$B$201)-COUNT('Бланк OLD 0.8 04'!$B$18:$B$200),'Бланк OLD 2.0 04 '!$B$16:$K$200,7,0)&gt;1,2,
IF(VLOOKUP($A596-COUNT('Шаг2.Бланк заказа NEW'!$B$19:$B$201)-COUNT('Бланк OLD 0.8 04'!$B$18:$B$200),'Бланк OLD 2.0 04 '!$B$16:$K$200,8,0)&gt;1,0.4,
IF(AND(VLOOKUP($A596-COUNT('Шаг2.Бланк заказа NEW'!$B$19:$B$201)-COUNT('Бланк OLD 0.8 04'!$B$18:$B$200),'Бланк OLD 2.0 04 '!$B$16:$K$200,7,0)&gt;0,VLOOKUP($A596-COUNT('Шаг2.Бланк заказа NEW'!$B$19:$B$201)-COUNT('Бланк OLD 0.8 04'!$B$18:$B$200),'Бланк OLD 2.0 04 '!$B$16:$K$200,8,0)&gt;0),0.4,""))))</f>
        <v/>
      </c>
      <c r="V596" s="146" t="str">
        <f ca="1">IFERROR(VLOOKUP(C596,'Шаг1.Выбор плиты'!C:S,12,0),"")</f>
        <v/>
      </c>
      <c r="W596" s="146" t="str">
        <f ca="1">IFERROR(VLOOKUP(C596,'Шаг1.Выбор плиты'!C:S,8,0),"")</f>
        <v/>
      </c>
      <c r="X596" s="146" t="str">
        <f ca="1">IFERROR(VLOOKUP(C596,'Шаг1.Выбор плиты'!C:S,10,0),"")</f>
        <v/>
      </c>
      <c r="Y596" s="147" t="str">
        <f t="shared" ca="1" si="56"/>
        <v/>
      </c>
      <c r="AD596" s="147" t="str">
        <f t="shared" ca="1" si="53"/>
        <v/>
      </c>
      <c r="AE596" s="147" t="str">
        <f t="shared" ca="1" si="57"/>
        <v/>
      </c>
      <c r="AF596" s="25"/>
      <c r="AH596" s="147" t="str">
        <f ca="1">IF(C596="","",VLOOKUP(C596,'Шаг1.Выбор плиты'!C:Q,7,0))</f>
        <v/>
      </c>
      <c r="AI596" s="147" t="str">
        <f t="shared" ca="1" si="55"/>
        <v/>
      </c>
    </row>
    <row r="597" spans="1:35" x14ac:dyDescent="0.2">
      <c r="A597" s="151" t="str">
        <f ca="1">IF(C597="","",MAX($A$1:OFFSET(C597,-1,0))+1)</f>
        <v/>
      </c>
      <c r="B597" s="151" t="str">
        <f ca="1">IFERROR(IFERROR(IFERROR("Шаг2.Бланк заказа NEW №"&amp;VLOOKUP(A596+1,CHOOSE({1,2},'Шаг2.Бланк заказа NEW'!$B$19:$B$201,'Шаг2.Бланк заказа NEW'!$A$19:$A$201),1,0),
"Бланк OLD 0.8 04 №"&amp;VLOOKUP(A596+1-COUNT('Шаг2.Бланк заказа NEW'!$B$19:$B$201),CHOOSE({1,2},'Бланк OLD 0.8 04'!$B$18:$B$200,'Бланк OLD 0.8 04'!$A$18:$A$200),1,0)),
"Бланк OLD 2.0 04 №"&amp;VLOOKUP(A596+1-COUNT('Шаг2.Бланк заказа NEW'!$B$19:$B$201)-COUNT('Бланк OLD 0.8 04'!$B$18:$B$200),CHOOSE({1,2},'Бланк OLD 2.0 04 '!$B$18:$B$200,'Бланк OLD 2.0 04 '!$A$18:$A$200),1,0)),"")</f>
        <v/>
      </c>
      <c r="C597" s="152" t="str">
        <f ca="1">IFERROR(IFERROR(IFERROR(VLOOKUP(A596+1,CHOOSE({1,2},'Шаг2.Бланк заказа NEW'!$B$19:$B$201,'Шаг2.Бланк заказа NEW'!$A$19:$A$201),2,0),
VLOOKUP(A596+1-COUNT('Шаг2.Бланк заказа NEW'!$B$19:$B$201),CHOOSE({1,2},'Бланк OLD 0.8 04'!$B$18:$B$200,'Бланк OLD 0.8 04'!$A$18:$A$200),2,0)),
VLOOKUP(A596+1-COUNT('Шаг2.Бланк заказа NEW'!$B$19:$B$201)-COUNT('Бланк OLD 0.8 04'!$B$18:$B$200),CHOOSE({1,2},'Бланк OLD 2.0 04 '!$B$18:$B$200,'Бланк OLD 2.0 04 '!$A$18:$A$200),2,0)),"")</f>
        <v/>
      </c>
      <c r="D597" s="150" t="str">
        <f ca="1">IFERROR(VLOOKUP(C597,'Шаг1.Выбор плиты'!C:G,5,0),"")</f>
        <v/>
      </c>
      <c r="E597" s="147" t="str">
        <f ca="1">IFERROR(IFERROR(IF(VLOOKUP($A597,'Шаг2.Бланк заказа NEW'!$B$17:$N$201,2,0)="","",VLOOKUP($A597,'Шаг2.Бланк заказа NEW'!$B$17:$N$201,2,0)),
IF(VLOOKUP($A597-COUNT('Шаг2.Бланк заказа NEW'!$B$19:$B$201),'Бланк OLD 0.8 04'!$B$12:$K$200,2,0)="","",VLOOKUP($A597-COUNT('Шаг2.Бланк заказа NEW'!$B$19:$B$201),'Бланк OLD 0.8 04'!$B$12:$K$200,2,0))),
IF(VLOOKUP($A597-COUNT('Шаг2.Бланк заказа NEW'!$B$19:$B$201)-COUNT('Бланк OLD 0.8 04'!$B$18:$B$200),'Бланк OLD 2.0 04 '!$B$16:$K$200,2,0)="","",VLOOKUP($A597-COUNT('Шаг2.Бланк заказа NEW'!$B$19:$B$201)-COUNT('Бланк OLD 0.8 04'!$B$18:$B$200),'Бланк OLD 2.0 04 '!$B$16:$K$200,2,0)))</f>
        <v/>
      </c>
      <c r="F597" s="147" t="str">
        <f ca="1">IFERROR(IFERROR(IF(VLOOKUP($A597,'Шаг2.Бланк заказа NEW'!$B$17:$N$201,3,0)="","",VLOOKUP($A597,'Шаг2.Бланк заказа NEW'!$B$17:$N$201,3,0)),
IF(VLOOKUP($A597-COUNT('Шаг2.Бланк заказа NEW'!$B$19:$B$201),'Бланк OLD 0.8 04'!$B$12:$K$200,3,0)="","",VLOOKUP($A597-COUNT('Шаг2.Бланк заказа NEW'!$B$19:$B$201),'Бланк OLD 0.8 04'!$B$12:$K$200,3,0))),
IF(VLOOKUP($A597-COUNT('Шаг2.Бланк заказа NEW'!$B$19:$B$201)-COUNT('Бланк OLD 0.8 04'!$B$18:$B$200),'Бланк OLD 2.0 04 '!$B$16:$K$200,3,0)="","",VLOOKUP($A597-COUNT('Шаг2.Бланк заказа NEW'!$B$19:$B$201)-COUNT('Бланк OLD 0.8 04'!$B$18:$B$200),'Бланк OLD 2.0 04 '!$B$16:$K$200,3,0)))</f>
        <v/>
      </c>
      <c r="G597" s="176" t="str">
        <f ca="1">IF(IF(R597="","",IF(R597=1,SUMIFS('Шаг1.Выбор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плиты'!C:Q,12,0)),1))))))=0,
R597,
IF(R597="","",IF(R597=1,SUMIFS('Шаг1.Выбор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плиты'!N:N,R597,'Шаг1.Выбор плиты'!M:M,SMALL(INDIRECT("мм"&amp;VLOOKUP(C597,'Шаг1.Выбор плиты'!C:Q,12,0)),1)))))))</f>
        <v/>
      </c>
      <c r="H597" s="177" t="str">
        <f ca="1">IF(IF(S597="","",IF(S597=1,SUMIFS('Шаг1.Выбор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плиты'!C:Q,12,0)),1))))))=0,
S597,
IF(S597="","",IF(S597=1,SUMIFS('Шаг1.Выбор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плиты'!N:N,S597,'Шаг1.Выбор плиты'!M:M,SMALL(INDIRECT("мм"&amp;VLOOKUP(C597,'Шаг1.Выбор плиты'!C:Q,12,0)),1)))))))</f>
        <v/>
      </c>
      <c r="I597" s="147" t="str">
        <f ca="1">IFERROR(IFERROR(IF(VLOOKUP($A597,'Шаг2.Бланк заказа NEW'!$B$17:$N$201,6,0)="","",VLOOKUP($A597,'Шаг2.Бланк заказа NEW'!$B$17:$N$201,6,0)),
IF(VLOOKUP($A597-COUNT('Шаг2.Бланк заказа NEW'!$B$19:$B$201),'Бланк OLD 0.8 04'!$B$12:$K$200,6,0)="","",VLOOKUP($A597-COUNT('Шаг2.Бланк заказа NEW'!$B$19:$B$201),'Бланк OLD 0.8 04'!$B$12:$K$200,6,0))),
IF(VLOOKUP($A597-COUNT('Шаг2.Бланк заказа NEW'!$B$19:$B$201)-COUNT('Бланк OLD 0.8 04'!$B$18:$B$200),'Бланк OLD 2.0 04 '!$B$16:$K$200,6,0)="","",VLOOKUP($A597-COUNT('Шаг2.Бланк заказа NEW'!$B$19:$B$201)-COUNT('Бланк OLD 0.8 04'!$B$18:$B$200),'Бланк OLD 2.0 04 '!$B$16:$K$200,6,0)))</f>
        <v/>
      </c>
      <c r="J597" s="177" t="str">
        <f ca="1">IF(IF(T597="","",IF(T597=1,SUMIFS('Шаг1.Выбор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плиты'!C:Q,12,0)),1))))))=0,
T597,
IF(T597="","",IF(T597=1,SUMIFS('Шаг1.Выбор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плиты'!N:N,T597,'Шаг1.Выбор плиты'!M:M,SMALL(INDIRECT("мм"&amp;VLOOKUP(C597,'Шаг1.Выбор плиты'!C:Q,12,0)),1)))))))</f>
        <v/>
      </c>
      <c r="K597" s="177" t="str">
        <f ca="1">IF(IF(U597="","",IF(U597=1,SUMIFS('Шаг1.Выбор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плиты'!C:Q,12,0)),1))))))=0,
U597,
IF(U597="","",IF(U597=1,SUMIFS('Шаг1.Выбор плиты'!$G:$G,'Шаг1.Выбор плиты'!J:J,"*"&amp;RIGHT(VLOOKUP(C597,'Шаг1.Выбор плиты'!C:Q,8,0),4),'Шаг1.Выбор плиты'!L:L,IF(MID(C597,1,6)="ЛДСП P","TM"&amp;MID(VLOOKUP(C597,'Шаг1.Выбор плиты'!C:Q,10,0),3,2),MID(VLOOKUP(C597,'Шаг1.Выбор плиты'!C:Q,10,0),1,2)),
'Шаг1.Выбор плиты'!N:N,1),IF(SUMIFS('Шаг1.Выбор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плиты'!C:Q,12,0)),1))=0,
IF(SUMIFS('Шаг1.Выбор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плиты'!C:Q,12,0)),2))=0,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плиты'!C:Q,12,0)),3)),
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плиты'!C:Q,12,0)),2))),
(SUMIFS('Шаг1.Выбор плиты'!$G:$G,'Шаг1.Выбор плиты'!J:J,"*"&amp;RIGHT(VLOOKUP(C597,'Шаг1.Выбор плиты'!C:Q,8,0),4),'Шаг1.Выбор плиты'!L:L,VLOOKUP(C597,'Шаг1.Выбор плиты'!C:Q,10,0),'Шаг1.Выбор плиты'!N:N,U597,'Шаг1.Выбор плиты'!M:M,SMALL(INDIRECT("мм"&amp;VLOOKUP(C597,'Шаг1.Выбор плиты'!C:Q,12,0)),1)))))))</f>
        <v/>
      </c>
      <c r="L597" s="147" t="str">
        <f ca="1">IFERROR(IFERROR(IF(VLOOKUP($A597,'Шаг2.Бланк заказа NEW'!$B$17:$N$201,9,0)="","",VLOOKUP($A597,'Шаг2.Бланк заказа NEW'!$B$17:$N$201,9,0)),
IF(VLOOKUP($A597-COUNT('Шаг2.Бланк заказа NEW'!$B$19:$B$201),'Бланк OLD 0.8 04'!$B$12:$K$200,9,0)="","",VLOOKUP($A597-COUNT('Шаг2.Бланк заказа NEW'!$B$19:$B$201),'Бланк OLD 0.8 04'!$B$12:$K$200,9,0))),
IF(VLOOKUP($A597-COUNT('Шаг2.Бланк заказа NEW'!$B$19:$B$201)-COUNT('Бланк OLD 0.8 04'!$B$18:$B$200),'Бланк OLD 2.0 04 '!$B$16:$K$200,9,0)="","",VLOOKUP($A597-COUNT('Шаг2.Бланк заказа NEW'!$B$19:$B$201)-COUNT('Бланк OLD 0.8 04'!$B$18:$B$200),'Бланк OLD 2.0 04 '!$B$16:$K$200,9,0)))</f>
        <v/>
      </c>
      <c r="M597" s="154" t="str">
        <f t="shared" ca="1" si="54"/>
        <v/>
      </c>
      <c r="N597" s="153" t="str">
        <f ca="1">IFERROR(IF(VLOOKUP($A597,'Шаг2.Бланк заказа NEW'!$B$17:$N$201,11,0)="","",VLOOKUP($A597,'Шаг2.Бланк заказа NEW'!$B$17:$N$201,11,0)),
"Нет")</f>
        <v/>
      </c>
      <c r="O597" s="147" t="str">
        <f ca="1">IFERROR(IF(VLOOKUP($A597,'Шаг2.Бланк заказа NEW'!$B$17:$N$201,11,0)="","",VLOOKUP($A597,'Шаг2.Бланк заказа NEW'!$B$17:$N$201,12,0)),
"Нет")</f>
        <v/>
      </c>
      <c r="P597" s="153" t="str">
        <f ca="1">IFERROR(IF(VLOOKUP($A597,'Шаг2.Бланк заказа NEW'!$B$17:$N$201,13,0)="","",VLOOKUP($A597,'Шаг2.Бланк заказа NEW'!$B$17:$N$201,13,0)),
"Нет")</f>
        <v/>
      </c>
      <c r="Q597" s="147" t="str">
        <f ca="1">IFERROR(IF(VLOOKUP($A597,'Шаг2.Бланк заказа NEW'!$B$17:$O$201,14,0)="","",VLOOKUP($A597,'Шаг2.Бланк заказа NEW'!$B$17:$O$201,14,0)),"")</f>
        <v/>
      </c>
      <c r="R597" s="147" t="str">
        <f ca="1">IFERROR(IFERROR(IF(VLOOKUP($A597,'Шаг2.Бланк заказа NEW'!$B$17:$N$201,4,0)="","",VLOOKUP($A597,'Шаг2.Бланк заказа NEW'!$B$17:$N$201,4,0)),
IF(VLOOKUP($A597-COUNT('Шаг2.Бланк заказа NEW'!$B$19:$B$201),'Бланк OLD 0.8 04'!$B$12:$K$200,4,0)&gt;0,0.8,
IF(VLOOKUP($A597-COUNT('Шаг2.Бланк заказа NEW'!$B$19:$B$201),'Бланк OLD 0.8 04'!$B$12:$K$200,5,0)&gt;0,0.4,""))),
IF(VLOOKUP($A597-COUNT('Шаг2.Бланк заказа NEW'!$B$19:$B$201)-COUNT('Бланк OLD 0.8 04'!$B$18:$B$200),'Бланк OLD 2.0 04 '!$B$16:$K$200,4,0)&gt;0,2,IF(VLOOKUP($A597-COUNT('Шаг2.Бланк заказа NEW'!$B$19:$B$201)-COUNT('Бланк OLD 0.8 04'!$B$18:$B$200),'Бланк OLD 2.0 04 '!$B$16:$K$200,5,0)&gt;0,0.4,"")))</f>
        <v/>
      </c>
      <c r="S597" s="147" t="str">
        <f ca="1">IFERROR(IFERROR(IF(VLOOKUP($A597,'Шаг2.Бланк заказа NEW'!$B$17:$N$201,5,0)="","",VLOOKUP($A597,'Шаг2.Бланк заказа NEW'!$B$17:$N$201,5,0)),
IF(VLOOKUP($A597-COUNT('Шаг2.Бланк заказа NEW'!$B$19:$B$201),'Бланк OLD 0.8 04'!$B$12:$K$200,4,0)&gt;1,0.8,
IF(VLOOKUP($A597-COUNT('Шаг2.Бланк заказа NEW'!$B$19:$B$201),'Бланк OLD 0.8 04'!$B$12:$K$200,5,0)&gt;1,0.4,
IF(AND(VLOOKUP($A597-COUNT('Шаг2.Бланк заказа NEW'!$B$19:$B$201),'Бланк OLD 0.8 04'!$B$12:$K$200,4,0)&gt;0,VLOOKUP($A597-COUNT('Шаг2.Бланк заказа NEW'!$B$19:$B$201),'Бланк OLD 0.8 04'!$B$12:$K$200,5,0)&gt;0),0.4,"")))),
IF(VLOOKUP($A597-COUNT('Шаг2.Бланк заказа NEW'!$B$19:$B$201)-COUNT('Бланк OLD 0.8 04'!$B$18:$B$200),'Бланк OLD 2.0 04 '!$B$16:$K$200,4,0)&gt;1,2,
IF(VLOOKUP($A597-COUNT('Шаг2.Бланк заказа NEW'!$B$19:$B$201)-COUNT('Бланк OLD 0.8 04'!$B$18:$B$200),'Бланк OLD 2.0 04 '!$B$16:$K$200,5,0)&gt;1,0.4,IF(AND(VLOOKUP($A597-COUNT('Шаг2.Бланк заказа NEW'!$B$19:$B$201)-COUNT('Бланк OLD 0.8 04'!$B$18:$B$200),'Бланк OLD 2.0 04 '!$B$16:$K$200,4,0)&gt;0,VLOOKUP($A597-COUNT('Шаг2.Бланк заказа NEW'!$B$19:$B$201)-COUNT('Бланк OLD 0.8 04'!$B$18:$B$200),'Бланк OLD 2.0 04 '!$B$16:$K$200,5,0)&gt;0),0.4,""))))</f>
        <v/>
      </c>
      <c r="T597" s="147" t="str">
        <f ca="1">IFERROR(IFERROR(IF(VLOOKUP($A597,'Шаг2.Бланк заказа NEW'!$B$17:$N$201,7,0)="","",VLOOKUP($A597,'Шаг2.Бланк заказа NEW'!$B$17:$N$201,7,0)),
IF(VLOOKUP($A597-COUNT('Шаг2.Бланк заказа NEW'!$B$19:$B$201),'Бланк OLD 0.8 04'!$B$12:$K$200,7,0)&gt;0,0.8,
IF(VLOOKUP($A597-COUNT('Шаг2.Бланк заказа NEW'!$B$19:$B$201),'Бланк OLD 0.8 04'!$B$12:$K$200,8,0)&gt;0,0.4,""))),
IF(VLOOKUP($A597-COUNT('Шаг2.Бланк заказа NEW'!$B$19:$B$201)-COUNT('Бланк OLD 0.8 04'!$B$18:$B$200),'Бланк OLD 2.0 04 '!$B$16:$K$200,7,0)&gt;0,2,IF(VLOOKUP($A597-COUNT('Шаг2.Бланк заказа NEW'!$B$19:$B$201)-COUNT('Бланк OLD 0.8 04'!$B$18:$B$200),'Бланк OLD 2.0 04 '!$B$16:$K$200,8,0)&gt;0,0.4,"")))</f>
        <v/>
      </c>
      <c r="U597" s="147" t="str">
        <f ca="1">IFERROR(IFERROR(IF(VLOOKUP($A597,'Шаг2.Бланк заказа NEW'!$B$17:$N$201,8,0)="","",VLOOKUP($A597,'Шаг2.Бланк заказа NEW'!$B$17:$N$201,8,0)),
IF(VLOOKUP($A597-COUNT('Шаг2.Бланк заказа NEW'!$B$19:$B$201),'Бланк OLD 0.8 04'!$B$12:$K$200,7,0)&gt;1,0.8,
IF(VLOOKUP($A597-COUNT('Шаг2.Бланк заказа NEW'!$B$19:$B$201),'Бланк OLD 0.8 04'!$B$12:$K$200,8,0)&gt;1,0.4,
IF(AND(VLOOKUP($A597-COUNT('Шаг2.Бланк заказа NEW'!$B$19:$B$201),'Бланк OLD 0.8 04'!$B$12:$K$200,7,0)&gt;0,VLOOKUP($A597-COUNT('Шаг2.Бланк заказа NEW'!$B$19:$B$201),'Бланк OLD 0.8 04'!$B$12:$K$200,8,0)&gt;0),0.4,"")))),
IF(VLOOKUP($A597-COUNT('Шаг2.Бланк заказа NEW'!$B$19:$B$201)-COUNT('Бланк OLD 0.8 04'!$B$18:$B$200),'Бланк OLD 2.0 04 '!$B$16:$K$200,7,0)&gt;1,2,
IF(VLOOKUP($A597-COUNT('Шаг2.Бланк заказа NEW'!$B$19:$B$201)-COUNT('Бланк OLD 0.8 04'!$B$18:$B$200),'Бланк OLD 2.0 04 '!$B$16:$K$200,8,0)&gt;1,0.4,
IF(AND(VLOOKUP($A597-COUNT('Шаг2.Бланк заказа NEW'!$B$19:$B$201)-COUNT('Бланк OLD 0.8 04'!$B$18:$B$200),'Бланк OLD 2.0 04 '!$B$16:$K$200,7,0)&gt;0,VLOOKUP($A597-COUNT('Шаг2.Бланк заказа NEW'!$B$19:$B$201)-COUNT('Бланк OLD 0.8 04'!$B$18:$B$200),'Бланк OLD 2.0 04 '!$B$16:$K$200,8,0)&gt;0),0.4,""))))</f>
        <v/>
      </c>
      <c r="V597" s="146" t="str">
        <f ca="1">IFERROR(VLOOKUP(C597,'Шаг1.Выбор плиты'!C:S,12,0),"")</f>
        <v/>
      </c>
      <c r="W597" s="146" t="str">
        <f ca="1">IFERROR(VLOOKUP(C597,'Шаг1.Выбор плиты'!C:S,8,0),"")</f>
        <v/>
      </c>
      <c r="X597" s="146" t="str">
        <f ca="1">IFERROR(VLOOKUP(C597,'Шаг1.Выбор плиты'!C:S,10,0),"")</f>
        <v/>
      </c>
      <c r="Y597" s="147" t="str">
        <f t="shared" ca="1" si="56"/>
        <v/>
      </c>
      <c r="AD597" s="147" t="str">
        <f t="shared" ca="1" si="53"/>
        <v/>
      </c>
      <c r="AE597" s="147" t="str">
        <f t="shared" ca="1" si="57"/>
        <v/>
      </c>
      <c r="AF597" s="25"/>
      <c r="AH597" s="147" t="str">
        <f ca="1">IF(C597="","",VLOOKUP(C597,'Шаг1.Выбор плиты'!C:Q,7,0))</f>
        <v/>
      </c>
      <c r="AI597" s="147" t="str">
        <f t="shared" ca="1" si="55"/>
        <v/>
      </c>
    </row>
    <row r="598" spans="1:35" x14ac:dyDescent="0.2">
      <c r="A598" s="151" t="str">
        <f ca="1">IF(C598="","",MAX($A$1:OFFSET(C598,-1,0))+1)</f>
        <v/>
      </c>
      <c r="B598" s="151" t="str">
        <f ca="1">IFERROR(IFERROR(IFERROR("Шаг2.Бланк заказа NEW №"&amp;VLOOKUP(A597+1,CHOOSE({1,2},'Шаг2.Бланк заказа NEW'!$B$19:$B$201,'Шаг2.Бланк заказа NEW'!$A$19:$A$201),1,0),
"Бланк OLD 0.8 04 №"&amp;VLOOKUP(A597+1-COUNT('Шаг2.Бланк заказа NEW'!$B$19:$B$201),CHOOSE({1,2},'Бланк OLD 0.8 04'!$B$18:$B$200,'Бланк OLD 0.8 04'!$A$18:$A$200),1,0)),
"Бланк OLD 2.0 04 №"&amp;VLOOKUP(A597+1-COUNT('Шаг2.Бланк заказа NEW'!$B$19:$B$201)-COUNT('Бланк OLD 0.8 04'!$B$18:$B$200),CHOOSE({1,2},'Бланк OLD 2.0 04 '!$B$18:$B$200,'Бланк OLD 2.0 04 '!$A$18:$A$200),1,0)),"")</f>
        <v/>
      </c>
      <c r="C598" s="152" t="str">
        <f ca="1">IFERROR(IFERROR(IFERROR(VLOOKUP(A597+1,CHOOSE({1,2},'Шаг2.Бланк заказа NEW'!$B$19:$B$201,'Шаг2.Бланк заказа NEW'!$A$19:$A$201),2,0),
VLOOKUP(A597+1-COUNT('Шаг2.Бланк заказа NEW'!$B$19:$B$201),CHOOSE({1,2},'Бланк OLD 0.8 04'!$B$18:$B$200,'Бланк OLD 0.8 04'!$A$18:$A$200),2,0)),
VLOOKUP(A597+1-COUNT('Шаг2.Бланк заказа NEW'!$B$19:$B$201)-COUNT('Бланк OLD 0.8 04'!$B$18:$B$200),CHOOSE({1,2},'Бланк OLD 2.0 04 '!$B$18:$B$200,'Бланк OLD 2.0 04 '!$A$18:$A$200),2,0)),"")</f>
        <v/>
      </c>
      <c r="D598" s="150" t="str">
        <f ca="1">IFERROR(VLOOKUP(C598,'Шаг1.Выбор плиты'!C:G,5,0),"")</f>
        <v/>
      </c>
      <c r="E598" s="147" t="str">
        <f ca="1">IFERROR(IFERROR(IF(VLOOKUP($A598,'Шаг2.Бланк заказа NEW'!$B$17:$N$201,2,0)="","",VLOOKUP($A598,'Шаг2.Бланк заказа NEW'!$B$17:$N$201,2,0)),
IF(VLOOKUP($A598-COUNT('Шаг2.Бланк заказа NEW'!$B$19:$B$201),'Бланк OLD 0.8 04'!$B$12:$K$200,2,0)="","",VLOOKUP($A598-COUNT('Шаг2.Бланк заказа NEW'!$B$19:$B$201),'Бланк OLD 0.8 04'!$B$12:$K$200,2,0))),
IF(VLOOKUP($A598-COUNT('Шаг2.Бланк заказа NEW'!$B$19:$B$201)-COUNT('Бланк OLD 0.8 04'!$B$18:$B$200),'Бланк OLD 2.0 04 '!$B$16:$K$200,2,0)="","",VLOOKUP($A598-COUNT('Шаг2.Бланк заказа NEW'!$B$19:$B$201)-COUNT('Бланк OLD 0.8 04'!$B$18:$B$200),'Бланк OLD 2.0 04 '!$B$16:$K$200,2,0)))</f>
        <v/>
      </c>
      <c r="F598" s="147" t="str">
        <f ca="1">IFERROR(IFERROR(IF(VLOOKUP($A598,'Шаг2.Бланк заказа NEW'!$B$17:$N$201,3,0)="","",VLOOKUP($A598,'Шаг2.Бланк заказа NEW'!$B$17:$N$201,3,0)),
IF(VLOOKUP($A598-COUNT('Шаг2.Бланк заказа NEW'!$B$19:$B$201),'Бланк OLD 0.8 04'!$B$12:$K$200,3,0)="","",VLOOKUP($A598-COUNT('Шаг2.Бланк заказа NEW'!$B$19:$B$201),'Бланк OLD 0.8 04'!$B$12:$K$200,3,0))),
IF(VLOOKUP($A598-COUNT('Шаг2.Бланк заказа NEW'!$B$19:$B$201)-COUNT('Бланк OLD 0.8 04'!$B$18:$B$200),'Бланк OLD 2.0 04 '!$B$16:$K$200,3,0)="","",VLOOKUP($A598-COUNT('Шаг2.Бланк заказа NEW'!$B$19:$B$201)-COUNT('Бланк OLD 0.8 04'!$B$18:$B$200),'Бланк OLD 2.0 04 '!$B$16:$K$200,3,0)))</f>
        <v/>
      </c>
      <c r="G598" s="176" t="str">
        <f ca="1">IF(IF(R598="","",IF(R598=1,SUMIFS('Шаг1.Выбор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плиты'!C:Q,12,0)),1))))))=0,
R598,
IF(R598="","",IF(R598=1,SUMIFS('Шаг1.Выбор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плиты'!N:N,R598,'Шаг1.Выбор плиты'!M:M,SMALL(INDIRECT("мм"&amp;VLOOKUP(C598,'Шаг1.Выбор плиты'!C:Q,12,0)),1)))))))</f>
        <v/>
      </c>
      <c r="H598" s="177" t="str">
        <f ca="1">IF(IF(S598="","",IF(S598=1,SUMIFS('Шаг1.Выбор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плиты'!C:Q,12,0)),1))))))=0,
S598,
IF(S598="","",IF(S598=1,SUMIFS('Шаг1.Выбор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плиты'!N:N,S598,'Шаг1.Выбор плиты'!M:M,SMALL(INDIRECT("мм"&amp;VLOOKUP(C598,'Шаг1.Выбор плиты'!C:Q,12,0)),1)))))))</f>
        <v/>
      </c>
      <c r="I598" s="147" t="str">
        <f ca="1">IFERROR(IFERROR(IF(VLOOKUP($A598,'Шаг2.Бланк заказа NEW'!$B$17:$N$201,6,0)="","",VLOOKUP($A598,'Шаг2.Бланк заказа NEW'!$B$17:$N$201,6,0)),
IF(VLOOKUP($A598-COUNT('Шаг2.Бланк заказа NEW'!$B$19:$B$201),'Бланк OLD 0.8 04'!$B$12:$K$200,6,0)="","",VLOOKUP($A598-COUNT('Шаг2.Бланк заказа NEW'!$B$19:$B$201),'Бланк OLD 0.8 04'!$B$12:$K$200,6,0))),
IF(VLOOKUP($A598-COUNT('Шаг2.Бланк заказа NEW'!$B$19:$B$201)-COUNT('Бланк OLD 0.8 04'!$B$18:$B$200),'Бланк OLD 2.0 04 '!$B$16:$K$200,6,0)="","",VLOOKUP($A598-COUNT('Шаг2.Бланк заказа NEW'!$B$19:$B$201)-COUNT('Бланк OLD 0.8 04'!$B$18:$B$200),'Бланк OLD 2.0 04 '!$B$16:$K$200,6,0)))</f>
        <v/>
      </c>
      <c r="J598" s="177" t="str">
        <f ca="1">IF(IF(T598="","",IF(T598=1,SUMIFS('Шаг1.Выбор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плиты'!C:Q,12,0)),1))))))=0,
T598,
IF(T598="","",IF(T598=1,SUMIFS('Шаг1.Выбор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плиты'!N:N,T598,'Шаг1.Выбор плиты'!M:M,SMALL(INDIRECT("мм"&amp;VLOOKUP(C598,'Шаг1.Выбор плиты'!C:Q,12,0)),1)))))))</f>
        <v/>
      </c>
      <c r="K598" s="177" t="str">
        <f ca="1">IF(IF(U598="","",IF(U598=1,SUMIFS('Шаг1.Выбор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плиты'!C:Q,12,0)),1))))))=0,
U598,
IF(U598="","",IF(U598=1,SUMIFS('Шаг1.Выбор плиты'!$G:$G,'Шаг1.Выбор плиты'!J:J,"*"&amp;RIGHT(VLOOKUP(C598,'Шаг1.Выбор плиты'!C:Q,8,0),4),'Шаг1.Выбор плиты'!L:L,IF(MID(C598,1,6)="ЛДСП P","TM"&amp;MID(VLOOKUP(C598,'Шаг1.Выбор плиты'!C:Q,10,0),3,2),MID(VLOOKUP(C598,'Шаг1.Выбор плиты'!C:Q,10,0),1,2)),
'Шаг1.Выбор плиты'!N:N,1),IF(SUMIFS('Шаг1.Выбор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плиты'!C:Q,12,0)),1))=0,
IF(SUMIFS('Шаг1.Выбор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плиты'!C:Q,12,0)),2))=0,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плиты'!C:Q,12,0)),3)),
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плиты'!C:Q,12,0)),2))),
(SUMIFS('Шаг1.Выбор плиты'!$G:$G,'Шаг1.Выбор плиты'!J:J,"*"&amp;RIGHT(VLOOKUP(C598,'Шаг1.Выбор плиты'!C:Q,8,0),4),'Шаг1.Выбор плиты'!L:L,VLOOKUP(C598,'Шаг1.Выбор плиты'!C:Q,10,0),'Шаг1.Выбор плиты'!N:N,U598,'Шаг1.Выбор плиты'!M:M,SMALL(INDIRECT("мм"&amp;VLOOKUP(C598,'Шаг1.Выбор плиты'!C:Q,12,0)),1)))))))</f>
        <v/>
      </c>
      <c r="L598" s="147" t="str">
        <f ca="1">IFERROR(IFERROR(IF(VLOOKUP($A598,'Шаг2.Бланк заказа NEW'!$B$17:$N$201,9,0)="","",VLOOKUP($A598,'Шаг2.Бланк заказа NEW'!$B$17:$N$201,9,0)),
IF(VLOOKUP($A598-COUNT('Шаг2.Бланк заказа NEW'!$B$19:$B$201),'Бланк OLD 0.8 04'!$B$12:$K$200,9,0)="","",VLOOKUP($A598-COUNT('Шаг2.Бланк заказа NEW'!$B$19:$B$201),'Бланк OLD 0.8 04'!$B$12:$K$200,9,0))),
IF(VLOOKUP($A598-COUNT('Шаг2.Бланк заказа NEW'!$B$19:$B$201)-COUNT('Бланк OLD 0.8 04'!$B$18:$B$200),'Бланк OLD 2.0 04 '!$B$16:$K$200,9,0)="","",VLOOKUP($A598-COUNT('Шаг2.Бланк заказа NEW'!$B$19:$B$201)-COUNT('Бланк OLD 0.8 04'!$B$18:$B$200),'Бланк OLD 2.0 04 '!$B$16:$K$200,9,0)))</f>
        <v/>
      </c>
      <c r="M598" s="154" t="str">
        <f t="shared" ca="1" si="54"/>
        <v/>
      </c>
      <c r="N598" s="153" t="str">
        <f ca="1">IFERROR(IF(VLOOKUP($A598,'Шаг2.Бланк заказа NEW'!$B$17:$N$201,11,0)="","",VLOOKUP($A598,'Шаг2.Бланк заказа NEW'!$B$17:$N$201,11,0)),
"Нет")</f>
        <v/>
      </c>
      <c r="O598" s="147" t="str">
        <f ca="1">IFERROR(IF(VLOOKUP($A598,'Шаг2.Бланк заказа NEW'!$B$17:$N$201,11,0)="","",VLOOKUP($A598,'Шаг2.Бланк заказа NEW'!$B$17:$N$201,12,0)),
"Нет")</f>
        <v/>
      </c>
      <c r="P598" s="153" t="str">
        <f ca="1">IFERROR(IF(VLOOKUP($A598,'Шаг2.Бланк заказа NEW'!$B$17:$N$201,13,0)="","",VLOOKUP($A598,'Шаг2.Бланк заказа NEW'!$B$17:$N$201,13,0)),
"Нет")</f>
        <v/>
      </c>
      <c r="Q598" s="147" t="str">
        <f ca="1">IFERROR(IF(VLOOKUP($A598,'Шаг2.Бланк заказа NEW'!$B$17:$O$201,14,0)="","",VLOOKUP($A598,'Шаг2.Бланк заказа NEW'!$B$17:$O$201,14,0)),"")</f>
        <v/>
      </c>
      <c r="R598" s="147" t="str">
        <f ca="1">IFERROR(IFERROR(IF(VLOOKUP($A598,'Шаг2.Бланк заказа NEW'!$B$17:$N$201,4,0)="","",VLOOKUP($A598,'Шаг2.Бланк заказа NEW'!$B$17:$N$201,4,0)),
IF(VLOOKUP($A598-COUNT('Шаг2.Бланк заказа NEW'!$B$19:$B$201),'Бланк OLD 0.8 04'!$B$12:$K$200,4,0)&gt;0,0.8,
IF(VLOOKUP($A598-COUNT('Шаг2.Бланк заказа NEW'!$B$19:$B$201),'Бланк OLD 0.8 04'!$B$12:$K$200,5,0)&gt;0,0.4,""))),
IF(VLOOKUP($A598-COUNT('Шаг2.Бланк заказа NEW'!$B$19:$B$201)-COUNT('Бланк OLD 0.8 04'!$B$18:$B$200),'Бланк OLD 2.0 04 '!$B$16:$K$200,4,0)&gt;0,2,IF(VLOOKUP($A598-COUNT('Шаг2.Бланк заказа NEW'!$B$19:$B$201)-COUNT('Бланк OLD 0.8 04'!$B$18:$B$200),'Бланк OLD 2.0 04 '!$B$16:$K$200,5,0)&gt;0,0.4,"")))</f>
        <v/>
      </c>
      <c r="S598" s="147" t="str">
        <f ca="1">IFERROR(IFERROR(IF(VLOOKUP($A598,'Шаг2.Бланк заказа NEW'!$B$17:$N$201,5,0)="","",VLOOKUP($A598,'Шаг2.Бланк заказа NEW'!$B$17:$N$201,5,0)),
IF(VLOOKUP($A598-COUNT('Шаг2.Бланк заказа NEW'!$B$19:$B$201),'Бланк OLD 0.8 04'!$B$12:$K$200,4,0)&gt;1,0.8,
IF(VLOOKUP($A598-COUNT('Шаг2.Бланк заказа NEW'!$B$19:$B$201),'Бланк OLD 0.8 04'!$B$12:$K$200,5,0)&gt;1,0.4,
IF(AND(VLOOKUP($A598-COUNT('Шаг2.Бланк заказа NEW'!$B$19:$B$201),'Бланк OLD 0.8 04'!$B$12:$K$200,4,0)&gt;0,VLOOKUP($A598-COUNT('Шаг2.Бланк заказа NEW'!$B$19:$B$201),'Бланк OLD 0.8 04'!$B$12:$K$200,5,0)&gt;0),0.4,"")))),
IF(VLOOKUP($A598-COUNT('Шаг2.Бланк заказа NEW'!$B$19:$B$201)-COUNT('Бланк OLD 0.8 04'!$B$18:$B$200),'Бланк OLD 2.0 04 '!$B$16:$K$200,4,0)&gt;1,2,
IF(VLOOKUP($A598-COUNT('Шаг2.Бланк заказа NEW'!$B$19:$B$201)-COUNT('Бланк OLD 0.8 04'!$B$18:$B$200),'Бланк OLD 2.0 04 '!$B$16:$K$200,5,0)&gt;1,0.4,IF(AND(VLOOKUP($A598-COUNT('Шаг2.Бланк заказа NEW'!$B$19:$B$201)-COUNT('Бланк OLD 0.8 04'!$B$18:$B$200),'Бланк OLD 2.0 04 '!$B$16:$K$200,4,0)&gt;0,VLOOKUP($A598-COUNT('Шаг2.Бланк заказа NEW'!$B$19:$B$201)-COUNT('Бланк OLD 0.8 04'!$B$18:$B$200),'Бланк OLD 2.0 04 '!$B$16:$K$200,5,0)&gt;0),0.4,""))))</f>
        <v/>
      </c>
      <c r="T598" s="147" t="str">
        <f ca="1">IFERROR(IFERROR(IF(VLOOKUP($A598,'Шаг2.Бланк заказа NEW'!$B$17:$N$201,7,0)="","",VLOOKUP($A598,'Шаг2.Бланк заказа NEW'!$B$17:$N$201,7,0)),
IF(VLOOKUP($A598-COUNT('Шаг2.Бланк заказа NEW'!$B$19:$B$201),'Бланк OLD 0.8 04'!$B$12:$K$200,7,0)&gt;0,0.8,
IF(VLOOKUP($A598-COUNT('Шаг2.Бланк заказа NEW'!$B$19:$B$201),'Бланк OLD 0.8 04'!$B$12:$K$200,8,0)&gt;0,0.4,""))),
IF(VLOOKUP($A598-COUNT('Шаг2.Бланк заказа NEW'!$B$19:$B$201)-COUNT('Бланк OLD 0.8 04'!$B$18:$B$200),'Бланк OLD 2.0 04 '!$B$16:$K$200,7,0)&gt;0,2,IF(VLOOKUP($A598-COUNT('Шаг2.Бланк заказа NEW'!$B$19:$B$201)-COUNT('Бланк OLD 0.8 04'!$B$18:$B$200),'Бланк OLD 2.0 04 '!$B$16:$K$200,8,0)&gt;0,0.4,"")))</f>
        <v/>
      </c>
      <c r="U598" s="147" t="str">
        <f ca="1">IFERROR(IFERROR(IF(VLOOKUP($A598,'Шаг2.Бланк заказа NEW'!$B$17:$N$201,8,0)="","",VLOOKUP($A598,'Шаг2.Бланк заказа NEW'!$B$17:$N$201,8,0)),
IF(VLOOKUP($A598-COUNT('Шаг2.Бланк заказа NEW'!$B$19:$B$201),'Бланк OLD 0.8 04'!$B$12:$K$200,7,0)&gt;1,0.8,
IF(VLOOKUP($A598-COUNT('Шаг2.Бланк заказа NEW'!$B$19:$B$201),'Бланк OLD 0.8 04'!$B$12:$K$200,8,0)&gt;1,0.4,
IF(AND(VLOOKUP($A598-COUNT('Шаг2.Бланк заказа NEW'!$B$19:$B$201),'Бланк OLD 0.8 04'!$B$12:$K$200,7,0)&gt;0,VLOOKUP($A598-COUNT('Шаг2.Бланк заказа NEW'!$B$19:$B$201),'Бланк OLD 0.8 04'!$B$12:$K$200,8,0)&gt;0),0.4,"")))),
IF(VLOOKUP($A598-COUNT('Шаг2.Бланк заказа NEW'!$B$19:$B$201)-COUNT('Бланк OLD 0.8 04'!$B$18:$B$200),'Бланк OLD 2.0 04 '!$B$16:$K$200,7,0)&gt;1,2,
IF(VLOOKUP($A598-COUNT('Шаг2.Бланк заказа NEW'!$B$19:$B$201)-COUNT('Бланк OLD 0.8 04'!$B$18:$B$200),'Бланк OLD 2.0 04 '!$B$16:$K$200,8,0)&gt;1,0.4,
IF(AND(VLOOKUP($A598-COUNT('Шаг2.Бланк заказа NEW'!$B$19:$B$201)-COUNT('Бланк OLD 0.8 04'!$B$18:$B$200),'Бланк OLD 2.0 04 '!$B$16:$K$200,7,0)&gt;0,VLOOKUP($A598-COUNT('Шаг2.Бланк заказа NEW'!$B$19:$B$201)-COUNT('Бланк OLD 0.8 04'!$B$18:$B$200),'Бланк OLD 2.0 04 '!$B$16:$K$200,8,0)&gt;0),0.4,""))))</f>
        <v/>
      </c>
      <c r="V598" s="146" t="str">
        <f ca="1">IFERROR(VLOOKUP(C598,'Шаг1.Выбор плиты'!C:S,12,0),"")</f>
        <v/>
      </c>
      <c r="W598" s="146" t="str">
        <f ca="1">IFERROR(VLOOKUP(C598,'Шаг1.Выбор плиты'!C:S,8,0),"")</f>
        <v/>
      </c>
      <c r="X598" s="146" t="str">
        <f ca="1">IFERROR(VLOOKUP(C598,'Шаг1.Выбор плиты'!C:S,10,0),"")</f>
        <v/>
      </c>
      <c r="Y598" s="147" t="str">
        <f t="shared" ca="1" si="56"/>
        <v/>
      </c>
      <c r="AD598" s="147" t="str">
        <f t="shared" ca="1" si="53"/>
        <v/>
      </c>
      <c r="AE598" s="147" t="str">
        <f t="shared" ca="1" si="57"/>
        <v/>
      </c>
      <c r="AF598" s="25"/>
      <c r="AH598" s="147" t="str">
        <f ca="1">IF(C598="","",VLOOKUP(C598,'Шаг1.Выбор плиты'!C:Q,7,0))</f>
        <v/>
      </c>
      <c r="AI598" s="147" t="str">
        <f t="shared" ca="1" si="55"/>
        <v/>
      </c>
    </row>
    <row r="599" spans="1:35" x14ac:dyDescent="0.2">
      <c r="A599" s="151" t="str">
        <f ca="1">IF(C599="","",MAX($A$1:OFFSET(C599,-1,0))+1)</f>
        <v/>
      </c>
      <c r="B599" s="151" t="str">
        <f ca="1">IFERROR(IFERROR(IFERROR("Шаг2.Бланк заказа NEW №"&amp;VLOOKUP(A598+1,CHOOSE({1,2},'Шаг2.Бланк заказа NEW'!$B$19:$B$201,'Шаг2.Бланк заказа NEW'!$A$19:$A$201),1,0),
"Бланк OLD 0.8 04 №"&amp;VLOOKUP(A598+1-COUNT('Шаг2.Бланк заказа NEW'!$B$19:$B$201),CHOOSE({1,2},'Бланк OLD 0.8 04'!$B$18:$B$200,'Бланк OLD 0.8 04'!$A$18:$A$200),1,0)),
"Бланк OLD 2.0 04 №"&amp;VLOOKUP(A598+1-COUNT('Шаг2.Бланк заказа NEW'!$B$19:$B$201)-COUNT('Бланк OLD 0.8 04'!$B$18:$B$200),CHOOSE({1,2},'Бланк OLD 2.0 04 '!$B$18:$B$200,'Бланк OLD 2.0 04 '!$A$18:$A$200),1,0)),"")</f>
        <v/>
      </c>
      <c r="C599" s="152" t="str">
        <f ca="1">IFERROR(IFERROR(IFERROR(VLOOKUP(A598+1,CHOOSE({1,2},'Шаг2.Бланк заказа NEW'!$B$19:$B$201,'Шаг2.Бланк заказа NEW'!$A$19:$A$201),2,0),
VLOOKUP(A598+1-COUNT('Шаг2.Бланк заказа NEW'!$B$19:$B$201),CHOOSE({1,2},'Бланк OLD 0.8 04'!$B$18:$B$200,'Бланк OLD 0.8 04'!$A$18:$A$200),2,0)),
VLOOKUP(A598+1-COUNT('Шаг2.Бланк заказа NEW'!$B$19:$B$201)-COUNT('Бланк OLD 0.8 04'!$B$18:$B$200),CHOOSE({1,2},'Бланк OLD 2.0 04 '!$B$18:$B$200,'Бланк OLD 2.0 04 '!$A$18:$A$200),2,0)),"")</f>
        <v/>
      </c>
      <c r="D599" s="150" t="str">
        <f ca="1">IFERROR(VLOOKUP(C599,'Шаг1.Выбор плиты'!C:G,5,0),"")</f>
        <v/>
      </c>
      <c r="E599" s="147" t="str">
        <f ca="1">IFERROR(IFERROR(IF(VLOOKUP($A599,'Шаг2.Бланк заказа NEW'!$B$17:$N$201,2,0)="","",VLOOKUP($A599,'Шаг2.Бланк заказа NEW'!$B$17:$N$201,2,0)),
IF(VLOOKUP($A599-COUNT('Шаг2.Бланк заказа NEW'!$B$19:$B$201),'Бланк OLD 0.8 04'!$B$12:$K$200,2,0)="","",VLOOKUP($A599-COUNT('Шаг2.Бланк заказа NEW'!$B$19:$B$201),'Бланк OLD 0.8 04'!$B$12:$K$200,2,0))),
IF(VLOOKUP($A599-COUNT('Шаг2.Бланк заказа NEW'!$B$19:$B$201)-COUNT('Бланк OLD 0.8 04'!$B$18:$B$200),'Бланк OLD 2.0 04 '!$B$16:$K$200,2,0)="","",VLOOKUP($A599-COUNT('Шаг2.Бланк заказа NEW'!$B$19:$B$201)-COUNT('Бланк OLD 0.8 04'!$B$18:$B$200),'Бланк OLD 2.0 04 '!$B$16:$K$200,2,0)))</f>
        <v/>
      </c>
      <c r="F599" s="147" t="str">
        <f ca="1">IFERROR(IFERROR(IF(VLOOKUP($A599,'Шаг2.Бланк заказа NEW'!$B$17:$N$201,3,0)="","",VLOOKUP($A599,'Шаг2.Бланк заказа NEW'!$B$17:$N$201,3,0)),
IF(VLOOKUP($A599-COUNT('Шаг2.Бланк заказа NEW'!$B$19:$B$201),'Бланк OLD 0.8 04'!$B$12:$K$200,3,0)="","",VLOOKUP($A599-COUNT('Шаг2.Бланк заказа NEW'!$B$19:$B$201),'Бланк OLD 0.8 04'!$B$12:$K$200,3,0))),
IF(VLOOKUP($A599-COUNT('Шаг2.Бланк заказа NEW'!$B$19:$B$201)-COUNT('Бланк OLD 0.8 04'!$B$18:$B$200),'Бланк OLD 2.0 04 '!$B$16:$K$200,3,0)="","",VLOOKUP($A599-COUNT('Шаг2.Бланк заказа NEW'!$B$19:$B$201)-COUNT('Бланк OLD 0.8 04'!$B$18:$B$200),'Бланк OLD 2.0 04 '!$B$16:$K$200,3,0)))</f>
        <v/>
      </c>
      <c r="G599" s="176" t="str">
        <f ca="1">IF(IF(R599="","",IF(R599=1,SUMIFS('Шаг1.Выбор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плиты'!C:Q,12,0)),1))))))=0,
R599,
IF(R599="","",IF(R599=1,SUMIFS('Шаг1.Выбор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плиты'!N:N,R599,'Шаг1.Выбор плиты'!M:M,SMALL(INDIRECT("мм"&amp;VLOOKUP(C599,'Шаг1.Выбор плиты'!C:Q,12,0)),1)))))))</f>
        <v/>
      </c>
      <c r="H599" s="177" t="str">
        <f ca="1">IF(IF(S599="","",IF(S599=1,SUMIFS('Шаг1.Выбор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плиты'!C:Q,12,0)),1))))))=0,
S599,
IF(S599="","",IF(S599=1,SUMIFS('Шаг1.Выбор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плиты'!N:N,S599,'Шаг1.Выбор плиты'!M:M,SMALL(INDIRECT("мм"&amp;VLOOKUP(C599,'Шаг1.Выбор плиты'!C:Q,12,0)),1)))))))</f>
        <v/>
      </c>
      <c r="I599" s="147" t="str">
        <f ca="1">IFERROR(IFERROR(IF(VLOOKUP($A599,'Шаг2.Бланк заказа NEW'!$B$17:$N$201,6,0)="","",VLOOKUP($A599,'Шаг2.Бланк заказа NEW'!$B$17:$N$201,6,0)),
IF(VLOOKUP($A599-COUNT('Шаг2.Бланк заказа NEW'!$B$19:$B$201),'Бланк OLD 0.8 04'!$B$12:$K$200,6,0)="","",VLOOKUP($A599-COUNT('Шаг2.Бланк заказа NEW'!$B$19:$B$201),'Бланк OLD 0.8 04'!$B$12:$K$200,6,0))),
IF(VLOOKUP($A599-COUNT('Шаг2.Бланк заказа NEW'!$B$19:$B$201)-COUNT('Бланк OLD 0.8 04'!$B$18:$B$200),'Бланк OLD 2.0 04 '!$B$16:$K$200,6,0)="","",VLOOKUP($A599-COUNT('Шаг2.Бланк заказа NEW'!$B$19:$B$201)-COUNT('Бланк OLD 0.8 04'!$B$18:$B$200),'Бланк OLD 2.0 04 '!$B$16:$K$200,6,0)))</f>
        <v/>
      </c>
      <c r="J599" s="177" t="str">
        <f ca="1">IF(IF(T599="","",IF(T599=1,SUMIFS('Шаг1.Выбор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плиты'!C:Q,12,0)),1))))))=0,
T599,
IF(T599="","",IF(T599=1,SUMIFS('Шаг1.Выбор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плиты'!N:N,T599,'Шаг1.Выбор плиты'!M:M,SMALL(INDIRECT("мм"&amp;VLOOKUP(C599,'Шаг1.Выбор плиты'!C:Q,12,0)),1)))))))</f>
        <v/>
      </c>
      <c r="K599" s="177" t="str">
        <f ca="1">IF(IF(U599="","",IF(U599=1,SUMIFS('Шаг1.Выбор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плиты'!C:Q,12,0)),1))))))=0,
U599,
IF(U599="","",IF(U599=1,SUMIFS('Шаг1.Выбор плиты'!$G:$G,'Шаг1.Выбор плиты'!J:J,"*"&amp;RIGHT(VLOOKUP(C599,'Шаг1.Выбор плиты'!C:Q,8,0),4),'Шаг1.Выбор плиты'!L:L,IF(MID(C599,1,6)="ЛДСП P","TM"&amp;MID(VLOOKUP(C599,'Шаг1.Выбор плиты'!C:Q,10,0),3,2),MID(VLOOKUP(C599,'Шаг1.Выбор плиты'!C:Q,10,0),1,2)),
'Шаг1.Выбор плиты'!N:N,1),IF(SUMIFS('Шаг1.Выбор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плиты'!C:Q,12,0)),1))=0,
IF(SUMIFS('Шаг1.Выбор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плиты'!C:Q,12,0)),2))=0,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плиты'!C:Q,12,0)),3)),
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плиты'!C:Q,12,0)),2))),
(SUMIFS('Шаг1.Выбор плиты'!$G:$G,'Шаг1.Выбор плиты'!J:J,"*"&amp;RIGHT(VLOOKUP(C599,'Шаг1.Выбор плиты'!C:Q,8,0),4),'Шаг1.Выбор плиты'!L:L,VLOOKUP(C599,'Шаг1.Выбор плиты'!C:Q,10,0),'Шаг1.Выбор плиты'!N:N,U599,'Шаг1.Выбор плиты'!M:M,SMALL(INDIRECT("мм"&amp;VLOOKUP(C599,'Шаг1.Выбор плиты'!C:Q,12,0)),1)))))))</f>
        <v/>
      </c>
      <c r="L599" s="147" t="str">
        <f ca="1">IFERROR(IFERROR(IF(VLOOKUP($A599,'Шаг2.Бланк заказа NEW'!$B$17:$N$201,9,0)="","",VLOOKUP($A599,'Шаг2.Бланк заказа NEW'!$B$17:$N$201,9,0)),
IF(VLOOKUP($A599-COUNT('Шаг2.Бланк заказа NEW'!$B$19:$B$201),'Бланк OLD 0.8 04'!$B$12:$K$200,9,0)="","",VLOOKUP($A599-COUNT('Шаг2.Бланк заказа NEW'!$B$19:$B$201),'Бланк OLD 0.8 04'!$B$12:$K$200,9,0))),
IF(VLOOKUP($A599-COUNT('Шаг2.Бланк заказа NEW'!$B$19:$B$201)-COUNT('Бланк OLD 0.8 04'!$B$18:$B$200),'Бланк OLD 2.0 04 '!$B$16:$K$200,9,0)="","",VLOOKUP($A599-COUNT('Шаг2.Бланк заказа NEW'!$B$19:$B$201)-COUNT('Бланк OLD 0.8 04'!$B$18:$B$200),'Бланк OLD 2.0 04 '!$B$16:$K$200,9,0)))</f>
        <v/>
      </c>
      <c r="M599" s="154" t="str">
        <f t="shared" ca="1" si="54"/>
        <v/>
      </c>
      <c r="N599" s="153" t="str">
        <f ca="1">IFERROR(IF(VLOOKUP($A599,'Шаг2.Бланк заказа NEW'!$B$17:$N$201,11,0)="","",VLOOKUP($A599,'Шаг2.Бланк заказа NEW'!$B$17:$N$201,11,0)),
"Нет")</f>
        <v/>
      </c>
      <c r="O599" s="147" t="str">
        <f ca="1">IFERROR(IF(VLOOKUP($A599,'Шаг2.Бланк заказа NEW'!$B$17:$N$201,11,0)="","",VLOOKUP($A599,'Шаг2.Бланк заказа NEW'!$B$17:$N$201,12,0)),
"Нет")</f>
        <v/>
      </c>
      <c r="P599" s="153" t="str">
        <f ca="1">IFERROR(IF(VLOOKUP($A599,'Шаг2.Бланк заказа NEW'!$B$17:$N$201,13,0)="","",VLOOKUP($A599,'Шаг2.Бланк заказа NEW'!$B$17:$N$201,13,0)),
"Нет")</f>
        <v/>
      </c>
      <c r="Q599" s="147" t="str">
        <f ca="1">IFERROR(IF(VLOOKUP($A599,'Шаг2.Бланк заказа NEW'!$B$17:$O$201,14,0)="","",VLOOKUP($A599,'Шаг2.Бланк заказа NEW'!$B$17:$O$201,14,0)),"")</f>
        <v/>
      </c>
      <c r="R599" s="147" t="str">
        <f ca="1">IFERROR(IFERROR(IF(VLOOKUP($A599,'Шаг2.Бланк заказа NEW'!$B$17:$N$201,4,0)="","",VLOOKUP($A599,'Шаг2.Бланк заказа NEW'!$B$17:$N$201,4,0)),
IF(VLOOKUP($A599-COUNT('Шаг2.Бланк заказа NEW'!$B$19:$B$201),'Бланк OLD 0.8 04'!$B$12:$K$200,4,0)&gt;0,0.8,
IF(VLOOKUP($A599-COUNT('Шаг2.Бланк заказа NEW'!$B$19:$B$201),'Бланк OLD 0.8 04'!$B$12:$K$200,5,0)&gt;0,0.4,""))),
IF(VLOOKUP($A599-COUNT('Шаг2.Бланк заказа NEW'!$B$19:$B$201)-COUNT('Бланк OLD 0.8 04'!$B$18:$B$200),'Бланк OLD 2.0 04 '!$B$16:$K$200,4,0)&gt;0,2,IF(VLOOKUP($A599-COUNT('Шаг2.Бланк заказа NEW'!$B$19:$B$201)-COUNT('Бланк OLD 0.8 04'!$B$18:$B$200),'Бланк OLD 2.0 04 '!$B$16:$K$200,5,0)&gt;0,0.4,"")))</f>
        <v/>
      </c>
      <c r="S599" s="147" t="str">
        <f ca="1">IFERROR(IFERROR(IF(VLOOKUP($A599,'Шаг2.Бланк заказа NEW'!$B$17:$N$201,5,0)="","",VLOOKUP($A599,'Шаг2.Бланк заказа NEW'!$B$17:$N$201,5,0)),
IF(VLOOKUP($A599-COUNT('Шаг2.Бланк заказа NEW'!$B$19:$B$201),'Бланк OLD 0.8 04'!$B$12:$K$200,4,0)&gt;1,0.8,
IF(VLOOKUP($A599-COUNT('Шаг2.Бланк заказа NEW'!$B$19:$B$201),'Бланк OLD 0.8 04'!$B$12:$K$200,5,0)&gt;1,0.4,
IF(AND(VLOOKUP($A599-COUNT('Шаг2.Бланк заказа NEW'!$B$19:$B$201),'Бланк OLD 0.8 04'!$B$12:$K$200,4,0)&gt;0,VLOOKUP($A599-COUNT('Шаг2.Бланк заказа NEW'!$B$19:$B$201),'Бланк OLD 0.8 04'!$B$12:$K$200,5,0)&gt;0),0.4,"")))),
IF(VLOOKUP($A599-COUNT('Шаг2.Бланк заказа NEW'!$B$19:$B$201)-COUNT('Бланк OLD 0.8 04'!$B$18:$B$200),'Бланк OLD 2.0 04 '!$B$16:$K$200,4,0)&gt;1,2,
IF(VLOOKUP($A599-COUNT('Шаг2.Бланк заказа NEW'!$B$19:$B$201)-COUNT('Бланк OLD 0.8 04'!$B$18:$B$200),'Бланк OLD 2.0 04 '!$B$16:$K$200,5,0)&gt;1,0.4,IF(AND(VLOOKUP($A599-COUNT('Шаг2.Бланк заказа NEW'!$B$19:$B$201)-COUNT('Бланк OLD 0.8 04'!$B$18:$B$200),'Бланк OLD 2.0 04 '!$B$16:$K$200,4,0)&gt;0,VLOOKUP($A599-COUNT('Шаг2.Бланк заказа NEW'!$B$19:$B$201)-COUNT('Бланк OLD 0.8 04'!$B$18:$B$200),'Бланк OLD 2.0 04 '!$B$16:$K$200,5,0)&gt;0),0.4,""))))</f>
        <v/>
      </c>
      <c r="T599" s="147" t="str">
        <f ca="1">IFERROR(IFERROR(IF(VLOOKUP($A599,'Шаг2.Бланк заказа NEW'!$B$17:$N$201,7,0)="","",VLOOKUP($A599,'Шаг2.Бланк заказа NEW'!$B$17:$N$201,7,0)),
IF(VLOOKUP($A599-COUNT('Шаг2.Бланк заказа NEW'!$B$19:$B$201),'Бланк OLD 0.8 04'!$B$12:$K$200,7,0)&gt;0,0.8,
IF(VLOOKUP($A599-COUNT('Шаг2.Бланк заказа NEW'!$B$19:$B$201),'Бланк OLD 0.8 04'!$B$12:$K$200,8,0)&gt;0,0.4,""))),
IF(VLOOKUP($A599-COUNT('Шаг2.Бланк заказа NEW'!$B$19:$B$201)-COUNT('Бланк OLD 0.8 04'!$B$18:$B$200),'Бланк OLD 2.0 04 '!$B$16:$K$200,7,0)&gt;0,2,IF(VLOOKUP($A599-COUNT('Шаг2.Бланк заказа NEW'!$B$19:$B$201)-COUNT('Бланк OLD 0.8 04'!$B$18:$B$200),'Бланк OLD 2.0 04 '!$B$16:$K$200,8,0)&gt;0,0.4,"")))</f>
        <v/>
      </c>
      <c r="U599" s="147" t="str">
        <f ca="1">IFERROR(IFERROR(IF(VLOOKUP($A599,'Шаг2.Бланк заказа NEW'!$B$17:$N$201,8,0)="","",VLOOKUP($A599,'Шаг2.Бланк заказа NEW'!$B$17:$N$201,8,0)),
IF(VLOOKUP($A599-COUNT('Шаг2.Бланк заказа NEW'!$B$19:$B$201),'Бланк OLD 0.8 04'!$B$12:$K$200,7,0)&gt;1,0.8,
IF(VLOOKUP($A599-COUNT('Шаг2.Бланк заказа NEW'!$B$19:$B$201),'Бланк OLD 0.8 04'!$B$12:$K$200,8,0)&gt;1,0.4,
IF(AND(VLOOKUP($A599-COUNT('Шаг2.Бланк заказа NEW'!$B$19:$B$201),'Бланк OLD 0.8 04'!$B$12:$K$200,7,0)&gt;0,VLOOKUP($A599-COUNT('Шаг2.Бланк заказа NEW'!$B$19:$B$201),'Бланк OLD 0.8 04'!$B$12:$K$200,8,0)&gt;0),0.4,"")))),
IF(VLOOKUP($A599-COUNT('Шаг2.Бланк заказа NEW'!$B$19:$B$201)-COUNT('Бланк OLD 0.8 04'!$B$18:$B$200),'Бланк OLD 2.0 04 '!$B$16:$K$200,7,0)&gt;1,2,
IF(VLOOKUP($A599-COUNT('Шаг2.Бланк заказа NEW'!$B$19:$B$201)-COUNT('Бланк OLD 0.8 04'!$B$18:$B$200),'Бланк OLD 2.0 04 '!$B$16:$K$200,8,0)&gt;1,0.4,
IF(AND(VLOOKUP($A599-COUNT('Шаг2.Бланк заказа NEW'!$B$19:$B$201)-COUNT('Бланк OLD 0.8 04'!$B$18:$B$200),'Бланк OLD 2.0 04 '!$B$16:$K$200,7,0)&gt;0,VLOOKUP($A599-COUNT('Шаг2.Бланк заказа NEW'!$B$19:$B$201)-COUNT('Бланк OLD 0.8 04'!$B$18:$B$200),'Бланк OLD 2.0 04 '!$B$16:$K$200,8,0)&gt;0),0.4,""))))</f>
        <v/>
      </c>
      <c r="V599" s="146" t="str">
        <f ca="1">IFERROR(VLOOKUP(C599,'Шаг1.Выбор плиты'!C:S,12,0),"")</f>
        <v/>
      </c>
      <c r="W599" s="146" t="str">
        <f ca="1">IFERROR(VLOOKUP(C599,'Шаг1.Выбор плиты'!C:S,8,0),"")</f>
        <v/>
      </c>
      <c r="X599" s="146" t="str">
        <f ca="1">IFERROR(VLOOKUP(C599,'Шаг1.Выбор плиты'!C:S,10,0),"")</f>
        <v/>
      </c>
      <c r="Y599" s="147" t="str">
        <f t="shared" ca="1" si="56"/>
        <v/>
      </c>
      <c r="AD599" s="147" t="str">
        <f t="shared" ca="1" si="53"/>
        <v/>
      </c>
      <c r="AE599" s="147" t="str">
        <f t="shared" ca="1" si="57"/>
        <v/>
      </c>
      <c r="AF599" s="25"/>
      <c r="AH599" s="147" t="str">
        <f ca="1">IF(C599="","",VLOOKUP(C599,'Шаг1.Выбор плиты'!C:Q,7,0))</f>
        <v/>
      </c>
      <c r="AI599" s="147" t="str">
        <f t="shared" ca="1" si="55"/>
        <v/>
      </c>
    </row>
    <row r="600" spans="1:35" x14ac:dyDescent="0.2">
      <c r="A600" s="151" t="str">
        <f ca="1">IF(C600="","",MAX($A$1:OFFSET(C600,-1,0))+1)</f>
        <v/>
      </c>
      <c r="B600" s="151" t="str">
        <f ca="1">IFERROR(IFERROR(IFERROR("Шаг2.Бланк заказа NEW №"&amp;VLOOKUP(A599+1,CHOOSE({1,2},'Шаг2.Бланк заказа NEW'!$B$19:$B$201,'Шаг2.Бланк заказа NEW'!$A$19:$A$201),1,0),
"Бланк OLD 0.8 04 №"&amp;VLOOKUP(A599+1-COUNT('Шаг2.Бланк заказа NEW'!$B$19:$B$201),CHOOSE({1,2},'Бланк OLD 0.8 04'!$B$18:$B$200,'Бланк OLD 0.8 04'!$A$18:$A$200),1,0)),
"Бланк OLD 2.0 04 №"&amp;VLOOKUP(A599+1-COUNT('Шаг2.Бланк заказа NEW'!$B$19:$B$201)-COUNT('Бланк OLD 0.8 04'!$B$18:$B$200),CHOOSE({1,2},'Бланк OLD 2.0 04 '!$B$18:$B$200,'Бланк OLD 2.0 04 '!$A$18:$A$200),1,0)),"")</f>
        <v/>
      </c>
      <c r="C600" s="152" t="str">
        <f ca="1">IFERROR(IFERROR(IFERROR(VLOOKUP(A599+1,CHOOSE({1,2},'Шаг2.Бланк заказа NEW'!$B$19:$B$201,'Шаг2.Бланк заказа NEW'!$A$19:$A$201),2,0),
VLOOKUP(A599+1-COUNT('Шаг2.Бланк заказа NEW'!$B$19:$B$201),CHOOSE({1,2},'Бланк OLD 0.8 04'!$B$18:$B$200,'Бланк OLD 0.8 04'!$A$18:$A$200),2,0)),
VLOOKUP(A599+1-COUNT('Шаг2.Бланк заказа NEW'!$B$19:$B$201)-COUNT('Бланк OLD 0.8 04'!$B$18:$B$200),CHOOSE({1,2},'Бланк OLD 2.0 04 '!$B$18:$B$200,'Бланк OLD 2.0 04 '!$A$18:$A$200),2,0)),"")</f>
        <v/>
      </c>
      <c r="D600" s="150" t="str">
        <f ca="1">IFERROR(VLOOKUP(C600,'Шаг1.Выбор плиты'!C:G,5,0),"")</f>
        <v/>
      </c>
      <c r="E600" s="147" t="str">
        <f ca="1">IFERROR(IFERROR(IF(VLOOKUP($A600,'Шаг2.Бланк заказа NEW'!$B$17:$N$201,2,0)="","",VLOOKUP($A600,'Шаг2.Бланк заказа NEW'!$B$17:$N$201,2,0)),
IF(VLOOKUP($A600-COUNT('Шаг2.Бланк заказа NEW'!$B$19:$B$201),'Бланк OLD 0.8 04'!$B$12:$K$200,2,0)="","",VLOOKUP($A600-COUNT('Шаг2.Бланк заказа NEW'!$B$19:$B$201),'Бланк OLD 0.8 04'!$B$12:$K$200,2,0))),
IF(VLOOKUP($A600-COUNT('Шаг2.Бланк заказа NEW'!$B$19:$B$201)-COUNT('Бланк OLD 0.8 04'!$B$18:$B$200),'Бланк OLD 2.0 04 '!$B$16:$K$200,2,0)="","",VLOOKUP($A600-COUNT('Шаг2.Бланк заказа NEW'!$B$19:$B$201)-COUNT('Бланк OLD 0.8 04'!$B$18:$B$200),'Бланк OLD 2.0 04 '!$B$16:$K$200,2,0)))</f>
        <v/>
      </c>
      <c r="F600" s="147" t="str">
        <f ca="1">IFERROR(IFERROR(IF(VLOOKUP($A600,'Шаг2.Бланк заказа NEW'!$B$17:$N$201,3,0)="","",VLOOKUP($A600,'Шаг2.Бланк заказа NEW'!$B$17:$N$201,3,0)),
IF(VLOOKUP($A600-COUNT('Шаг2.Бланк заказа NEW'!$B$19:$B$201),'Бланк OLD 0.8 04'!$B$12:$K$200,3,0)="","",VLOOKUP($A600-COUNT('Шаг2.Бланк заказа NEW'!$B$19:$B$201),'Бланк OLD 0.8 04'!$B$12:$K$200,3,0))),
IF(VLOOKUP($A600-COUNT('Шаг2.Бланк заказа NEW'!$B$19:$B$201)-COUNT('Бланк OLD 0.8 04'!$B$18:$B$200),'Бланк OLD 2.0 04 '!$B$16:$K$200,3,0)="","",VLOOKUP($A600-COUNT('Шаг2.Бланк заказа NEW'!$B$19:$B$201)-COUNT('Бланк OLD 0.8 04'!$B$18:$B$200),'Бланк OLD 2.0 04 '!$B$16:$K$200,3,0)))</f>
        <v/>
      </c>
      <c r="G600" s="176" t="str">
        <f ca="1">IF(IF(R600="","",IF(R600=1,SUMIFS('Шаг1.Выбор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плиты'!C:Q,12,0)),1))))))=0,
R600,
IF(R600="","",IF(R600=1,SUMIFS('Шаг1.Выбор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плиты'!N:N,R600,'Шаг1.Выбор плиты'!M:M,SMALL(INDIRECT("мм"&amp;VLOOKUP(C600,'Шаг1.Выбор плиты'!C:Q,12,0)),1)))))))</f>
        <v/>
      </c>
      <c r="H600" s="177" t="str">
        <f ca="1">IF(IF(S600="","",IF(S600=1,SUMIFS('Шаг1.Выбор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плиты'!C:Q,12,0)),1))))))=0,
S600,
IF(S600="","",IF(S600=1,SUMIFS('Шаг1.Выбор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плиты'!N:N,S600,'Шаг1.Выбор плиты'!M:M,SMALL(INDIRECT("мм"&amp;VLOOKUP(C600,'Шаг1.Выбор плиты'!C:Q,12,0)),1)))))))</f>
        <v/>
      </c>
      <c r="I600" s="147" t="str">
        <f ca="1">IFERROR(IFERROR(IF(VLOOKUP($A600,'Шаг2.Бланк заказа NEW'!$B$17:$N$201,6,0)="","",VLOOKUP($A600,'Шаг2.Бланк заказа NEW'!$B$17:$N$201,6,0)),
IF(VLOOKUP($A600-COUNT('Шаг2.Бланк заказа NEW'!$B$19:$B$201),'Бланк OLD 0.8 04'!$B$12:$K$200,6,0)="","",VLOOKUP($A600-COUNT('Шаг2.Бланк заказа NEW'!$B$19:$B$201),'Бланк OLD 0.8 04'!$B$12:$K$200,6,0))),
IF(VLOOKUP($A600-COUNT('Шаг2.Бланк заказа NEW'!$B$19:$B$201)-COUNT('Бланк OLD 0.8 04'!$B$18:$B$200),'Бланк OLD 2.0 04 '!$B$16:$K$200,6,0)="","",VLOOKUP($A600-COUNT('Шаг2.Бланк заказа NEW'!$B$19:$B$201)-COUNT('Бланк OLD 0.8 04'!$B$18:$B$200),'Бланк OLD 2.0 04 '!$B$16:$K$200,6,0)))</f>
        <v/>
      </c>
      <c r="J600" s="177" t="str">
        <f ca="1">IF(IF(T600="","",IF(T600=1,SUMIFS('Шаг1.Выбор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плиты'!C:Q,12,0)),1))))))=0,
T600,
IF(T600="","",IF(T600=1,SUMIFS('Шаг1.Выбор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плиты'!N:N,T600,'Шаг1.Выбор плиты'!M:M,SMALL(INDIRECT("мм"&amp;VLOOKUP(C600,'Шаг1.Выбор плиты'!C:Q,12,0)),1)))))))</f>
        <v/>
      </c>
      <c r="K600" s="177" t="str">
        <f ca="1">IF(IF(U600="","",IF(U600=1,SUMIFS('Шаг1.Выбор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плиты'!C:Q,12,0)),1))))))=0,
U600,
IF(U600="","",IF(U600=1,SUMIFS('Шаг1.Выбор плиты'!$G:$G,'Шаг1.Выбор плиты'!J:J,"*"&amp;RIGHT(VLOOKUP(C600,'Шаг1.Выбор плиты'!C:Q,8,0),4),'Шаг1.Выбор плиты'!L:L,IF(MID(C600,1,6)="ЛДСП P","TM"&amp;MID(VLOOKUP(C600,'Шаг1.Выбор плиты'!C:Q,10,0),3,2),MID(VLOOKUP(C600,'Шаг1.Выбор плиты'!C:Q,10,0),1,2)),
'Шаг1.Выбор плиты'!N:N,1),IF(SUMIFS('Шаг1.Выбор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плиты'!C:Q,12,0)),1))=0,
IF(SUMIFS('Шаг1.Выбор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плиты'!C:Q,12,0)),2))=0,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плиты'!C:Q,12,0)),3)),
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плиты'!C:Q,12,0)),2))),
(SUMIFS('Шаг1.Выбор плиты'!$G:$G,'Шаг1.Выбор плиты'!J:J,"*"&amp;RIGHT(VLOOKUP(C600,'Шаг1.Выбор плиты'!C:Q,8,0),4),'Шаг1.Выбор плиты'!L:L,VLOOKUP(C600,'Шаг1.Выбор плиты'!C:Q,10,0),'Шаг1.Выбор плиты'!N:N,U600,'Шаг1.Выбор плиты'!M:M,SMALL(INDIRECT("мм"&amp;VLOOKUP(C600,'Шаг1.Выбор плиты'!C:Q,12,0)),1)))))))</f>
        <v/>
      </c>
      <c r="L600" s="147" t="str">
        <f ca="1">IFERROR(IFERROR(IF(VLOOKUP($A600,'Шаг2.Бланк заказа NEW'!$B$17:$N$201,9,0)="","",VLOOKUP($A600,'Шаг2.Бланк заказа NEW'!$B$17:$N$201,9,0)),
IF(VLOOKUP($A600-COUNT('Шаг2.Бланк заказа NEW'!$B$19:$B$201),'Бланк OLD 0.8 04'!$B$12:$K$200,9,0)="","",VLOOKUP($A600-COUNT('Шаг2.Бланк заказа NEW'!$B$19:$B$201),'Бланк OLD 0.8 04'!$B$12:$K$200,9,0))),
IF(VLOOKUP($A600-COUNT('Шаг2.Бланк заказа NEW'!$B$19:$B$201)-COUNT('Бланк OLD 0.8 04'!$B$18:$B$200),'Бланк OLD 2.0 04 '!$B$16:$K$200,9,0)="","",VLOOKUP($A600-COUNT('Шаг2.Бланк заказа NEW'!$B$19:$B$201)-COUNT('Бланк OLD 0.8 04'!$B$18:$B$200),'Бланк OLD 2.0 04 '!$B$16:$K$200,9,0)))</f>
        <v/>
      </c>
      <c r="M600" s="154" t="str">
        <f t="shared" ca="1" si="54"/>
        <v/>
      </c>
      <c r="N600" s="153" t="str">
        <f ca="1">IFERROR(IF(VLOOKUP($A600,'Шаг2.Бланк заказа NEW'!$B$17:$N$201,11,0)="","",VLOOKUP($A600,'Шаг2.Бланк заказа NEW'!$B$17:$N$201,11,0)),
"Нет")</f>
        <v/>
      </c>
      <c r="O600" s="147" t="str">
        <f ca="1">IFERROR(IF(VLOOKUP($A600,'Шаг2.Бланк заказа NEW'!$B$17:$N$201,11,0)="","",VLOOKUP($A600,'Шаг2.Бланк заказа NEW'!$B$17:$N$201,12,0)),
"Нет")</f>
        <v/>
      </c>
      <c r="P600" s="153" t="str">
        <f ca="1">IFERROR(IF(VLOOKUP($A600,'Шаг2.Бланк заказа NEW'!$B$17:$N$201,13,0)="","",VLOOKUP($A600,'Шаг2.Бланк заказа NEW'!$B$17:$N$201,13,0)),
"Нет")</f>
        <v/>
      </c>
      <c r="Q600" s="147" t="str">
        <f ca="1">IFERROR(IF(VLOOKUP($A600,'Шаг2.Бланк заказа NEW'!$B$17:$O$201,14,0)="","",VLOOKUP($A600,'Шаг2.Бланк заказа NEW'!$B$17:$O$201,14,0)),"")</f>
        <v/>
      </c>
      <c r="R600" s="147" t="str">
        <f ca="1">IFERROR(IFERROR(IF(VLOOKUP($A600,'Шаг2.Бланк заказа NEW'!$B$17:$N$201,4,0)="","",VLOOKUP($A600,'Шаг2.Бланк заказа NEW'!$B$17:$N$201,4,0)),
IF(VLOOKUP($A600-COUNT('Шаг2.Бланк заказа NEW'!$B$19:$B$201),'Бланк OLD 0.8 04'!$B$12:$K$200,4,0)&gt;0,0.8,
IF(VLOOKUP($A600-COUNT('Шаг2.Бланк заказа NEW'!$B$19:$B$201),'Бланк OLD 0.8 04'!$B$12:$K$200,5,0)&gt;0,0.4,""))),
IF(VLOOKUP($A600-COUNT('Шаг2.Бланк заказа NEW'!$B$19:$B$201)-COUNT('Бланк OLD 0.8 04'!$B$18:$B$200),'Бланк OLD 2.0 04 '!$B$16:$K$200,4,0)&gt;0,2,IF(VLOOKUP($A600-COUNT('Шаг2.Бланк заказа NEW'!$B$19:$B$201)-COUNT('Бланк OLD 0.8 04'!$B$18:$B$200),'Бланк OLD 2.0 04 '!$B$16:$K$200,5,0)&gt;0,0.4,"")))</f>
        <v/>
      </c>
      <c r="S600" s="147" t="str">
        <f ca="1">IFERROR(IFERROR(IF(VLOOKUP($A600,'Шаг2.Бланк заказа NEW'!$B$17:$N$201,5,0)="","",VLOOKUP($A600,'Шаг2.Бланк заказа NEW'!$B$17:$N$201,5,0)),
IF(VLOOKUP($A600-COUNT('Шаг2.Бланк заказа NEW'!$B$19:$B$201),'Бланк OLD 0.8 04'!$B$12:$K$200,4,0)&gt;1,0.8,
IF(VLOOKUP($A600-COUNT('Шаг2.Бланк заказа NEW'!$B$19:$B$201),'Бланк OLD 0.8 04'!$B$12:$K$200,5,0)&gt;1,0.4,
IF(AND(VLOOKUP($A600-COUNT('Шаг2.Бланк заказа NEW'!$B$19:$B$201),'Бланк OLD 0.8 04'!$B$12:$K$200,4,0)&gt;0,VLOOKUP($A600-COUNT('Шаг2.Бланк заказа NEW'!$B$19:$B$201),'Бланк OLD 0.8 04'!$B$12:$K$200,5,0)&gt;0),0.4,"")))),
IF(VLOOKUP($A600-COUNT('Шаг2.Бланк заказа NEW'!$B$19:$B$201)-COUNT('Бланк OLD 0.8 04'!$B$18:$B$200),'Бланк OLD 2.0 04 '!$B$16:$K$200,4,0)&gt;1,2,
IF(VLOOKUP($A600-COUNT('Шаг2.Бланк заказа NEW'!$B$19:$B$201)-COUNT('Бланк OLD 0.8 04'!$B$18:$B$200),'Бланк OLD 2.0 04 '!$B$16:$K$200,5,0)&gt;1,0.4,IF(AND(VLOOKUP($A600-COUNT('Шаг2.Бланк заказа NEW'!$B$19:$B$201)-COUNT('Бланк OLD 0.8 04'!$B$18:$B$200),'Бланк OLD 2.0 04 '!$B$16:$K$200,4,0)&gt;0,VLOOKUP($A600-COUNT('Шаг2.Бланк заказа NEW'!$B$19:$B$201)-COUNT('Бланк OLD 0.8 04'!$B$18:$B$200),'Бланк OLD 2.0 04 '!$B$16:$K$200,5,0)&gt;0),0.4,""))))</f>
        <v/>
      </c>
      <c r="T600" s="147" t="str">
        <f ca="1">IFERROR(IFERROR(IF(VLOOKUP($A600,'Шаг2.Бланк заказа NEW'!$B$17:$N$201,7,0)="","",VLOOKUP($A600,'Шаг2.Бланк заказа NEW'!$B$17:$N$201,7,0)),
IF(VLOOKUP($A600-COUNT('Шаг2.Бланк заказа NEW'!$B$19:$B$201),'Бланк OLD 0.8 04'!$B$12:$K$200,7,0)&gt;0,0.8,
IF(VLOOKUP($A600-COUNT('Шаг2.Бланк заказа NEW'!$B$19:$B$201),'Бланк OLD 0.8 04'!$B$12:$K$200,8,0)&gt;0,0.4,""))),
IF(VLOOKUP($A600-COUNT('Шаг2.Бланк заказа NEW'!$B$19:$B$201)-COUNT('Бланк OLD 0.8 04'!$B$18:$B$200),'Бланк OLD 2.0 04 '!$B$16:$K$200,7,0)&gt;0,2,IF(VLOOKUP($A600-COUNT('Шаг2.Бланк заказа NEW'!$B$19:$B$201)-COUNT('Бланк OLD 0.8 04'!$B$18:$B$200),'Бланк OLD 2.0 04 '!$B$16:$K$200,8,0)&gt;0,0.4,"")))</f>
        <v/>
      </c>
      <c r="U600" s="147" t="str">
        <f ca="1">IFERROR(IFERROR(IF(VLOOKUP($A600,'Шаг2.Бланк заказа NEW'!$B$17:$N$201,8,0)="","",VLOOKUP($A600,'Шаг2.Бланк заказа NEW'!$B$17:$N$201,8,0)),
IF(VLOOKUP($A600-COUNT('Шаг2.Бланк заказа NEW'!$B$19:$B$201),'Бланк OLD 0.8 04'!$B$12:$K$200,7,0)&gt;1,0.8,
IF(VLOOKUP($A600-COUNT('Шаг2.Бланк заказа NEW'!$B$19:$B$201),'Бланк OLD 0.8 04'!$B$12:$K$200,8,0)&gt;1,0.4,
IF(AND(VLOOKUP($A600-COUNT('Шаг2.Бланк заказа NEW'!$B$19:$B$201),'Бланк OLD 0.8 04'!$B$12:$K$200,7,0)&gt;0,VLOOKUP($A600-COUNT('Шаг2.Бланк заказа NEW'!$B$19:$B$201),'Бланк OLD 0.8 04'!$B$12:$K$200,8,0)&gt;0),0.4,"")))),
IF(VLOOKUP($A600-COUNT('Шаг2.Бланк заказа NEW'!$B$19:$B$201)-COUNT('Бланк OLD 0.8 04'!$B$18:$B$200),'Бланк OLD 2.0 04 '!$B$16:$K$200,7,0)&gt;1,2,
IF(VLOOKUP($A600-COUNT('Шаг2.Бланк заказа NEW'!$B$19:$B$201)-COUNT('Бланк OLD 0.8 04'!$B$18:$B$200),'Бланк OLD 2.0 04 '!$B$16:$K$200,8,0)&gt;1,0.4,
IF(AND(VLOOKUP($A600-COUNT('Шаг2.Бланк заказа NEW'!$B$19:$B$201)-COUNT('Бланк OLD 0.8 04'!$B$18:$B$200),'Бланк OLD 2.0 04 '!$B$16:$K$200,7,0)&gt;0,VLOOKUP($A600-COUNT('Шаг2.Бланк заказа NEW'!$B$19:$B$201)-COUNT('Бланк OLD 0.8 04'!$B$18:$B$200),'Бланк OLD 2.0 04 '!$B$16:$K$200,8,0)&gt;0),0.4,""))))</f>
        <v/>
      </c>
      <c r="V600" s="146" t="str">
        <f ca="1">IFERROR(VLOOKUP(C600,'Шаг1.Выбор плиты'!C:S,12,0),"")</f>
        <v/>
      </c>
      <c r="W600" s="146" t="str">
        <f ca="1">IFERROR(VLOOKUP(C600,'Шаг1.Выбор плиты'!C:S,8,0),"")</f>
        <v/>
      </c>
      <c r="X600" s="146" t="str">
        <f ca="1">IFERROR(VLOOKUP(C600,'Шаг1.Выбор плиты'!C:S,10,0),"")</f>
        <v/>
      </c>
      <c r="Y600" s="147" t="str">
        <f t="shared" ca="1" si="56"/>
        <v/>
      </c>
      <c r="AD600" s="147" t="str">
        <f t="shared" ca="1" si="53"/>
        <v/>
      </c>
      <c r="AE600" s="147" t="str">
        <f t="shared" ca="1" si="57"/>
        <v/>
      </c>
      <c r="AF600" s="25"/>
      <c r="AH600" s="147" t="str">
        <f ca="1">IF(C600="","",VLOOKUP(C600,'Шаг1.Выбор плиты'!C:Q,7,0))</f>
        <v/>
      </c>
      <c r="AI600" s="147" t="str">
        <f t="shared" ca="1" si="55"/>
        <v/>
      </c>
    </row>
    <row r="601" spans="1:35" x14ac:dyDescent="0.2">
      <c r="A601" s="151" t="str">
        <f ca="1">IF(C601="","",MAX($A$1:OFFSET(C601,-1,0))+1)</f>
        <v/>
      </c>
      <c r="B601" s="151" t="str">
        <f ca="1">IFERROR(IFERROR(IFERROR("Шаг2.Бланк заказа NEW №"&amp;VLOOKUP(A600+1,CHOOSE({1,2},'Шаг2.Бланк заказа NEW'!$B$19:$B$201,'Шаг2.Бланк заказа NEW'!$A$19:$A$201),1,0),
"Бланк OLD 0.8 04 №"&amp;VLOOKUP(A600+1-COUNT('Шаг2.Бланк заказа NEW'!$B$19:$B$201),CHOOSE({1,2},'Бланк OLD 0.8 04'!$B$18:$B$200,'Бланк OLD 0.8 04'!$A$18:$A$200),1,0)),
"Бланк OLD 2.0 04 №"&amp;VLOOKUP(A600+1-COUNT('Шаг2.Бланк заказа NEW'!$B$19:$B$201)-COUNT('Бланк OLD 0.8 04'!$B$18:$B$200),CHOOSE({1,2},'Бланк OLD 2.0 04 '!$B$18:$B$200,'Бланк OLD 2.0 04 '!$A$18:$A$200),1,0)),"")</f>
        <v/>
      </c>
      <c r="C601" s="152" t="str">
        <f ca="1">IFERROR(IFERROR(IFERROR(VLOOKUP(A600+1,CHOOSE({1,2},'Шаг2.Бланк заказа NEW'!$B$19:$B$201,'Шаг2.Бланк заказа NEW'!$A$19:$A$201),2,0),
VLOOKUP(A600+1-COUNT('Шаг2.Бланк заказа NEW'!$B$19:$B$201),CHOOSE({1,2},'Бланк OLD 0.8 04'!$B$18:$B$200,'Бланк OLD 0.8 04'!$A$18:$A$200),2,0)),
VLOOKUP(A600+1-COUNT('Шаг2.Бланк заказа NEW'!$B$19:$B$201)-COUNT('Бланк OLD 0.8 04'!$B$18:$B$200),CHOOSE({1,2},'Бланк OLD 2.0 04 '!$B$18:$B$200,'Бланк OLD 2.0 04 '!$A$18:$A$200),2,0)),"")</f>
        <v/>
      </c>
      <c r="D601" s="150" t="str">
        <f ca="1">IFERROR(VLOOKUP(C601,'Шаг1.Выбор плиты'!C:G,5,0),"")</f>
        <v/>
      </c>
      <c r="E601" s="147" t="str">
        <f ca="1">IFERROR(IFERROR(IF(VLOOKUP($A601,'Шаг2.Бланк заказа NEW'!$B$17:$N$201,2,0)="","",VLOOKUP($A601,'Шаг2.Бланк заказа NEW'!$B$17:$N$201,2,0)),
IF(VLOOKUP($A601-COUNT('Шаг2.Бланк заказа NEW'!$B$19:$B$201),'Бланк OLD 0.8 04'!$B$12:$K$200,2,0)="","",VLOOKUP($A601-COUNT('Шаг2.Бланк заказа NEW'!$B$19:$B$201),'Бланк OLD 0.8 04'!$B$12:$K$200,2,0))),
IF(VLOOKUP($A601-COUNT('Шаг2.Бланк заказа NEW'!$B$19:$B$201)-COUNT('Бланк OLD 0.8 04'!$B$18:$B$200),'Бланк OLD 2.0 04 '!$B$16:$K$200,2,0)="","",VLOOKUP($A601-COUNT('Шаг2.Бланк заказа NEW'!$B$19:$B$201)-COUNT('Бланк OLD 0.8 04'!$B$18:$B$200),'Бланк OLD 2.0 04 '!$B$16:$K$200,2,0)))</f>
        <v/>
      </c>
      <c r="F601" s="147" t="str">
        <f ca="1">IFERROR(IFERROR(IF(VLOOKUP($A601,'Шаг2.Бланк заказа NEW'!$B$17:$N$201,3,0)="","",VLOOKUP($A601,'Шаг2.Бланк заказа NEW'!$B$17:$N$201,3,0)),
IF(VLOOKUP($A601-COUNT('Шаг2.Бланк заказа NEW'!$B$19:$B$201),'Бланк OLD 0.8 04'!$B$12:$K$200,3,0)="","",VLOOKUP($A601-COUNT('Шаг2.Бланк заказа NEW'!$B$19:$B$201),'Бланк OLD 0.8 04'!$B$12:$K$200,3,0))),
IF(VLOOKUP($A601-COUNT('Шаг2.Бланк заказа NEW'!$B$19:$B$201)-COUNT('Бланк OLD 0.8 04'!$B$18:$B$200),'Бланк OLD 2.0 04 '!$B$16:$K$200,3,0)="","",VLOOKUP($A601-COUNT('Шаг2.Бланк заказа NEW'!$B$19:$B$201)-COUNT('Бланк OLD 0.8 04'!$B$18:$B$200),'Бланк OLD 2.0 04 '!$B$16:$K$200,3,0)))</f>
        <v/>
      </c>
      <c r="G601" s="176" t="str">
        <f ca="1">IF(IF(R601="","",IF(R601=1,SUMIFS('Шаг1.Выбор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плиты'!C:Q,12,0)),1))))))=0,
R601,
IF(R601="","",IF(R601=1,SUMIFS('Шаг1.Выбор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плиты'!N:N,R601,'Шаг1.Выбор плиты'!M:M,SMALL(INDIRECT("мм"&amp;VLOOKUP(C601,'Шаг1.Выбор плиты'!C:Q,12,0)),1)))))))</f>
        <v/>
      </c>
      <c r="H601" s="177" t="str">
        <f ca="1">IF(IF(S601="","",IF(S601=1,SUMIFS('Шаг1.Выбор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плиты'!C:Q,12,0)),1))))))=0,
S601,
IF(S601="","",IF(S601=1,SUMIFS('Шаг1.Выбор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плиты'!N:N,S601,'Шаг1.Выбор плиты'!M:M,SMALL(INDIRECT("мм"&amp;VLOOKUP(C601,'Шаг1.Выбор плиты'!C:Q,12,0)),1)))))))</f>
        <v/>
      </c>
      <c r="I601" s="147" t="str">
        <f ca="1">IFERROR(IFERROR(IF(VLOOKUP($A601,'Шаг2.Бланк заказа NEW'!$B$17:$N$201,6,0)="","",VLOOKUP($A601,'Шаг2.Бланк заказа NEW'!$B$17:$N$201,6,0)),
IF(VLOOKUP($A601-COUNT('Шаг2.Бланк заказа NEW'!$B$19:$B$201),'Бланк OLD 0.8 04'!$B$12:$K$200,6,0)="","",VLOOKUP($A601-COUNT('Шаг2.Бланк заказа NEW'!$B$19:$B$201),'Бланк OLD 0.8 04'!$B$12:$K$200,6,0))),
IF(VLOOKUP($A601-COUNT('Шаг2.Бланк заказа NEW'!$B$19:$B$201)-COUNT('Бланк OLD 0.8 04'!$B$18:$B$200),'Бланк OLD 2.0 04 '!$B$16:$K$200,6,0)="","",VLOOKUP($A601-COUNT('Шаг2.Бланк заказа NEW'!$B$19:$B$201)-COUNT('Бланк OLD 0.8 04'!$B$18:$B$200),'Бланк OLD 2.0 04 '!$B$16:$K$200,6,0)))</f>
        <v/>
      </c>
      <c r="J601" s="177" t="str">
        <f ca="1">IF(IF(T601="","",IF(T601=1,SUMIFS('Шаг1.Выбор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плиты'!C:Q,12,0)),1))))))=0,
T601,
IF(T601="","",IF(T601=1,SUMIFS('Шаг1.Выбор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плиты'!N:N,T601,'Шаг1.Выбор плиты'!M:M,SMALL(INDIRECT("мм"&amp;VLOOKUP(C601,'Шаг1.Выбор плиты'!C:Q,12,0)),1)))))))</f>
        <v/>
      </c>
      <c r="K601" s="177" t="str">
        <f ca="1">IF(IF(U601="","",IF(U601=1,SUMIFS('Шаг1.Выбор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плиты'!C:Q,12,0)),1))))))=0,
U601,
IF(U601="","",IF(U601=1,SUMIFS('Шаг1.Выбор плиты'!$G:$G,'Шаг1.Выбор плиты'!J:J,"*"&amp;RIGHT(VLOOKUP(C601,'Шаг1.Выбор плиты'!C:Q,8,0),4),'Шаг1.Выбор плиты'!L:L,IF(MID(C601,1,6)="ЛДСП P","TM"&amp;MID(VLOOKUP(C601,'Шаг1.Выбор плиты'!C:Q,10,0),3,2),MID(VLOOKUP(C601,'Шаг1.Выбор плиты'!C:Q,10,0),1,2)),
'Шаг1.Выбор плиты'!N:N,1),IF(SUMIFS('Шаг1.Выбор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плиты'!C:Q,12,0)),1))=0,
IF(SUMIFS('Шаг1.Выбор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плиты'!C:Q,12,0)),2))=0,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плиты'!C:Q,12,0)),3)),
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плиты'!C:Q,12,0)),2))),
(SUMIFS('Шаг1.Выбор плиты'!$G:$G,'Шаг1.Выбор плиты'!J:J,"*"&amp;RIGHT(VLOOKUP(C601,'Шаг1.Выбор плиты'!C:Q,8,0),4),'Шаг1.Выбор плиты'!L:L,VLOOKUP(C601,'Шаг1.Выбор плиты'!C:Q,10,0),'Шаг1.Выбор плиты'!N:N,U601,'Шаг1.Выбор плиты'!M:M,SMALL(INDIRECT("мм"&amp;VLOOKUP(C601,'Шаг1.Выбор плиты'!C:Q,12,0)),1)))))))</f>
        <v/>
      </c>
      <c r="L601" s="147" t="str">
        <f ca="1">IFERROR(IFERROR(IF(VLOOKUP($A601,'Шаг2.Бланк заказа NEW'!$B$17:$N$201,9,0)="","",VLOOKUP($A601,'Шаг2.Бланк заказа NEW'!$B$17:$N$201,9,0)),
IF(VLOOKUP($A601-COUNT('Шаг2.Бланк заказа NEW'!$B$19:$B$201),'Бланк OLD 0.8 04'!$B$12:$K$200,9,0)="","",VLOOKUP($A601-COUNT('Шаг2.Бланк заказа NEW'!$B$19:$B$201),'Бланк OLD 0.8 04'!$B$12:$K$200,9,0))),
IF(VLOOKUP($A601-COUNT('Шаг2.Бланк заказа NEW'!$B$19:$B$201)-COUNT('Бланк OLD 0.8 04'!$B$18:$B$200),'Бланк OLD 2.0 04 '!$B$16:$K$200,9,0)="","",VLOOKUP($A601-COUNT('Шаг2.Бланк заказа NEW'!$B$19:$B$201)-COUNT('Бланк OLD 0.8 04'!$B$18:$B$200),'Бланк OLD 2.0 04 '!$B$16:$K$200,9,0)))</f>
        <v/>
      </c>
      <c r="M601" s="154" t="str">
        <f t="shared" ca="1" si="54"/>
        <v/>
      </c>
      <c r="N601" s="153" t="str">
        <f ca="1">IFERROR(IF(VLOOKUP($A601,'Шаг2.Бланк заказа NEW'!$B$17:$N$201,11,0)="","",VLOOKUP($A601,'Шаг2.Бланк заказа NEW'!$B$17:$N$201,11,0)),
"Нет")</f>
        <v/>
      </c>
      <c r="O601" s="147" t="str">
        <f ca="1">IFERROR(IF(VLOOKUP($A601,'Шаг2.Бланк заказа NEW'!$B$17:$N$201,11,0)="","",VLOOKUP($A601,'Шаг2.Бланк заказа NEW'!$B$17:$N$201,12,0)),
"Нет")</f>
        <v/>
      </c>
      <c r="P601" s="153" t="str">
        <f ca="1">IFERROR(IF(VLOOKUP($A601,'Шаг2.Бланк заказа NEW'!$B$17:$N$201,13,0)="","",VLOOKUP($A601,'Шаг2.Бланк заказа NEW'!$B$17:$N$201,13,0)),
"Нет")</f>
        <v/>
      </c>
      <c r="Q601" s="147" t="str">
        <f ca="1">IFERROR(IF(VLOOKUP($A601,'Шаг2.Бланк заказа NEW'!$B$17:$O$201,14,0)="","",VLOOKUP($A601,'Шаг2.Бланк заказа NEW'!$B$17:$O$201,14,0)),"")</f>
        <v/>
      </c>
      <c r="R601" s="147" t="str">
        <f ca="1">IFERROR(IFERROR(IF(VLOOKUP($A601,'Шаг2.Бланк заказа NEW'!$B$17:$N$201,4,0)="","",VLOOKUP($A601,'Шаг2.Бланк заказа NEW'!$B$17:$N$201,4,0)),
IF(VLOOKUP($A601-COUNT('Шаг2.Бланк заказа NEW'!$B$19:$B$201),'Бланк OLD 0.8 04'!$B$12:$K$200,4,0)&gt;0,0.8,
IF(VLOOKUP($A601-COUNT('Шаг2.Бланк заказа NEW'!$B$19:$B$201),'Бланк OLD 0.8 04'!$B$12:$K$200,5,0)&gt;0,0.4,""))),
IF(VLOOKUP($A601-COUNT('Шаг2.Бланк заказа NEW'!$B$19:$B$201)-COUNT('Бланк OLD 0.8 04'!$B$18:$B$200),'Бланк OLD 2.0 04 '!$B$16:$K$200,4,0)&gt;0,2,IF(VLOOKUP($A601-COUNT('Шаг2.Бланк заказа NEW'!$B$19:$B$201)-COUNT('Бланк OLD 0.8 04'!$B$18:$B$200),'Бланк OLD 2.0 04 '!$B$16:$K$200,5,0)&gt;0,0.4,"")))</f>
        <v/>
      </c>
      <c r="S601" s="147" t="str">
        <f ca="1">IFERROR(IFERROR(IF(VLOOKUP($A601,'Шаг2.Бланк заказа NEW'!$B$17:$N$201,5,0)="","",VLOOKUP($A601,'Шаг2.Бланк заказа NEW'!$B$17:$N$201,5,0)),
IF(VLOOKUP($A601-COUNT('Шаг2.Бланк заказа NEW'!$B$19:$B$201),'Бланк OLD 0.8 04'!$B$12:$K$200,4,0)&gt;1,0.8,
IF(VLOOKUP($A601-COUNT('Шаг2.Бланк заказа NEW'!$B$19:$B$201),'Бланк OLD 0.8 04'!$B$12:$K$200,5,0)&gt;1,0.4,
IF(AND(VLOOKUP($A601-COUNT('Шаг2.Бланк заказа NEW'!$B$19:$B$201),'Бланк OLD 0.8 04'!$B$12:$K$200,4,0)&gt;0,VLOOKUP($A601-COUNT('Шаг2.Бланк заказа NEW'!$B$19:$B$201),'Бланк OLD 0.8 04'!$B$12:$K$200,5,0)&gt;0),0.4,"")))),
IF(VLOOKUP($A601-COUNT('Шаг2.Бланк заказа NEW'!$B$19:$B$201)-COUNT('Бланк OLD 0.8 04'!$B$18:$B$200),'Бланк OLD 2.0 04 '!$B$16:$K$200,4,0)&gt;1,2,
IF(VLOOKUP($A601-COUNT('Шаг2.Бланк заказа NEW'!$B$19:$B$201)-COUNT('Бланк OLD 0.8 04'!$B$18:$B$200),'Бланк OLD 2.0 04 '!$B$16:$K$200,5,0)&gt;1,0.4,IF(AND(VLOOKUP($A601-COUNT('Шаг2.Бланк заказа NEW'!$B$19:$B$201)-COUNT('Бланк OLD 0.8 04'!$B$18:$B$200),'Бланк OLD 2.0 04 '!$B$16:$K$200,4,0)&gt;0,VLOOKUP($A601-COUNT('Шаг2.Бланк заказа NEW'!$B$19:$B$201)-COUNT('Бланк OLD 0.8 04'!$B$18:$B$200),'Бланк OLD 2.0 04 '!$B$16:$K$200,5,0)&gt;0),0.4,""))))</f>
        <v/>
      </c>
      <c r="T601" s="147" t="str">
        <f ca="1">IFERROR(IFERROR(IF(VLOOKUP($A601,'Шаг2.Бланк заказа NEW'!$B$17:$N$201,7,0)="","",VLOOKUP($A601,'Шаг2.Бланк заказа NEW'!$B$17:$N$201,7,0)),
IF(VLOOKUP($A601-COUNT('Шаг2.Бланк заказа NEW'!$B$19:$B$201),'Бланк OLD 0.8 04'!$B$12:$K$200,7,0)&gt;0,0.8,
IF(VLOOKUP($A601-COUNT('Шаг2.Бланк заказа NEW'!$B$19:$B$201),'Бланк OLD 0.8 04'!$B$12:$K$200,8,0)&gt;0,0.4,""))),
IF(VLOOKUP($A601-COUNT('Шаг2.Бланк заказа NEW'!$B$19:$B$201)-COUNT('Бланк OLD 0.8 04'!$B$18:$B$200),'Бланк OLD 2.0 04 '!$B$16:$K$200,7,0)&gt;0,2,IF(VLOOKUP($A601-COUNT('Шаг2.Бланк заказа NEW'!$B$19:$B$201)-COUNT('Бланк OLD 0.8 04'!$B$18:$B$200),'Бланк OLD 2.0 04 '!$B$16:$K$200,8,0)&gt;0,0.4,"")))</f>
        <v/>
      </c>
      <c r="U601" s="147" t="str">
        <f ca="1">IFERROR(IFERROR(IF(VLOOKUP($A601,'Шаг2.Бланк заказа NEW'!$B$17:$N$201,8,0)="","",VLOOKUP($A601,'Шаг2.Бланк заказа NEW'!$B$17:$N$201,8,0)),
IF(VLOOKUP($A601-COUNT('Шаг2.Бланк заказа NEW'!$B$19:$B$201),'Бланк OLD 0.8 04'!$B$12:$K$200,7,0)&gt;1,0.8,
IF(VLOOKUP($A601-COUNT('Шаг2.Бланк заказа NEW'!$B$19:$B$201),'Бланк OLD 0.8 04'!$B$12:$K$200,8,0)&gt;1,0.4,
IF(AND(VLOOKUP($A601-COUNT('Шаг2.Бланк заказа NEW'!$B$19:$B$201),'Бланк OLD 0.8 04'!$B$12:$K$200,7,0)&gt;0,VLOOKUP($A601-COUNT('Шаг2.Бланк заказа NEW'!$B$19:$B$201),'Бланк OLD 0.8 04'!$B$12:$K$200,8,0)&gt;0),0.4,"")))),
IF(VLOOKUP($A601-COUNT('Шаг2.Бланк заказа NEW'!$B$19:$B$201)-COUNT('Бланк OLD 0.8 04'!$B$18:$B$200),'Бланк OLD 2.0 04 '!$B$16:$K$200,7,0)&gt;1,2,
IF(VLOOKUP($A601-COUNT('Шаг2.Бланк заказа NEW'!$B$19:$B$201)-COUNT('Бланк OLD 0.8 04'!$B$18:$B$200),'Бланк OLD 2.0 04 '!$B$16:$K$200,8,0)&gt;1,0.4,
IF(AND(VLOOKUP($A601-COUNT('Шаг2.Бланк заказа NEW'!$B$19:$B$201)-COUNT('Бланк OLD 0.8 04'!$B$18:$B$200),'Бланк OLD 2.0 04 '!$B$16:$K$200,7,0)&gt;0,VLOOKUP($A601-COUNT('Шаг2.Бланк заказа NEW'!$B$19:$B$201)-COUNT('Бланк OLD 0.8 04'!$B$18:$B$200),'Бланк OLD 2.0 04 '!$B$16:$K$200,8,0)&gt;0),0.4,""))))</f>
        <v/>
      </c>
      <c r="V601" s="146" t="str">
        <f ca="1">IFERROR(VLOOKUP(C601,'Шаг1.Выбор плиты'!C:S,12,0),"")</f>
        <v/>
      </c>
      <c r="W601" s="146" t="str">
        <f ca="1">IFERROR(VLOOKUP(C601,'Шаг1.Выбор плиты'!C:S,8,0),"")</f>
        <v/>
      </c>
      <c r="X601" s="146" t="str">
        <f ca="1">IFERROR(VLOOKUP(C601,'Шаг1.Выбор плиты'!C:S,10,0),"")</f>
        <v/>
      </c>
      <c r="Y601" s="147" t="str">
        <f t="shared" ca="1" si="56"/>
        <v/>
      </c>
      <c r="AD601" s="147" t="str">
        <f t="shared" ca="1" si="53"/>
        <v/>
      </c>
      <c r="AE601" s="147" t="str">
        <f t="shared" ca="1" si="57"/>
        <v/>
      </c>
      <c r="AF601" s="25"/>
      <c r="AH601" s="147" t="str">
        <f ca="1">IF(C601="","",VLOOKUP(C601,'Шаг1.Выбор плиты'!C:Q,7,0))</f>
        <v/>
      </c>
      <c r="AI601" s="147" t="str">
        <f t="shared" ca="1" si="55"/>
        <v/>
      </c>
    </row>
    <row r="602" spans="1:35" x14ac:dyDescent="0.2">
      <c r="A602" s="151" t="str">
        <f ca="1">IF(C602="","",MAX($A$1:OFFSET(C602,-1,0))+1)</f>
        <v/>
      </c>
      <c r="B602" s="151" t="str">
        <f ca="1">IFERROR(IFERROR(IFERROR("Шаг2.Бланк заказа NEW №"&amp;VLOOKUP(A601+1,CHOOSE({1,2},'Шаг2.Бланк заказа NEW'!$B$19:$B$201,'Шаг2.Бланк заказа NEW'!$A$19:$A$201),1,0),
"Бланк OLD 0.8 04 №"&amp;VLOOKUP(A601+1-COUNT('Шаг2.Бланк заказа NEW'!$B$19:$B$201),CHOOSE({1,2},'Бланк OLD 0.8 04'!$B$18:$B$200,'Бланк OLD 0.8 04'!$A$18:$A$200),1,0)),
"Бланк OLD 2.0 04 №"&amp;VLOOKUP(A601+1-COUNT('Шаг2.Бланк заказа NEW'!$B$19:$B$201)-COUNT('Бланк OLD 0.8 04'!$B$18:$B$200),CHOOSE({1,2},'Бланк OLD 2.0 04 '!$B$18:$B$200,'Бланк OLD 2.0 04 '!$A$18:$A$200),1,0)),"")</f>
        <v/>
      </c>
      <c r="C602" s="152" t="str">
        <f ca="1">IFERROR(IFERROR(IFERROR(VLOOKUP(A601+1,CHOOSE({1,2},'Шаг2.Бланк заказа NEW'!$B$19:$B$201,'Шаг2.Бланк заказа NEW'!$A$19:$A$201),2,0),
VLOOKUP(A601+1-COUNT('Шаг2.Бланк заказа NEW'!$B$19:$B$201),CHOOSE({1,2},'Бланк OLD 0.8 04'!$B$18:$B$200,'Бланк OLD 0.8 04'!$A$18:$A$200),2,0)),
VLOOKUP(A601+1-COUNT('Шаг2.Бланк заказа NEW'!$B$19:$B$201)-COUNT('Бланк OLD 0.8 04'!$B$18:$B$200),CHOOSE({1,2},'Бланк OLD 2.0 04 '!$B$18:$B$200,'Бланк OLD 2.0 04 '!$A$18:$A$200),2,0)),"")</f>
        <v/>
      </c>
      <c r="D602" s="150" t="str">
        <f ca="1">IFERROR(VLOOKUP(C602,'Шаг1.Выбор плиты'!C:G,5,0),"")</f>
        <v/>
      </c>
      <c r="E602" s="147" t="str">
        <f ca="1">IFERROR(IFERROR(IF(VLOOKUP($A602,'Шаг2.Бланк заказа NEW'!$B$17:$N$201,2,0)="","",VLOOKUP($A602,'Шаг2.Бланк заказа NEW'!$B$17:$N$201,2,0)),
IF(VLOOKUP($A602-COUNT('Шаг2.Бланк заказа NEW'!$B$19:$B$201),'Бланк OLD 0.8 04'!$B$12:$K$200,2,0)="","",VLOOKUP($A602-COUNT('Шаг2.Бланк заказа NEW'!$B$19:$B$201),'Бланк OLD 0.8 04'!$B$12:$K$200,2,0))),
IF(VLOOKUP($A602-COUNT('Шаг2.Бланк заказа NEW'!$B$19:$B$201)-COUNT('Бланк OLD 0.8 04'!$B$18:$B$200),'Бланк OLD 2.0 04 '!$B$16:$K$200,2,0)="","",VLOOKUP($A602-COUNT('Шаг2.Бланк заказа NEW'!$B$19:$B$201)-COUNT('Бланк OLD 0.8 04'!$B$18:$B$200),'Бланк OLD 2.0 04 '!$B$16:$K$200,2,0)))</f>
        <v/>
      </c>
      <c r="F602" s="147" t="str">
        <f ca="1">IFERROR(IFERROR(IF(VLOOKUP($A602,'Шаг2.Бланк заказа NEW'!$B$17:$N$201,3,0)="","",VLOOKUP($A602,'Шаг2.Бланк заказа NEW'!$B$17:$N$201,3,0)),
IF(VLOOKUP($A602-COUNT('Шаг2.Бланк заказа NEW'!$B$19:$B$201),'Бланк OLD 0.8 04'!$B$12:$K$200,3,0)="","",VLOOKUP($A602-COUNT('Шаг2.Бланк заказа NEW'!$B$19:$B$201),'Бланк OLD 0.8 04'!$B$12:$K$200,3,0))),
IF(VLOOKUP($A602-COUNT('Шаг2.Бланк заказа NEW'!$B$19:$B$201)-COUNT('Бланк OLD 0.8 04'!$B$18:$B$200),'Бланк OLD 2.0 04 '!$B$16:$K$200,3,0)="","",VLOOKUP($A602-COUNT('Шаг2.Бланк заказа NEW'!$B$19:$B$201)-COUNT('Бланк OLD 0.8 04'!$B$18:$B$200),'Бланк OLD 2.0 04 '!$B$16:$K$200,3,0)))</f>
        <v/>
      </c>
      <c r="G602" s="176" t="str">
        <f ca="1">IF(IF(R602="","",IF(R602=1,SUMIFS('Шаг1.Выбор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плиты'!C:Q,12,0)),1))))))=0,
R602,
IF(R602="","",IF(R602=1,SUMIFS('Шаг1.Выбор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плиты'!N:N,R602,'Шаг1.Выбор плиты'!M:M,SMALL(INDIRECT("мм"&amp;VLOOKUP(C602,'Шаг1.Выбор плиты'!C:Q,12,0)),1)))))))</f>
        <v/>
      </c>
      <c r="H602" s="177" t="str">
        <f ca="1">IF(IF(S602="","",IF(S602=1,SUMIFS('Шаг1.Выбор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плиты'!C:Q,12,0)),1))))))=0,
S602,
IF(S602="","",IF(S602=1,SUMIFS('Шаг1.Выбор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плиты'!N:N,S602,'Шаг1.Выбор плиты'!M:M,SMALL(INDIRECT("мм"&amp;VLOOKUP(C602,'Шаг1.Выбор плиты'!C:Q,12,0)),1)))))))</f>
        <v/>
      </c>
      <c r="I602" s="147" t="str">
        <f ca="1">IFERROR(IFERROR(IF(VLOOKUP($A602,'Шаг2.Бланк заказа NEW'!$B$17:$N$201,6,0)="","",VLOOKUP($A602,'Шаг2.Бланк заказа NEW'!$B$17:$N$201,6,0)),
IF(VLOOKUP($A602-COUNT('Шаг2.Бланк заказа NEW'!$B$19:$B$201),'Бланк OLD 0.8 04'!$B$12:$K$200,6,0)="","",VLOOKUP($A602-COUNT('Шаг2.Бланк заказа NEW'!$B$19:$B$201),'Бланк OLD 0.8 04'!$B$12:$K$200,6,0))),
IF(VLOOKUP($A602-COUNT('Шаг2.Бланк заказа NEW'!$B$19:$B$201)-COUNT('Бланк OLD 0.8 04'!$B$18:$B$200),'Бланк OLD 2.0 04 '!$B$16:$K$200,6,0)="","",VLOOKUP($A602-COUNT('Шаг2.Бланк заказа NEW'!$B$19:$B$201)-COUNT('Бланк OLD 0.8 04'!$B$18:$B$200),'Бланк OLD 2.0 04 '!$B$16:$K$200,6,0)))</f>
        <v/>
      </c>
      <c r="J602" s="177" t="str">
        <f ca="1">IF(IF(T602="","",IF(T602=1,SUMIFS('Шаг1.Выбор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плиты'!C:Q,12,0)),1))))))=0,
T602,
IF(T602="","",IF(T602=1,SUMIFS('Шаг1.Выбор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плиты'!N:N,T602,'Шаг1.Выбор плиты'!M:M,SMALL(INDIRECT("мм"&amp;VLOOKUP(C602,'Шаг1.Выбор плиты'!C:Q,12,0)),1)))))))</f>
        <v/>
      </c>
      <c r="K602" s="177" t="str">
        <f ca="1">IF(IF(U602="","",IF(U602=1,SUMIFS('Шаг1.Выбор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плиты'!C:Q,12,0)),1))))))=0,
U602,
IF(U602="","",IF(U602=1,SUMIFS('Шаг1.Выбор плиты'!$G:$G,'Шаг1.Выбор плиты'!J:J,"*"&amp;RIGHT(VLOOKUP(C602,'Шаг1.Выбор плиты'!C:Q,8,0),4),'Шаг1.Выбор плиты'!L:L,IF(MID(C602,1,6)="ЛДСП P","TM"&amp;MID(VLOOKUP(C602,'Шаг1.Выбор плиты'!C:Q,10,0),3,2),MID(VLOOKUP(C602,'Шаг1.Выбор плиты'!C:Q,10,0),1,2)),
'Шаг1.Выбор плиты'!N:N,1),IF(SUMIFS('Шаг1.Выбор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плиты'!C:Q,12,0)),1))=0,
IF(SUMIFS('Шаг1.Выбор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плиты'!C:Q,12,0)),2))=0,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плиты'!C:Q,12,0)),3)),
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плиты'!C:Q,12,0)),2))),
(SUMIFS('Шаг1.Выбор плиты'!$G:$G,'Шаг1.Выбор плиты'!J:J,"*"&amp;RIGHT(VLOOKUP(C602,'Шаг1.Выбор плиты'!C:Q,8,0),4),'Шаг1.Выбор плиты'!L:L,VLOOKUP(C602,'Шаг1.Выбор плиты'!C:Q,10,0),'Шаг1.Выбор плиты'!N:N,U602,'Шаг1.Выбор плиты'!M:M,SMALL(INDIRECT("мм"&amp;VLOOKUP(C602,'Шаг1.Выбор плиты'!C:Q,12,0)),1)))))))</f>
        <v/>
      </c>
      <c r="L602" s="147" t="str">
        <f ca="1">IFERROR(IFERROR(IF(VLOOKUP($A602,'Шаг2.Бланк заказа NEW'!$B$17:$N$201,9,0)="","",VLOOKUP($A602,'Шаг2.Бланк заказа NEW'!$B$17:$N$201,9,0)),
IF(VLOOKUP($A602-COUNT('Шаг2.Бланк заказа NEW'!$B$19:$B$201),'Бланк OLD 0.8 04'!$B$12:$K$200,9,0)="","",VLOOKUP($A602-COUNT('Шаг2.Бланк заказа NEW'!$B$19:$B$201),'Бланк OLD 0.8 04'!$B$12:$K$200,9,0))),
IF(VLOOKUP($A602-COUNT('Шаг2.Бланк заказа NEW'!$B$19:$B$201)-COUNT('Бланк OLD 0.8 04'!$B$18:$B$200),'Бланк OLD 2.0 04 '!$B$16:$K$200,9,0)="","",VLOOKUP($A602-COUNT('Шаг2.Бланк заказа NEW'!$B$19:$B$201)-COUNT('Бланк OLD 0.8 04'!$B$18:$B$200),'Бланк OLD 2.0 04 '!$B$16:$K$200,9,0)))</f>
        <v/>
      </c>
      <c r="M602" s="154" t="str">
        <f t="shared" ca="1" si="54"/>
        <v/>
      </c>
      <c r="N602" s="153" t="str">
        <f ca="1">IFERROR(IF(VLOOKUP($A602,'Шаг2.Бланк заказа NEW'!$B$17:$N$201,11,0)="","",VLOOKUP($A602,'Шаг2.Бланк заказа NEW'!$B$17:$N$201,11,0)),
"Нет")</f>
        <v/>
      </c>
      <c r="O602" s="147" t="str">
        <f ca="1">IFERROR(IF(VLOOKUP($A602,'Шаг2.Бланк заказа NEW'!$B$17:$N$201,11,0)="","",VLOOKUP($A602,'Шаг2.Бланк заказа NEW'!$B$17:$N$201,12,0)),
"Нет")</f>
        <v/>
      </c>
      <c r="P602" s="153" t="str">
        <f ca="1">IFERROR(IF(VLOOKUP($A602,'Шаг2.Бланк заказа NEW'!$B$17:$N$201,13,0)="","",VLOOKUP($A602,'Шаг2.Бланк заказа NEW'!$B$17:$N$201,13,0)),
"Нет")</f>
        <v/>
      </c>
      <c r="Q602" s="147" t="str">
        <f ca="1">IFERROR(IF(VLOOKUP($A602,'Шаг2.Бланк заказа NEW'!$B$17:$O$201,14,0)="","",VLOOKUP($A602,'Шаг2.Бланк заказа NEW'!$B$17:$O$201,14,0)),"")</f>
        <v/>
      </c>
      <c r="R602" s="147" t="str">
        <f ca="1">IFERROR(IFERROR(IF(VLOOKUP($A602,'Шаг2.Бланк заказа NEW'!$B$17:$N$201,4,0)="","",VLOOKUP($A602,'Шаг2.Бланк заказа NEW'!$B$17:$N$201,4,0)),
IF(VLOOKUP($A602-COUNT('Шаг2.Бланк заказа NEW'!$B$19:$B$201),'Бланк OLD 0.8 04'!$B$12:$K$200,4,0)&gt;0,0.8,
IF(VLOOKUP($A602-COUNT('Шаг2.Бланк заказа NEW'!$B$19:$B$201),'Бланк OLD 0.8 04'!$B$12:$K$200,5,0)&gt;0,0.4,""))),
IF(VLOOKUP($A602-COUNT('Шаг2.Бланк заказа NEW'!$B$19:$B$201)-COUNT('Бланк OLD 0.8 04'!$B$18:$B$200),'Бланк OLD 2.0 04 '!$B$16:$K$200,4,0)&gt;0,2,IF(VLOOKUP($A602-COUNT('Шаг2.Бланк заказа NEW'!$B$19:$B$201)-COUNT('Бланк OLD 0.8 04'!$B$18:$B$200),'Бланк OLD 2.0 04 '!$B$16:$K$200,5,0)&gt;0,0.4,"")))</f>
        <v/>
      </c>
      <c r="S602" s="147" t="str">
        <f ca="1">IFERROR(IFERROR(IF(VLOOKUP($A602,'Шаг2.Бланк заказа NEW'!$B$17:$N$201,5,0)="","",VLOOKUP($A602,'Шаг2.Бланк заказа NEW'!$B$17:$N$201,5,0)),
IF(VLOOKUP($A602-COUNT('Шаг2.Бланк заказа NEW'!$B$19:$B$201),'Бланк OLD 0.8 04'!$B$12:$K$200,4,0)&gt;1,0.8,
IF(VLOOKUP($A602-COUNT('Шаг2.Бланк заказа NEW'!$B$19:$B$201),'Бланк OLD 0.8 04'!$B$12:$K$200,5,0)&gt;1,0.4,
IF(AND(VLOOKUP($A602-COUNT('Шаг2.Бланк заказа NEW'!$B$19:$B$201),'Бланк OLD 0.8 04'!$B$12:$K$200,4,0)&gt;0,VLOOKUP($A602-COUNT('Шаг2.Бланк заказа NEW'!$B$19:$B$201),'Бланк OLD 0.8 04'!$B$12:$K$200,5,0)&gt;0),0.4,"")))),
IF(VLOOKUP($A602-COUNT('Шаг2.Бланк заказа NEW'!$B$19:$B$201)-COUNT('Бланк OLD 0.8 04'!$B$18:$B$200),'Бланк OLD 2.0 04 '!$B$16:$K$200,4,0)&gt;1,2,
IF(VLOOKUP($A602-COUNT('Шаг2.Бланк заказа NEW'!$B$19:$B$201)-COUNT('Бланк OLD 0.8 04'!$B$18:$B$200),'Бланк OLD 2.0 04 '!$B$16:$K$200,5,0)&gt;1,0.4,IF(AND(VLOOKUP($A602-COUNT('Шаг2.Бланк заказа NEW'!$B$19:$B$201)-COUNT('Бланк OLD 0.8 04'!$B$18:$B$200),'Бланк OLD 2.0 04 '!$B$16:$K$200,4,0)&gt;0,VLOOKUP($A602-COUNT('Шаг2.Бланк заказа NEW'!$B$19:$B$201)-COUNT('Бланк OLD 0.8 04'!$B$18:$B$200),'Бланк OLD 2.0 04 '!$B$16:$K$200,5,0)&gt;0),0.4,""))))</f>
        <v/>
      </c>
      <c r="T602" s="147" t="str">
        <f ca="1">IFERROR(IFERROR(IF(VLOOKUP($A602,'Шаг2.Бланк заказа NEW'!$B$17:$N$201,7,0)="","",VLOOKUP($A602,'Шаг2.Бланк заказа NEW'!$B$17:$N$201,7,0)),
IF(VLOOKUP($A602-COUNT('Шаг2.Бланк заказа NEW'!$B$19:$B$201),'Бланк OLD 0.8 04'!$B$12:$K$200,7,0)&gt;0,0.8,
IF(VLOOKUP($A602-COUNT('Шаг2.Бланк заказа NEW'!$B$19:$B$201),'Бланк OLD 0.8 04'!$B$12:$K$200,8,0)&gt;0,0.4,""))),
IF(VLOOKUP($A602-COUNT('Шаг2.Бланк заказа NEW'!$B$19:$B$201)-COUNT('Бланк OLD 0.8 04'!$B$18:$B$200),'Бланк OLD 2.0 04 '!$B$16:$K$200,7,0)&gt;0,2,IF(VLOOKUP($A602-COUNT('Шаг2.Бланк заказа NEW'!$B$19:$B$201)-COUNT('Бланк OLD 0.8 04'!$B$18:$B$200),'Бланк OLD 2.0 04 '!$B$16:$K$200,8,0)&gt;0,0.4,"")))</f>
        <v/>
      </c>
      <c r="U602" s="147" t="str">
        <f ca="1">IFERROR(IFERROR(IF(VLOOKUP($A602,'Шаг2.Бланк заказа NEW'!$B$17:$N$201,8,0)="","",VLOOKUP($A602,'Шаг2.Бланк заказа NEW'!$B$17:$N$201,8,0)),
IF(VLOOKUP($A602-COUNT('Шаг2.Бланк заказа NEW'!$B$19:$B$201),'Бланк OLD 0.8 04'!$B$12:$K$200,7,0)&gt;1,0.8,
IF(VLOOKUP($A602-COUNT('Шаг2.Бланк заказа NEW'!$B$19:$B$201),'Бланк OLD 0.8 04'!$B$12:$K$200,8,0)&gt;1,0.4,
IF(AND(VLOOKUP($A602-COUNT('Шаг2.Бланк заказа NEW'!$B$19:$B$201),'Бланк OLD 0.8 04'!$B$12:$K$200,7,0)&gt;0,VLOOKUP($A602-COUNT('Шаг2.Бланк заказа NEW'!$B$19:$B$201),'Бланк OLD 0.8 04'!$B$12:$K$200,8,0)&gt;0),0.4,"")))),
IF(VLOOKUP($A602-COUNT('Шаг2.Бланк заказа NEW'!$B$19:$B$201)-COUNT('Бланк OLD 0.8 04'!$B$18:$B$200),'Бланк OLD 2.0 04 '!$B$16:$K$200,7,0)&gt;1,2,
IF(VLOOKUP($A602-COUNT('Шаг2.Бланк заказа NEW'!$B$19:$B$201)-COUNT('Бланк OLD 0.8 04'!$B$18:$B$200),'Бланк OLD 2.0 04 '!$B$16:$K$200,8,0)&gt;1,0.4,
IF(AND(VLOOKUP($A602-COUNT('Шаг2.Бланк заказа NEW'!$B$19:$B$201)-COUNT('Бланк OLD 0.8 04'!$B$18:$B$200),'Бланк OLD 2.0 04 '!$B$16:$K$200,7,0)&gt;0,VLOOKUP($A602-COUNT('Шаг2.Бланк заказа NEW'!$B$19:$B$201)-COUNT('Бланк OLD 0.8 04'!$B$18:$B$200),'Бланк OLD 2.0 04 '!$B$16:$K$200,8,0)&gt;0),0.4,""))))</f>
        <v/>
      </c>
      <c r="V602" s="146" t="str">
        <f ca="1">IFERROR(VLOOKUP(C602,'Шаг1.Выбор плиты'!C:S,12,0),"")</f>
        <v/>
      </c>
      <c r="W602" s="146" t="str">
        <f ca="1">IFERROR(VLOOKUP(C602,'Шаг1.Выбор плиты'!C:S,8,0),"")</f>
        <v/>
      </c>
      <c r="X602" s="146" t="str">
        <f ca="1">IFERROR(VLOOKUP(C602,'Шаг1.Выбор плиты'!C:S,10,0),"")</f>
        <v/>
      </c>
      <c r="Y602" s="147" t="str">
        <f t="shared" ca="1" si="56"/>
        <v/>
      </c>
      <c r="AD602" s="147" t="str">
        <f t="shared" ca="1" si="53"/>
        <v/>
      </c>
      <c r="AE602" s="147" t="str">
        <f t="shared" ca="1" si="57"/>
        <v/>
      </c>
      <c r="AF602" s="25"/>
      <c r="AH602" s="147" t="str">
        <f ca="1">IF(C602="","",VLOOKUP(C602,'Шаг1.Выбор плиты'!C:Q,7,0))</f>
        <v/>
      </c>
      <c r="AI602" s="147" t="str">
        <f t="shared" ca="1" si="55"/>
        <v/>
      </c>
    </row>
    <row r="603" spans="1:35" x14ac:dyDescent="0.2">
      <c r="A603" s="151" t="str">
        <f ca="1">IF(C603="","",MAX($A$1:OFFSET(C603,-1,0))+1)</f>
        <v/>
      </c>
      <c r="B603" s="151" t="str">
        <f ca="1">IFERROR(IFERROR(IFERROR("Шаг2.Бланк заказа NEW №"&amp;VLOOKUP(A602+1,CHOOSE({1,2},'Шаг2.Бланк заказа NEW'!$B$19:$B$201,'Шаг2.Бланк заказа NEW'!$A$19:$A$201),1,0),
"Бланк OLD 0.8 04 №"&amp;VLOOKUP(A602+1-COUNT('Шаг2.Бланк заказа NEW'!$B$19:$B$201),CHOOSE({1,2},'Бланк OLD 0.8 04'!$B$18:$B$200,'Бланк OLD 0.8 04'!$A$18:$A$200),1,0)),
"Бланк OLD 2.0 04 №"&amp;VLOOKUP(A602+1-COUNT('Шаг2.Бланк заказа NEW'!$B$19:$B$201)-COUNT('Бланк OLD 0.8 04'!$B$18:$B$200),CHOOSE({1,2},'Бланк OLD 2.0 04 '!$B$18:$B$200,'Бланк OLD 2.0 04 '!$A$18:$A$200),1,0)),"")</f>
        <v/>
      </c>
      <c r="C603" s="152" t="str">
        <f ca="1">IFERROR(IFERROR(IFERROR(VLOOKUP(A602+1,CHOOSE({1,2},'Шаг2.Бланк заказа NEW'!$B$19:$B$201,'Шаг2.Бланк заказа NEW'!$A$19:$A$201),2,0),
VLOOKUP(A602+1-COUNT('Шаг2.Бланк заказа NEW'!$B$19:$B$201),CHOOSE({1,2},'Бланк OLD 0.8 04'!$B$18:$B$200,'Бланк OLD 0.8 04'!$A$18:$A$200),2,0)),
VLOOKUP(A602+1-COUNT('Шаг2.Бланк заказа NEW'!$B$19:$B$201)-COUNT('Бланк OLD 0.8 04'!$B$18:$B$200),CHOOSE({1,2},'Бланк OLD 2.0 04 '!$B$18:$B$200,'Бланк OLD 2.0 04 '!$A$18:$A$200),2,0)),"")</f>
        <v/>
      </c>
      <c r="D603" s="150" t="str">
        <f ca="1">IFERROR(VLOOKUP(C603,'Шаг1.Выбор плиты'!C:G,5,0),"")</f>
        <v/>
      </c>
      <c r="E603" s="147" t="str">
        <f ca="1">IFERROR(IFERROR(IF(VLOOKUP($A603,'Шаг2.Бланк заказа NEW'!$B$17:$N$201,2,0)="","",VLOOKUP($A603,'Шаг2.Бланк заказа NEW'!$B$17:$N$201,2,0)),
IF(VLOOKUP($A603-COUNT('Шаг2.Бланк заказа NEW'!$B$19:$B$201),'Бланк OLD 0.8 04'!$B$12:$K$200,2,0)="","",VLOOKUP($A603-COUNT('Шаг2.Бланк заказа NEW'!$B$19:$B$201),'Бланк OLD 0.8 04'!$B$12:$K$200,2,0))),
IF(VLOOKUP($A603-COUNT('Шаг2.Бланк заказа NEW'!$B$19:$B$201)-COUNT('Бланк OLD 0.8 04'!$B$18:$B$200),'Бланк OLD 2.0 04 '!$B$16:$K$200,2,0)="","",VLOOKUP($A603-COUNT('Шаг2.Бланк заказа NEW'!$B$19:$B$201)-COUNT('Бланк OLD 0.8 04'!$B$18:$B$200),'Бланк OLD 2.0 04 '!$B$16:$K$200,2,0)))</f>
        <v/>
      </c>
      <c r="F603" s="147" t="str">
        <f ca="1">IFERROR(IFERROR(IF(VLOOKUP($A603,'Шаг2.Бланк заказа NEW'!$B$17:$N$201,3,0)="","",VLOOKUP($A603,'Шаг2.Бланк заказа NEW'!$B$17:$N$201,3,0)),
IF(VLOOKUP($A603-COUNT('Шаг2.Бланк заказа NEW'!$B$19:$B$201),'Бланк OLD 0.8 04'!$B$12:$K$200,3,0)="","",VLOOKUP($A603-COUNT('Шаг2.Бланк заказа NEW'!$B$19:$B$201),'Бланк OLD 0.8 04'!$B$12:$K$200,3,0))),
IF(VLOOKUP($A603-COUNT('Шаг2.Бланк заказа NEW'!$B$19:$B$201)-COUNT('Бланк OLD 0.8 04'!$B$18:$B$200),'Бланк OLD 2.0 04 '!$B$16:$K$200,3,0)="","",VLOOKUP($A603-COUNT('Шаг2.Бланк заказа NEW'!$B$19:$B$201)-COUNT('Бланк OLD 0.8 04'!$B$18:$B$200),'Бланк OLD 2.0 04 '!$B$16:$K$200,3,0)))</f>
        <v/>
      </c>
      <c r="G603" s="176" t="str">
        <f ca="1">IF(IF(R603="","",IF(R603=1,SUMIFS('Шаг1.Выбор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плиты'!C:Q,12,0)),1))))))=0,
R603,
IF(R603="","",IF(R603=1,SUMIFS('Шаг1.Выбор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плиты'!N:N,R603,'Шаг1.Выбор плиты'!M:M,SMALL(INDIRECT("мм"&amp;VLOOKUP(C603,'Шаг1.Выбор плиты'!C:Q,12,0)),1)))))))</f>
        <v/>
      </c>
      <c r="H603" s="177" t="str">
        <f ca="1">IF(IF(S603="","",IF(S603=1,SUMIFS('Шаг1.Выбор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плиты'!C:Q,12,0)),1))))))=0,
S603,
IF(S603="","",IF(S603=1,SUMIFS('Шаг1.Выбор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плиты'!N:N,S603,'Шаг1.Выбор плиты'!M:M,SMALL(INDIRECT("мм"&amp;VLOOKUP(C603,'Шаг1.Выбор плиты'!C:Q,12,0)),1)))))))</f>
        <v/>
      </c>
      <c r="I603" s="147" t="str">
        <f ca="1">IFERROR(IFERROR(IF(VLOOKUP($A603,'Шаг2.Бланк заказа NEW'!$B$17:$N$201,6,0)="","",VLOOKUP($A603,'Шаг2.Бланк заказа NEW'!$B$17:$N$201,6,0)),
IF(VLOOKUP($A603-COUNT('Шаг2.Бланк заказа NEW'!$B$19:$B$201),'Бланк OLD 0.8 04'!$B$12:$K$200,6,0)="","",VLOOKUP($A603-COUNT('Шаг2.Бланк заказа NEW'!$B$19:$B$201),'Бланк OLD 0.8 04'!$B$12:$K$200,6,0))),
IF(VLOOKUP($A603-COUNT('Шаг2.Бланк заказа NEW'!$B$19:$B$201)-COUNT('Бланк OLD 0.8 04'!$B$18:$B$200),'Бланк OLD 2.0 04 '!$B$16:$K$200,6,0)="","",VLOOKUP($A603-COUNT('Шаг2.Бланк заказа NEW'!$B$19:$B$201)-COUNT('Бланк OLD 0.8 04'!$B$18:$B$200),'Бланк OLD 2.0 04 '!$B$16:$K$200,6,0)))</f>
        <v/>
      </c>
      <c r="J603" s="177" t="str">
        <f ca="1">IF(IF(T603="","",IF(T603=1,SUMIFS('Шаг1.Выбор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плиты'!C:Q,12,0)),1))))))=0,
T603,
IF(T603="","",IF(T603=1,SUMIFS('Шаг1.Выбор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плиты'!N:N,T603,'Шаг1.Выбор плиты'!M:M,SMALL(INDIRECT("мм"&amp;VLOOKUP(C603,'Шаг1.Выбор плиты'!C:Q,12,0)),1)))))))</f>
        <v/>
      </c>
      <c r="K603" s="177" t="str">
        <f ca="1">IF(IF(U603="","",IF(U603=1,SUMIFS('Шаг1.Выбор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плиты'!C:Q,12,0)),1))))))=0,
U603,
IF(U603="","",IF(U603=1,SUMIFS('Шаг1.Выбор плиты'!$G:$G,'Шаг1.Выбор плиты'!J:J,"*"&amp;RIGHT(VLOOKUP(C603,'Шаг1.Выбор плиты'!C:Q,8,0),4),'Шаг1.Выбор плиты'!L:L,IF(MID(C603,1,6)="ЛДСП P","TM"&amp;MID(VLOOKUP(C603,'Шаг1.Выбор плиты'!C:Q,10,0),3,2),MID(VLOOKUP(C603,'Шаг1.Выбор плиты'!C:Q,10,0),1,2)),
'Шаг1.Выбор плиты'!N:N,1),IF(SUMIFS('Шаг1.Выбор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плиты'!C:Q,12,0)),1))=0,
IF(SUMIFS('Шаг1.Выбор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плиты'!C:Q,12,0)),2))=0,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плиты'!C:Q,12,0)),3)),
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плиты'!C:Q,12,0)),2))),
(SUMIFS('Шаг1.Выбор плиты'!$G:$G,'Шаг1.Выбор плиты'!J:J,"*"&amp;RIGHT(VLOOKUP(C603,'Шаг1.Выбор плиты'!C:Q,8,0),4),'Шаг1.Выбор плиты'!L:L,VLOOKUP(C603,'Шаг1.Выбор плиты'!C:Q,10,0),'Шаг1.Выбор плиты'!N:N,U603,'Шаг1.Выбор плиты'!M:M,SMALL(INDIRECT("мм"&amp;VLOOKUP(C603,'Шаг1.Выбор плиты'!C:Q,12,0)),1)))))))</f>
        <v/>
      </c>
      <c r="L603" s="147" t="str">
        <f ca="1">IFERROR(IFERROR(IF(VLOOKUP($A603,'Шаг2.Бланк заказа NEW'!$B$17:$N$201,9,0)="","",VLOOKUP($A603,'Шаг2.Бланк заказа NEW'!$B$17:$N$201,9,0)),
IF(VLOOKUP($A603-COUNT('Шаг2.Бланк заказа NEW'!$B$19:$B$201),'Бланк OLD 0.8 04'!$B$12:$K$200,9,0)="","",VLOOKUP($A603-COUNT('Шаг2.Бланк заказа NEW'!$B$19:$B$201),'Бланк OLD 0.8 04'!$B$12:$K$200,9,0))),
IF(VLOOKUP($A603-COUNT('Шаг2.Бланк заказа NEW'!$B$19:$B$201)-COUNT('Бланк OLD 0.8 04'!$B$18:$B$200),'Бланк OLD 2.0 04 '!$B$16:$K$200,9,0)="","",VLOOKUP($A603-COUNT('Шаг2.Бланк заказа NEW'!$B$19:$B$201)-COUNT('Бланк OLD 0.8 04'!$B$18:$B$200),'Бланк OLD 2.0 04 '!$B$16:$K$200,9,0)))</f>
        <v/>
      </c>
      <c r="M603" s="154" t="str">
        <f t="shared" ca="1" si="54"/>
        <v/>
      </c>
      <c r="N603" s="153" t="str">
        <f ca="1">IFERROR(IF(VLOOKUP($A603,'Шаг2.Бланк заказа NEW'!$B$17:$N$201,11,0)="","",VLOOKUP($A603,'Шаг2.Бланк заказа NEW'!$B$17:$N$201,11,0)),
"Нет")</f>
        <v/>
      </c>
      <c r="O603" s="147" t="str">
        <f ca="1">IFERROR(IF(VLOOKUP($A603,'Шаг2.Бланк заказа NEW'!$B$17:$N$201,11,0)="","",VLOOKUP($A603,'Шаг2.Бланк заказа NEW'!$B$17:$N$201,12,0)),
"Нет")</f>
        <v/>
      </c>
      <c r="P603" s="153" t="str">
        <f ca="1">IFERROR(IF(VLOOKUP($A603,'Шаг2.Бланк заказа NEW'!$B$17:$N$201,13,0)="","",VLOOKUP($A603,'Шаг2.Бланк заказа NEW'!$B$17:$N$201,13,0)),
"Нет")</f>
        <v/>
      </c>
      <c r="Q603" s="147" t="str">
        <f ca="1">IFERROR(IF(VLOOKUP($A603,'Шаг2.Бланк заказа NEW'!$B$17:$O$201,14,0)="","",VLOOKUP($A603,'Шаг2.Бланк заказа NEW'!$B$17:$O$201,14,0)),"")</f>
        <v/>
      </c>
      <c r="R603" s="147" t="str">
        <f ca="1">IFERROR(IFERROR(IF(VLOOKUP($A603,'Шаг2.Бланк заказа NEW'!$B$17:$N$201,4,0)="","",VLOOKUP($A603,'Шаг2.Бланк заказа NEW'!$B$17:$N$201,4,0)),
IF(VLOOKUP($A603-COUNT('Шаг2.Бланк заказа NEW'!$B$19:$B$201),'Бланк OLD 0.8 04'!$B$12:$K$200,4,0)&gt;0,0.8,
IF(VLOOKUP($A603-COUNT('Шаг2.Бланк заказа NEW'!$B$19:$B$201),'Бланк OLD 0.8 04'!$B$12:$K$200,5,0)&gt;0,0.4,""))),
IF(VLOOKUP($A603-COUNT('Шаг2.Бланк заказа NEW'!$B$19:$B$201)-COUNT('Бланк OLD 0.8 04'!$B$18:$B$200),'Бланк OLD 2.0 04 '!$B$16:$K$200,4,0)&gt;0,2,IF(VLOOKUP($A603-COUNT('Шаг2.Бланк заказа NEW'!$B$19:$B$201)-COUNT('Бланк OLD 0.8 04'!$B$18:$B$200),'Бланк OLD 2.0 04 '!$B$16:$K$200,5,0)&gt;0,0.4,"")))</f>
        <v/>
      </c>
      <c r="S603" s="147" t="str">
        <f ca="1">IFERROR(IFERROR(IF(VLOOKUP($A603,'Шаг2.Бланк заказа NEW'!$B$17:$N$201,5,0)="","",VLOOKUP($A603,'Шаг2.Бланк заказа NEW'!$B$17:$N$201,5,0)),
IF(VLOOKUP($A603-COUNT('Шаг2.Бланк заказа NEW'!$B$19:$B$201),'Бланк OLD 0.8 04'!$B$12:$K$200,4,0)&gt;1,0.8,
IF(VLOOKUP($A603-COUNT('Шаг2.Бланк заказа NEW'!$B$19:$B$201),'Бланк OLD 0.8 04'!$B$12:$K$200,5,0)&gt;1,0.4,
IF(AND(VLOOKUP($A603-COUNT('Шаг2.Бланк заказа NEW'!$B$19:$B$201),'Бланк OLD 0.8 04'!$B$12:$K$200,4,0)&gt;0,VLOOKUP($A603-COUNT('Шаг2.Бланк заказа NEW'!$B$19:$B$201),'Бланк OLD 0.8 04'!$B$12:$K$200,5,0)&gt;0),0.4,"")))),
IF(VLOOKUP($A603-COUNT('Шаг2.Бланк заказа NEW'!$B$19:$B$201)-COUNT('Бланк OLD 0.8 04'!$B$18:$B$200),'Бланк OLD 2.0 04 '!$B$16:$K$200,4,0)&gt;1,2,
IF(VLOOKUP($A603-COUNT('Шаг2.Бланк заказа NEW'!$B$19:$B$201)-COUNT('Бланк OLD 0.8 04'!$B$18:$B$200),'Бланк OLD 2.0 04 '!$B$16:$K$200,5,0)&gt;1,0.4,IF(AND(VLOOKUP($A603-COUNT('Шаг2.Бланк заказа NEW'!$B$19:$B$201)-COUNT('Бланк OLD 0.8 04'!$B$18:$B$200),'Бланк OLD 2.0 04 '!$B$16:$K$200,4,0)&gt;0,VLOOKUP($A603-COUNT('Шаг2.Бланк заказа NEW'!$B$19:$B$201)-COUNT('Бланк OLD 0.8 04'!$B$18:$B$200),'Бланк OLD 2.0 04 '!$B$16:$K$200,5,0)&gt;0),0.4,""))))</f>
        <v/>
      </c>
      <c r="T603" s="147" t="str">
        <f ca="1">IFERROR(IFERROR(IF(VLOOKUP($A603,'Шаг2.Бланк заказа NEW'!$B$17:$N$201,7,0)="","",VLOOKUP($A603,'Шаг2.Бланк заказа NEW'!$B$17:$N$201,7,0)),
IF(VLOOKUP($A603-COUNT('Шаг2.Бланк заказа NEW'!$B$19:$B$201),'Бланк OLD 0.8 04'!$B$12:$K$200,7,0)&gt;0,0.8,
IF(VLOOKUP($A603-COUNT('Шаг2.Бланк заказа NEW'!$B$19:$B$201),'Бланк OLD 0.8 04'!$B$12:$K$200,8,0)&gt;0,0.4,""))),
IF(VLOOKUP($A603-COUNT('Шаг2.Бланк заказа NEW'!$B$19:$B$201)-COUNT('Бланк OLD 0.8 04'!$B$18:$B$200),'Бланк OLD 2.0 04 '!$B$16:$K$200,7,0)&gt;0,2,IF(VLOOKUP($A603-COUNT('Шаг2.Бланк заказа NEW'!$B$19:$B$201)-COUNT('Бланк OLD 0.8 04'!$B$18:$B$200),'Бланк OLD 2.0 04 '!$B$16:$K$200,8,0)&gt;0,0.4,"")))</f>
        <v/>
      </c>
      <c r="U603" s="147" t="str">
        <f ca="1">IFERROR(IFERROR(IF(VLOOKUP($A603,'Шаг2.Бланк заказа NEW'!$B$17:$N$201,8,0)="","",VLOOKUP($A603,'Шаг2.Бланк заказа NEW'!$B$17:$N$201,8,0)),
IF(VLOOKUP($A603-COUNT('Шаг2.Бланк заказа NEW'!$B$19:$B$201),'Бланк OLD 0.8 04'!$B$12:$K$200,7,0)&gt;1,0.8,
IF(VLOOKUP($A603-COUNT('Шаг2.Бланк заказа NEW'!$B$19:$B$201),'Бланк OLD 0.8 04'!$B$12:$K$200,8,0)&gt;1,0.4,
IF(AND(VLOOKUP($A603-COUNT('Шаг2.Бланк заказа NEW'!$B$19:$B$201),'Бланк OLD 0.8 04'!$B$12:$K$200,7,0)&gt;0,VLOOKUP($A603-COUNT('Шаг2.Бланк заказа NEW'!$B$19:$B$201),'Бланк OLD 0.8 04'!$B$12:$K$200,8,0)&gt;0),0.4,"")))),
IF(VLOOKUP($A603-COUNT('Шаг2.Бланк заказа NEW'!$B$19:$B$201)-COUNT('Бланк OLD 0.8 04'!$B$18:$B$200),'Бланк OLD 2.0 04 '!$B$16:$K$200,7,0)&gt;1,2,
IF(VLOOKUP($A603-COUNT('Шаг2.Бланк заказа NEW'!$B$19:$B$201)-COUNT('Бланк OLD 0.8 04'!$B$18:$B$200),'Бланк OLD 2.0 04 '!$B$16:$K$200,8,0)&gt;1,0.4,
IF(AND(VLOOKUP($A603-COUNT('Шаг2.Бланк заказа NEW'!$B$19:$B$201)-COUNT('Бланк OLD 0.8 04'!$B$18:$B$200),'Бланк OLD 2.0 04 '!$B$16:$K$200,7,0)&gt;0,VLOOKUP($A603-COUNT('Шаг2.Бланк заказа NEW'!$B$19:$B$201)-COUNT('Бланк OLD 0.8 04'!$B$18:$B$200),'Бланк OLD 2.0 04 '!$B$16:$K$200,8,0)&gt;0),0.4,""))))</f>
        <v/>
      </c>
      <c r="V603" s="146" t="str">
        <f ca="1">IFERROR(VLOOKUP(C603,'Шаг1.Выбор плиты'!C:S,12,0),"")</f>
        <v/>
      </c>
      <c r="W603" s="146" t="str">
        <f ca="1">IFERROR(VLOOKUP(C603,'Шаг1.Выбор плиты'!C:S,8,0),"")</f>
        <v/>
      </c>
      <c r="X603" s="146" t="str">
        <f ca="1">IFERROR(VLOOKUP(C603,'Шаг1.Выбор плиты'!C:S,10,0),"")</f>
        <v/>
      </c>
      <c r="Y603" s="147" t="str">
        <f t="shared" ca="1" si="56"/>
        <v/>
      </c>
      <c r="AD603" s="147" t="str">
        <f t="shared" ca="1" si="53"/>
        <v/>
      </c>
      <c r="AE603" s="147" t="str">
        <f t="shared" ca="1" si="57"/>
        <v/>
      </c>
      <c r="AF603" s="25"/>
      <c r="AH603" s="147" t="str">
        <f ca="1">IF(C603="","",VLOOKUP(C603,'Шаг1.Выбор плиты'!C:Q,7,0))</f>
        <v/>
      </c>
      <c r="AI603" s="147" t="str">
        <f t="shared" ca="1" si="55"/>
        <v/>
      </c>
    </row>
  </sheetData>
  <sheetProtection password="8E28" sheet="1" objects="1" scenarios="1"/>
  <conditionalFormatting sqref="R2:S603">
    <cfRule type="expression" dxfId="6" priority="19">
      <formula>G2=""=TRUE</formula>
    </cfRule>
  </conditionalFormatting>
  <conditionalFormatting sqref="T2:U603">
    <cfRule type="expression" dxfId="5" priority="20">
      <formula>J2=""=TRUE</formula>
    </cfRule>
  </conditionalFormatting>
  <conditionalFormatting sqref="G2:G603">
    <cfRule type="cellIs" dxfId="4" priority="5" operator="lessThan">
      <formula>2.1</formula>
    </cfRule>
  </conditionalFormatting>
  <conditionalFormatting sqref="H2:H603">
    <cfRule type="cellIs" dxfId="3" priority="4" operator="lessThan">
      <formula>2.1</formula>
    </cfRule>
  </conditionalFormatting>
  <conditionalFormatting sqref="K2:K603">
    <cfRule type="cellIs" dxfId="2" priority="3" operator="lessThan">
      <formula>2.1</formula>
    </cfRule>
  </conditionalFormatting>
  <conditionalFormatting sqref="J2:J603">
    <cfRule type="cellIs" dxfId="1" priority="2" operator="lessThan">
      <formula>2.1</formula>
    </cfRule>
  </conditionalFormatting>
  <conditionalFormatting sqref="Q1:Q603">
    <cfRule type="containsText" dxfId="0" priority="1" operator="containsText" text="укажите здесь ссылку на чертеж">
      <formula>NOT(ISERROR(SEARCH("укажите здесь ссылку на чертеж",Q1)))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38</vt:i4>
      </vt:variant>
    </vt:vector>
  </HeadingPairs>
  <TitlesOfParts>
    <vt:vector size="47" baseType="lpstr">
      <vt:lpstr>Шаг1.Выбор плиты</vt:lpstr>
      <vt:lpstr>Шаг2.Бланк заказа NEW</vt:lpstr>
      <vt:lpstr>Бланк OLD 0.8 04</vt:lpstr>
      <vt:lpstr>Бланк OLD 2.0 04 </vt:lpstr>
      <vt:lpstr>Шаг3.Стоимость</vt:lpstr>
      <vt:lpstr>Прайс Производственные Услуги</vt:lpstr>
      <vt:lpstr>прайс кромка EGGER для ЛДСП</vt:lpstr>
      <vt:lpstr>прайс кромка для PS</vt:lpstr>
      <vt:lpstr>Лист1</vt:lpstr>
      <vt:lpstr>'Бланк OLD 0.8 04'!дозаполнить</vt:lpstr>
      <vt:lpstr>'Бланк OLD 2.0 04 '!дозаполнить</vt:lpstr>
      <vt:lpstr>дозаполнить</vt:lpstr>
      <vt:lpstr>мм10</vt:lpstr>
      <vt:lpstr>мм16</vt:lpstr>
      <vt:lpstr>мм18</vt:lpstr>
      <vt:lpstr>мм19</vt:lpstr>
      <vt:lpstr>мм22</vt:lpstr>
      <vt:lpstr>мм25</vt:lpstr>
      <vt:lpstr>Номенклатура1</vt:lpstr>
      <vt:lpstr>Номенклатура10</vt:lpstr>
      <vt:lpstr>Номенклатура11</vt:lpstr>
      <vt:lpstr>Номенклатура12</vt:lpstr>
      <vt:lpstr>Номенклатура13</vt:lpstr>
      <vt:lpstr>Номенклатура2</vt:lpstr>
      <vt:lpstr>номенклатура21</vt:lpstr>
      <vt:lpstr>номенклатура210</vt:lpstr>
      <vt:lpstr>номенклатура211</vt:lpstr>
      <vt:lpstr>номенклатура212</vt:lpstr>
      <vt:lpstr>номенклатура22</vt:lpstr>
      <vt:lpstr>номенклатура23</vt:lpstr>
      <vt:lpstr>номенклатура24</vt:lpstr>
      <vt:lpstr>номенклатура25</vt:lpstr>
      <vt:lpstr>номенклатура26</vt:lpstr>
      <vt:lpstr>номенклатура27</vt:lpstr>
      <vt:lpstr>номенклатура28</vt:lpstr>
      <vt:lpstr>номенклатура29</vt:lpstr>
      <vt:lpstr>Номенклатура3</vt:lpstr>
      <vt:lpstr>Номенклатура4</vt:lpstr>
      <vt:lpstr>Номенклатура5</vt:lpstr>
      <vt:lpstr>Номенклатура6</vt:lpstr>
      <vt:lpstr>Номенклатура7</vt:lpstr>
      <vt:lpstr>Номенклатура8</vt:lpstr>
      <vt:lpstr>Номенклатура9</vt:lpstr>
      <vt:lpstr>'Бланк OLD 0.8 04'!Область_печати</vt:lpstr>
      <vt:lpstr>'Бланк OLD 2.0 04 '!Область_печати</vt:lpstr>
      <vt:lpstr>'Шаг2.Бланк заказа NEW'!Область_печати</vt:lpstr>
      <vt:lpstr>Шаг3.Стоимость!Область_печати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Сурова Светлана</dc:creator>
  <cp:lastModifiedBy>Сурова Светлана</cp:lastModifiedBy>
  <cp:lastPrinted>2023-01-08T10:14:55Z</cp:lastPrinted>
  <dcterms:created xsi:type="dcterms:W3CDTF">2023-01-10T07:19:41Z</dcterms:created>
  <dcterms:modified xsi:type="dcterms:W3CDTF">2023-05-22T18:01:12Z</dcterms:modified>
</cp:coreProperties>
</file>